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rtha\Desktop\Hacienda\Portal Finanzas Públicas\Cuenta Pública 2016\"/>
    </mc:Choice>
  </mc:AlternateContent>
  <bookViews>
    <workbookView xWindow="0" yWindow="0" windowWidth="20490" windowHeight="7755"/>
  </bookViews>
  <sheets>
    <sheet name="ESF" sheetId="1" r:id="rId1"/>
    <sheet name="ESF_LDF" sheetId="5" r:id="rId2"/>
    <sheet name="EA" sheetId="6" r:id="rId3"/>
    <sheet name="EVHP" sheetId="7" r:id="rId4"/>
    <sheet name="ECSF" sheetId="8" r:id="rId5"/>
    <sheet name="EFE" sheetId="9" r:id="rId6"/>
    <sheet name="EAA" sheetId="10" r:id="rId7"/>
    <sheet name="EADyOP" sheetId="11" r:id="rId8"/>
    <sheet name="IADPyOP_LDF" sheetId="12" r:id="rId9"/>
    <sheet name="IAODF_LDF" sheetId="13" r:id="rId10"/>
    <sheet name="IPC" sheetId="14" r:id="rId11"/>
    <sheet name="IPF" sheetId="15" r:id="rId12"/>
    <sheet name="CIP" sheetId="16" r:id="rId13"/>
    <sheet name="Fuente-NoBorrar" sheetId="2" state="hidden" r:id="rId14"/>
    <sheet name="BExRepositorySheet" sheetId="4" state="veryHidden" r:id="rId15"/>
  </sheets>
  <externalReferences>
    <externalReference r:id="rId16"/>
    <externalReference r:id="rId17"/>
  </externalReferences>
  <calcPr calcId="152511"/>
</workbook>
</file>

<file path=xl/calcChain.xml><?xml version="1.0" encoding="utf-8"?>
<calcChain xmlns="http://schemas.openxmlformats.org/spreadsheetml/2006/main">
  <c r="B13" i="13" l="1"/>
  <c r="B7" i="13"/>
  <c r="B19" i="13" s="1"/>
  <c r="G30" i="10" l="1"/>
  <c r="G29" i="10"/>
  <c r="G28" i="10"/>
  <c r="G27" i="10"/>
  <c r="G26" i="10"/>
  <c r="G25" i="10"/>
  <c r="G24" i="10"/>
  <c r="G23" i="10"/>
  <c r="G22" i="10"/>
  <c r="G21" i="10"/>
  <c r="G19" i="10"/>
  <c r="G18" i="10"/>
  <c r="G17" i="10"/>
  <c r="G16" i="10"/>
  <c r="G15" i="10"/>
  <c r="G14" i="10"/>
  <c r="G13" i="10"/>
  <c r="G12" i="10"/>
  <c r="G10" i="10"/>
  <c r="D63" i="9" l="1"/>
  <c r="D62" i="9" s="1"/>
  <c r="D57" i="9"/>
  <c r="D56" i="9" s="1"/>
  <c r="D67" i="9" s="1"/>
  <c r="D49" i="9"/>
  <c r="D44" i="9"/>
  <c r="D53" i="9" s="1"/>
  <c r="D23" i="9"/>
  <c r="D9" i="9"/>
  <c r="D41" i="9" s="1"/>
  <c r="D69" i="9" s="1"/>
  <c r="D71" i="9" s="1"/>
  <c r="N3417" i="2"/>
  <c r="G3499" i="2"/>
  <c r="K3553" i="2"/>
  <c r="H3588" i="2"/>
  <c r="E3473" i="2"/>
  <c r="Q3627" i="2"/>
  <c r="D3466" i="2"/>
  <c r="S3554" i="2"/>
  <c r="T3554" i="2"/>
  <c r="P3461" i="2"/>
  <c r="I3560" i="2"/>
  <c r="Q3556" i="2"/>
  <c r="T3479" i="2"/>
  <c r="C3533" i="2"/>
  <c r="M3489" i="2"/>
  <c r="H3612" i="2"/>
  <c r="M3568" i="2"/>
  <c r="E3628" i="2"/>
  <c r="J3580" i="2"/>
  <c r="H3391" i="2"/>
  <c r="G3574" i="2"/>
  <c r="O3606" i="2"/>
  <c r="W3613" i="2"/>
  <c r="D3563" i="2"/>
  <c r="T3567" i="2"/>
  <c r="L3358" i="2"/>
  <c r="L3571" i="2"/>
  <c r="O3504" i="2"/>
  <c r="W3455" i="2"/>
  <c r="N3525" i="2"/>
  <c r="J3444" i="2"/>
  <c r="R3626" i="2"/>
  <c r="M3590" i="2"/>
  <c r="C3559" i="2"/>
  <c r="R3617" i="2"/>
  <c r="H3596" i="2"/>
  <c r="F3551" i="2"/>
  <c r="M3594" i="2"/>
  <c r="Q3588" i="2"/>
  <c r="T3489" i="2"/>
  <c r="I3621" i="2"/>
  <c r="G3565" i="2"/>
  <c r="S3390" i="2"/>
  <c r="H3619" i="2"/>
  <c r="J3430" i="2"/>
  <c r="E3471" i="2"/>
  <c r="P3541" i="2"/>
  <c r="S3398" i="2"/>
  <c r="K3426" i="2"/>
  <c r="S3490" i="2"/>
  <c r="I3401" i="2"/>
  <c r="G3619" i="2"/>
  <c r="R3549" i="2"/>
  <c r="W3610" i="2"/>
  <c r="C3572" i="2"/>
  <c r="J3500" i="2"/>
  <c r="O3602" i="2"/>
  <c r="D3591" i="2"/>
  <c r="R3528" i="2"/>
  <c r="S3587" i="2"/>
  <c r="L3341" i="2"/>
  <c r="C3468" i="2"/>
  <c r="V3607" i="2"/>
  <c r="T3506" i="2"/>
  <c r="D3625" i="2"/>
  <c r="S3502" i="2"/>
  <c r="P3524" i="2"/>
  <c r="K3335" i="2"/>
  <c r="U3579" i="2"/>
  <c r="R3506" i="2"/>
  <c r="W3590" i="2"/>
  <c r="H3452" i="2"/>
  <c r="Q3618" i="2"/>
  <c r="U3586" i="2"/>
  <c r="W3572" i="2"/>
  <c r="O3557" i="2"/>
  <c r="W3607" i="2"/>
  <c r="W3525" i="2"/>
  <c r="Q3506" i="2"/>
  <c r="Q3536" i="2"/>
  <c r="Q3529" i="2"/>
  <c r="U3548" i="2"/>
  <c r="K3540" i="2"/>
  <c r="C3514" i="2"/>
  <c r="O3556" i="2"/>
  <c r="S3593" i="2"/>
  <c r="J3547" i="2"/>
  <c r="E3558" i="2"/>
  <c r="O3433" i="2"/>
  <c r="V3554" i="2"/>
  <c r="I3562" i="2"/>
  <c r="U3531" i="2"/>
  <c r="L3306" i="2"/>
  <c r="F3355" i="2"/>
  <c r="S3589" i="2"/>
  <c r="S3625" i="2"/>
  <c r="T3565" i="2"/>
  <c r="W3627" i="2"/>
  <c r="F3419" i="2"/>
  <c r="O3458" i="2"/>
  <c r="I3535" i="2"/>
  <c r="W3561" i="2"/>
  <c r="L3573" i="2"/>
  <c r="F3472" i="2"/>
  <c r="F3467" i="2"/>
  <c r="H3607" i="2"/>
  <c r="J3532" i="2"/>
  <c r="J3482" i="2"/>
  <c r="D3456" i="2"/>
  <c r="M3511" i="2"/>
  <c r="L3621" i="2"/>
  <c r="N3426" i="2"/>
  <c r="C3503" i="2"/>
  <c r="Q3583" i="2"/>
  <c r="J3620" i="2"/>
  <c r="K3608" i="2"/>
  <c r="N3571" i="2"/>
  <c r="J3358" i="2"/>
  <c r="U3626" i="2"/>
  <c r="Q3598" i="2"/>
  <c r="K3461" i="2"/>
  <c r="P3370" i="2"/>
  <c r="J3629" i="2"/>
  <c r="I3577" i="2"/>
  <c r="C3529" i="2"/>
  <c r="G3614" i="2"/>
  <c r="M3477" i="2"/>
  <c r="E3598" i="2"/>
  <c r="M3571" i="2"/>
  <c r="W3596" i="2"/>
  <c r="W3475" i="2"/>
  <c r="O3560" i="2"/>
  <c r="N3585" i="2"/>
  <c r="E3559" i="2"/>
  <c r="R3580" i="2"/>
  <c r="L3594" i="2"/>
  <c r="T3517" i="2"/>
  <c r="D3590" i="2"/>
  <c r="U3505" i="2"/>
  <c r="O3527" i="2"/>
  <c r="G3434" i="2"/>
  <c r="U3498" i="2"/>
  <c r="T3521" i="2"/>
  <c r="G3588" i="2"/>
  <c r="S3493" i="2"/>
  <c r="J3516" i="2"/>
  <c r="E3563" i="2"/>
  <c r="G3386" i="2"/>
  <c r="G3572" i="2"/>
  <c r="G3629" i="2"/>
  <c r="D3552" i="2"/>
  <c r="W3462" i="2"/>
  <c r="I3594" i="2"/>
  <c r="Q3551" i="2"/>
  <c r="I3533" i="2"/>
  <c r="R3572" i="2"/>
  <c r="J3505" i="2"/>
  <c r="I3606" i="2"/>
  <c r="U3473" i="2"/>
  <c r="K3424" i="2"/>
  <c r="F3604" i="2"/>
  <c r="I3571" i="2"/>
  <c r="R3496" i="2"/>
  <c r="M3541" i="2"/>
  <c r="D3592" i="2"/>
  <c r="H3584" i="2"/>
  <c r="K3464" i="2"/>
  <c r="F3608" i="2"/>
  <c r="Q3432" i="2"/>
  <c r="R3543" i="2"/>
  <c r="T3621" i="2"/>
  <c r="S3605" i="2"/>
  <c r="R3434" i="2"/>
  <c r="R3581" i="2"/>
  <c r="N3548" i="2"/>
  <c r="H3551" i="2"/>
  <c r="D3581" i="2"/>
  <c r="V3520" i="2"/>
  <c r="K3605" i="2"/>
  <c r="D3588" i="2"/>
  <c r="R3550" i="2"/>
  <c r="P3490" i="2"/>
  <c r="M3473" i="2"/>
  <c r="V3627" i="2"/>
  <c r="I3546" i="2"/>
  <c r="U3483" i="2"/>
  <c r="H3512" i="2"/>
  <c r="C3586" i="2"/>
  <c r="E3625" i="2"/>
  <c r="V3592" i="2"/>
  <c r="J3618" i="2"/>
  <c r="Q3516" i="2"/>
  <c r="M3481" i="2"/>
  <c r="E3498" i="2"/>
  <c r="O3418" i="2"/>
  <c r="W3541" i="2"/>
  <c r="G3479" i="2"/>
  <c r="O3613" i="2"/>
  <c r="C3505" i="2"/>
  <c r="H3615" i="2"/>
  <c r="J3550" i="2"/>
  <c r="Q3523" i="2"/>
  <c r="W3583" i="2"/>
  <c r="C3564" i="2"/>
  <c r="E3586" i="2"/>
  <c r="R3569" i="2"/>
  <c r="N3516" i="2"/>
  <c r="P3359" i="2"/>
  <c r="C3562" i="2"/>
  <c r="I3578" i="2"/>
  <c r="J3495" i="2"/>
  <c r="W3553" i="2"/>
  <c r="S3505" i="2"/>
  <c r="W3479" i="2"/>
  <c r="R3459" i="2"/>
  <c r="U3529" i="2"/>
  <c r="C3539" i="2"/>
  <c r="Q3578" i="2"/>
  <c r="C3346" i="2"/>
  <c r="C3546" i="2"/>
  <c r="C3323" i="2"/>
  <c r="N3312" i="2"/>
  <c r="F3543" i="2"/>
  <c r="H3230" i="2"/>
  <c r="M3611" i="2"/>
  <c r="E3515" i="2"/>
  <c r="H3443" i="2"/>
  <c r="G3550" i="2"/>
  <c r="E3555" i="2"/>
  <c r="E3617" i="2"/>
  <c r="D3503" i="2"/>
  <c r="T3605" i="2"/>
  <c r="J3607" i="2"/>
  <c r="O3628" i="2"/>
  <c r="G3627" i="2"/>
  <c r="U3540" i="2"/>
  <c r="T3551" i="2"/>
  <c r="O3592" i="2"/>
  <c r="E3627" i="2"/>
  <c r="M3545" i="2"/>
  <c r="L3618" i="2"/>
  <c r="Q3575" i="2"/>
  <c r="V3593" i="2"/>
  <c r="D3433" i="2"/>
  <c r="R3510" i="2"/>
  <c r="K3437" i="2"/>
  <c r="M3437" i="2"/>
  <c r="U3615" i="2"/>
  <c r="J3429" i="2"/>
  <c r="L3187" i="2"/>
  <c r="C3616" i="2"/>
  <c r="I3582" i="2"/>
  <c r="K3263" i="2"/>
  <c r="L3465" i="2"/>
  <c r="K3513" i="2"/>
  <c r="N3618" i="2"/>
  <c r="F3566" i="2"/>
  <c r="I3628" i="2"/>
  <c r="N3506" i="2"/>
  <c r="C3589" i="2"/>
  <c r="O3572" i="2"/>
  <c r="V3439" i="2"/>
  <c r="K3599" i="2"/>
  <c r="T3503" i="2"/>
  <c r="H3494" i="2"/>
  <c r="J3456" i="2"/>
  <c r="R3464" i="2"/>
  <c r="T3610" i="2"/>
  <c r="I3598" i="2"/>
  <c r="M3506" i="2"/>
  <c r="W3359" i="2"/>
  <c r="S3562" i="2"/>
  <c r="U3337" i="2"/>
  <c r="J3612" i="2"/>
  <c r="U3534" i="2"/>
  <c r="V3606" i="2"/>
  <c r="Q3471" i="2"/>
  <c r="S3506" i="2"/>
  <c r="H3616" i="2"/>
  <c r="T3474" i="2"/>
  <c r="L3567" i="2"/>
  <c r="C3575" i="2"/>
  <c r="M3391" i="2"/>
  <c r="E3539" i="2"/>
  <c r="H3575" i="2"/>
  <c r="D3556" i="2"/>
  <c r="R3531" i="2"/>
  <c r="C3523" i="2"/>
  <c r="L3373" i="2"/>
  <c r="O3445" i="2"/>
  <c r="H3598" i="2"/>
  <c r="W3620" i="2"/>
  <c r="P3606" i="2"/>
  <c r="P3596" i="2"/>
  <c r="U3611" i="2"/>
  <c r="R3433" i="2"/>
  <c r="L3575" i="2"/>
  <c r="V3570" i="2"/>
  <c r="V3558" i="2"/>
  <c r="E3571" i="2"/>
  <c r="I3556" i="2"/>
  <c r="E3414" i="2"/>
  <c r="F3449" i="2"/>
  <c r="T3466" i="2"/>
  <c r="G3618" i="2"/>
  <c r="S3613" i="2"/>
  <c r="K3482" i="2"/>
  <c r="C3580" i="2"/>
  <c r="D3568" i="2"/>
  <c r="T3590" i="2"/>
  <c r="T3592" i="2"/>
  <c r="T3568" i="2"/>
  <c r="F3538" i="2"/>
  <c r="Q3600" i="2"/>
  <c r="Q3488" i="2"/>
  <c r="G3414" i="2"/>
  <c r="S3622" i="2"/>
  <c r="O3550" i="2"/>
  <c r="I3478" i="2"/>
  <c r="V3491" i="2"/>
  <c r="G3319" i="2"/>
  <c r="T3226" i="2"/>
  <c r="D3479" i="2"/>
  <c r="L3547" i="2"/>
  <c r="V3587" i="2"/>
  <c r="J3617" i="2"/>
  <c r="K3545" i="2"/>
  <c r="P3497" i="2"/>
  <c r="D3462" i="2"/>
  <c r="Q3591" i="2"/>
  <c r="I3518" i="2"/>
  <c r="E3426" i="2"/>
  <c r="Q3628" i="2"/>
  <c r="W3481" i="2"/>
  <c r="T3617" i="2"/>
  <c r="T3427" i="2"/>
  <c r="J3447" i="2"/>
  <c r="W3461" i="2"/>
  <c r="I3599" i="2"/>
  <c r="E3518" i="2"/>
  <c r="D3618" i="2"/>
  <c r="I3540" i="2"/>
  <c r="R3546" i="2"/>
  <c r="D3620" i="2"/>
  <c r="U3614" i="2"/>
  <c r="S3540" i="2"/>
  <c r="C3471" i="2"/>
  <c r="J3460" i="2"/>
  <c r="M3382" i="2"/>
  <c r="D3518" i="2"/>
  <c r="I3604" i="2"/>
  <c r="I3519" i="2"/>
  <c r="N3288" i="2"/>
  <c r="Q3380" i="2"/>
  <c r="W3615" i="2"/>
  <c r="I3523" i="2"/>
  <c r="W3560" i="2"/>
  <c r="E3608" i="2"/>
  <c r="G3287" i="2"/>
  <c r="G3595" i="2"/>
  <c r="F3620" i="2"/>
  <c r="V3487" i="2"/>
  <c r="I3590" i="2"/>
  <c r="O3608" i="2"/>
  <c r="L3302" i="2"/>
  <c r="N3587" i="2"/>
  <c r="E3389" i="2"/>
  <c r="N3360" i="2"/>
  <c r="O3471" i="2"/>
  <c r="V3224" i="2"/>
  <c r="L3612" i="2"/>
  <c r="M3497" i="2"/>
  <c r="G3437" i="2"/>
  <c r="F3573" i="2"/>
  <c r="H3553" i="2"/>
  <c r="P3624" i="2"/>
  <c r="N3530" i="2"/>
  <c r="O3509" i="2"/>
  <c r="M3499" i="2"/>
  <c r="F3495" i="2"/>
  <c r="E3582" i="2"/>
  <c r="W3345" i="2"/>
  <c r="M3607" i="2"/>
  <c r="T3495" i="2"/>
  <c r="Q3315" i="2"/>
  <c r="P3554" i="2"/>
  <c r="O3539" i="2"/>
  <c r="J3564" i="2"/>
  <c r="G3609" i="2"/>
  <c r="Q3481" i="2"/>
  <c r="F3567" i="2"/>
  <c r="C3530" i="2"/>
  <c r="Q3596" i="2"/>
  <c r="W3470" i="2"/>
  <c r="I3626" i="2"/>
  <c r="N3629" i="2"/>
  <c r="G3602" i="2"/>
  <c r="S3514" i="2"/>
  <c r="C3387" i="2"/>
  <c r="I3479" i="2"/>
  <c r="C3549" i="2"/>
  <c r="M3491" i="2"/>
  <c r="D3605" i="2"/>
  <c r="O3541" i="2"/>
  <c r="M3580" i="2"/>
  <c r="T3398" i="2"/>
  <c r="L3542" i="2"/>
  <c r="I3614" i="2"/>
  <c r="N3562" i="2"/>
  <c r="C3555" i="2"/>
  <c r="T3547" i="2"/>
  <c r="J3523" i="2"/>
  <c r="C3596" i="2"/>
  <c r="O3596" i="2"/>
  <c r="J3522" i="2"/>
  <c r="H3425" i="2"/>
  <c r="D3502" i="2"/>
  <c r="I3561" i="2"/>
  <c r="U3544" i="2"/>
  <c r="S3522" i="2"/>
  <c r="K3568" i="2"/>
  <c r="E3562" i="2"/>
  <c r="H3533" i="2"/>
  <c r="L3455" i="2"/>
  <c r="L3402" i="2"/>
  <c r="D3470" i="2"/>
  <c r="D3543" i="2"/>
  <c r="F3416" i="2"/>
  <c r="R3391" i="2"/>
  <c r="D3525" i="2"/>
  <c r="O3285" i="2"/>
  <c r="D3492" i="2"/>
  <c r="V3603" i="2"/>
  <c r="O3559" i="2"/>
  <c r="L3586" i="2"/>
  <c r="M3562" i="2"/>
  <c r="D3621" i="2"/>
  <c r="F3218" i="2"/>
  <c r="L3372" i="2"/>
  <c r="C3222" i="2"/>
  <c r="M3615" i="2"/>
  <c r="Q3308" i="2"/>
  <c r="G3536" i="2"/>
  <c r="O3552" i="2"/>
  <c r="C3609" i="2"/>
  <c r="M3455" i="2"/>
  <c r="O3432" i="2"/>
  <c r="N3620" i="2"/>
  <c r="W3531" i="2"/>
  <c r="M3565" i="2"/>
  <c r="T3372" i="2"/>
  <c r="U3520" i="2"/>
  <c r="T3481" i="2"/>
  <c r="N3510" i="2"/>
  <c r="O3616" i="2"/>
  <c r="G3546" i="2"/>
  <c r="H3479" i="2"/>
  <c r="M3445" i="2"/>
  <c r="R3443" i="2"/>
  <c r="O3276" i="2"/>
  <c r="N3543" i="2"/>
  <c r="K3418" i="2"/>
  <c r="D3494" i="2"/>
  <c r="C3226" i="2"/>
  <c r="J3589" i="2"/>
  <c r="M3577" i="2"/>
  <c r="G3582" i="2"/>
  <c r="Q3534" i="2"/>
  <c r="F3341" i="2"/>
  <c r="K3554" i="2"/>
  <c r="L3411" i="2"/>
  <c r="V3536" i="2"/>
  <c r="H3502" i="2"/>
  <c r="V3503" i="2"/>
  <c r="G3590" i="2"/>
  <c r="I3387" i="2"/>
  <c r="C3485" i="2"/>
  <c r="W3612" i="2"/>
  <c r="N3538" i="2"/>
  <c r="L3525" i="2"/>
  <c r="V3594" i="2"/>
  <c r="E3591" i="2"/>
  <c r="L3493" i="2"/>
  <c r="I3625" i="2"/>
  <c r="H3486" i="2"/>
  <c r="S3509" i="2"/>
  <c r="I3572" i="2"/>
  <c r="D3575" i="2"/>
  <c r="R3564" i="2"/>
  <c r="U3554" i="2"/>
  <c r="T3563" i="2"/>
  <c r="U3589" i="2"/>
  <c r="W3465" i="2"/>
  <c r="D3601" i="2"/>
  <c r="Q3521" i="2"/>
  <c r="K3470" i="2"/>
  <c r="H3403" i="2"/>
  <c r="S3436" i="2"/>
  <c r="H3585" i="2"/>
  <c r="O3468" i="2"/>
  <c r="J3213" i="2"/>
  <c r="E3118" i="2"/>
  <c r="E3532" i="2"/>
  <c r="J3554" i="2"/>
  <c r="M3466" i="2"/>
  <c r="G3523" i="2"/>
  <c r="M3559" i="2"/>
  <c r="P3538" i="2"/>
  <c r="U3628" i="2"/>
  <c r="R3605" i="2"/>
  <c r="F3613" i="2"/>
  <c r="V3601" i="2"/>
  <c r="L3563" i="2"/>
  <c r="U3558" i="2"/>
  <c r="W3568" i="2"/>
  <c r="G3506" i="2"/>
  <c r="E3595" i="2"/>
  <c r="T3524" i="2"/>
  <c r="C3577" i="2"/>
  <c r="S3571" i="2"/>
  <c r="N3477" i="2"/>
  <c r="L3591" i="2"/>
  <c r="P3587" i="2"/>
  <c r="P3505" i="2"/>
  <c r="F3574" i="2"/>
  <c r="F3547" i="2"/>
  <c r="N3505" i="2"/>
  <c r="V3539" i="2"/>
  <c r="T3413" i="2"/>
  <c r="E3465" i="2"/>
  <c r="R3612" i="2"/>
  <c r="W3605" i="2"/>
  <c r="O3593" i="2"/>
  <c r="O3543" i="2"/>
  <c r="V3591" i="2"/>
  <c r="Q3548" i="2"/>
  <c r="F3621" i="2"/>
  <c r="C3560" i="2"/>
  <c r="U3513" i="2"/>
  <c r="V3538" i="2"/>
  <c r="S3581" i="2"/>
  <c r="M3551" i="2"/>
  <c r="J3370" i="2"/>
  <c r="M3544" i="2"/>
  <c r="I3564" i="2"/>
  <c r="U3617" i="2"/>
  <c r="P3495" i="2"/>
  <c r="M3617" i="2"/>
  <c r="M3454" i="2"/>
  <c r="I3379" i="2"/>
  <c r="Q3585" i="2"/>
  <c r="W3577" i="2"/>
  <c r="K3542" i="2"/>
  <c r="O3516" i="2"/>
  <c r="K3580" i="2"/>
  <c r="D3387" i="2"/>
  <c r="P3470" i="2"/>
  <c r="D3579" i="2"/>
  <c r="O3460" i="2"/>
  <c r="W3603" i="2"/>
  <c r="E3400" i="2"/>
  <c r="C3544" i="2"/>
  <c r="K3547" i="2"/>
  <c r="O3305" i="2"/>
  <c r="T3471" i="2"/>
  <c r="Q3543" i="2"/>
  <c r="P3441" i="2"/>
  <c r="K3571" i="2"/>
  <c r="M3552" i="2"/>
  <c r="K3541" i="2"/>
  <c r="W3625" i="2"/>
  <c r="R3584" i="2"/>
  <c r="R3469" i="2"/>
  <c r="N3598" i="2"/>
  <c r="W3121" i="2"/>
  <c r="L3549" i="2"/>
  <c r="W3576" i="2"/>
  <c r="O3591" i="2"/>
  <c r="O3561" i="2"/>
  <c r="D3526" i="2"/>
  <c r="P3534" i="2"/>
  <c r="L3420" i="2"/>
  <c r="O3627" i="2"/>
  <c r="K3468" i="2"/>
  <c r="N3590" i="2"/>
  <c r="N3472" i="2"/>
  <c r="I3555" i="2"/>
  <c r="O3413" i="2"/>
  <c r="H3557" i="2"/>
  <c r="G3545" i="2"/>
  <c r="N3627" i="2"/>
  <c r="P3577" i="2"/>
  <c r="I3452" i="2"/>
  <c r="M3612" i="2"/>
  <c r="V3577" i="2"/>
  <c r="Q3346" i="2"/>
  <c r="K3562" i="2"/>
  <c r="F3614" i="2"/>
  <c r="H3519" i="2"/>
  <c r="E3508" i="2"/>
  <c r="R3512" i="2"/>
  <c r="O3515" i="2"/>
  <c r="G3623" i="2"/>
  <c r="O3507" i="2"/>
  <c r="L3235" i="2"/>
  <c r="V3502" i="2"/>
  <c r="K3396" i="2"/>
  <c r="T3214" i="2"/>
  <c r="P3494" i="2"/>
  <c r="K3597" i="2"/>
  <c r="C3598" i="2"/>
  <c r="V3610" i="2"/>
  <c r="G3360" i="2"/>
  <c r="K3519" i="2"/>
  <c r="D3282" i="2"/>
  <c r="F3415" i="2"/>
  <c r="G3537" i="2"/>
  <c r="V3402" i="2"/>
  <c r="R3545" i="2"/>
  <c r="I3512" i="2"/>
  <c r="D3622" i="2"/>
  <c r="K3546" i="2"/>
  <c r="G3509" i="2"/>
  <c r="O3497" i="2"/>
  <c r="L3619" i="2"/>
  <c r="C3522" i="2"/>
  <c r="O3488" i="2"/>
  <c r="N3303" i="2"/>
  <c r="F3460" i="2"/>
  <c r="Q3184" i="2"/>
  <c r="M3587" i="2"/>
  <c r="G3607" i="2"/>
  <c r="V3564" i="2"/>
  <c r="I3627" i="2"/>
  <c r="D3480" i="2"/>
  <c r="L3611" i="2"/>
  <c r="O3459" i="2"/>
  <c r="R3494" i="2"/>
  <c r="P3502" i="2"/>
  <c r="S3545" i="2"/>
  <c r="H3603" i="2"/>
  <c r="R3588" i="2"/>
  <c r="U3583" i="2"/>
  <c r="N3596" i="2"/>
  <c r="F3527" i="2"/>
  <c r="G3622" i="2"/>
  <c r="C3558" i="2"/>
  <c r="G3601" i="2"/>
  <c r="O3598" i="2"/>
  <c r="J3543" i="2"/>
  <c r="H3475" i="2"/>
  <c r="N3468" i="2"/>
  <c r="L3367" i="2"/>
  <c r="L3565" i="2"/>
  <c r="G3553" i="2"/>
  <c r="K3620" i="2"/>
  <c r="F3610" i="2"/>
  <c r="D3508" i="2"/>
  <c r="R3402" i="2"/>
  <c r="S3628" i="2"/>
  <c r="J3551" i="2"/>
  <c r="N3339" i="2"/>
  <c r="E3026" i="2"/>
  <c r="G3531" i="2"/>
  <c r="O3444" i="2"/>
  <c r="R3331" i="2"/>
  <c r="L3589" i="2"/>
  <c r="I3430" i="2"/>
  <c r="G3564" i="2"/>
  <c r="G3456" i="2"/>
  <c r="H3375" i="2"/>
  <c r="V3474" i="2"/>
  <c r="G3514" i="2"/>
  <c r="E3611" i="2"/>
  <c r="E3600" i="2"/>
  <c r="S3598" i="2"/>
  <c r="L3572" i="2"/>
  <c r="E3485" i="2"/>
  <c r="D3559" i="2"/>
  <c r="U3593" i="2"/>
  <c r="E3433" i="2"/>
  <c r="R3406" i="2"/>
  <c r="U3555" i="2"/>
  <c r="C3489" i="2"/>
  <c r="K3570" i="2"/>
  <c r="U3613" i="2"/>
  <c r="O3540" i="2"/>
  <c r="M3575" i="2"/>
  <c r="I3469" i="2"/>
  <c r="I3324" i="2"/>
  <c r="I3459" i="2"/>
  <c r="Q3570" i="2"/>
  <c r="D3532" i="2"/>
  <c r="M3574" i="2"/>
  <c r="S3575" i="2"/>
  <c r="O3625" i="2"/>
  <c r="R3628" i="2"/>
  <c r="M3535" i="2"/>
  <c r="F3475" i="2"/>
  <c r="F3606" i="2"/>
  <c r="T3461" i="2"/>
  <c r="W3511" i="2"/>
  <c r="P3489" i="2"/>
  <c r="R3430" i="2"/>
  <c r="Q3492" i="2"/>
  <c r="N3429" i="2"/>
  <c r="H3329" i="2"/>
  <c r="H3536" i="2"/>
  <c r="H3474" i="2"/>
  <c r="D3000" i="2"/>
  <c r="O3517" i="2"/>
  <c r="P3593" i="2"/>
  <c r="S3421" i="2"/>
  <c r="S3456" i="2"/>
  <c r="T3498" i="2"/>
  <c r="O3492" i="2"/>
  <c r="M3596" i="2"/>
  <c r="D3567" i="2"/>
  <c r="Q3576" i="2"/>
  <c r="M3465" i="2"/>
  <c r="E3468" i="2"/>
  <c r="Q3374" i="2"/>
  <c r="V3609" i="2"/>
  <c r="D3474" i="2"/>
  <c r="Q3586" i="2"/>
  <c r="W3521" i="2"/>
  <c r="V3490" i="2"/>
  <c r="E3529" i="2"/>
  <c r="T3616" i="2"/>
  <c r="S3561" i="2"/>
  <c r="L3485" i="2"/>
  <c r="W3571" i="2"/>
  <c r="T3613" i="2"/>
  <c r="G3300" i="2"/>
  <c r="O3474" i="2"/>
  <c r="C3584" i="2"/>
  <c r="K3478" i="2"/>
  <c r="H3541" i="2"/>
  <c r="R3456" i="2"/>
  <c r="T3385" i="2"/>
  <c r="D3553" i="2"/>
  <c r="V3625" i="2"/>
  <c r="I3487" i="2"/>
  <c r="G3591" i="2"/>
  <c r="R3492" i="2"/>
  <c r="W3552" i="2"/>
  <c r="L3504" i="2"/>
  <c r="L3494" i="2"/>
  <c r="J3481" i="2"/>
  <c r="C3614" i="2"/>
  <c r="E3512" i="2"/>
  <c r="H3537" i="2"/>
  <c r="J3595" i="2"/>
  <c r="D3431" i="2"/>
  <c r="O3582" i="2"/>
  <c r="G3587" i="2"/>
  <c r="F3558" i="2"/>
  <c r="D3571" i="2"/>
  <c r="T3486" i="2"/>
  <c r="D3432" i="2"/>
  <c r="Q3609" i="2"/>
  <c r="N3479" i="2"/>
  <c r="Q3573" i="2"/>
  <c r="G3615" i="2"/>
  <c r="H3416" i="2"/>
  <c r="O3575" i="2"/>
  <c r="M3563" i="2"/>
  <c r="Q3473" i="2"/>
  <c r="N3584" i="2"/>
  <c r="Q3440" i="2"/>
  <c r="R3515" i="2"/>
  <c r="Q3622" i="2"/>
  <c r="M3570" i="2"/>
  <c r="L3628" i="2"/>
  <c r="F3603" i="2"/>
  <c r="P3469" i="2"/>
  <c r="F3615" i="2"/>
  <c r="K3549" i="2"/>
  <c r="H3622" i="2"/>
  <c r="I3541" i="2"/>
  <c r="O3010" i="2"/>
  <c r="F3599" i="2"/>
  <c r="F3628" i="2"/>
  <c r="S3607" i="2"/>
  <c r="S3591" i="2"/>
  <c r="H3289" i="2"/>
  <c r="N3611" i="2"/>
  <c r="W3350" i="2"/>
  <c r="E3533" i="2"/>
  <c r="N3376" i="2"/>
  <c r="R3449" i="2"/>
  <c r="M3490" i="2"/>
  <c r="G2986" i="2"/>
  <c r="O3439" i="2"/>
  <c r="D3573" i="2"/>
  <c r="V3612" i="2"/>
  <c r="D3550" i="2"/>
  <c r="E3596" i="2"/>
  <c r="D3616" i="2"/>
  <c r="K3598" i="2"/>
  <c r="C3550" i="2"/>
  <c r="O3605" i="2"/>
  <c r="G3267" i="2"/>
  <c r="M3547" i="2"/>
  <c r="G3342" i="2"/>
  <c r="G3606" i="2"/>
  <c r="O3530" i="2"/>
  <c r="T3625" i="2"/>
  <c r="J3546" i="2"/>
  <c r="C3366" i="2"/>
  <c r="C3507" i="2"/>
  <c r="S3602" i="2"/>
  <c r="P3455" i="2"/>
  <c r="O3372" i="2"/>
  <c r="G3549" i="2"/>
  <c r="K3527" i="2"/>
  <c r="Q3483" i="2"/>
  <c r="R3542" i="2"/>
  <c r="G3617" i="2"/>
  <c r="D3389" i="2"/>
  <c r="V3545" i="2"/>
  <c r="I3615" i="2"/>
  <c r="S3478" i="2"/>
  <c r="H3349" i="2"/>
  <c r="M3257" i="2"/>
  <c r="G3571" i="2"/>
  <c r="T3579" i="2"/>
  <c r="W3569" i="2"/>
  <c r="G3508" i="2"/>
  <c r="I3586" i="2"/>
  <c r="J3496" i="2"/>
  <c r="T3510" i="2"/>
  <c r="G3418" i="2"/>
  <c r="J3029" i="2"/>
  <c r="M3592" i="2"/>
  <c r="T3425" i="2"/>
  <c r="L3524" i="2"/>
  <c r="M3519" i="2"/>
  <c r="I3441" i="2"/>
  <c r="V3347" i="2"/>
  <c r="L3510" i="2"/>
  <c r="K3572" i="2"/>
  <c r="F3403" i="2"/>
  <c r="T3615" i="2"/>
  <c r="C3520" i="2"/>
  <c r="T3619" i="2"/>
  <c r="P3598" i="2"/>
  <c r="G3581" i="2"/>
  <c r="V3332" i="2"/>
  <c r="P3391" i="2"/>
  <c r="K3535" i="2"/>
  <c r="J3570" i="2"/>
  <c r="W3398" i="2"/>
  <c r="L3471" i="2"/>
  <c r="E3538" i="2"/>
  <c r="J3296" i="2"/>
  <c r="M3521" i="2"/>
  <c r="V3267" i="2"/>
  <c r="Q3612" i="2"/>
  <c r="G3480" i="2"/>
  <c r="J3527" i="2"/>
  <c r="V3451" i="2"/>
  <c r="W3466" i="2"/>
  <c r="W3614" i="2"/>
  <c r="C3622" i="2"/>
  <c r="F3448" i="2"/>
  <c r="S3476" i="2"/>
  <c r="I3448" i="2"/>
  <c r="H3617" i="2"/>
  <c r="H3470" i="2"/>
  <c r="S3574" i="2"/>
  <c r="I3569" i="2"/>
  <c r="C3607" i="2"/>
  <c r="O3568" i="2"/>
  <c r="J3443" i="2"/>
  <c r="R3599" i="2"/>
  <c r="D3365" i="2"/>
  <c r="O3434" i="2"/>
  <c r="I3432" i="2"/>
  <c r="N3559" i="2"/>
  <c r="O3349" i="2"/>
  <c r="N3331" i="2"/>
  <c r="R3431" i="2"/>
  <c r="D3624" i="2"/>
  <c r="P3537" i="2"/>
  <c r="O3226" i="2"/>
  <c r="W3582" i="2"/>
  <c r="S3552" i="2"/>
  <c r="D3580" i="2"/>
  <c r="C3531" i="2"/>
  <c r="H3576" i="2"/>
  <c r="N3491" i="2"/>
  <c r="C3629" i="2"/>
  <c r="L3529" i="2"/>
  <c r="I3592" i="2"/>
  <c r="L3548" i="2"/>
  <c r="J3597" i="2"/>
  <c r="S3265" i="2"/>
  <c r="C3613" i="2"/>
  <c r="S3510" i="2"/>
  <c r="P3355" i="2"/>
  <c r="H3567" i="2"/>
  <c r="G3491" i="2"/>
  <c r="F3492" i="2"/>
  <c r="J3477" i="2"/>
  <c r="C3527" i="2"/>
  <c r="V3617" i="2"/>
  <c r="D3561" i="2"/>
  <c r="U3566" i="2"/>
  <c r="H3583" i="2"/>
  <c r="L3536" i="2"/>
  <c r="K3460" i="2"/>
  <c r="W3384" i="2"/>
  <c r="H3570" i="2"/>
  <c r="P3570" i="2"/>
  <c r="K3617" i="2"/>
  <c r="M3606" i="2"/>
  <c r="F3586" i="2"/>
  <c r="W3523" i="2"/>
  <c r="N3492" i="2"/>
  <c r="R3476" i="2"/>
  <c r="V3566" i="2"/>
  <c r="K3395" i="2"/>
  <c r="V3561" i="2"/>
  <c r="E3616" i="2"/>
  <c r="K3505" i="2"/>
  <c r="O3478" i="2"/>
  <c r="S3609" i="2"/>
  <c r="M3300" i="2"/>
  <c r="U3552" i="2"/>
  <c r="M3343" i="2"/>
  <c r="N3508" i="2"/>
  <c r="C3400" i="2"/>
  <c r="P3607" i="2"/>
  <c r="O3535" i="2"/>
  <c r="G3613" i="2"/>
  <c r="U3599" i="2"/>
  <c r="E3629" i="2"/>
  <c r="T3543" i="2"/>
  <c r="Q3443" i="2"/>
  <c r="E3592" i="2"/>
  <c r="M3589" i="2"/>
  <c r="G3612" i="2"/>
  <c r="S3496" i="2"/>
  <c r="F3413" i="2"/>
  <c r="C3466" i="2"/>
  <c r="D3596" i="2"/>
  <c r="W3586" i="2"/>
  <c r="N3621" i="2"/>
  <c r="K3180" i="2"/>
  <c r="P3558" i="2"/>
  <c r="F3612" i="2"/>
  <c r="V3548" i="2"/>
  <c r="F3629" i="2"/>
  <c r="M3583" i="2"/>
  <c r="M3089" i="2"/>
  <c r="O3595" i="2"/>
  <c r="D3626" i="2"/>
  <c r="S3597" i="2"/>
  <c r="V3466" i="2"/>
  <c r="O3448" i="2"/>
  <c r="P3585" i="2"/>
  <c r="E3464" i="2"/>
  <c r="M3472" i="2"/>
  <c r="L3607" i="2"/>
  <c r="T3545" i="2"/>
  <c r="F3385" i="2"/>
  <c r="L3592" i="2"/>
  <c r="D3441" i="2"/>
  <c r="N3586" i="2"/>
  <c r="G3405" i="2"/>
  <c r="P3544" i="2"/>
  <c r="L3579" i="2"/>
  <c r="M3485" i="2"/>
  <c r="W3599" i="2"/>
  <c r="C3500" i="2"/>
  <c r="P3532" i="2"/>
  <c r="V3530" i="2"/>
  <c r="L3509" i="2"/>
  <c r="M3373" i="2"/>
  <c r="W3409" i="2"/>
  <c r="T3620" i="2"/>
  <c r="Q3398" i="2"/>
  <c r="L3056" i="2"/>
  <c r="I3119" i="2"/>
  <c r="W3451" i="2"/>
  <c r="S3592" i="2"/>
  <c r="V3453" i="2"/>
  <c r="V3608" i="2"/>
  <c r="O3569" i="2"/>
  <c r="I3528" i="2"/>
  <c r="K3402" i="2"/>
  <c r="O3422" i="2"/>
  <c r="J3431" i="2"/>
  <c r="J3484" i="2"/>
  <c r="E3590" i="2"/>
  <c r="R3610" i="2"/>
  <c r="O3489" i="2"/>
  <c r="H3527" i="2"/>
  <c r="N3501" i="2"/>
  <c r="Q3490" i="2"/>
  <c r="J3412" i="2"/>
  <c r="W3224" i="2"/>
  <c r="G3620" i="2"/>
  <c r="E3469" i="2"/>
  <c r="W3457" i="2"/>
  <c r="P3418" i="2"/>
  <c r="C3386" i="2"/>
  <c r="E3535" i="2"/>
  <c r="Q3574" i="2"/>
  <c r="W3534" i="2"/>
  <c r="V3553" i="2"/>
  <c r="C3600" i="2"/>
  <c r="C3612" i="2"/>
  <c r="D3577" i="2"/>
  <c r="G3413" i="2"/>
  <c r="U3564" i="2"/>
  <c r="V3571" i="2"/>
  <c r="Q3464" i="2"/>
  <c r="O3511" i="2"/>
  <c r="Q3365" i="2"/>
  <c r="L3623" i="2"/>
  <c r="J3545" i="2"/>
  <c r="L3479" i="2"/>
  <c r="R3461" i="2"/>
  <c r="L3556" i="2"/>
  <c r="M3313" i="2"/>
  <c r="P3572" i="2"/>
  <c r="P3615" i="2"/>
  <c r="S3623" i="2"/>
  <c r="W3514" i="2"/>
  <c r="K3576" i="2"/>
  <c r="T3534" i="2"/>
  <c r="F3476" i="2"/>
  <c r="H3545" i="2"/>
  <c r="V3629" i="2"/>
  <c r="W3493" i="2"/>
  <c r="T3560" i="2"/>
  <c r="O3465" i="2"/>
  <c r="M3614" i="2"/>
  <c r="U3595" i="2"/>
  <c r="H3465" i="2"/>
  <c r="K3567" i="2"/>
  <c r="Q3495" i="2"/>
  <c r="N3553" i="2"/>
  <c r="E3578" i="2"/>
  <c r="D3497" i="2"/>
  <c r="W3495" i="2"/>
  <c r="S3537" i="2"/>
  <c r="N3606" i="2"/>
  <c r="Q3607" i="2"/>
  <c r="S3359" i="2"/>
  <c r="F3554" i="2"/>
  <c r="Q3604" i="2"/>
  <c r="J3603" i="2"/>
  <c r="J3624" i="2"/>
  <c r="W3439" i="2"/>
  <c r="I3524" i="2"/>
  <c r="D3554" i="2"/>
  <c r="M3581" i="2"/>
  <c r="N3349" i="2"/>
  <c r="V3618" i="2"/>
  <c r="K3448" i="2"/>
  <c r="K3565" i="2"/>
  <c r="C3547" i="2"/>
  <c r="F3465" i="2"/>
  <c r="O3351" i="2"/>
  <c r="I3609" i="2"/>
  <c r="H3592" i="2"/>
  <c r="V3605" i="2"/>
  <c r="O3371" i="2"/>
  <c r="C3569" i="2"/>
  <c r="F3580" i="2"/>
  <c r="W3549" i="2"/>
  <c r="C3363" i="2"/>
  <c r="G3498" i="2"/>
  <c r="K3032" i="2"/>
  <c r="N3601" i="2"/>
  <c r="L3343" i="2"/>
  <c r="U3390" i="2"/>
  <c r="D3574" i="2"/>
  <c r="G3417" i="2"/>
  <c r="E3255" i="2"/>
  <c r="T3250" i="2"/>
  <c r="O3626" i="2"/>
  <c r="H3549" i="2"/>
  <c r="H3560" i="2"/>
  <c r="S3616" i="2"/>
  <c r="H3426" i="2"/>
  <c r="R3607" i="2"/>
  <c r="N3461" i="2"/>
  <c r="T3478" i="2"/>
  <c r="U3629" i="2"/>
  <c r="I3309" i="2"/>
  <c r="R3419" i="2"/>
  <c r="M3408" i="2"/>
  <c r="U3465" i="2"/>
  <c r="R3399" i="2"/>
  <c r="H3601" i="2"/>
  <c r="V3378" i="2"/>
  <c r="H3534" i="2"/>
  <c r="K3393" i="2"/>
  <c r="R3590" i="2"/>
  <c r="S3520" i="2"/>
  <c r="Q3580" i="2"/>
  <c r="L3448" i="2"/>
  <c r="P3610" i="2"/>
  <c r="L2967" i="2"/>
  <c r="E3475" i="2"/>
  <c r="T3595" i="2"/>
  <c r="F3564" i="2"/>
  <c r="D3178" i="2"/>
  <c r="T3416" i="2"/>
  <c r="M3452" i="2"/>
  <c r="K3500" i="2"/>
  <c r="L3600" i="2"/>
  <c r="O3482" i="2"/>
  <c r="U3268" i="2"/>
  <c r="T3612" i="2"/>
  <c r="F3356" i="2"/>
  <c r="D3370" i="2"/>
  <c r="E3463" i="2"/>
  <c r="M3146" i="2"/>
  <c r="W3425" i="2"/>
  <c r="S3535" i="2"/>
  <c r="R3557" i="2"/>
  <c r="I3438" i="2"/>
  <c r="G3563" i="2"/>
  <c r="O3522" i="2"/>
  <c r="G3388" i="2"/>
  <c r="F3619" i="2"/>
  <c r="O3502" i="2"/>
  <c r="O3259" i="2"/>
  <c r="P3514" i="2"/>
  <c r="I3480" i="2"/>
  <c r="G3429" i="2"/>
  <c r="N3330" i="2"/>
  <c r="L3513" i="2"/>
  <c r="I3608" i="2"/>
  <c r="S3519" i="2"/>
  <c r="J3461" i="2"/>
  <c r="H3520" i="2"/>
  <c r="L3526" i="2"/>
  <c r="T3397" i="2"/>
  <c r="M3598" i="2"/>
  <c r="L3574" i="2"/>
  <c r="T3519" i="2"/>
  <c r="V3382" i="2"/>
  <c r="G3558" i="2"/>
  <c r="T3577" i="2"/>
  <c r="N3560" i="2"/>
  <c r="Q3489" i="2"/>
  <c r="V3353" i="2"/>
  <c r="R3201" i="2"/>
  <c r="T3558" i="2"/>
  <c r="R3547" i="2"/>
  <c r="O3555" i="2"/>
  <c r="W3518" i="2"/>
  <c r="S3539" i="2"/>
  <c r="S3600" i="2"/>
  <c r="P3614" i="2"/>
  <c r="L3475" i="2"/>
  <c r="P3576" i="2"/>
  <c r="P3282" i="2"/>
  <c r="V3532" i="2"/>
  <c r="M3529" i="2"/>
  <c r="L3309" i="2"/>
  <c r="I3495" i="2"/>
  <c r="G3530" i="2"/>
  <c r="I3601" i="2"/>
  <c r="K3187" i="2"/>
  <c r="C3425" i="2"/>
  <c r="J3398" i="2"/>
  <c r="T3575" i="2"/>
  <c r="C3593" i="2"/>
  <c r="S3608" i="2"/>
  <c r="I3514" i="2"/>
  <c r="N3464" i="2"/>
  <c r="I2994" i="2"/>
  <c r="T3505" i="2"/>
  <c r="R3593" i="2"/>
  <c r="S3599" i="2"/>
  <c r="U3533" i="2"/>
  <c r="Q3594" i="2"/>
  <c r="F3592" i="2"/>
  <c r="J3576" i="2"/>
  <c r="P3573" i="2"/>
  <c r="I3334" i="2"/>
  <c r="O3620" i="2"/>
  <c r="N3527" i="2"/>
  <c r="J3530" i="2"/>
  <c r="E3575" i="2"/>
  <c r="S3437" i="2"/>
  <c r="V3461" i="2"/>
  <c r="H3258" i="2"/>
  <c r="O3584" i="2"/>
  <c r="D3132" i="2"/>
  <c r="K3438" i="2"/>
  <c r="V3546" i="2"/>
  <c r="J3591" i="2"/>
  <c r="J3492" i="2"/>
  <c r="W3624" i="2"/>
  <c r="W3268" i="2"/>
  <c r="E3054" i="2"/>
  <c r="N3614" i="2"/>
  <c r="O3612" i="2"/>
  <c r="K3300" i="2"/>
  <c r="D3627" i="2"/>
  <c r="S3427" i="2"/>
  <c r="C3356" i="2"/>
  <c r="T3602" i="2"/>
  <c r="I3505" i="2"/>
  <c r="V3586" i="2"/>
  <c r="D3595" i="2"/>
  <c r="D3452" i="2"/>
  <c r="O3387" i="2"/>
  <c r="V3583" i="2"/>
  <c r="C3554" i="2"/>
  <c r="D3444" i="2"/>
  <c r="H3262" i="2"/>
  <c r="F3418" i="2"/>
  <c r="E3541" i="2"/>
  <c r="O3590" i="2"/>
  <c r="E3392" i="2"/>
  <c r="S3528" i="2"/>
  <c r="W3434" i="2"/>
  <c r="E3610" i="2"/>
  <c r="U3608" i="2"/>
  <c r="T3598" i="2"/>
  <c r="E3289" i="2"/>
  <c r="L3433" i="2"/>
  <c r="V3442" i="2"/>
  <c r="O3615" i="2"/>
  <c r="D3404" i="2"/>
  <c r="O3058" i="2"/>
  <c r="I3382" i="2"/>
  <c r="L3620" i="2"/>
  <c r="E3500" i="2"/>
  <c r="N3448" i="2"/>
  <c r="T3368" i="2"/>
  <c r="K3577" i="2"/>
  <c r="W3471" i="2"/>
  <c r="Q3621" i="2"/>
  <c r="H3518" i="2"/>
  <c r="G3451" i="2"/>
  <c r="H3608" i="2"/>
  <c r="D3395" i="2"/>
  <c r="E3506" i="2"/>
  <c r="J3452" i="2"/>
  <c r="T3433" i="2"/>
  <c r="E3366" i="2"/>
  <c r="G3460" i="2"/>
  <c r="P3429" i="2"/>
  <c r="E3510" i="2"/>
  <c r="K3398" i="2"/>
  <c r="D3587" i="2"/>
  <c r="P3480" i="2"/>
  <c r="H3477" i="2"/>
  <c r="V3504" i="2"/>
  <c r="D3378" i="2"/>
  <c r="S3594" i="2"/>
  <c r="S3363" i="2"/>
  <c r="G3518" i="2"/>
  <c r="U3559" i="2"/>
  <c r="I3617" i="2"/>
  <c r="H3439" i="2"/>
  <c r="W3608" i="2"/>
  <c r="W3609" i="2"/>
  <c r="K3627" i="2"/>
  <c r="F3542" i="2"/>
  <c r="Q3520" i="2"/>
  <c r="F3316" i="2"/>
  <c r="V3410" i="2"/>
  <c r="R3400" i="2"/>
  <c r="H3339" i="2"/>
  <c r="K3564" i="2"/>
  <c r="H3451" i="2"/>
  <c r="H3397" i="2"/>
  <c r="R3518" i="2"/>
  <c r="T3494" i="2"/>
  <c r="W3418" i="2"/>
  <c r="L3555" i="2"/>
  <c r="K3496" i="2"/>
  <c r="N3388" i="2"/>
  <c r="R3441" i="2"/>
  <c r="R3552" i="2"/>
  <c r="P3255" i="2"/>
  <c r="V3585" i="2"/>
  <c r="N3307" i="2"/>
  <c r="C3581" i="2"/>
  <c r="F3572" i="2"/>
  <c r="R3352" i="2"/>
  <c r="K3607" i="2"/>
  <c r="D3530" i="2"/>
  <c r="D3243" i="2"/>
  <c r="M3442" i="2"/>
  <c r="K3485" i="2"/>
  <c r="N3615" i="2"/>
  <c r="R3618" i="2"/>
  <c r="G3229" i="2"/>
  <c r="T3339" i="2"/>
  <c r="M3621" i="2"/>
  <c r="P3622" i="2"/>
  <c r="I3291" i="2"/>
  <c r="R3322" i="2"/>
  <c r="P3488" i="2"/>
  <c r="V3116" i="2"/>
  <c r="H3572" i="2"/>
  <c r="E3581" i="2"/>
  <c r="V3144" i="2"/>
  <c r="K3454" i="2"/>
  <c r="T3502" i="2"/>
  <c r="E3386" i="2"/>
  <c r="L3528" i="2"/>
  <c r="M3470" i="2"/>
  <c r="Q3393" i="2"/>
  <c r="U3600" i="2"/>
  <c r="G3604" i="2"/>
  <c r="D3501" i="2"/>
  <c r="Q3428" i="2"/>
  <c r="M3312" i="2"/>
  <c r="D3140" i="2"/>
  <c r="S3284" i="2"/>
  <c r="K3401" i="2"/>
  <c r="S3424" i="2"/>
  <c r="V3543" i="2"/>
  <c r="N3593" i="2"/>
  <c r="F3336" i="2"/>
  <c r="S3517" i="2"/>
  <c r="J3406" i="2"/>
  <c r="W3584" i="2"/>
  <c r="N3603" i="2"/>
  <c r="K3586" i="2"/>
  <c r="N3566" i="2"/>
  <c r="H3384" i="2"/>
  <c r="F3626" i="2"/>
  <c r="C3495" i="2"/>
  <c r="W3287" i="2"/>
  <c r="R3602" i="2"/>
  <c r="N2788" i="2"/>
  <c r="D3482" i="2"/>
  <c r="M3167" i="2"/>
  <c r="T3039" i="2"/>
  <c r="Q3242" i="2"/>
  <c r="O2995" i="2"/>
  <c r="G3593" i="2"/>
  <c r="P3601" i="2"/>
  <c r="C3467" i="2"/>
  <c r="U3454" i="2"/>
  <c r="H3378" i="2"/>
  <c r="I3619" i="2"/>
  <c r="J3486" i="2"/>
  <c r="U3374" i="2"/>
  <c r="H3568" i="2"/>
  <c r="H3540" i="2"/>
  <c r="C2821" i="2"/>
  <c r="V3406" i="2"/>
  <c r="J3537" i="2"/>
  <c r="E3623" i="2"/>
  <c r="Q3577" i="2"/>
  <c r="R3616" i="2"/>
  <c r="U3477" i="2"/>
  <c r="L3156" i="2"/>
  <c r="O3361" i="2"/>
  <c r="M3302" i="2"/>
  <c r="S3357" i="2"/>
  <c r="C3604" i="2"/>
  <c r="Q3386" i="2"/>
  <c r="W3209" i="2"/>
  <c r="W3311" i="2"/>
  <c r="N3377" i="2"/>
  <c r="E3184" i="2"/>
  <c r="T3537" i="2"/>
  <c r="U3372" i="2"/>
  <c r="U3485" i="2"/>
  <c r="D3316" i="2"/>
  <c r="G3439" i="2"/>
  <c r="R3490" i="2"/>
  <c r="I3348" i="2"/>
  <c r="V3616" i="2"/>
  <c r="T3530" i="2"/>
  <c r="R3232" i="2"/>
  <c r="W3567" i="2"/>
  <c r="W3618" i="2"/>
  <c r="J3566" i="2"/>
  <c r="V3426" i="2"/>
  <c r="F3517" i="2"/>
  <c r="G3624" i="2"/>
  <c r="D3436" i="2"/>
  <c r="N3517" i="2"/>
  <c r="N3466" i="2"/>
  <c r="K3555" i="2"/>
  <c r="F3585" i="2"/>
  <c r="Q3561" i="2"/>
  <c r="I3331" i="2"/>
  <c r="Q3555" i="2"/>
  <c r="K3566" i="2"/>
  <c r="P3486" i="2"/>
  <c r="I3620" i="2"/>
  <c r="F3507" i="2"/>
  <c r="J3606" i="2"/>
  <c r="Q3477" i="2"/>
  <c r="N3531" i="2"/>
  <c r="H3411" i="2"/>
  <c r="C3619" i="2"/>
  <c r="W3343" i="2"/>
  <c r="C3456" i="2"/>
  <c r="P3438" i="2"/>
  <c r="C3573" i="2"/>
  <c r="N3599" i="2"/>
  <c r="P3253" i="2"/>
  <c r="O3270" i="2"/>
  <c r="N3092" i="2"/>
  <c r="F3605" i="2"/>
  <c r="F3239" i="2"/>
  <c r="L3561" i="2"/>
  <c r="C3259" i="2"/>
  <c r="P3506" i="2"/>
  <c r="L3613" i="2"/>
  <c r="U3525" i="2"/>
  <c r="G3449" i="2"/>
  <c r="E3561" i="2"/>
  <c r="D3549" i="2"/>
  <c r="U3423" i="2"/>
  <c r="R3516" i="2"/>
  <c r="M3430" i="2"/>
  <c r="F3443" i="2"/>
  <c r="H3604" i="2"/>
  <c r="M3079" i="2"/>
  <c r="H3171" i="2"/>
  <c r="C3565" i="2"/>
  <c r="K3610" i="2"/>
  <c r="J3568" i="2"/>
  <c r="I3056" i="2"/>
  <c r="G3483" i="2"/>
  <c r="V3367" i="2"/>
  <c r="F3137" i="2"/>
  <c r="S3354" i="2"/>
  <c r="G3579" i="2"/>
  <c r="F3459" i="2"/>
  <c r="I3463" i="2"/>
  <c r="U3605" i="2"/>
  <c r="K3124" i="2"/>
  <c r="W3554" i="2"/>
  <c r="R3596" i="2"/>
  <c r="L3596" i="2"/>
  <c r="L3206" i="2"/>
  <c r="F3520" i="2"/>
  <c r="H3613" i="2"/>
  <c r="O3553" i="2"/>
  <c r="J3601" i="2"/>
  <c r="M3528" i="2"/>
  <c r="Q3562" i="2"/>
  <c r="O3451" i="2"/>
  <c r="N3357" i="2"/>
  <c r="L3506" i="2"/>
  <c r="J3503" i="2"/>
  <c r="U3543" i="2"/>
  <c r="G3278" i="2"/>
  <c r="W3550" i="2"/>
  <c r="V3614" i="2"/>
  <c r="U3510" i="2"/>
  <c r="O3389" i="2"/>
  <c r="M3495" i="2"/>
  <c r="I3467" i="2"/>
  <c r="U3565" i="2"/>
  <c r="E3556" i="2"/>
  <c r="W3515" i="2"/>
  <c r="T3571" i="2"/>
  <c r="C3465" i="2"/>
  <c r="K3518" i="2"/>
  <c r="F3588" i="2"/>
  <c r="M3585" i="2"/>
  <c r="O3533" i="2"/>
  <c r="Q3616" i="2"/>
  <c r="N3481" i="2"/>
  <c r="S3419" i="2"/>
  <c r="E3521" i="2"/>
  <c r="G3330" i="2"/>
  <c r="Q3402" i="2"/>
  <c r="G3477" i="2"/>
  <c r="N3496" i="2"/>
  <c r="S3606" i="2"/>
  <c r="H3455" i="2"/>
  <c r="Q3611" i="2"/>
  <c r="L3516" i="2"/>
  <c r="M3572" i="2"/>
  <c r="U3313" i="2"/>
  <c r="F3581" i="2"/>
  <c r="F3625" i="2"/>
  <c r="R3521" i="2"/>
  <c r="G3441" i="2"/>
  <c r="O3537" i="2"/>
  <c r="G3543" i="2"/>
  <c r="G3557" i="2"/>
  <c r="V3622" i="2"/>
  <c r="D3323" i="2"/>
  <c r="F3477" i="2"/>
  <c r="L3495" i="2"/>
  <c r="V3569" i="2"/>
  <c r="S3533" i="2"/>
  <c r="T3487" i="2"/>
  <c r="P3419" i="2"/>
  <c r="U3570" i="2"/>
  <c r="I3233" i="2"/>
  <c r="Q3296" i="2"/>
  <c r="E3457" i="2"/>
  <c r="U3528" i="2"/>
  <c r="M3376" i="2"/>
  <c r="F3627" i="2"/>
  <c r="D3373" i="2"/>
  <c r="L3505" i="2"/>
  <c r="G3608" i="2"/>
  <c r="T3242" i="2"/>
  <c r="H3546" i="2"/>
  <c r="I3575" i="2"/>
  <c r="J3506" i="2"/>
  <c r="N3419" i="2"/>
  <c r="I3623" i="2"/>
  <c r="N3457" i="2"/>
  <c r="C3448" i="2"/>
  <c r="O3506" i="2"/>
  <c r="T3572" i="2"/>
  <c r="I3520" i="2"/>
  <c r="G3323" i="2"/>
  <c r="T3608" i="2"/>
  <c r="Q3610" i="2"/>
  <c r="J3562" i="2"/>
  <c r="I3596" i="2"/>
  <c r="L3379" i="2"/>
  <c r="M3367" i="2"/>
  <c r="M3388" i="2"/>
  <c r="M3406" i="2"/>
  <c r="C3415" i="2"/>
  <c r="P3582" i="2"/>
  <c r="H3524" i="2"/>
  <c r="W3450" i="2"/>
  <c r="H3469" i="2"/>
  <c r="I3585" i="2"/>
  <c r="M3609" i="2"/>
  <c r="J3528" i="2"/>
  <c r="P3426" i="2"/>
  <c r="W3548" i="2"/>
  <c r="I3435" i="2"/>
  <c r="T3544" i="2"/>
  <c r="C3326" i="2"/>
  <c r="Q3592" i="2"/>
  <c r="S3626" i="2"/>
  <c r="F3622" i="2"/>
  <c r="J3323" i="2"/>
  <c r="I3496" i="2"/>
  <c r="V3429" i="2"/>
  <c r="S3604" i="2"/>
  <c r="L3489" i="2"/>
  <c r="J3596" i="2"/>
  <c r="L3566" i="2"/>
  <c r="D3443" i="2"/>
  <c r="L3394" i="2"/>
  <c r="J3389" i="2"/>
  <c r="N3577" i="2"/>
  <c r="J3305" i="2"/>
  <c r="T3607" i="2"/>
  <c r="R3504" i="2"/>
  <c r="E3449" i="2"/>
  <c r="D3388" i="2"/>
  <c r="L3233" i="2"/>
  <c r="Q2811" i="2"/>
  <c r="F3379" i="2"/>
  <c r="M3398" i="2"/>
  <c r="H3548" i="2"/>
  <c r="R2972" i="2"/>
  <c r="P3553" i="2"/>
  <c r="V3409" i="2"/>
  <c r="C3360" i="2"/>
  <c r="U3567" i="2"/>
  <c r="Q3458" i="2"/>
  <c r="D3583" i="2"/>
  <c r="S3371" i="2"/>
  <c r="V3615" i="2"/>
  <c r="E3437" i="2"/>
  <c r="T3589" i="2"/>
  <c r="R3275" i="2"/>
  <c r="W3419" i="2"/>
  <c r="F3524" i="2"/>
  <c r="U3431" i="2"/>
  <c r="Q3447" i="2"/>
  <c r="T3152" i="2"/>
  <c r="P3314" i="2"/>
  <c r="W3317" i="2"/>
  <c r="H3390" i="2"/>
  <c r="U3516" i="2"/>
  <c r="W3589" i="2"/>
  <c r="J3553" i="2"/>
  <c r="I3343" i="2"/>
  <c r="Q3541" i="2"/>
  <c r="J3520" i="2"/>
  <c r="F3373" i="2"/>
  <c r="U3475" i="2"/>
  <c r="D3570" i="2"/>
  <c r="K3389" i="2"/>
  <c r="S3512" i="2"/>
  <c r="O2807" i="2"/>
  <c r="O3411" i="2"/>
  <c r="O3586" i="2"/>
  <c r="J3349" i="2"/>
  <c r="G3472" i="2"/>
  <c r="W2747" i="2"/>
  <c r="Q3197" i="2"/>
  <c r="I3389" i="2"/>
  <c r="S3346" i="2"/>
  <c r="I3205" i="2"/>
  <c r="F3375" i="2"/>
  <c r="K3307" i="2"/>
  <c r="M3626" i="2"/>
  <c r="G3542" i="2"/>
  <c r="N3456" i="2"/>
  <c r="F3303" i="2"/>
  <c r="R3466" i="2"/>
  <c r="I3413" i="2"/>
  <c r="O3406" i="2"/>
  <c r="M3132" i="2"/>
  <c r="J3449" i="2"/>
  <c r="E3455" i="2"/>
  <c r="F3089" i="2"/>
  <c r="H3472" i="2"/>
  <c r="G3404" i="2"/>
  <c r="S3620" i="2"/>
  <c r="Q3369" i="2"/>
  <c r="P3566" i="2"/>
  <c r="Q3424" i="2"/>
  <c r="H3577" i="2"/>
  <c r="D3597" i="2"/>
  <c r="K3569" i="2"/>
  <c r="K3501" i="2"/>
  <c r="O3319" i="2"/>
  <c r="G3519" i="2"/>
  <c r="P3616" i="2"/>
  <c r="L3427" i="2"/>
  <c r="G3109" i="2"/>
  <c r="P3386" i="2"/>
  <c r="Q3417" i="2"/>
  <c r="O3574" i="2"/>
  <c r="Q3499" i="2"/>
  <c r="D3582" i="2"/>
  <c r="V3599" i="2"/>
  <c r="T3540" i="2"/>
  <c r="C3587" i="2"/>
  <c r="F3515" i="2"/>
  <c r="H3558" i="2"/>
  <c r="J3502" i="2"/>
  <c r="D3536" i="2"/>
  <c r="S3394" i="2"/>
  <c r="T3420" i="2"/>
  <c r="D3606" i="2"/>
  <c r="K3488" i="2"/>
  <c r="W3533" i="2"/>
  <c r="Q3509" i="2"/>
  <c r="E3481" i="2"/>
  <c r="U3442" i="2"/>
  <c r="L3466" i="2"/>
  <c r="P3556" i="2"/>
  <c r="W3545" i="2"/>
  <c r="U3541" i="2"/>
  <c r="C3501" i="2"/>
  <c r="T3120" i="2"/>
  <c r="T3622" i="2"/>
  <c r="N3542" i="2"/>
  <c r="E3489" i="2"/>
  <c r="O3521" i="2"/>
  <c r="N3563" i="2"/>
  <c r="D3517" i="2"/>
  <c r="V3172" i="2"/>
  <c r="M3534" i="2"/>
  <c r="M3537" i="2"/>
  <c r="E3387" i="2"/>
  <c r="D3527" i="2"/>
  <c r="T3354" i="2"/>
  <c r="O3588" i="2"/>
  <c r="R3404" i="2"/>
  <c r="W3190" i="2"/>
  <c r="M3549" i="2"/>
  <c r="E3349" i="2"/>
  <c r="G3524" i="2"/>
  <c r="K3506" i="2"/>
  <c r="V3620" i="2"/>
  <c r="Q3412" i="2"/>
  <c r="T3283" i="2"/>
  <c r="T3386" i="2"/>
  <c r="V3621" i="2"/>
  <c r="R3359" i="2"/>
  <c r="T3366" i="2"/>
  <c r="F3438" i="2"/>
  <c r="U3026" i="2"/>
  <c r="F3185" i="2"/>
  <c r="U3338" i="2"/>
  <c r="M3622" i="2"/>
  <c r="E3624" i="2"/>
  <c r="V3506" i="2"/>
  <c r="S3503" i="2"/>
  <c r="M3305" i="2"/>
  <c r="C3605" i="2"/>
  <c r="J3574" i="2"/>
  <c r="R3511" i="2"/>
  <c r="U3440" i="2"/>
  <c r="W3485" i="2"/>
  <c r="Q3558" i="2"/>
  <c r="D3511" i="2"/>
  <c r="E3564" i="2"/>
  <c r="D3169" i="2"/>
  <c r="I2996" i="2"/>
  <c r="U3462" i="2"/>
  <c r="S3527" i="2"/>
  <c r="S3553" i="2"/>
  <c r="P3599" i="2"/>
  <c r="G3474" i="2"/>
  <c r="D3576" i="2"/>
  <c r="O3303" i="2"/>
  <c r="O3623" i="2"/>
  <c r="C3401" i="2"/>
  <c r="N3624" i="2"/>
  <c r="H3408" i="2"/>
  <c r="M3450" i="2"/>
  <c r="G3455" i="2"/>
  <c r="P3567" i="2"/>
  <c r="J3544" i="2"/>
  <c r="R3507" i="2"/>
  <c r="U3627" i="2"/>
  <c r="T3476" i="2"/>
  <c r="N3450" i="2"/>
  <c r="S3442" i="2"/>
  <c r="U3561" i="2"/>
  <c r="M3533" i="2"/>
  <c r="I3539" i="2"/>
  <c r="H3484" i="2"/>
  <c r="S3615" i="2"/>
  <c r="U3305" i="2"/>
  <c r="E3526" i="2"/>
  <c r="H3399" i="2"/>
  <c r="N3453" i="2"/>
  <c r="U3504" i="2"/>
  <c r="I3491" i="2"/>
  <c r="J3474" i="2"/>
  <c r="F3535" i="2"/>
  <c r="M3586" i="2"/>
  <c r="R3463" i="2"/>
  <c r="K3591" i="2"/>
  <c r="S3524" i="2"/>
  <c r="V3446" i="2"/>
  <c r="G3368" i="2"/>
  <c r="J3572" i="2"/>
  <c r="L3482" i="2"/>
  <c r="C3487" i="2"/>
  <c r="N3483" i="2"/>
  <c r="F3562" i="2"/>
  <c r="L3412" i="2"/>
  <c r="G3459" i="2"/>
  <c r="T3561" i="2"/>
  <c r="R3278" i="2"/>
  <c r="K3463" i="2"/>
  <c r="Q3064" i="2"/>
  <c r="P3620" i="2"/>
  <c r="F3276" i="2"/>
  <c r="W3629" i="2"/>
  <c r="K3560" i="2"/>
  <c r="D3222" i="2"/>
  <c r="F3391" i="2"/>
  <c r="S3570" i="2"/>
  <c r="V3422" i="2"/>
  <c r="G3592" i="2"/>
  <c r="W3464" i="2"/>
  <c r="G3325" i="2"/>
  <c r="L3414" i="2"/>
  <c r="H3589" i="2"/>
  <c r="F3611" i="2"/>
  <c r="R3585" i="2"/>
  <c r="S3320" i="2"/>
  <c r="I3494" i="2"/>
  <c r="K3224" i="2"/>
  <c r="G3493" i="2"/>
  <c r="H3188" i="2"/>
  <c r="U3326" i="2"/>
  <c r="I3616" i="2"/>
  <c r="M3500" i="2"/>
  <c r="L3456" i="2"/>
  <c r="G3383" i="2"/>
  <c r="K3583" i="2"/>
  <c r="G3256" i="2"/>
  <c r="N3315" i="2"/>
  <c r="C3441" i="2"/>
  <c r="D3495" i="2"/>
  <c r="F3532" i="2"/>
  <c r="H3606" i="2"/>
  <c r="E3593" i="2"/>
  <c r="N3545" i="2"/>
  <c r="O3469" i="2"/>
  <c r="V3166" i="2"/>
  <c r="Q3587" i="2"/>
  <c r="U3466" i="2"/>
  <c r="G3520" i="2"/>
  <c r="D3465" i="2"/>
  <c r="I3545" i="2"/>
  <c r="Q3619" i="2"/>
  <c r="S3573" i="2"/>
  <c r="C3165" i="2"/>
  <c r="E3626" i="2"/>
  <c r="T3624" i="2"/>
  <c r="N3473" i="2"/>
  <c r="I3225" i="2"/>
  <c r="N3246" i="2"/>
  <c r="K3091" i="2"/>
  <c r="V3252" i="2"/>
  <c r="O3341" i="2"/>
  <c r="S3221" i="2"/>
  <c r="N3168" i="2"/>
  <c r="P3192" i="2"/>
  <c r="K3250" i="2"/>
  <c r="D3547" i="2"/>
  <c r="N3435" i="2"/>
  <c r="U3508" i="2"/>
  <c r="S3450" i="2"/>
  <c r="P3077" i="2"/>
  <c r="N3512" i="2"/>
  <c r="L3340" i="2"/>
  <c r="T3409" i="2"/>
  <c r="T3518" i="2"/>
  <c r="F3458" i="2"/>
  <c r="U3603" i="2"/>
  <c r="L3342" i="2"/>
  <c r="E3511" i="2"/>
  <c r="M3588" i="2"/>
  <c r="L3406" i="2"/>
  <c r="K3495" i="2"/>
  <c r="E3573" i="2"/>
  <c r="R3532" i="2"/>
  <c r="U3618" i="2"/>
  <c r="D3539" i="2"/>
  <c r="T3538" i="2"/>
  <c r="P3440" i="2"/>
  <c r="R3398" i="2"/>
  <c r="T3310" i="2"/>
  <c r="G3412" i="2"/>
  <c r="P3446" i="2"/>
  <c r="J3569" i="2"/>
  <c r="K3234" i="2"/>
  <c r="K3497" i="2"/>
  <c r="W3573" i="2"/>
  <c r="M3185" i="2"/>
  <c r="U3610" i="2"/>
  <c r="H3579" i="2"/>
  <c r="C3497" i="2"/>
  <c r="H3083" i="2"/>
  <c r="U3470" i="2"/>
  <c r="S3304" i="2"/>
  <c r="I3506" i="2"/>
  <c r="I3542" i="2"/>
  <c r="D3614" i="2"/>
  <c r="P3482" i="2"/>
  <c r="E3519" i="2"/>
  <c r="N3622" i="2"/>
  <c r="E3560" i="2"/>
  <c r="I2999" i="2"/>
  <c r="H3308" i="2"/>
  <c r="W3482" i="2"/>
  <c r="P3575" i="2"/>
  <c r="E2925" i="2"/>
  <c r="W3497" i="2"/>
  <c r="F3514" i="2"/>
  <c r="L3538" i="2"/>
  <c r="S3379" i="2"/>
  <c r="K3404" i="2"/>
  <c r="P3467" i="2"/>
  <c r="H3361" i="2"/>
  <c r="I3341" i="2"/>
  <c r="U3388" i="2"/>
  <c r="O3621" i="2"/>
  <c r="T3597" i="2"/>
  <c r="Q3494" i="2"/>
  <c r="K3503" i="2"/>
  <c r="W3597" i="2"/>
  <c r="H3450" i="2"/>
  <c r="U3624" i="2"/>
  <c r="I3342" i="2"/>
  <c r="L3205" i="2"/>
  <c r="L3461" i="2"/>
  <c r="D3351" i="2"/>
  <c r="Q3550" i="2"/>
  <c r="G3034" i="2"/>
  <c r="L3295" i="2"/>
  <c r="I3613" i="2"/>
  <c r="V3597" i="2"/>
  <c r="Q3437" i="2"/>
  <c r="R3576" i="2"/>
  <c r="E3466" i="2"/>
  <c r="I3482" i="2"/>
  <c r="P3365" i="2"/>
  <c r="C3298" i="2"/>
  <c r="K3419" i="2"/>
  <c r="W3334" i="2"/>
  <c r="C3542" i="2"/>
  <c r="G3577" i="2"/>
  <c r="W3502" i="2"/>
  <c r="R3486" i="2"/>
  <c r="J3401" i="2"/>
  <c r="C3538" i="2"/>
  <c r="W3277" i="2"/>
  <c r="V3588" i="2"/>
  <c r="G3411" i="2"/>
  <c r="M3548" i="2"/>
  <c r="U3272" i="2"/>
  <c r="M3578" i="2"/>
  <c r="O3464" i="2"/>
  <c r="L3601" i="2"/>
  <c r="T3548" i="2"/>
  <c r="F3577" i="2"/>
  <c r="I3580" i="2"/>
  <c r="R3623" i="2"/>
  <c r="Q3501" i="2"/>
  <c r="L3614" i="2"/>
  <c r="L3616" i="2"/>
  <c r="N3316" i="2"/>
  <c r="W3032" i="2"/>
  <c r="S3595" i="2"/>
  <c r="D3557" i="2"/>
  <c r="I3532" i="2"/>
  <c r="P3568" i="2"/>
  <c r="C3537" i="2"/>
  <c r="Q3410" i="2"/>
  <c r="I3610" i="2"/>
  <c r="U3532" i="2"/>
  <c r="L3356" i="2"/>
  <c r="G3561" i="2"/>
  <c r="P3612" i="2"/>
  <c r="L3551" i="2"/>
  <c r="G3303" i="2"/>
  <c r="O3479" i="2"/>
  <c r="N3513" i="2"/>
  <c r="O3510" i="2"/>
  <c r="J3453" i="2"/>
  <c r="H3623" i="2"/>
  <c r="U3472" i="2"/>
  <c r="L3431" i="2"/>
  <c r="N3570" i="2"/>
  <c r="F3596" i="2"/>
  <c r="V3567" i="2"/>
  <c r="F3600" i="2"/>
  <c r="S3333" i="2"/>
  <c r="U3411" i="2"/>
  <c r="R3575" i="2"/>
  <c r="Q3544" i="2"/>
  <c r="J3592" i="2"/>
  <c r="P3627" i="2"/>
  <c r="M3496" i="2"/>
  <c r="H3506" i="2"/>
  <c r="V3518" i="2"/>
  <c r="M3523" i="2"/>
  <c r="L3615" i="2"/>
  <c r="U3592" i="2"/>
  <c r="H3137" i="2"/>
  <c r="Q3545" i="2"/>
  <c r="O3291" i="2"/>
  <c r="L2622" i="2"/>
  <c r="D3359" i="2"/>
  <c r="P3299" i="2"/>
  <c r="F3489" i="2"/>
  <c r="V3313" i="2"/>
  <c r="O3491" i="2"/>
  <c r="O3629" i="2"/>
  <c r="J3590" i="2"/>
  <c r="M3446" i="2"/>
  <c r="L3388" i="2"/>
  <c r="M3287" i="2"/>
  <c r="M3579" i="2"/>
  <c r="W3526" i="2"/>
  <c r="D3435" i="2"/>
  <c r="R3389" i="2"/>
  <c r="Q3133" i="2"/>
  <c r="G3594" i="2"/>
  <c r="G3349" i="2"/>
  <c r="C3225" i="2"/>
  <c r="D2882" i="2"/>
  <c r="D3318" i="2"/>
  <c r="Q3039" i="2"/>
  <c r="T3408" i="2"/>
  <c r="K3085" i="2"/>
  <c r="D3629" i="2"/>
  <c r="R3448" i="2"/>
  <c r="E3362" i="2"/>
  <c r="U3598" i="2"/>
  <c r="W3566" i="2"/>
  <c r="P3178" i="2"/>
  <c r="P3447" i="2"/>
  <c r="R3467" i="2"/>
  <c r="R3257" i="2"/>
  <c r="V3454" i="2"/>
  <c r="L3587" i="2"/>
  <c r="K3255" i="2"/>
  <c r="J3421" i="2"/>
  <c r="K3267" i="2"/>
  <c r="C3561" i="2"/>
  <c r="K3588" i="2"/>
  <c r="J3135" i="2"/>
  <c r="O3442" i="2"/>
  <c r="K3581" i="2"/>
  <c r="H3621" i="2"/>
  <c r="L3625" i="2"/>
  <c r="N3298" i="2"/>
  <c r="N3600" i="2"/>
  <c r="I3583" i="2"/>
  <c r="C3512" i="2"/>
  <c r="T3499" i="2"/>
  <c r="V3092" i="2"/>
  <c r="M3620" i="2"/>
  <c r="F3480" i="2"/>
  <c r="U3588" i="2"/>
  <c r="D3461" i="2"/>
  <c r="M3463" i="2"/>
  <c r="P3515" i="2"/>
  <c r="I3444" i="2"/>
  <c r="H3626" i="2"/>
  <c r="V3542" i="2"/>
  <c r="W3341" i="2"/>
  <c r="Q3564" i="2"/>
  <c r="P3394" i="2"/>
  <c r="J3608" i="2"/>
  <c r="M3113" i="2"/>
  <c r="L3602" i="2"/>
  <c r="V3573" i="2"/>
  <c r="D3254" i="2"/>
  <c r="V3496" i="2"/>
  <c r="L3429" i="2"/>
  <c r="Q3566" i="2"/>
  <c r="U3537" i="2"/>
  <c r="M3401" i="2"/>
  <c r="V3584" i="2"/>
  <c r="F3307" i="2"/>
  <c r="M3335" i="2"/>
  <c r="V3333" i="2"/>
  <c r="N3266" i="2"/>
  <c r="C3414" i="2"/>
  <c r="E3619" i="2"/>
  <c r="I3552" i="2"/>
  <c r="D3524" i="2"/>
  <c r="E3499" i="2"/>
  <c r="K3133" i="2"/>
  <c r="C3309" i="2"/>
  <c r="C3130" i="2"/>
  <c r="H3290" i="2"/>
  <c r="G3428" i="2"/>
  <c r="N3090" i="2"/>
  <c r="J3132" i="2"/>
  <c r="V3595" i="2"/>
  <c r="Q3568" i="2"/>
  <c r="G3175" i="2"/>
  <c r="G3328" i="2"/>
  <c r="M2964" i="2"/>
  <c r="W3303" i="2"/>
  <c r="M3377" i="2"/>
  <c r="N3529" i="2"/>
  <c r="E3544" i="2"/>
  <c r="F3401" i="2"/>
  <c r="S3586" i="2"/>
  <c r="R3536" i="2"/>
  <c r="V3509" i="2"/>
  <c r="H3497" i="2"/>
  <c r="C3311" i="2"/>
  <c r="R3535" i="2"/>
  <c r="F3488" i="2"/>
  <c r="E3553" i="2"/>
  <c r="F3579" i="2"/>
  <c r="K3408" i="2"/>
  <c r="L3333" i="2"/>
  <c r="V3307" i="2"/>
  <c r="S3569" i="2"/>
  <c r="C3075" i="2"/>
  <c r="C3446" i="2"/>
  <c r="E3567" i="2"/>
  <c r="R3019" i="2"/>
  <c r="U3625" i="2"/>
  <c r="I3565" i="2"/>
  <c r="H3528" i="2"/>
  <c r="F3513" i="2"/>
  <c r="V3555" i="2"/>
  <c r="O3224" i="2"/>
  <c r="C3474" i="2"/>
  <c r="U3416" i="2"/>
  <c r="L3531" i="2"/>
  <c r="C3499" i="2"/>
  <c r="K3391" i="2"/>
  <c r="U3606" i="2"/>
  <c r="I3475" i="2"/>
  <c r="K3504" i="2"/>
  <c r="E3488" i="2"/>
  <c r="H3388" i="2"/>
  <c r="T3546" i="2"/>
  <c r="F3396" i="2"/>
  <c r="T3205" i="2"/>
  <c r="W3437" i="2"/>
  <c r="V3512" i="2"/>
  <c r="M3618" i="2"/>
  <c r="U3596" i="2"/>
  <c r="L3450" i="2"/>
  <c r="F3209" i="2"/>
  <c r="F3004" i="2"/>
  <c r="I3425" i="2"/>
  <c r="U3488" i="2"/>
  <c r="W3617" i="2"/>
  <c r="H3602" i="2"/>
  <c r="C3567" i="2"/>
  <c r="E3435" i="2"/>
  <c r="U3327" i="2"/>
  <c r="D3545" i="2"/>
  <c r="K3561" i="2"/>
  <c r="T3300" i="2"/>
  <c r="M3420" i="2"/>
  <c r="M3368" i="2"/>
  <c r="U3234" i="2"/>
  <c r="F3047" i="2"/>
  <c r="O3551" i="2"/>
  <c r="U3572" i="2"/>
  <c r="P3372" i="2"/>
  <c r="U3468" i="2"/>
  <c r="W3595" i="2"/>
  <c r="R3444" i="2"/>
  <c r="I3299" i="2"/>
  <c r="U3581" i="2"/>
  <c r="L3590" i="2"/>
  <c r="U3406" i="2"/>
  <c r="D3533" i="2"/>
  <c r="G3381" i="2"/>
  <c r="V3284" i="2"/>
  <c r="I3587" i="2"/>
  <c r="L3518" i="2"/>
  <c r="V2975" i="2"/>
  <c r="C3147" i="2"/>
  <c r="D3141" i="2"/>
  <c r="H3335" i="2"/>
  <c r="N3605" i="2"/>
  <c r="H3360" i="2"/>
  <c r="L3595" i="2"/>
  <c r="Q3325" i="2"/>
  <c r="I3502" i="2"/>
  <c r="U3578" i="2"/>
  <c r="W3082" i="2"/>
  <c r="D3529" i="2"/>
  <c r="G3567" i="2"/>
  <c r="T3436" i="2"/>
  <c r="O3579" i="2"/>
  <c r="Q3571" i="2"/>
  <c r="I3544" i="2"/>
  <c r="N3591" i="2"/>
  <c r="R3582" i="2"/>
  <c r="V3261" i="2"/>
  <c r="N3604" i="2"/>
  <c r="G3534" i="2"/>
  <c r="D3453" i="2"/>
  <c r="E3609" i="2"/>
  <c r="L3582" i="2"/>
  <c r="R3439" i="2"/>
  <c r="E3452" i="2"/>
  <c r="M3374" i="2"/>
  <c r="Q3590" i="2"/>
  <c r="C3623" i="2"/>
  <c r="F3561" i="2"/>
  <c r="D3380" i="2"/>
  <c r="N3433" i="2"/>
  <c r="Q3426" i="2"/>
  <c r="J3549" i="2"/>
  <c r="Q3589" i="2"/>
  <c r="J3480" i="2"/>
  <c r="U3450" i="2"/>
  <c r="V3042" i="2"/>
  <c r="W3498" i="2"/>
  <c r="F3587" i="2"/>
  <c r="E3490" i="2"/>
  <c r="U3484" i="2"/>
  <c r="F3546" i="2"/>
  <c r="S3612" i="2"/>
  <c r="G3573" i="2"/>
  <c r="E3604" i="2"/>
  <c r="T3175" i="2"/>
  <c r="H3507" i="2"/>
  <c r="G3616" i="2"/>
  <c r="D3397" i="2"/>
  <c r="L3329" i="2"/>
  <c r="D3598" i="2"/>
  <c r="I3570" i="2"/>
  <c r="H3362" i="2"/>
  <c r="R3268" i="2"/>
  <c r="S3153" i="2"/>
  <c r="U3273" i="2"/>
  <c r="P3230" i="2"/>
  <c r="S3531" i="2"/>
  <c r="H3517" i="2"/>
  <c r="L3428" i="2"/>
  <c r="Q3508" i="2"/>
  <c r="E3509" i="2"/>
  <c r="D3612" i="2"/>
  <c r="N3368" i="2"/>
  <c r="O3417" i="2"/>
  <c r="G3599" i="2"/>
  <c r="Q3493" i="2"/>
  <c r="S3457" i="2"/>
  <c r="O3402" i="2"/>
  <c r="I3314" i="2"/>
  <c r="H3556" i="2"/>
  <c r="F3365" i="2"/>
  <c r="E3594" i="2"/>
  <c r="V3477" i="2"/>
  <c r="M3270" i="2"/>
  <c r="F3506" i="2"/>
  <c r="I3372" i="2"/>
  <c r="F3529" i="2"/>
  <c r="H3628" i="2"/>
  <c r="K3037" i="2"/>
  <c r="G3152" i="2"/>
  <c r="P3504" i="2"/>
  <c r="G3063" i="2"/>
  <c r="C3476" i="2"/>
  <c r="J3472" i="2"/>
  <c r="U3622" i="2"/>
  <c r="K3317" i="2"/>
  <c r="H3300" i="2"/>
  <c r="Q3125" i="2"/>
  <c r="W3105" i="2"/>
  <c r="R3604" i="2"/>
  <c r="L3064" i="2"/>
  <c r="N2914" i="2"/>
  <c r="C3151" i="2"/>
  <c r="C3621" i="2"/>
  <c r="T3411" i="2"/>
  <c r="V3611" i="2"/>
  <c r="S3596" i="2"/>
  <c r="R3319" i="2"/>
  <c r="L3544" i="2"/>
  <c r="T3525" i="2"/>
  <c r="I3557" i="2"/>
  <c r="T3441" i="2"/>
  <c r="W3570" i="2"/>
  <c r="T3573" i="2"/>
  <c r="J3623" i="2"/>
  <c r="N3523" i="2"/>
  <c r="D3542" i="2"/>
  <c r="C3588" i="2"/>
  <c r="T3402" i="2"/>
  <c r="J3600" i="2"/>
  <c r="R3375" i="2"/>
  <c r="Q3326" i="2"/>
  <c r="P3219" i="2"/>
  <c r="C3459" i="2"/>
  <c r="O3252" i="2"/>
  <c r="K3544" i="2"/>
  <c r="T3150" i="2"/>
  <c r="E3319" i="2"/>
  <c r="U3623" i="2"/>
  <c r="O3585" i="2"/>
  <c r="L3530" i="2"/>
  <c r="R3621" i="2"/>
  <c r="L3437" i="2"/>
  <c r="O3499" i="2"/>
  <c r="G3505" i="2"/>
  <c r="C3590" i="2"/>
  <c r="U3616" i="2"/>
  <c r="V3301" i="2"/>
  <c r="P3422" i="2"/>
  <c r="D3410" i="2"/>
  <c r="G3206" i="2"/>
  <c r="K3178" i="2"/>
  <c r="I3327" i="2"/>
  <c r="T3384" i="2"/>
  <c r="F3590" i="2"/>
  <c r="J3583" i="2"/>
  <c r="W3551" i="2"/>
  <c r="M3524" i="2"/>
  <c r="F3243" i="2"/>
  <c r="J3059" i="2"/>
  <c r="F3095" i="2"/>
  <c r="M3567" i="2"/>
  <c r="K3521" i="2"/>
  <c r="R3540" i="2"/>
  <c r="O3404" i="2"/>
  <c r="N3504" i="2"/>
  <c r="R3299" i="2"/>
  <c r="K2968" i="2"/>
  <c r="J3294" i="2"/>
  <c r="W3077" i="2"/>
  <c r="G3045" i="2"/>
  <c r="N3130" i="2"/>
  <c r="T3417" i="2"/>
  <c r="P3437" i="2"/>
  <c r="R3493" i="2"/>
  <c r="G3626" i="2"/>
  <c r="L3454" i="2"/>
  <c r="W3558" i="2"/>
  <c r="W3433" i="2"/>
  <c r="M3315" i="2"/>
  <c r="U3352" i="2"/>
  <c r="V3488" i="2"/>
  <c r="P3267" i="2"/>
  <c r="J3438" i="2"/>
  <c r="T3626" i="2"/>
  <c r="T3500" i="2"/>
  <c r="D3450" i="2"/>
  <c r="M3360" i="2"/>
  <c r="C3583" i="2"/>
  <c r="Q3246" i="2"/>
  <c r="O3485" i="2"/>
  <c r="L3220" i="2"/>
  <c r="M3225" i="2"/>
  <c r="M3317" i="2"/>
  <c r="O3581" i="2"/>
  <c r="I3370" i="2"/>
  <c r="D3610" i="2"/>
  <c r="K3466" i="2"/>
  <c r="M3402" i="2"/>
  <c r="E3039" i="2"/>
  <c r="H3569" i="2"/>
  <c r="P3594" i="2"/>
  <c r="M3532" i="2"/>
  <c r="V3505" i="2"/>
  <c r="C3608" i="2"/>
  <c r="U3619" i="2"/>
  <c r="S3515" i="2"/>
  <c r="J3344" i="2"/>
  <c r="S3495" i="2"/>
  <c r="H3618" i="2"/>
  <c r="P3563" i="2"/>
  <c r="D3589" i="2"/>
  <c r="S3542" i="2"/>
  <c r="H3487" i="2"/>
  <c r="Q3525" i="2"/>
  <c r="V3440" i="2"/>
  <c r="Q3316" i="2"/>
  <c r="W3538" i="2"/>
  <c r="Q3513" i="2"/>
  <c r="U3575" i="2"/>
  <c r="I3530" i="2"/>
  <c r="C3447" i="2"/>
  <c r="U3497" i="2"/>
  <c r="W3294" i="2"/>
  <c r="F3511" i="2"/>
  <c r="G3398" i="2"/>
  <c r="F3256" i="2"/>
  <c r="F3601" i="2"/>
  <c r="H3523" i="2"/>
  <c r="U3501" i="2"/>
  <c r="M3525" i="2"/>
  <c r="J3295" i="2"/>
  <c r="P3613" i="2"/>
  <c r="P3256" i="2"/>
  <c r="D3454" i="2"/>
  <c r="O3412" i="2"/>
  <c r="V3560" i="2"/>
  <c r="W3616" i="2"/>
  <c r="G3310" i="2"/>
  <c r="S3568" i="2"/>
  <c r="T3557" i="2"/>
  <c r="O3587" i="2"/>
  <c r="D3490" i="2"/>
  <c r="H3243" i="2"/>
  <c r="D3603" i="2"/>
  <c r="T3342" i="2"/>
  <c r="E3353" i="2"/>
  <c r="F3384" i="2"/>
  <c r="L3447" i="2"/>
  <c r="K3314" i="2"/>
  <c r="W3463" i="2"/>
  <c r="U3017" i="2"/>
  <c r="W3575" i="2"/>
  <c r="L3236" i="2"/>
  <c r="F3602" i="2"/>
  <c r="Q3071" i="2"/>
  <c r="P3518" i="2"/>
  <c r="J3351" i="2"/>
  <c r="K3602" i="2"/>
  <c r="K3609" i="2"/>
  <c r="Q3284" i="2"/>
  <c r="T3185" i="2"/>
  <c r="R3619" i="2"/>
  <c r="O3477" i="2"/>
  <c r="O3558" i="2"/>
  <c r="D3608" i="2"/>
  <c r="G3293" i="2"/>
  <c r="Q3530" i="2"/>
  <c r="R3301" i="2"/>
  <c r="S3441" i="2"/>
  <c r="O3405" i="2"/>
  <c r="G3178" i="2"/>
  <c r="U3563" i="2"/>
  <c r="C3568" i="2"/>
  <c r="V3419" i="2"/>
  <c r="Q3535" i="2"/>
  <c r="Q3332" i="2"/>
  <c r="E3219" i="2"/>
  <c r="E3336" i="2"/>
  <c r="R3560" i="2"/>
  <c r="N3597" i="2"/>
  <c r="T3629" i="2"/>
  <c r="P3464" i="2"/>
  <c r="M2496" i="2"/>
  <c r="M3627" i="2"/>
  <c r="W3376" i="2"/>
  <c r="D3451" i="2"/>
  <c r="R3485" i="2"/>
  <c r="D3619" i="2"/>
  <c r="F3571" i="2"/>
  <c r="K3315" i="2"/>
  <c r="L3102" i="2"/>
  <c r="C3602" i="2"/>
  <c r="Q3114" i="2"/>
  <c r="W3487" i="2"/>
  <c r="H3441" i="2"/>
  <c r="H3398" i="2"/>
  <c r="L3136" i="2"/>
  <c r="N3488" i="2"/>
  <c r="R3513" i="2"/>
  <c r="U3369" i="2"/>
  <c r="H3383" i="2"/>
  <c r="L3564" i="2"/>
  <c r="E3505" i="2"/>
  <c r="V3568" i="2"/>
  <c r="H3415" i="2"/>
  <c r="O3251" i="2"/>
  <c r="O3597" i="2"/>
  <c r="C3436" i="2"/>
  <c r="L3434" i="2"/>
  <c r="M3392" i="2"/>
  <c r="E3615" i="2"/>
  <c r="D3427" i="2"/>
  <c r="E3406" i="2"/>
  <c r="C3518" i="2"/>
  <c r="F3500" i="2"/>
  <c r="S3208" i="2"/>
  <c r="I3148" i="2"/>
  <c r="R3294" i="2"/>
  <c r="K3538" i="2"/>
  <c r="T3555" i="2"/>
  <c r="R3600" i="2"/>
  <c r="H3473" i="2"/>
  <c r="P3389" i="2"/>
  <c r="O3356" i="2"/>
  <c r="G3535" i="2"/>
  <c r="W3621" i="2"/>
  <c r="W3539" i="2"/>
  <c r="W3319" i="2"/>
  <c r="L3576" i="2"/>
  <c r="S3016" i="2"/>
  <c r="V3484" i="2"/>
  <c r="M3413" i="2"/>
  <c r="G3554" i="2"/>
  <c r="L3217" i="2"/>
  <c r="R3097" i="2"/>
  <c r="M3371" i="2"/>
  <c r="P3477" i="2"/>
  <c r="L3396" i="2"/>
  <c r="I3548" i="2"/>
  <c r="E3570" i="2"/>
  <c r="K3417" i="2"/>
  <c r="W3295" i="2"/>
  <c r="R3565" i="2"/>
  <c r="N3623" i="2"/>
  <c r="J3541" i="2"/>
  <c r="N3025" i="2"/>
  <c r="L3469" i="2"/>
  <c r="P3521" i="2"/>
  <c r="G3497" i="2"/>
  <c r="R3524" i="2"/>
  <c r="S3110" i="2"/>
  <c r="M3403" i="2"/>
  <c r="G3137" i="2"/>
  <c r="E3361" i="2"/>
  <c r="H3505" i="2"/>
  <c r="E3402" i="2"/>
  <c r="T3473" i="2"/>
  <c r="H3346" i="2"/>
  <c r="P3390" i="2"/>
  <c r="G3471" i="2"/>
  <c r="U3471" i="2"/>
  <c r="J3054" i="2"/>
  <c r="U3446" i="2"/>
  <c r="J3575" i="2"/>
  <c r="F3397" i="2"/>
  <c r="E3599" i="2"/>
  <c r="P3617" i="2"/>
  <c r="K3339" i="2"/>
  <c r="O3610" i="2"/>
  <c r="H3431" i="2"/>
  <c r="Q3605" i="2"/>
  <c r="V3619" i="2"/>
  <c r="O3496" i="2"/>
  <c r="K3629" i="2"/>
  <c r="H3629" i="2"/>
  <c r="F3437" i="2"/>
  <c r="T3236" i="2"/>
  <c r="K3264" i="2"/>
  <c r="K3587" i="2"/>
  <c r="D3460" i="2"/>
  <c r="T3576" i="2"/>
  <c r="D3080" i="2"/>
  <c r="H3552" i="2"/>
  <c r="J3587" i="2"/>
  <c r="D3342" i="2"/>
  <c r="C3380" i="2"/>
  <c r="R3613" i="2"/>
  <c r="M3513" i="2"/>
  <c r="N3576" i="2"/>
  <c r="I3624" i="2"/>
  <c r="O3614" i="2"/>
  <c r="L3359" i="2"/>
  <c r="V3473" i="2"/>
  <c r="G3357" i="2"/>
  <c r="O3408" i="2"/>
  <c r="V3565" i="2"/>
  <c r="H3454" i="2"/>
  <c r="E3312" i="2"/>
  <c r="M3591" i="2"/>
  <c r="Q3416" i="2"/>
  <c r="M3475" i="2"/>
  <c r="Q3095" i="2"/>
  <c r="F3522" i="2"/>
  <c r="W3528" i="2"/>
  <c r="G3426" i="2"/>
  <c r="S3508" i="2"/>
  <c r="S3271" i="2"/>
  <c r="Q3515" i="2"/>
  <c r="J3454" i="2"/>
  <c r="M3479" i="2"/>
  <c r="N3573" i="2"/>
  <c r="D3594" i="2"/>
  <c r="H3338" i="2"/>
  <c r="M3610" i="2"/>
  <c r="O3495" i="2"/>
  <c r="L3606" i="2"/>
  <c r="C3368" i="2"/>
  <c r="T3599" i="2"/>
  <c r="O2801" i="2"/>
  <c r="J3417" i="2"/>
  <c r="Q3347" i="2"/>
  <c r="S3585" i="2"/>
  <c r="M3451" i="2"/>
  <c r="P3337" i="2"/>
  <c r="D3274" i="2"/>
  <c r="R3574" i="2"/>
  <c r="V3596" i="2"/>
  <c r="L3446" i="2"/>
  <c r="D3607" i="2"/>
  <c r="L3546" i="2"/>
  <c r="I3442" i="2"/>
  <c r="C3344" i="2"/>
  <c r="W3357" i="2"/>
  <c r="T3531" i="2"/>
  <c r="I3547" i="2"/>
  <c r="R3505" i="2"/>
  <c r="Q3414" i="2"/>
  <c r="M3378" i="2"/>
  <c r="F3523" i="2"/>
  <c r="P3535" i="2"/>
  <c r="R3395" i="2"/>
  <c r="K3484" i="2"/>
  <c r="L3480" i="2"/>
  <c r="Q3318" i="2"/>
  <c r="D3314" i="2"/>
  <c r="M3404" i="2"/>
  <c r="F3423" i="2"/>
  <c r="U3500" i="2"/>
  <c r="N3625" i="2"/>
  <c r="M3154" i="2"/>
  <c r="F3188" i="2"/>
  <c r="U3530" i="2"/>
  <c r="V3613" i="2"/>
  <c r="D3599" i="2"/>
  <c r="I3472" i="2"/>
  <c r="O3344" i="2"/>
  <c r="H3462" i="2"/>
  <c r="K3486" i="2"/>
  <c r="S3546" i="2"/>
  <c r="M3604" i="2"/>
  <c r="U3556" i="2"/>
  <c r="M3555" i="2"/>
  <c r="P3248" i="2"/>
  <c r="T3549" i="2"/>
  <c r="L3417" i="2"/>
  <c r="W3456" i="2"/>
  <c r="M3369" i="2"/>
  <c r="W3335" i="2"/>
  <c r="M3274" i="2"/>
  <c r="V3582" i="2"/>
  <c r="P3619" i="2"/>
  <c r="R3530" i="2"/>
  <c r="T3609" i="2"/>
  <c r="R3362" i="2"/>
  <c r="R3551" i="2"/>
  <c r="V3562" i="2"/>
  <c r="R3472" i="2"/>
  <c r="H3495" i="2"/>
  <c r="L3539" i="2"/>
  <c r="U3569" i="2"/>
  <c r="H3563" i="2"/>
  <c r="D3613" i="2"/>
  <c r="Q3469" i="2"/>
  <c r="P3428" i="2"/>
  <c r="E3341" i="2"/>
  <c r="V3373" i="2"/>
  <c r="M3573" i="2"/>
  <c r="G3578" i="2"/>
  <c r="E3236" i="2"/>
  <c r="K3275" i="2"/>
  <c r="P3262" i="2"/>
  <c r="R3160" i="2"/>
  <c r="F3512" i="2"/>
  <c r="M3478" i="2"/>
  <c r="M3494" i="2"/>
  <c r="G3566" i="2"/>
  <c r="U3415" i="2"/>
  <c r="Q3407" i="2"/>
  <c r="J3483" i="2"/>
  <c r="J3442" i="2"/>
  <c r="S3165" i="2"/>
  <c r="E3412" i="2"/>
  <c r="J3593" i="2"/>
  <c r="G3598" i="2"/>
  <c r="Q3404" i="2"/>
  <c r="U3445" i="2"/>
  <c r="K3146" i="2"/>
  <c r="I3618" i="2"/>
  <c r="D3120" i="2"/>
  <c r="V3414" i="2"/>
  <c r="W3229" i="2"/>
  <c r="O3493" i="2"/>
  <c r="C3443" i="2"/>
  <c r="C3375" i="2"/>
  <c r="D3051" i="2"/>
  <c r="J3552" i="2"/>
  <c r="T3158" i="2"/>
  <c r="U3546" i="2"/>
  <c r="C3289" i="2"/>
  <c r="T3594" i="2"/>
  <c r="K3430" i="2"/>
  <c r="F3609" i="2"/>
  <c r="S3283" i="2"/>
  <c r="K3449" i="2"/>
  <c r="F2936" i="2"/>
  <c r="D3505" i="2"/>
  <c r="E3479" i="2"/>
  <c r="F3582" i="2"/>
  <c r="V2961" i="2"/>
  <c r="J2876" i="2"/>
  <c r="K3238" i="2"/>
  <c r="N3609" i="2"/>
  <c r="G3242" i="2"/>
  <c r="L3599" i="2"/>
  <c r="V3368" i="2"/>
  <c r="P3623" i="2"/>
  <c r="E3606" i="2"/>
  <c r="O3570" i="2"/>
  <c r="I3412" i="2"/>
  <c r="H3599" i="2"/>
  <c r="J3625" i="2"/>
  <c r="C3407" i="2"/>
  <c r="V3184" i="2"/>
  <c r="J3375" i="2"/>
  <c r="H3564" i="2"/>
  <c r="N3626" i="2"/>
  <c r="W3543" i="2"/>
  <c r="L3569" i="2"/>
  <c r="R3586" i="2"/>
  <c r="E3077" i="2"/>
  <c r="V3489" i="2"/>
  <c r="P3460" i="2"/>
  <c r="T3569" i="2"/>
  <c r="E3565" i="2"/>
  <c r="U3523" i="2"/>
  <c r="D3475" i="2"/>
  <c r="W3512" i="2"/>
  <c r="N2994" i="2"/>
  <c r="N3478" i="2"/>
  <c r="C3354" i="2"/>
  <c r="D3368" i="2"/>
  <c r="D3560" i="2"/>
  <c r="O3484" i="2"/>
  <c r="K3025" i="2"/>
  <c r="M3628" i="2"/>
  <c r="K3370" i="2"/>
  <c r="L3486" i="2"/>
  <c r="S3572" i="2"/>
  <c r="J3614" i="2"/>
  <c r="C3348" i="2"/>
  <c r="C3493" i="2"/>
  <c r="W3473" i="2"/>
  <c r="T3132" i="2"/>
  <c r="W3565" i="2"/>
  <c r="H3609" i="2"/>
  <c r="L3470" i="2"/>
  <c r="N3612" i="2"/>
  <c r="O3514" i="2"/>
  <c r="C3492" i="2"/>
  <c r="S3465" i="2"/>
  <c r="F3528" i="2"/>
  <c r="N3401" i="2"/>
  <c r="R3589" i="2"/>
  <c r="H3490" i="2"/>
  <c r="E3580" i="2"/>
  <c r="G3406" i="2"/>
  <c r="P3423" i="2"/>
  <c r="Q3620" i="2"/>
  <c r="S3356" i="2"/>
  <c r="R3498" i="2"/>
  <c r="K3520" i="2"/>
  <c r="F3184" i="2"/>
  <c r="U3223" i="2"/>
  <c r="O3607" i="2"/>
  <c r="M3498" i="2"/>
  <c r="F3466" i="2"/>
  <c r="W3278" i="2"/>
  <c r="V3534" i="2"/>
  <c r="I3337" i="2"/>
  <c r="J3517" i="2"/>
  <c r="R3339" i="2"/>
  <c r="J3160" i="2"/>
  <c r="M3605" i="2"/>
  <c r="L2872" i="2"/>
  <c r="O3503" i="2"/>
  <c r="W3403" i="2"/>
  <c r="J3322" i="2"/>
  <c r="T3023" i="2"/>
  <c r="P3526" i="2"/>
  <c r="N3431" i="2"/>
  <c r="G3469" i="2"/>
  <c r="J3465" i="2"/>
  <c r="W3527" i="2"/>
  <c r="M3619" i="2"/>
  <c r="T3578" i="2"/>
  <c r="M3546" i="2"/>
  <c r="E3315" i="2"/>
  <c r="Q3208" i="2"/>
  <c r="G3013" i="2"/>
  <c r="E3421" i="2"/>
  <c r="F3190" i="2"/>
  <c r="P3191" i="2"/>
  <c r="U3148" i="2"/>
  <c r="I3289" i="2"/>
  <c r="Q3422" i="2"/>
  <c r="C3417" i="2"/>
  <c r="T3274" i="2"/>
  <c r="H3379" i="2"/>
  <c r="R3435" i="2"/>
  <c r="N3397" i="2"/>
  <c r="W3328" i="2"/>
  <c r="R3526" i="2"/>
  <c r="F3462" i="2"/>
  <c r="P3453" i="2"/>
  <c r="M3530" i="2"/>
  <c r="S3355" i="2"/>
  <c r="H2934" i="2"/>
  <c r="F2808" i="2"/>
  <c r="U3460" i="2"/>
  <c r="E3323" i="2"/>
  <c r="C3454" i="2"/>
  <c r="J3425" i="2"/>
  <c r="R3484" i="2"/>
  <c r="O2584" i="2"/>
  <c r="S3059" i="2"/>
  <c r="E3152" i="2"/>
  <c r="N3334" i="2"/>
  <c r="D3412" i="2"/>
  <c r="K3455" i="2"/>
  <c r="R3554" i="2"/>
  <c r="D3546" i="2"/>
  <c r="U3201" i="2"/>
  <c r="J3381" i="2"/>
  <c r="V3604" i="2"/>
  <c r="G3569" i="2"/>
  <c r="K3458" i="2"/>
  <c r="I3381" i="2"/>
  <c r="R3594" i="2"/>
  <c r="C3617" i="2"/>
  <c r="J3565" i="2"/>
  <c r="G3463" i="2"/>
  <c r="K3532" i="2"/>
  <c r="O3376" i="2"/>
  <c r="P3603" i="2"/>
  <c r="I3607" i="2"/>
  <c r="R3414" i="2"/>
  <c r="S3472" i="2"/>
  <c r="W3365" i="2"/>
  <c r="S3580" i="2"/>
  <c r="K2992" i="2"/>
  <c r="N3552" i="2"/>
  <c r="D2927" i="2"/>
  <c r="C3393" i="2"/>
  <c r="U3597" i="2"/>
  <c r="N3494" i="2"/>
  <c r="I3504" i="2"/>
  <c r="V3157" i="2"/>
  <c r="W3202" i="2"/>
  <c r="J3036" i="2"/>
  <c r="I3574" i="2"/>
  <c r="J3309" i="2"/>
  <c r="W3381" i="2"/>
  <c r="W3563" i="2"/>
  <c r="K3528" i="2"/>
  <c r="F3473" i="2"/>
  <c r="N3442" i="2"/>
  <c r="C3301" i="2"/>
  <c r="V2856" i="2"/>
  <c r="N3276" i="2"/>
  <c r="E3067" i="2"/>
  <c r="Q3537" i="2"/>
  <c r="I3015" i="2"/>
  <c r="W3338" i="2"/>
  <c r="P3499" i="2"/>
  <c r="E3613" i="2"/>
  <c r="D3156" i="2"/>
  <c r="O3262" i="2"/>
  <c r="J3369" i="2"/>
  <c r="J3627" i="2"/>
  <c r="N3379" i="2"/>
  <c r="J2953" i="2"/>
  <c r="Q2641" i="2"/>
  <c r="S3610" i="2"/>
  <c r="O3127" i="2"/>
  <c r="V2936" i="2"/>
  <c r="D3302" i="2"/>
  <c r="P3448" i="2"/>
  <c r="W3588" i="2"/>
  <c r="H3433" i="2"/>
  <c r="Q3353" i="2"/>
  <c r="O3520" i="2"/>
  <c r="K3348" i="2"/>
  <c r="N3588" i="2"/>
  <c r="K3623" i="2"/>
  <c r="T3448" i="2"/>
  <c r="R2990" i="2"/>
  <c r="T3581" i="2"/>
  <c r="R3045" i="2"/>
  <c r="J3143" i="2"/>
  <c r="F2331" i="2"/>
  <c r="M3526" i="2"/>
  <c r="E3192" i="2"/>
  <c r="H3587" i="2"/>
  <c r="K3592" i="2"/>
  <c r="E3369" i="2"/>
  <c r="U3522" i="2"/>
  <c r="M3299" i="2"/>
  <c r="N3378" i="2"/>
  <c r="H3186" i="2"/>
  <c r="W3270" i="2"/>
  <c r="E3397" i="2"/>
  <c r="M2843" i="2"/>
  <c r="P3574" i="2"/>
  <c r="C3545" i="2"/>
  <c r="H3597" i="2"/>
  <c r="I3168" i="2"/>
  <c r="Q3599" i="2"/>
  <c r="P3609" i="2"/>
  <c r="U3587" i="2"/>
  <c r="R3548" i="2"/>
  <c r="J3578" i="2"/>
  <c r="Q3563" i="2"/>
  <c r="R3537" i="2"/>
  <c r="E3376" i="2"/>
  <c r="P3407" i="2"/>
  <c r="C3509" i="2"/>
  <c r="P3597" i="2"/>
  <c r="V3264" i="2"/>
  <c r="V3305" i="2"/>
  <c r="R3393" i="2"/>
  <c r="U3574" i="2"/>
  <c r="I3173" i="2"/>
  <c r="P3408" i="2"/>
  <c r="L3581" i="2"/>
  <c r="W3513" i="2"/>
  <c r="M3012" i="2"/>
  <c r="H3562" i="2"/>
  <c r="K3494" i="2"/>
  <c r="E3196" i="2"/>
  <c r="S3146" i="2"/>
  <c r="F3135" i="2"/>
  <c r="M3285" i="2"/>
  <c r="F3231" i="2"/>
  <c r="W3508" i="2"/>
  <c r="D3418" i="2"/>
  <c r="V3411" i="2"/>
  <c r="O2806" i="2"/>
  <c r="P3600" i="2"/>
  <c r="S3291" i="2"/>
  <c r="E3622" i="2"/>
  <c r="Q3502" i="2"/>
  <c r="C3532" i="2"/>
  <c r="U3601" i="2"/>
  <c r="P3388" i="2"/>
  <c r="H3359" i="2"/>
  <c r="I3386" i="2"/>
  <c r="H3389" i="2"/>
  <c r="S3491" i="2"/>
  <c r="N3540" i="2"/>
  <c r="T3387" i="2"/>
  <c r="W3562" i="2"/>
  <c r="H3438" i="2"/>
  <c r="V3389" i="2"/>
  <c r="R3534" i="2"/>
  <c r="L3399" i="2"/>
  <c r="N3325" i="2"/>
  <c r="H3294" i="2"/>
  <c r="S3452" i="2"/>
  <c r="O2641" i="2"/>
  <c r="J3038" i="2"/>
  <c r="I3360" i="2"/>
  <c r="V3415" i="2"/>
  <c r="L3534" i="2"/>
  <c r="V3423" i="2"/>
  <c r="M3405" i="2"/>
  <c r="S3364" i="2"/>
  <c r="C3016" i="2"/>
  <c r="F3510" i="2"/>
  <c r="I3365" i="2"/>
  <c r="L3413" i="2"/>
  <c r="J2885" i="2"/>
  <c r="U3236" i="2"/>
  <c r="P3174" i="2"/>
  <c r="T3582" i="2"/>
  <c r="C3599" i="2"/>
  <c r="V3624" i="2"/>
  <c r="P3462" i="2"/>
  <c r="I2960" i="2"/>
  <c r="F3357" i="2"/>
  <c r="N3227" i="2"/>
  <c r="M3599" i="2"/>
  <c r="O2939" i="2"/>
  <c r="R3595" i="2"/>
  <c r="D3343" i="2"/>
  <c r="I3272" i="2"/>
  <c r="T3177" i="2"/>
  <c r="N3500" i="2"/>
  <c r="O3294" i="2"/>
  <c r="R3328" i="2"/>
  <c r="L3608" i="2"/>
  <c r="Q3504" i="2"/>
  <c r="H3395" i="2"/>
  <c r="T2880" i="2"/>
  <c r="T3306" i="2"/>
  <c r="J3463" i="2"/>
  <c r="C3627" i="2"/>
  <c r="W3020" i="2"/>
  <c r="K3161" i="2"/>
  <c r="S3523" i="2"/>
  <c r="K3286" i="2"/>
  <c r="P3343" i="2"/>
  <c r="C3611" i="2"/>
  <c r="L3440" i="2"/>
  <c r="M3423" i="2"/>
  <c r="M3468" i="2"/>
  <c r="M3623" i="2"/>
  <c r="N3476" i="2"/>
  <c r="G3541" i="2"/>
  <c r="H3574" i="2"/>
  <c r="P3312" i="2"/>
  <c r="L3401" i="2"/>
  <c r="J3594" i="2"/>
  <c r="V3385" i="2"/>
  <c r="L3422" i="2"/>
  <c r="N1919" i="2"/>
  <c r="M3145" i="2"/>
  <c r="K3331" i="2"/>
  <c r="T3491" i="2"/>
  <c r="R3615" i="2"/>
  <c r="C3620" i="2"/>
  <c r="L3507" i="2"/>
  <c r="I3603" i="2"/>
  <c r="D3472" i="2"/>
  <c r="K3579" i="2"/>
  <c r="C2911" i="2"/>
  <c r="S3566" i="2"/>
  <c r="L3550" i="2"/>
  <c r="T3628" i="2"/>
  <c r="L3382" i="2"/>
  <c r="F3499" i="2"/>
  <c r="C3273" i="2"/>
  <c r="N3628" i="2"/>
  <c r="G3400" i="2"/>
  <c r="M3543" i="2"/>
  <c r="C2974" i="2"/>
  <c r="C3432" i="2"/>
  <c r="C3249" i="2"/>
  <c r="K3596" i="2"/>
  <c r="C3412" i="2"/>
  <c r="C3322" i="2"/>
  <c r="J3426" i="2"/>
  <c r="K3239" i="2"/>
  <c r="U3621" i="2"/>
  <c r="V3232" i="2"/>
  <c r="W3218" i="2"/>
  <c r="F3216" i="2"/>
  <c r="W3490" i="2"/>
  <c r="L3624" i="2"/>
  <c r="V3258" i="2"/>
  <c r="O3166" i="2"/>
  <c r="Q3159" i="2"/>
  <c r="T3446" i="2"/>
  <c r="R3367" i="2"/>
  <c r="T3112" i="2"/>
  <c r="R3423" i="2"/>
  <c r="G2350" i="2"/>
  <c r="J3602" i="2"/>
  <c r="I3515" i="2"/>
  <c r="S3627" i="2"/>
  <c r="C2892" i="2"/>
  <c r="H3336" i="2"/>
  <c r="H3322" i="2"/>
  <c r="O3453" i="2"/>
  <c r="U3547" i="2"/>
  <c r="Q2970" i="2"/>
  <c r="G3105" i="2"/>
  <c r="P3581" i="2"/>
  <c r="O3457" i="2"/>
  <c r="N3413" i="2"/>
  <c r="N3282" i="2"/>
  <c r="U2998" i="2"/>
  <c r="D3008" i="2"/>
  <c r="L3627" i="2"/>
  <c r="U3515" i="2"/>
  <c r="G3525" i="2"/>
  <c r="W3404" i="2"/>
  <c r="F3290" i="2"/>
  <c r="T2885" i="2"/>
  <c r="K3600" i="2"/>
  <c r="P3385" i="2"/>
  <c r="P3569" i="2"/>
  <c r="U3247" i="2"/>
  <c r="M3060" i="2"/>
  <c r="P3366" i="2"/>
  <c r="T3302" i="2"/>
  <c r="R3039" i="2"/>
  <c r="L3334" i="2"/>
  <c r="P3445" i="2"/>
  <c r="J3519" i="2"/>
  <c r="P3466" i="2"/>
  <c r="N3124" i="2"/>
  <c r="R3253" i="2"/>
  <c r="K3593" i="2"/>
  <c r="P3352" i="2"/>
  <c r="R3614" i="2"/>
  <c r="P3536" i="2"/>
  <c r="Q3138" i="2"/>
  <c r="T3611" i="2"/>
  <c r="P3578" i="2"/>
  <c r="D3292" i="2"/>
  <c r="P3458" i="2"/>
  <c r="T3623" i="2"/>
  <c r="V3227" i="2"/>
  <c r="W3474" i="2"/>
  <c r="E3484" i="2"/>
  <c r="Q3289" i="2"/>
  <c r="V3390" i="2"/>
  <c r="W3273" i="2"/>
  <c r="G3363" i="2"/>
  <c r="R3522" i="2"/>
  <c r="U3320" i="2"/>
  <c r="R3451" i="2"/>
  <c r="K2954" i="2"/>
  <c r="D2963" i="2"/>
  <c r="Q3298" i="2"/>
  <c r="N3565" i="2"/>
  <c r="R2911" i="2"/>
  <c r="R3030" i="2"/>
  <c r="N3313" i="2"/>
  <c r="W3488" i="2"/>
  <c r="M3422" i="2"/>
  <c r="P2870" i="2"/>
  <c r="G3410" i="2"/>
  <c r="E3415" i="2"/>
  <c r="T3469" i="2"/>
  <c r="P3142" i="2"/>
  <c r="H3453" i="2"/>
  <c r="P3084" i="2"/>
  <c r="E3374" i="2"/>
  <c r="I3403" i="2"/>
  <c r="L3153" i="2"/>
  <c r="V3428" i="2"/>
  <c r="S3479" i="2"/>
  <c r="G3120" i="2"/>
  <c r="E3614" i="2"/>
  <c r="F3046" i="2"/>
  <c r="G3494" i="2"/>
  <c r="G3610" i="2"/>
  <c r="V3455" i="2"/>
  <c r="J3621" i="2"/>
  <c r="V3150" i="2"/>
  <c r="J3190" i="2"/>
  <c r="Q3505" i="2"/>
  <c r="T3591" i="2"/>
  <c r="J3399" i="2"/>
  <c r="F3550" i="2"/>
  <c r="K3104" i="2"/>
  <c r="Q3547" i="2"/>
  <c r="J3560" i="2"/>
  <c r="G3628" i="2"/>
  <c r="H3521" i="2"/>
  <c r="M3601" i="2"/>
  <c r="F3395" i="2"/>
  <c r="F3007" i="2"/>
  <c r="W3460" i="2"/>
  <c r="W3036" i="2"/>
  <c r="T3233" i="2"/>
  <c r="E3504" i="2"/>
  <c r="P3044" i="2"/>
  <c r="S3475" i="2"/>
  <c r="Q3539" i="2"/>
  <c r="W3547" i="2"/>
  <c r="R3396" i="2"/>
  <c r="U3453" i="2"/>
  <c r="L2996" i="2"/>
  <c r="L3476" i="2"/>
  <c r="P3523" i="2"/>
  <c r="J3479" i="2"/>
  <c r="M3613" i="2"/>
  <c r="L3496" i="2"/>
  <c r="L3483" i="2"/>
  <c r="H3573" i="2"/>
  <c r="Q3593" i="2"/>
  <c r="F3508" i="2"/>
  <c r="G3352" i="2"/>
  <c r="M3182" i="2"/>
  <c r="V3492" i="2"/>
  <c r="P3432" i="2"/>
  <c r="C3625" i="2"/>
  <c r="Q3389" i="2"/>
  <c r="S2994" i="2"/>
  <c r="U3199" i="2"/>
  <c r="V3493" i="2"/>
  <c r="R3622" i="2"/>
  <c r="R3591" i="2"/>
  <c r="T3216" i="2"/>
  <c r="R3060" i="2"/>
  <c r="P2874" i="2"/>
  <c r="G3231" i="2"/>
  <c r="V3600" i="2"/>
  <c r="W3427" i="2"/>
  <c r="K3376" i="2"/>
  <c r="S3403" i="2"/>
  <c r="C3515" i="2"/>
  <c r="D3119" i="2"/>
  <c r="C2788" i="2"/>
  <c r="D3484" i="2"/>
  <c r="U3296" i="2"/>
  <c r="P3542" i="2"/>
  <c r="J3331" i="2"/>
  <c r="S3258" i="2"/>
  <c r="T3614" i="2"/>
  <c r="O3571" i="2"/>
  <c r="W3458" i="2"/>
  <c r="N3347" i="2"/>
  <c r="N3437" i="2"/>
  <c r="F3481" i="2"/>
  <c r="E3408" i="2"/>
  <c r="U3365" i="2"/>
  <c r="Q3336" i="2"/>
  <c r="S3133" i="2"/>
  <c r="K3582" i="2"/>
  <c r="P3605" i="2"/>
  <c r="Q3475" i="2"/>
  <c r="J3262" i="2"/>
  <c r="O3243" i="2"/>
  <c r="T3443" i="2"/>
  <c r="J3518" i="2"/>
  <c r="Q3146" i="2"/>
  <c r="G2812" i="2"/>
  <c r="V3154" i="2"/>
  <c r="L3578" i="2"/>
  <c r="N3502" i="2"/>
  <c r="U3240" i="2"/>
  <c r="M3488" i="2"/>
  <c r="H3493" i="2"/>
  <c r="F3179" i="2"/>
  <c r="C3336" i="2"/>
  <c r="T3348" i="2"/>
  <c r="S3425" i="2"/>
  <c r="I3611" i="2"/>
  <c r="N3299" i="2"/>
  <c r="F2867" i="2"/>
  <c r="P3590" i="2"/>
  <c r="V3316" i="2"/>
  <c r="R3598" i="2"/>
  <c r="M3058" i="2"/>
  <c r="W3594" i="2"/>
  <c r="N3218" i="2"/>
  <c r="E3267" i="2"/>
  <c r="D3496" i="2"/>
  <c r="M3486" i="2"/>
  <c r="M3517" i="2"/>
  <c r="C3494" i="2"/>
  <c r="V3572" i="2"/>
  <c r="D3438" i="2"/>
  <c r="G3552" i="2"/>
  <c r="S3310" i="2"/>
  <c r="L3033" i="2"/>
  <c r="C3206" i="2"/>
  <c r="P3560" i="2"/>
  <c r="J3410" i="2"/>
  <c r="L3543" i="2"/>
  <c r="W3491" i="2"/>
  <c r="V3469" i="2"/>
  <c r="I3489" i="2"/>
  <c r="C3361" i="2"/>
  <c r="L3609" i="2"/>
  <c r="Q3399" i="2"/>
  <c r="P3481" i="2"/>
  <c r="W2814" i="2"/>
  <c r="W3342" i="2"/>
  <c r="O3617" i="2"/>
  <c r="I3450" i="2"/>
  <c r="F3306" i="2"/>
  <c r="G3560" i="2"/>
  <c r="U3195" i="2"/>
  <c r="W3283" i="2"/>
  <c r="Q3569" i="2"/>
  <c r="G3585" i="2"/>
  <c r="L3541" i="2"/>
  <c r="J3540" i="2"/>
  <c r="V3421" i="2"/>
  <c r="G3356" i="2"/>
  <c r="C3473" i="2"/>
  <c r="E3208" i="2"/>
  <c r="S3483" i="2"/>
  <c r="I3605" i="2"/>
  <c r="O3622" i="2"/>
  <c r="E3327" i="2"/>
  <c r="C3353" i="2"/>
  <c r="R3211" i="2"/>
  <c r="G3423" i="2"/>
  <c r="U3348" i="2"/>
  <c r="N3216" i="2"/>
  <c r="N3568" i="2"/>
  <c r="D3578" i="2"/>
  <c r="V3408" i="2"/>
  <c r="W3486" i="2"/>
  <c r="G3235" i="2"/>
  <c r="T3383" i="2"/>
  <c r="O3182" i="2"/>
  <c r="W3180" i="2"/>
  <c r="Q3527" i="2"/>
  <c r="I3567" i="2"/>
  <c r="O3377" i="2"/>
  <c r="U3489" i="2"/>
  <c r="N3564" i="2"/>
  <c r="K3325" i="2"/>
  <c r="C3173" i="2"/>
  <c r="P3498" i="2"/>
  <c r="U3220" i="2"/>
  <c r="G3297" i="2"/>
  <c r="I3516" i="2"/>
  <c r="D3562" i="2"/>
  <c r="W3628" i="2"/>
  <c r="L3603" i="2"/>
  <c r="S3352" i="2"/>
  <c r="I3517" i="2"/>
  <c r="K2887" i="2"/>
  <c r="R3150" i="2"/>
  <c r="Q3032" i="2"/>
  <c r="N3306" i="2"/>
  <c r="H2351" i="2"/>
  <c r="P3144" i="2"/>
  <c r="H3370" i="2"/>
  <c r="S3121" i="2"/>
  <c r="T3468" i="2"/>
  <c r="L3584" i="2"/>
  <c r="D3604" i="2"/>
  <c r="I3558" i="2"/>
  <c r="U3562" i="2"/>
  <c r="P3483" i="2"/>
  <c r="F3318" i="2"/>
  <c r="N3463" i="2"/>
  <c r="V3510" i="2"/>
  <c r="M3462" i="2"/>
  <c r="Q3474" i="2"/>
  <c r="C3479" i="2"/>
  <c r="Q3415" i="2"/>
  <c r="L3559" i="2"/>
  <c r="L3149" i="2"/>
  <c r="S3432" i="2"/>
  <c r="T3574" i="2"/>
  <c r="T3335" i="2"/>
  <c r="H3476" i="2"/>
  <c r="Q3047" i="2"/>
  <c r="R3483" i="2"/>
  <c r="T3514" i="2"/>
  <c r="U3137" i="2"/>
  <c r="E3377" i="2"/>
  <c r="I3497" i="2"/>
  <c r="U3383" i="2"/>
  <c r="O3419" i="2"/>
  <c r="D3328" i="2"/>
  <c r="M3386" i="2"/>
  <c r="U3233" i="2"/>
  <c r="H3483" i="2"/>
  <c r="H3192" i="2"/>
  <c r="W3426" i="2"/>
  <c r="Q3512" i="2"/>
  <c r="M3464" i="2"/>
  <c r="S3422" i="2"/>
  <c r="S3485" i="2"/>
  <c r="V3581" i="2"/>
  <c r="U3022" i="2"/>
  <c r="U3193" i="2"/>
  <c r="J3387" i="2"/>
  <c r="Q3557" i="2"/>
  <c r="G3409" i="2"/>
  <c r="P3485" i="2"/>
  <c r="V3197" i="2"/>
  <c r="V3244" i="2"/>
  <c r="N3001" i="2"/>
  <c r="H3478" i="2"/>
  <c r="U3459" i="2"/>
  <c r="E3528" i="2"/>
  <c r="R3442" i="2"/>
  <c r="C3464" i="2"/>
  <c r="C3484" i="2"/>
  <c r="U3345" i="2"/>
  <c r="V3494" i="2"/>
  <c r="G3384" i="2"/>
  <c r="J2900" i="2"/>
  <c r="G3375" i="2"/>
  <c r="F3400" i="2"/>
  <c r="J3157" i="2"/>
  <c r="C1828" i="2"/>
  <c r="S2958" i="2"/>
  <c r="T3141" i="2"/>
  <c r="F3310" i="2"/>
  <c r="O3167" i="2"/>
  <c r="H3312" i="2"/>
  <c r="F3598" i="2"/>
  <c r="N3534" i="2"/>
  <c r="L3629" i="2"/>
  <c r="Q2959" i="2"/>
  <c r="Q3268" i="2"/>
  <c r="R3383" i="2"/>
  <c r="F3301" i="2"/>
  <c r="R3627" i="2"/>
  <c r="C3439" i="2"/>
  <c r="V3623" i="2"/>
  <c r="L3228" i="2"/>
  <c r="I3335" i="2"/>
  <c r="C3340" i="2"/>
  <c r="M3068" i="2"/>
  <c r="P3595" i="2"/>
  <c r="K3490" i="2"/>
  <c r="T3550" i="2"/>
  <c r="U3577" i="2"/>
  <c r="M3629" i="2"/>
  <c r="G3584" i="2"/>
  <c r="P3335" i="2"/>
  <c r="P3604" i="2"/>
  <c r="N3619" i="2"/>
  <c r="E3566" i="2"/>
  <c r="V3286" i="2"/>
  <c r="D3564" i="2"/>
  <c r="M3349" i="2"/>
  <c r="F3463" i="2"/>
  <c r="W3254" i="2"/>
  <c r="U3519" i="2"/>
  <c r="Q3478" i="2"/>
  <c r="Q3549" i="2"/>
  <c r="R3345" i="2"/>
  <c r="N3094" i="2"/>
  <c r="I3022" i="2"/>
  <c r="O3583" i="2"/>
  <c r="I3274" i="2"/>
  <c r="P3468" i="2"/>
  <c r="G3302" i="2"/>
  <c r="C3187" i="2"/>
  <c r="F3370" i="2"/>
  <c r="O3611" i="2"/>
  <c r="E3297" i="2"/>
  <c r="R3219" i="2"/>
  <c r="W2883" i="2"/>
  <c r="J3567" i="2"/>
  <c r="D3486" i="2"/>
  <c r="V3063" i="2"/>
  <c r="T3490" i="2"/>
  <c r="R2781" i="2"/>
  <c r="L3345" i="2"/>
  <c r="D3266" i="2"/>
  <c r="J3559" i="2"/>
  <c r="T3583" i="2"/>
  <c r="K3377" i="2"/>
  <c r="J3050" i="2"/>
  <c r="W3477" i="2"/>
  <c r="K3531" i="2"/>
  <c r="F3126" i="2"/>
  <c r="S3565" i="2"/>
  <c r="L3421" i="2"/>
  <c r="J3571" i="2"/>
  <c r="H3364" i="2"/>
  <c r="Q3554" i="2"/>
  <c r="F3446" i="2"/>
  <c r="W3260" i="2"/>
  <c r="R3173" i="2"/>
  <c r="I3323" i="2"/>
  <c r="H3529" i="2"/>
  <c r="E3367" i="2"/>
  <c r="F3464" i="2"/>
  <c r="T3375" i="2"/>
  <c r="S3557" i="2"/>
  <c r="K3462" i="2"/>
  <c r="O3463" i="2"/>
  <c r="R2882" i="2"/>
  <c r="K3534" i="2"/>
  <c r="C3601" i="2"/>
  <c r="T3455" i="2"/>
  <c r="U3157" i="2"/>
  <c r="J3345" i="2"/>
  <c r="K3057" i="2"/>
  <c r="Q2809" i="2"/>
  <c r="W3127" i="2"/>
  <c r="K3611" i="2"/>
  <c r="V3387" i="2"/>
  <c r="U3420" i="2"/>
  <c r="H3581" i="2"/>
  <c r="Q3005" i="2"/>
  <c r="J3494" i="2"/>
  <c r="Q3442" i="2"/>
  <c r="W3371" i="2"/>
  <c r="R3293" i="2"/>
  <c r="L3415" i="2"/>
  <c r="S3360" i="2"/>
  <c r="P3171" i="2"/>
  <c r="R3310" i="2"/>
  <c r="H3605" i="2"/>
  <c r="J3582" i="2"/>
  <c r="T3458" i="2"/>
  <c r="I3418" i="2"/>
  <c r="L3161" i="2"/>
  <c r="N3539" i="2"/>
  <c r="J3229" i="2"/>
  <c r="Q3445" i="2"/>
  <c r="W3267" i="2"/>
  <c r="J3418" i="2"/>
  <c r="M3493" i="2"/>
  <c r="W3034" i="2"/>
  <c r="V3375" i="2"/>
  <c r="W3604" i="2"/>
  <c r="N3520" i="2"/>
  <c r="R3611" i="2"/>
  <c r="D3429" i="2"/>
  <c r="C3327" i="2"/>
  <c r="W3442" i="2"/>
  <c r="I3549" i="2"/>
  <c r="U3217" i="2"/>
  <c r="P3533" i="2"/>
  <c r="G3526" i="2"/>
  <c r="Q3453" i="2"/>
  <c r="O3542" i="2"/>
  <c r="G3339" i="2"/>
  <c r="Q3497" i="2"/>
  <c r="R3482" i="2"/>
  <c r="V3537" i="2"/>
  <c r="F3469" i="2"/>
  <c r="O3573" i="2"/>
  <c r="P3487" i="2"/>
  <c r="P3484" i="2"/>
  <c r="L3588" i="2"/>
  <c r="T3198" i="2"/>
  <c r="N3498" i="2"/>
  <c r="F3372" i="2"/>
  <c r="S3487" i="2"/>
  <c r="Q3357" i="2"/>
  <c r="W3055" i="2"/>
  <c r="Q3309" i="2"/>
  <c r="P3425" i="2"/>
  <c r="I3588" i="2"/>
  <c r="H3145" i="2"/>
  <c r="D3421" i="2"/>
  <c r="P3411" i="2"/>
  <c r="G3351" i="2"/>
  <c r="R3033" i="2"/>
  <c r="F3563" i="2"/>
  <c r="R3556" i="2"/>
  <c r="U3461" i="2"/>
  <c r="W3574" i="2"/>
  <c r="T3603" i="2"/>
  <c r="D3513" i="2"/>
  <c r="V3189" i="2"/>
  <c r="H3234" i="2"/>
  <c r="W3535" i="2"/>
  <c r="J3277" i="2"/>
  <c r="I3593" i="2"/>
  <c r="D3250" i="2"/>
  <c r="F3526" i="2"/>
  <c r="F3329" i="2"/>
  <c r="R3562" i="2"/>
  <c r="R3462" i="2"/>
  <c r="E2857" i="2"/>
  <c r="T3536" i="2"/>
  <c r="D3163" i="2"/>
  <c r="J3529" i="2"/>
  <c r="N3616" i="2"/>
  <c r="S3334" i="2"/>
  <c r="T3371" i="2"/>
  <c r="G3393" i="2"/>
  <c r="N3454" i="2"/>
  <c r="W3537" i="2"/>
  <c r="N3608" i="2"/>
  <c r="P3156" i="2"/>
  <c r="R2863" i="2"/>
  <c r="F3066" i="2"/>
  <c r="Q2785" i="2"/>
  <c r="U3245" i="2"/>
  <c r="J3353" i="2"/>
  <c r="I3229" i="2"/>
  <c r="J3291" i="2"/>
  <c r="O3287" i="2"/>
  <c r="C3457" i="2"/>
  <c r="P3300" i="2"/>
  <c r="M2336" i="2"/>
  <c r="F3434" i="2"/>
  <c r="K3310" i="2"/>
  <c r="K3614" i="2"/>
  <c r="P3565" i="2"/>
  <c r="U3052" i="2"/>
  <c r="C3478" i="2"/>
  <c r="U3499" i="2"/>
  <c r="H3311" i="2"/>
  <c r="D3617" i="2"/>
  <c r="P3416" i="2"/>
  <c r="F3569" i="2"/>
  <c r="L3370" i="2"/>
  <c r="F3222" i="2"/>
  <c r="K3336" i="2"/>
  <c r="F3470" i="2"/>
  <c r="M2990" i="2"/>
  <c r="K3139" i="2"/>
  <c r="G3510" i="2"/>
  <c r="F3534" i="2"/>
  <c r="U3506" i="2"/>
  <c r="M3361" i="2"/>
  <c r="Q3101" i="2"/>
  <c r="H3480" i="2"/>
  <c r="N3180" i="2"/>
  <c r="R3527" i="2"/>
  <c r="L3441" i="2"/>
  <c r="P3550" i="2"/>
  <c r="M3502" i="2"/>
  <c r="M3542" i="2"/>
  <c r="S3538" i="2"/>
  <c r="D3032" i="2"/>
  <c r="U3517" i="2"/>
  <c r="J3419" i="2"/>
  <c r="Q3487" i="2"/>
  <c r="Q3542" i="2"/>
  <c r="E3546" i="2"/>
  <c r="R3330" i="2"/>
  <c r="M3259" i="2"/>
  <c r="M3380" i="2"/>
  <c r="M3554" i="2"/>
  <c r="Q3164" i="2"/>
  <c r="I3351" i="2"/>
  <c r="Q3606" i="2"/>
  <c r="M3383" i="2"/>
  <c r="T3588" i="2"/>
  <c r="Q3485" i="2"/>
  <c r="D3367" i="2"/>
  <c r="Q3614" i="2"/>
  <c r="D3586" i="2"/>
  <c r="M3427" i="2"/>
  <c r="K3585" i="2"/>
  <c r="R3583" i="2"/>
  <c r="L3438" i="2"/>
  <c r="W3421" i="2"/>
  <c r="U3353" i="2"/>
  <c r="E2682" i="2"/>
  <c r="O3343" i="2"/>
  <c r="Q2455" i="2"/>
  <c r="G3087" i="2"/>
  <c r="R2998" i="2"/>
  <c r="T3351" i="2"/>
  <c r="D3507" i="2"/>
  <c r="E3261" i="2"/>
  <c r="Q3329" i="2"/>
  <c r="S2814" i="2"/>
  <c r="J3455" i="2"/>
  <c r="V3404" i="2"/>
  <c r="J2934" i="2"/>
  <c r="S3205" i="2"/>
  <c r="L3553" i="2"/>
  <c r="L3445" i="2"/>
  <c r="J3485" i="2"/>
  <c r="P3562" i="2"/>
  <c r="P2959" i="2"/>
  <c r="C3591" i="2"/>
  <c r="P3163" i="2"/>
  <c r="H3522" i="2"/>
  <c r="M3602" i="2"/>
  <c r="H3053" i="2"/>
  <c r="K2566" i="2"/>
  <c r="M2991" i="2"/>
  <c r="Q3538" i="2"/>
  <c r="K3428" i="2"/>
  <c r="T3292" i="2"/>
  <c r="Q3140" i="2"/>
  <c r="W3401" i="2"/>
  <c r="U3115" i="2"/>
  <c r="N3220" i="2"/>
  <c r="W3065" i="2"/>
  <c r="O3519" i="2"/>
  <c r="E3584" i="2"/>
  <c r="P3552" i="2"/>
  <c r="R3453" i="2"/>
  <c r="J3230" i="2"/>
  <c r="V3365" i="2"/>
  <c r="M3520" i="2"/>
  <c r="Q3210" i="2"/>
  <c r="S2867" i="2"/>
  <c r="G3522" i="2"/>
  <c r="G3454" i="2"/>
  <c r="H3208" i="2"/>
  <c r="W3606" i="2"/>
  <c r="N3355" i="2"/>
  <c r="T3522" i="2"/>
  <c r="F3482" i="2"/>
  <c r="D3415" i="2"/>
  <c r="R3340" i="2"/>
  <c r="D3337" i="2"/>
  <c r="V3467" i="2"/>
  <c r="P3406" i="2"/>
  <c r="K3483" i="2"/>
  <c r="M3233" i="2"/>
  <c r="E3301" i="2"/>
  <c r="I3281" i="2"/>
  <c r="H3434" i="2"/>
  <c r="E3410" i="2"/>
  <c r="H3565" i="2"/>
  <c r="U3576" i="2"/>
  <c r="C3481" i="2"/>
  <c r="I2656" i="2"/>
  <c r="F3253" i="2"/>
  <c r="F3324" i="2"/>
  <c r="P3520" i="2"/>
  <c r="K2668" i="2"/>
  <c r="D3142" i="2"/>
  <c r="D3523" i="2"/>
  <c r="H3555" i="2"/>
  <c r="N3093" i="2"/>
  <c r="U3435" i="2"/>
  <c r="H3437" i="2"/>
  <c r="O3117" i="2"/>
  <c r="V3188" i="2"/>
  <c r="L3522" i="2"/>
  <c r="Q3418" i="2"/>
  <c r="D3565" i="2"/>
  <c r="V3253" i="2"/>
  <c r="I3471" i="2"/>
  <c r="O3554" i="2"/>
  <c r="L3436" i="2"/>
  <c r="O3263" i="2"/>
  <c r="M3476" i="2"/>
  <c r="H3526" i="2"/>
  <c r="S3383" i="2"/>
  <c r="O3231" i="2"/>
  <c r="F3427" i="2"/>
  <c r="Q3011" i="2"/>
  <c r="C3295" i="2"/>
  <c r="S3307" i="2"/>
  <c r="K3405" i="2"/>
  <c r="I3202" i="2"/>
  <c r="J3317" i="2"/>
  <c r="F3193" i="2"/>
  <c r="J3311" i="2"/>
  <c r="O3312" i="2"/>
  <c r="Q3625" i="2"/>
  <c r="I3394" i="2"/>
  <c r="W3000" i="2"/>
  <c r="D3014" i="2"/>
  <c r="S3550" i="2"/>
  <c r="D3403" i="2"/>
  <c r="V2762" i="2"/>
  <c r="I3431" i="2"/>
  <c r="U3206" i="2"/>
  <c r="J3535" i="2"/>
  <c r="E3522" i="2"/>
  <c r="O3369" i="2"/>
  <c r="H3525" i="2"/>
  <c r="O3283" i="2"/>
  <c r="S3175" i="2"/>
  <c r="T3073" i="2"/>
  <c r="E3337" i="2"/>
  <c r="T3325" i="2"/>
  <c r="K2966" i="2"/>
  <c r="T3426" i="2"/>
  <c r="S3416" i="2"/>
  <c r="V3420" i="2"/>
  <c r="T3477" i="2"/>
  <c r="L3288" i="2"/>
  <c r="D3408" i="2"/>
  <c r="C3390" i="2"/>
  <c r="E3084" i="2"/>
  <c r="T3355" i="2"/>
  <c r="P3592" i="2"/>
  <c r="K3120" i="2"/>
  <c r="L3350" i="2"/>
  <c r="Q3104" i="2"/>
  <c r="L2957" i="2"/>
  <c r="P3315" i="2"/>
  <c r="D3457" i="2"/>
  <c r="E3393" i="2"/>
  <c r="M3190" i="2"/>
  <c r="E3119" i="2"/>
  <c r="M3359" i="2"/>
  <c r="H3404" i="2"/>
  <c r="M3224" i="2"/>
  <c r="T3318" i="2"/>
  <c r="E2491" i="2"/>
  <c r="K3129" i="2"/>
  <c r="Q2857" i="2"/>
  <c r="P3396" i="2"/>
  <c r="E3268" i="2"/>
  <c r="S3474" i="2"/>
  <c r="Q3540" i="2"/>
  <c r="N3607" i="2"/>
  <c r="J3414" i="2"/>
  <c r="P3054" i="2"/>
  <c r="C3170" i="2"/>
  <c r="N3293" i="2"/>
  <c r="S3222" i="2"/>
  <c r="M3393" i="2"/>
  <c r="L3024" i="2"/>
  <c r="H3224" i="2"/>
  <c r="T3453" i="2"/>
  <c r="D3509" i="2"/>
  <c r="I3576" i="2"/>
  <c r="V3418" i="2"/>
  <c r="T2930" i="2"/>
  <c r="H3301" i="2"/>
  <c r="E3405" i="2"/>
  <c r="I3534" i="2"/>
  <c r="G3401" i="2"/>
  <c r="K3548" i="2"/>
  <c r="F3171" i="2"/>
  <c r="W3235" i="2"/>
  <c r="D3188" i="2"/>
  <c r="I3488" i="2"/>
  <c r="W3467" i="2"/>
  <c r="F3491" i="2"/>
  <c r="J2898" i="2"/>
  <c r="W3600" i="2"/>
  <c r="D3446" i="2"/>
  <c r="Q3162" i="2"/>
  <c r="G3466" i="2"/>
  <c r="Q3036" i="2"/>
  <c r="P3182" i="2"/>
  <c r="W3611" i="2"/>
  <c r="S3511" i="2"/>
  <c r="N3458" i="2"/>
  <c r="V3372" i="2"/>
  <c r="J3232" i="2"/>
  <c r="F2776" i="2"/>
  <c r="C3498" i="2"/>
  <c r="O3266" i="2"/>
  <c r="W3598" i="2"/>
  <c r="K3208" i="2"/>
  <c r="O3461" i="2"/>
  <c r="L3292" i="2"/>
  <c r="N3045" i="2"/>
  <c r="J3253" i="2"/>
  <c r="L3515" i="2"/>
  <c r="D2538" i="2"/>
  <c r="C3218" i="2"/>
  <c r="Q3018" i="2"/>
  <c r="P3083" i="2"/>
  <c r="I2978" i="2"/>
  <c r="T2816" i="2"/>
  <c r="T3444" i="2"/>
  <c r="L2942" i="2"/>
  <c r="F3478" i="2"/>
  <c r="U3443" i="2"/>
  <c r="M3538" i="2"/>
  <c r="D3208" i="2"/>
  <c r="K3434" i="2"/>
  <c r="U3448" i="2"/>
  <c r="I3021" i="2"/>
  <c r="O3374" i="2"/>
  <c r="G3336" i="2"/>
  <c r="S3614" i="2"/>
  <c r="W3313" i="2"/>
  <c r="D3537" i="2"/>
  <c r="T3380" i="2"/>
  <c r="S3336" i="2"/>
  <c r="I3537" i="2"/>
  <c r="D3458" i="2"/>
  <c r="F3519" i="2"/>
  <c r="P3501" i="2"/>
  <c r="N3438" i="2"/>
  <c r="J3319" i="2"/>
  <c r="D3225" i="2"/>
  <c r="W2860" i="2"/>
  <c r="P3393" i="2"/>
  <c r="E3176" i="2"/>
  <c r="N3579" i="2"/>
  <c r="S3069" i="2"/>
  <c r="M3211" i="2"/>
  <c r="S3167" i="2"/>
  <c r="P3527" i="2"/>
  <c r="R2878" i="2"/>
  <c r="M3251" i="2"/>
  <c r="J3156" i="2"/>
  <c r="U3433" i="2"/>
  <c r="F3578" i="2"/>
  <c r="F3428" i="2"/>
  <c r="K3491" i="2"/>
  <c r="D3321" i="2"/>
  <c r="G3312" i="2"/>
  <c r="N3230" i="2"/>
  <c r="H2638" i="2"/>
  <c r="L3585" i="2"/>
  <c r="R3568" i="2"/>
  <c r="M3263" i="2"/>
  <c r="W3348" i="2"/>
  <c r="I3600" i="2"/>
  <c r="D3028" i="2"/>
  <c r="E3262" i="2"/>
  <c r="W3232" i="2"/>
  <c r="N3390" i="2"/>
  <c r="Q3531" i="2"/>
  <c r="P3513" i="2"/>
  <c r="H3488" i="2"/>
  <c r="T3600" i="2"/>
  <c r="E2904" i="2"/>
  <c r="O2705" i="2"/>
  <c r="O3087" i="2"/>
  <c r="R3256" i="2"/>
  <c r="E2819" i="2"/>
  <c r="Q3091" i="2"/>
  <c r="V3143" i="2"/>
  <c r="G2954" i="2"/>
  <c r="I3493" i="2"/>
  <c r="U3131" i="2"/>
  <c r="I3046" i="2"/>
  <c r="L3386" i="2"/>
  <c r="R3230" i="2"/>
  <c r="N2931" i="2"/>
  <c r="U3328" i="2"/>
  <c r="R3236" i="2"/>
  <c r="S3408" i="2"/>
  <c r="S3499" i="2"/>
  <c r="H3414" i="2"/>
  <c r="C3606" i="2"/>
  <c r="K3332" i="2"/>
  <c r="J3298" i="2"/>
  <c r="T3376" i="2"/>
  <c r="D3413" i="2"/>
  <c r="V3589" i="2"/>
  <c r="O3028" i="2"/>
  <c r="F3617" i="2"/>
  <c r="H3303" i="2"/>
  <c r="P3308" i="2"/>
  <c r="H2362" i="2"/>
  <c r="V2909" i="2"/>
  <c r="H3501" i="2"/>
  <c r="R3243" i="2"/>
  <c r="C3557" i="2"/>
  <c r="P3625" i="2"/>
  <c r="E3423" i="2"/>
  <c r="P3398" i="2"/>
  <c r="P3036" i="2"/>
  <c r="T2325" i="2"/>
  <c r="Q3250" i="2"/>
  <c r="F3407" i="2"/>
  <c r="T3374" i="2"/>
  <c r="C3365" i="2"/>
  <c r="C3207" i="2"/>
  <c r="F3170" i="2"/>
  <c r="T3147" i="2"/>
  <c r="K3388" i="2"/>
  <c r="H2798" i="2"/>
  <c r="C2800" i="2"/>
  <c r="E2959" i="2"/>
  <c r="S3621" i="2"/>
  <c r="N3294" i="2"/>
  <c r="Q3302" i="2"/>
  <c r="K3363" i="2"/>
  <c r="J3176" i="2"/>
  <c r="U3568" i="2"/>
  <c r="G3101" i="2"/>
  <c r="T3435" i="2"/>
  <c r="O3158" i="2"/>
  <c r="C3299" i="2"/>
  <c r="E3396" i="2"/>
  <c r="U3271" i="2"/>
  <c r="S3193" i="2"/>
  <c r="W3557" i="2"/>
  <c r="F3139" i="2"/>
  <c r="L3141" i="2"/>
  <c r="C2995" i="2"/>
  <c r="S2977" i="2"/>
  <c r="Q3559" i="2"/>
  <c r="W2954" i="2"/>
  <c r="T3362" i="2"/>
  <c r="E3603" i="2"/>
  <c r="G3517" i="2"/>
  <c r="U3030" i="2"/>
  <c r="O3467" i="2"/>
  <c r="L3344" i="2"/>
  <c r="F3345" i="2"/>
  <c r="S2837" i="2"/>
  <c r="H2799" i="2"/>
  <c r="J2998" i="2"/>
  <c r="P3223" i="2"/>
  <c r="E3075" i="2"/>
  <c r="Q3087" i="2"/>
  <c r="J3342" i="2"/>
  <c r="C3194" i="2"/>
  <c r="C3108" i="2"/>
  <c r="H3284" i="2"/>
  <c r="T3580" i="2"/>
  <c r="V3501" i="2"/>
  <c r="F3258" i="2"/>
  <c r="Q3411" i="2"/>
  <c r="W3308" i="2"/>
  <c r="R3559" i="2"/>
  <c r="L3395" i="2"/>
  <c r="J3314" i="2"/>
  <c r="E2800" i="2"/>
  <c r="R3185" i="2"/>
  <c r="Q3223" i="2"/>
  <c r="T3382" i="2"/>
  <c r="R3502" i="2"/>
  <c r="R3342" i="2"/>
  <c r="I3000" i="2"/>
  <c r="W3183" i="2"/>
  <c r="C3426" i="2"/>
  <c r="Q3462" i="2"/>
  <c r="N3335" i="2"/>
  <c r="J3598" i="2"/>
  <c r="P2752" i="2"/>
  <c r="D3079" i="2"/>
  <c r="G2942" i="2"/>
  <c r="W3331" i="2"/>
  <c r="E2998" i="2"/>
  <c r="G2877" i="2"/>
  <c r="M3123" i="2"/>
  <c r="N3110" i="2"/>
  <c r="J3628" i="2"/>
  <c r="T3265" i="2"/>
  <c r="W3239" i="2"/>
  <c r="O3536" i="2"/>
  <c r="T3483" i="2"/>
  <c r="F3343" i="2"/>
  <c r="Q3480" i="2"/>
  <c r="R3081" i="2"/>
  <c r="J3085" i="2"/>
  <c r="V3216" i="2"/>
  <c r="L3387" i="2"/>
  <c r="R3438" i="2"/>
  <c r="I3127" i="2"/>
  <c r="D3469" i="2"/>
  <c r="C3384" i="2"/>
  <c r="K3507" i="2"/>
  <c r="R3538" i="2"/>
  <c r="S2823" i="2"/>
  <c r="U3536" i="2"/>
  <c r="O3380" i="2"/>
  <c r="P3522" i="2"/>
  <c r="E3375" i="2"/>
  <c r="C3209" i="2"/>
  <c r="J3542" i="2"/>
  <c r="H3302" i="2"/>
  <c r="D3506" i="2"/>
  <c r="T3440" i="2"/>
  <c r="C3216" i="2"/>
  <c r="T3593" i="2"/>
  <c r="H3325" i="2"/>
  <c r="G2907" i="2"/>
  <c r="P3135" i="2"/>
  <c r="I3461" i="2"/>
  <c r="N3200" i="2"/>
  <c r="O3576" i="2"/>
  <c r="R3311" i="2"/>
  <c r="T3585" i="2"/>
  <c r="P3195" i="2"/>
  <c r="C3421" i="2"/>
  <c r="F3457" i="2"/>
  <c r="U3253" i="2"/>
  <c r="F3568" i="2"/>
  <c r="P3519" i="2"/>
  <c r="I3073" i="2"/>
  <c r="K3523" i="2"/>
  <c r="S3588" i="2"/>
  <c r="O3178" i="2"/>
  <c r="V3355" i="2"/>
  <c r="U3474" i="2"/>
  <c r="V3379" i="2"/>
  <c r="H3107" i="2"/>
  <c r="K3517" i="2"/>
  <c r="C3408" i="2"/>
  <c r="E3472" i="2"/>
  <c r="J3326" i="2"/>
  <c r="K2327" i="2"/>
  <c r="M3351" i="2"/>
  <c r="C3626" i="2"/>
  <c r="K3511" i="2"/>
  <c r="R3479" i="2"/>
  <c r="L3521" i="2"/>
  <c r="I3421" i="2"/>
  <c r="I3340" i="2"/>
  <c r="I3629" i="2"/>
  <c r="N3550" i="2"/>
  <c r="H3347" i="2"/>
  <c r="J3104" i="2"/>
  <c r="C3597" i="2"/>
  <c r="H3610" i="2"/>
  <c r="W3468" i="2"/>
  <c r="R2975" i="2"/>
  <c r="W3400" i="2"/>
  <c r="K3309" i="2"/>
  <c r="E3536" i="2"/>
  <c r="N3589" i="2"/>
  <c r="E2472" i="2"/>
  <c r="V3580" i="2"/>
  <c r="Q3581" i="2"/>
  <c r="E3470" i="2"/>
  <c r="E3216" i="2"/>
  <c r="T3445" i="2"/>
  <c r="K3616" i="2"/>
  <c r="S3583" i="2"/>
  <c r="F3288" i="2"/>
  <c r="U2821" i="2"/>
  <c r="G3475" i="2"/>
  <c r="H3611" i="2"/>
  <c r="R3295" i="2"/>
  <c r="L3312" i="2"/>
  <c r="N3556" i="2"/>
  <c r="W3478" i="2"/>
  <c r="F2931" i="2"/>
  <c r="C2919" i="2"/>
  <c r="E3391" i="2"/>
  <c r="D3375" i="2"/>
  <c r="N2567" i="2"/>
  <c r="G3291" i="2"/>
  <c r="O3320" i="2"/>
  <c r="V3576" i="2"/>
  <c r="W3407" i="2"/>
  <c r="Q3597" i="2"/>
  <c r="J3069" i="2"/>
  <c r="D3352" i="2"/>
  <c r="E3579" i="2"/>
  <c r="V3448" i="2"/>
  <c r="O3526" i="2"/>
  <c r="J2856" i="2"/>
  <c r="I3142" i="2"/>
  <c r="I3349" i="2"/>
  <c r="U2856" i="2"/>
  <c r="W3172" i="2"/>
  <c r="K3142" i="2"/>
  <c r="D3047" i="2"/>
  <c r="H3321" i="2"/>
  <c r="P3354" i="2"/>
  <c r="I3420" i="2"/>
  <c r="V3551" i="2"/>
  <c r="K3293" i="2"/>
  <c r="Q3526" i="2"/>
  <c r="T3606" i="2"/>
  <c r="N3541" i="2"/>
  <c r="T3352" i="2"/>
  <c r="W3522" i="2"/>
  <c r="P3509" i="2"/>
  <c r="C3235" i="2"/>
  <c r="F3468" i="2"/>
  <c r="G3589" i="2"/>
  <c r="T2753" i="2"/>
  <c r="S3332" i="2"/>
  <c r="U2371" i="2"/>
  <c r="K3590" i="2"/>
  <c r="I3322" i="2"/>
  <c r="Q3187" i="2"/>
  <c r="U3336" i="2"/>
  <c r="Q2620" i="2"/>
  <c r="F3146" i="2"/>
  <c r="T3070" i="2"/>
  <c r="Q3283" i="2"/>
  <c r="N3400" i="2"/>
  <c r="Q2586" i="2"/>
  <c r="J3382" i="2"/>
  <c r="T2768" i="2"/>
  <c r="S3173" i="2"/>
  <c r="C2867" i="2"/>
  <c r="E3530" i="2"/>
  <c r="K3231" i="2"/>
  <c r="K3073" i="2"/>
  <c r="V3138" i="2"/>
  <c r="N3507" i="2"/>
  <c r="I2981" i="2"/>
  <c r="U2905" i="2"/>
  <c r="E3587" i="2"/>
  <c r="V3533" i="2"/>
  <c r="T2725" i="2"/>
  <c r="L3318" i="2"/>
  <c r="N3328" i="2"/>
  <c r="N3592" i="2"/>
  <c r="D2951" i="2"/>
  <c r="U3602" i="2"/>
  <c r="K3043" i="2"/>
  <c r="T2798" i="2"/>
  <c r="I3597" i="2"/>
  <c r="W3476" i="2"/>
  <c r="Q2840" i="2"/>
  <c r="U3170" i="2"/>
  <c r="R3207" i="2"/>
  <c r="O3505" i="2"/>
  <c r="J3080" i="2"/>
  <c r="C2434" i="2"/>
  <c r="F3322" i="2"/>
  <c r="M3379" i="2"/>
  <c r="I3186" i="2"/>
  <c r="O3174" i="2"/>
  <c r="H3420" i="2"/>
  <c r="V3456" i="2"/>
  <c r="L3203" i="2"/>
  <c r="T3460" i="2"/>
  <c r="J2957" i="2"/>
  <c r="O2331" i="2"/>
  <c r="K3472" i="2"/>
  <c r="S3492" i="2"/>
  <c r="L3540" i="2"/>
  <c r="F3531" i="2"/>
  <c r="O3545" i="2"/>
  <c r="F3374" i="2"/>
  <c r="P3588" i="2"/>
  <c r="J3448" i="2"/>
  <c r="Q3236" i="2"/>
  <c r="U3166" i="2"/>
  <c r="L3058" i="2"/>
  <c r="G3486" i="2"/>
  <c r="R3361" i="2"/>
  <c r="G2932" i="2"/>
  <c r="W2971" i="2"/>
  <c r="L3457" i="2"/>
  <c r="P3294" i="2"/>
  <c r="L3003" i="2"/>
  <c r="R3255" i="2"/>
  <c r="C3080" i="2"/>
  <c r="K3422" i="2"/>
  <c r="E3447" i="2"/>
  <c r="T2595" i="2"/>
  <c r="F3376" i="2"/>
  <c r="L1404" i="2"/>
  <c r="S3380" i="2"/>
  <c r="P2978" i="2"/>
  <c r="N2624" i="2"/>
  <c r="R3625" i="2"/>
  <c r="O3421" i="2"/>
  <c r="W3396" i="2"/>
  <c r="T2854" i="2"/>
  <c r="W2811" i="2"/>
  <c r="Q3361" i="2"/>
  <c r="V3401" i="2"/>
  <c r="Q3455" i="2"/>
  <c r="W3223" i="2"/>
  <c r="D3091" i="2"/>
  <c r="U3077" i="2"/>
  <c r="Q3303" i="2"/>
  <c r="D2821" i="2"/>
  <c r="L3022" i="2"/>
  <c r="N2412" i="2"/>
  <c r="N3574" i="2"/>
  <c r="K3323" i="2"/>
  <c r="N3077" i="2"/>
  <c r="E3583" i="2"/>
  <c r="G3576" i="2"/>
  <c r="Q3617" i="2"/>
  <c r="M3536" i="2"/>
  <c r="G3488" i="2"/>
  <c r="U3494" i="2"/>
  <c r="R3525" i="2"/>
  <c r="U3580" i="2"/>
  <c r="V3475" i="2"/>
  <c r="S3401" i="2"/>
  <c r="M3134" i="2"/>
  <c r="N2910" i="2"/>
  <c r="J3585" i="2"/>
  <c r="F3541" i="2"/>
  <c r="F3584" i="2"/>
  <c r="P3421" i="2"/>
  <c r="U3190" i="2"/>
  <c r="N3471" i="2"/>
  <c r="P2926" i="2"/>
  <c r="F3246" i="2"/>
  <c r="S3378" i="2"/>
  <c r="L3617" i="2"/>
  <c r="R3323" i="2"/>
  <c r="D3045" i="2"/>
  <c r="O3604" i="2"/>
  <c r="N3489" i="2"/>
  <c r="C3252" i="2"/>
  <c r="I3395" i="2"/>
  <c r="E3099" i="2"/>
  <c r="R3501" i="2"/>
  <c r="J3153" i="2"/>
  <c r="T3541" i="2"/>
  <c r="T3080" i="2"/>
  <c r="F2903" i="2"/>
  <c r="K3410" i="2"/>
  <c r="N3260" i="2"/>
  <c r="K3584" i="2"/>
  <c r="F3354" i="2"/>
  <c r="S3211" i="2"/>
  <c r="O3494" i="2"/>
  <c r="L3223" i="2"/>
  <c r="P3339" i="2"/>
  <c r="K3353" i="2"/>
  <c r="F3552" i="2"/>
  <c r="L3089" i="2"/>
  <c r="I3316" i="2"/>
  <c r="S3445" i="2"/>
  <c r="V3393" i="2"/>
  <c r="K2923" i="2"/>
  <c r="C2323" i="2"/>
  <c r="D3218" i="2"/>
  <c r="T3340" i="2"/>
  <c r="C3329" i="2"/>
  <c r="D2981" i="2"/>
  <c r="E2635" i="2"/>
  <c r="I3063" i="2"/>
  <c r="K3318" i="2"/>
  <c r="G3382" i="2"/>
  <c r="I3302" i="2"/>
  <c r="I3391" i="2"/>
  <c r="V3463" i="2"/>
  <c r="L3389" i="2"/>
  <c r="T2821" i="2"/>
  <c r="F3068" i="2"/>
  <c r="Q3420" i="2"/>
  <c r="H3348" i="2"/>
  <c r="N3341" i="2"/>
  <c r="S3446" i="2"/>
  <c r="N3080" i="2"/>
  <c r="R3558" i="2"/>
  <c r="R3223" i="2"/>
  <c r="O2859" i="2"/>
  <c r="N3474" i="2"/>
  <c r="U3241" i="2"/>
  <c r="R3519" i="2"/>
  <c r="C3513" i="2"/>
  <c r="G3346" i="2"/>
  <c r="H3542" i="2"/>
  <c r="C3541" i="2"/>
  <c r="U3451" i="2"/>
  <c r="S3071" i="2"/>
  <c r="O2713" i="2"/>
  <c r="D3602" i="2"/>
  <c r="D3340" i="2"/>
  <c r="P3266" i="2"/>
  <c r="N3493" i="2"/>
  <c r="G3341" i="2"/>
  <c r="W3623" i="2"/>
  <c r="T3253" i="2"/>
  <c r="E3502" i="2"/>
  <c r="C3188" i="2"/>
  <c r="T3110" i="2"/>
  <c r="G3548" i="2"/>
  <c r="V3125" i="2"/>
  <c r="H3242" i="2"/>
  <c r="J3284" i="2"/>
  <c r="M3199" i="2"/>
  <c r="P3129" i="2"/>
  <c r="E3306" i="2"/>
  <c r="V3579" i="2"/>
  <c r="E3483" i="2"/>
  <c r="J3368" i="2"/>
  <c r="S3471" i="2"/>
  <c r="S3462" i="2"/>
  <c r="P3559" i="2"/>
  <c r="L3418" i="2"/>
  <c r="O3565" i="2"/>
  <c r="N3445" i="2"/>
  <c r="K3197" i="2"/>
  <c r="G3058" i="2"/>
  <c r="L3079" i="2"/>
  <c r="V3263" i="2"/>
  <c r="D3384" i="2"/>
  <c r="L3423" i="2"/>
  <c r="G3056" i="2"/>
  <c r="Q3356" i="2"/>
  <c r="L3443" i="2"/>
  <c r="C3102" i="2"/>
  <c r="J3249" i="2"/>
  <c r="O3487" i="2"/>
  <c r="M3608" i="2"/>
  <c r="E3246" i="2"/>
  <c r="U3607" i="2"/>
  <c r="V3529" i="2"/>
  <c r="J3457" i="2"/>
  <c r="D3294" i="2"/>
  <c r="C3221" i="2"/>
  <c r="L3462" i="2"/>
  <c r="Q3397" i="2"/>
  <c r="R2916" i="2"/>
  <c r="T3564" i="2"/>
  <c r="E3201" i="2"/>
  <c r="J3405" i="2"/>
  <c r="E3209" i="2"/>
  <c r="E3589" i="2"/>
  <c r="E3044" i="2"/>
  <c r="Q3491" i="2"/>
  <c r="G3136" i="2"/>
  <c r="J3310" i="2"/>
  <c r="C3516" i="2"/>
  <c r="R3561" i="2"/>
  <c r="F3485" i="2"/>
  <c r="U3604" i="2"/>
  <c r="T3552" i="2"/>
  <c r="S3395" i="2"/>
  <c r="I3426" i="2"/>
  <c r="E3501" i="2"/>
  <c r="P3119" i="2"/>
  <c r="V3330" i="2"/>
  <c r="F3105" i="2"/>
  <c r="C3274" i="2"/>
  <c r="T3511" i="2"/>
  <c r="V3563" i="2"/>
  <c r="R3570" i="2"/>
  <c r="L3088" i="2"/>
  <c r="N3259" i="2"/>
  <c r="R3541" i="2"/>
  <c r="Q3572" i="2"/>
  <c r="V3424" i="2"/>
  <c r="R3250" i="2"/>
  <c r="C3053" i="2"/>
  <c r="P3180" i="2"/>
  <c r="R3164" i="2"/>
  <c r="D3442" i="2"/>
  <c r="E2868" i="2"/>
  <c r="U3129" i="2"/>
  <c r="W3507" i="2"/>
  <c r="L3194" i="2"/>
  <c r="J3070" i="2"/>
  <c r="F3452" i="2"/>
  <c r="U3507" i="2"/>
  <c r="K3622" i="2"/>
  <c r="L3296" i="2"/>
  <c r="L3259" i="2"/>
  <c r="M2651" i="2"/>
  <c r="E2931" i="2"/>
  <c r="C3566" i="2"/>
  <c r="O3429" i="2"/>
  <c r="F3160" i="2"/>
  <c r="D2978" i="2"/>
  <c r="J3206" i="2"/>
  <c r="F3405" i="2"/>
  <c r="P3269" i="2"/>
  <c r="K3407" i="2"/>
  <c r="P3456" i="2"/>
  <c r="R3136" i="2"/>
  <c r="K3475" i="2"/>
  <c r="R3380" i="2"/>
  <c r="V3383" i="2"/>
  <c r="R3333" i="2"/>
  <c r="U3457" i="2"/>
  <c r="U3391" i="2"/>
  <c r="J3588" i="2"/>
  <c r="I3470" i="2"/>
  <c r="W3281" i="2"/>
  <c r="W2270" i="2"/>
  <c r="U2710" i="2"/>
  <c r="K3189" i="2"/>
  <c r="W3364" i="2"/>
  <c r="J3306" i="2"/>
  <c r="M3356" i="2"/>
  <c r="P2761" i="2"/>
  <c r="D3272" i="2"/>
  <c r="O3392" i="2"/>
  <c r="I3602" i="2"/>
  <c r="I3483" i="2"/>
  <c r="C3343" i="2"/>
  <c r="H3424" i="2"/>
  <c r="R3306" i="2"/>
  <c r="I3581" i="2"/>
  <c r="U2933" i="2"/>
  <c r="S3218" i="2"/>
  <c r="Q3232" i="2"/>
  <c r="I3525" i="2"/>
  <c r="U3551" i="2"/>
  <c r="O3546" i="2"/>
  <c r="E3330" i="2"/>
  <c r="W3322" i="2"/>
  <c r="O3600" i="2"/>
  <c r="S3368" i="2"/>
  <c r="T2902" i="2"/>
  <c r="R3373" i="2"/>
  <c r="R3424" i="2"/>
  <c r="S3263" i="2"/>
  <c r="H3509" i="2"/>
  <c r="N3395" i="2"/>
  <c r="R3088" i="2"/>
  <c r="F3549" i="2"/>
  <c r="V3294" i="2"/>
  <c r="Q3629" i="2"/>
  <c r="G2206" i="2"/>
  <c r="T3430" i="2"/>
  <c r="V3360" i="2"/>
  <c r="E3286" i="2"/>
  <c r="H3498" i="2"/>
  <c r="M3169" i="2"/>
  <c r="F3042" i="2"/>
  <c r="W3296" i="2"/>
  <c r="F2203" i="2"/>
  <c r="N3290" i="2"/>
  <c r="F2860" i="2"/>
  <c r="O2631" i="2"/>
  <c r="H3142" i="2"/>
  <c r="T3556" i="2"/>
  <c r="J3282" i="2"/>
  <c r="F3583" i="2"/>
  <c r="P3014" i="2"/>
  <c r="P3218" i="2"/>
  <c r="I2789" i="2"/>
  <c r="O2838" i="2"/>
  <c r="I2273" i="2"/>
  <c r="L3377" i="2"/>
  <c r="Q3532" i="2"/>
  <c r="U3373" i="2"/>
  <c r="Q3448" i="2"/>
  <c r="O3440" i="2"/>
  <c r="W3315" i="2"/>
  <c r="D3048" i="2"/>
  <c r="O3390" i="2"/>
  <c r="O3330" i="2"/>
  <c r="G3387" i="2"/>
  <c r="E3004" i="2"/>
  <c r="T2992" i="2"/>
  <c r="M2995" i="2"/>
  <c r="J2806" i="2"/>
  <c r="Q3466" i="2"/>
  <c r="H3464" i="2"/>
  <c r="M3273" i="2"/>
  <c r="Q3065" i="2"/>
  <c r="M3277" i="2"/>
  <c r="G3073" i="2"/>
  <c r="G3156" i="2"/>
  <c r="D3278" i="2"/>
  <c r="N3002" i="2"/>
  <c r="S3507" i="2"/>
  <c r="J3471" i="2"/>
  <c r="K3509" i="2"/>
  <c r="H3218" i="2"/>
  <c r="Q3291" i="2"/>
  <c r="P3415" i="2"/>
  <c r="D3165" i="2"/>
  <c r="W2831" i="2"/>
  <c r="H3357" i="2"/>
  <c r="Q3406" i="2"/>
  <c r="Q3035" i="2"/>
  <c r="G3209" i="2"/>
  <c r="J3237" i="2"/>
  <c r="F3071" i="2"/>
  <c r="G3326" i="2"/>
  <c r="O3257" i="2"/>
  <c r="I2900" i="2"/>
  <c r="L3570" i="2"/>
  <c r="M3121" i="2"/>
  <c r="V3602" i="2"/>
  <c r="G3556" i="2"/>
  <c r="E3516" i="2"/>
  <c r="J3300" i="2"/>
  <c r="U2361" i="2"/>
  <c r="D3512" i="2"/>
  <c r="K3380" i="2"/>
  <c r="V2756" i="2"/>
  <c r="D3147" i="2"/>
  <c r="M3514" i="2"/>
  <c r="Q3467" i="2"/>
  <c r="K2375" i="2"/>
  <c r="L3000" i="2"/>
  <c r="L3244" i="2"/>
  <c r="U3226" i="2"/>
  <c r="Q3358" i="2"/>
  <c r="K3193" i="2"/>
  <c r="P3435" i="2"/>
  <c r="W3519" i="2"/>
  <c r="W3546" i="2"/>
  <c r="P2652" i="2"/>
  <c r="C3582" i="2"/>
  <c r="N3033" i="2"/>
  <c r="O3473" i="2"/>
  <c r="C3364" i="2"/>
  <c r="E3494" i="2"/>
  <c r="M3329" i="2"/>
  <c r="K3467" i="2"/>
  <c r="N3191" i="2"/>
  <c r="S3480" i="2"/>
  <c r="S3428" i="2"/>
  <c r="H3328" i="2"/>
  <c r="L2981" i="2"/>
  <c r="W3333" i="2"/>
  <c r="V3357" i="2"/>
  <c r="J3514" i="2"/>
  <c r="L3248" i="2"/>
  <c r="M3290" i="2"/>
  <c r="V3222" i="2"/>
  <c r="N3441" i="2"/>
  <c r="L3398" i="2"/>
  <c r="M3492" i="2"/>
  <c r="W2922" i="2"/>
  <c r="I2906" i="2"/>
  <c r="N3038" i="2"/>
  <c r="N2967" i="2"/>
  <c r="C2857" i="2"/>
  <c r="E2984" i="2"/>
  <c r="S2859" i="2"/>
  <c r="W3500" i="2"/>
  <c r="H2568" i="2"/>
  <c r="D2917" i="2"/>
  <c r="O3363" i="2"/>
  <c r="H2974" i="2"/>
  <c r="F3378" i="2"/>
  <c r="N3088" i="2"/>
  <c r="H3236" i="2"/>
  <c r="L3583" i="2"/>
  <c r="M3435" i="2"/>
  <c r="O3436" i="2"/>
  <c r="D2741" i="2"/>
  <c r="W3524" i="2"/>
  <c r="F3607" i="2"/>
  <c r="I3079" i="2"/>
  <c r="H3418" i="2"/>
  <c r="E3043" i="2"/>
  <c r="Q3273" i="2"/>
  <c r="J2816" i="2"/>
  <c r="M3531" i="2"/>
  <c r="D3516" i="2"/>
  <c r="W3368" i="2"/>
  <c r="I3498" i="2"/>
  <c r="E3343" i="2"/>
  <c r="I2941" i="2"/>
  <c r="Q3468" i="2"/>
  <c r="Q3299" i="2"/>
  <c r="Q3479" i="2"/>
  <c r="T3596" i="2"/>
  <c r="I3422" i="2"/>
  <c r="H3069" i="2"/>
  <c r="R1093" i="2"/>
  <c r="P3626" i="2"/>
  <c r="D3152" i="2"/>
  <c r="U3367" i="2"/>
  <c r="R3432" i="2"/>
  <c r="I3093" i="2"/>
  <c r="Q3360" i="2"/>
  <c r="F3149" i="2"/>
  <c r="I3526" i="2"/>
  <c r="Q3454" i="2"/>
  <c r="K3022" i="2"/>
  <c r="O2865" i="2"/>
  <c r="U3101" i="2"/>
  <c r="W2972" i="2"/>
  <c r="I3339" i="2"/>
  <c r="C3615" i="2"/>
  <c r="U3287" i="2"/>
  <c r="C3488" i="2"/>
  <c r="U2549" i="2"/>
  <c r="H3405" i="2"/>
  <c r="I3300" i="2"/>
  <c r="D3358" i="2"/>
  <c r="Q3430" i="2"/>
  <c r="P3414" i="2"/>
  <c r="U3358" i="2"/>
  <c r="S3342" i="2"/>
  <c r="S3372" i="2"/>
  <c r="H3067" i="2"/>
  <c r="I3622" i="2"/>
  <c r="M3484" i="2"/>
  <c r="D3281" i="2"/>
  <c r="N2799" i="2"/>
  <c r="Q3086" i="2"/>
  <c r="H3544" i="2"/>
  <c r="V3449" i="2"/>
  <c r="J3273" i="2"/>
  <c r="S3619" i="2"/>
  <c r="V2949" i="2"/>
  <c r="I3383" i="2"/>
  <c r="N3206" i="2"/>
  <c r="J3338" i="2"/>
  <c r="T3513" i="2"/>
  <c r="P3213" i="2"/>
  <c r="W3151" i="2"/>
  <c r="V3341" i="2"/>
  <c r="Q3007" i="2"/>
  <c r="N2851" i="2"/>
  <c r="N3280" i="2"/>
  <c r="C3292" i="2"/>
  <c r="C2977" i="2"/>
  <c r="R3105" i="2"/>
  <c r="O2644" i="2"/>
  <c r="E3344" i="2"/>
  <c r="D2907" i="2"/>
  <c r="O3470" i="2"/>
  <c r="D3361" i="2"/>
  <c r="W3173" i="2"/>
  <c r="H2150" i="2"/>
  <c r="J2916" i="2"/>
  <c r="U3609" i="2"/>
  <c r="F3493" i="2"/>
  <c r="W2862" i="2"/>
  <c r="V3095" i="2"/>
  <c r="P3332" i="2"/>
  <c r="R3304" i="2"/>
  <c r="R3366" i="2"/>
  <c r="N3283" i="2"/>
  <c r="R3372" i="2"/>
  <c r="C3313" i="2"/>
  <c r="I3109" i="2"/>
  <c r="L3435" i="2"/>
  <c r="P3042" i="2"/>
  <c r="V3399" i="2"/>
  <c r="M2859" i="2"/>
  <c r="S2413" i="2"/>
  <c r="C3317" i="2"/>
  <c r="R3281" i="2"/>
  <c r="I2769" i="2"/>
  <c r="W2621" i="2"/>
  <c r="M3212" i="2"/>
  <c r="G2377" i="2"/>
  <c r="W3274" i="2"/>
  <c r="K3559" i="2"/>
  <c r="D3376" i="2"/>
  <c r="M3275" i="2"/>
  <c r="R2876" i="2"/>
  <c r="W3098" i="2"/>
  <c r="W3181" i="2"/>
  <c r="P3104" i="2"/>
  <c r="M3482" i="2"/>
  <c r="R3455" i="2"/>
  <c r="S2903" i="2"/>
  <c r="U3300" i="2"/>
  <c r="S2947" i="2"/>
  <c r="U3476" i="2"/>
  <c r="V3302" i="2"/>
  <c r="F2646" i="2"/>
  <c r="Q3002" i="2"/>
  <c r="N3141" i="2"/>
  <c r="P3629" i="2"/>
  <c r="D3083" i="2"/>
  <c r="H3369" i="2"/>
  <c r="J3390" i="2"/>
  <c r="N3555" i="2"/>
  <c r="I3332" i="2"/>
  <c r="U3198" i="2"/>
  <c r="T3204" i="2"/>
  <c r="H3166" i="2"/>
  <c r="V3511" i="2"/>
  <c r="S3237" i="2"/>
  <c r="G3544" i="2"/>
  <c r="M3151" i="2"/>
  <c r="O2894" i="2"/>
  <c r="T3024" i="2"/>
  <c r="T3467" i="2"/>
  <c r="N3365" i="2"/>
  <c r="G3320" i="2"/>
  <c r="E3460" i="2"/>
  <c r="M3156" i="2"/>
  <c r="J3336" i="2"/>
  <c r="W3016" i="2"/>
  <c r="P3286" i="2"/>
  <c r="S3124" i="2"/>
  <c r="R3267" i="2"/>
  <c r="Q3225" i="2"/>
  <c r="P3151" i="2"/>
  <c r="I2982" i="2"/>
  <c r="S3392" i="2"/>
  <c r="I3460" i="2"/>
  <c r="P3233" i="2"/>
  <c r="G2861" i="2"/>
  <c r="L3307" i="2"/>
  <c r="K3563" i="2"/>
  <c r="E3114" i="2"/>
  <c r="I2976" i="2"/>
  <c r="S3564" i="2"/>
  <c r="S2983" i="2"/>
  <c r="E2590" i="2"/>
  <c r="D2794" i="2"/>
  <c r="U2854" i="2"/>
  <c r="P3510" i="2"/>
  <c r="S3389" i="2"/>
  <c r="V2971" i="2"/>
  <c r="D3041" i="2"/>
  <c r="W3039" i="2"/>
  <c r="M3362" i="2"/>
  <c r="K3613" i="2"/>
  <c r="Q2473" i="2"/>
  <c r="C3258" i="2"/>
  <c r="L3597" i="2"/>
  <c r="L3626" i="2"/>
  <c r="M3595" i="2"/>
  <c r="K2879" i="2"/>
  <c r="H3421" i="2"/>
  <c r="L3335" i="2"/>
  <c r="V2618" i="2"/>
  <c r="J3525" i="2"/>
  <c r="F3339" i="2"/>
  <c r="M3390" i="2"/>
  <c r="E3161" i="2"/>
  <c r="R3052" i="2"/>
  <c r="G3119" i="2"/>
  <c r="G3308" i="2"/>
  <c r="S3547" i="2"/>
  <c r="H3409" i="2"/>
  <c r="I3220" i="2"/>
  <c r="N3337" i="2"/>
  <c r="V3478" i="2"/>
  <c r="E3151" i="2"/>
  <c r="L3185" i="2"/>
  <c r="F3430" i="2"/>
  <c r="E3420" i="2"/>
  <c r="W2900" i="2"/>
  <c r="W3309" i="2"/>
  <c r="U3427" i="2"/>
  <c r="T2979" i="2"/>
  <c r="J2613" i="2"/>
  <c r="O2612" i="2"/>
  <c r="H3267" i="2"/>
  <c r="U2677" i="2"/>
  <c r="E3253" i="2"/>
  <c r="M2610" i="2"/>
  <c r="O2914" i="2"/>
  <c r="F3204" i="2"/>
  <c r="W2850" i="2"/>
  <c r="O3619" i="2"/>
  <c r="U3284" i="2"/>
  <c r="K2416" i="2"/>
  <c r="R3032" i="2"/>
  <c r="N3544" i="2"/>
  <c r="E3477" i="2"/>
  <c r="O3124" i="2"/>
  <c r="U3389" i="2"/>
  <c r="H3367" i="2"/>
  <c r="R3166" i="2"/>
  <c r="W3265" i="2"/>
  <c r="S3555" i="2"/>
  <c r="V3438" i="2"/>
  <c r="F3406" i="2"/>
  <c r="C3109" i="2"/>
  <c r="W3542" i="2"/>
  <c r="K2958" i="2"/>
  <c r="M3424" i="2"/>
  <c r="O3227" i="2"/>
  <c r="S3293" i="2"/>
  <c r="F3439" i="2"/>
  <c r="I3234" i="2"/>
  <c r="K3260" i="2"/>
  <c r="I2806" i="2"/>
  <c r="R3491" i="2"/>
  <c r="S3567" i="2"/>
  <c r="J2936" i="2"/>
  <c r="D3064" i="2"/>
  <c r="T2608" i="2"/>
  <c r="L3375" i="2"/>
  <c r="E3307" i="2"/>
  <c r="J3493" i="2"/>
  <c r="C3427" i="2"/>
  <c r="M3306" i="2"/>
  <c r="Q2580" i="2"/>
  <c r="N3152" i="2"/>
  <c r="G3025" i="2"/>
  <c r="G3555" i="2"/>
  <c r="L3562" i="2"/>
  <c r="W3435" i="2"/>
  <c r="V3220" i="2"/>
  <c r="H3317" i="2"/>
  <c r="W3227" i="2"/>
  <c r="W3453" i="2"/>
  <c r="C3008" i="2"/>
  <c r="G3044" i="2"/>
  <c r="O3401" i="2"/>
  <c r="M3248" i="2"/>
  <c r="R3385" i="2"/>
  <c r="H3175" i="2"/>
  <c r="N3549" i="2"/>
  <c r="F3020" i="2"/>
  <c r="G3559" i="2"/>
  <c r="V3476" i="2"/>
  <c r="Q3257" i="2"/>
  <c r="O3187" i="2"/>
  <c r="U1482" i="2"/>
  <c r="F3424" i="2"/>
  <c r="F3540" i="2"/>
  <c r="O2513" i="2"/>
  <c r="I3069" i="2"/>
  <c r="C3153" i="2"/>
  <c r="N3228" i="2"/>
  <c r="G3227" i="2"/>
  <c r="K3269" i="2"/>
  <c r="G3048" i="2"/>
  <c r="J3201" i="2"/>
  <c r="L3173" i="2"/>
  <c r="I3071" i="2"/>
  <c r="I3392" i="2"/>
  <c r="P3545" i="2"/>
  <c r="O3455" i="2"/>
  <c r="E2823" i="2"/>
  <c r="F2894" i="2"/>
  <c r="W3326" i="2"/>
  <c r="S3420" i="2"/>
  <c r="O3358" i="2"/>
  <c r="W3556" i="2"/>
  <c r="I3484" i="2"/>
  <c r="D3521" i="2"/>
  <c r="T3507" i="2"/>
  <c r="O3326" i="2"/>
  <c r="O3250" i="2"/>
  <c r="P3362" i="2"/>
  <c r="F3556" i="2"/>
  <c r="P2897" i="2"/>
  <c r="E2631" i="2"/>
  <c r="N2645" i="2"/>
  <c r="J3393" i="2"/>
  <c r="T2518" i="2"/>
  <c r="G3134" i="2"/>
  <c r="D2935" i="2"/>
  <c r="G3232" i="2"/>
  <c r="G3224" i="2"/>
  <c r="E3057" i="2"/>
  <c r="R2304" i="2"/>
  <c r="J3367" i="2"/>
  <c r="G3153" i="2"/>
  <c r="U3349" i="2"/>
  <c r="G3467" i="2"/>
  <c r="H3298" i="2"/>
  <c r="I3485" i="2"/>
  <c r="G3416" i="2"/>
  <c r="L2975" i="2"/>
  <c r="L3280" i="2"/>
  <c r="S3477" i="2"/>
  <c r="F3148" i="2"/>
  <c r="G3358" i="2"/>
  <c r="D3229" i="2"/>
  <c r="P3433" i="2"/>
  <c r="L2985" i="2"/>
  <c r="P3457" i="2"/>
  <c r="H2498" i="2"/>
  <c r="K3040" i="2"/>
  <c r="Q3460" i="2"/>
  <c r="M2907" i="2"/>
  <c r="P2830" i="2"/>
  <c r="H2482" i="2"/>
  <c r="R3475" i="2"/>
  <c r="J3018" i="2"/>
  <c r="S3347" i="2"/>
  <c r="P3344" i="2"/>
  <c r="N3011" i="2"/>
  <c r="T3520" i="2"/>
  <c r="J3611" i="2"/>
  <c r="G3050" i="2"/>
  <c r="O2945" i="2"/>
  <c r="L2873" i="2"/>
  <c r="K3369" i="2"/>
  <c r="R2442" i="2"/>
  <c r="N2735" i="2"/>
  <c r="H2844" i="2"/>
  <c r="L2353" i="2"/>
  <c r="S2835" i="2"/>
  <c r="J3488" i="2"/>
  <c r="K2895" i="2"/>
  <c r="E2695" i="2"/>
  <c r="V3535" i="2"/>
  <c r="U2829" i="2"/>
  <c r="G3427" i="2"/>
  <c r="R3206" i="2"/>
  <c r="C3528" i="2"/>
  <c r="U3560" i="2"/>
  <c r="N3546" i="2"/>
  <c r="V3370" i="2"/>
  <c r="J3348" i="2"/>
  <c r="V3187" i="2"/>
  <c r="K2834" i="2"/>
  <c r="L3284" i="2"/>
  <c r="C3091" i="2"/>
  <c r="D3164" i="2"/>
  <c r="R1585" i="2"/>
  <c r="R2750" i="2"/>
  <c r="K3215" i="2"/>
  <c r="I3427" i="2"/>
  <c r="N3256" i="2"/>
  <c r="L2939" i="2"/>
  <c r="R2719" i="2"/>
  <c r="J2484" i="2"/>
  <c r="V3523" i="2"/>
  <c r="G3313" i="2"/>
  <c r="N3382" i="2"/>
  <c r="E3230" i="2"/>
  <c r="D3628" i="2"/>
  <c r="J3475" i="2"/>
  <c r="F3164" i="2"/>
  <c r="T3309" i="2"/>
  <c r="G3207" i="2"/>
  <c r="H2764" i="2"/>
  <c r="R3601" i="2"/>
  <c r="Q2861" i="2"/>
  <c r="I3140" i="2"/>
  <c r="N3398" i="2"/>
  <c r="T3485" i="2"/>
  <c r="M3550" i="2"/>
  <c r="L3294" i="2"/>
  <c r="T3130" i="2"/>
  <c r="L3254" i="2"/>
  <c r="O3275" i="2"/>
  <c r="H3543" i="2"/>
  <c r="T3220" i="2"/>
  <c r="J3432" i="2"/>
  <c r="H2973" i="2"/>
  <c r="G3004" i="2"/>
  <c r="G3461" i="2"/>
  <c r="H3373" i="2"/>
  <c r="D3366" i="2"/>
  <c r="D2790" i="2"/>
  <c r="N3420" i="2"/>
  <c r="S2820" i="2"/>
  <c r="J2584" i="2"/>
  <c r="N2884" i="2"/>
  <c r="M3439" i="2"/>
  <c r="J3377" i="2"/>
  <c r="W3061" i="2"/>
  <c r="N3095" i="2"/>
  <c r="F3518" i="2"/>
  <c r="H3625" i="2"/>
  <c r="U3535" i="2"/>
  <c r="S3254" i="2"/>
  <c r="U3496" i="2"/>
  <c r="M3209" i="2"/>
  <c r="L3264" i="2"/>
  <c r="L3084" i="2"/>
  <c r="P3034" i="2"/>
  <c r="L3298" i="2"/>
  <c r="R3577" i="2"/>
  <c r="S3235" i="2"/>
  <c r="V3377" i="2"/>
  <c r="P3611" i="2"/>
  <c r="P3561" i="2"/>
  <c r="E3331" i="2"/>
  <c r="J3579" i="2"/>
  <c r="J3404" i="2"/>
  <c r="D3288" i="2"/>
  <c r="N2468" i="2"/>
  <c r="P3240" i="2"/>
  <c r="O3566" i="2"/>
  <c r="M2671" i="2"/>
  <c r="H3468" i="2"/>
  <c r="D3463" i="2"/>
  <c r="H3274" i="2"/>
  <c r="T3365" i="2"/>
  <c r="K3589" i="2"/>
  <c r="J3324" i="2"/>
  <c r="H3156" i="2"/>
  <c r="D2498" i="2"/>
  <c r="D3260" i="2"/>
  <c r="H2811" i="2"/>
  <c r="F3408" i="2"/>
  <c r="G3249" i="2"/>
  <c r="L3031" i="2"/>
  <c r="V3259" i="2"/>
  <c r="I2948" i="2"/>
  <c r="G2180" i="2"/>
  <c r="U3308" i="2"/>
  <c r="K2381" i="2"/>
  <c r="D3194" i="2"/>
  <c r="H3582" i="2"/>
  <c r="G3376" i="2"/>
  <c r="V2468" i="2"/>
  <c r="M3540" i="2"/>
  <c r="N3251" i="2"/>
  <c r="W3204" i="2"/>
  <c r="N3447" i="2"/>
  <c r="F3414" i="2"/>
  <c r="G3258" i="2"/>
  <c r="E2581" i="2"/>
  <c r="O2870" i="2"/>
  <c r="W2637" i="2"/>
  <c r="W3496" i="2"/>
  <c r="V3460" i="2"/>
  <c r="V3226" i="2"/>
  <c r="O3483" i="2"/>
  <c r="C3164" i="2"/>
  <c r="S2934" i="2"/>
  <c r="J2941" i="2"/>
  <c r="W3339" i="2"/>
  <c r="O1911" i="2"/>
  <c r="P2646" i="2"/>
  <c r="L3519" i="2"/>
  <c r="I3436" i="2"/>
  <c r="O3501" i="2"/>
  <c r="D2434" i="2"/>
  <c r="L2701" i="2"/>
  <c r="L2785" i="2"/>
  <c r="U3370" i="2"/>
  <c r="D2358" i="2"/>
  <c r="T2762" i="2"/>
  <c r="T3393" i="2"/>
  <c r="D3540" i="2"/>
  <c r="J3616" i="2"/>
  <c r="R3428" i="2"/>
  <c r="U3492" i="2"/>
  <c r="O2611" i="2"/>
  <c r="I2897" i="2"/>
  <c r="N3526" i="2"/>
  <c r="J3512" i="2"/>
  <c r="P3539" i="2"/>
  <c r="L3568" i="2"/>
  <c r="G3527" i="2"/>
  <c r="M3246" i="2"/>
  <c r="H3407" i="2"/>
  <c r="G3322" i="2"/>
  <c r="V3407" i="2"/>
  <c r="O3594" i="2"/>
  <c r="O3564" i="2"/>
  <c r="T3451" i="2"/>
  <c r="S3414" i="2"/>
  <c r="U3591" i="2"/>
  <c r="L3532" i="2"/>
  <c r="D3277" i="2"/>
  <c r="D3584" i="2"/>
  <c r="D2940" i="2"/>
  <c r="I3165" i="2"/>
  <c r="G2825" i="2"/>
  <c r="I3591" i="2"/>
  <c r="C2112" i="2"/>
  <c r="C3409" i="2"/>
  <c r="C3419" i="2"/>
  <c r="T3011" i="2"/>
  <c r="F3516" i="2"/>
  <c r="C3434" i="2"/>
  <c r="C2241" i="2"/>
  <c r="S3306" i="2"/>
  <c r="W3325" i="2"/>
  <c r="G3133" i="2"/>
  <c r="T3447" i="2"/>
  <c r="D3114" i="2"/>
  <c r="R3587" i="2"/>
  <c r="U3542" i="2"/>
  <c r="K3192" i="2"/>
  <c r="O3322" i="2"/>
  <c r="T3400" i="2"/>
  <c r="H3194" i="2"/>
  <c r="H3514" i="2"/>
  <c r="Q3579" i="2"/>
  <c r="R3417" i="2"/>
  <c r="R2747" i="2"/>
  <c r="U2909" i="2"/>
  <c r="V3391" i="2"/>
  <c r="K3176" i="2"/>
  <c r="G3065" i="2"/>
  <c r="W2825" i="2"/>
  <c r="G3562" i="2"/>
  <c r="L3381" i="2"/>
  <c r="R3182" i="2"/>
  <c r="P3216" i="2"/>
  <c r="G3123" i="2"/>
  <c r="U3055" i="2"/>
  <c r="T3512" i="2"/>
  <c r="T3208" i="2"/>
  <c r="K3452" i="2"/>
  <c r="G3347" i="2"/>
  <c r="P3583" i="2"/>
  <c r="U3351" i="2"/>
  <c r="H3231" i="2"/>
  <c r="I3579" i="2"/>
  <c r="T3213" i="2"/>
  <c r="C2303" i="2"/>
  <c r="N3617" i="2"/>
  <c r="L3490" i="2"/>
  <c r="H3228" i="2"/>
  <c r="H3251" i="2"/>
  <c r="Q3229" i="2"/>
  <c r="L1859" i="2"/>
  <c r="T2970" i="2"/>
  <c r="W2589" i="2"/>
  <c r="L3263" i="2"/>
  <c r="S3239" i="2"/>
  <c r="E2826" i="2"/>
  <c r="U3426" i="2"/>
  <c r="U3585" i="2"/>
  <c r="D3026" i="2"/>
  <c r="I3218" i="2"/>
  <c r="M2909" i="2"/>
  <c r="W3057" i="2"/>
  <c r="C3168" i="2"/>
  <c r="Q3370" i="2"/>
  <c r="P2441" i="2"/>
  <c r="G3102" i="2"/>
  <c r="E3612" i="2"/>
  <c r="G3208" i="2"/>
  <c r="V3425" i="2"/>
  <c r="D2285" i="2"/>
  <c r="P3543" i="2"/>
  <c r="G3172" i="2"/>
  <c r="Q3173" i="2"/>
  <c r="H3063" i="2"/>
  <c r="Q3409" i="2"/>
  <c r="H3076" i="2"/>
  <c r="D3259" i="2"/>
  <c r="U3538" i="2"/>
  <c r="J2843" i="2"/>
  <c r="C3275" i="2"/>
  <c r="R3022" i="2"/>
  <c r="F3565" i="2"/>
  <c r="G3484" i="2"/>
  <c r="Q3364" i="2"/>
  <c r="V3075" i="2"/>
  <c r="H3168" i="2"/>
  <c r="P3628" i="2"/>
  <c r="L3478" i="2"/>
  <c r="P2905" i="2"/>
  <c r="O3423" i="2"/>
  <c r="I3267" i="2"/>
  <c r="M2349" i="2"/>
  <c r="F2504" i="2"/>
  <c r="U2264" i="2"/>
  <c r="K1925" i="2"/>
  <c r="N2742" i="2"/>
  <c r="W3103" i="2"/>
  <c r="Q3425" i="2"/>
  <c r="I3245" i="2"/>
  <c r="Q3472" i="2"/>
  <c r="I3241" i="2"/>
  <c r="C3394" i="2"/>
  <c r="H3206" i="2"/>
  <c r="F3505" i="2"/>
  <c r="L3133" i="2"/>
  <c r="P3158" i="2"/>
  <c r="V2650" i="2"/>
  <c r="Q3169" i="2"/>
  <c r="V3241" i="2"/>
  <c r="S2799" i="2"/>
  <c r="G2232" i="2"/>
  <c r="T2850" i="2"/>
  <c r="J2964" i="2"/>
  <c r="N3393" i="2"/>
  <c r="C3246" i="2"/>
  <c r="V2824" i="2"/>
  <c r="U3003" i="2"/>
  <c r="T3381" i="2"/>
  <c r="I3276" i="2"/>
  <c r="Q3324" i="2"/>
  <c r="N3150" i="2"/>
  <c r="R2554" i="2"/>
  <c r="L2817" i="2"/>
  <c r="K2925" i="2"/>
  <c r="T3627" i="2"/>
  <c r="K3619" i="2"/>
  <c r="F3131" i="2"/>
  <c r="E2861" i="2"/>
  <c r="G3024" i="2"/>
  <c r="K3185" i="2"/>
  <c r="D3398" i="2"/>
  <c r="D2842" i="2"/>
  <c r="V3462" i="2"/>
  <c r="Q3258" i="2"/>
  <c r="Q3340" i="2"/>
  <c r="T3268" i="2"/>
  <c r="D2501" i="2"/>
  <c r="E3534" i="2"/>
  <c r="S3444" i="2"/>
  <c r="F3350" i="2"/>
  <c r="G3304" i="2"/>
  <c r="K2821" i="2"/>
  <c r="I3551" i="2"/>
  <c r="H3458" i="2"/>
  <c r="L2805" i="2"/>
  <c r="R3410" i="2"/>
  <c r="T3464" i="2"/>
  <c r="F2884" i="2"/>
  <c r="E3204" i="2"/>
  <c r="H3264" i="2"/>
  <c r="U3070" i="2"/>
  <c r="Q3354" i="2"/>
  <c r="R2966" i="2"/>
  <c r="H3115" i="2"/>
  <c r="T3203" i="2"/>
  <c r="M3218" i="2"/>
  <c r="C2942" i="2"/>
  <c r="V2710" i="2"/>
  <c r="H1869" i="2"/>
  <c r="R3083" i="2"/>
  <c r="D2761" i="2"/>
  <c r="M3065" i="2"/>
  <c r="F3471" i="2"/>
  <c r="F3320" i="2"/>
  <c r="C3024" i="2"/>
  <c r="K3479" i="2"/>
  <c r="U2758" i="2"/>
  <c r="Q3476" i="2"/>
  <c r="Q3118" i="2"/>
  <c r="O3267" i="2"/>
  <c r="N3278" i="2"/>
  <c r="N2995" i="2"/>
  <c r="S2704" i="2"/>
  <c r="C3227" i="2"/>
  <c r="J3356" i="2"/>
  <c r="E2859" i="2"/>
  <c r="L2987" i="2"/>
  <c r="K3181" i="2"/>
  <c r="K3232" i="2"/>
  <c r="E3537" i="2"/>
  <c r="S1459" i="2"/>
  <c r="E3486" i="2"/>
  <c r="D3189" i="2"/>
  <c r="Q3377" i="2"/>
  <c r="J2780" i="2"/>
  <c r="K3502" i="2"/>
  <c r="N3567" i="2"/>
  <c r="V3322" i="2"/>
  <c r="D3548" i="2"/>
  <c r="H3456" i="2"/>
  <c r="J3030" i="2"/>
  <c r="S3231" i="2"/>
  <c r="P3126" i="2"/>
  <c r="S3180" i="2"/>
  <c r="W3469" i="2"/>
  <c r="P3008" i="2"/>
  <c r="F2984" i="2"/>
  <c r="Q3423" i="2"/>
  <c r="M3603" i="2"/>
  <c r="G3597" i="2"/>
  <c r="T2786" i="2"/>
  <c r="K3425" i="2"/>
  <c r="C3504" i="2"/>
  <c r="S3038" i="2"/>
  <c r="V3354" i="2"/>
  <c r="D3500" i="2"/>
  <c r="D2982" i="2"/>
  <c r="Q3053" i="2"/>
  <c r="C3399" i="2"/>
  <c r="Q2756" i="2"/>
  <c r="V3336" i="2"/>
  <c r="N3231" i="2"/>
  <c r="K2785" i="2"/>
  <c r="F3380" i="2"/>
  <c r="O3246" i="2"/>
  <c r="Q3366" i="2"/>
  <c r="S2536" i="2"/>
  <c r="K3432" i="2"/>
  <c r="M3328" i="2"/>
  <c r="U3312" i="2"/>
  <c r="U3213" i="2"/>
  <c r="E3621" i="2"/>
  <c r="L3257" i="2"/>
  <c r="I3356" i="2"/>
  <c r="K3492" i="2"/>
  <c r="P3020" i="2"/>
  <c r="F3525" i="2"/>
  <c r="S3107" i="2"/>
  <c r="K3530" i="2"/>
  <c r="H3445" i="2"/>
  <c r="V3158" i="2"/>
  <c r="J3622" i="2"/>
  <c r="Q3248" i="2"/>
  <c r="H3119" i="2"/>
  <c r="C2595" i="2"/>
  <c r="R2792" i="2"/>
  <c r="T3419" i="2"/>
  <c r="D3038" i="2"/>
  <c r="U2781" i="2"/>
  <c r="K3109" i="2"/>
  <c r="T2882" i="2"/>
  <c r="S3373" i="2"/>
  <c r="N3039" i="2"/>
  <c r="O3366" i="2"/>
  <c r="K3243" i="2"/>
  <c r="W3454" i="2"/>
  <c r="H3402" i="2"/>
  <c r="W3222" i="2"/>
  <c r="U3518" i="2"/>
  <c r="J3619" i="2"/>
  <c r="V2742" i="2"/>
  <c r="I3303" i="2"/>
  <c r="O3618" i="2"/>
  <c r="G3465" i="2"/>
  <c r="V3549" i="2"/>
  <c r="C3181" i="2"/>
  <c r="E2806" i="2"/>
  <c r="U3324" i="2"/>
  <c r="D3339" i="2"/>
  <c r="S3156" i="2"/>
  <c r="O3009" i="2"/>
  <c r="W3580" i="2"/>
  <c r="C3159" i="2"/>
  <c r="F3086" i="2"/>
  <c r="P3549" i="2"/>
  <c r="D3247" i="2"/>
  <c r="I3353" i="2"/>
  <c r="T3192" i="2"/>
  <c r="P3007" i="2"/>
  <c r="P3557" i="2"/>
  <c r="N2741" i="2"/>
  <c r="U3362" i="2"/>
  <c r="I3197" i="2"/>
  <c r="C3521" i="2"/>
  <c r="U3514" i="2"/>
  <c r="S3486" i="2"/>
  <c r="Q3602" i="2"/>
  <c r="R3409" i="2"/>
  <c r="U3005" i="2"/>
  <c r="E3339" i="2"/>
  <c r="N3558" i="2"/>
  <c r="L2782" i="2"/>
  <c r="S3337" i="2"/>
  <c r="S2937" i="2"/>
  <c r="V3242" i="2"/>
  <c r="L3610" i="2"/>
  <c r="W3071" i="2"/>
  <c r="S3037" i="2"/>
  <c r="G2728" i="2"/>
  <c r="P3143" i="2"/>
  <c r="P2804" i="2"/>
  <c r="W3447" i="2"/>
  <c r="N2999" i="2"/>
  <c r="C3045" i="2"/>
  <c r="E3250" i="2"/>
  <c r="W3416" i="2"/>
  <c r="C3290" i="2"/>
  <c r="C2781" i="2"/>
  <c r="D3093" i="2"/>
  <c r="T3166" i="2"/>
  <c r="S3447" i="2"/>
  <c r="I3573" i="2"/>
  <c r="C3240" i="2"/>
  <c r="R3578" i="2"/>
  <c r="E2958" i="2"/>
  <c r="R3159" i="2"/>
  <c r="N2824" i="2"/>
  <c r="T3465" i="2"/>
  <c r="K3578" i="2"/>
  <c r="I3271" i="2"/>
  <c r="E3109" i="2"/>
  <c r="T2138" i="2"/>
  <c r="V3541" i="2"/>
  <c r="I3357" i="2"/>
  <c r="I3306" i="2"/>
  <c r="O3302" i="2"/>
  <c r="E3427" i="2"/>
  <c r="W3374" i="2"/>
  <c r="C3624" i="2"/>
  <c r="M2926" i="2"/>
  <c r="V3213" i="2"/>
  <c r="V2781" i="2"/>
  <c r="O3196" i="2"/>
  <c r="T2927" i="2"/>
  <c r="L2349" i="2"/>
  <c r="K3594" i="2"/>
  <c r="K3433" i="2"/>
  <c r="W2829" i="2"/>
  <c r="E3419" i="2"/>
  <c r="S3611" i="2"/>
  <c r="K3305" i="2"/>
  <c r="J3524" i="2"/>
  <c r="N3484" i="2"/>
  <c r="E2999" i="2"/>
  <c r="K3230" i="2"/>
  <c r="K2933" i="2"/>
  <c r="R3544" i="2"/>
  <c r="N3240" i="2"/>
  <c r="W2833" i="2"/>
  <c r="I2782" i="2"/>
  <c r="U3249" i="2"/>
  <c r="V3590" i="2"/>
  <c r="R3245" i="2"/>
  <c r="L3408" i="2"/>
  <c r="E2988" i="2"/>
  <c r="I3277" i="2"/>
  <c r="E3620" i="2"/>
  <c r="M2732" i="2"/>
  <c r="G3167" i="2"/>
  <c r="L2760" i="2"/>
  <c r="W3316" i="2"/>
  <c r="O3524" i="2"/>
  <c r="Q3154" i="2"/>
  <c r="S2152" i="2"/>
  <c r="C3092" i="2"/>
  <c r="I2881" i="2"/>
  <c r="K3626" i="2"/>
  <c r="M3600" i="2"/>
  <c r="N3373" i="2"/>
  <c r="W3324" i="2"/>
  <c r="F3136" i="2"/>
  <c r="E3076" i="2"/>
  <c r="P3048" i="2"/>
  <c r="S2963" i="2"/>
  <c r="R2848" i="2"/>
  <c r="F3383" i="2"/>
  <c r="K3375" i="2"/>
  <c r="Q3348" i="2"/>
  <c r="L3419" i="2"/>
  <c r="N3291" i="2"/>
  <c r="J3613" i="2"/>
  <c r="W3504" i="2"/>
  <c r="Q3359" i="2"/>
  <c r="R3249" i="2"/>
  <c r="K3442" i="2"/>
  <c r="S3148" i="2"/>
  <c r="Q3259" i="2"/>
  <c r="R3210" i="2"/>
  <c r="M2981" i="2"/>
  <c r="D3499" i="2"/>
  <c r="I3554" i="2"/>
  <c r="D3615" i="2"/>
  <c r="O3367" i="2"/>
  <c r="E3434" i="2"/>
  <c r="P3621" i="2"/>
  <c r="N3581" i="2"/>
  <c r="N3387" i="2"/>
  <c r="S3582" i="2"/>
  <c r="T3618" i="2"/>
  <c r="H3515" i="2"/>
  <c r="D3424" i="2"/>
  <c r="N3455" i="2"/>
  <c r="T3182" i="2"/>
  <c r="K3006" i="2"/>
  <c r="T2776" i="2"/>
  <c r="R3017" i="2"/>
  <c r="R3411" i="2"/>
  <c r="H3245" i="2"/>
  <c r="K3427" i="2"/>
  <c r="F3302" i="2"/>
  <c r="Q3362" i="2"/>
  <c r="O3599" i="2"/>
  <c r="M3147" i="2"/>
  <c r="I3563" i="2"/>
  <c r="O3230" i="2"/>
  <c r="G3361" i="2"/>
  <c r="U3133" i="2"/>
  <c r="Q3285" i="2"/>
  <c r="H2769" i="2"/>
  <c r="J3458" i="2"/>
  <c r="K3090" i="2"/>
  <c r="G3062" i="2"/>
  <c r="C3283" i="2"/>
  <c r="V3202" i="2"/>
  <c r="M3243" i="2"/>
  <c r="P2647" i="2"/>
  <c r="H3447" i="2"/>
  <c r="O1899" i="2"/>
  <c r="E3223" i="2"/>
  <c r="G3234" i="2"/>
  <c r="R3113" i="2"/>
  <c r="N3142" i="2"/>
  <c r="E3280" i="2"/>
  <c r="L3325" i="2"/>
  <c r="J3271" i="2"/>
  <c r="F3490" i="2"/>
  <c r="V2638" i="2"/>
  <c r="L3146" i="2"/>
  <c r="U3582" i="2"/>
  <c r="Q3450" i="2"/>
  <c r="Q2877" i="2"/>
  <c r="V3198" i="2"/>
  <c r="L3449" i="2"/>
  <c r="J3556" i="2"/>
  <c r="R2244" i="2"/>
  <c r="P3473" i="2"/>
  <c r="T3134" i="2"/>
  <c r="R3067" i="2"/>
  <c r="N1908" i="2"/>
  <c r="H3170" i="2"/>
  <c r="L2145" i="2"/>
  <c r="N3232" i="2"/>
  <c r="U3594" i="2"/>
  <c r="N2947" i="2"/>
  <c r="P3132" i="2"/>
  <c r="S3410" i="2"/>
  <c r="S3168" i="2"/>
  <c r="C2928" i="2"/>
  <c r="T3529" i="2"/>
  <c r="D3201" i="2"/>
  <c r="V3062" i="2"/>
  <c r="M3016" i="2"/>
  <c r="O3624" i="2"/>
  <c r="J3563" i="2"/>
  <c r="H3091" i="2"/>
  <c r="V2872" i="2"/>
  <c r="R3318" i="2"/>
  <c r="M3560" i="2"/>
  <c r="U2966" i="2"/>
  <c r="N2804" i="2"/>
  <c r="J2852" i="2"/>
  <c r="N3318" i="2"/>
  <c r="E3605" i="2"/>
  <c r="C3237" i="2"/>
  <c r="S3115" i="2"/>
  <c r="E3213" i="2"/>
  <c r="R3139" i="2"/>
  <c r="R3213" i="2"/>
  <c r="D3445" i="2"/>
  <c r="I2921" i="2"/>
  <c r="J3265" i="2"/>
  <c r="F2996" i="2"/>
  <c r="M3428" i="2"/>
  <c r="T3018" i="2"/>
  <c r="W2970" i="2"/>
  <c r="R2384" i="2"/>
  <c r="G3570" i="2"/>
  <c r="C3133" i="2"/>
  <c r="Q3342" i="2"/>
  <c r="Q3220" i="2"/>
  <c r="G3205" i="2"/>
  <c r="F3094" i="2"/>
  <c r="O3041" i="2"/>
  <c r="N3155" i="2"/>
  <c r="H2577" i="2"/>
  <c r="Q2873" i="2"/>
  <c r="G2717" i="2"/>
  <c r="S3030" i="2"/>
  <c r="P2516" i="2"/>
  <c r="K3151" i="2"/>
  <c r="R3447" i="2"/>
  <c r="Q3144" i="2"/>
  <c r="T3142" i="2"/>
  <c r="F3017" i="2"/>
  <c r="W3366" i="2"/>
  <c r="W2201" i="2"/>
  <c r="T2338" i="2"/>
  <c r="F3088" i="2"/>
  <c r="J3333" i="2"/>
  <c r="K3357" i="2"/>
  <c r="I2753" i="2"/>
  <c r="V2414" i="2"/>
  <c r="R2986" i="2"/>
  <c r="J3248" i="2"/>
  <c r="L3166" i="2"/>
  <c r="G2875" i="2"/>
  <c r="H3355" i="2"/>
  <c r="W3193" i="2"/>
  <c r="K3557" i="2"/>
  <c r="L3276" i="2"/>
  <c r="W3250" i="2"/>
  <c r="H3413" i="2"/>
  <c r="H810" i="2"/>
  <c r="V3324" i="2"/>
  <c r="T3297" i="2"/>
  <c r="L2688" i="2"/>
  <c r="R3101" i="2"/>
  <c r="R2920" i="2"/>
  <c r="K2971" i="2"/>
  <c r="I3198" i="2"/>
  <c r="G2619" i="2"/>
  <c r="V3201" i="2"/>
  <c r="R3167" i="2"/>
  <c r="H3106" i="2"/>
  <c r="R2897" i="2"/>
  <c r="O3027" i="2"/>
  <c r="M2318" i="2"/>
  <c r="Q3013" i="2"/>
  <c r="C2947" i="2"/>
  <c r="J3022" i="2"/>
  <c r="O2453" i="2"/>
  <c r="Q2082" i="2"/>
  <c r="S2330" i="2"/>
  <c r="J1896" i="2"/>
  <c r="I3367" i="2"/>
  <c r="J2981" i="2"/>
  <c r="W3330" i="2"/>
  <c r="T3492" i="2"/>
  <c r="O3216" i="2"/>
  <c r="H2977" i="2"/>
  <c r="Q3507" i="2"/>
  <c r="C2848" i="2"/>
  <c r="L3249" i="2"/>
  <c r="C2929" i="2"/>
  <c r="D3487" i="2"/>
  <c r="S3345" i="2"/>
  <c r="F3570" i="2"/>
  <c r="I3292" i="2"/>
  <c r="G3528" i="2"/>
  <c r="P3100" i="2"/>
  <c r="K3471" i="2"/>
  <c r="G3515" i="2"/>
  <c r="T3059" i="2"/>
  <c r="G3143" i="2"/>
  <c r="N3511" i="2"/>
  <c r="R2730" i="2"/>
  <c r="F3201" i="2"/>
  <c r="L3132" i="2"/>
  <c r="W3585" i="2"/>
  <c r="L3339" i="2"/>
  <c r="O3357" i="2"/>
  <c r="V2896" i="2"/>
  <c r="D3569" i="2"/>
  <c r="R3089" i="2"/>
  <c r="T3404" i="2"/>
  <c r="U3419" i="2"/>
  <c r="V3626" i="2"/>
  <c r="U3210" i="2"/>
  <c r="R3327" i="2"/>
  <c r="G2835" i="2"/>
  <c r="D3405" i="2"/>
  <c r="V2406" i="2"/>
  <c r="R3488" i="2"/>
  <c r="F2863" i="2"/>
  <c r="V2224" i="2"/>
  <c r="U2877" i="2"/>
  <c r="I3417" i="2"/>
  <c r="J3134" i="2"/>
  <c r="Q3185" i="2"/>
  <c r="U3394" i="2"/>
  <c r="N3536" i="2"/>
  <c r="W2418" i="2"/>
  <c r="Q2477" i="2"/>
  <c r="G3580" i="2"/>
  <c r="Q2445" i="2"/>
  <c r="P2225" i="2"/>
  <c r="U3095" i="2"/>
  <c r="L2795" i="2"/>
  <c r="S3214" i="2"/>
  <c r="S3242" i="2"/>
  <c r="K3431" i="2"/>
  <c r="D3437" i="2"/>
  <c r="J3162" i="2"/>
  <c r="I2787" i="2"/>
  <c r="J3605" i="2"/>
  <c r="Q3317" i="2"/>
  <c r="W3099" i="2"/>
  <c r="F3502" i="2"/>
  <c r="F3300" i="2"/>
  <c r="T2998" i="2"/>
  <c r="W2781" i="2"/>
  <c r="S3455" i="2"/>
  <c r="H3365" i="2"/>
  <c r="G3438" i="2"/>
  <c r="U3325" i="2"/>
  <c r="Q3301" i="2"/>
  <c r="D3203" i="2"/>
  <c r="U3384" i="2"/>
  <c r="H3185" i="2"/>
  <c r="I3439" i="2"/>
  <c r="H2612" i="2"/>
  <c r="J3416" i="2"/>
  <c r="I3136" i="2"/>
  <c r="I3223" i="2"/>
  <c r="N3509" i="2"/>
  <c r="M2830" i="2"/>
  <c r="R3095" i="2"/>
  <c r="O2791" i="2"/>
  <c r="J2591" i="2"/>
  <c r="M1953" i="2"/>
  <c r="E3334" i="2"/>
  <c r="T2869" i="2"/>
  <c r="P3241" i="2"/>
  <c r="H3440" i="2"/>
  <c r="I3358" i="2"/>
  <c r="N3595" i="2"/>
  <c r="S3015" i="2"/>
  <c r="L3052" i="2"/>
  <c r="Q3431" i="2"/>
  <c r="T3057" i="2"/>
  <c r="L2585" i="2"/>
  <c r="P3215" i="2"/>
  <c r="Q3116" i="2"/>
  <c r="O3176" i="2"/>
  <c r="E2945" i="2"/>
  <c r="L2922" i="2"/>
  <c r="U3185" i="2"/>
  <c r="M3149" i="2"/>
  <c r="E3028" i="2"/>
  <c r="O3194" i="2"/>
  <c r="L3279" i="2"/>
  <c r="V3327" i="2"/>
  <c r="T3258" i="2"/>
  <c r="P3517" i="2"/>
  <c r="L2247" i="2"/>
  <c r="M2977" i="2"/>
  <c r="K3179" i="2"/>
  <c r="S2451" i="2"/>
  <c r="N3528" i="2"/>
  <c r="G3345" i="2"/>
  <c r="D3304" i="2"/>
  <c r="T3378" i="2"/>
  <c r="C3534" i="2"/>
  <c r="F3429" i="2"/>
  <c r="D3262" i="2"/>
  <c r="J3016" i="2"/>
  <c r="F3236" i="2"/>
  <c r="N2132" i="2"/>
  <c r="S3482" i="2"/>
  <c r="J3198" i="2"/>
  <c r="U2806" i="2"/>
  <c r="K2061" i="2"/>
  <c r="O3603" i="2"/>
  <c r="J2973" i="2"/>
  <c r="N3244" i="2"/>
  <c r="I3062" i="2"/>
  <c r="G3487" i="2"/>
  <c r="T3488" i="2"/>
  <c r="S3223" i="2"/>
  <c r="W3520" i="2"/>
  <c r="H3182" i="2"/>
  <c r="R3609" i="2"/>
  <c r="E3272" i="2"/>
  <c r="R2937" i="2"/>
  <c r="U3032" i="2"/>
  <c r="G3201" i="2"/>
  <c r="N3305" i="2"/>
  <c r="C2820" i="2"/>
  <c r="M2885" i="2"/>
  <c r="R3012" i="2"/>
  <c r="W3292" i="2"/>
  <c r="V3441" i="2"/>
  <c r="P3326" i="2"/>
  <c r="R3002" i="2"/>
  <c r="V3251" i="2"/>
  <c r="N3411" i="2"/>
  <c r="W3422" i="2"/>
  <c r="E3199" i="2"/>
  <c r="S3464" i="2"/>
  <c r="J3357" i="2"/>
  <c r="E3453" i="2"/>
  <c r="D3127" i="2"/>
  <c r="E3436" i="2"/>
  <c r="D2242" i="2"/>
  <c r="H2909" i="2"/>
  <c r="W3195" i="2"/>
  <c r="L3068" i="2"/>
  <c r="L3511" i="2"/>
  <c r="T3437" i="2"/>
  <c r="L2775" i="2"/>
  <c r="V3295" i="2"/>
  <c r="U3090" i="2"/>
  <c r="K3248" i="2"/>
  <c r="L2961" i="2"/>
  <c r="N2572" i="2"/>
  <c r="M2054" i="2"/>
  <c r="Q3626" i="2"/>
  <c r="P2694" i="2"/>
  <c r="H3342" i="2"/>
  <c r="E2349" i="2"/>
  <c r="N3392" i="2"/>
  <c r="C3490" i="2"/>
  <c r="C2852" i="2"/>
  <c r="P2916" i="2"/>
  <c r="W3544" i="2"/>
  <c r="J3117" i="2"/>
  <c r="L3172" i="2"/>
  <c r="R3244" i="2"/>
  <c r="M2933" i="2"/>
  <c r="U3403" i="2"/>
  <c r="D3219" i="2"/>
  <c r="J3609" i="2"/>
  <c r="F3589" i="2"/>
  <c r="V3507" i="2"/>
  <c r="S2697" i="2"/>
  <c r="L1896" i="2"/>
  <c r="N3263" i="2"/>
  <c r="M3232" i="2"/>
  <c r="J3434" i="2"/>
  <c r="E3081" i="2"/>
  <c r="W3189" i="2"/>
  <c r="R3080" i="2"/>
  <c r="M3366" i="2"/>
  <c r="G3223" i="2"/>
  <c r="R3354" i="2"/>
  <c r="T2582" i="2"/>
  <c r="N3255" i="2"/>
  <c r="N3005" i="2"/>
  <c r="V3417" i="2"/>
  <c r="O3268" i="2"/>
  <c r="L3523" i="2"/>
  <c r="C3157" i="2"/>
  <c r="J3096" i="2"/>
  <c r="J2519" i="2"/>
  <c r="W3174" i="2"/>
  <c r="P3529" i="2"/>
  <c r="M2390" i="2"/>
  <c r="U2503" i="2"/>
  <c r="L3211" i="2"/>
  <c r="L3002" i="2"/>
  <c r="K3069" i="2"/>
  <c r="G3568" i="2"/>
  <c r="L3168" i="2"/>
  <c r="D3027" i="2"/>
  <c r="O2849" i="2"/>
  <c r="V3266" i="2"/>
  <c r="R3193" i="2"/>
  <c r="J3210" i="2"/>
  <c r="F3215" i="2"/>
  <c r="G3195" i="2"/>
  <c r="E3346" i="2"/>
  <c r="V2966" i="2"/>
  <c r="G3218" i="2"/>
  <c r="K3354" i="2"/>
  <c r="J3251" i="2"/>
  <c r="L3038" i="2"/>
  <c r="O3300" i="2"/>
  <c r="L2906" i="2"/>
  <c r="I3373" i="2"/>
  <c r="T3145" i="2"/>
  <c r="R2636" i="2"/>
  <c r="O3316" i="2"/>
  <c r="W3269" i="2"/>
  <c r="T3369" i="2"/>
  <c r="S3497" i="2"/>
  <c r="J2828" i="2"/>
  <c r="H2771" i="2"/>
  <c r="M2916" i="2"/>
  <c r="F3001" i="2"/>
  <c r="W3307" i="2"/>
  <c r="P3463" i="2"/>
  <c r="I3083" i="2"/>
  <c r="M3200" i="2"/>
  <c r="I3236" i="2"/>
  <c r="Q3097" i="2"/>
  <c r="P2386" i="2"/>
  <c r="J2893" i="2"/>
  <c r="K3574" i="2"/>
  <c r="V2371" i="2"/>
  <c r="V3361" i="2"/>
  <c r="U3396" i="2"/>
  <c r="U3042" i="2"/>
  <c r="H3406" i="2"/>
  <c r="P2612" i="2"/>
  <c r="T2883" i="2"/>
  <c r="Q3384" i="2"/>
  <c r="C3260" i="2"/>
  <c r="N3582" i="2"/>
  <c r="W2425" i="2"/>
  <c r="E3458" i="2"/>
  <c r="V3480" i="2"/>
  <c r="W2997" i="2"/>
  <c r="O2425" i="2"/>
  <c r="Q3330" i="2"/>
  <c r="L2955" i="2"/>
  <c r="C3183" i="2"/>
  <c r="H2605" i="2"/>
  <c r="N2977" i="2"/>
  <c r="H3504" i="2"/>
  <c r="G2383" i="2"/>
  <c r="S2556" i="2"/>
  <c r="V3557" i="2"/>
  <c r="N2094" i="2"/>
  <c r="M3331" i="2"/>
  <c r="U3526" i="2"/>
  <c r="U3408" i="2"/>
  <c r="Q3136" i="2"/>
  <c r="Q3107" i="2"/>
  <c r="C3563" i="2"/>
  <c r="T3360" i="2"/>
  <c r="I3288" i="2"/>
  <c r="L3215" i="2"/>
  <c r="C3592" i="2"/>
  <c r="V1764" i="2"/>
  <c r="F3530" i="2"/>
  <c r="V3007" i="2"/>
  <c r="H2734" i="2"/>
  <c r="F3297" i="2"/>
  <c r="U3539" i="2"/>
  <c r="O2188" i="2"/>
  <c r="O3426" i="2"/>
  <c r="F3235" i="2"/>
  <c r="S3460" i="2"/>
  <c r="C2836" i="2"/>
  <c r="P3231" i="2"/>
  <c r="Q3028" i="2"/>
  <c r="R3224" i="2"/>
  <c r="K2814" i="2"/>
  <c r="D3020" i="2"/>
  <c r="K2703" i="2"/>
  <c r="L3514" i="2"/>
  <c r="S3082" i="2"/>
  <c r="Q3237" i="2"/>
  <c r="U3482" i="2"/>
  <c r="W3010" i="2"/>
  <c r="N3424" i="2"/>
  <c r="C3293" i="2"/>
  <c r="C2686" i="2"/>
  <c r="F3616" i="2"/>
  <c r="N3580" i="2"/>
  <c r="Q3434" i="2"/>
  <c r="K3333" i="2"/>
  <c r="F3298" i="2"/>
  <c r="O2796" i="2"/>
  <c r="J3256" i="2"/>
  <c r="G3397" i="2"/>
  <c r="E3597" i="2"/>
  <c r="O2205" i="2"/>
  <c r="S1701" i="2"/>
  <c r="W2800" i="2"/>
  <c r="E3143" i="2"/>
  <c r="L3364" i="2"/>
  <c r="N3459" i="2"/>
  <c r="C3122" i="2"/>
  <c r="H2928" i="2"/>
  <c r="L3439" i="2"/>
  <c r="G3283" i="2"/>
  <c r="T3129" i="2"/>
  <c r="P3369" i="2"/>
  <c r="Q2573" i="2"/>
  <c r="U3014" i="2"/>
  <c r="U2679" i="2"/>
  <c r="I3402" i="2"/>
  <c r="C2231" i="2"/>
  <c r="R2757" i="2"/>
  <c r="E3577" i="2"/>
  <c r="U3479" i="2"/>
  <c r="J3178" i="2"/>
  <c r="D3177" i="2"/>
  <c r="U3265" i="2"/>
  <c r="R2508" i="2"/>
  <c r="V3485" i="2"/>
  <c r="O3397" i="2"/>
  <c r="S3393" i="2"/>
  <c r="K2610" i="2"/>
  <c r="N3340" i="2"/>
  <c r="G3329" i="2"/>
  <c r="I3227" i="2"/>
  <c r="M3504" i="2"/>
  <c r="F2998" i="2"/>
  <c r="W3007" i="2"/>
  <c r="V2109" i="2"/>
  <c r="M2853" i="2"/>
  <c r="N3102" i="2"/>
  <c r="U2848" i="2"/>
  <c r="U2797" i="2"/>
  <c r="D3538" i="2"/>
  <c r="J2979" i="2"/>
  <c r="R2994" i="2"/>
  <c r="W1873" i="2"/>
  <c r="K2391" i="2"/>
  <c r="G2790" i="2"/>
  <c r="R3158" i="2"/>
  <c r="O3391" i="2"/>
  <c r="K3173" i="2"/>
  <c r="P3124" i="2"/>
  <c r="L3054" i="2"/>
  <c r="W2964" i="2"/>
  <c r="V3578" i="2"/>
  <c r="V3437" i="2"/>
  <c r="D3372" i="2"/>
  <c r="Q2574" i="2"/>
  <c r="D3256" i="2"/>
  <c r="U3172" i="2"/>
  <c r="W3243" i="2"/>
  <c r="J2706" i="2"/>
  <c r="R2195" i="2"/>
  <c r="S2791" i="2"/>
  <c r="J3318" i="2"/>
  <c r="D3264" i="2"/>
  <c r="W2507" i="2"/>
  <c r="C3540" i="2"/>
  <c r="O3301" i="2"/>
  <c r="Q3207" i="2"/>
  <c r="C3463" i="2"/>
  <c r="C3251" i="2"/>
  <c r="E2885" i="2"/>
  <c r="E3351" i="2"/>
  <c r="N3098" i="2"/>
  <c r="O3082" i="2"/>
  <c r="T3279" i="2"/>
  <c r="D2792" i="2"/>
  <c r="N3229" i="2"/>
  <c r="G2873" i="2"/>
  <c r="G3435" i="2"/>
  <c r="D3131" i="2"/>
  <c r="F1975" i="2"/>
  <c r="T3509" i="2"/>
  <c r="S2917" i="2"/>
  <c r="R3592" i="2"/>
  <c r="T3314" i="2"/>
  <c r="W3358" i="2"/>
  <c r="C3288" i="2"/>
  <c r="P2867" i="2"/>
  <c r="S2531" i="2"/>
  <c r="M3153" i="2"/>
  <c r="N1202" i="2"/>
  <c r="U3512" i="2"/>
  <c r="T2671" i="2"/>
  <c r="K3371" i="2"/>
  <c r="L3324" i="2"/>
  <c r="E3381" i="2"/>
  <c r="N3547" i="2"/>
  <c r="S3549" i="2"/>
  <c r="T2448" i="2"/>
  <c r="J3573" i="2"/>
  <c r="U3392" i="2"/>
  <c r="G2333" i="2"/>
  <c r="U2818" i="2"/>
  <c r="D3296" i="2"/>
  <c r="K3447" i="2"/>
  <c r="K2812" i="2"/>
  <c r="L3499" i="2"/>
  <c r="E2031" i="2"/>
  <c r="T3323" i="2"/>
  <c r="S2873" i="2"/>
  <c r="D3400" i="2"/>
  <c r="T2534" i="2"/>
  <c r="T3422" i="2"/>
  <c r="R3397" i="2"/>
  <c r="I3366" i="2"/>
  <c r="S3217" i="2"/>
  <c r="W2913" i="2"/>
  <c r="R1937" i="2"/>
  <c r="L3251" i="2"/>
  <c r="L3157" i="2"/>
  <c r="G2955" i="2"/>
  <c r="O3512" i="2"/>
  <c r="Q3323" i="2"/>
  <c r="O2969" i="2"/>
  <c r="C3190" i="2"/>
  <c r="T3337" i="2"/>
  <c r="U3398" i="2"/>
  <c r="G3296" i="2"/>
  <c r="G3295" i="2"/>
  <c r="H2832" i="2"/>
  <c r="M3207" i="2"/>
  <c r="G2839" i="2"/>
  <c r="G2748" i="2"/>
  <c r="N3163" i="2"/>
  <c r="K1800" i="2"/>
  <c r="K3081" i="2"/>
  <c r="O2962" i="2"/>
  <c r="T2457" i="2"/>
  <c r="L3598" i="2"/>
  <c r="I2859" i="2"/>
  <c r="K2469" i="2"/>
  <c r="P2021" i="2"/>
  <c r="U3527" i="2"/>
  <c r="Q2610" i="2"/>
  <c r="R3061" i="2"/>
  <c r="K2551" i="2"/>
  <c r="E2666" i="2"/>
  <c r="Q1858" i="2"/>
  <c r="I3248" i="2"/>
  <c r="K3278" i="2"/>
  <c r="M3417" i="2"/>
  <c r="I2904" i="2"/>
  <c r="N3467" i="2"/>
  <c r="D2338" i="2"/>
  <c r="T1053" i="2"/>
  <c r="U3502" i="2"/>
  <c r="W3158" i="2"/>
  <c r="F3367" i="2"/>
  <c r="E3576" i="2"/>
  <c r="L2986" i="2"/>
  <c r="D3070" i="2"/>
  <c r="D3600" i="2"/>
  <c r="L3328" i="2"/>
  <c r="V3431" i="2"/>
  <c r="L3330" i="2"/>
  <c r="D3391" i="2"/>
  <c r="E2977" i="2"/>
  <c r="Q3240" i="2"/>
  <c r="L2365" i="2"/>
  <c r="K3487" i="2"/>
  <c r="K3394" i="2"/>
  <c r="D2043" i="2"/>
  <c r="R3489" i="2"/>
  <c r="E2683" i="2"/>
  <c r="P2342" i="2"/>
  <c r="K3097" i="2"/>
  <c r="G3529" i="2"/>
  <c r="Q2813" i="2"/>
  <c r="U2786" i="2"/>
  <c r="M3099" i="2"/>
  <c r="W3118" i="2"/>
  <c r="P3271" i="2"/>
  <c r="G3431" i="2"/>
  <c r="S2607" i="2"/>
  <c r="E3403" i="2"/>
  <c r="H3343" i="2"/>
  <c r="N2577" i="2"/>
  <c r="H2029" i="2"/>
  <c r="T2886" i="2"/>
  <c r="F3240" i="2"/>
  <c r="V2653" i="2"/>
  <c r="D3401" i="2"/>
  <c r="R2736" i="2"/>
  <c r="R3358" i="2"/>
  <c r="D3609" i="2"/>
  <c r="J3097" i="2"/>
  <c r="D3230" i="2"/>
  <c r="L2858" i="2"/>
  <c r="V3272" i="2"/>
  <c r="P3508" i="2"/>
  <c r="P2961" i="2"/>
  <c r="Q3010" i="2"/>
  <c r="D3477" i="2"/>
  <c r="E3450" i="2"/>
  <c r="V3117" i="2"/>
  <c r="C3452" i="2"/>
  <c r="H2847" i="2"/>
  <c r="M2607" i="2"/>
  <c r="G3219" i="2"/>
  <c r="C3423" i="2"/>
  <c r="I3492" i="2"/>
  <c r="C2814" i="2"/>
  <c r="G3521" i="2"/>
  <c r="U3354" i="2"/>
  <c r="T3231" i="2"/>
  <c r="E3302" i="2"/>
  <c r="R3220" i="2"/>
  <c r="E3572" i="2"/>
  <c r="I3072" i="2"/>
  <c r="M2969" i="2"/>
  <c r="H3315" i="2"/>
  <c r="P3004" i="2"/>
  <c r="U3187" i="2"/>
  <c r="L3074" i="2"/>
  <c r="C2956" i="2"/>
  <c r="S3207" i="2"/>
  <c r="G2859" i="2"/>
  <c r="R3579" i="2"/>
  <c r="L3290" i="2"/>
  <c r="V2977" i="2"/>
  <c r="U1639" i="2"/>
  <c r="V3540" i="2"/>
  <c r="I3354" i="2"/>
  <c r="E3154" i="2"/>
  <c r="W3141" i="2"/>
  <c r="M3292" i="2"/>
  <c r="T3370" i="2"/>
  <c r="P3579" i="2"/>
  <c r="D3544" i="2"/>
  <c r="Q3224" i="2"/>
  <c r="J3046" i="2"/>
  <c r="R3188" i="2"/>
  <c r="G2985" i="2"/>
  <c r="P3410" i="2"/>
  <c r="F3387" i="2"/>
  <c r="M3188" i="2"/>
  <c r="G3378" i="2"/>
  <c r="W3097" i="2"/>
  <c r="W3367" i="2"/>
  <c r="V3435" i="2"/>
  <c r="S2860" i="2"/>
  <c r="F3426" i="2"/>
  <c r="I2875" i="2"/>
  <c r="P3409" i="2"/>
  <c r="O3311" i="2"/>
  <c r="Q3496" i="2"/>
  <c r="R3297" i="2"/>
  <c r="I3536" i="2"/>
  <c r="R3274" i="2"/>
  <c r="T3138" i="2"/>
  <c r="O2987" i="2"/>
  <c r="W3327" i="2"/>
  <c r="H3401" i="2"/>
  <c r="M3527" i="2"/>
  <c r="F3624" i="2"/>
  <c r="M3230" i="2"/>
  <c r="I3222" i="2"/>
  <c r="G2919" i="2"/>
  <c r="M2529" i="2"/>
  <c r="G3135" i="2"/>
  <c r="O3278" i="2"/>
  <c r="V3544" i="2"/>
  <c r="M3198" i="2"/>
  <c r="N2660" i="2"/>
  <c r="M3261" i="2"/>
  <c r="H3021" i="2"/>
  <c r="U3103" i="2"/>
  <c r="F3447" i="2"/>
  <c r="R3276" i="2"/>
  <c r="C2739" i="2"/>
  <c r="C3005" i="2"/>
  <c r="M3487" i="2"/>
  <c r="J3581" i="2"/>
  <c r="S3405" i="2"/>
  <c r="K2714" i="2"/>
  <c r="J3531" i="2"/>
  <c r="N3515" i="2"/>
  <c r="U3289" i="2"/>
  <c r="I3176" i="2"/>
  <c r="G3436" i="2"/>
  <c r="J2741" i="2"/>
  <c r="F3090" i="2"/>
  <c r="G3374" i="2"/>
  <c r="T3424" i="2"/>
  <c r="T3379" i="2"/>
  <c r="P3459" i="2"/>
  <c r="H3105" i="2"/>
  <c r="V3547" i="2"/>
  <c r="Q3400" i="2"/>
  <c r="Q2989" i="2"/>
  <c r="D3116" i="2"/>
  <c r="V3482" i="2"/>
  <c r="Q3143" i="2"/>
  <c r="C3146" i="2"/>
  <c r="P2748" i="2"/>
  <c r="R3114" i="2"/>
  <c r="O3293" i="2"/>
  <c r="T2770" i="2"/>
  <c r="P3586" i="2"/>
  <c r="D3317" i="2"/>
  <c r="T3399" i="2"/>
  <c r="S2991" i="2"/>
  <c r="E2667" i="2"/>
  <c r="V3176" i="2"/>
  <c r="U2192" i="2"/>
  <c r="E3108" i="2"/>
  <c r="M3518" i="2"/>
  <c r="F3334" i="2"/>
  <c r="L2763" i="2"/>
  <c r="W3076" i="2"/>
  <c r="S2303" i="2"/>
  <c r="V3386" i="2"/>
  <c r="J3435" i="2"/>
  <c r="T3009" i="2"/>
  <c r="F2967" i="2"/>
  <c r="U2763" i="2"/>
  <c r="H3392" i="2"/>
  <c r="O3044" i="2"/>
  <c r="H3333" i="2"/>
  <c r="S3199" i="2"/>
  <c r="T3345" i="2"/>
  <c r="H3513" i="2"/>
  <c r="M3213" i="2"/>
  <c r="S3576" i="2"/>
  <c r="E3271" i="2"/>
  <c r="F3381" i="2"/>
  <c r="V2590" i="2"/>
  <c r="S3375" i="2"/>
  <c r="F3389" i="2"/>
  <c r="S3172" i="2"/>
  <c r="O3548" i="2"/>
  <c r="U3067" i="2"/>
  <c r="D3555" i="2"/>
  <c r="L3502" i="2"/>
  <c r="W3380" i="2"/>
  <c r="M3415" i="2"/>
  <c r="J3507" i="2"/>
  <c r="G3496" i="2"/>
  <c r="C3160" i="2"/>
  <c r="W3440" i="2"/>
  <c r="H3134" i="2"/>
  <c r="W2984" i="2"/>
  <c r="E3296" i="2"/>
  <c r="C3449" i="2"/>
  <c r="E3245" i="2"/>
  <c r="D3139" i="2"/>
  <c r="V3268" i="2"/>
  <c r="K3338" i="2"/>
  <c r="R3196" i="2"/>
  <c r="R3481" i="2"/>
  <c r="V3186" i="2"/>
  <c r="D3535" i="2"/>
  <c r="J3301" i="2"/>
  <c r="K1596" i="2"/>
  <c r="U3332" i="2"/>
  <c r="J1853" i="2"/>
  <c r="G3144" i="2"/>
  <c r="D3393" i="2"/>
  <c r="H2940" i="2"/>
  <c r="J2332" i="2"/>
  <c r="R2668" i="2"/>
  <c r="J3091" i="2"/>
  <c r="G3055" i="2"/>
  <c r="R3566" i="2"/>
  <c r="G3199" i="2"/>
  <c r="N3323" i="2"/>
  <c r="G3307" i="2"/>
  <c r="F3202" i="2"/>
  <c r="V3525" i="2"/>
  <c r="J2246" i="2"/>
  <c r="N3322" i="2"/>
  <c r="C3021" i="2"/>
  <c r="S3013" i="2"/>
  <c r="W3079" i="2"/>
  <c r="C2896" i="2"/>
  <c r="J3260" i="2"/>
  <c r="K1852" i="2"/>
  <c r="O3333" i="2"/>
  <c r="J2356" i="2"/>
  <c r="C3202" i="2"/>
  <c r="U3135" i="2"/>
  <c r="T2800" i="2"/>
  <c r="I2594" i="2"/>
  <c r="D3197" i="2"/>
  <c r="L3274" i="2"/>
  <c r="T3350" i="2"/>
  <c r="J1743" i="2"/>
  <c r="H3292" i="2"/>
  <c r="R3407" i="2"/>
  <c r="Q3392" i="2"/>
  <c r="H2337" i="2"/>
  <c r="S3072" i="2"/>
  <c r="I3411" i="2"/>
  <c r="G3236" i="2"/>
  <c r="S3103" i="2"/>
  <c r="F3084" i="2"/>
  <c r="O3441" i="2"/>
  <c r="M3341" i="2"/>
  <c r="C3413" i="2"/>
  <c r="N3296" i="2"/>
  <c r="G3154" i="2"/>
  <c r="O3056" i="2"/>
  <c r="O3074" i="2"/>
  <c r="F3252" i="2"/>
  <c r="R3259" i="2"/>
  <c r="J2923" i="2"/>
  <c r="M3241" i="2"/>
  <c r="D3468" i="2"/>
  <c r="I2956" i="2"/>
  <c r="E3150" i="2"/>
  <c r="P3584" i="2"/>
  <c r="Q3000" i="2"/>
  <c r="E3200" i="2"/>
  <c r="C3367" i="2"/>
  <c r="W3256" i="2"/>
  <c r="N2528" i="2"/>
  <c r="N2388" i="2"/>
  <c r="G2669" i="2"/>
  <c r="C3297" i="2"/>
  <c r="F3138" i="2"/>
  <c r="C3324" i="2"/>
  <c r="U3573" i="2"/>
  <c r="V1682" i="2"/>
  <c r="U3439" i="2"/>
  <c r="W3145" i="2"/>
  <c r="F3305" i="2"/>
  <c r="Q2998" i="2"/>
  <c r="O3580" i="2"/>
  <c r="C3462" i="2"/>
  <c r="J1805" i="2"/>
  <c r="M3221" i="2"/>
  <c r="V3111" i="2"/>
  <c r="C3483" i="2"/>
  <c r="E3290" i="2"/>
  <c r="D2615" i="2"/>
  <c r="Q3307" i="2"/>
  <c r="O3130" i="2"/>
  <c r="R2799" i="2"/>
  <c r="D1500" i="2"/>
  <c r="P3516" i="2"/>
  <c r="G3020" i="2"/>
  <c r="I3275" i="2"/>
  <c r="I3359" i="2"/>
  <c r="W3038" i="2"/>
  <c r="K3552" i="2"/>
  <c r="V3403" i="2"/>
  <c r="W3413" i="2"/>
  <c r="O3142" i="2"/>
  <c r="P2857" i="2"/>
  <c r="P3037" i="2"/>
  <c r="L2619" i="2"/>
  <c r="R3454" i="2"/>
  <c r="C2893" i="2"/>
  <c r="D3338" i="2"/>
  <c r="M3501" i="2"/>
  <c r="R3429" i="2"/>
  <c r="N2638" i="2"/>
  <c r="L2890" i="2"/>
  <c r="G3103" i="2"/>
  <c r="M2828" i="2"/>
  <c r="R3102" i="2"/>
  <c r="C3424" i="2"/>
  <c r="T3263" i="2"/>
  <c r="M3291" i="2"/>
  <c r="V2690" i="2"/>
  <c r="K2245" i="2"/>
  <c r="R2819" i="2"/>
  <c r="V3483" i="2"/>
  <c r="K3514" i="2"/>
  <c r="R2610" i="2"/>
  <c r="Q3033" i="2"/>
  <c r="U3344" i="2"/>
  <c r="C2624" i="2"/>
  <c r="U3503" i="2"/>
  <c r="M3110" i="2"/>
  <c r="O2857" i="2"/>
  <c r="Q3099" i="2"/>
  <c r="F3441" i="2"/>
  <c r="H3033" i="2"/>
  <c r="W3060" i="2"/>
  <c r="K3282" i="2"/>
  <c r="P3313" i="2"/>
  <c r="H2633" i="2"/>
  <c r="F2374" i="2"/>
  <c r="C3335" i="2"/>
  <c r="Q3419" i="2"/>
  <c r="J2908" i="2"/>
  <c r="U3441" i="2"/>
  <c r="L3096" i="2"/>
  <c r="G2586" i="2"/>
  <c r="F3593" i="2"/>
  <c r="S3125" i="2"/>
  <c r="P2949" i="2"/>
  <c r="E3178" i="2"/>
  <c r="D3333" i="2"/>
  <c r="U2995" i="2"/>
  <c r="M3539" i="2"/>
  <c r="O3192" i="2"/>
  <c r="D3183" i="2"/>
  <c r="N3184" i="2"/>
  <c r="O3427" i="2"/>
  <c r="T3392" i="2"/>
  <c r="D3193" i="2"/>
  <c r="P3273" i="2"/>
  <c r="V3528" i="2"/>
  <c r="I3465" i="2"/>
  <c r="E3618" i="2"/>
  <c r="V3118" i="2"/>
  <c r="N3554" i="2"/>
  <c r="F3026" i="2"/>
  <c r="C3037" i="2"/>
  <c r="C3271" i="2"/>
  <c r="J3459" i="2"/>
  <c r="T3428" i="2"/>
  <c r="S2976" i="2"/>
  <c r="C3429" i="2"/>
  <c r="Q3274" i="2"/>
  <c r="T2402" i="2"/>
  <c r="Q2906" i="2"/>
  <c r="K2985" i="2"/>
  <c r="D3198" i="2"/>
  <c r="J2402" i="2"/>
  <c r="J2789" i="2"/>
  <c r="S3388" i="2"/>
  <c r="T3449" i="2"/>
  <c r="C3255" i="2"/>
  <c r="F3433" i="2"/>
  <c r="R2731" i="2"/>
  <c r="O2856" i="2"/>
  <c r="W3501" i="2"/>
  <c r="M3166" i="2"/>
  <c r="N2925" i="2"/>
  <c r="K3508" i="2"/>
  <c r="H2625" i="2"/>
  <c r="T3179" i="2"/>
  <c r="R3573" i="2"/>
  <c r="L3212" i="2"/>
  <c r="W3414" i="2"/>
  <c r="Q3498" i="2"/>
  <c r="O3165" i="2"/>
  <c r="M2593" i="2"/>
  <c r="F3333" i="2"/>
  <c r="V3329" i="2"/>
  <c r="W3593" i="2"/>
  <c r="F2443" i="2"/>
  <c r="T2682" i="2"/>
  <c r="R3168" i="2"/>
  <c r="V3065" i="2"/>
  <c r="D3349" i="2"/>
  <c r="S3277" i="2"/>
  <c r="S3500" i="2"/>
  <c r="Q2601" i="2"/>
  <c r="T2295" i="2"/>
  <c r="W2737" i="2"/>
  <c r="F2440" i="2"/>
  <c r="I3330" i="2"/>
  <c r="S2945" i="2"/>
  <c r="D3488" i="2"/>
  <c r="F2612" i="2"/>
  <c r="J3586" i="2"/>
  <c r="R1859" i="2"/>
  <c r="R3092" i="2"/>
  <c r="R2284" i="2"/>
  <c r="K2210" i="2"/>
  <c r="I3414" i="2"/>
  <c r="D3515" i="2"/>
  <c r="G3621" i="2"/>
  <c r="W3619" i="2"/>
  <c r="L3360" i="2"/>
  <c r="E3554" i="2"/>
  <c r="H3510" i="2"/>
  <c r="R3478" i="2"/>
  <c r="N3179" i="2"/>
  <c r="H3485" i="2"/>
  <c r="Q3328" i="2"/>
  <c r="Q3085" i="2"/>
  <c r="Q2747" i="2"/>
  <c r="T2691" i="2"/>
  <c r="K3047" i="2"/>
  <c r="O3109" i="2"/>
  <c r="S3330" i="2"/>
  <c r="W2992" i="2"/>
  <c r="R2942" i="2"/>
  <c r="I2979" i="2"/>
  <c r="V2504" i="2"/>
  <c r="G2636" i="2"/>
  <c r="L2301" i="2"/>
  <c r="G3203" i="2"/>
  <c r="I3503" i="2"/>
  <c r="D2901" i="2"/>
  <c r="C2318" i="2"/>
  <c r="V2294" i="2"/>
  <c r="J3476" i="2"/>
  <c r="J3219" i="2"/>
  <c r="K2710" i="2"/>
  <c r="W3429" i="2"/>
  <c r="J3267" i="2"/>
  <c r="U3417" i="2"/>
  <c r="K3177" i="2"/>
  <c r="H3620" i="2"/>
  <c r="D2941" i="2"/>
  <c r="M2881" i="2"/>
  <c r="P2936" i="2"/>
  <c r="J2967" i="2"/>
  <c r="R3254" i="2"/>
  <c r="R3387" i="2"/>
  <c r="D3145" i="2"/>
  <c r="C3404" i="2"/>
  <c r="I3126" i="2"/>
  <c r="T2386" i="2"/>
  <c r="R2762" i="2"/>
  <c r="K3287" i="2"/>
  <c r="I3135" i="2"/>
  <c r="R3416" i="2"/>
  <c r="N3167" i="2"/>
  <c r="J3466" i="2"/>
  <c r="E2526" i="2"/>
  <c r="S2542" i="2"/>
  <c r="G3029" i="2"/>
  <c r="H2606" i="2"/>
  <c r="H2992" i="2"/>
  <c r="M2772" i="2"/>
  <c r="L3432" i="2"/>
  <c r="P3301" i="2"/>
  <c r="I3039" i="2"/>
  <c r="N3440" i="2"/>
  <c r="P3350" i="2"/>
  <c r="P3444" i="2"/>
  <c r="V3364" i="2"/>
  <c r="W3206" i="2"/>
  <c r="O3052" i="2"/>
  <c r="O3212" i="2"/>
  <c r="T3463" i="2"/>
  <c r="T2810" i="2"/>
  <c r="G2446" i="2"/>
  <c r="P3051" i="2"/>
  <c r="Q3067" i="2"/>
  <c r="K2684" i="2"/>
  <c r="C3378" i="2"/>
  <c r="W2708" i="2"/>
  <c r="I3384" i="2"/>
  <c r="O3064" i="2"/>
  <c r="I3224" i="2"/>
  <c r="Q3115" i="2"/>
  <c r="U3218" i="2"/>
  <c r="K2970" i="2"/>
  <c r="K1877" i="2"/>
  <c r="S2701" i="2"/>
  <c r="I3350" i="2"/>
  <c r="W2733" i="2"/>
  <c r="M2982" i="2"/>
  <c r="S3285" i="2"/>
  <c r="F3249" i="2"/>
  <c r="I2831" i="2"/>
  <c r="R3248" i="2"/>
  <c r="M2747" i="2"/>
  <c r="P3580" i="2"/>
  <c r="J3172" i="2"/>
  <c r="J2980" i="2"/>
  <c r="I3321" i="2"/>
  <c r="H3281" i="2"/>
  <c r="N3578" i="2"/>
  <c r="P2822" i="2"/>
  <c r="M2347" i="2"/>
  <c r="E2997" i="2"/>
  <c r="D2785" i="2"/>
  <c r="Q3288" i="2"/>
  <c r="U2999" i="2"/>
  <c r="L3227" i="2"/>
  <c r="S3513" i="2"/>
  <c r="H3586" i="2"/>
  <c r="N3569" i="2"/>
  <c r="N3065" i="2"/>
  <c r="J3200" i="2"/>
  <c r="D3207" i="2"/>
  <c r="V3574" i="2"/>
  <c r="W3428" i="2"/>
  <c r="N3164" i="2"/>
  <c r="N3410" i="2"/>
  <c r="Q3463" i="2"/>
  <c r="F3366" i="2"/>
  <c r="W3128" i="2"/>
  <c r="O2502" i="2"/>
  <c r="V3084" i="2"/>
  <c r="J2933" i="2"/>
  <c r="S3338" i="2"/>
  <c r="O2610" i="2"/>
  <c r="J3102" i="2"/>
  <c r="W3125" i="2"/>
  <c r="O3239" i="2"/>
  <c r="F3296" i="2"/>
  <c r="P3139" i="2"/>
  <c r="O3049" i="2"/>
  <c r="T3442" i="2"/>
  <c r="K3141" i="2"/>
  <c r="O3180" i="2"/>
  <c r="G3343" i="2"/>
  <c r="I3399" i="2"/>
  <c r="P2410" i="2"/>
  <c r="N3391" i="2"/>
  <c r="K3573" i="2"/>
  <c r="F3536" i="2"/>
  <c r="T3028" i="2"/>
  <c r="S3301" i="2"/>
  <c r="P2983" i="2"/>
  <c r="L3049" i="2"/>
  <c r="Q2909" i="2"/>
  <c r="J2776" i="2"/>
  <c r="C3574" i="2"/>
  <c r="L3557" i="2"/>
  <c r="K3153" i="2"/>
  <c r="J3019" i="2"/>
  <c r="E2978" i="2"/>
  <c r="O3355" i="2"/>
  <c r="D3409" i="2"/>
  <c r="L3426" i="2"/>
  <c r="W3134" i="2"/>
  <c r="U3339" i="2"/>
  <c r="C3287" i="2"/>
  <c r="O3039" i="2"/>
  <c r="L3580" i="2"/>
  <c r="D3036" i="2"/>
  <c r="G3314" i="2"/>
  <c r="J3470" i="2"/>
  <c r="R2957" i="2"/>
  <c r="E2899" i="2"/>
  <c r="N2933" i="2"/>
  <c r="U3239" i="2"/>
  <c r="P3450" i="2"/>
  <c r="I3486" i="2"/>
  <c r="G3331" i="2"/>
  <c r="E2344" i="2"/>
  <c r="O3105" i="2"/>
  <c r="T3149" i="2"/>
  <c r="W3344" i="2"/>
  <c r="G3373" i="2"/>
  <c r="N3209" i="2"/>
  <c r="L2793" i="2"/>
  <c r="W3228" i="2"/>
  <c r="P3564" i="2"/>
  <c r="O3601" i="2"/>
  <c r="F3144" i="2"/>
  <c r="O3200" i="2"/>
  <c r="H1923" i="2"/>
  <c r="F3539" i="2"/>
  <c r="E3014" i="2"/>
  <c r="D2675" i="2"/>
  <c r="J2260" i="2"/>
  <c r="L3055" i="2"/>
  <c r="U3179" i="2"/>
  <c r="C3334" i="2"/>
  <c r="J3187" i="2"/>
  <c r="W3431" i="2"/>
  <c r="P3206" i="2"/>
  <c r="I3013" i="2"/>
  <c r="T2603" i="2"/>
  <c r="J3023" i="2"/>
  <c r="E2877" i="2"/>
  <c r="V3170" i="2"/>
  <c r="T3196" i="2"/>
  <c r="T2239" i="2"/>
  <c r="I3088" i="2"/>
  <c r="W3266" i="2"/>
  <c r="J3261" i="2"/>
  <c r="S2986" i="2"/>
  <c r="M3126" i="2"/>
  <c r="O3476" i="2"/>
  <c r="T2429" i="2"/>
  <c r="U3127" i="2"/>
  <c r="V3113" i="2"/>
  <c r="K3226" i="2"/>
  <c r="T2836" i="2"/>
  <c r="E3029" i="2"/>
  <c r="M3283" i="2"/>
  <c r="C3150" i="2"/>
  <c r="S3438" i="2"/>
  <c r="Q3553" i="2"/>
  <c r="K3273" i="2"/>
  <c r="K3441" i="2"/>
  <c r="H3261" i="2"/>
  <c r="F3386" i="2"/>
  <c r="H3377" i="2"/>
  <c r="L2910" i="2"/>
  <c r="W3131" i="2"/>
  <c r="K3459" i="2"/>
  <c r="G2443" i="2"/>
  <c r="L3371" i="2"/>
  <c r="S2868" i="2"/>
  <c r="F2928" i="2"/>
  <c r="L3147" i="2"/>
  <c r="T2804" i="2"/>
  <c r="E2428" i="2"/>
  <c r="F3368" i="2"/>
  <c r="Q2883" i="2"/>
  <c r="P3099" i="2"/>
  <c r="J3352" i="2"/>
  <c r="P3130" i="2"/>
  <c r="G3098" i="2"/>
  <c r="C3392" i="2"/>
  <c r="E2903" i="2"/>
  <c r="N3470" i="2"/>
  <c r="O3120" i="2"/>
  <c r="H2862" i="2"/>
  <c r="J3584" i="2"/>
  <c r="K3039" i="2"/>
  <c r="G3444" i="2"/>
  <c r="J3250" i="2"/>
  <c r="M2998" i="2"/>
  <c r="C3099" i="2"/>
  <c r="U2907" i="2"/>
  <c r="M3269" i="2"/>
  <c r="C3304" i="2"/>
  <c r="O2438" i="2"/>
  <c r="V3398" i="2"/>
  <c r="Q3112" i="2"/>
  <c r="K3352" i="2"/>
  <c r="C3431" i="2"/>
  <c r="K2437" i="2"/>
  <c r="V2691" i="2"/>
  <c r="F3234" i="2"/>
  <c r="V1648" i="2"/>
  <c r="L3006" i="2"/>
  <c r="G3251" i="2"/>
  <c r="M3440" i="2"/>
  <c r="L3346" i="2"/>
  <c r="G3031" i="2"/>
  <c r="G3327" i="2"/>
  <c r="U3387" i="2"/>
  <c r="N3319" i="2"/>
  <c r="K3556" i="2"/>
  <c r="E2460" i="2"/>
  <c r="T3570" i="2"/>
  <c r="K3522" i="2"/>
  <c r="W3459" i="2"/>
  <c r="G2941" i="2"/>
  <c r="G3129" i="2"/>
  <c r="T2522" i="2"/>
  <c r="C3291" i="2"/>
  <c r="G2905" i="2"/>
  <c r="V2412" i="2"/>
  <c r="Q2984" i="2"/>
  <c r="C2909" i="2"/>
  <c r="O3313" i="2"/>
  <c r="H3299" i="2"/>
  <c r="K3420" i="2"/>
  <c r="P3591" i="2"/>
  <c r="S2529" i="2"/>
  <c r="P3397" i="2"/>
  <c r="V2808" i="2"/>
  <c r="Q2441" i="2"/>
  <c r="O3472" i="2"/>
  <c r="D2673" i="2"/>
  <c r="V2780" i="2"/>
  <c r="T3542" i="2"/>
  <c r="C2606" i="2"/>
  <c r="T2985" i="2"/>
  <c r="V3396" i="2"/>
  <c r="I3509" i="2"/>
  <c r="J2295" i="2"/>
  <c r="H3457" i="2"/>
  <c r="I3336" i="2"/>
  <c r="P3204" i="2"/>
  <c r="U3151" i="2"/>
  <c r="P3190" i="2"/>
  <c r="F3309" i="2"/>
  <c r="L3202" i="2"/>
  <c r="W2835" i="2"/>
  <c r="J3499" i="2"/>
  <c r="F2904" i="2"/>
  <c r="J2581" i="2"/>
  <c r="T2192" i="2"/>
  <c r="C3480" i="2"/>
  <c r="I3566" i="2"/>
  <c r="C3519" i="2"/>
  <c r="V3434" i="2"/>
  <c r="M3512" i="2"/>
  <c r="V3310" i="2"/>
  <c r="H3593" i="2"/>
  <c r="N3475" i="2"/>
  <c r="H3446" i="2"/>
  <c r="V3052" i="2"/>
  <c r="O3324" i="2"/>
  <c r="N3222" i="2"/>
  <c r="V3055" i="2"/>
  <c r="J3626" i="2"/>
  <c r="S2916" i="2"/>
  <c r="L2821" i="2"/>
  <c r="W1348" i="2"/>
  <c r="O3306" i="2"/>
  <c r="K3525" i="2"/>
  <c r="T3056" i="2"/>
  <c r="O2580" i="2"/>
  <c r="O3139" i="2"/>
  <c r="N3035" i="2"/>
  <c r="Q2892" i="2"/>
  <c r="I3035" i="2"/>
  <c r="F2599" i="2"/>
  <c r="W3163" i="2"/>
  <c r="G3424" i="2"/>
  <c r="Q2718" i="2"/>
  <c r="L2387" i="2"/>
  <c r="G2425" i="2"/>
  <c r="N3499" i="2"/>
  <c r="O3318" i="2"/>
  <c r="Q3344" i="2"/>
  <c r="K2779" i="2"/>
  <c r="F3595" i="2"/>
  <c r="L3393" i="2"/>
  <c r="H2879" i="2"/>
  <c r="Q3470" i="2"/>
  <c r="C3347" i="2"/>
  <c r="I3499" i="2"/>
  <c r="P3041" i="2"/>
  <c r="G3370" i="2"/>
  <c r="W3153" i="2"/>
  <c r="I3390" i="2"/>
  <c r="V3288" i="2"/>
  <c r="D2915" i="2"/>
  <c r="P3547" i="2"/>
  <c r="L3043" i="2"/>
  <c r="T3535" i="2"/>
  <c r="V2714" i="2"/>
  <c r="M3083" i="2"/>
  <c r="H3400" i="2"/>
  <c r="J3321" i="2"/>
  <c r="N2973" i="2"/>
  <c r="H2941" i="2"/>
  <c r="C3355" i="2"/>
  <c r="T2971" i="2"/>
  <c r="N2770" i="2"/>
  <c r="J3090" i="2"/>
  <c r="H3199" i="2"/>
  <c r="I3252" i="2"/>
  <c r="D3155" i="2"/>
  <c r="P2795" i="2"/>
  <c r="C3307" i="2"/>
  <c r="F2609" i="2"/>
  <c r="M3105" i="2"/>
  <c r="R3450" i="2"/>
  <c r="W2618" i="2"/>
  <c r="V2882" i="2"/>
  <c r="F3280" i="2"/>
  <c r="T3000" i="2"/>
  <c r="M3332" i="2"/>
  <c r="J3021" i="2"/>
  <c r="U2338" i="2"/>
  <c r="S2514" i="2"/>
  <c r="E3062" i="2"/>
  <c r="G3359" i="2"/>
  <c r="J3316" i="2"/>
  <c r="M2804" i="2"/>
  <c r="E3451" i="2"/>
  <c r="P2809" i="2"/>
  <c r="E3513" i="2"/>
  <c r="R3214" i="2"/>
  <c r="W3299" i="2"/>
  <c r="T3234" i="2"/>
  <c r="V3237" i="2"/>
  <c r="I2839" i="2"/>
  <c r="I3455" i="2"/>
  <c r="E3445" i="2"/>
  <c r="F3045" i="2"/>
  <c r="W3185" i="2"/>
  <c r="F2919" i="2"/>
  <c r="F3074" i="2"/>
  <c r="P2774" i="2"/>
  <c r="T2361" i="2"/>
  <c r="G2996" i="2"/>
  <c r="Q3341" i="2"/>
  <c r="T3421" i="2"/>
  <c r="H2334" i="2"/>
  <c r="R2900" i="2"/>
  <c r="O3188" i="2"/>
  <c r="L3289" i="2"/>
  <c r="T3189" i="2"/>
  <c r="T3053" i="2"/>
  <c r="L3237" i="2"/>
  <c r="G2720" i="2"/>
  <c r="D2957" i="2"/>
  <c r="D2936" i="2"/>
  <c r="Q3198" i="2"/>
  <c r="V3517" i="2"/>
  <c r="Q3281" i="2"/>
  <c r="N3057" i="2"/>
  <c r="L3242" i="2"/>
  <c r="Q3160" i="2"/>
  <c r="H3327" i="2"/>
  <c r="N3428" i="2"/>
  <c r="R3477" i="2"/>
  <c r="H3351" i="2"/>
  <c r="C3093" i="2"/>
  <c r="K2974" i="2"/>
  <c r="E3416" i="2"/>
  <c r="C3628" i="2"/>
  <c r="K3301" i="2"/>
  <c r="D3126" i="2"/>
  <c r="P3511" i="2"/>
  <c r="V3069" i="2"/>
  <c r="W3230" i="2"/>
  <c r="E3480" i="2"/>
  <c r="S3259" i="2"/>
  <c r="U3191" i="2"/>
  <c r="K3526" i="2"/>
  <c r="R3258" i="2"/>
  <c r="L2494" i="2"/>
  <c r="E3080" i="2"/>
  <c r="U3047" i="2"/>
  <c r="I2587" i="2"/>
  <c r="H3559" i="2"/>
  <c r="O2673" i="2"/>
  <c r="O3147" i="2"/>
  <c r="T2421" i="2"/>
  <c r="G3158" i="2"/>
  <c r="S3188" i="2"/>
  <c r="K3218" i="2"/>
  <c r="E3082" i="2"/>
  <c r="J3264" i="2"/>
  <c r="G2334" i="2"/>
  <c r="G3015" i="2"/>
  <c r="K3539" i="2"/>
  <c r="F3061" i="2"/>
  <c r="L2745" i="2"/>
  <c r="N2448" i="2"/>
  <c r="W3444" i="2"/>
  <c r="V3486" i="2"/>
  <c r="O3332" i="2"/>
  <c r="R3141" i="2"/>
  <c r="C3244" i="2"/>
  <c r="H2209" i="2"/>
  <c r="T3029" i="2"/>
  <c r="D2723" i="2"/>
  <c r="R2999" i="2"/>
  <c r="J2788" i="2"/>
  <c r="H3436" i="2"/>
  <c r="O3004" i="2"/>
  <c r="H3394" i="2"/>
  <c r="T2722" i="2"/>
  <c r="R3200" i="2"/>
  <c r="C3038" i="2"/>
  <c r="O3379" i="2"/>
  <c r="C2910" i="2"/>
  <c r="S3061" i="2"/>
  <c r="R3360" i="2"/>
  <c r="E2575" i="2"/>
  <c r="H2840" i="2"/>
  <c r="L3091" i="2"/>
  <c r="N3233" i="2"/>
  <c r="M3566" i="2"/>
  <c r="U3521" i="2"/>
  <c r="P2323" i="2"/>
  <c r="C2901" i="2"/>
  <c r="W3219" i="2"/>
  <c r="S3118" i="2"/>
  <c r="F3393" i="2"/>
  <c r="G2953" i="2"/>
  <c r="M3034" i="2"/>
  <c r="K3606" i="2"/>
  <c r="C3110" i="2"/>
  <c r="F3332" i="2"/>
  <c r="K2873" i="2"/>
  <c r="P3001" i="2"/>
  <c r="W2601" i="2"/>
  <c r="E3358" i="2"/>
  <c r="T3144" i="2"/>
  <c r="F3155" i="2"/>
  <c r="S3556" i="2"/>
  <c r="G3365" i="2"/>
  <c r="L3171" i="2"/>
  <c r="R3099" i="2"/>
  <c r="V3328" i="2"/>
  <c r="V3427" i="2"/>
  <c r="U2845" i="2"/>
  <c r="D2840" i="2"/>
  <c r="K3266" i="2"/>
  <c r="H3127" i="2"/>
  <c r="T2995" i="2"/>
  <c r="T3415" i="2"/>
  <c r="C3116" i="2"/>
  <c r="P2630" i="2"/>
  <c r="S2774" i="2"/>
  <c r="N2232" i="2"/>
  <c r="T3586" i="2"/>
  <c r="R2724" i="2"/>
  <c r="M2931" i="2"/>
  <c r="R3011" i="2"/>
  <c r="J2583" i="2"/>
  <c r="M3324" i="2"/>
  <c r="E2616" i="2"/>
  <c r="H3191" i="2"/>
  <c r="V3209" i="2"/>
  <c r="C3062" i="2"/>
  <c r="M3139" i="2"/>
  <c r="J3221" i="2"/>
  <c r="G3010" i="2"/>
  <c r="E2929" i="2"/>
  <c r="V2823" i="2"/>
  <c r="V2077" i="2"/>
  <c r="T3553" i="2"/>
  <c r="J3002" i="2"/>
  <c r="D2861" i="2"/>
  <c r="T2598" i="2"/>
  <c r="I2672" i="2"/>
  <c r="R3221" i="2"/>
  <c r="E2888" i="2"/>
  <c r="U3371" i="2"/>
  <c r="T3046" i="2"/>
  <c r="K3154" i="2"/>
  <c r="P3026" i="2"/>
  <c r="P2198" i="2"/>
  <c r="V3097" i="2"/>
  <c r="D3162" i="2"/>
  <c r="C2029" i="2"/>
  <c r="D3234" i="2"/>
  <c r="W3078" i="2"/>
  <c r="L3361" i="2"/>
  <c r="O3370" i="2"/>
  <c r="K3199" i="2"/>
  <c r="O2465" i="2"/>
  <c r="P3491" i="2"/>
  <c r="J3439" i="2"/>
  <c r="H2719" i="2"/>
  <c r="N3371" i="2"/>
  <c r="E2093" i="2"/>
  <c r="J3402" i="2"/>
  <c r="Q3241" i="2"/>
  <c r="O2396" i="2"/>
  <c r="Q2665" i="2"/>
  <c r="J2416" i="2"/>
  <c r="G3350" i="2"/>
  <c r="I2474" i="2"/>
  <c r="T3222" i="2"/>
  <c r="L2638" i="2"/>
  <c r="M3051" i="2"/>
  <c r="M2821" i="2"/>
  <c r="Q3058" i="2"/>
  <c r="K3550" i="2"/>
  <c r="V3230" i="2"/>
  <c r="J3268" i="2"/>
  <c r="U2988" i="2"/>
  <c r="H3270" i="2"/>
  <c r="G3495" i="2"/>
  <c r="Q2521" i="2"/>
  <c r="U3219" i="2"/>
  <c r="G3492" i="2"/>
  <c r="H3129" i="2"/>
  <c r="G3017" i="2"/>
  <c r="H2529" i="2"/>
  <c r="Q3615" i="2"/>
  <c r="M3033" i="2"/>
  <c r="K3412" i="2"/>
  <c r="L3204" i="2"/>
  <c r="T3261" i="2"/>
  <c r="K3292" i="2"/>
  <c r="J2435" i="2"/>
  <c r="R3381" i="2"/>
  <c r="J3469" i="2"/>
  <c r="H3366" i="2"/>
  <c r="K3378" i="2"/>
  <c r="R3341" i="2"/>
  <c r="D3390" i="2"/>
  <c r="L2103" i="2"/>
  <c r="D3383" i="2"/>
  <c r="G2773" i="2"/>
  <c r="W2731" i="2"/>
  <c r="V2905" i="2"/>
  <c r="Q3441" i="2"/>
  <c r="G2457" i="2"/>
  <c r="E3240" i="2"/>
  <c r="U3323" i="2"/>
  <c r="V3009" i="2"/>
  <c r="Q3166" i="2"/>
  <c r="G2243" i="2"/>
  <c r="D3236" i="2"/>
  <c r="W3581" i="2"/>
  <c r="I3362" i="2"/>
  <c r="L3380" i="2"/>
  <c r="L3164" i="2"/>
  <c r="D3326" i="2"/>
  <c r="S3317" i="2"/>
  <c r="S3370" i="2"/>
  <c r="D3012" i="2"/>
  <c r="C2661" i="2"/>
  <c r="N3097" i="2"/>
  <c r="M3507" i="2"/>
  <c r="S1943" i="2"/>
  <c r="O3149" i="2"/>
  <c r="H3334" i="2"/>
  <c r="U3171" i="2"/>
  <c r="N2783" i="2"/>
  <c r="N3134" i="2"/>
  <c r="V2870" i="2"/>
  <c r="L2690" i="2"/>
  <c r="T3290" i="2"/>
  <c r="P3417" i="2"/>
  <c r="L1873" i="2"/>
  <c r="L2321" i="2"/>
  <c r="P2492" i="2"/>
  <c r="I3416" i="2"/>
  <c r="G3245" i="2"/>
  <c r="U3342" i="2"/>
  <c r="K2555" i="2"/>
  <c r="M3222" i="2"/>
  <c r="G3433" i="2"/>
  <c r="H3271" i="2"/>
  <c r="G3403" i="2"/>
  <c r="N2945" i="2"/>
  <c r="V2731" i="2"/>
  <c r="L3112" i="2"/>
  <c r="P3618" i="2"/>
  <c r="K2650" i="2"/>
  <c r="N3572" i="2"/>
  <c r="P3420" i="2"/>
  <c r="W3300" i="2"/>
  <c r="R3070" i="2"/>
  <c r="F3312" i="2"/>
  <c r="R3386" i="2"/>
  <c r="F1927" i="2"/>
  <c r="D3078" i="2"/>
  <c r="U2941" i="2"/>
  <c r="S2882" i="2"/>
  <c r="G3502" i="2"/>
  <c r="J3171" i="2"/>
  <c r="F2744" i="2"/>
  <c r="S2606" i="2"/>
  <c r="S3246" i="2"/>
  <c r="C3535" i="2"/>
  <c r="P3272" i="2"/>
  <c r="T3187" i="2"/>
  <c r="L3316" i="2"/>
  <c r="F2229" i="2"/>
  <c r="W3275" i="2"/>
  <c r="N3561" i="2"/>
  <c r="L2780" i="2"/>
  <c r="T3272" i="2"/>
  <c r="E1924" i="2"/>
  <c r="M2770" i="2"/>
  <c r="P3226" i="2"/>
  <c r="J3044" i="2"/>
  <c r="T1099" i="2"/>
  <c r="P3465" i="2"/>
  <c r="F2978" i="2"/>
  <c r="L3262" i="2"/>
  <c r="R2823" i="2"/>
  <c r="N3602" i="2"/>
  <c r="T2963" i="2"/>
  <c r="G2814" i="2"/>
  <c r="L3303" i="2"/>
  <c r="L3365" i="2"/>
  <c r="H3594" i="2"/>
  <c r="H2917" i="2"/>
  <c r="E2602" i="2"/>
  <c r="G3181" i="2"/>
  <c r="R3106" i="2"/>
  <c r="E1472" i="2"/>
  <c r="H3595" i="2"/>
  <c r="U3087" i="2"/>
  <c r="M3255" i="2"/>
  <c r="S3314" i="2"/>
  <c r="R2964" i="2"/>
  <c r="P3263" i="2"/>
  <c r="Q3584" i="2"/>
  <c r="E3438" i="2"/>
  <c r="N3193" i="2"/>
  <c r="C3502" i="2"/>
  <c r="W3302" i="2"/>
  <c r="U3378" i="2"/>
  <c r="U1201" i="2"/>
  <c r="O3403" i="2"/>
  <c r="F3194" i="2"/>
  <c r="P2524" i="2"/>
  <c r="S3411" i="2"/>
  <c r="N3257" i="2"/>
  <c r="T3193" i="2"/>
  <c r="S3298" i="2"/>
  <c r="I2238" i="2"/>
  <c r="H2755" i="2"/>
  <c r="L2829" i="2"/>
  <c r="V3001" i="2"/>
  <c r="M2832" i="2"/>
  <c r="L3142" i="2"/>
  <c r="Q1697" i="2"/>
  <c r="H3123" i="2"/>
  <c r="H3277" i="2"/>
  <c r="N2862" i="2"/>
  <c r="Q2304" i="2"/>
  <c r="S2530" i="2"/>
  <c r="E2898" i="2"/>
  <c r="G2956" i="2"/>
  <c r="P3284" i="2"/>
  <c r="I3510" i="2"/>
  <c r="M3006" i="2"/>
  <c r="N3117" i="2"/>
  <c r="F3014" i="2"/>
  <c r="M3624" i="2"/>
  <c r="D3300" i="2"/>
  <c r="J2940" i="2"/>
  <c r="V2395" i="2"/>
  <c r="C3219" i="2"/>
  <c r="S3365" i="2"/>
  <c r="U3155" i="2"/>
  <c r="E2708" i="2"/>
  <c r="J2296" i="2"/>
  <c r="W2054" i="2"/>
  <c r="T3587" i="2"/>
  <c r="G2361" i="2"/>
  <c r="P3375" i="2"/>
  <c r="T2597" i="2"/>
  <c r="F3537" i="2"/>
  <c r="S3045" i="2"/>
  <c r="J3125" i="2"/>
  <c r="W1888" i="2"/>
  <c r="R2932" i="2"/>
  <c r="T2333" i="2"/>
  <c r="O2977" i="2"/>
  <c r="C3128" i="2"/>
  <c r="M2994" i="2"/>
  <c r="T2978" i="2"/>
  <c r="H3591" i="2"/>
  <c r="N3338" i="2"/>
  <c r="J3386" i="2"/>
  <c r="D3071" i="2"/>
  <c r="U3329" i="2"/>
  <c r="I3376" i="2"/>
  <c r="M3124" i="2"/>
  <c r="G3214" i="2"/>
  <c r="U2954" i="2"/>
  <c r="M2872" i="2"/>
  <c r="R2857" i="2"/>
  <c r="W2783" i="2"/>
  <c r="V3392" i="2"/>
  <c r="U3012" i="2"/>
  <c r="I2695" i="2"/>
  <c r="V3444" i="2"/>
  <c r="I1945" i="2"/>
  <c r="V3103" i="2"/>
  <c r="U3509" i="2"/>
  <c r="O3150" i="2"/>
  <c r="H2601" i="2"/>
  <c r="N3363" i="2"/>
  <c r="F3182" i="2"/>
  <c r="J2756" i="2"/>
  <c r="E3254" i="2"/>
  <c r="Q3396" i="2"/>
  <c r="V3412" i="2"/>
  <c r="S3289" i="2"/>
  <c r="Q2775" i="2"/>
  <c r="Q3147" i="2"/>
  <c r="T3423" i="2"/>
  <c r="Q3385" i="2"/>
  <c r="G3490" i="2"/>
  <c r="D3231" i="2"/>
  <c r="Q3405" i="2"/>
  <c r="N3575" i="2"/>
  <c r="U3444" i="2"/>
  <c r="D3301" i="2"/>
  <c r="O3253" i="2"/>
  <c r="P3238" i="2"/>
  <c r="D3191" i="2"/>
  <c r="P2442" i="2"/>
  <c r="K3456" i="2"/>
  <c r="E2940" i="2"/>
  <c r="M3510" i="2"/>
  <c r="K2634" i="2"/>
  <c r="W3220" i="2"/>
  <c r="T2939" i="2"/>
  <c r="G3600" i="2"/>
  <c r="F3618" i="2"/>
  <c r="Q3533" i="2"/>
  <c r="T3019" i="2"/>
  <c r="V3255" i="2"/>
  <c r="U3175" i="2"/>
  <c r="J3533" i="2"/>
  <c r="U2604" i="2"/>
  <c r="S3198" i="2"/>
  <c r="D3157" i="2"/>
  <c r="J3130" i="2"/>
  <c r="V2993" i="2"/>
  <c r="W2606" i="2"/>
  <c r="K2798" i="2"/>
  <c r="E3278" i="2"/>
  <c r="T2742" i="2"/>
  <c r="W2998" i="2"/>
  <c r="S3260" i="2"/>
  <c r="P2864" i="2"/>
  <c r="E3326" i="2"/>
  <c r="L3308" i="2"/>
  <c r="V3204" i="2"/>
  <c r="Q3271" i="2"/>
  <c r="S3120" i="2"/>
  <c r="U3331" i="2"/>
  <c r="S2957" i="2"/>
  <c r="K3051" i="2"/>
  <c r="M2867" i="2"/>
  <c r="Q3351" i="2"/>
  <c r="V3317" i="2"/>
  <c r="M2846" i="2"/>
  <c r="V3130" i="2"/>
  <c r="C3403" i="2"/>
  <c r="T3321" i="2"/>
  <c r="H3235" i="2"/>
  <c r="R3471" i="2"/>
  <c r="Q3026" i="2"/>
  <c r="O3396" i="2"/>
  <c r="S2984" i="2"/>
  <c r="D2337" i="2"/>
  <c r="L3491" i="2"/>
  <c r="J3074" i="2"/>
  <c r="Q3256" i="2"/>
  <c r="E3424" i="2"/>
  <c r="E3523" i="2"/>
  <c r="N2990" i="2"/>
  <c r="C2792" i="2"/>
  <c r="W2928" i="2"/>
  <c r="G2633" i="2"/>
  <c r="M3597" i="2"/>
  <c r="V3380" i="2"/>
  <c r="H3412" i="2"/>
  <c r="G3009" i="2"/>
  <c r="R3227" i="2"/>
  <c r="H3341" i="2"/>
  <c r="S3241" i="2"/>
  <c r="Q3073" i="2"/>
  <c r="N3383" i="2"/>
  <c r="P3427" i="2"/>
  <c r="P1899" i="2"/>
  <c r="K2813" i="2"/>
  <c r="S2712" i="2"/>
  <c r="V2994" i="2"/>
  <c r="L3498" i="2"/>
  <c r="Q1582" i="2"/>
  <c r="Q3196" i="2"/>
  <c r="Q3186" i="2"/>
  <c r="L3059" i="2"/>
  <c r="H2293" i="2"/>
  <c r="Q3595" i="2"/>
  <c r="R2412" i="2"/>
  <c r="K3059" i="2"/>
  <c r="E3383" i="2"/>
  <c r="V3265" i="2"/>
  <c r="S3017" i="2"/>
  <c r="T3188" i="2"/>
  <c r="H2806" i="2"/>
  <c r="D3239" i="2"/>
  <c r="D3551" i="2"/>
  <c r="N3487" i="2"/>
  <c r="C3470" i="2"/>
  <c r="E3444" i="2"/>
  <c r="N2400" i="2"/>
  <c r="D2979" i="2"/>
  <c r="D3357" i="2"/>
  <c r="D3187" i="2"/>
  <c r="I3180" i="2"/>
  <c r="O3183" i="2"/>
  <c r="N2993" i="2"/>
  <c r="K3311" i="2"/>
  <c r="W2491" i="2"/>
  <c r="O3395" i="2"/>
  <c r="I3325" i="2"/>
  <c r="S2575" i="2"/>
  <c r="P2574" i="2"/>
  <c r="L2783" i="2"/>
  <c r="O3480" i="2"/>
  <c r="G3533" i="2"/>
  <c r="P3341" i="2"/>
  <c r="K3320" i="2"/>
  <c r="D3306" i="2"/>
  <c r="L3072" i="2"/>
  <c r="S2611" i="2"/>
  <c r="W2539" i="2"/>
  <c r="T3601" i="2"/>
  <c r="C3435" i="2"/>
  <c r="W3516" i="2"/>
  <c r="H3004" i="2"/>
  <c r="F3012" i="2"/>
  <c r="O3368" i="2"/>
  <c r="E3520" i="2"/>
  <c r="P3443" i="2"/>
  <c r="G2939" i="2"/>
  <c r="P3252" i="2"/>
  <c r="G3196" i="2"/>
  <c r="L3468" i="2"/>
  <c r="C3279" i="2"/>
  <c r="S2752" i="2"/>
  <c r="P3101" i="2"/>
  <c r="E3085" i="2"/>
  <c r="V2521" i="2"/>
  <c r="I3308" i="2"/>
  <c r="T2732" i="2"/>
  <c r="D3406" i="2"/>
  <c r="N3408" i="2"/>
  <c r="M3136" i="2"/>
  <c r="J3194" i="2"/>
  <c r="J3137" i="2"/>
  <c r="I3410" i="2"/>
  <c r="R3468" i="2"/>
  <c r="C3416" i="2"/>
  <c r="P1931" i="2"/>
  <c r="Q3158" i="2"/>
  <c r="N3482" i="2"/>
  <c r="W2809" i="2"/>
  <c r="W3200" i="2"/>
  <c r="R2421" i="2"/>
  <c r="M3459" i="2"/>
  <c r="P2772" i="2"/>
  <c r="D3402" i="2"/>
  <c r="S3238" i="2"/>
  <c r="P3342" i="2"/>
  <c r="K3107" i="2"/>
  <c r="P3162" i="2"/>
  <c r="G2878" i="2"/>
  <c r="R2239" i="2"/>
  <c r="R2802" i="2"/>
  <c r="S2030" i="2"/>
  <c r="O2903" i="2"/>
  <c r="N3495" i="2"/>
  <c r="S3448" i="2"/>
  <c r="J3197" i="2"/>
  <c r="M3106" i="2"/>
  <c r="C3073" i="2"/>
  <c r="Q3103" i="2"/>
  <c r="U3421" i="2"/>
  <c r="C2390" i="2"/>
  <c r="C3571" i="2"/>
  <c r="F3382" i="2"/>
  <c r="G3043" i="2"/>
  <c r="C3551" i="2"/>
  <c r="S3629" i="2"/>
  <c r="C3182" i="2"/>
  <c r="C3433" i="2"/>
  <c r="R3125" i="2"/>
  <c r="V3495" i="2"/>
  <c r="T3022" i="2"/>
  <c r="T3407" i="2"/>
  <c r="I3228" i="2"/>
  <c r="R2633" i="2"/>
  <c r="K2696" i="2"/>
  <c r="S3551" i="2"/>
  <c r="W3361" i="2"/>
  <c r="Q3560" i="2"/>
  <c r="C2838" i="2"/>
  <c r="N3381" i="2"/>
  <c r="H3247" i="2"/>
  <c r="P2817" i="2"/>
  <c r="Q2829" i="2"/>
  <c r="J3558" i="2"/>
  <c r="P3402" i="2"/>
  <c r="Q3090" i="2"/>
  <c r="P3367" i="2"/>
  <c r="J2864" i="2"/>
  <c r="K3330" i="2"/>
  <c r="S3618" i="2"/>
  <c r="F3200" i="2"/>
  <c r="G3452" i="2"/>
  <c r="G3605" i="2"/>
  <c r="S3467" i="2"/>
  <c r="C2339" i="2"/>
  <c r="N2566" i="2"/>
  <c r="K3128" i="2"/>
  <c r="E3097" i="2"/>
  <c r="E3300" i="2"/>
  <c r="V3312" i="2"/>
  <c r="J2392" i="2"/>
  <c r="V3152" i="2"/>
  <c r="U3487" i="2"/>
  <c r="O3221" i="2"/>
  <c r="I3112" i="2"/>
  <c r="F3110" i="2"/>
  <c r="F2938" i="2"/>
  <c r="C3458" i="2"/>
  <c r="S2974" i="2"/>
  <c r="L3554" i="2"/>
  <c r="I3477" i="2"/>
  <c r="S3488" i="2"/>
  <c r="D3182" i="2"/>
  <c r="G3355" i="2"/>
  <c r="N3114" i="2"/>
  <c r="D3186" i="2"/>
  <c r="E2598" i="2"/>
  <c r="E3390" i="2"/>
  <c r="Q2109" i="2"/>
  <c r="G2746" i="2"/>
  <c r="C2890" i="2"/>
  <c r="O2792" i="2"/>
  <c r="O3186" i="2"/>
  <c r="N3364" i="2"/>
  <c r="U3334" i="2"/>
  <c r="V3032" i="2"/>
  <c r="M3102" i="2"/>
  <c r="P3169" i="2"/>
  <c r="R3460" i="2"/>
  <c r="S3603" i="2"/>
  <c r="C3461" i="2"/>
  <c r="E3404" i="2"/>
  <c r="O3383" i="2"/>
  <c r="H2801" i="2"/>
  <c r="M2547" i="2"/>
  <c r="R2789" i="2"/>
  <c r="E3364" i="2"/>
  <c r="N1591" i="2"/>
  <c r="F2851" i="2"/>
  <c r="I3312" i="2"/>
  <c r="G3225" i="2"/>
  <c r="T2336" i="2"/>
  <c r="R2511" i="2"/>
  <c r="J2649" i="2"/>
  <c r="S2173" i="2"/>
  <c r="Q2080" i="2"/>
  <c r="R3138" i="2"/>
  <c r="J2919" i="2"/>
  <c r="O3002" i="2"/>
  <c r="H3008" i="2"/>
  <c r="T2507" i="2"/>
  <c r="K2977" i="2"/>
  <c r="I2773" i="2"/>
  <c r="K3516" i="2"/>
  <c r="S3435" i="2"/>
  <c r="K3379" i="2"/>
  <c r="V3248" i="2"/>
  <c r="I3058" i="2"/>
  <c r="D2826" i="2"/>
  <c r="V3194" i="2"/>
  <c r="I2544" i="2"/>
  <c r="Q2972" i="2"/>
  <c r="H3350" i="2"/>
  <c r="E2140" i="2"/>
  <c r="E2121" i="2"/>
  <c r="N3403" i="2"/>
  <c r="Q2777" i="2"/>
  <c r="W3415" i="2"/>
  <c r="V3000" i="2"/>
  <c r="S1476" i="2"/>
  <c r="L2916" i="2"/>
  <c r="V2784" i="2"/>
  <c r="E3407" i="2"/>
  <c r="G3162" i="2"/>
  <c r="C3068" i="2"/>
  <c r="C2916" i="2"/>
  <c r="V2852" i="2"/>
  <c r="U1326" i="2"/>
  <c r="G3096" i="2"/>
  <c r="W3025" i="2"/>
  <c r="U3376" i="2"/>
  <c r="E2709" i="2"/>
  <c r="D2327" i="2"/>
  <c r="S2351" i="2"/>
  <c r="F2357" i="2"/>
  <c r="C3455" i="2"/>
  <c r="H3496" i="2"/>
  <c r="H3196" i="2"/>
  <c r="Q3148" i="2"/>
  <c r="I2557" i="2"/>
  <c r="E2551" i="2"/>
  <c r="S3004" i="2"/>
  <c r="E417" i="2"/>
  <c r="M2053" i="2"/>
  <c r="K3203" i="2"/>
  <c r="C1603" i="2"/>
  <c r="C3603" i="2"/>
  <c r="L3604" i="2"/>
  <c r="K3400" i="2"/>
  <c r="O3523" i="2"/>
  <c r="T2408" i="2"/>
  <c r="G2896" i="2"/>
  <c r="W2315" i="2"/>
  <c r="H3530" i="2"/>
  <c r="E2710" i="2"/>
  <c r="V2969" i="2"/>
  <c r="J3304" i="2"/>
  <c r="N3374" i="2"/>
  <c r="J3343" i="2"/>
  <c r="P3076" i="2"/>
  <c r="R2706" i="2"/>
  <c r="R2921" i="2"/>
  <c r="M3564" i="2"/>
  <c r="K2373" i="2"/>
  <c r="H3471" i="2"/>
  <c r="F2629" i="2"/>
  <c r="M2395" i="2"/>
  <c r="F2632" i="2"/>
  <c r="L3001" i="2"/>
  <c r="C3263" i="2"/>
  <c r="I2688" i="2"/>
  <c r="G3539" i="2"/>
  <c r="J3211" i="2"/>
  <c r="V3199" i="2"/>
  <c r="W3352" i="2"/>
  <c r="F3287" i="2"/>
  <c r="R2316" i="2"/>
  <c r="C3594" i="2"/>
  <c r="W3420" i="2"/>
  <c r="C3191" i="2"/>
  <c r="H2797" i="2"/>
  <c r="Q2655" i="2"/>
  <c r="P3512" i="2"/>
  <c r="I2872" i="2"/>
  <c r="L2385" i="2"/>
  <c r="K3077" i="2"/>
  <c r="U3152" i="2"/>
  <c r="J3269" i="2"/>
  <c r="E3588" i="2"/>
  <c r="U3402" i="2"/>
  <c r="M2203" i="2"/>
  <c r="J3511" i="2"/>
  <c r="Q2546" i="2"/>
  <c r="N3405" i="2"/>
  <c r="O3260" i="2"/>
  <c r="G3501" i="2"/>
  <c r="F3494" i="2"/>
  <c r="P3012" i="2"/>
  <c r="W3510" i="2"/>
  <c r="I3117" i="2"/>
  <c r="K3150" i="2"/>
  <c r="V1969" i="2"/>
  <c r="L1729" i="2"/>
  <c r="I3159" i="2"/>
  <c r="N3407" i="2"/>
  <c r="P3059" i="2"/>
  <c r="K3183" i="2"/>
  <c r="M1932" i="2"/>
  <c r="L2736" i="2"/>
  <c r="Q2903" i="2"/>
  <c r="S3617" i="2"/>
  <c r="V3527" i="2"/>
  <c r="P3138" i="2"/>
  <c r="C2753" i="2"/>
  <c r="U3467" i="2"/>
  <c r="U3073" i="2"/>
  <c r="S3541" i="2"/>
  <c r="D3245" i="2"/>
  <c r="V3314" i="2"/>
  <c r="H3141" i="2"/>
  <c r="G2810" i="2"/>
  <c r="M3471" i="2"/>
  <c r="I3114" i="2"/>
  <c r="D3344" i="2"/>
  <c r="J2698" i="2"/>
  <c r="N3217" i="2"/>
  <c r="F2518" i="2"/>
  <c r="I2356" i="2"/>
  <c r="K3036" i="2"/>
  <c r="P2628" i="2"/>
  <c r="M3448" i="2"/>
  <c r="W3289" i="2"/>
  <c r="D2932" i="2"/>
  <c r="O1971" i="2"/>
  <c r="C3382" i="2"/>
  <c r="L3355" i="2"/>
  <c r="D2137" i="2"/>
  <c r="H2446" i="2"/>
  <c r="M3436" i="2"/>
  <c r="V3338" i="2"/>
  <c r="J3497" i="2"/>
  <c r="H2967" i="2"/>
  <c r="K3440" i="2"/>
  <c r="U2793" i="2"/>
  <c r="I3174" i="2"/>
  <c r="R2883" i="2"/>
  <c r="N3372" i="2"/>
  <c r="P523" i="2"/>
  <c r="O3121" i="2"/>
  <c r="G3080" i="2"/>
  <c r="M3249" i="2"/>
  <c r="C3035" i="2"/>
  <c r="V2903" i="2"/>
  <c r="I3257" i="2"/>
  <c r="L3243" i="2"/>
  <c r="U3178" i="2"/>
  <c r="J2968" i="2"/>
  <c r="I3437" i="2"/>
  <c r="U3169" i="2"/>
  <c r="V3358" i="2"/>
  <c r="H3257" i="2"/>
  <c r="K3416" i="2"/>
  <c r="J3124" i="2"/>
  <c r="L3231" i="2"/>
  <c r="D3350" i="2"/>
  <c r="D3585" i="2"/>
  <c r="W3221" i="2"/>
  <c r="U3212" i="2"/>
  <c r="I3067" i="2"/>
  <c r="E3017" i="2"/>
  <c r="T2838" i="2"/>
  <c r="R2796" i="2"/>
  <c r="F1677" i="2"/>
  <c r="E3552" i="2"/>
  <c r="H2607" i="2"/>
  <c r="C3195" i="2"/>
  <c r="R2832" i="2"/>
  <c r="E3418" i="2"/>
  <c r="S2816" i="2"/>
  <c r="I3255" i="2"/>
  <c r="S3143" i="2"/>
  <c r="E3320" i="2"/>
  <c r="V3290" i="2"/>
  <c r="E2387" i="2"/>
  <c r="H3252" i="2"/>
  <c r="S2555" i="2"/>
  <c r="F2262" i="2"/>
  <c r="R2930" i="2"/>
  <c r="J1261" i="2"/>
  <c r="C3268" i="2"/>
  <c r="D3464" i="2"/>
  <c r="W3214" i="2"/>
  <c r="K2859" i="2"/>
  <c r="K1706" i="2"/>
  <c r="D2715" i="2"/>
  <c r="T2658" i="2"/>
  <c r="M2523" i="2"/>
  <c r="V1517" i="2"/>
  <c r="Q3016" i="2"/>
  <c r="V2707" i="2"/>
  <c r="P3297" i="2"/>
  <c r="I3151" i="2"/>
  <c r="G2475" i="2"/>
  <c r="U1107" i="2"/>
  <c r="T3390" i="2"/>
  <c r="N3359" i="2"/>
  <c r="F3358" i="2"/>
  <c r="O2715" i="2"/>
  <c r="V2620" i="2"/>
  <c r="I2770" i="2"/>
  <c r="U3428" i="2"/>
  <c r="H3176" i="2"/>
  <c r="G3318" i="2"/>
  <c r="H2510" i="2"/>
  <c r="M3449" i="2"/>
  <c r="Q2642" i="2"/>
  <c r="E3293" i="2"/>
  <c r="C3089" i="2"/>
  <c r="E2693" i="2"/>
  <c r="M2679" i="2"/>
  <c r="O3108" i="2"/>
  <c r="C3517" i="2"/>
  <c r="C2772" i="2"/>
  <c r="I2970" i="2"/>
  <c r="E2050" i="2"/>
  <c r="M2433" i="2"/>
  <c r="D2961" i="2"/>
  <c r="I3584" i="2"/>
  <c r="O2633" i="2"/>
  <c r="O2884" i="2"/>
  <c r="E3129" i="2"/>
  <c r="D2964" i="2"/>
  <c r="E3243" i="2"/>
  <c r="T2549" i="2"/>
  <c r="Q3219" i="2"/>
  <c r="O2417" i="2"/>
  <c r="N3036" i="2"/>
  <c r="V3452" i="2"/>
  <c r="C3570" i="2"/>
  <c r="S3294" i="2"/>
  <c r="L3138" i="2"/>
  <c r="S3319" i="2"/>
  <c r="L2899" i="2"/>
  <c r="C2391" i="2"/>
  <c r="K3515" i="2"/>
  <c r="F3289" i="2"/>
  <c r="U2903" i="2"/>
  <c r="S2926" i="2"/>
  <c r="H1199" i="2"/>
  <c r="V3556" i="2"/>
  <c r="G3394" i="2"/>
  <c r="W2983" i="2"/>
  <c r="R3091" i="2"/>
  <c r="S2718" i="2"/>
  <c r="C1265" i="2"/>
  <c r="M2811" i="2"/>
  <c r="Q3075" i="2"/>
  <c r="J3365" i="2"/>
  <c r="V3359" i="2"/>
  <c r="Q2381" i="2"/>
  <c r="U3045" i="2"/>
  <c r="R1877" i="2"/>
  <c r="G3099" i="2"/>
  <c r="K3510" i="2"/>
  <c r="V3135" i="2"/>
  <c r="K3346" i="2"/>
  <c r="W2251" i="2"/>
  <c r="V2622" i="2"/>
  <c r="F3420" i="2"/>
  <c r="O3160" i="2"/>
  <c r="V3245" i="2"/>
  <c r="M3004" i="2"/>
  <c r="P3316" i="2"/>
  <c r="S3344" i="2"/>
  <c r="K3225" i="2"/>
  <c r="V3260" i="2"/>
  <c r="G2290" i="2"/>
  <c r="I3263" i="2"/>
  <c r="I3447" i="2"/>
  <c r="W2852" i="2"/>
  <c r="I2969" i="2"/>
  <c r="W3126" i="2"/>
  <c r="W3360" i="2"/>
  <c r="E2320" i="2"/>
  <c r="R950" i="2"/>
  <c r="T3186" i="2"/>
  <c r="P3141" i="2"/>
  <c r="N3108" i="2"/>
  <c r="O3057" i="2"/>
  <c r="E3568" i="2"/>
  <c r="V3304" i="2"/>
  <c r="Q2960" i="2"/>
  <c r="K2799" i="2"/>
  <c r="J3215" i="2"/>
  <c r="I2440" i="2"/>
  <c r="I3059" i="2"/>
  <c r="K2726" i="2"/>
  <c r="T2690" i="2"/>
  <c r="T2975" i="2"/>
  <c r="D2850" i="2"/>
  <c r="I3253" i="2"/>
  <c r="E2955" i="2"/>
  <c r="S3267" i="2"/>
  <c r="D3137" i="2"/>
  <c r="I2972" i="2"/>
  <c r="L3182" i="2"/>
  <c r="C3064" i="2"/>
  <c r="J3152" i="2"/>
  <c r="U2972" i="2"/>
  <c r="M2817" i="2"/>
  <c r="Q3038" i="2"/>
  <c r="G2754" i="2"/>
  <c r="N2167" i="2"/>
  <c r="V2998" i="2"/>
  <c r="G2883" i="2"/>
  <c r="L2629" i="2"/>
  <c r="I2431" i="2"/>
  <c r="W2791" i="2"/>
  <c r="I2492" i="2"/>
  <c r="I2922" i="2"/>
  <c r="R3240" i="2"/>
  <c r="C3139" i="2"/>
  <c r="R2955" i="2"/>
  <c r="S2932" i="2"/>
  <c r="S3053" i="2"/>
  <c r="F3286" i="2"/>
  <c r="V2680" i="2"/>
  <c r="W2787" i="2"/>
  <c r="E1901" i="2"/>
  <c r="K3044" i="2"/>
  <c r="I3154" i="2"/>
  <c r="D3558" i="2"/>
  <c r="L3500" i="2"/>
  <c r="G3088" i="2"/>
  <c r="F2834" i="2"/>
  <c r="W3394" i="2"/>
  <c r="F2838" i="2"/>
  <c r="D3058" i="2"/>
  <c r="G2997" i="2"/>
  <c r="C2030" i="2"/>
  <c r="D3029" i="2"/>
  <c r="T3131" i="2"/>
  <c r="P3103" i="2"/>
  <c r="H3139" i="2"/>
  <c r="W2881" i="2"/>
  <c r="P3005" i="2"/>
  <c r="H3153" i="2"/>
  <c r="P3322" i="2"/>
  <c r="W3356" i="2"/>
  <c r="Q2439" i="2"/>
  <c r="N2361" i="2"/>
  <c r="O3054" i="2"/>
  <c r="M2672" i="2"/>
  <c r="P2042" i="2"/>
  <c r="P1698" i="2"/>
  <c r="H3001" i="2"/>
  <c r="G3215" i="2"/>
  <c r="V2953" i="2"/>
  <c r="C3491" i="2"/>
  <c r="K3625" i="2"/>
  <c r="Q2893" i="2"/>
  <c r="L2912" i="2"/>
  <c r="S3113" i="2"/>
  <c r="G2856" i="2"/>
  <c r="M3522" i="2"/>
  <c r="F2999" i="2"/>
  <c r="M3179" i="2"/>
  <c r="J2612" i="2"/>
  <c r="V3309" i="2"/>
  <c r="N3451" i="2"/>
  <c r="K2730" i="2"/>
  <c r="N3169" i="2"/>
  <c r="H2703" i="2"/>
  <c r="S2998" i="2"/>
  <c r="H3337" i="2"/>
  <c r="E3303" i="2"/>
  <c r="P1958" i="2"/>
  <c r="U3224" i="2"/>
  <c r="W2668" i="2"/>
  <c r="E3220" i="2"/>
  <c r="E3124" i="2"/>
  <c r="H3354" i="2"/>
  <c r="D3381" i="2"/>
  <c r="F3576" i="2"/>
  <c r="H3038" i="2"/>
  <c r="N3314" i="2"/>
  <c r="W3003" i="2"/>
  <c r="T2091" i="2"/>
  <c r="D3522" i="2"/>
  <c r="N3345" i="2"/>
  <c r="F2348" i="2"/>
  <c r="N3427" i="2"/>
  <c r="G3430" i="2"/>
  <c r="V2885" i="2"/>
  <c r="R2873" i="2"/>
  <c r="M3046" i="2"/>
  <c r="O3125" i="2"/>
  <c r="V3214" i="2"/>
  <c r="S3068" i="2"/>
  <c r="W3194" i="2"/>
  <c r="J3420" i="2"/>
  <c r="J2420" i="2"/>
  <c r="D3425" i="2"/>
  <c r="E3110" i="2"/>
  <c r="P1939" i="2"/>
  <c r="K2888" i="2"/>
  <c r="N2919" i="2"/>
  <c r="H2494" i="2"/>
  <c r="U2743" i="2"/>
  <c r="J3041" i="2"/>
  <c r="U2964" i="2"/>
  <c r="W2890" i="2"/>
  <c r="D1655" i="2"/>
  <c r="M2790" i="2"/>
  <c r="R1649" i="2"/>
  <c r="G3507" i="2"/>
  <c r="P3318" i="2"/>
  <c r="V3254" i="2"/>
  <c r="N3271" i="2"/>
  <c r="F3147" i="2"/>
  <c r="M2968" i="2"/>
  <c r="I3531" i="2"/>
  <c r="S2743" i="2"/>
  <c r="D3514" i="2"/>
  <c r="L3484" i="2"/>
  <c r="V3273" i="2"/>
  <c r="C3002" i="2"/>
  <c r="V3319" i="2"/>
  <c r="R2829" i="2"/>
  <c r="W3349" i="2"/>
  <c r="W3390" i="2"/>
  <c r="G3170" i="2"/>
  <c r="L3376" i="2"/>
  <c r="F3279" i="2"/>
  <c r="G2852" i="2"/>
  <c r="N2205" i="2"/>
  <c r="H3018" i="2"/>
  <c r="N3297" i="2"/>
  <c r="G2146" i="2"/>
  <c r="I3137" i="2"/>
  <c r="H2735" i="2"/>
  <c r="W2131" i="2"/>
  <c r="L2827" i="2"/>
  <c r="D1793" i="2"/>
  <c r="Q1226" i="2"/>
  <c r="P3091" i="2"/>
  <c r="T3076" i="2"/>
  <c r="O3129" i="2"/>
  <c r="F3623" i="2"/>
  <c r="G3385" i="2"/>
  <c r="P2904" i="2"/>
  <c r="T3044" i="2"/>
  <c r="E2954" i="2"/>
  <c r="F3152" i="2"/>
  <c r="Q2712" i="2"/>
  <c r="O2815" i="2"/>
  <c r="N3235" i="2"/>
  <c r="G3051" i="2"/>
  <c r="C3247" i="2"/>
  <c r="E2678" i="2"/>
  <c r="O2388" i="2"/>
  <c r="J3577" i="2"/>
  <c r="C3511" i="2"/>
  <c r="R3368" i="2"/>
  <c r="L2686" i="2"/>
  <c r="K1923" i="2"/>
  <c r="W3084" i="2"/>
  <c r="I3338" i="2"/>
  <c r="J2961" i="2"/>
  <c r="W2342" i="2"/>
  <c r="T3528" i="2"/>
  <c r="L2551" i="2"/>
  <c r="I654" i="2"/>
  <c r="P3157" i="2"/>
  <c r="V3191" i="2"/>
  <c r="I3315" i="2"/>
  <c r="J2187" i="2"/>
  <c r="I3346" i="2"/>
  <c r="I2328" i="2"/>
  <c r="O3013" i="2"/>
  <c r="G3122" i="2"/>
  <c r="T1642" i="2"/>
  <c r="P2632" i="2"/>
  <c r="I2248" i="2"/>
  <c r="R3171" i="2"/>
  <c r="S2929" i="2"/>
  <c r="Q3066" i="2"/>
  <c r="G2780" i="2"/>
  <c r="T2230" i="2"/>
  <c r="H3393" i="2"/>
  <c r="C3318" i="2"/>
  <c r="Q2029" i="2"/>
  <c r="U3173" i="2"/>
  <c r="I3415" i="2"/>
  <c r="S3042" i="2"/>
  <c r="U3001" i="2"/>
  <c r="I2418" i="2"/>
  <c r="U2673" i="2"/>
  <c r="U2732" i="2"/>
  <c r="D2136" i="2"/>
  <c r="W1271" i="2"/>
  <c r="J2149" i="2"/>
  <c r="U2243" i="2"/>
  <c r="V2539" i="2"/>
  <c r="G2960" i="2"/>
  <c r="S3386" i="2"/>
  <c r="W3146" i="2"/>
  <c r="G1095" i="2"/>
  <c r="Q3413" i="2"/>
  <c r="K1936" i="2"/>
  <c r="V2271" i="2"/>
  <c r="G3547" i="2"/>
  <c r="W2960" i="2"/>
  <c r="O2680" i="2"/>
  <c r="T3349" i="2"/>
  <c r="W2137" i="2"/>
  <c r="H3202" i="2"/>
  <c r="I2677" i="2"/>
  <c r="I2651" i="2"/>
  <c r="T2895" i="2"/>
  <c r="N3412" i="2"/>
  <c r="H2621" i="2"/>
  <c r="F2948" i="2"/>
  <c r="L3337" i="2"/>
  <c r="V2641" i="2"/>
  <c r="G2498" i="2"/>
  <c r="N3089" i="2"/>
  <c r="F2794" i="2"/>
  <c r="I2309" i="2"/>
  <c r="L2617" i="2"/>
  <c r="I3527" i="2"/>
  <c r="S3470" i="2"/>
  <c r="J3076" i="2"/>
  <c r="C3213" i="2"/>
  <c r="O2854" i="2"/>
  <c r="N2789" i="2"/>
  <c r="K3019" i="2"/>
  <c r="O1824" i="2"/>
  <c r="U2939" i="2"/>
  <c r="C2777" i="2"/>
  <c r="J3015" i="2"/>
  <c r="V2931" i="2"/>
  <c r="P3442" i="2"/>
  <c r="F2597" i="2"/>
  <c r="K2412" i="2"/>
  <c r="E2280" i="2"/>
  <c r="W888" i="2"/>
  <c r="J3287" i="2"/>
  <c r="N2787" i="2"/>
  <c r="F2943" i="2"/>
  <c r="I2392" i="2"/>
  <c r="K3349" i="2"/>
  <c r="O3001" i="2"/>
  <c r="O3446" i="2"/>
  <c r="T2033" i="2"/>
  <c r="U3447" i="2"/>
  <c r="F3272" i="2"/>
  <c r="I1251" i="2"/>
  <c r="G3263" i="2"/>
  <c r="W2555" i="2"/>
  <c r="E2833" i="2"/>
  <c r="U3163" i="2"/>
  <c r="F3575" i="2"/>
  <c r="G3321" i="2"/>
  <c r="S3112" i="2"/>
  <c r="F3461" i="2"/>
  <c r="V3279" i="2"/>
  <c r="L3326" i="2"/>
  <c r="V2846" i="2"/>
  <c r="S2408" i="2"/>
  <c r="Q3191" i="2"/>
  <c r="C2822" i="2"/>
  <c r="G2635" i="2"/>
  <c r="E2943" i="2"/>
  <c r="O2855" i="2"/>
  <c r="S2855" i="2"/>
  <c r="R3365" i="2"/>
  <c r="U2382" i="2"/>
  <c r="C2327" i="2"/>
  <c r="H3082" i="2"/>
  <c r="E2642" i="2"/>
  <c r="I2292" i="2"/>
  <c r="E3127" i="2"/>
  <c r="E3032" i="2"/>
  <c r="S3261" i="2"/>
  <c r="D2393" i="2"/>
  <c r="S3272" i="2"/>
  <c r="P475" i="2"/>
  <c r="L2756" i="2"/>
  <c r="N3146" i="2"/>
  <c r="E3022" i="2"/>
  <c r="P2367" i="2"/>
  <c r="Q3023" i="2"/>
  <c r="K2904" i="2"/>
  <c r="N2768" i="2"/>
  <c r="F2853" i="2"/>
  <c r="O2900" i="2"/>
  <c r="V3345" i="2"/>
  <c r="L3230" i="2"/>
  <c r="D2042" i="2"/>
  <c r="L3081" i="2"/>
  <c r="G3586" i="2"/>
  <c r="I3458" i="2"/>
  <c r="G3117" i="2"/>
  <c r="C3088" i="2"/>
  <c r="T3221" i="2"/>
  <c r="T3357" i="2"/>
  <c r="J2450" i="2"/>
  <c r="Q3221" i="2"/>
  <c r="S2515" i="2"/>
  <c r="H3590" i="2"/>
  <c r="T3127" i="2"/>
  <c r="U3275" i="2"/>
  <c r="P2990" i="2"/>
  <c r="S3454" i="2"/>
  <c r="R3335" i="2"/>
  <c r="J2614" i="2"/>
  <c r="H3200" i="2"/>
  <c r="W2931" i="2"/>
  <c r="H2678" i="2"/>
  <c r="J2374" i="2"/>
  <c r="H3449" i="2"/>
  <c r="K3365" i="2"/>
  <c r="W3536" i="2"/>
  <c r="Q1837" i="2"/>
  <c r="I3451" i="2"/>
  <c r="U2800" i="2"/>
  <c r="O3513" i="2"/>
  <c r="Q2746" i="2"/>
  <c r="N3613" i="2"/>
  <c r="K2818" i="2"/>
  <c r="C3048" i="2"/>
  <c r="F1936" i="2"/>
  <c r="O2777" i="2"/>
  <c r="I3032" i="2"/>
  <c r="J2904" i="2"/>
  <c r="O2896" i="2"/>
  <c r="W3499" i="2"/>
  <c r="J3275" i="2"/>
  <c r="C2895" i="2"/>
  <c r="D3320" i="2"/>
  <c r="I1598" i="2"/>
  <c r="I3131" i="2"/>
  <c r="O3384" i="2"/>
  <c r="N3104" i="2"/>
  <c r="G3286" i="2"/>
  <c r="E2855" i="2"/>
  <c r="L2639" i="2"/>
  <c r="P2827" i="2"/>
  <c r="M3203" i="2"/>
  <c r="H2989" i="2"/>
  <c r="G2620" i="2"/>
  <c r="T2991" i="2"/>
  <c r="J3066" i="2"/>
  <c r="V3038" i="2"/>
  <c r="J3428" i="2"/>
  <c r="O2211" i="2"/>
  <c r="O3329" i="2"/>
  <c r="M2893" i="2"/>
  <c r="F2515" i="2"/>
  <c r="P2173" i="2"/>
  <c r="F3013" i="2"/>
  <c r="M2075" i="2"/>
  <c r="K3345" i="2"/>
  <c r="U3011" i="2"/>
  <c r="Q1470" i="2"/>
  <c r="M3170" i="2"/>
  <c r="P2756" i="2"/>
  <c r="F3036" i="2"/>
  <c r="N3389" i="2"/>
  <c r="W3188" i="2"/>
  <c r="J2377" i="2"/>
  <c r="N2754" i="2"/>
  <c r="S3056" i="2"/>
  <c r="J3170" i="2"/>
  <c r="D3493" i="2"/>
  <c r="C2677" i="2"/>
  <c r="S3384" i="2"/>
  <c r="N3324" i="2"/>
  <c r="E3226" i="2"/>
  <c r="V2552" i="2"/>
  <c r="F3140" i="2"/>
  <c r="H2696" i="2"/>
  <c r="P3548" i="2"/>
  <c r="U2936" i="2"/>
  <c r="M3338" i="2"/>
  <c r="N2752" i="2"/>
  <c r="U3321" i="2"/>
  <c r="G2718" i="2"/>
  <c r="H3550" i="2"/>
  <c r="K2997" i="2"/>
  <c r="D2422" i="2"/>
  <c r="R2175" i="2"/>
  <c r="N3443" i="2"/>
  <c r="C2960" i="2"/>
  <c r="L2826" i="2"/>
  <c r="K3385" i="2"/>
  <c r="V2459" i="2"/>
  <c r="V3308" i="2"/>
  <c r="S2989" i="2"/>
  <c r="P2103" i="2"/>
  <c r="I3513" i="2"/>
  <c r="O1640" i="2"/>
  <c r="P3082" i="2"/>
  <c r="Q1953" i="2"/>
  <c r="V2821" i="2"/>
  <c r="O2017" i="2"/>
  <c r="F3440" i="2"/>
  <c r="P2296" i="2"/>
  <c r="I2670" i="2"/>
  <c r="H3508" i="2"/>
  <c r="L2441" i="2"/>
  <c r="D3335" i="2"/>
  <c r="R1325" i="2"/>
  <c r="S1870" i="2"/>
  <c r="L1944" i="2"/>
  <c r="C3248" i="2"/>
  <c r="G3176" i="2"/>
  <c r="Q3518" i="2"/>
  <c r="Q2237" i="2"/>
  <c r="L1887" i="2"/>
  <c r="T2832" i="2"/>
  <c r="S2295" i="2"/>
  <c r="H2752" i="2"/>
  <c r="F3229" i="2"/>
  <c r="J2188" i="2"/>
  <c r="T2527" i="2"/>
  <c r="V2579" i="2"/>
  <c r="E3146" i="2"/>
  <c r="J1286" i="2"/>
  <c r="U2700" i="2"/>
  <c r="E2893" i="2"/>
  <c r="G2453" i="2"/>
  <c r="M3052" i="2"/>
  <c r="W2610" i="2"/>
  <c r="R2974" i="2"/>
  <c r="C3236" i="2"/>
  <c r="G3068" i="2"/>
  <c r="C3445" i="2"/>
  <c r="C2738" i="2"/>
  <c r="J2424" i="2"/>
  <c r="P2962" i="2"/>
  <c r="S3418" i="2"/>
  <c r="F2969" i="2"/>
  <c r="S2586" i="2"/>
  <c r="S3532" i="2"/>
  <c r="D2191" i="2"/>
  <c r="O3111" i="2"/>
  <c r="F2955" i="2"/>
  <c r="I2228" i="2"/>
  <c r="U3197" i="2"/>
  <c r="F2886" i="2"/>
  <c r="V2472" i="2"/>
  <c r="Q2541" i="2"/>
  <c r="D3385" i="2"/>
  <c r="P3114" i="2"/>
  <c r="V3298" i="2"/>
  <c r="V1900" i="2"/>
  <c r="Q1895" i="2"/>
  <c r="N2663" i="2"/>
  <c r="V2743" i="2"/>
  <c r="D2336" i="2"/>
  <c r="C2749" i="2"/>
  <c r="T3247" i="2"/>
  <c r="O2139" i="2"/>
  <c r="I3133" i="2"/>
  <c r="U2345" i="2"/>
  <c r="W3430" i="2"/>
  <c r="P3201" i="2"/>
  <c r="Q3152" i="2"/>
  <c r="V3099" i="2"/>
  <c r="Q3098" i="2"/>
  <c r="F3591" i="2"/>
  <c r="H2385" i="2"/>
  <c r="N2705" i="2"/>
  <c r="W3452" i="2"/>
  <c r="G2966" i="2"/>
  <c r="O2581" i="2"/>
  <c r="U2213" i="2"/>
  <c r="U3553" i="2"/>
  <c r="H3255" i="2"/>
  <c r="E3279" i="2"/>
  <c r="W3591" i="2"/>
  <c r="H3306" i="2"/>
  <c r="I3226" i="2"/>
  <c r="U3405" i="2"/>
  <c r="R3555" i="2"/>
  <c r="L3032" i="2"/>
  <c r="C3306" i="2"/>
  <c r="U2683" i="2"/>
  <c r="W3156" i="2"/>
  <c r="C2980" i="2"/>
  <c r="L2851" i="2"/>
  <c r="L3410" i="2"/>
  <c r="R2638" i="2"/>
  <c r="R2467" i="2"/>
  <c r="K2500" i="2"/>
  <c r="K1549" i="2"/>
  <c r="J2393" i="2"/>
  <c r="S3234" i="2"/>
  <c r="O2457" i="2"/>
  <c r="H3050" i="2"/>
  <c r="Q2950" i="2"/>
  <c r="R3597" i="2"/>
  <c r="K3094" i="2"/>
  <c r="C2990" i="2"/>
  <c r="G3197" i="2"/>
  <c r="R3539" i="2"/>
  <c r="E3033" i="2"/>
  <c r="P3159" i="2"/>
  <c r="N3126" i="2"/>
  <c r="H3330" i="2"/>
  <c r="R3123" i="2"/>
  <c r="R2604" i="2"/>
  <c r="O3206" i="2"/>
  <c r="R2901" i="2"/>
  <c r="S3070" i="2"/>
  <c r="T3172" i="2"/>
  <c r="N2674" i="2"/>
  <c r="K2761" i="2"/>
  <c r="G3447" i="2"/>
  <c r="T2632" i="2"/>
  <c r="C2951" i="2"/>
  <c r="T3248" i="2"/>
  <c r="C2884" i="2"/>
  <c r="T3224" i="2"/>
  <c r="J3371" i="2"/>
  <c r="Q3379" i="2"/>
  <c r="C3210" i="2"/>
  <c r="Q3349" i="2"/>
  <c r="M2463" i="2"/>
  <c r="M3026" i="2"/>
  <c r="Q3333" i="2"/>
  <c r="S3624" i="2"/>
  <c r="E3282" i="2"/>
  <c r="V2729" i="2"/>
  <c r="M3256" i="2"/>
  <c r="M1150" i="2"/>
  <c r="K3321" i="2"/>
  <c r="J3111" i="2"/>
  <c r="T3254" i="2"/>
  <c r="U3401" i="2"/>
  <c r="R3156" i="2"/>
  <c r="T3202" i="2"/>
  <c r="K3253" i="2"/>
  <c r="L1807" i="2"/>
  <c r="T2710" i="2"/>
  <c r="H3307" i="2"/>
  <c r="C1588" i="2"/>
  <c r="E3224" i="2"/>
  <c r="N3311" i="2"/>
  <c r="V3140" i="2"/>
  <c r="L3313" i="2"/>
  <c r="Q3189" i="2"/>
  <c r="D3097" i="2"/>
  <c r="T3005" i="2"/>
  <c r="S2856" i="2"/>
  <c r="D2527" i="2"/>
  <c r="W3021" i="2"/>
  <c r="V2219" i="2"/>
  <c r="J3217" i="2"/>
  <c r="C2453" i="2"/>
  <c r="W3405" i="2"/>
  <c r="I1596" i="2"/>
  <c r="N2809" i="2"/>
  <c r="Q979" i="2"/>
  <c r="U2598" i="2"/>
  <c r="P2525" i="2"/>
  <c r="K3249" i="2"/>
  <c r="W3210" i="2"/>
  <c r="G3159" i="2"/>
  <c r="S3426" i="2"/>
  <c r="N3116" i="2"/>
  <c r="L3459" i="2"/>
  <c r="F3168" i="2"/>
  <c r="K3095" i="2"/>
  <c r="D1542" i="2"/>
  <c r="V3054" i="2"/>
  <c r="S3558" i="2"/>
  <c r="G3273" i="2"/>
  <c r="C2255" i="2"/>
  <c r="M3162" i="2"/>
  <c r="J2758" i="2"/>
  <c r="L3121" i="2"/>
  <c r="S3299" i="2"/>
  <c r="G3217" i="2"/>
  <c r="Q3253" i="2"/>
  <c r="U2609" i="2"/>
  <c r="P3236" i="2"/>
  <c r="S1168" i="2"/>
  <c r="I3464" i="2"/>
  <c r="H1466" i="2"/>
  <c r="N3252" i="2"/>
  <c r="W3028" i="2"/>
  <c r="P3430" i="2"/>
  <c r="Q2638" i="2"/>
  <c r="W3506" i="2"/>
  <c r="O3273" i="2"/>
  <c r="N1709" i="2"/>
  <c r="M3569" i="2"/>
  <c r="C3331" i="2"/>
  <c r="F3213" i="2"/>
  <c r="N3272" i="2"/>
  <c r="L3192" i="2"/>
  <c r="D3180" i="2"/>
  <c r="D2739" i="2"/>
  <c r="P3186" i="2"/>
  <c r="S3228" i="2"/>
  <c r="F2843" i="2"/>
  <c r="C3201" i="2"/>
  <c r="J2696" i="2"/>
  <c r="L2834" i="2"/>
  <c r="Q2957" i="2"/>
  <c r="G3332" i="2"/>
  <c r="F3351" i="2"/>
  <c r="N3310" i="2"/>
  <c r="W3133" i="2"/>
  <c r="O2759" i="2"/>
  <c r="C2908" i="2"/>
  <c r="K2934" i="2"/>
  <c r="U3000" i="2"/>
  <c r="S2897" i="2"/>
  <c r="F3340" i="2"/>
  <c r="F3003" i="2"/>
  <c r="T3459" i="2"/>
  <c r="W3248" i="2"/>
  <c r="F3496" i="2"/>
  <c r="S3142" i="2"/>
  <c r="Q3156" i="2"/>
  <c r="R3148" i="2"/>
  <c r="H3566" i="2"/>
  <c r="E3388" i="2"/>
  <c r="S3328" i="2"/>
  <c r="P3276" i="2"/>
  <c r="U3235" i="2"/>
  <c r="H2774" i="2"/>
  <c r="H2757" i="2"/>
  <c r="F3267" i="2"/>
  <c r="O3071" i="2"/>
  <c r="R3004" i="2"/>
  <c r="Q2126" i="2"/>
  <c r="E2909" i="2"/>
  <c r="I3407" i="2"/>
  <c r="D2988" i="2"/>
  <c r="T1850" i="2"/>
  <c r="I3409" i="2"/>
  <c r="H2100" i="2"/>
  <c r="U2699" i="2"/>
  <c r="J3359" i="2"/>
  <c r="Q3408" i="2"/>
  <c r="R2455" i="2"/>
  <c r="W2995" i="2"/>
  <c r="Q3461" i="2"/>
  <c r="U3071" i="2"/>
  <c r="D3232" i="2"/>
  <c r="J3053" i="2"/>
  <c r="U2900" i="2"/>
  <c r="D3129" i="2"/>
  <c r="M3515" i="2"/>
  <c r="P2792" i="2"/>
  <c r="M3297" i="2"/>
  <c r="V3445" i="2"/>
  <c r="H2702" i="2"/>
  <c r="H2819" i="2"/>
  <c r="T2075" i="2"/>
  <c r="E2704" i="2"/>
  <c r="L3487" i="2"/>
  <c r="R2812" i="2"/>
  <c r="K3343" i="2"/>
  <c r="H2478" i="2"/>
  <c r="W2328" i="2"/>
  <c r="P3254" i="2"/>
  <c r="V2845" i="2"/>
  <c r="D3255" i="2"/>
  <c r="M3216" i="2"/>
  <c r="Q3482" i="2"/>
  <c r="K3270" i="2"/>
  <c r="P2624" i="2"/>
  <c r="I3508" i="2"/>
  <c r="R3073" i="2"/>
  <c r="V3086" i="2"/>
  <c r="H3444" i="2"/>
  <c r="N3356" i="2"/>
  <c r="M3140" i="2"/>
  <c r="L2314" i="2"/>
  <c r="K2784" i="2"/>
  <c r="F2659" i="2"/>
  <c r="V3349" i="2"/>
  <c r="E3550" i="2"/>
  <c r="S3151" i="2"/>
  <c r="K3216" i="2"/>
  <c r="W3135" i="2"/>
  <c r="C2562" i="2"/>
  <c r="C3097" i="2"/>
  <c r="W2920" i="2"/>
  <c r="S3590" i="2"/>
  <c r="Q3352" i="2"/>
  <c r="O2300" i="2"/>
  <c r="E3429" i="2"/>
  <c r="R3152" i="2"/>
  <c r="M3616" i="2"/>
  <c r="V3497" i="2"/>
  <c r="R3112" i="2"/>
  <c r="E3287" i="2"/>
  <c r="W2630" i="2"/>
  <c r="K2683" i="2"/>
  <c r="S2819" i="2"/>
  <c r="F2881" i="2"/>
  <c r="Q2798" i="2"/>
  <c r="R3289" i="2"/>
  <c r="T2802" i="2"/>
  <c r="L1756" i="2"/>
  <c r="C2223" i="2"/>
  <c r="D2526" i="2"/>
  <c r="U3360" i="2"/>
  <c r="H2826" i="2"/>
  <c r="E3258" i="2"/>
  <c r="V2787" i="2"/>
  <c r="G3420" i="2"/>
  <c r="M3104" i="2"/>
  <c r="S3406" i="2"/>
  <c r="O3084" i="2"/>
  <c r="C3552" i="2"/>
  <c r="C2369" i="2"/>
  <c r="S3206" i="2"/>
  <c r="R3034" i="2"/>
  <c r="G3023" i="2"/>
  <c r="I2886" i="2"/>
  <c r="G1911" i="2"/>
  <c r="U2316" i="2"/>
  <c r="C2775" i="2"/>
  <c r="S2846" i="2"/>
  <c r="L3073" i="2"/>
  <c r="P3290" i="2"/>
  <c r="T3527" i="2"/>
  <c r="F3103" i="2"/>
  <c r="K1609" i="2"/>
  <c r="G3213" i="2"/>
  <c r="H3429" i="2"/>
  <c r="J3063" i="2"/>
  <c r="N3182" i="2"/>
  <c r="T3171" i="2"/>
  <c r="N2718" i="2"/>
  <c r="G2581" i="2"/>
  <c r="Q3226" i="2"/>
  <c r="T2370" i="2"/>
  <c r="E3051" i="2"/>
  <c r="J2840" i="2"/>
  <c r="F2813" i="2"/>
  <c r="F3479" i="2"/>
  <c r="H3146" i="2"/>
  <c r="P3507" i="2"/>
  <c r="C3262" i="2"/>
  <c r="U2983" i="2"/>
  <c r="O3088" i="2"/>
  <c r="L3047" i="2"/>
  <c r="H3012" i="2"/>
  <c r="K3014" i="2"/>
  <c r="U3147" i="2"/>
  <c r="I3490" i="2"/>
  <c r="W3199" i="2"/>
  <c r="F3006" i="2"/>
  <c r="S3185" i="2"/>
  <c r="L2988" i="2"/>
  <c r="L3067" i="2"/>
  <c r="F2565" i="2"/>
  <c r="L3012" i="2"/>
  <c r="O3498" i="2"/>
  <c r="M3433" i="2"/>
  <c r="V3508" i="2"/>
  <c r="R3129" i="2"/>
  <c r="R2261" i="2"/>
  <c r="S3227" i="2"/>
  <c r="K2917" i="2"/>
  <c r="U3252" i="2"/>
  <c r="C3357" i="2"/>
  <c r="H3459" i="2"/>
  <c r="H2382" i="2"/>
  <c r="R3013" i="2"/>
  <c r="M2416" i="2"/>
  <c r="N3258" i="2"/>
  <c r="F2447" i="2"/>
  <c r="U2730" i="2"/>
  <c r="M3194" i="2"/>
  <c r="G3118" i="2"/>
  <c r="N3242" i="2"/>
  <c r="N3332" i="2"/>
  <c r="O2926" i="2"/>
  <c r="H2854" i="2"/>
  <c r="C3305" i="2"/>
  <c r="E3218" i="2"/>
  <c r="E3175" i="2"/>
  <c r="S3286" i="2"/>
  <c r="W3505" i="2"/>
  <c r="E3495" i="2"/>
  <c r="L2522" i="2"/>
  <c r="I2200" i="2"/>
  <c r="C2882" i="2"/>
  <c r="C2573" i="2"/>
  <c r="J2986" i="2"/>
  <c r="L3115" i="2"/>
  <c r="D3491" i="2"/>
  <c r="P3217" i="2"/>
  <c r="T3154" i="2"/>
  <c r="G3039" i="2"/>
  <c r="F2865" i="2"/>
  <c r="V3120" i="2"/>
  <c r="C3177" i="2"/>
  <c r="K3013" i="2"/>
  <c r="K2679" i="2"/>
  <c r="H3064" i="2"/>
  <c r="S1981" i="2"/>
  <c r="R2844" i="2"/>
  <c r="O2655" i="2"/>
  <c r="J3403" i="2"/>
  <c r="M2605" i="2"/>
  <c r="K3009" i="2"/>
  <c r="S2985" i="2"/>
  <c r="E3372" i="2"/>
  <c r="W3280" i="2"/>
  <c r="W2989" i="2"/>
  <c r="J2850" i="2"/>
  <c r="M2378" i="2"/>
  <c r="L2201" i="2"/>
  <c r="S1653" i="2"/>
  <c r="G3116" i="2"/>
  <c r="M3260" i="2"/>
  <c r="C3270" i="2"/>
  <c r="S2419" i="2"/>
  <c r="O3431" i="2"/>
  <c r="J3515" i="2"/>
  <c r="O3416" i="2"/>
  <c r="I2852" i="2"/>
  <c r="K2871" i="2"/>
  <c r="C3310" i="2"/>
  <c r="E3525" i="2"/>
  <c r="U3008" i="2"/>
  <c r="T2187" i="2"/>
  <c r="W2953" i="2"/>
  <c r="H3265" i="2"/>
  <c r="G3395" i="2"/>
  <c r="L2504" i="2"/>
  <c r="V2643" i="2"/>
  <c r="J3148" i="2"/>
  <c r="Q3029" i="2"/>
  <c r="V2772" i="2"/>
  <c r="T2926" i="2"/>
  <c r="H1851" i="2"/>
  <c r="S2032" i="2"/>
  <c r="N2906" i="2"/>
  <c r="P2728" i="2"/>
  <c r="U2611" i="2"/>
  <c r="L1535" i="2"/>
  <c r="K3245" i="2"/>
  <c r="W3389" i="2"/>
  <c r="C3071" i="2"/>
  <c r="H3075" i="2"/>
  <c r="L2794" i="2"/>
  <c r="L3460" i="2"/>
  <c r="V3297" i="2"/>
  <c r="C3548" i="2"/>
  <c r="J3234" i="2"/>
  <c r="U2850" i="2"/>
  <c r="S3032" i="2"/>
  <c r="P3235" i="2"/>
  <c r="K3207" i="2"/>
  <c r="F3178" i="2"/>
  <c r="U3168" i="2"/>
  <c r="S3584" i="2"/>
  <c r="E3242" i="2"/>
  <c r="K2720" i="2"/>
  <c r="Q2955" i="2"/>
  <c r="G3442" i="2"/>
  <c r="P2786" i="2"/>
  <c r="U2935" i="2"/>
  <c r="E2936" i="2"/>
  <c r="U3385" i="2"/>
  <c r="Q2252" i="2"/>
  <c r="I2383" i="2"/>
  <c r="H2098" i="2"/>
  <c r="D3331" i="2"/>
  <c r="F3404" i="2"/>
  <c r="O3053" i="2"/>
  <c r="U3455" i="2"/>
  <c r="O3079" i="2"/>
  <c r="T3241" i="2"/>
  <c r="L3322" i="2"/>
  <c r="T3180" i="2"/>
  <c r="F3232" i="2"/>
  <c r="Q3552" i="2"/>
  <c r="N3503" i="2"/>
  <c r="E1853" i="2"/>
  <c r="C2903" i="2"/>
  <c r="E2091" i="2"/>
  <c r="S3473" i="2"/>
  <c r="K3076" i="2"/>
  <c r="M3286" i="2"/>
  <c r="P2898" i="2"/>
  <c r="S3092" i="2"/>
  <c r="U2963" i="2"/>
  <c r="S3278" i="2"/>
  <c r="L3535" i="2"/>
  <c r="M3318" i="2"/>
  <c r="J3014" i="2"/>
  <c r="E3013" i="2"/>
  <c r="F2631" i="2"/>
  <c r="F3259" i="2"/>
  <c r="N3225" i="2"/>
  <c r="C3277" i="2"/>
  <c r="I3029" i="2"/>
  <c r="Q1562" i="2"/>
  <c r="H2954" i="2"/>
  <c r="C3166" i="2"/>
  <c r="C3267" i="2"/>
  <c r="G3266" i="2"/>
  <c r="N3439" i="2"/>
  <c r="Q2316" i="2"/>
  <c r="N3317" i="2"/>
  <c r="K3347" i="2"/>
  <c r="F2875" i="2"/>
  <c r="Q3027" i="2"/>
  <c r="V2933" i="2"/>
  <c r="Q3218" i="2"/>
  <c r="O3528" i="2"/>
  <c r="I2867" i="2"/>
  <c r="H3241" i="2"/>
  <c r="C2023" i="2"/>
  <c r="H2972" i="2"/>
  <c r="S3096" i="2"/>
  <c r="T2555" i="2"/>
  <c r="N2496" i="2"/>
  <c r="M2966" i="2"/>
  <c r="C3033" i="2"/>
  <c r="C2215" i="2"/>
  <c r="J1929" i="2"/>
  <c r="C3241" i="2"/>
  <c r="R2973" i="2"/>
  <c r="N2696" i="2"/>
  <c r="P2798" i="2"/>
  <c r="N3289" i="2"/>
  <c r="P2691" i="2"/>
  <c r="P2995" i="2"/>
  <c r="J2999" i="2"/>
  <c r="S363" i="2"/>
  <c r="E3446" i="2"/>
  <c r="W3406" i="2"/>
  <c r="E3222" i="2"/>
  <c r="F1661" i="2"/>
  <c r="H2976" i="2"/>
  <c r="D2629" i="2"/>
  <c r="D3072" i="2"/>
  <c r="L1123" i="2"/>
  <c r="W2959" i="2"/>
  <c r="W3027" i="2"/>
  <c r="U3409" i="2"/>
  <c r="S3577" i="2"/>
  <c r="I2589" i="2"/>
  <c r="O3323" i="2"/>
  <c r="I3030" i="2"/>
  <c r="U2666" i="2"/>
  <c r="Q3524" i="2"/>
  <c r="E3547" i="2"/>
  <c r="E2613" i="2"/>
  <c r="O3269" i="2"/>
  <c r="E2671" i="2"/>
  <c r="S2889" i="2"/>
  <c r="I2357" i="2"/>
  <c r="H3244" i="2"/>
  <c r="L3260" i="2"/>
  <c r="V2555" i="2"/>
  <c r="G2593" i="2"/>
  <c r="E2371" i="2"/>
  <c r="F3065" i="2"/>
  <c r="K3237" i="2"/>
  <c r="Q2752" i="2"/>
  <c r="V3145" i="2"/>
  <c r="U2914" i="2"/>
  <c r="M2913" i="2"/>
  <c r="S3543" i="2"/>
  <c r="N3264" i="2"/>
  <c r="S3233" i="2"/>
  <c r="U3150" i="2"/>
  <c r="L3442" i="2"/>
  <c r="Q2380" i="2"/>
  <c r="M2848" i="2"/>
  <c r="K1491" i="2"/>
  <c r="J3350" i="2"/>
  <c r="C3338" i="2"/>
  <c r="T3301" i="2"/>
  <c r="G2398" i="2"/>
  <c r="J3391" i="2"/>
  <c r="F2559" i="2"/>
  <c r="D3205" i="2"/>
  <c r="U3057" i="2"/>
  <c r="N2419" i="2"/>
  <c r="N3165" i="2"/>
  <c r="E3171" i="2"/>
  <c r="N3223" i="2"/>
  <c r="I3378" i="2"/>
  <c r="T3133" i="2"/>
  <c r="H3172" i="2"/>
  <c r="M2216" i="2"/>
  <c r="I2458" i="2"/>
  <c r="O2798" i="2"/>
  <c r="M3011" i="2"/>
  <c r="E2755" i="2"/>
  <c r="L3209" i="2"/>
  <c r="D2197" i="2"/>
  <c r="P2475" i="2"/>
  <c r="T2240" i="2"/>
  <c r="V3519" i="2"/>
  <c r="K3413" i="2"/>
  <c r="K3533" i="2"/>
  <c r="J3329" i="2"/>
  <c r="V3012" i="2"/>
  <c r="I3047" i="2"/>
  <c r="K2806" i="2"/>
  <c r="C3576" i="2"/>
  <c r="K3628" i="2"/>
  <c r="R3048" i="2"/>
  <c r="L3362" i="2"/>
  <c r="M2466" i="2"/>
  <c r="M3558" i="2"/>
  <c r="Q3510" i="2"/>
  <c r="P3145" i="2"/>
  <c r="K2502" i="2"/>
  <c r="S2655" i="2"/>
  <c r="J2631" i="2"/>
  <c r="S3382" i="2"/>
  <c r="U2708" i="2"/>
  <c r="N2542" i="2"/>
  <c r="M2891" i="2"/>
  <c r="S2908" i="2"/>
  <c r="U3310" i="2"/>
  <c r="T2993" i="2"/>
  <c r="T1598" i="2"/>
  <c r="T3497" i="2"/>
  <c r="I2761" i="2"/>
  <c r="C2747" i="2"/>
  <c r="N2338" i="2"/>
  <c r="H2843" i="2"/>
  <c r="P3310" i="2"/>
  <c r="S2745" i="2"/>
  <c r="N1944" i="2"/>
  <c r="K3358" i="2"/>
  <c r="S3187" i="2"/>
  <c r="K3481" i="2"/>
  <c r="Q2343" i="2"/>
  <c r="V3515" i="2"/>
  <c r="W2265" i="2"/>
  <c r="D2595" i="2"/>
  <c r="W2797" i="2"/>
  <c r="O3352" i="2"/>
  <c r="G3425" i="2"/>
  <c r="K3205" i="2"/>
  <c r="S3057" i="2"/>
  <c r="R3315" i="2"/>
  <c r="C3451" i="2"/>
  <c r="U3282" i="2"/>
  <c r="S2827" i="2"/>
  <c r="I3118" i="2"/>
  <c r="S3396" i="2"/>
  <c r="V3034" i="2"/>
  <c r="Q2918" i="2"/>
  <c r="K3446" i="2"/>
  <c r="L3077" i="2"/>
  <c r="R3629" i="2"/>
  <c r="G2553" i="2"/>
  <c r="O3350" i="2"/>
  <c r="W3363" i="2"/>
  <c r="S1417" i="2"/>
  <c r="L2832" i="2"/>
  <c r="D2350" i="2"/>
  <c r="P2998" i="2"/>
  <c r="R3523" i="2"/>
  <c r="O3173" i="2"/>
  <c r="M2878" i="2"/>
  <c r="L3492" i="2"/>
  <c r="U3139" i="2"/>
  <c r="U3304" i="2"/>
  <c r="Q3335" i="2"/>
  <c r="G2823" i="2"/>
  <c r="C2721" i="2"/>
  <c r="D2533" i="2"/>
  <c r="T3454" i="2"/>
  <c r="S3526" i="2"/>
  <c r="J2363" i="2"/>
  <c r="R3422" i="2"/>
  <c r="F2946" i="2"/>
  <c r="C2689" i="2"/>
  <c r="S3051" i="2"/>
  <c r="K3406" i="2"/>
  <c r="H3578" i="2"/>
  <c r="P2692" i="2"/>
  <c r="E2609" i="2"/>
  <c r="D2705" i="2"/>
  <c r="D2855" i="2"/>
  <c r="G3204" i="2"/>
  <c r="C2638" i="2"/>
  <c r="P3412" i="2"/>
  <c r="F3055" i="2"/>
  <c r="M2640" i="2"/>
  <c r="D2384" i="2"/>
  <c r="L3008" i="2"/>
  <c r="E3507" i="2"/>
  <c r="C2479" i="2"/>
  <c r="K2839" i="2"/>
  <c r="K3206" i="2"/>
  <c r="U3424" i="2"/>
  <c r="K3163" i="2"/>
  <c r="G3379" i="2"/>
  <c r="N3236" i="2"/>
  <c r="T3338" i="2"/>
  <c r="O2327" i="2"/>
  <c r="H3482" i="2"/>
  <c r="I3454" i="2"/>
  <c r="E3248" i="2"/>
  <c r="U2772" i="2"/>
  <c r="V3271" i="2"/>
  <c r="W3225" i="2"/>
  <c r="E3256" i="2"/>
  <c r="F2223" i="2"/>
  <c r="D2931" i="2"/>
  <c r="N3275" i="2"/>
  <c r="M3204" i="2"/>
  <c r="T3470" i="2"/>
  <c r="V3356" i="2"/>
  <c r="K3147" i="2"/>
  <c r="W3008" i="2"/>
  <c r="G2889" i="2"/>
  <c r="E3100" i="2"/>
  <c r="R3401" i="2"/>
  <c r="T2641" i="2"/>
  <c r="D2546" i="2"/>
  <c r="U2617" i="2"/>
  <c r="I2853" i="2"/>
  <c r="U2284" i="2"/>
  <c r="C2759" i="2"/>
  <c r="E2777" i="2"/>
  <c r="M3407" i="2"/>
  <c r="F3509" i="2"/>
  <c r="Q3514" i="2"/>
  <c r="N3465" i="2"/>
  <c r="M3239" i="2"/>
  <c r="R2704" i="2"/>
  <c r="W3284" i="2"/>
  <c r="E2409" i="2"/>
  <c r="N2969" i="2"/>
  <c r="U3620" i="2"/>
  <c r="R2753" i="2"/>
  <c r="G2760" i="2"/>
  <c r="Q3222" i="2"/>
  <c r="T2833" i="2"/>
  <c r="H2756" i="2"/>
  <c r="C3125" i="2"/>
  <c r="P2661" i="2"/>
  <c r="C3217" i="2"/>
  <c r="Q2924" i="2"/>
  <c r="O3562" i="2"/>
  <c r="G2434" i="2"/>
  <c r="M3345" i="2"/>
  <c r="F1427" i="2"/>
  <c r="F2390" i="2"/>
  <c r="K2642" i="2"/>
  <c r="C2603" i="2"/>
  <c r="F2718" i="2"/>
  <c r="L2547" i="2"/>
  <c r="M3148" i="2"/>
  <c r="H1217" i="2"/>
  <c r="T3480" i="2"/>
  <c r="E3395" i="2"/>
  <c r="S2660" i="2"/>
  <c r="N3154" i="2"/>
  <c r="E3095" i="2"/>
  <c r="E3333" i="2"/>
  <c r="N3151" i="2"/>
  <c r="O2624" i="2"/>
  <c r="U3550" i="2"/>
  <c r="D2645" i="2"/>
  <c r="L3464" i="2"/>
  <c r="J2587" i="2"/>
  <c r="C1981" i="2"/>
  <c r="T2935" i="2"/>
  <c r="M3040" i="2"/>
  <c r="I3161" i="2"/>
  <c r="C3418" i="2"/>
  <c r="P2956" i="2"/>
  <c r="T3356" i="2"/>
  <c r="C3129" i="2"/>
  <c r="R3487" i="2"/>
  <c r="Q3355" i="2"/>
  <c r="E3063" i="2"/>
  <c r="U2948" i="2"/>
  <c r="P3361" i="2"/>
  <c r="V2793" i="2"/>
  <c r="K2815" i="2"/>
  <c r="F3009" i="2"/>
  <c r="Q2870" i="2"/>
  <c r="I2021" i="2"/>
  <c r="H3538" i="2"/>
  <c r="S3230" i="2"/>
  <c r="W3297" i="2"/>
  <c r="J2732" i="2"/>
  <c r="L2634" i="2"/>
  <c r="V2545" i="2"/>
  <c r="T2848" i="2"/>
  <c r="D3226" i="2"/>
  <c r="E2908" i="2"/>
  <c r="I1526" i="2"/>
  <c r="V2486" i="2"/>
  <c r="K2612" i="2"/>
  <c r="V2837" i="2"/>
  <c r="H3085" i="2"/>
  <c r="M1878" i="2"/>
  <c r="O3132" i="2"/>
  <c r="W3494" i="2"/>
  <c r="D2770" i="2"/>
  <c r="W2036" i="2"/>
  <c r="V2828" i="2"/>
  <c r="D2606" i="2"/>
  <c r="F3038" i="2"/>
  <c r="L2852" i="2"/>
  <c r="G3188" i="2"/>
  <c r="K2837" i="2"/>
  <c r="P2548" i="2"/>
  <c r="G1840" i="2"/>
  <c r="S2234" i="2"/>
  <c r="F1203" i="2"/>
  <c r="M3295" i="2"/>
  <c r="F1453" i="2"/>
  <c r="U2209" i="2"/>
  <c r="K3329" i="2"/>
  <c r="L1767" i="2"/>
  <c r="C3145" i="2"/>
  <c r="I2882" i="2"/>
  <c r="H2240" i="2"/>
  <c r="M2118" i="2"/>
  <c r="N2145" i="2"/>
  <c r="K1248" i="2"/>
  <c r="S2795" i="2"/>
  <c r="V2795" i="2"/>
  <c r="G3070" i="2"/>
  <c r="C3174" i="2"/>
  <c r="N2212" i="2"/>
  <c r="P3096" i="2"/>
  <c r="C1998" i="2"/>
  <c r="F1531" i="2"/>
  <c r="T2478" i="2"/>
  <c r="N3125" i="2"/>
  <c r="U2520" i="2"/>
  <c r="F3228" i="2"/>
  <c r="K2764" i="2"/>
  <c r="E1629" i="2"/>
  <c r="S3219" i="2"/>
  <c r="I3061" i="2"/>
  <c r="O2455" i="2"/>
  <c r="E3137" i="2"/>
  <c r="Q3310" i="2"/>
  <c r="I2610" i="2"/>
  <c r="Q3120" i="2"/>
  <c r="O3140" i="2"/>
  <c r="N3128" i="2"/>
  <c r="M3176" i="2"/>
  <c r="J2674" i="2"/>
  <c r="E3249" i="2"/>
  <c r="C2819" i="2"/>
  <c r="M3296" i="2"/>
  <c r="M3309" i="2"/>
  <c r="V2718" i="2"/>
  <c r="C2994" i="2"/>
  <c r="E3122" i="2"/>
  <c r="D3485" i="2"/>
  <c r="D3003" i="2"/>
  <c r="T3373" i="2"/>
  <c r="G2588" i="2"/>
  <c r="D3030" i="2"/>
  <c r="F2842" i="2"/>
  <c r="V1178" i="2"/>
  <c r="Q3522" i="2"/>
  <c r="K3010" i="2"/>
  <c r="Q3436" i="2"/>
  <c r="S2616" i="2"/>
  <c r="N3082" i="2"/>
  <c r="K3621" i="2"/>
  <c r="V2915" i="2"/>
  <c r="V2248" i="2"/>
  <c r="R2997" i="2"/>
  <c r="O3247" i="2"/>
  <c r="O3089" i="2"/>
  <c r="F3076" i="2"/>
  <c r="U2402" i="2"/>
  <c r="K3476" i="2"/>
  <c r="U3571" i="2"/>
  <c r="S3201" i="2"/>
  <c r="H2710" i="2"/>
  <c r="M3399" i="2"/>
  <c r="J3340" i="2"/>
  <c r="L2255" i="2"/>
  <c r="K3168" i="2"/>
  <c r="Q2866" i="2"/>
  <c r="S1489" i="2"/>
  <c r="M2667" i="2"/>
  <c r="N3402" i="2"/>
  <c r="L3405" i="2"/>
  <c r="S3060" i="2"/>
  <c r="U2785" i="2"/>
  <c r="M3187" i="2"/>
  <c r="G2729" i="2"/>
  <c r="F3377" i="2"/>
  <c r="I2954" i="2"/>
  <c r="L2902" i="2"/>
  <c r="O3133" i="2"/>
  <c r="D3379" i="2"/>
  <c r="Q2905" i="2"/>
  <c r="H3099" i="2"/>
  <c r="J2875" i="2"/>
  <c r="V2911" i="2"/>
  <c r="C3011" i="2"/>
  <c r="N1823" i="2"/>
  <c r="M3310" i="2"/>
  <c r="U2731" i="2"/>
  <c r="L2607" i="2"/>
  <c r="J2632" i="2"/>
  <c r="Q2719" i="2"/>
  <c r="V3100" i="2"/>
  <c r="M2685" i="2"/>
  <c r="C3238" i="2"/>
  <c r="V3296" i="2"/>
  <c r="F2772" i="2"/>
  <c r="E3092" i="2"/>
  <c r="P2193" i="2"/>
  <c r="Q2613" i="2"/>
  <c r="I2152" i="2"/>
  <c r="F2391" i="2"/>
  <c r="M2686" i="2"/>
  <c r="P3107" i="2"/>
  <c r="J2202" i="2"/>
  <c r="I2822" i="2"/>
  <c r="R3131" i="2"/>
  <c r="N3183" i="2"/>
  <c r="R3262" i="2"/>
  <c r="T3139" i="2"/>
  <c r="P3353" i="2"/>
  <c r="F2623" i="2"/>
  <c r="U2424" i="2"/>
  <c r="N3446" i="2"/>
  <c r="Q2577" i="2"/>
  <c r="I3160" i="2"/>
  <c r="M2842" i="2"/>
  <c r="C3345" i="2"/>
  <c r="N3300" i="2"/>
  <c r="S3417" i="2"/>
  <c r="Q2830" i="2"/>
  <c r="H2988" i="2"/>
  <c r="F1980" i="2"/>
  <c r="D2866" i="2"/>
  <c r="C2406" i="2"/>
  <c r="U2247" i="2"/>
  <c r="M3556" i="2"/>
  <c r="S3468" i="2"/>
  <c r="S3362" i="2"/>
  <c r="R2794" i="2"/>
  <c r="T2065" i="2"/>
  <c r="O3339" i="2"/>
  <c r="U2188" i="2"/>
  <c r="U3303" i="2"/>
  <c r="K3436" i="2"/>
  <c r="T2521" i="2"/>
  <c r="T3452" i="2"/>
  <c r="Q3245" i="2"/>
  <c r="E2961" i="2"/>
  <c r="W3258" i="2"/>
  <c r="C3315" i="2"/>
  <c r="D2523" i="2"/>
  <c r="I3031" i="2"/>
  <c r="F2602" i="2"/>
  <c r="R3235" i="2"/>
  <c r="O3134" i="2"/>
  <c r="W3087" i="2"/>
  <c r="F3304" i="2"/>
  <c r="S2817" i="2"/>
  <c r="K3017" i="2"/>
  <c r="O3549" i="2"/>
  <c r="E3162" i="2"/>
  <c r="F3504" i="2"/>
  <c r="E2295" i="2"/>
  <c r="G3504" i="2"/>
  <c r="F3435" i="2"/>
  <c r="N3174" i="2"/>
  <c r="V3443" i="2"/>
  <c r="E3585" i="2"/>
  <c r="M3576" i="2"/>
  <c r="G2315" i="2"/>
  <c r="M3421" i="2"/>
  <c r="Q3546" i="2"/>
  <c r="D3216" i="2"/>
  <c r="E2778" i="2"/>
  <c r="Q3465" i="2"/>
  <c r="Q3394" i="2"/>
  <c r="S3521" i="2"/>
  <c r="D3355" i="2"/>
  <c r="I3374" i="2"/>
  <c r="E3187" i="2"/>
  <c r="V3101" i="2"/>
  <c r="F2248" i="2"/>
  <c r="K2288" i="2"/>
  <c r="G3168" i="2"/>
  <c r="E2890" i="2"/>
  <c r="P1845" i="2"/>
  <c r="Q3446" i="2"/>
  <c r="U3434" i="2"/>
  <c r="H3417" i="2"/>
  <c r="L2963" i="2"/>
  <c r="V1911" i="2"/>
  <c r="V3167" i="2"/>
  <c r="P2876" i="2"/>
  <c r="D2966" i="2"/>
  <c r="J3290" i="2"/>
  <c r="S3275" i="2"/>
  <c r="C3239" i="2"/>
  <c r="J3374" i="2"/>
  <c r="M3082" i="2"/>
  <c r="C3585" i="2"/>
  <c r="J3280" i="2"/>
  <c r="E3228" i="2"/>
  <c r="Q3603" i="2"/>
  <c r="F3487" i="2"/>
  <c r="L2445" i="2"/>
  <c r="F3409" i="2"/>
  <c r="L3488" i="2"/>
  <c r="F3474" i="2"/>
  <c r="I2150" i="2"/>
  <c r="R2884" i="2"/>
  <c r="D3396" i="2"/>
  <c r="F2961" i="2"/>
  <c r="V3233" i="2"/>
  <c r="K3411" i="2"/>
  <c r="R2918" i="2"/>
  <c r="D3059" i="2"/>
  <c r="L3196" i="2"/>
  <c r="F2963" i="2"/>
  <c r="S3377" i="2"/>
  <c r="I3423" i="2"/>
  <c r="S3323" i="2"/>
  <c r="S2824" i="2"/>
  <c r="U3105" i="2"/>
  <c r="T3364" i="2"/>
  <c r="G2853" i="2"/>
  <c r="L2855" i="2"/>
  <c r="D3055" i="2"/>
  <c r="U3290" i="2"/>
  <c r="E3025" i="2"/>
  <c r="C3101" i="2"/>
  <c r="M2220" i="2"/>
  <c r="W3587" i="2"/>
  <c r="D3192" i="2"/>
  <c r="E2731" i="2"/>
  <c r="R2967" i="2"/>
  <c r="W2967" i="2"/>
  <c r="C3391" i="2"/>
  <c r="M3288" i="2"/>
  <c r="Q3009" i="2"/>
  <c r="O3518" i="2"/>
  <c r="S3183" i="2"/>
  <c r="M3229" i="2"/>
  <c r="S2587" i="2"/>
  <c r="H1507" i="2"/>
  <c r="C2725" i="2"/>
  <c r="P1627" i="2"/>
  <c r="V3219" i="2"/>
  <c r="O3347" i="2"/>
  <c r="D3473" i="2"/>
  <c r="E2948" i="2"/>
  <c r="S2834" i="2"/>
  <c r="F3122" i="2"/>
  <c r="N3137" i="2"/>
  <c r="E2901" i="2"/>
  <c r="N2928" i="2"/>
  <c r="J3100" i="2"/>
  <c r="T2416" i="2"/>
  <c r="N3375" i="2"/>
  <c r="E3202" i="2"/>
  <c r="F2571" i="2"/>
  <c r="U3414" i="2"/>
  <c r="W2682" i="2"/>
  <c r="D3347" i="2"/>
  <c r="T2640" i="2"/>
  <c r="I3124" i="2"/>
  <c r="G3091" i="2"/>
  <c r="G2862" i="2"/>
  <c r="E3138" i="2"/>
  <c r="R3499" i="2"/>
  <c r="H2955" i="2"/>
  <c r="N3132" i="2"/>
  <c r="P3193" i="2"/>
  <c r="R2842" i="2"/>
  <c r="L2787" i="2"/>
  <c r="F2898" i="2"/>
  <c r="H3160" i="2"/>
  <c r="L2593" i="2"/>
  <c r="K3099" i="2"/>
  <c r="M2657" i="2"/>
  <c r="S3449" i="2"/>
  <c r="W2347" i="2"/>
  <c r="C2965" i="2"/>
  <c r="I2919" i="2"/>
  <c r="U3107" i="2"/>
  <c r="H2736" i="2"/>
  <c r="E3211" i="2"/>
  <c r="L1819" i="2"/>
  <c r="P2828" i="2"/>
  <c r="G3069" i="2"/>
  <c r="N3004" i="2"/>
  <c r="S2362" i="2"/>
  <c r="S3387" i="2"/>
  <c r="V2408" i="2"/>
  <c r="M1841" i="2"/>
  <c r="K2960" i="2"/>
  <c r="L3029" i="2"/>
  <c r="W2366" i="2"/>
  <c r="G3380" i="2"/>
  <c r="C3172" i="2"/>
  <c r="N2053" i="2"/>
  <c r="E3263" i="2"/>
  <c r="U2581" i="2"/>
  <c r="F3597" i="2"/>
  <c r="T2955" i="2"/>
  <c r="N2670" i="2"/>
  <c r="U2521" i="2"/>
  <c r="O3589" i="2"/>
  <c r="J2557" i="2"/>
  <c r="L3269" i="2"/>
  <c r="O3245" i="2"/>
  <c r="V3306" i="2"/>
  <c r="L3390" i="2"/>
  <c r="F3501" i="2"/>
  <c r="K2246" i="2"/>
  <c r="H3239" i="2"/>
  <c r="K3041" i="2"/>
  <c r="G2459" i="2"/>
  <c r="Q2823" i="2"/>
  <c r="U2293" i="2"/>
  <c r="L3374" i="2"/>
  <c r="H3157" i="2"/>
  <c r="Q3387" i="2"/>
  <c r="K3204" i="2"/>
  <c r="J3373" i="2"/>
  <c r="P3085" i="2"/>
  <c r="R3237" i="2"/>
  <c r="C3103" i="2"/>
  <c r="S1821" i="2"/>
  <c r="M1868" i="2"/>
  <c r="R3179" i="2"/>
  <c r="S2625" i="2"/>
  <c r="J3193" i="2"/>
  <c r="I2719" i="2"/>
  <c r="D2952" i="2"/>
  <c r="E3050" i="2"/>
  <c r="R3135" i="2"/>
  <c r="C2993" i="2"/>
  <c r="V2827" i="2"/>
  <c r="T3183" i="2"/>
  <c r="O3106" i="2"/>
  <c r="U3266" i="2"/>
  <c r="O3171" i="2"/>
  <c r="D3353" i="2"/>
  <c r="I3260" i="2"/>
  <c r="V2267" i="2"/>
  <c r="M3276" i="2"/>
  <c r="R1456" i="2"/>
  <c r="R3425" i="2"/>
  <c r="V3598" i="2"/>
  <c r="G2867" i="2"/>
  <c r="O3138" i="2"/>
  <c r="Q2949" i="2"/>
  <c r="V2642" i="2"/>
  <c r="F3115" i="2"/>
  <c r="H2295" i="2"/>
  <c r="K3340" i="2"/>
  <c r="D2287" i="2"/>
  <c r="J3312" i="2"/>
  <c r="E3232" i="2"/>
  <c r="R3006" i="2"/>
  <c r="O2279" i="2"/>
  <c r="S3331" i="2"/>
  <c r="M3195" i="2"/>
  <c r="L3085" i="2"/>
  <c r="G2684" i="2"/>
  <c r="Q3227" i="2"/>
  <c r="D2916" i="2"/>
  <c r="C2621" i="2"/>
  <c r="O3152" i="2"/>
  <c r="E3574" i="2"/>
  <c r="I3543" i="2"/>
  <c r="H3147" i="2"/>
  <c r="S3433" i="2"/>
  <c r="J1689" i="2"/>
  <c r="M3355" i="2"/>
  <c r="E3305" i="2"/>
  <c r="K2517" i="2"/>
  <c r="H3233" i="2"/>
  <c r="M1743" i="2"/>
  <c r="M3077" i="2"/>
  <c r="L2672" i="2"/>
  <c r="M2879" i="2"/>
  <c r="T2587" i="2"/>
  <c r="T2546" i="2"/>
  <c r="K3074" i="2"/>
  <c r="C2588" i="2"/>
  <c r="C2988" i="2"/>
  <c r="N3327" i="2"/>
  <c r="U2499" i="2"/>
  <c r="M2805" i="2"/>
  <c r="V2374" i="2"/>
  <c r="J3145" i="2"/>
  <c r="I1613" i="2"/>
  <c r="R2474" i="2"/>
  <c r="E3112" i="2"/>
  <c r="Q3372" i="2"/>
  <c r="O2931" i="2"/>
  <c r="V3323" i="2"/>
  <c r="C2865" i="2"/>
  <c r="S3350" i="2"/>
  <c r="W3351" i="2"/>
  <c r="W2779" i="2"/>
  <c r="O3532" i="2"/>
  <c r="M3220" i="2"/>
  <c r="T2434" i="2"/>
  <c r="C3200" i="2"/>
  <c r="K2325" i="2"/>
  <c r="H2808" i="2"/>
  <c r="C2797" i="2"/>
  <c r="L3467" i="2"/>
  <c r="M2638" i="2"/>
  <c r="E3439" i="2"/>
  <c r="S3413" i="2"/>
  <c r="U3322" i="2"/>
  <c r="Q3195" i="2"/>
  <c r="N3248" i="2"/>
  <c r="H2513" i="2"/>
  <c r="Q2454" i="2"/>
  <c r="E3270" i="2"/>
  <c r="P2999" i="2"/>
  <c r="D3481" i="2"/>
  <c r="M3584" i="2"/>
  <c r="I3177" i="2"/>
  <c r="T2851" i="2"/>
  <c r="L2405" i="2"/>
  <c r="W3152" i="2"/>
  <c r="S3154" i="2"/>
  <c r="F3503" i="2"/>
  <c r="M3171" i="2"/>
  <c r="K3235" i="2"/>
  <c r="S3318" i="2"/>
  <c r="R3325" i="2"/>
  <c r="O3078" i="2"/>
  <c r="H3481" i="2"/>
  <c r="G3250" i="2"/>
  <c r="I3211" i="2"/>
  <c r="P3347" i="2"/>
  <c r="G2676" i="2"/>
  <c r="W3484" i="2"/>
  <c r="U2872" i="2"/>
  <c r="F2997" i="2"/>
  <c r="H3066" i="2"/>
  <c r="P2664" i="2"/>
  <c r="M2218" i="2"/>
  <c r="J2440" i="2"/>
  <c r="M3180" i="2"/>
  <c r="S3109" i="2"/>
  <c r="C2659" i="2"/>
  <c r="K3450" i="2"/>
  <c r="G2415" i="2"/>
  <c r="S3297" i="2"/>
  <c r="Q2938" i="2"/>
  <c r="U2719" i="2"/>
  <c r="V3147" i="2"/>
  <c r="U2997" i="2"/>
  <c r="O728" i="2"/>
  <c r="V2866" i="2"/>
  <c r="F3143" i="2"/>
  <c r="U3174" i="2"/>
  <c r="H2833" i="2"/>
  <c r="P2741" i="2"/>
  <c r="T1431" i="2"/>
  <c r="J1960" i="2"/>
  <c r="K1633" i="2"/>
  <c r="U3162" i="2"/>
  <c r="Q2844" i="2"/>
  <c r="G3228" i="2"/>
  <c r="J2452" i="2"/>
  <c r="M3444" i="2"/>
  <c r="E2822" i="2"/>
  <c r="D1660" i="2"/>
  <c r="R1226" i="2"/>
  <c r="K3603" i="2"/>
  <c r="V2657" i="2"/>
  <c r="G2735" i="2"/>
  <c r="M2868" i="2"/>
  <c r="S3019" i="2"/>
  <c r="M3155" i="2"/>
  <c r="F3410" i="2"/>
  <c r="L3282" i="2"/>
  <c r="D2326" i="2"/>
  <c r="R3376" i="2"/>
  <c r="C3314" i="2"/>
  <c r="P3340" i="2"/>
  <c r="C1987" i="2"/>
  <c r="O3298" i="2"/>
  <c r="V2986" i="2"/>
  <c r="C3308" i="2"/>
  <c r="M3223" i="2"/>
  <c r="Q2780" i="2"/>
  <c r="G3171" i="2"/>
  <c r="O2197" i="2"/>
  <c r="J633" i="2"/>
  <c r="O2609" i="2"/>
  <c r="G2505" i="2"/>
  <c r="P3279" i="2"/>
  <c r="D3360" i="2"/>
  <c r="R3355" i="2"/>
  <c r="C1715" i="2"/>
  <c r="M3017" i="2"/>
  <c r="N2831" i="2"/>
  <c r="Q2637" i="2"/>
  <c r="Q2854" i="2"/>
  <c r="R2773" i="2"/>
  <c r="C3040" i="2"/>
  <c r="I2992" i="2"/>
  <c r="O2767" i="2"/>
  <c r="E2866" i="2"/>
  <c r="G3324" i="2"/>
  <c r="I2201" i="2"/>
  <c r="W1392" i="2"/>
  <c r="F2566" i="2"/>
  <c r="V2596" i="2"/>
  <c r="J3464" i="2"/>
  <c r="S2905" i="2"/>
  <c r="M3054" i="2"/>
  <c r="S3329" i="2"/>
  <c r="L2746" i="2"/>
  <c r="L2462" i="2"/>
  <c r="N1836" i="2"/>
  <c r="P1970" i="2"/>
  <c r="P2374" i="2"/>
  <c r="L1911" i="2"/>
  <c r="T3200" i="2"/>
  <c r="H3254" i="2"/>
  <c r="U2961" i="2"/>
  <c r="C127" i="2"/>
  <c r="F2108" i="2"/>
  <c r="M3196" i="2"/>
  <c r="M2620" i="2"/>
  <c r="W2704" i="2"/>
  <c r="S2875" i="2"/>
  <c r="R3169" i="2"/>
  <c r="D3283" i="2"/>
  <c r="V1150" i="2"/>
  <c r="M3334" i="2"/>
  <c r="T2871" i="2"/>
  <c r="E3164" i="2"/>
  <c r="C3072" i="2"/>
  <c r="V2857" i="2"/>
  <c r="T3269" i="2"/>
  <c r="H3531" i="2"/>
  <c r="F2759" i="2"/>
  <c r="G3145" i="2"/>
  <c r="I3130" i="2"/>
  <c r="S3529" i="2"/>
  <c r="N3189" i="2"/>
  <c r="T3077" i="2"/>
  <c r="T2977" i="2"/>
  <c r="I1798" i="2"/>
  <c r="J3615" i="2"/>
  <c r="F3127" i="2"/>
  <c r="W3423" i="2"/>
  <c r="U2539" i="2"/>
  <c r="K1531" i="2"/>
  <c r="G2551" i="2"/>
  <c r="G1994" i="2"/>
  <c r="Q3500" i="2"/>
  <c r="Q3378" i="2"/>
  <c r="F2424" i="2"/>
  <c r="U2386" i="2"/>
  <c r="L3352" i="2"/>
  <c r="D2643" i="2"/>
  <c r="N3173" i="2"/>
  <c r="J3397" i="2"/>
  <c r="E3503" i="2"/>
  <c r="S2980" i="2"/>
  <c r="E2189" i="2"/>
  <c r="U3380" i="2"/>
  <c r="D2587" i="2"/>
  <c r="H3353" i="2"/>
  <c r="I3361" i="2"/>
  <c r="E3524" i="2"/>
  <c r="T3391" i="2"/>
  <c r="F2341" i="2"/>
  <c r="J3127" i="2"/>
  <c r="C3352" i="2"/>
  <c r="H2971" i="2"/>
  <c r="R3209" i="2"/>
  <c r="V3149" i="2"/>
  <c r="R1085" i="2"/>
  <c r="W2824" i="2"/>
  <c r="V2601" i="2"/>
  <c r="O2138" i="2"/>
  <c r="J3299" i="2"/>
  <c r="F457" i="2"/>
  <c r="W779" i="2"/>
  <c r="R2099" i="2"/>
  <c r="K3140" i="2"/>
  <c r="M3553" i="2"/>
  <c r="Q3262" i="2"/>
  <c r="N2899" i="2"/>
  <c r="V1839" i="2"/>
  <c r="K3182" i="2"/>
  <c r="D3228" i="2"/>
  <c r="J2835" i="2"/>
  <c r="V2738" i="2"/>
  <c r="K3257" i="2"/>
  <c r="T2276" i="2"/>
  <c r="F1717" i="2"/>
  <c r="U2052" i="2"/>
  <c r="Q3151" i="2"/>
  <c r="G3390" i="2"/>
  <c r="L1953" i="2"/>
  <c r="F3027" i="2"/>
  <c r="D2699" i="2"/>
  <c r="N2507" i="2"/>
  <c r="W2917" i="2"/>
  <c r="C3184" i="2"/>
  <c r="M2410" i="2"/>
  <c r="Q3252" i="2"/>
  <c r="E3055" i="2"/>
  <c r="H2969" i="2"/>
  <c r="U2397" i="2"/>
  <c r="P3060" i="2"/>
  <c r="P1771" i="2"/>
  <c r="I2801" i="2"/>
  <c r="Q2981" i="2"/>
  <c r="H3078" i="2"/>
  <c r="P3117" i="2"/>
  <c r="O2739" i="2"/>
  <c r="K3328" i="2"/>
  <c r="V3013" i="2"/>
  <c r="Q3163" i="2"/>
  <c r="P2313" i="2"/>
  <c r="I2818" i="2"/>
  <c r="S2426" i="2"/>
  <c r="L2671" i="2"/>
  <c r="F3560" i="2"/>
  <c r="V2197" i="2"/>
  <c r="N2032" i="2"/>
  <c r="S2721" i="2"/>
  <c r="I3242" i="2"/>
  <c r="Q2263" i="2"/>
  <c r="P2973" i="2"/>
  <c r="H2460" i="2"/>
  <c r="T3438" i="2"/>
  <c r="O1979" i="2"/>
  <c r="O3037" i="2"/>
  <c r="E2986" i="2"/>
  <c r="L3311" i="2"/>
  <c r="P2233" i="2"/>
  <c r="H2545" i="2"/>
  <c r="N2956" i="2"/>
  <c r="E2808" i="2"/>
  <c r="D3211" i="2"/>
  <c r="L2382" i="2"/>
  <c r="S3269" i="2"/>
  <c r="G1548" i="2"/>
  <c r="W1904" i="2"/>
  <c r="L3425" i="2"/>
  <c r="V3196" i="2"/>
  <c r="R3128" i="2"/>
  <c r="N3462" i="2"/>
  <c r="E2604" i="2"/>
  <c r="R2255" i="2"/>
  <c r="H2428" i="2"/>
  <c r="E2727" i="2"/>
  <c r="H3143" i="2"/>
  <c r="H2500" i="2"/>
  <c r="M3508" i="2"/>
  <c r="N3281" i="2"/>
  <c r="J2364" i="2"/>
  <c r="E1569" i="2"/>
  <c r="L2403" i="2"/>
  <c r="I3011" i="2"/>
  <c r="I3206" i="2"/>
  <c r="V3343" i="2"/>
  <c r="N2820" i="2"/>
  <c r="C3154" i="2"/>
  <c r="O2311" i="2"/>
  <c r="O2456" i="2"/>
  <c r="V2160" i="2"/>
  <c r="U1452" i="2"/>
  <c r="M3418" i="2"/>
  <c r="V2796" i="2"/>
  <c r="D3289" i="2"/>
  <c r="N2526" i="2"/>
  <c r="N2980" i="2"/>
  <c r="T1999" i="2"/>
  <c r="V3479" i="2"/>
  <c r="L2295" i="2"/>
  <c r="C3163" i="2"/>
  <c r="P2719" i="2"/>
  <c r="R3176" i="2"/>
  <c r="N3249" i="2"/>
  <c r="D2342" i="2"/>
  <c r="E3385" i="2"/>
  <c r="V3516" i="2"/>
  <c r="J3158" i="2"/>
  <c r="R2906" i="2"/>
  <c r="G2253" i="2"/>
  <c r="O2241" i="2"/>
  <c r="H2908" i="2"/>
  <c r="I2364" i="2"/>
  <c r="P3439" i="2"/>
  <c r="V2649" i="2"/>
  <c r="M2970" i="2"/>
  <c r="U3279" i="2"/>
  <c r="G2770" i="2"/>
  <c r="M3143" i="2"/>
  <c r="D3263" i="2"/>
  <c r="N2617" i="2"/>
  <c r="U3237" i="2"/>
  <c r="T3256" i="2"/>
  <c r="T3515" i="2"/>
  <c r="W2832" i="2"/>
  <c r="I3310" i="2"/>
  <c r="E3111" i="2"/>
  <c r="L2962" i="2"/>
  <c r="V2478" i="2"/>
  <c r="E3064" i="2"/>
  <c r="R2764" i="2"/>
  <c r="C3161" i="2"/>
  <c r="S2241" i="2"/>
  <c r="D2939" i="2"/>
  <c r="M2961" i="2"/>
  <c r="I2706" i="2"/>
  <c r="H1812" i="2"/>
  <c r="K2229" i="2"/>
  <c r="J2251" i="2"/>
  <c r="G2911" i="2"/>
  <c r="R2953" i="2"/>
  <c r="W3323" i="2"/>
  <c r="V1629" i="2"/>
  <c r="K1780" i="2"/>
  <c r="G2801" i="2"/>
  <c r="C3055" i="2"/>
  <c r="Q2690" i="2"/>
  <c r="N3101" i="2"/>
  <c r="E2302" i="2"/>
  <c r="O1826" i="2"/>
  <c r="L1781" i="2"/>
  <c r="F2909" i="2"/>
  <c r="R2947" i="2"/>
  <c r="S3213" i="2"/>
  <c r="J3509" i="2"/>
  <c r="G1504" i="2"/>
  <c r="V468" i="2"/>
  <c r="I2885" i="2"/>
  <c r="W3272" i="2"/>
  <c r="G2779" i="2"/>
  <c r="N2954" i="2"/>
  <c r="R2655" i="2"/>
  <c r="J2516" i="2"/>
  <c r="V2287" i="2"/>
  <c r="P786" i="2"/>
  <c r="J3212" i="2"/>
  <c r="S3453" i="2"/>
  <c r="U2917" i="2"/>
  <c r="V3550" i="2"/>
  <c r="L3224" i="2"/>
  <c r="V2954" i="2"/>
  <c r="E3329" i="2"/>
  <c r="L3545" i="2"/>
  <c r="G2757" i="2"/>
  <c r="K3313" i="2"/>
  <c r="U3363" i="2"/>
  <c r="D3261" i="2"/>
  <c r="S2879" i="2"/>
  <c r="K3170" i="2"/>
  <c r="N3380" i="2"/>
  <c r="O2778" i="2"/>
  <c r="I2225" i="2"/>
  <c r="N3444" i="2"/>
  <c r="I3347" i="2"/>
  <c r="U2922" i="2"/>
  <c r="E2612" i="2"/>
  <c r="O2980" i="2"/>
  <c r="J3328" i="2"/>
  <c r="K3110" i="2"/>
  <c r="K2259" i="2"/>
  <c r="C3031" i="2"/>
  <c r="J3380" i="2"/>
  <c r="G3338" i="2"/>
  <c r="I3132" i="2"/>
  <c r="S2672" i="2"/>
  <c r="D3252" i="2"/>
  <c r="L2655" i="2"/>
  <c r="Q2331" i="2"/>
  <c r="P1688" i="2"/>
  <c r="N3524" i="2"/>
  <c r="V2924" i="2"/>
  <c r="P3278" i="2"/>
  <c r="G2622" i="2"/>
  <c r="V3107" i="2"/>
  <c r="G2147" i="2"/>
  <c r="H3000" i="2"/>
  <c r="O3254" i="2"/>
  <c r="P2538" i="2"/>
  <c r="N2063" i="2"/>
  <c r="J3173" i="2"/>
  <c r="S3144" i="2"/>
  <c r="V2822" i="2"/>
  <c r="C3430" i="2"/>
  <c r="S3080" i="2"/>
  <c r="I3428" i="2"/>
  <c r="P3283" i="2"/>
  <c r="V2096" i="2"/>
  <c r="F3521" i="2"/>
  <c r="H3070" i="2"/>
  <c r="D2815" i="2"/>
  <c r="K3247" i="2"/>
  <c r="M3350" i="2"/>
  <c r="P3436" i="2"/>
  <c r="R3187" i="2"/>
  <c r="T2290" i="2"/>
  <c r="O2817" i="2"/>
  <c r="K2636" i="2"/>
  <c r="W3186" i="2"/>
  <c r="L3533" i="2"/>
  <c r="P2808" i="2"/>
  <c r="T3156" i="2"/>
  <c r="M2799" i="2"/>
  <c r="L3319" i="2"/>
  <c r="S2992" i="2"/>
  <c r="J3400" i="2"/>
  <c r="N2920" i="2"/>
  <c r="R3457" i="2"/>
  <c r="H3385" i="2"/>
  <c r="I2755" i="2"/>
  <c r="W3411" i="2"/>
  <c r="K3174" i="2"/>
  <c r="J3372" i="2"/>
  <c r="G3047" i="2"/>
  <c r="U3184" i="2"/>
  <c r="Q3260" i="2"/>
  <c r="E2952" i="2"/>
  <c r="I3098" i="2"/>
  <c r="D3291" i="2"/>
  <c r="J2836" i="2"/>
  <c r="I2833" i="2"/>
  <c r="I1950" i="2"/>
  <c r="D3161" i="2"/>
  <c r="P3525" i="2"/>
  <c r="U2787" i="2"/>
  <c r="M3035" i="2"/>
  <c r="F3497" i="2"/>
  <c r="W2385" i="2"/>
  <c r="L2998" i="2"/>
  <c r="W2903" i="2"/>
  <c r="W3002" i="2"/>
  <c r="K3012" i="2"/>
  <c r="E3325" i="2"/>
  <c r="L2525" i="2"/>
  <c r="G3248" i="2"/>
  <c r="O2379" i="2"/>
  <c r="N2917" i="2"/>
  <c r="M1489" i="2"/>
  <c r="V3041" i="2"/>
  <c r="T2727" i="2"/>
  <c r="S2535" i="2"/>
  <c r="W3298" i="2"/>
  <c r="F3263" i="2"/>
  <c r="P2968" i="2"/>
  <c r="P3065" i="2"/>
  <c r="C2549" i="2"/>
  <c r="V2984" i="2"/>
  <c r="E3467" i="2"/>
  <c r="V1153" i="2"/>
  <c r="U3081" i="2"/>
  <c r="F2644" i="2"/>
  <c r="R3094" i="2"/>
  <c r="U3261" i="2"/>
  <c r="S3257" i="2"/>
  <c r="S2781" i="2"/>
  <c r="P3140" i="2"/>
  <c r="P3075" i="2"/>
  <c r="O3393" i="2"/>
  <c r="C3084" i="2"/>
  <c r="U3125" i="2"/>
  <c r="P2460" i="2"/>
  <c r="S3262" i="2"/>
  <c r="L2442" i="2"/>
  <c r="R3300" i="2"/>
  <c r="G2611" i="2"/>
  <c r="W3004" i="2"/>
  <c r="E2971" i="2"/>
  <c r="P2656" i="2"/>
  <c r="L2089" i="2"/>
  <c r="F3151" i="2"/>
  <c r="N3557" i="2"/>
  <c r="Q3117" i="2"/>
  <c r="M1931" i="2"/>
  <c r="H3132" i="2"/>
  <c r="E2252" i="2"/>
  <c r="L2792" i="2"/>
  <c r="T1592" i="2"/>
  <c r="M1857" i="2"/>
  <c r="S1864" i="2"/>
  <c r="R3445" i="2"/>
  <c r="E3368" i="2"/>
  <c r="Q3373" i="2"/>
  <c r="G3210" i="2"/>
  <c r="T2643" i="2"/>
  <c r="C2399" i="2"/>
  <c r="R2238" i="2"/>
  <c r="C2281" i="2"/>
  <c r="O3210" i="2"/>
  <c r="K3624" i="2"/>
  <c r="H2902" i="2"/>
  <c r="P3015" i="2"/>
  <c r="M1608" i="2"/>
  <c r="K3011" i="2"/>
  <c r="J3510" i="2"/>
  <c r="M3387" i="2"/>
  <c r="H3561" i="2"/>
  <c r="J3245" i="2"/>
  <c r="V1889" i="2"/>
  <c r="Q2121" i="2"/>
  <c r="N2807" i="2"/>
  <c r="T3267" i="2"/>
  <c r="J2722" i="2"/>
  <c r="O1946" i="2"/>
  <c r="R3312" i="2"/>
  <c r="Q3124" i="2"/>
  <c r="F2619" i="2"/>
  <c r="N2803" i="2"/>
  <c r="N1952" i="2"/>
  <c r="E2597" i="2"/>
  <c r="C3328" i="2"/>
  <c r="I3500" i="2"/>
  <c r="I3141" i="2"/>
  <c r="M3087" i="2"/>
  <c r="E2243" i="2"/>
  <c r="H3114" i="2"/>
  <c r="O2952" i="2"/>
  <c r="E2911" i="2"/>
  <c r="T3026" i="2"/>
  <c r="P3152" i="2"/>
  <c r="F3199" i="2"/>
  <c r="Q2978" i="2"/>
  <c r="Q2720" i="2"/>
  <c r="K1692" i="2"/>
  <c r="K1420" i="2"/>
  <c r="C3543" i="2"/>
  <c r="J3327" i="2"/>
  <c r="F3226" i="2"/>
  <c r="F3195" i="2"/>
  <c r="L3076" i="2"/>
  <c r="M1569" i="2"/>
  <c r="J3362" i="2"/>
  <c r="S3171" i="2"/>
  <c r="C3506" i="2"/>
  <c r="L3097" i="2"/>
  <c r="F3314" i="2"/>
  <c r="G3113" i="2"/>
  <c r="W3192" i="2"/>
  <c r="R2441" i="2"/>
  <c r="Q685" i="2"/>
  <c r="K1676" i="2"/>
  <c r="V3096" i="2"/>
  <c r="D2788" i="2"/>
  <c r="C2761" i="2"/>
  <c r="J3027" i="2"/>
  <c r="F3262" i="2"/>
  <c r="U2775" i="2"/>
  <c r="E3160" i="2"/>
  <c r="Q3381" i="2"/>
  <c r="Q3263" i="2"/>
  <c r="F2956" i="2"/>
  <c r="S1467" i="2"/>
  <c r="I3264" i="2"/>
  <c r="I3221" i="2"/>
  <c r="J3388" i="2"/>
  <c r="S3001" i="2"/>
  <c r="H1850" i="2"/>
  <c r="T3217" i="2"/>
  <c r="Q2824" i="2"/>
  <c r="T2741" i="2"/>
  <c r="F2555" i="2"/>
  <c r="O2994" i="2"/>
  <c r="T3252" i="2"/>
  <c r="U3469" i="2"/>
  <c r="O2515" i="2"/>
  <c r="J2978" i="2"/>
  <c r="C2914" i="2"/>
  <c r="I2617" i="2"/>
  <c r="M3192" i="2"/>
  <c r="I1502" i="2"/>
  <c r="R2319" i="2"/>
  <c r="E3514" i="2"/>
  <c r="I3286" i="2"/>
  <c r="R3149" i="2"/>
  <c r="S3145" i="2"/>
  <c r="T2379" i="2"/>
  <c r="E1737" i="2"/>
  <c r="V2499" i="2"/>
  <c r="N3354" i="2"/>
  <c r="P3330" i="2"/>
  <c r="G3353" i="2"/>
  <c r="R3346" i="2"/>
  <c r="J3065" i="2"/>
  <c r="Q2976" i="2"/>
  <c r="J3394" i="2"/>
  <c r="Q3290" i="2"/>
  <c r="S3203" i="2"/>
  <c r="F3533" i="2"/>
  <c r="Q3161" i="2"/>
  <c r="I2249" i="2"/>
  <c r="G2233" i="2"/>
  <c r="K3212" i="2"/>
  <c r="S3049" i="2"/>
  <c r="H2458" i="2"/>
  <c r="F3417" i="2"/>
  <c r="U3018" i="2"/>
  <c r="V3093" i="2"/>
  <c r="K2832" i="2"/>
  <c r="C2594" i="2"/>
  <c r="E3145" i="2"/>
  <c r="W2303" i="2"/>
  <c r="O3272" i="2"/>
  <c r="O1643" i="2"/>
  <c r="L2556" i="2"/>
  <c r="D2973" i="2"/>
  <c r="P3392" i="2"/>
  <c r="F2593" i="2"/>
  <c r="E3276" i="2"/>
  <c r="P3323" i="2"/>
  <c r="L3199" i="2"/>
  <c r="G2372" i="2"/>
  <c r="M3168" i="2"/>
  <c r="C2209" i="2"/>
  <c r="U2799" i="2"/>
  <c r="V2016" i="2"/>
  <c r="D3253" i="2"/>
  <c r="W3257" i="2"/>
  <c r="T2189" i="2"/>
  <c r="T3032" i="2"/>
  <c r="K1598" i="2"/>
  <c r="E2456" i="2"/>
  <c r="Q2520" i="2"/>
  <c r="N1951" i="2"/>
  <c r="M506" i="2"/>
  <c r="M3438" i="2"/>
  <c r="R1821" i="2"/>
  <c r="C1120" i="2"/>
  <c r="V3192" i="2"/>
  <c r="Q2730" i="2"/>
  <c r="F2953" i="2"/>
  <c r="C1903" i="2"/>
  <c r="I1932" i="2"/>
  <c r="C3358" i="2"/>
  <c r="C2072" i="2"/>
  <c r="H3278" i="2"/>
  <c r="H3205" i="2"/>
  <c r="N733" i="2"/>
  <c r="V3335" i="2"/>
  <c r="U2339" i="2"/>
  <c r="W2542" i="2"/>
  <c r="M1971" i="2"/>
  <c r="K1771" i="2"/>
  <c r="J2956" i="2"/>
  <c r="J2736" i="2"/>
  <c r="G3485" i="2"/>
  <c r="M2196" i="2"/>
  <c r="R2366" i="2"/>
  <c r="L3071" i="2"/>
  <c r="K2937" i="2"/>
  <c r="I2598" i="2"/>
  <c r="P3052" i="2"/>
  <c r="U3074" i="2"/>
  <c r="W2206" i="2"/>
  <c r="P2813" i="2"/>
  <c r="M3100" i="2"/>
  <c r="I3001" i="2"/>
  <c r="N3056" i="2"/>
  <c r="O2836" i="2"/>
  <c r="L3497" i="2"/>
  <c r="Q3111" i="2"/>
  <c r="N412" i="2"/>
  <c r="O2422" i="2"/>
  <c r="Q1468" i="2"/>
  <c r="F2514" i="2"/>
  <c r="D2990" i="2"/>
  <c r="E1657" i="2"/>
  <c r="R3520" i="2"/>
  <c r="K3493" i="2"/>
  <c r="C2237" i="2"/>
  <c r="U2782" i="2"/>
  <c r="E3309" i="2"/>
  <c r="J3225" i="2"/>
  <c r="M3103" i="2"/>
  <c r="N3320" i="2"/>
  <c r="F2232" i="2"/>
  <c r="N1822" i="2"/>
  <c r="Q2311" i="2"/>
  <c r="U2969" i="2"/>
  <c r="O2972" i="2"/>
  <c r="G3275" i="2"/>
  <c r="C1854" i="2"/>
  <c r="K3451" i="2"/>
  <c r="F2736" i="2"/>
  <c r="R2373" i="2"/>
  <c r="K2998" i="2"/>
  <c r="E1544" i="2"/>
  <c r="K3469" i="2"/>
  <c r="K2250" i="2"/>
  <c r="Q3193" i="2"/>
  <c r="L3400" i="2"/>
  <c r="R2908" i="2"/>
  <c r="S2349" i="2"/>
  <c r="T2001" i="2"/>
  <c r="H2516" i="2"/>
  <c r="N2477" i="2"/>
  <c r="F2697" i="2"/>
  <c r="J2808" i="2"/>
  <c r="K1144" i="2"/>
  <c r="K2341" i="2"/>
  <c r="Q3433" i="2"/>
  <c r="O3261" i="2"/>
  <c r="S3166" i="2"/>
  <c r="T3135" i="2"/>
  <c r="M1528" i="2"/>
  <c r="S3341" i="2"/>
  <c r="H2657" i="2"/>
  <c r="H3624" i="2"/>
  <c r="V3106" i="2"/>
  <c r="V3326" i="2"/>
  <c r="L2754" i="2"/>
  <c r="K2770" i="2"/>
  <c r="N2719" i="2"/>
  <c r="H2959" i="2"/>
  <c r="M3410" i="2"/>
  <c r="U3051" i="2"/>
  <c r="K3383" i="2"/>
  <c r="R3285" i="2"/>
  <c r="P3249" i="2"/>
  <c r="E3417" i="2"/>
  <c r="Q2487" i="2"/>
  <c r="T3429" i="2"/>
  <c r="V2475" i="2"/>
  <c r="F2729" i="2"/>
  <c r="O3234" i="2"/>
  <c r="I1365" i="2"/>
  <c r="O3025" i="2"/>
  <c r="N3336" i="2"/>
  <c r="P3331" i="2"/>
  <c r="M2314" i="2"/>
  <c r="V3334" i="2"/>
  <c r="D2683" i="2"/>
  <c r="J2051" i="2"/>
  <c r="T2481" i="2"/>
  <c r="Q3601" i="2"/>
  <c r="D3298" i="2"/>
  <c r="G3309" i="2"/>
  <c r="O3000" i="2"/>
  <c r="E2979" i="2"/>
  <c r="V1514" i="2"/>
  <c r="U3222" i="2"/>
  <c r="G2910" i="2"/>
  <c r="W3236" i="2"/>
  <c r="K3512" i="2"/>
  <c r="J3501" i="2"/>
  <c r="C2306" i="2"/>
  <c r="F1201" i="2"/>
  <c r="F2892" i="2"/>
  <c r="U3316" i="2"/>
  <c r="C3140" i="2"/>
  <c r="L2930" i="2"/>
  <c r="P2530" i="2"/>
  <c r="V2688" i="2"/>
  <c r="T3123" i="2"/>
  <c r="P3153" i="2"/>
  <c r="S3067" i="2"/>
  <c r="I3589" i="2"/>
  <c r="I2803" i="2"/>
  <c r="H1698" i="2"/>
  <c r="P2711" i="2"/>
  <c r="U1917" i="2"/>
  <c r="K2963" i="2"/>
  <c r="Q3401" i="2"/>
  <c r="N2981" i="2"/>
  <c r="F2990" i="2"/>
  <c r="T3086" i="2"/>
  <c r="S3212" i="2"/>
  <c r="T3259" i="2"/>
  <c r="I3345" i="2"/>
  <c r="T3457" i="2"/>
  <c r="R3321" i="2"/>
  <c r="E3356" i="2"/>
  <c r="L2392" i="2"/>
  <c r="H2901" i="2"/>
  <c r="S2975" i="2"/>
  <c r="T1920" i="2"/>
  <c r="O2909" i="2"/>
  <c r="J3026" i="2"/>
  <c r="D2614" i="2"/>
  <c r="H2297" i="2"/>
  <c r="E3454" i="2"/>
  <c r="V3559" i="2"/>
  <c r="C3013" i="2"/>
  <c r="C2997" i="2"/>
  <c r="E2801" i="2"/>
  <c r="I3317" i="2"/>
  <c r="S3327" i="2"/>
  <c r="R3495" i="2"/>
  <c r="T3294" i="2"/>
  <c r="C2607" i="2"/>
  <c r="E3126" i="2"/>
  <c r="O3201" i="2"/>
  <c r="V3376" i="2"/>
  <c r="H1932" i="2"/>
  <c r="C2860" i="2"/>
  <c r="T2523" i="2"/>
  <c r="O2661" i="2"/>
  <c r="O1608" i="2"/>
  <c r="K3362" i="2"/>
  <c r="C3229" i="2"/>
  <c r="N3181" i="2"/>
  <c r="E3234" i="2"/>
  <c r="V2158" i="2"/>
  <c r="C2981" i="2"/>
  <c r="I2674" i="2"/>
  <c r="U2989" i="2"/>
  <c r="U2366" i="2"/>
  <c r="P3260" i="2"/>
  <c r="M1957" i="2"/>
  <c r="I3009" i="2"/>
  <c r="W2978" i="2"/>
  <c r="D3217" i="2"/>
  <c r="E2405" i="2"/>
  <c r="I3019" i="2"/>
  <c r="T2358" i="2"/>
  <c r="T3238" i="2"/>
  <c r="P2271" i="2"/>
  <c r="G3468" i="2"/>
  <c r="O3203" i="2"/>
  <c r="Q3439" i="2"/>
  <c r="H3025" i="2"/>
  <c r="S2869" i="2"/>
  <c r="S3415" i="2"/>
  <c r="R2381" i="2"/>
  <c r="E2619" i="2"/>
  <c r="N2550" i="2"/>
  <c r="O3481" i="2"/>
  <c r="E2787" i="2"/>
  <c r="W2363" i="2"/>
  <c r="M2592" i="2"/>
  <c r="J3360" i="2"/>
  <c r="E3048" i="2"/>
  <c r="K3000" i="2"/>
  <c r="O3466" i="2"/>
  <c r="U3246" i="2"/>
  <c r="D2547" i="2"/>
  <c r="M3412" i="2"/>
  <c r="W2393" i="2"/>
  <c r="C2086" i="2"/>
  <c r="G2652" i="2"/>
  <c r="I2135" i="2"/>
  <c r="F3557" i="2"/>
  <c r="U2608" i="2"/>
  <c r="K2824" i="2"/>
  <c r="E3304" i="2"/>
  <c r="I2980" i="2"/>
  <c r="T3072" i="2"/>
  <c r="V2331" i="2"/>
  <c r="V3381" i="2"/>
  <c r="G3367" i="2"/>
  <c r="K3169" i="2"/>
  <c r="S2995" i="2"/>
  <c r="Q2741" i="2"/>
  <c r="R3405" i="2"/>
  <c r="L2818" i="2"/>
  <c r="H2793" i="2"/>
  <c r="T3322" i="2"/>
  <c r="K3367" i="2"/>
  <c r="E3569" i="2"/>
  <c r="O3232" i="2"/>
  <c r="V3293" i="2"/>
  <c r="G2990" i="2"/>
  <c r="U3437" i="2"/>
  <c r="N3219" i="2"/>
  <c r="V2776" i="2"/>
  <c r="O3081" i="2"/>
  <c r="S3525" i="2"/>
  <c r="R3132" i="2"/>
  <c r="N3185" i="2"/>
  <c r="F2899" i="2"/>
  <c r="K3414" i="2"/>
  <c r="I2687" i="2"/>
  <c r="Q2908" i="2"/>
  <c r="G2923" i="2"/>
  <c r="E2451" i="2"/>
  <c r="I2069" i="2"/>
  <c r="I2774" i="2"/>
  <c r="S1224" i="2"/>
  <c r="F3241" i="2"/>
  <c r="H3072" i="2"/>
  <c r="D3134" i="2"/>
  <c r="S2912" i="2"/>
  <c r="F1943" i="2"/>
  <c r="P2703" i="2"/>
  <c r="N3123" i="2"/>
  <c r="M2836" i="2"/>
  <c r="V3246" i="2"/>
  <c r="L3188" i="2"/>
  <c r="K2091" i="2"/>
  <c r="E2770" i="2"/>
  <c r="R3369" i="2"/>
  <c r="J2742" i="2"/>
  <c r="R2428" i="2"/>
  <c r="V3173" i="2"/>
  <c r="V2140" i="2"/>
  <c r="P2979" i="2"/>
  <c r="Q357" i="2"/>
  <c r="Q3375" i="2"/>
  <c r="U3418" i="2"/>
  <c r="S2388" i="2"/>
  <c r="S3196" i="2"/>
  <c r="J3031" i="2"/>
  <c r="U2488" i="2"/>
  <c r="P2249" i="2"/>
  <c r="U1843" i="2"/>
  <c r="D3346" i="2"/>
  <c r="U3156" i="2"/>
  <c r="H2341" i="2"/>
  <c r="M3372" i="2"/>
  <c r="W2985" i="2"/>
  <c r="V2269" i="2"/>
  <c r="P3133" i="2"/>
  <c r="H2274" i="2"/>
  <c r="C2706" i="2"/>
  <c r="F3030" i="2"/>
  <c r="I2837" i="2"/>
  <c r="U2466" i="2"/>
  <c r="Q3170" i="2"/>
  <c r="E3107" i="2"/>
  <c r="F3073" i="2"/>
  <c r="O3500" i="2"/>
  <c r="C2850" i="2"/>
  <c r="S2590" i="2"/>
  <c r="F3102" i="2"/>
  <c r="E3527" i="2"/>
  <c r="J3320" i="2"/>
  <c r="O3265" i="2"/>
  <c r="S2150" i="2"/>
  <c r="I2724" i="2"/>
  <c r="N3186" i="2"/>
  <c r="L3558" i="2"/>
  <c r="M2927" i="2"/>
  <c r="H3580" i="2"/>
  <c r="M1994" i="2"/>
  <c r="F3555" i="2"/>
  <c r="G2685" i="2"/>
  <c r="F2944" i="2"/>
  <c r="V3016" i="2"/>
  <c r="L3552" i="2"/>
  <c r="I2990" i="2"/>
  <c r="O2872" i="2"/>
  <c r="T3312" i="2"/>
  <c r="T2898" i="2"/>
  <c r="G3003" i="2"/>
  <c r="Q2815" i="2"/>
  <c r="U3281" i="2"/>
  <c r="N2655" i="2"/>
  <c r="Q2985" i="2"/>
  <c r="F3237" i="2"/>
  <c r="M2892" i="2"/>
  <c r="N3268" i="2"/>
  <c r="S1579" i="2"/>
  <c r="E3462" i="2"/>
  <c r="Q3294" i="2"/>
  <c r="G2671" i="2"/>
  <c r="L2893" i="2"/>
  <c r="N3157" i="2"/>
  <c r="E2949" i="2"/>
  <c r="H1801" i="2"/>
  <c r="R3107" i="2"/>
  <c r="K3078" i="2"/>
  <c r="E3116" i="2"/>
  <c r="P2797" i="2"/>
  <c r="F3025" i="2"/>
  <c r="G3238" i="2"/>
  <c r="H2864" i="2"/>
  <c r="F3363" i="2"/>
  <c r="H2768" i="2"/>
  <c r="H3423" i="2"/>
  <c r="E3382" i="2"/>
  <c r="R3529" i="2"/>
  <c r="C3132" i="2"/>
  <c r="W3340" i="2"/>
  <c r="E3461" i="2"/>
  <c r="Q3194" i="2"/>
  <c r="F2941" i="2"/>
  <c r="S2857" i="2"/>
  <c r="N2800" i="2"/>
  <c r="U2741" i="2"/>
  <c r="K2131" i="2"/>
  <c r="Q3176" i="2"/>
  <c r="C1899" i="2"/>
  <c r="U3078" i="2"/>
  <c r="H2616" i="2"/>
  <c r="R1925" i="2"/>
  <c r="S3209" i="2"/>
  <c r="E2991" i="2"/>
  <c r="O2912" i="2"/>
  <c r="O2480" i="2"/>
  <c r="U2525" i="2"/>
  <c r="V3468" i="2"/>
  <c r="R2815" i="2"/>
  <c r="J2955" i="2"/>
  <c r="C3115" i="2"/>
  <c r="I2196" i="2"/>
  <c r="F2662" i="2"/>
  <c r="J2823" i="2"/>
  <c r="K2973" i="2"/>
  <c r="K3027" i="2"/>
  <c r="H3003" i="2"/>
  <c r="F3230" i="2"/>
  <c r="J3335" i="2"/>
  <c r="Q3565" i="2"/>
  <c r="G2740" i="2"/>
  <c r="O2800" i="2"/>
  <c r="Q2639" i="2"/>
  <c r="W2502" i="2"/>
  <c r="Q2220" i="2"/>
  <c r="H2407" i="2"/>
  <c r="P2502" i="2"/>
  <c r="J2796" i="2"/>
  <c r="T2827" i="2"/>
  <c r="Q2262" i="2"/>
  <c r="C3162" i="2"/>
  <c r="D2248" i="2"/>
  <c r="F2017" i="2"/>
  <c r="G3061" i="2"/>
  <c r="R3503" i="2"/>
  <c r="D2288" i="2"/>
  <c r="U2513" i="2"/>
  <c r="F2940" i="2"/>
  <c r="I2276" i="2"/>
  <c r="T3262" i="2"/>
  <c r="C2859" i="2"/>
  <c r="O2723" i="2"/>
  <c r="D2245" i="2"/>
  <c r="I3216" i="2"/>
  <c r="G3189" i="2"/>
  <c r="Q3230" i="2"/>
  <c r="K3364" i="2"/>
  <c r="S3439" i="2"/>
  <c r="O3381" i="2"/>
  <c r="C2769" i="2"/>
  <c r="U3612" i="2"/>
  <c r="G2550" i="2"/>
  <c r="U3248" i="2"/>
  <c r="T2442" i="2"/>
  <c r="D3037" i="2"/>
  <c r="Q3304" i="2"/>
  <c r="H3214" i="2"/>
  <c r="E1721" i="2"/>
  <c r="D3060" i="2"/>
  <c r="U1270" i="2"/>
  <c r="G1908" i="2"/>
  <c r="J2580" i="2"/>
  <c r="U3250" i="2"/>
  <c r="C3482" i="2"/>
  <c r="U3407" i="2"/>
  <c r="J3113" i="2"/>
  <c r="D2818" i="2"/>
  <c r="K436" i="2"/>
  <c r="P1553" i="2"/>
  <c r="J3071" i="2"/>
  <c r="J2935" i="2"/>
  <c r="C3155" i="2"/>
  <c r="U2628" i="2"/>
  <c r="S3412" i="2"/>
  <c r="F3291" i="2"/>
  <c r="O2499" i="2"/>
  <c r="J2061" i="2"/>
  <c r="J3052" i="2"/>
  <c r="T1235" i="2"/>
  <c r="D2689" i="2"/>
  <c r="W2687" i="2"/>
  <c r="Q1936" i="2"/>
  <c r="S3229" i="2"/>
  <c r="L3221" i="2"/>
  <c r="P1844" i="2"/>
  <c r="R2033" i="2"/>
  <c r="W2008" i="2"/>
  <c r="M2767" i="2"/>
  <c r="W2382" i="2"/>
  <c r="E2532" i="2"/>
  <c r="F3349" i="2"/>
  <c r="O2103" i="2"/>
  <c r="R3064" i="2"/>
  <c r="G3276" i="2"/>
  <c r="F2681" i="2"/>
  <c r="J2316" i="2"/>
  <c r="L1310" i="2"/>
  <c r="N2288" i="2"/>
  <c r="J2818" i="2"/>
  <c r="R2860" i="2"/>
  <c r="H3368" i="2"/>
  <c r="O3161" i="2"/>
  <c r="F2412" i="2"/>
  <c r="P1852" i="2"/>
  <c r="J1590" i="2"/>
  <c r="E906" i="2"/>
  <c r="W3480" i="2"/>
  <c r="W1388" i="2"/>
  <c r="D2825" i="2"/>
  <c r="F3117" i="2"/>
  <c r="O3248" i="2"/>
  <c r="V2697" i="2"/>
  <c r="U2962" i="2"/>
  <c r="G2525" i="2"/>
  <c r="H3184" i="2"/>
  <c r="I2967" i="2"/>
  <c r="J2877" i="2"/>
  <c r="N3460" i="2"/>
  <c r="O3563" i="2"/>
  <c r="J2974" i="2"/>
  <c r="T2907" i="2"/>
  <c r="V3210" i="2"/>
  <c r="U2915" i="2"/>
  <c r="R2549" i="2"/>
  <c r="L3225" i="2"/>
  <c r="U977" i="2"/>
  <c r="P2119" i="2"/>
  <c r="J3199" i="2"/>
  <c r="C1057" i="2"/>
  <c r="D2357" i="2"/>
  <c r="L1701" i="2"/>
  <c r="G3163" i="2"/>
  <c r="H2020" i="2"/>
  <c r="R2269" i="2"/>
  <c r="M2430" i="2"/>
  <c r="R3072" i="2"/>
  <c r="Q955" i="2"/>
  <c r="H2884" i="2"/>
  <c r="T3305" i="2"/>
  <c r="T2915" i="2"/>
  <c r="D1912" i="2"/>
  <c r="H3130" i="2"/>
  <c r="Q1571" i="2"/>
  <c r="H3419" i="2"/>
  <c r="V2253" i="2"/>
  <c r="O2616" i="2"/>
  <c r="G2400" i="2"/>
  <c r="Q2849" i="2"/>
  <c r="R3143" i="2"/>
  <c r="T2864" i="2"/>
  <c r="T3060" i="2"/>
  <c r="Q3209" i="2"/>
  <c r="O2925" i="2"/>
  <c r="V2630" i="2"/>
  <c r="Q2103" i="2"/>
  <c r="U1640" i="2"/>
  <c r="K2643" i="2"/>
  <c r="I2085" i="2"/>
  <c r="R2318" i="2"/>
  <c r="U2889" i="2"/>
  <c r="H2705" i="2"/>
  <c r="T2959" i="2"/>
  <c r="T2703" i="2"/>
  <c r="G2615" i="2"/>
  <c r="V1060" i="2"/>
  <c r="G2331" i="2"/>
  <c r="Q2479" i="2"/>
  <c r="E3324" i="2"/>
  <c r="R1721" i="2"/>
  <c r="C2103" i="2"/>
  <c r="P387" i="2"/>
  <c r="F3325" i="2"/>
  <c r="T3195" i="2"/>
  <c r="F3559" i="2"/>
  <c r="E3542" i="2"/>
  <c r="W3242" i="2"/>
  <c r="C3085" i="2"/>
  <c r="Q2900" i="2"/>
  <c r="K3279" i="2"/>
  <c r="N3162" i="2"/>
  <c r="Q3452" i="2"/>
  <c r="H3096" i="2"/>
  <c r="O2976" i="2"/>
  <c r="F2747" i="2"/>
  <c r="E3543" i="2"/>
  <c r="L2833" i="2"/>
  <c r="C3510" i="2"/>
  <c r="W2821" i="2"/>
  <c r="U3075" i="2"/>
  <c r="J3478" i="2"/>
  <c r="M1273" i="2"/>
  <c r="R2652" i="2"/>
  <c r="P3196" i="2"/>
  <c r="Q2862" i="2"/>
  <c r="F2244" i="2"/>
  <c r="U3116" i="2"/>
  <c r="L2557" i="2"/>
  <c r="W3184" i="2"/>
  <c r="Q3457" i="2"/>
  <c r="W3159" i="2"/>
  <c r="C1147" i="2"/>
  <c r="F2526" i="2"/>
  <c r="L1251" i="2"/>
  <c r="P1908" i="2"/>
  <c r="H2110" i="2"/>
  <c r="R3085" i="2"/>
  <c r="H2596" i="2"/>
  <c r="R3620" i="2"/>
  <c r="K3439" i="2"/>
  <c r="C1901" i="2"/>
  <c r="Q1977" i="2"/>
  <c r="G1552" i="2"/>
  <c r="E1271" i="2"/>
  <c r="Q2902" i="2"/>
  <c r="P2243" i="2"/>
  <c r="H3216" i="2"/>
  <c r="T2831" i="2"/>
  <c r="G495" i="2"/>
  <c r="H2417" i="2"/>
  <c r="J3297" i="2"/>
  <c r="G2224" i="2"/>
  <c r="G3052" i="2"/>
  <c r="K1979" i="2"/>
  <c r="V3374" i="2"/>
  <c r="V3071" i="2"/>
  <c r="P1964" i="2"/>
  <c r="Q3119" i="2"/>
  <c r="G3193" i="2"/>
  <c r="N3518" i="2"/>
  <c r="Q3321" i="2"/>
  <c r="Q2820" i="2"/>
  <c r="T3244" i="2"/>
  <c r="G3173" i="2"/>
  <c r="F2873" i="2"/>
  <c r="Q2167" i="2"/>
  <c r="H1216" i="2"/>
  <c r="R3218" i="2"/>
  <c r="P3207" i="2"/>
  <c r="L3145" i="2"/>
  <c r="U3292" i="2"/>
  <c r="F2847" i="2"/>
  <c r="Q1732" i="2"/>
  <c r="R3288" i="2"/>
  <c r="F2475" i="2"/>
  <c r="M2575" i="2"/>
  <c r="D3416" i="2"/>
  <c r="H3313" i="2"/>
  <c r="C3052" i="2"/>
  <c r="M3238" i="2"/>
  <c r="D2700" i="2"/>
  <c r="U3214" i="2"/>
  <c r="I2702" i="2"/>
  <c r="G3272" i="2"/>
  <c r="U1623" i="2"/>
  <c r="H1365" i="2"/>
  <c r="V2805" i="2"/>
  <c r="F3221" i="2"/>
  <c r="P2873" i="2"/>
  <c r="N3610" i="2"/>
  <c r="V2432" i="2"/>
  <c r="P1263" i="2"/>
  <c r="H2866" i="2"/>
  <c r="I2424" i="2"/>
  <c r="J3167" i="2"/>
  <c r="M2776" i="2"/>
  <c r="H3077" i="2"/>
  <c r="W3140" i="2"/>
  <c r="Q1912" i="2"/>
  <c r="W440" i="2"/>
  <c r="O3360" i="2"/>
  <c r="J3159" i="2"/>
  <c r="J3526" i="2"/>
  <c r="J3061" i="2"/>
  <c r="M3028" i="2"/>
  <c r="N3284" i="2"/>
  <c r="E3273" i="2"/>
  <c r="I1823" i="2"/>
  <c r="V3211" i="2"/>
  <c r="V1320" i="2"/>
  <c r="G2743" i="2"/>
  <c r="V3146" i="2"/>
  <c r="C2592" i="2"/>
  <c r="L3176" i="2"/>
  <c r="D2262" i="2"/>
  <c r="Q2904" i="2"/>
  <c r="M3307" i="2"/>
  <c r="Q1906" i="2"/>
  <c r="L2881" i="2"/>
  <c r="V3291" i="2"/>
  <c r="L1853" i="2"/>
  <c r="F3052" i="2"/>
  <c r="H2459" i="2"/>
  <c r="H3442" i="2"/>
  <c r="H2574" i="2"/>
  <c r="E2640" i="2"/>
  <c r="J2650" i="2"/>
  <c r="Q2113" i="2"/>
  <c r="T3389" i="2"/>
  <c r="D3498" i="2"/>
  <c r="H3358" i="2"/>
  <c r="O3040" i="2"/>
  <c r="J1616" i="2"/>
  <c r="J904" i="2"/>
  <c r="R3194" i="2"/>
  <c r="J3462" i="2"/>
  <c r="H2999" i="2"/>
  <c r="N2320" i="2"/>
  <c r="O3050" i="2"/>
  <c r="O2444" i="2"/>
  <c r="H3396" i="2"/>
  <c r="U3311" i="2"/>
  <c r="J3539" i="2"/>
  <c r="K3003" i="2"/>
  <c r="G3611" i="2"/>
  <c r="F3118" i="2"/>
  <c r="J3604" i="2"/>
  <c r="R1792" i="2"/>
  <c r="W3417" i="2"/>
  <c r="I3269" i="2"/>
  <c r="J2975" i="2"/>
  <c r="N3366" i="2"/>
  <c r="P3246" i="2"/>
  <c r="K1224" i="2"/>
  <c r="E3011" i="2"/>
  <c r="P3363" i="2"/>
  <c r="W3483" i="2"/>
  <c r="L3148" i="2"/>
  <c r="E1762" i="2"/>
  <c r="P3016" i="2"/>
  <c r="S2509" i="2"/>
  <c r="Q2260" i="2"/>
  <c r="H3109" i="2"/>
  <c r="U3050" i="2"/>
  <c r="K2757" i="2"/>
  <c r="S1945" i="2"/>
  <c r="W2352" i="2"/>
  <c r="L3348" i="2"/>
  <c r="T2904" i="2"/>
  <c r="W2631" i="2"/>
  <c r="S3195" i="2"/>
  <c r="L3283" i="2"/>
  <c r="D2992" i="2"/>
  <c r="P2619" i="2"/>
  <c r="C3076" i="2"/>
  <c r="G3333" i="2"/>
  <c r="L2430" i="2"/>
  <c r="L3238" i="2"/>
  <c r="O3307" i="2"/>
  <c r="F3359" i="2"/>
  <c r="D3286" i="2"/>
  <c r="C2435" i="2"/>
  <c r="P2600" i="2"/>
  <c r="Q2660" i="2"/>
  <c r="D2557" i="2"/>
  <c r="O2996" i="2"/>
  <c r="J2349" i="2"/>
  <c r="N3350" i="2"/>
  <c r="V2314" i="2"/>
  <c r="W2957" i="2"/>
  <c r="V2589" i="2"/>
  <c r="Q3113" i="2"/>
  <c r="H3489" i="2"/>
  <c r="Q2729" i="2"/>
  <c r="I3183" i="2"/>
  <c r="E959" i="2"/>
  <c r="S2789" i="2"/>
  <c r="R872" i="2"/>
  <c r="R2263" i="2"/>
  <c r="R2409" i="2"/>
  <c r="E1697" i="2"/>
  <c r="P3356" i="2"/>
  <c r="C2697" i="2"/>
  <c r="O2035" i="2"/>
  <c r="D2402" i="2"/>
  <c r="R2949" i="2"/>
  <c r="T2958" i="2"/>
  <c r="D2467" i="2"/>
  <c r="W1601" i="2"/>
  <c r="D2603" i="2"/>
  <c r="F3544" i="2"/>
  <c r="Q3383" i="2"/>
  <c r="K3283" i="2"/>
  <c r="L3512" i="2"/>
  <c r="R3291" i="2"/>
  <c r="L3349" i="2"/>
  <c r="F2636" i="2"/>
  <c r="R3082" i="2"/>
  <c r="N3031" i="2"/>
  <c r="K2647" i="2"/>
  <c r="W3314" i="2"/>
  <c r="I2879" i="2"/>
  <c r="W3369" i="2"/>
  <c r="M3021" i="2"/>
  <c r="S3137" i="2"/>
  <c r="S3530" i="2"/>
  <c r="R2480" i="2"/>
  <c r="G2969" i="2"/>
  <c r="C2701" i="2"/>
  <c r="H2753" i="2"/>
  <c r="V3521" i="2"/>
  <c r="E3265" i="2"/>
  <c r="N2743" i="2"/>
  <c r="Q3511" i="2"/>
  <c r="C3019" i="2"/>
  <c r="L3363" i="2"/>
  <c r="O3080" i="2"/>
  <c r="N3042" i="2"/>
  <c r="W3162" i="2"/>
  <c r="Q3331" i="2"/>
  <c r="T3190" i="2"/>
  <c r="U2703" i="2"/>
  <c r="H2978" i="2"/>
  <c r="C2646" i="2"/>
  <c r="N874" i="2"/>
  <c r="J3223" i="2"/>
  <c r="D1795" i="2"/>
  <c r="F2430" i="2"/>
  <c r="H1617" i="2"/>
  <c r="R2954" i="2"/>
  <c r="E3128" i="2"/>
  <c r="S2842" i="2"/>
  <c r="N3386" i="2"/>
  <c r="M3340" i="2"/>
  <c r="F3134" i="2"/>
  <c r="N2409" i="2"/>
  <c r="R1214" i="2"/>
  <c r="T3324" i="2"/>
  <c r="P3540" i="2"/>
  <c r="S2734" i="2"/>
  <c r="R3313" i="2"/>
  <c r="W2095" i="2"/>
  <c r="U1656" i="2"/>
  <c r="E1931" i="2"/>
  <c r="V3098" i="2"/>
  <c r="U3307" i="2"/>
  <c r="H3162" i="2"/>
  <c r="V3068" i="2"/>
  <c r="W3276" i="2"/>
  <c r="P3108" i="2"/>
  <c r="T1639" i="2"/>
  <c r="E1042" i="2"/>
  <c r="G2506" i="2"/>
  <c r="M2801" i="2"/>
  <c r="T2769" i="2"/>
  <c r="N3087" i="2"/>
  <c r="O3175" i="2"/>
  <c r="E3001" i="2"/>
  <c r="C3376" i="2"/>
  <c r="P2764" i="2"/>
  <c r="V3203" i="2"/>
  <c r="L3452" i="2"/>
  <c r="U1932" i="2"/>
  <c r="R2856" i="2"/>
  <c r="M3431" i="2"/>
  <c r="E3314" i="2"/>
  <c r="I3320" i="2"/>
  <c r="G3448" i="2"/>
  <c r="K3575" i="2"/>
  <c r="J3240" i="2"/>
  <c r="L2862" i="2"/>
  <c r="D2775" i="2"/>
  <c r="J2867" i="2"/>
  <c r="E3497" i="2"/>
  <c r="O1623" i="2"/>
  <c r="C3023" i="2"/>
  <c r="V3450" i="2"/>
  <c r="U2953" i="2"/>
  <c r="K1950" i="2"/>
  <c r="V3105" i="2"/>
  <c r="C2371" i="2"/>
  <c r="I2939" i="2"/>
  <c r="U2202" i="2"/>
  <c r="R2186" i="2"/>
  <c r="W3370" i="2"/>
  <c r="E3047" i="2"/>
  <c r="K1764" i="2"/>
  <c r="L2948" i="2"/>
  <c r="H2869" i="2"/>
  <c r="G1712" i="2"/>
  <c r="H2524" i="2"/>
  <c r="G3150" i="2"/>
  <c r="P1154" i="2"/>
  <c r="J3436" i="2"/>
  <c r="T3526" i="2"/>
  <c r="O2240" i="2"/>
  <c r="V2838" i="2"/>
  <c r="N2727" i="2"/>
  <c r="K2993" i="2"/>
  <c r="Q2534" i="2"/>
  <c r="F1808" i="2"/>
  <c r="C2922" i="2"/>
  <c r="V3200" i="2"/>
  <c r="U3254" i="2"/>
  <c r="D3108" i="2"/>
  <c r="L3474" i="2"/>
  <c r="N3418" i="2"/>
  <c r="D3220" i="2"/>
  <c r="C3112" i="2"/>
  <c r="O3033" i="2"/>
  <c r="T2096" i="2"/>
  <c r="U3375" i="2"/>
  <c r="H3140" i="2"/>
  <c r="U2030" i="2"/>
  <c r="G3366" i="2"/>
  <c r="C3618" i="2"/>
  <c r="G2981" i="2"/>
  <c r="L2901" i="2"/>
  <c r="C2764" i="2"/>
  <c r="J2773" i="2"/>
  <c r="D1920" i="2"/>
  <c r="W3026" i="2"/>
  <c r="F3176" i="2"/>
  <c r="U2916" i="2"/>
  <c r="W3304" i="2"/>
  <c r="F3041" i="2"/>
  <c r="S2270" i="2"/>
  <c r="V453" i="2"/>
  <c r="W3161" i="2"/>
  <c r="G2121" i="2"/>
  <c r="S2831" i="2"/>
  <c r="T2282" i="2"/>
  <c r="I2148" i="2"/>
  <c r="W3399" i="2"/>
  <c r="S2596" i="2"/>
  <c r="N3024" i="2"/>
  <c r="L3368" i="2"/>
  <c r="E3342" i="2"/>
  <c r="E2430" i="2"/>
  <c r="K1072" i="2"/>
  <c r="U1970" i="2"/>
  <c r="I3429" i="2"/>
  <c r="W3492" i="2"/>
  <c r="G2920" i="2"/>
  <c r="H3158" i="2"/>
  <c r="I1687" i="2"/>
  <c r="K2039" i="2"/>
  <c r="T2765" i="2"/>
  <c r="Q1647" i="2"/>
  <c r="T3330" i="2"/>
  <c r="D3095" i="2"/>
  <c r="T2398" i="2"/>
  <c r="Q3231" i="2"/>
  <c r="F2124" i="2"/>
  <c r="K2459" i="2"/>
  <c r="D3448" i="2"/>
  <c r="K2741" i="2"/>
  <c r="J3270" i="2"/>
  <c r="W2851" i="2"/>
  <c r="W3555" i="2"/>
  <c r="M2949" i="2"/>
  <c r="U1666" i="2"/>
  <c r="F2423" i="2"/>
  <c r="N2634" i="2"/>
  <c r="U3072" i="2"/>
  <c r="M3429" i="2"/>
  <c r="L2747" i="2"/>
  <c r="Q2482" i="2"/>
  <c r="G3538" i="2"/>
  <c r="R2520" i="2"/>
  <c r="H2834" i="2"/>
  <c r="K3392" i="2"/>
  <c r="J2280" i="2"/>
  <c r="R3205" i="2"/>
  <c r="Q2528" i="2"/>
  <c r="D2744" i="2"/>
  <c r="F2757" i="2"/>
  <c r="U3035" i="2"/>
  <c r="P3321" i="2"/>
  <c r="P2696" i="2"/>
  <c r="L2618" i="2"/>
  <c r="C3332" i="2"/>
  <c r="Q3022" i="2"/>
  <c r="J2565" i="2"/>
  <c r="M2589" i="2"/>
  <c r="J3098" i="2"/>
  <c r="O2935" i="2"/>
  <c r="H3092" i="2"/>
  <c r="K2367" i="2"/>
  <c r="C2411" i="2"/>
  <c r="K2518" i="2"/>
  <c r="U3154" i="2"/>
  <c r="F3225" i="2"/>
  <c r="O2982" i="2"/>
  <c r="S3182" i="2"/>
  <c r="E2735" i="2"/>
  <c r="P2730" i="2"/>
  <c r="E2938" i="2"/>
  <c r="D3371" i="2"/>
  <c r="E3283" i="2"/>
  <c r="I3101" i="2"/>
  <c r="U2567" i="2"/>
  <c r="F2633" i="2"/>
  <c r="R1208" i="2"/>
  <c r="W1870" i="2"/>
  <c r="M2292" i="2"/>
  <c r="V2960" i="2"/>
  <c r="P2992" i="2"/>
  <c r="U3274" i="2"/>
  <c r="J625" i="2"/>
  <c r="Q3339" i="2"/>
  <c r="I3239" i="2"/>
  <c r="G2988" i="2"/>
  <c r="D2795" i="2"/>
  <c r="K3005" i="2"/>
  <c r="G3269" i="2"/>
  <c r="W2406" i="2"/>
  <c r="T3278" i="2"/>
  <c r="K2000" i="2"/>
  <c r="G2617" i="2"/>
  <c r="I3393" i="2"/>
  <c r="S3273" i="2"/>
  <c r="N2908" i="2"/>
  <c r="F3224" i="2"/>
  <c r="D1981" i="2"/>
  <c r="D2802" i="2"/>
  <c r="T3326" i="2"/>
  <c r="J2568" i="2"/>
  <c r="L3255" i="2"/>
  <c r="O3145" i="2"/>
  <c r="M3483" i="2"/>
  <c r="F3390" i="2"/>
  <c r="L3037" i="2"/>
  <c r="C3526" i="2"/>
  <c r="C3281" i="2"/>
  <c r="U3256" i="2"/>
  <c r="R3003" i="2"/>
  <c r="F3594" i="2"/>
  <c r="R3189" i="2"/>
  <c r="E2905" i="2"/>
  <c r="N3267" i="2"/>
  <c r="K2727" i="2"/>
  <c r="V2629" i="2"/>
  <c r="D3087" i="2"/>
  <c r="L3240" i="2"/>
  <c r="S3041" i="2"/>
  <c r="M2299" i="2"/>
  <c r="C3175" i="2"/>
  <c r="N2921" i="2"/>
  <c r="P2933" i="2"/>
  <c r="R2485" i="2"/>
  <c r="J2714" i="2"/>
  <c r="C2616" i="2"/>
  <c r="F1577" i="2"/>
  <c r="C2534" i="2"/>
  <c r="V2368" i="2"/>
  <c r="Q1978" i="2"/>
  <c r="D3013" i="2"/>
  <c r="J1440" i="2"/>
  <c r="D2480" i="2"/>
  <c r="E1980" i="2"/>
  <c r="V2921" i="2"/>
  <c r="Q2286" i="2"/>
  <c r="I3388" i="2"/>
  <c r="Q2881" i="2"/>
  <c r="U2982" i="2"/>
  <c r="I3344" i="2"/>
  <c r="N2844" i="2"/>
  <c r="G2072" i="2"/>
  <c r="S2803" i="2"/>
  <c r="U2302" i="2"/>
  <c r="I3050" i="2"/>
  <c r="R2945" i="2"/>
  <c r="Q2630" i="2"/>
  <c r="F2911" i="2"/>
  <c r="O3346" i="2"/>
  <c r="I2277" i="2"/>
  <c r="G1519" i="2"/>
  <c r="J2505" i="2"/>
  <c r="S2675" i="2"/>
  <c r="K2830" i="2"/>
  <c r="W2619" i="2"/>
  <c r="U1624" i="2"/>
  <c r="I2689" i="2"/>
  <c r="M3069" i="2"/>
  <c r="O3345" i="2"/>
  <c r="F1945" i="2"/>
  <c r="O2246" i="2"/>
  <c r="H1798" i="2"/>
  <c r="I2369" i="2"/>
  <c r="T1862" i="2"/>
  <c r="O3486" i="2"/>
  <c r="O2932" i="2"/>
  <c r="G2855" i="2"/>
  <c r="C2064" i="2"/>
  <c r="W3301" i="2"/>
  <c r="U3283" i="2"/>
  <c r="F3338" i="2"/>
  <c r="D3455" i="2"/>
  <c r="V3027" i="2"/>
  <c r="V3249" i="2"/>
  <c r="E3601" i="2"/>
  <c r="W3489" i="2"/>
  <c r="M3348" i="2"/>
  <c r="U3395" i="2"/>
  <c r="P3401" i="2"/>
  <c r="T2384" i="2"/>
  <c r="D2666" i="2"/>
  <c r="N3309" i="2"/>
  <c r="U2984" i="2"/>
  <c r="M2810" i="2"/>
  <c r="D2580" i="2"/>
  <c r="N2228" i="2"/>
  <c r="H3164" i="2"/>
  <c r="H1506" i="2"/>
  <c r="R2702" i="2"/>
  <c r="P3274" i="2"/>
  <c r="G3244" i="2"/>
  <c r="S2390" i="2"/>
  <c r="R3065" i="2"/>
  <c r="H2723" i="2"/>
  <c r="N3000" i="2"/>
  <c r="J2139" i="2"/>
  <c r="U2632" i="2"/>
  <c r="S2648" i="2"/>
  <c r="H3042" i="2"/>
  <c r="J2946" i="2"/>
  <c r="E2313" i="2"/>
  <c r="F3392" i="2"/>
  <c r="M1866" i="2"/>
  <c r="L3107" i="2"/>
  <c r="I3243" i="2"/>
  <c r="W3205" i="2"/>
  <c r="T2244" i="2"/>
  <c r="O3073" i="2"/>
  <c r="L2871" i="2"/>
  <c r="W3080" i="2"/>
  <c r="L2160" i="2"/>
  <c r="O1866" i="2"/>
  <c r="S2685" i="2"/>
  <c r="M2971" i="2"/>
  <c r="I2209" i="2"/>
  <c r="R1639" i="2"/>
  <c r="G2881" i="2"/>
  <c r="T2458" i="2"/>
  <c r="I2868" i="2"/>
  <c r="I2723" i="2"/>
  <c r="L3210" i="2"/>
  <c r="H3039" i="2"/>
  <c r="V3366" i="2"/>
  <c r="R3392" i="2"/>
  <c r="P3136" i="2"/>
  <c r="V3363" i="2"/>
  <c r="M1492" i="2"/>
  <c r="I3084" i="2"/>
  <c r="R2808" i="2"/>
  <c r="M2691" i="2"/>
  <c r="W2605" i="2"/>
  <c r="F3191" i="2"/>
  <c r="E3180" i="2"/>
  <c r="M2504" i="2"/>
  <c r="Q2491" i="2"/>
  <c r="N2411" i="2"/>
  <c r="R3480" i="2"/>
  <c r="Q2696" i="2"/>
  <c r="V2991" i="2"/>
  <c r="D2707" i="2"/>
  <c r="N2648" i="2"/>
  <c r="M1890" i="2"/>
  <c r="E3493" i="2"/>
  <c r="L2945" i="2"/>
  <c r="S2757" i="2"/>
  <c r="F3214" i="2"/>
  <c r="Q3213" i="2"/>
  <c r="W1800" i="2"/>
  <c r="R3216" i="2"/>
  <c r="K3601" i="2"/>
  <c r="M3003" i="2"/>
  <c r="H2247" i="2"/>
  <c r="G3071" i="2"/>
  <c r="N2341" i="2"/>
  <c r="L2533" i="2"/>
  <c r="L3407" i="2"/>
  <c r="R3261" i="2"/>
  <c r="V3155" i="2"/>
  <c r="N3160" i="2"/>
  <c r="W3529" i="2"/>
  <c r="L2699" i="2"/>
  <c r="T3264" i="2"/>
  <c r="D3356" i="2"/>
  <c r="F2520" i="2"/>
  <c r="J3289" i="2"/>
  <c r="J3205" i="2"/>
  <c r="N3535" i="2"/>
  <c r="E3060" i="2"/>
  <c r="W3100" i="2"/>
  <c r="D2864" i="2"/>
  <c r="S3245" i="2"/>
  <c r="U2784" i="2"/>
  <c r="H2581" i="2"/>
  <c r="E3476" i="2"/>
  <c r="T2756" i="2"/>
  <c r="D2644" i="2"/>
  <c r="S3458" i="2"/>
  <c r="G3187" i="2"/>
  <c r="U2064" i="2"/>
  <c r="G1142" i="2"/>
  <c r="E2967" i="2"/>
  <c r="U3549" i="2"/>
  <c r="O3284" i="2"/>
  <c r="L2680" i="2"/>
  <c r="G2863" i="2"/>
  <c r="V3394" i="2"/>
  <c r="L3181" i="2"/>
  <c r="K1646" i="2"/>
  <c r="H2444" i="2"/>
  <c r="L2762" i="2"/>
  <c r="Q2818" i="2"/>
  <c r="E1856" i="2"/>
  <c r="V3174" i="2"/>
  <c r="F3166" i="2"/>
  <c r="W3379" i="2"/>
  <c r="L3095" i="2"/>
  <c r="H1472" i="2"/>
  <c r="E1786" i="2"/>
  <c r="W2822" i="2"/>
  <c r="C2410" i="2"/>
  <c r="D2006" i="2"/>
  <c r="S2210" i="2"/>
  <c r="P2991" i="2"/>
  <c r="D3307" i="2"/>
  <c r="L3430" i="2"/>
  <c r="V3513" i="2"/>
  <c r="S2322" i="2"/>
  <c r="V3470" i="2"/>
  <c r="N2927" i="2"/>
  <c r="W3441" i="2"/>
  <c r="G3317" i="2"/>
  <c r="E3207" i="2"/>
  <c r="V2844" i="2"/>
  <c r="E2462" i="2"/>
  <c r="P3232" i="2"/>
  <c r="P2923" i="2"/>
  <c r="I3008" i="2"/>
  <c r="R3199" i="2"/>
  <c r="C1240" i="2"/>
  <c r="T2785" i="2"/>
  <c r="I3298" i="2"/>
  <c r="N3211" i="2"/>
  <c r="P3474" i="2"/>
  <c r="E3194" i="2"/>
  <c r="Q2330" i="2"/>
  <c r="U3356" i="2"/>
  <c r="P3018" i="2"/>
  <c r="O2561" i="2"/>
  <c r="G2552" i="2"/>
  <c r="T3504" i="2"/>
  <c r="U3511" i="2"/>
  <c r="Q1074" i="2"/>
  <c r="Q3261" i="2"/>
  <c r="S2450" i="2"/>
  <c r="N3202" i="2"/>
  <c r="D3125" i="2"/>
  <c r="E3332" i="2"/>
  <c r="E2921" i="2"/>
  <c r="R2892" i="2"/>
  <c r="F3454" i="2"/>
  <c r="E3540" i="2"/>
  <c r="R2893" i="2"/>
  <c r="S2513" i="2"/>
  <c r="H3013" i="2"/>
  <c r="O2507" i="2"/>
  <c r="T2394" i="2"/>
  <c r="W2417" i="2"/>
  <c r="E2412" i="2"/>
  <c r="C2485" i="2"/>
  <c r="V3269" i="2"/>
  <c r="G1936" i="2"/>
  <c r="U3464" i="2"/>
  <c r="P1876" i="2"/>
  <c r="I3167" i="2"/>
  <c r="K1073" i="2"/>
  <c r="N3073" i="2"/>
  <c r="O3220" i="2"/>
  <c r="J3116" i="2"/>
  <c r="U3019" i="2"/>
  <c r="Q1707" i="2"/>
  <c r="W3049" i="2"/>
  <c r="N2046" i="2"/>
  <c r="H1330" i="2"/>
  <c r="O2306" i="2"/>
  <c r="W2438" i="2"/>
  <c r="O3164" i="2"/>
  <c r="V3165" i="2"/>
  <c r="U2453" i="2"/>
  <c r="U2893" i="2"/>
  <c r="E2105" i="2"/>
  <c r="C2837" i="2"/>
  <c r="Q2992" i="2"/>
  <c r="N2776" i="2"/>
  <c r="M3181" i="2"/>
  <c r="I2847" i="2"/>
  <c r="U2227" i="2"/>
  <c r="M3457" i="2"/>
  <c r="N3041" i="2"/>
  <c r="W3578" i="2"/>
  <c r="K3361" i="2"/>
  <c r="T3414" i="2"/>
  <c r="F3315" i="2"/>
  <c r="I2735" i="2"/>
  <c r="G3289" i="2"/>
  <c r="W3382" i="2"/>
  <c r="D2974" i="2"/>
  <c r="E3087" i="2"/>
  <c r="R1882" i="2"/>
  <c r="R3421" i="2"/>
  <c r="R2874" i="2"/>
  <c r="O3215" i="2"/>
  <c r="Q3388" i="2"/>
  <c r="G2841" i="2"/>
  <c r="C2842" i="2"/>
  <c r="D2878" i="2"/>
  <c r="L3018" i="2"/>
  <c r="I2808" i="2"/>
  <c r="K3186" i="2"/>
  <c r="F2848" i="2"/>
  <c r="R3473" i="2"/>
  <c r="W2670" i="2"/>
  <c r="K1532" i="2"/>
  <c r="L2950" i="2"/>
  <c r="Q3255" i="2"/>
  <c r="U1923" i="2"/>
  <c r="H3163" i="2"/>
  <c r="V2826" i="2"/>
  <c r="S2854" i="2"/>
  <c r="I2264" i="2"/>
  <c r="O2802" i="2"/>
  <c r="T3328" i="2"/>
  <c r="K2851" i="2"/>
  <c r="V3124" i="2"/>
  <c r="C3460" i="2"/>
  <c r="H2825" i="2"/>
  <c r="J1905" i="2"/>
  <c r="G1359" i="2"/>
  <c r="U879" i="2"/>
  <c r="M3092" i="2"/>
  <c r="W2801" i="2"/>
  <c r="G2283" i="2"/>
  <c r="E3019" i="2"/>
  <c r="H2623" i="2"/>
  <c r="E2658" i="2"/>
  <c r="Q2871" i="2"/>
  <c r="F2057" i="2"/>
  <c r="T3104" i="2"/>
  <c r="M3411" i="2"/>
  <c r="N2536" i="2"/>
  <c r="S2354" i="2"/>
  <c r="J3025" i="2"/>
  <c r="G3011" i="2"/>
  <c r="I3240" i="2"/>
  <c r="F1391" i="2"/>
  <c r="T1807" i="2"/>
  <c r="V3340" i="2"/>
  <c r="J2100" i="2"/>
  <c r="G3079" i="2"/>
  <c r="D3096" i="2"/>
  <c r="W1575" i="2"/>
  <c r="E3340" i="2"/>
  <c r="C3017" i="2"/>
  <c r="L2380" i="2"/>
  <c r="O3420" i="2"/>
  <c r="V3397" i="2"/>
  <c r="V2422" i="2"/>
  <c r="K3251" i="2"/>
  <c r="H3331" i="2"/>
  <c r="K3159" i="2"/>
  <c r="T2283" i="2"/>
  <c r="G3337" i="2"/>
  <c r="E3133" i="2"/>
  <c r="F3206" i="2"/>
  <c r="M2317" i="2"/>
  <c r="M2326" i="2"/>
  <c r="H2890" i="2"/>
  <c r="V2299" i="2"/>
  <c r="W3213" i="2"/>
  <c r="M2633" i="2"/>
  <c r="U3165" i="2"/>
  <c r="U2795" i="2"/>
  <c r="N3551" i="2"/>
  <c r="L2971" i="2"/>
  <c r="G3016" i="2"/>
  <c r="H1343" i="2"/>
  <c r="D2857" i="2"/>
  <c r="L2828" i="2"/>
  <c r="U1608" i="2"/>
  <c r="M2362" i="2"/>
  <c r="N3367" i="2"/>
  <c r="D1479" i="2"/>
  <c r="Q2825" i="2"/>
  <c r="H2910" i="2"/>
  <c r="Q2933" i="2"/>
  <c r="E1526" i="2"/>
  <c r="O3438" i="2"/>
  <c r="L2572" i="2"/>
  <c r="P3293" i="2"/>
  <c r="T3013" i="2"/>
  <c r="U3160" i="2"/>
  <c r="J3216" i="2"/>
  <c r="V2749" i="2"/>
  <c r="E1593" i="2"/>
  <c r="H2522" i="2"/>
  <c r="I2910" i="2"/>
  <c r="R3121" i="2"/>
  <c r="T2320" i="2"/>
  <c r="W2856" i="2"/>
  <c r="G3033" i="2"/>
  <c r="Q2527" i="2"/>
  <c r="W3388" i="2"/>
  <c r="F3111" i="2"/>
  <c r="T2723" i="2"/>
  <c r="H2473" i="2"/>
  <c r="O3292" i="2"/>
  <c r="R3074" i="2"/>
  <c r="P2451" i="2"/>
  <c r="K897" i="2"/>
  <c r="M3027" i="2"/>
  <c r="D3089" i="2"/>
  <c r="C2839" i="2"/>
  <c r="J3174" i="2"/>
  <c r="K2149" i="2"/>
  <c r="G3000" i="2"/>
  <c r="N3112" i="2"/>
  <c r="I2438" i="2"/>
  <c r="O2693" i="2"/>
  <c r="V3128" i="2"/>
  <c r="E3313" i="2"/>
  <c r="J2815" i="2"/>
  <c r="S2266" i="2"/>
  <c r="J2655" i="2"/>
  <c r="F3192" i="2"/>
  <c r="K3288" i="2"/>
  <c r="O3424" i="2"/>
  <c r="T2363" i="2"/>
  <c r="K2519" i="2"/>
  <c r="Q2988" i="2"/>
  <c r="C2664" i="2"/>
  <c r="W2915" i="2"/>
  <c r="E2592" i="2"/>
  <c r="G3108" i="2"/>
  <c r="Q1243" i="2"/>
  <c r="K2680" i="2"/>
  <c r="L3577" i="2"/>
  <c r="L3383" i="2"/>
  <c r="O3144" i="2"/>
  <c r="O3364" i="2"/>
  <c r="U1853" i="2"/>
  <c r="H1728" i="2"/>
  <c r="F1841" i="2"/>
  <c r="J3133" i="2"/>
  <c r="M2304" i="2"/>
  <c r="M2871" i="2"/>
  <c r="H3286" i="2"/>
  <c r="V3006" i="2"/>
  <c r="O3014" i="2"/>
  <c r="K3190" i="2"/>
  <c r="V3089" i="2"/>
  <c r="M2611" i="2"/>
  <c r="F2932" i="2"/>
  <c r="H3318" i="2"/>
  <c r="V2983" i="2"/>
  <c r="R2386" i="2"/>
  <c r="E1500" i="2"/>
  <c r="D3566" i="2"/>
  <c r="M2682" i="2"/>
  <c r="N2883" i="2"/>
  <c r="T3067" i="2"/>
  <c r="V2017" i="2"/>
  <c r="N2158" i="2"/>
  <c r="S1588" i="2"/>
  <c r="T2653" i="2"/>
  <c r="S3169" i="2"/>
  <c r="F2711" i="2"/>
  <c r="L2570" i="2"/>
  <c r="M3301" i="2"/>
  <c r="T2965" i="2"/>
  <c r="W3408" i="2"/>
  <c r="N3243" i="2"/>
  <c r="E2298" i="2"/>
  <c r="O2087" i="2"/>
  <c r="G3511" i="2"/>
  <c r="S3079" i="2"/>
  <c r="T1968" i="2"/>
  <c r="S3292" i="2"/>
  <c r="H2349" i="2"/>
  <c r="Q2656" i="2"/>
  <c r="F2696" i="2"/>
  <c r="C2536" i="2"/>
  <c r="I3189" i="2"/>
  <c r="H3266" i="2"/>
  <c r="U1907" i="2"/>
  <c r="U3058" i="2"/>
  <c r="R3047" i="2"/>
  <c r="F2102" i="2"/>
  <c r="I2914" i="2"/>
  <c r="N3287" i="2"/>
  <c r="S3192" i="2"/>
  <c r="V3257" i="2"/>
  <c r="P1914" i="2"/>
  <c r="Q2492" i="2"/>
  <c r="U2771" i="2"/>
  <c r="K3130" i="2"/>
  <c r="L2583" i="2"/>
  <c r="N3032" i="2"/>
  <c r="M3144" i="2"/>
  <c r="Q2627" i="2"/>
  <c r="R3497" i="2"/>
  <c r="C3525" i="2"/>
  <c r="V2830" i="2"/>
  <c r="T3151" i="2"/>
  <c r="C2679" i="2"/>
  <c r="R2761" i="2"/>
  <c r="J2723" i="2"/>
  <c r="Q3030" i="2"/>
  <c r="O3264" i="2"/>
  <c r="N2816" i="2"/>
  <c r="U3188" i="2"/>
  <c r="E2711" i="2"/>
  <c r="R3458" i="2"/>
  <c r="N3147" i="2"/>
  <c r="M2984" i="2"/>
  <c r="N2195" i="2"/>
  <c r="N3436" i="2"/>
  <c r="N3369" i="2"/>
  <c r="R2793" i="2"/>
  <c r="O2797" i="2"/>
  <c r="S3026" i="2"/>
  <c r="L2903" i="2"/>
  <c r="N3304" i="2"/>
  <c r="R3320" i="2"/>
  <c r="K2846" i="2"/>
  <c r="N2665" i="2"/>
  <c r="H2533" i="2"/>
  <c r="U3068" i="2"/>
  <c r="V2358" i="2"/>
  <c r="K2845" i="2"/>
  <c r="T3096" i="2"/>
  <c r="C2751" i="2"/>
  <c r="E2953" i="2"/>
  <c r="Q2745" i="2"/>
  <c r="R3371" i="2"/>
  <c r="F3051" i="2"/>
  <c r="U3341" i="2"/>
  <c r="F2524" i="2"/>
  <c r="T2019" i="2"/>
  <c r="K3612" i="2"/>
  <c r="Q2847" i="2"/>
  <c r="M3063" i="2"/>
  <c r="N2480" i="2"/>
  <c r="H3279" i="2"/>
  <c r="P3072" i="2"/>
  <c r="E3102" i="2"/>
  <c r="P2883" i="2"/>
  <c r="K3195" i="2"/>
  <c r="G3446" i="2"/>
  <c r="D1895" i="2"/>
  <c r="K3444" i="2"/>
  <c r="S3274" i="2"/>
  <c r="D2367" i="2"/>
  <c r="C2625" i="2"/>
  <c r="H2322" i="2"/>
  <c r="P1873" i="2"/>
  <c r="F2828" i="2"/>
  <c r="J2729" i="2"/>
  <c r="V3395" i="2"/>
  <c r="F2855" i="2"/>
  <c r="M2387" i="2"/>
  <c r="E3038" i="2"/>
  <c r="N3192" i="2"/>
  <c r="K2421" i="2"/>
  <c r="I3326" i="2"/>
  <c r="D2305" i="2"/>
  <c r="D3199" i="2"/>
  <c r="L3065" i="2"/>
  <c r="I2820" i="2"/>
  <c r="P3148" i="2"/>
  <c r="D3223" i="2"/>
  <c r="F2611" i="2"/>
  <c r="C2567" i="2"/>
  <c r="K2554" i="2"/>
  <c r="J3303" i="2"/>
  <c r="R2356" i="2"/>
  <c r="J2454" i="2"/>
  <c r="G2539" i="2"/>
  <c r="M3175" i="2"/>
  <c r="S3202" i="2"/>
  <c r="R1430" i="2"/>
  <c r="N2164" i="2"/>
  <c r="P2807" i="2"/>
  <c r="M2198" i="2"/>
  <c r="E2894" i="2"/>
  <c r="G1993" i="2"/>
  <c r="J3045" i="2"/>
  <c r="C2120" i="2"/>
  <c r="W1293" i="2"/>
  <c r="K2309" i="2"/>
  <c r="M632" i="2"/>
  <c r="R1168" i="2"/>
  <c r="W3251" i="2"/>
  <c r="L2776" i="2"/>
  <c r="K3595" i="2"/>
  <c r="F3109" i="2"/>
  <c r="K3350" i="2"/>
  <c r="K3100" i="2"/>
  <c r="O2992" i="2"/>
  <c r="P1618" i="2"/>
  <c r="E3158" i="2"/>
  <c r="H2895" i="2"/>
  <c r="I2878" i="2"/>
  <c r="J2857" i="2"/>
  <c r="N868" i="2"/>
  <c r="V469" i="2"/>
  <c r="J3254" i="2"/>
  <c r="E3168" i="2"/>
  <c r="K3274" i="2"/>
  <c r="D2921" i="2"/>
  <c r="L2290" i="2"/>
  <c r="R3180" i="2"/>
  <c r="U3186" i="2"/>
  <c r="K2858" i="2"/>
  <c r="W3033" i="2"/>
  <c r="U2425" i="2"/>
  <c r="W3622" i="2"/>
  <c r="O2656" i="2"/>
  <c r="U2839" i="2"/>
  <c r="O3299" i="2"/>
  <c r="F2798" i="2"/>
  <c r="I3553" i="2"/>
  <c r="U3034" i="2"/>
  <c r="T3361" i="2"/>
  <c r="T2568" i="2"/>
  <c r="J2895" i="2"/>
  <c r="S3077" i="2"/>
  <c r="M2677" i="2"/>
  <c r="O3454" i="2"/>
  <c r="V2342" i="2"/>
  <c r="L2204" i="2"/>
  <c r="H3209" i="2"/>
  <c r="P1923" i="2"/>
  <c r="I2810" i="2"/>
  <c r="F1598" i="2"/>
  <c r="N2938" i="2"/>
  <c r="R3606" i="2"/>
  <c r="D3420" i="2"/>
  <c r="U3330" i="2"/>
  <c r="H2822" i="2"/>
  <c r="T3124" i="2"/>
  <c r="C2802" i="2"/>
  <c r="R2179" i="2"/>
  <c r="N2843" i="2"/>
  <c r="P2886" i="2"/>
  <c r="O3410" i="2"/>
  <c r="P3311" i="2"/>
  <c r="U2794" i="2"/>
  <c r="Q3078" i="2"/>
  <c r="G2837" i="2"/>
  <c r="I2659" i="2"/>
  <c r="P3080" i="2"/>
  <c r="R3377" i="2"/>
  <c r="U3126" i="2"/>
  <c r="D2234" i="2"/>
  <c r="T2942" i="2"/>
  <c r="Q920" i="2"/>
  <c r="Q3204" i="2"/>
  <c r="H3057" i="2"/>
  <c r="R2904" i="2"/>
  <c r="U2762" i="2"/>
  <c r="N2889" i="2"/>
  <c r="H3048" i="2"/>
  <c r="E3191" i="2"/>
  <c r="L2362" i="2"/>
  <c r="T2763" i="2"/>
  <c r="D2969" i="2"/>
  <c r="I2764" i="2"/>
  <c r="P2613" i="2"/>
  <c r="P2489" i="2"/>
  <c r="P2672" i="2"/>
  <c r="C3477" i="2"/>
  <c r="J2154" i="2"/>
  <c r="R3286" i="2"/>
  <c r="L3016" i="2"/>
  <c r="K2975" i="2"/>
  <c r="M2689" i="2"/>
  <c r="Q2605" i="2"/>
  <c r="I3280" i="2"/>
  <c r="F1983" i="2"/>
  <c r="M2746" i="2"/>
  <c r="I3156" i="2"/>
  <c r="E1695" i="2"/>
  <c r="L3154" i="2"/>
  <c r="G3064" i="2"/>
  <c r="J2294" i="2"/>
  <c r="V1525" i="2"/>
  <c r="H2787" i="2"/>
  <c r="S3224" i="2"/>
  <c r="S2702" i="2"/>
  <c r="M1064" i="2"/>
  <c r="C2674" i="2"/>
  <c r="F2815" i="2"/>
  <c r="P3023" i="2"/>
  <c r="N1945" i="2"/>
  <c r="G3419" i="2"/>
  <c r="V2892" i="2"/>
  <c r="G3036" i="2"/>
  <c r="E2668" i="2"/>
  <c r="W2919" i="2"/>
  <c r="D1615" i="2"/>
  <c r="U1946" i="2"/>
  <c r="U2352" i="2"/>
  <c r="S3376" i="2"/>
  <c r="C3107" i="2"/>
  <c r="Q2560" i="2"/>
  <c r="I1336" i="2"/>
  <c r="S2907" i="2"/>
  <c r="I2841" i="2"/>
  <c r="F2308" i="2"/>
  <c r="N2584" i="2"/>
  <c r="G1720" i="2"/>
  <c r="G1648" i="2"/>
  <c r="H2772" i="2"/>
  <c r="U3036" i="2"/>
  <c r="F3319" i="2"/>
  <c r="W1240" i="2"/>
  <c r="J2255" i="2"/>
  <c r="F3273" i="2"/>
  <c r="L2931" i="2"/>
  <c r="V2894" i="2"/>
  <c r="E2790" i="2"/>
  <c r="T3317" i="2"/>
  <c r="L1734" i="2"/>
  <c r="N3274" i="2"/>
  <c r="W2367" i="2"/>
  <c r="Q2503" i="2"/>
  <c r="K3618" i="2"/>
  <c r="W2666" i="2"/>
  <c r="W3023" i="2"/>
  <c r="R3378" i="2"/>
  <c r="M2586" i="2"/>
  <c r="G2731" i="2"/>
  <c r="O3233" i="2"/>
  <c r="T3010" i="2"/>
  <c r="J3361" i="2"/>
  <c r="D1307" i="2"/>
  <c r="Q3108" i="2"/>
  <c r="D3215" i="2"/>
  <c r="C3265" i="2"/>
  <c r="T3516" i="2"/>
  <c r="V3070" i="2"/>
  <c r="P2860" i="2"/>
  <c r="G3583" i="2"/>
  <c r="P2641" i="2"/>
  <c r="F3070" i="2"/>
  <c r="W555" i="2"/>
  <c r="R2360" i="2"/>
  <c r="T1198" i="2"/>
  <c r="M3158" i="2"/>
  <c r="Q2561" i="2"/>
  <c r="C3595" i="2"/>
  <c r="J3121" i="2"/>
  <c r="S2711" i="2"/>
  <c r="T1787" i="2"/>
  <c r="H3154" i="2"/>
  <c r="N1278" i="2"/>
  <c r="J1472" i="2"/>
  <c r="R1793" i="2"/>
  <c r="L3116" i="2"/>
  <c r="N1708" i="2"/>
  <c r="R3348" i="2"/>
  <c r="Q2952" i="2"/>
  <c r="H3516" i="2"/>
  <c r="L1663" i="2"/>
  <c r="K2235" i="2"/>
  <c r="O2904" i="2"/>
  <c r="J3450" i="2"/>
  <c r="I3094" i="2"/>
  <c r="E2920" i="2"/>
  <c r="I3090" i="2"/>
  <c r="H2841" i="2"/>
  <c r="R3269" i="2"/>
  <c r="W2962" i="2"/>
  <c r="K3188" i="2"/>
  <c r="N3399" i="2"/>
  <c r="U1548" i="2"/>
  <c r="U2956" i="2"/>
  <c r="O3029" i="2"/>
  <c r="G2570" i="2"/>
  <c r="W2299" i="2"/>
  <c r="W2397" i="2"/>
  <c r="D2771" i="2"/>
  <c r="T1689" i="2"/>
  <c r="O3035" i="2"/>
  <c r="I3070" i="2"/>
  <c r="G3247" i="2"/>
  <c r="E3379" i="2"/>
  <c r="L2302" i="2"/>
  <c r="O3177" i="2"/>
  <c r="F3033" i="2"/>
  <c r="M2917" i="2"/>
  <c r="P2636" i="2"/>
  <c r="I2797" i="2"/>
  <c r="P2580" i="2"/>
  <c r="J1062" i="2"/>
  <c r="J1692" i="2"/>
  <c r="F3548" i="2"/>
  <c r="G3002" i="2"/>
  <c r="M1926" i="2"/>
  <c r="Q2669" i="2"/>
  <c r="O1892" i="2"/>
  <c r="P2735" i="2"/>
  <c r="F2685" i="2"/>
  <c r="I3355" i="2"/>
  <c r="S2915" i="2"/>
  <c r="D3099" i="2"/>
  <c r="U2121" i="2"/>
  <c r="F3317" i="2"/>
  <c r="V3522" i="2"/>
  <c r="O2431" i="2"/>
  <c r="Q3192" i="2"/>
  <c r="S3256" i="2"/>
  <c r="T2884" i="2"/>
  <c r="S3178" i="2"/>
  <c r="E2926" i="2"/>
  <c r="J3081" i="2"/>
  <c r="J1941" i="2"/>
  <c r="O3362" i="2"/>
  <c r="E3401" i="2"/>
  <c r="G3264" i="2"/>
  <c r="N2533" i="2"/>
  <c r="U3357" i="2"/>
  <c r="W2216" i="2"/>
  <c r="L2841" i="2"/>
  <c r="E2972" i="2"/>
  <c r="U2870" i="2"/>
  <c r="T3148" i="2"/>
  <c r="M3346" i="2"/>
  <c r="E3365" i="2"/>
  <c r="F2283" i="2"/>
  <c r="U2457" i="2"/>
  <c r="F1515" i="2"/>
  <c r="M1687" i="2"/>
  <c r="G3130" i="2"/>
  <c r="K2947" i="2"/>
  <c r="Q2680" i="2"/>
  <c r="T2185" i="2"/>
  <c r="H2642" i="2"/>
  <c r="R2084" i="2"/>
  <c r="V1991" i="2"/>
  <c r="R913" i="2"/>
  <c r="J3227" i="2"/>
  <c r="N3159" i="2"/>
  <c r="I2137" i="2"/>
  <c r="Q2697" i="2"/>
  <c r="C3060" i="2"/>
  <c r="D1231" i="2"/>
  <c r="I3152" i="2"/>
  <c r="C1930" i="2"/>
  <c r="I3375" i="2"/>
  <c r="E3317" i="2"/>
  <c r="P3345" i="2"/>
  <c r="V2188" i="2"/>
  <c r="J2821" i="2"/>
  <c r="G2028" i="2"/>
  <c r="M2289" i="2"/>
  <c r="I1490" i="2"/>
  <c r="S3563" i="2"/>
  <c r="L3287" i="2"/>
  <c r="G2491" i="2"/>
  <c r="D3354" i="2"/>
  <c r="V2976" i="2"/>
  <c r="Q2926" i="2"/>
  <c r="N1707" i="2"/>
  <c r="U2551" i="2"/>
  <c r="T2818" i="2"/>
  <c r="K3299" i="2"/>
  <c r="C2907" i="2"/>
  <c r="M3320" i="2"/>
  <c r="L2641" i="2"/>
  <c r="Q2018" i="2"/>
  <c r="J3184" i="2"/>
  <c r="R2868" i="2"/>
  <c r="I2991" i="2"/>
  <c r="O3407" i="2"/>
  <c r="H3112" i="2"/>
  <c r="V2967" i="2"/>
  <c r="T2454" i="2"/>
  <c r="Q1902" i="2"/>
  <c r="J2913" i="2"/>
  <c r="Q1422" i="2"/>
  <c r="J3147" i="2"/>
  <c r="F3394" i="2"/>
  <c r="O3534" i="2"/>
  <c r="N2707" i="2"/>
  <c r="Q2345" i="2"/>
  <c r="E1925" i="2"/>
  <c r="C3082" i="2"/>
  <c r="C2683" i="2"/>
  <c r="T3472" i="2"/>
  <c r="V2014" i="2"/>
  <c r="J1167" i="2"/>
  <c r="S2946" i="2"/>
  <c r="T3089" i="2"/>
  <c r="Q3188" i="2"/>
  <c r="T1835" i="2"/>
  <c r="D3593" i="2"/>
  <c r="W3155" i="2"/>
  <c r="G2418" i="2"/>
  <c r="O2955" i="2"/>
  <c r="P3434" i="2"/>
  <c r="W3226" i="2"/>
  <c r="I3369" i="2"/>
  <c r="G3131" i="2"/>
  <c r="O2756" i="2"/>
  <c r="U3215" i="2"/>
  <c r="S2836" i="2"/>
  <c r="R2721" i="2"/>
  <c r="G171" i="2"/>
  <c r="D2024" i="2"/>
  <c r="J3263" i="2"/>
  <c r="O2403" i="2"/>
  <c r="W3259" i="2"/>
  <c r="W3178" i="2"/>
  <c r="E2205" i="2"/>
  <c r="T1883" i="2"/>
  <c r="J2504" i="2"/>
  <c r="F2600" i="2"/>
  <c r="M3458" i="2"/>
  <c r="W2462" i="2"/>
  <c r="J2431" i="2"/>
  <c r="K3443" i="2"/>
  <c r="F3077" i="2"/>
  <c r="H3124" i="2"/>
  <c r="I2417" i="2"/>
  <c r="O2329" i="2"/>
  <c r="U3545" i="2"/>
  <c r="O2390" i="2"/>
  <c r="F3247" i="2"/>
  <c r="N3247" i="2"/>
  <c r="K2857" i="2"/>
  <c r="I2813" i="2"/>
  <c r="S475" i="2"/>
  <c r="O3321" i="2"/>
  <c r="D3153" i="2"/>
  <c r="G2288" i="2"/>
  <c r="K3374" i="2"/>
  <c r="N2710" i="2"/>
  <c r="J2551" i="2"/>
  <c r="L2369" i="2"/>
  <c r="V3498" i="2"/>
  <c r="V2847" i="2"/>
  <c r="R3260" i="2"/>
  <c r="M3159" i="2"/>
  <c r="T3329" i="2"/>
  <c r="K3265" i="2"/>
  <c r="N2946" i="2"/>
  <c r="W2909" i="2"/>
  <c r="Q3048" i="2"/>
  <c r="P3378" i="2"/>
  <c r="F3010" i="2"/>
  <c r="E3602" i="2"/>
  <c r="C2221" i="2"/>
  <c r="R3100" i="2"/>
  <c r="M3228" i="2"/>
  <c r="G2915" i="2"/>
  <c r="U3490" i="2"/>
  <c r="S3076" i="2"/>
  <c r="E2968" i="2"/>
  <c r="T1549" i="2"/>
  <c r="M2599" i="2"/>
  <c r="T3058" i="2"/>
  <c r="U2622" i="2"/>
  <c r="V692" i="2"/>
  <c r="N3308" i="2"/>
  <c r="R3014" i="2"/>
  <c r="O2725" i="2"/>
  <c r="S3040" i="2"/>
  <c r="S1714" i="2"/>
  <c r="N3594" i="2"/>
  <c r="S3105" i="2"/>
  <c r="W1489" i="2"/>
  <c r="W2873" i="2"/>
  <c r="F2905" i="2"/>
  <c r="J1988" i="2"/>
  <c r="C3113" i="2"/>
  <c r="G2702" i="2"/>
  <c r="P3530" i="2"/>
  <c r="P2871" i="2"/>
  <c r="M2278" i="2"/>
  <c r="M2864" i="2"/>
  <c r="I1969" i="2"/>
  <c r="P819" i="2"/>
  <c r="R2444" i="2"/>
  <c r="R2751" i="2"/>
  <c r="I2861" i="2"/>
  <c r="Q1598" i="2"/>
  <c r="I2722" i="2"/>
  <c r="H2363" i="2"/>
  <c r="F1153" i="2"/>
  <c r="F644" i="2"/>
  <c r="L2983" i="2"/>
  <c r="V2617" i="2"/>
  <c r="M2921" i="2"/>
  <c r="T2876" i="2"/>
  <c r="Q3021" i="2"/>
  <c r="L2712" i="2"/>
  <c r="V2404" i="2"/>
  <c r="C2172" i="2"/>
  <c r="I2876" i="2"/>
  <c r="P1426" i="2"/>
  <c r="D1458" i="2"/>
  <c r="P2958" i="2"/>
  <c r="O2727" i="2"/>
  <c r="P3089" i="2"/>
  <c r="T3406" i="2"/>
  <c r="C3420" i="2"/>
  <c r="C2644" i="2"/>
  <c r="F2839" i="2"/>
  <c r="C2863" i="2"/>
  <c r="F1857" i="2"/>
  <c r="L3200" i="2"/>
  <c r="T3604" i="2"/>
  <c r="J2991" i="2"/>
  <c r="U3041" i="2"/>
  <c r="U1664" i="2"/>
  <c r="U1708" i="2"/>
  <c r="G3095" i="2"/>
  <c r="C3320" i="2"/>
  <c r="R3302" i="2"/>
  <c r="D1203" i="2"/>
  <c r="K2916" i="2"/>
  <c r="F2194" i="2"/>
  <c r="F1027" i="2"/>
  <c r="M2959" i="2"/>
  <c r="T3359" i="2"/>
  <c r="Q2210" i="2"/>
  <c r="J1134" i="2"/>
  <c r="V3457" i="2"/>
  <c r="R2786" i="2"/>
  <c r="K1422" i="2"/>
  <c r="C1908" i="2"/>
  <c r="E2799" i="2"/>
  <c r="F2529" i="2"/>
  <c r="R3553" i="2"/>
  <c r="L1250" i="2"/>
  <c r="R2431" i="2"/>
  <c r="N3302" i="2"/>
  <c r="D1204" i="2"/>
  <c r="Q1467" i="2"/>
  <c r="G1688" i="2"/>
  <c r="O3030" i="2"/>
  <c r="S3147" i="2"/>
  <c r="C2401" i="2"/>
  <c r="E2965" i="2"/>
  <c r="P1822" i="2"/>
  <c r="D3084" i="2"/>
  <c r="D823" i="2"/>
  <c r="D2489" i="2"/>
  <c r="D3299" i="2"/>
  <c r="I1928" i="2"/>
  <c r="V3342" i="2"/>
  <c r="E3235" i="2"/>
  <c r="W3075" i="2"/>
  <c r="N2429" i="2"/>
  <c r="S3084" i="2"/>
  <c r="C3020" i="2"/>
  <c r="U3054" i="2"/>
  <c r="C1313" i="2"/>
  <c r="D2897" i="2"/>
  <c r="G3513" i="2"/>
  <c r="T3199" i="2"/>
  <c r="J2712" i="2"/>
  <c r="W3540" i="2"/>
  <c r="L3477" i="2"/>
  <c r="P2584" i="2"/>
  <c r="T2456" i="2"/>
  <c r="J3257" i="2"/>
  <c r="K2885" i="2"/>
  <c r="M637" i="2"/>
  <c r="T3048" i="2"/>
  <c r="U2123" i="2"/>
  <c r="J1984" i="2"/>
  <c r="U2408" i="2"/>
  <c r="G2452" i="2"/>
  <c r="O2784" i="2"/>
  <c r="D1477" i="2"/>
  <c r="S2279" i="2"/>
  <c r="N2606" i="2"/>
  <c r="N2176" i="2"/>
  <c r="V1169" i="2"/>
  <c r="G2929" i="2"/>
  <c r="L2859" i="2"/>
  <c r="H3098" i="2"/>
  <c r="N3204" i="2"/>
  <c r="K2882" i="2"/>
  <c r="C2871" i="2"/>
  <c r="R2804" i="2"/>
  <c r="S2554" i="2"/>
  <c r="R3126" i="2"/>
  <c r="N2126" i="2"/>
  <c r="E2992" i="2"/>
  <c r="P2498" i="2"/>
  <c r="J2586" i="2"/>
  <c r="D2046" i="2"/>
  <c r="F2844" i="2"/>
  <c r="L2637" i="2"/>
  <c r="P2693" i="2"/>
  <c r="T2368" i="2"/>
  <c r="D2767" i="2"/>
  <c r="V2095" i="2"/>
  <c r="H3356" i="2"/>
  <c r="F1694" i="2"/>
  <c r="W3207" i="2"/>
  <c r="K2983" i="2"/>
  <c r="T2514" i="2"/>
  <c r="K3035" i="2"/>
  <c r="C1989" i="2"/>
  <c r="M2070" i="2"/>
  <c r="U2744" i="2"/>
  <c r="J3283" i="2"/>
  <c r="J2691" i="2"/>
  <c r="D3172" i="2"/>
  <c r="Q3567" i="2"/>
  <c r="E2749" i="2"/>
  <c r="R2684" i="2"/>
  <c r="D3269" i="2"/>
  <c r="K1974" i="2"/>
  <c r="O1156" i="2"/>
  <c r="G2150" i="2"/>
  <c r="N3084" i="2"/>
  <c r="H2419" i="2"/>
  <c r="H2377" i="2"/>
  <c r="U3167" i="2"/>
  <c r="E3474" i="2"/>
  <c r="F3364" i="2"/>
  <c r="T3343" i="2"/>
  <c r="F1805" i="2"/>
  <c r="E2009" i="2"/>
  <c r="Q2770" i="2"/>
  <c r="K1927" i="2"/>
  <c r="U3144" i="2"/>
  <c r="L2766" i="2"/>
  <c r="S3091" i="2"/>
  <c r="F2901" i="2"/>
  <c r="R3077" i="2"/>
  <c r="H2916" i="2"/>
  <c r="N3170" i="2"/>
  <c r="M2973" i="2"/>
  <c r="R2256" i="2"/>
  <c r="S1958" i="2"/>
  <c r="H2162" i="2"/>
  <c r="H2892" i="2"/>
  <c r="R3247" i="2"/>
  <c r="O2847" i="2"/>
  <c r="N2780" i="2"/>
  <c r="J2995" i="2"/>
  <c r="M2461" i="2"/>
  <c r="T3237" i="2"/>
  <c r="R3162" i="2"/>
  <c r="D2596" i="2"/>
  <c r="T2614" i="2"/>
  <c r="L2847" i="2"/>
  <c r="F3353" i="2"/>
  <c r="C3067" i="2"/>
  <c r="O2424" i="2"/>
  <c r="S3114" i="2"/>
  <c r="F2650" i="2"/>
  <c r="E3430" i="2"/>
  <c r="T2365" i="2"/>
  <c r="T1559" i="2"/>
  <c r="U1216" i="2"/>
  <c r="Q1133" i="2"/>
  <c r="U1574" i="2"/>
  <c r="O2368" i="2"/>
  <c r="M3172" i="2"/>
  <c r="P2806" i="2"/>
  <c r="R2597" i="2"/>
  <c r="P3268" i="2"/>
  <c r="T1287" i="2"/>
  <c r="L2131" i="2"/>
  <c r="C2973" i="2"/>
  <c r="C3362" i="2"/>
  <c r="L3517" i="2"/>
  <c r="J3075" i="2"/>
  <c r="Q3157" i="2"/>
  <c r="L3099" i="2"/>
  <c r="E2392" i="2"/>
  <c r="H1800" i="2"/>
  <c r="I923" i="2"/>
  <c r="S3024" i="2"/>
  <c r="P3400" i="2"/>
  <c r="D3440" i="2"/>
  <c r="F3292" i="2"/>
  <c r="S1376" i="2"/>
  <c r="C2672" i="2"/>
  <c r="T2957" i="2"/>
  <c r="M1519" i="2"/>
  <c r="J2894" i="2"/>
  <c r="D1921" i="2"/>
  <c r="E3090" i="2"/>
  <c r="L2263" i="2"/>
  <c r="C3142" i="2"/>
  <c r="T812" i="2"/>
  <c r="C2227" i="2"/>
  <c r="W2180" i="2"/>
  <c r="T2718" i="2"/>
  <c r="E2996" i="2"/>
  <c r="D2987" i="2"/>
  <c r="G2703" i="2"/>
  <c r="U2462" i="2"/>
  <c r="S2036" i="2"/>
  <c r="V2860" i="2"/>
  <c r="J2831" i="2"/>
  <c r="I2636" i="2"/>
  <c r="R2129" i="2"/>
  <c r="W2981" i="2"/>
  <c r="D1591" i="2"/>
  <c r="N3425" i="2"/>
  <c r="M3236" i="2"/>
  <c r="G3377" i="2"/>
  <c r="S1901" i="2"/>
  <c r="M2451" i="2"/>
  <c r="W2612" i="2"/>
  <c r="L2788" i="2"/>
  <c r="O3102" i="2"/>
  <c r="F3294" i="2"/>
  <c r="T3088" i="2"/>
  <c r="U2388" i="2"/>
  <c r="M3086" i="2"/>
  <c r="J2834" i="2"/>
  <c r="Q2559" i="2"/>
  <c r="H3554" i="2"/>
  <c r="H2897" i="2"/>
  <c r="G1823" i="2"/>
  <c r="E3217" i="2"/>
  <c r="O3334" i="2"/>
  <c r="W3286" i="2"/>
  <c r="R2593" i="2"/>
  <c r="Q3167" i="2"/>
  <c r="L2786" i="2"/>
  <c r="F2922" i="2"/>
  <c r="S2790" i="2"/>
  <c r="M561" i="2"/>
  <c r="G2603" i="2"/>
  <c r="V149" i="2"/>
  <c r="J2866" i="2"/>
  <c r="L3167" i="2"/>
  <c r="R2888" i="2"/>
  <c r="W2576" i="2"/>
  <c r="P2591" i="2"/>
  <c r="R3133" i="2"/>
  <c r="W1693" i="2"/>
  <c r="R2772" i="2"/>
  <c r="M2142" i="2"/>
  <c r="P2345" i="2"/>
  <c r="O2646" i="2"/>
  <c r="L2947" i="2"/>
  <c r="O2742" i="2"/>
  <c r="M2826" i="2"/>
  <c r="E2163" i="2"/>
  <c r="E2687" i="2"/>
  <c r="L2733" i="2"/>
  <c r="M3022" i="2"/>
  <c r="Q2499" i="2"/>
  <c r="I2489" i="2"/>
  <c r="W3169" i="2"/>
  <c r="Q3395" i="2"/>
  <c r="M2989" i="2"/>
  <c r="I2842" i="2"/>
  <c r="F2454" i="2"/>
  <c r="J3392" i="2"/>
  <c r="I3333" i="2"/>
  <c r="U2874" i="2"/>
  <c r="F3352" i="2"/>
  <c r="E3394" i="2"/>
  <c r="E3040" i="2"/>
  <c r="U2276" i="2"/>
  <c r="C1644" i="2"/>
  <c r="R3093" i="2"/>
  <c r="C2230" i="2"/>
  <c r="F3412" i="2"/>
  <c r="P1569" i="2"/>
  <c r="W1883" i="2"/>
  <c r="U2849" i="2"/>
  <c r="L2258" i="2"/>
  <c r="J3255" i="2"/>
  <c r="J2984" i="2"/>
  <c r="C3042" i="2"/>
  <c r="H3492" i="2"/>
  <c r="G3470" i="2"/>
  <c r="S3469" i="2"/>
  <c r="S3494" i="2"/>
  <c r="I2239" i="2"/>
  <c r="W2782" i="2"/>
  <c r="U3491" i="2"/>
  <c r="I2312" i="2"/>
  <c r="U3200" i="2"/>
  <c r="N3532" i="2"/>
  <c r="J3413" i="2"/>
  <c r="E3371" i="2"/>
  <c r="O3223" i="2"/>
  <c r="R3329" i="2"/>
  <c r="J3086" i="2"/>
  <c r="G3132" i="2"/>
  <c r="O3255" i="2"/>
  <c r="M3122" i="2"/>
  <c r="R3563" i="2"/>
  <c r="S3081" i="2"/>
  <c r="Q3270" i="2"/>
  <c r="P3165" i="2"/>
  <c r="H1980" i="2"/>
  <c r="R2556" i="2"/>
  <c r="V2948" i="2"/>
  <c r="D2621" i="2"/>
  <c r="R2818" i="2"/>
  <c r="O2449" i="2"/>
  <c r="C2084" i="2"/>
  <c r="Q3314" i="2"/>
  <c r="N2389" i="2"/>
  <c r="F2893" i="2"/>
  <c r="U1394" i="2"/>
  <c r="D2943" i="2"/>
  <c r="F3483" i="2"/>
  <c r="T3334" i="2"/>
  <c r="N2781" i="2"/>
  <c r="U3020" i="2"/>
  <c r="S3440" i="2"/>
  <c r="P2985" i="2"/>
  <c r="S3064" i="2"/>
  <c r="H3036" i="2"/>
  <c r="W3196" i="2"/>
  <c r="W3436" i="2"/>
  <c r="E1656" i="2"/>
  <c r="G1550" i="2"/>
  <c r="U1079" i="2"/>
  <c r="I1972" i="2"/>
  <c r="Q1679" i="2"/>
  <c r="M3503" i="2"/>
  <c r="Q1605" i="2"/>
  <c r="S3548" i="2"/>
  <c r="S2525" i="2"/>
  <c r="Q646" i="2"/>
  <c r="P1241" i="2"/>
  <c r="D911" i="2"/>
  <c r="I398" i="2"/>
  <c r="W3011" i="2"/>
  <c r="T2656" i="2"/>
  <c r="W2843" i="2"/>
  <c r="H1604" i="2"/>
  <c r="C2491" i="2"/>
  <c r="U3097" i="2"/>
  <c r="F826" i="2"/>
  <c r="S3163" i="2"/>
  <c r="G3464" i="2"/>
  <c r="D2277" i="2"/>
  <c r="R2859" i="2"/>
  <c r="V2284" i="2"/>
  <c r="J2799" i="2"/>
  <c r="I3328" i="2"/>
  <c r="L3416" i="2"/>
  <c r="L3124" i="2"/>
  <c r="V2097" i="2"/>
  <c r="T3178" i="2"/>
  <c r="E2466" i="2"/>
  <c r="D2599" i="2"/>
  <c r="K2807" i="2"/>
  <c r="C2750" i="2"/>
  <c r="E2293" i="2"/>
  <c r="K3213" i="2"/>
  <c r="N2459" i="2"/>
  <c r="P2468" i="2"/>
  <c r="P3291" i="2"/>
  <c r="I3408" i="2"/>
  <c r="Q462" i="2"/>
  <c r="O2959" i="2"/>
  <c r="N2451" i="2"/>
  <c r="V2840" i="2"/>
  <c r="V2886" i="2"/>
  <c r="G1188" i="2"/>
  <c r="I3199" i="2"/>
  <c r="E3045" i="2"/>
  <c r="J3366" i="2"/>
  <c r="N2311" i="2"/>
  <c r="G3155" i="2"/>
  <c r="P3229" i="2"/>
  <c r="M3625" i="2"/>
  <c r="F3161" i="2"/>
  <c r="T2924" i="2"/>
  <c r="M1885" i="2"/>
  <c r="R2810" i="2"/>
  <c r="E2689" i="2"/>
  <c r="E3068" i="2"/>
  <c r="O3386" i="2"/>
  <c r="Q3070" i="2"/>
  <c r="E3274" i="2"/>
  <c r="R3427" i="2"/>
  <c r="M3319" i="2"/>
  <c r="N3384" i="2"/>
  <c r="N3068" i="2"/>
  <c r="G3462" i="2"/>
  <c r="I3203" i="2"/>
  <c r="M2904" i="2"/>
  <c r="R3349" i="2"/>
  <c r="W3255" i="2"/>
  <c r="E3049" i="2"/>
  <c r="P3040" i="2"/>
  <c r="M3593" i="2"/>
  <c r="K3322" i="2"/>
  <c r="P1999" i="2"/>
  <c r="H3283" i="2"/>
  <c r="F2773" i="2"/>
  <c r="P1186" i="2"/>
  <c r="W2163" i="2"/>
  <c r="W1836" i="2"/>
  <c r="P3383" i="2"/>
  <c r="T1300" i="2"/>
  <c r="R3031" i="2"/>
  <c r="C3193" i="2"/>
  <c r="H2484" i="2"/>
  <c r="P1972" i="2"/>
  <c r="T2733" i="2"/>
  <c r="V1513" i="2"/>
  <c r="O3443" i="2"/>
  <c r="N2903" i="2"/>
  <c r="L2889" i="2"/>
  <c r="W2411" i="2"/>
  <c r="L3129" i="2"/>
  <c r="S2326" i="2"/>
  <c r="W2876" i="2"/>
  <c r="R2524" i="2"/>
  <c r="J2810" i="2"/>
  <c r="R2626" i="2"/>
  <c r="G2256" i="2"/>
  <c r="J1085" i="2"/>
  <c r="W3053" i="2"/>
  <c r="S2258" i="2"/>
  <c r="F2259" i="2"/>
  <c r="I2498" i="2"/>
  <c r="E2867" i="2"/>
  <c r="T2245" i="2"/>
  <c r="W2927" i="2"/>
  <c r="S2052" i="2"/>
  <c r="U2555" i="2"/>
  <c r="S2461" i="2"/>
  <c r="U1594" i="2"/>
  <c r="S1716" i="2"/>
  <c r="L2620" i="2"/>
  <c r="D3170" i="2"/>
  <c r="C3438" i="2"/>
  <c r="G2543" i="2"/>
  <c r="T2891" i="2"/>
  <c r="N2556" i="2"/>
  <c r="I1555" i="2"/>
  <c r="G2706" i="2"/>
  <c r="M2729" i="2"/>
  <c r="I2588" i="2"/>
  <c r="W2651" i="2"/>
  <c r="R3174" i="2"/>
  <c r="N2873" i="2"/>
  <c r="W2597" i="2"/>
  <c r="T2347" i="2"/>
  <c r="W2823" i="2"/>
  <c r="E930" i="2"/>
  <c r="V2884" i="2"/>
  <c r="H2159" i="2"/>
  <c r="W3089" i="2"/>
  <c r="C2699" i="2"/>
  <c r="P2918" i="2"/>
  <c r="T2855" i="2"/>
  <c r="W2941" i="2"/>
  <c r="T2715" i="2"/>
  <c r="T1631" i="2"/>
  <c r="E2323" i="2"/>
  <c r="T2393" i="2"/>
  <c r="L2530" i="2"/>
  <c r="Q2631" i="2"/>
  <c r="F2539" i="2"/>
  <c r="V2529" i="2"/>
  <c r="N1337" i="2"/>
  <c r="T1986" i="2"/>
  <c r="U2323" i="2"/>
  <c r="R3390" i="2"/>
  <c r="M2918" i="2"/>
  <c r="O3365" i="2"/>
  <c r="W2193" i="2"/>
  <c r="C1494" i="2"/>
  <c r="U2304" i="2"/>
  <c r="O2929" i="2"/>
  <c r="S3014" i="2"/>
  <c r="C3205" i="2"/>
  <c r="O2711" i="2"/>
  <c r="C1706" i="2"/>
  <c r="L2936" i="2"/>
  <c r="P2843" i="2"/>
  <c r="U2597" i="2"/>
  <c r="Q3024" i="2"/>
  <c r="J1175" i="2"/>
  <c r="O2076" i="2"/>
  <c r="N3469" i="2"/>
  <c r="S2735" i="2"/>
  <c r="V3292" i="2"/>
  <c r="F2888" i="2"/>
  <c r="G2827" i="2"/>
  <c r="V3499" i="2"/>
  <c r="W3355" i="2"/>
  <c r="E2247" i="2"/>
  <c r="E817" i="2"/>
  <c r="C2986" i="2"/>
  <c r="M3298" i="2"/>
  <c r="Q3276" i="2"/>
  <c r="I3249" i="2"/>
  <c r="M3114" i="2"/>
  <c r="K2597" i="2"/>
  <c r="U3449" i="2"/>
  <c r="E3399" i="2"/>
  <c r="S3149" i="2"/>
  <c r="G1581" i="2"/>
  <c r="O1527" i="2"/>
  <c r="O2271" i="2"/>
  <c r="N3091" i="2"/>
  <c r="O3112" i="2"/>
  <c r="H2724" i="2"/>
  <c r="D3284" i="2"/>
  <c r="H2215" i="2"/>
  <c r="E2896" i="2"/>
  <c r="C3100" i="2"/>
  <c r="S3402" i="2"/>
  <c r="D2967" i="2"/>
  <c r="I3371" i="2"/>
  <c r="O2741" i="2"/>
  <c r="V2853" i="2"/>
  <c r="G2440" i="2"/>
  <c r="O3123" i="2"/>
  <c r="W2140" i="2"/>
  <c r="F3269" i="2"/>
  <c r="T1599" i="2"/>
  <c r="J3155" i="2"/>
  <c r="J3088" i="2"/>
  <c r="J2739" i="2"/>
  <c r="S1908" i="2"/>
  <c r="D2407" i="2"/>
  <c r="V1527" i="2"/>
  <c r="M3235" i="2"/>
  <c r="F2925" i="2"/>
  <c r="P2820" i="2"/>
  <c r="J2093" i="2"/>
  <c r="F1981" i="2"/>
  <c r="O2222" i="2"/>
  <c r="P2150" i="2"/>
  <c r="E2928" i="2"/>
  <c r="Q2792" i="2"/>
  <c r="C1762" i="2"/>
  <c r="G2854" i="2"/>
  <c r="E2058" i="2"/>
  <c r="R3024" i="2"/>
  <c r="S1994" i="2"/>
  <c r="G3512" i="2"/>
  <c r="T2488" i="2"/>
  <c r="M2342" i="2"/>
  <c r="N3010" i="2"/>
  <c r="N2290" i="2"/>
  <c r="M2707" i="2"/>
  <c r="P2493" i="2"/>
  <c r="E2633" i="2"/>
  <c r="T1833" i="2"/>
  <c r="J2347" i="2"/>
  <c r="K3066" i="2"/>
  <c r="U3397" i="2"/>
  <c r="O2692" i="2"/>
  <c r="S3498" i="2"/>
  <c r="R2654" i="2"/>
  <c r="F2397" i="2"/>
  <c r="M1850" i="2"/>
  <c r="S2862" i="2"/>
  <c r="R2205" i="2"/>
  <c r="N3295" i="2"/>
  <c r="C3411" i="2"/>
  <c r="M2749" i="2"/>
  <c r="D3181" i="2"/>
  <c r="F3285" i="2"/>
  <c r="Q3201" i="2"/>
  <c r="P2835" i="2"/>
  <c r="J3292" i="2"/>
  <c r="G1635" i="2"/>
  <c r="P3304" i="2"/>
  <c r="K3058" i="2"/>
  <c r="U3083" i="2"/>
  <c r="L2456" i="2"/>
  <c r="Q3174" i="2"/>
  <c r="C2565" i="2"/>
  <c r="J3385" i="2"/>
  <c r="P3377" i="2"/>
  <c r="Q3200" i="2"/>
  <c r="C2927" i="2"/>
  <c r="M2999" i="2"/>
  <c r="P2617" i="2"/>
  <c r="K2706" i="2"/>
  <c r="N1259" i="2"/>
  <c r="H3177" i="2"/>
  <c r="U3478" i="2"/>
  <c r="K2084" i="2"/>
  <c r="S3518" i="2"/>
  <c r="L2600" i="2"/>
  <c r="R2834" i="2"/>
  <c r="K1894" i="2"/>
  <c r="J1582" i="2"/>
  <c r="K3615" i="2"/>
  <c r="U3039" i="2"/>
  <c r="P3451" i="2"/>
  <c r="Q2822" i="2"/>
  <c r="T2994" i="2"/>
  <c r="G1889" i="2"/>
  <c r="F3361" i="2"/>
  <c r="R3284" i="2"/>
  <c r="W2830" i="2"/>
  <c r="F2513" i="2"/>
  <c r="L2526" i="2"/>
  <c r="K2685" i="2"/>
  <c r="P2527" i="2"/>
  <c r="R3326" i="2"/>
  <c r="P3303" i="2"/>
  <c r="H2730" i="2"/>
  <c r="F1523" i="2"/>
  <c r="G3184" i="2"/>
  <c r="T2323" i="2"/>
  <c r="O1533" i="2"/>
  <c r="E1846" i="2"/>
  <c r="V2438" i="2"/>
  <c r="W2424" i="2"/>
  <c r="V3142" i="2"/>
  <c r="F3308" i="2"/>
  <c r="H3297" i="2"/>
  <c r="W3312" i="2"/>
  <c r="L2332" i="2"/>
  <c r="T3140" i="2"/>
  <c r="K3465" i="2"/>
  <c r="P3110" i="2"/>
  <c r="S3136" i="2"/>
  <c r="D2281" i="2"/>
  <c r="N1821" i="2"/>
  <c r="T3280" i="2"/>
  <c r="W1670" i="2"/>
  <c r="E3328" i="2"/>
  <c r="W3024" i="2"/>
  <c r="R3440" i="2"/>
  <c r="D3467" i="2"/>
  <c r="R3181" i="2"/>
  <c r="J2461" i="2"/>
  <c r="I1452" i="2"/>
  <c r="L3158" i="2"/>
  <c r="V2534" i="2"/>
  <c r="F1847" i="2"/>
  <c r="F3034" i="2"/>
  <c r="M2751" i="2"/>
  <c r="F3255" i="2"/>
  <c r="I2191" i="2"/>
  <c r="H3273" i="2"/>
  <c r="N1304" i="2"/>
  <c r="N2377" i="2"/>
  <c r="U3038" i="2"/>
  <c r="W3412" i="2"/>
  <c r="S1838" i="2"/>
  <c r="O3159" i="2"/>
  <c r="F3207" i="2"/>
  <c r="N3583" i="2"/>
  <c r="P3224" i="2"/>
  <c r="D3242" i="2"/>
  <c r="Q2537" i="2"/>
  <c r="V2814" i="2"/>
  <c r="I3283" i="2"/>
  <c r="Q2306" i="2"/>
  <c r="P3531" i="2"/>
  <c r="M3443" i="2"/>
  <c r="E2757" i="2"/>
  <c r="I2517" i="2"/>
  <c r="Q3624" i="2"/>
  <c r="W1801" i="2"/>
  <c r="M1979" i="2"/>
  <c r="P2844" i="2"/>
  <c r="T2197" i="2"/>
  <c r="J2057" i="2"/>
  <c r="D2550" i="2"/>
  <c r="L1975" i="2"/>
  <c r="W2872" i="2"/>
  <c r="M2627" i="2"/>
  <c r="K3101" i="2"/>
  <c r="L3174" i="2"/>
  <c r="E3284" i="2"/>
  <c r="I2829" i="2"/>
  <c r="G1760" i="2"/>
  <c r="K1887" i="2"/>
  <c r="S1946" i="2"/>
  <c r="Q2968" i="2"/>
  <c r="V1985" i="2"/>
  <c r="R3309" i="2"/>
  <c r="J2943" i="2"/>
  <c r="N2704" i="2"/>
  <c r="E2498" i="2"/>
  <c r="S1211" i="2"/>
  <c r="E3357" i="2"/>
  <c r="G2784" i="2"/>
  <c r="L855" i="2"/>
  <c r="K3366" i="2"/>
  <c r="V3207" i="2"/>
  <c r="G2465" i="2"/>
  <c r="S1833" i="2"/>
  <c r="T1323" i="2"/>
  <c r="Q3008" i="2"/>
  <c r="E1089" i="2"/>
  <c r="D2774" i="2"/>
  <c r="W2834" i="2"/>
  <c r="D3541" i="2"/>
  <c r="I2707" i="2"/>
  <c r="H1127" i="2"/>
  <c r="F2319" i="2"/>
  <c r="O3409" i="2"/>
  <c r="N1798" i="2"/>
  <c r="E1452" i="2"/>
  <c r="G2713" i="2"/>
  <c r="H2740" i="2"/>
  <c r="G2096" i="2"/>
  <c r="N2762" i="2"/>
  <c r="N2318" i="2"/>
  <c r="F2041" i="2"/>
  <c r="W2375" i="2"/>
  <c r="N2723" i="2"/>
  <c r="E1915" i="2"/>
  <c r="J2807" i="2"/>
  <c r="Q3205" i="2"/>
  <c r="W3117" i="2"/>
  <c r="F2972" i="2"/>
  <c r="W3449" i="2"/>
  <c r="M2005" i="2"/>
  <c r="P3492" i="2"/>
  <c r="H3015" i="2"/>
  <c r="G2294" i="2"/>
  <c r="S3268" i="2"/>
  <c r="P2861" i="2"/>
  <c r="V3161" i="2"/>
  <c r="V3287" i="2"/>
  <c r="M2325" i="2"/>
  <c r="E2504" i="2"/>
  <c r="W3130" i="2"/>
  <c r="C3410" i="2"/>
  <c r="U2704" i="2"/>
  <c r="S3348" i="2"/>
  <c r="G1425" i="2"/>
  <c r="N2868" i="2"/>
  <c r="F2216" i="2"/>
  <c r="V3044" i="2"/>
  <c r="N3070" i="2"/>
  <c r="W1798" i="2"/>
  <c r="S2321" i="2"/>
  <c r="T2689" i="2"/>
  <c r="I2521" i="2"/>
  <c r="G3142" i="2"/>
  <c r="T853" i="2"/>
  <c r="Q3004" i="2"/>
  <c r="K3137" i="2"/>
  <c r="I3103" i="2"/>
  <c r="T2210" i="2"/>
  <c r="I2114" i="2"/>
  <c r="O543" i="2"/>
  <c r="V3212" i="2"/>
  <c r="F2803" i="2"/>
  <c r="C2899" i="2"/>
  <c r="J3239" i="2"/>
  <c r="R3413" i="2"/>
  <c r="I2255" i="2"/>
  <c r="G1541" i="2"/>
  <c r="N2821" i="2"/>
  <c r="N3485" i="2"/>
  <c r="G2317" i="2"/>
  <c r="P2560" i="2"/>
  <c r="D2853" i="2"/>
  <c r="P2812" i="2"/>
  <c r="H3600" i="2"/>
  <c r="S2577" i="2"/>
  <c r="E3517" i="2"/>
  <c r="M2008" i="2"/>
  <c r="R3474" i="2"/>
  <c r="G3261" i="2"/>
  <c r="Q2771" i="2"/>
  <c r="Q1483" i="2"/>
  <c r="V2500" i="2"/>
  <c r="J2228" i="2"/>
  <c r="P2668" i="2"/>
  <c r="U2675" i="2"/>
  <c r="I3023" i="2"/>
  <c r="G3445" i="2"/>
  <c r="V3289" i="2"/>
  <c r="O3229" i="2"/>
  <c r="R2152" i="2"/>
  <c r="G3432" i="2"/>
  <c r="I1878" i="2"/>
  <c r="F2643" i="2"/>
  <c r="U2400" i="2"/>
  <c r="W1593" i="2"/>
  <c r="J2423" i="2"/>
  <c r="D2562" i="2"/>
  <c r="W2907" i="2"/>
  <c r="E3311" i="2"/>
  <c r="C1822" i="2"/>
  <c r="T2806" i="2"/>
  <c r="S3090" i="2"/>
  <c r="K1896" i="2"/>
  <c r="E3147" i="2"/>
  <c r="K2893" i="2"/>
  <c r="R3317" i="2"/>
  <c r="O2781" i="2"/>
  <c r="I3121" i="2"/>
  <c r="J2918" i="2"/>
  <c r="C1811" i="2"/>
  <c r="O3195" i="2"/>
  <c r="L2972" i="2"/>
  <c r="J2466" i="2"/>
  <c r="I2624" i="2"/>
  <c r="P2123" i="2"/>
  <c r="M3397" i="2"/>
  <c r="I3181" i="2"/>
  <c r="C3578" i="2"/>
  <c r="U3024" i="2"/>
  <c r="L3247" i="2"/>
  <c r="G2583" i="2"/>
  <c r="R2340" i="2"/>
  <c r="L2731" i="2"/>
  <c r="N477" i="2"/>
  <c r="R1908" i="2"/>
  <c r="T3215" i="2"/>
  <c r="J1055" i="2"/>
  <c r="H2947" i="2"/>
  <c r="W2338" i="2"/>
  <c r="D2667" i="2"/>
  <c r="L3354" i="2"/>
  <c r="P2461" i="2"/>
  <c r="O2645" i="2"/>
  <c r="H2411" i="2"/>
  <c r="F3049" i="2"/>
  <c r="W2395" i="2"/>
  <c r="L2877" i="2"/>
  <c r="D2507" i="2"/>
  <c r="V2678" i="2"/>
  <c r="P944" i="2"/>
  <c r="W3285" i="2"/>
  <c r="R3314" i="2"/>
  <c r="G1156" i="2"/>
  <c r="W3191" i="2"/>
  <c r="L1504" i="2"/>
  <c r="G2235" i="2"/>
  <c r="O2660" i="2"/>
  <c r="T2335" i="2"/>
  <c r="S3139" i="2"/>
  <c r="V3436" i="2"/>
  <c r="H2809" i="2"/>
  <c r="R3036" i="2"/>
  <c r="P1092" i="2"/>
  <c r="T2673" i="2"/>
  <c r="P2981" i="2"/>
  <c r="W2727" i="2"/>
  <c r="I2779" i="2"/>
  <c r="T3004" i="2"/>
  <c r="S1986" i="2"/>
  <c r="O1798" i="2"/>
  <c r="L2001" i="2"/>
  <c r="J1561" i="2"/>
  <c r="D3439" i="2"/>
  <c r="M2849" i="2"/>
  <c r="D3160" i="2"/>
  <c r="E3148" i="2"/>
  <c r="E613" i="2"/>
  <c r="T2256" i="2"/>
  <c r="P2457" i="2"/>
  <c r="R2595" i="2"/>
  <c r="G2358" i="2"/>
  <c r="O3069" i="2"/>
  <c r="J2749" i="2"/>
  <c r="S1853" i="2"/>
  <c r="J2247" i="2"/>
  <c r="J2907" i="2"/>
  <c r="W3383" i="2"/>
  <c r="P2304" i="2"/>
  <c r="M2517" i="2"/>
  <c r="O3450" i="2"/>
  <c r="M3327" i="2"/>
  <c r="S2852" i="2"/>
  <c r="D2541" i="2"/>
  <c r="E2400" i="2"/>
  <c r="K2441" i="2"/>
  <c r="D2956" i="2"/>
  <c r="D2352" i="2"/>
  <c r="Q2136" i="2"/>
  <c r="U2328" i="2"/>
  <c r="E176" i="2"/>
  <c r="S2686" i="2"/>
  <c r="R3316" i="2"/>
  <c r="C3333" i="2"/>
  <c r="U3355" i="2"/>
  <c r="H2776" i="2"/>
  <c r="W3081" i="2"/>
  <c r="E3041" i="2"/>
  <c r="J2411" i="2"/>
  <c r="V2709" i="2"/>
  <c r="R2683" i="2"/>
  <c r="E2611" i="2"/>
  <c r="J2589" i="2"/>
  <c r="J3548" i="2"/>
  <c r="W2253" i="2"/>
  <c r="H1445" i="2"/>
  <c r="J1520" i="2"/>
  <c r="U3086" i="2"/>
  <c r="G1860" i="2"/>
  <c r="T3206" i="2"/>
  <c r="J504" i="2"/>
  <c r="K2544" i="2"/>
  <c r="S2433" i="2"/>
  <c r="Q1838" i="2"/>
  <c r="D2834" i="2"/>
  <c r="P2970" i="2"/>
  <c r="K2922" i="2"/>
  <c r="T3211" i="2"/>
  <c r="Q2925" i="2"/>
  <c r="D3428" i="2"/>
  <c r="W2828" i="2"/>
  <c r="H1238" i="2"/>
  <c r="H2881" i="2"/>
  <c r="M3219" i="2"/>
  <c r="M3474" i="2"/>
  <c r="T3176" i="2"/>
  <c r="W1871" i="2"/>
  <c r="H3198" i="2"/>
  <c r="L3063" i="2"/>
  <c r="V2338" i="2"/>
  <c r="L390" i="2"/>
  <c r="G2783" i="2"/>
  <c r="U3040" i="2"/>
  <c r="I2626" i="2"/>
  <c r="P3227" i="2"/>
  <c r="O2975" i="2"/>
  <c r="P1794" i="2"/>
  <c r="G853" i="2"/>
  <c r="I3295" i="2"/>
  <c r="Q878" i="2"/>
  <c r="C3137" i="2"/>
  <c r="O3012" i="2"/>
  <c r="V3020" i="2"/>
  <c r="D2898" i="2"/>
  <c r="S3484" i="2"/>
  <c r="C3058" i="2"/>
  <c r="Q2002" i="2"/>
  <c r="Q2281" i="2"/>
  <c r="N2819" i="2"/>
  <c r="W2015" i="2"/>
  <c r="Q3254" i="2"/>
  <c r="Q2212" i="2"/>
  <c r="F3173" i="2"/>
  <c r="W2820" i="2"/>
  <c r="R713" i="2"/>
  <c r="J2289" i="2"/>
  <c r="L1632" i="2"/>
  <c r="R2642" i="2"/>
  <c r="H1209" i="2"/>
  <c r="V2022" i="2"/>
  <c r="U2220" i="2"/>
  <c r="L2527" i="2"/>
  <c r="N882" i="2"/>
  <c r="G1871" i="2"/>
  <c r="K1897" i="2"/>
  <c r="P1704" i="2"/>
  <c r="T2674" i="2"/>
  <c r="N2521" i="2"/>
  <c r="O2755" i="2"/>
  <c r="V3183" i="2"/>
  <c r="U3004" i="2"/>
  <c r="V2898" i="2"/>
  <c r="W375" i="2"/>
  <c r="K3002" i="2"/>
  <c r="J1688" i="2"/>
  <c r="F2935" i="2"/>
  <c r="R3351" i="2"/>
  <c r="U2275" i="2"/>
  <c r="P1951" i="2"/>
  <c r="Q1659" i="2"/>
  <c r="R1641" i="2"/>
  <c r="P1586" i="2"/>
  <c r="F2268" i="2"/>
  <c r="T3201" i="2"/>
  <c r="T2309" i="2"/>
  <c r="U1152" i="2"/>
  <c r="E3212" i="2"/>
  <c r="S2557" i="2"/>
  <c r="J2183" i="2"/>
  <c r="E2536" i="2"/>
  <c r="P2360" i="2"/>
  <c r="S3073" i="2"/>
  <c r="I2056" i="2"/>
  <c r="F1812" i="2"/>
  <c r="I1342" i="2"/>
  <c r="G3280" i="2"/>
  <c r="L2575" i="2"/>
  <c r="I2717" i="2"/>
  <c r="R2535" i="2"/>
  <c r="H1250" i="2"/>
  <c r="O2481" i="2"/>
  <c r="F3425" i="2"/>
  <c r="W3564" i="2"/>
  <c r="E3142" i="2"/>
  <c r="T3136" i="2"/>
  <c r="S1949" i="2"/>
  <c r="C1905" i="2"/>
  <c r="H3084" i="2"/>
  <c r="L2088" i="2"/>
  <c r="Q1692" i="2"/>
  <c r="G2934" i="2"/>
  <c r="R2858" i="2"/>
  <c r="O3249" i="2"/>
  <c r="U3425" i="2"/>
  <c r="M2301" i="2"/>
  <c r="N2935" i="2"/>
  <c r="U1901" i="2"/>
  <c r="C1571" i="2"/>
  <c r="S2671" i="2"/>
  <c r="L2562" i="2"/>
  <c r="U2992" i="2"/>
  <c r="H3305" i="2"/>
  <c r="H2485" i="2"/>
  <c r="C2812" i="2"/>
  <c r="K2088" i="2"/>
  <c r="I1973" i="2"/>
  <c r="U2834" i="2"/>
  <c r="H2526" i="2"/>
  <c r="J2633" i="2"/>
  <c r="P2363" i="2"/>
  <c r="V2912" i="2"/>
  <c r="T2373" i="2"/>
  <c r="M2948" i="2"/>
  <c r="V983" i="2"/>
  <c r="V2566" i="2"/>
  <c r="I478" i="2"/>
  <c r="O1819" i="2"/>
  <c r="C2829" i="2"/>
  <c r="P1144" i="2"/>
  <c r="E3113" i="2"/>
  <c r="C1667" i="2"/>
  <c r="I2778" i="2"/>
  <c r="F2472" i="2"/>
  <c r="D2994" i="2"/>
  <c r="C3398" i="2"/>
  <c r="V2535" i="2"/>
  <c r="L3082" i="2"/>
  <c r="N2828" i="2"/>
  <c r="Q2206" i="2"/>
  <c r="E2390" i="2"/>
  <c r="K2313" i="2"/>
  <c r="G3270" i="2"/>
  <c r="N2355" i="2"/>
  <c r="H2055" i="2"/>
  <c r="W2258" i="2"/>
  <c r="K2950" i="2"/>
  <c r="F2880" i="2"/>
  <c r="J1821" i="2"/>
  <c r="T1413" i="2"/>
  <c r="K2928" i="2"/>
  <c r="K2227" i="2"/>
  <c r="E3078" i="2"/>
  <c r="K2932" i="2"/>
  <c r="E1603" i="2"/>
  <c r="C2855" i="2"/>
  <c r="G3306" i="2"/>
  <c r="R2603" i="2"/>
  <c r="K769" i="2"/>
  <c r="N2200" i="2"/>
  <c r="M3308" i="2"/>
  <c r="S1392" i="2"/>
  <c r="V3126" i="2"/>
  <c r="E2624" i="2"/>
  <c r="L1461" i="2"/>
  <c r="P2092" i="2"/>
  <c r="R378" i="2"/>
  <c r="I2087" i="2"/>
  <c r="E3166" i="2"/>
  <c r="C1353" i="2"/>
  <c r="I2860" i="2"/>
  <c r="I3146" i="2"/>
  <c r="S932" i="2"/>
  <c r="T2509" i="2"/>
  <c r="O3338" i="2"/>
  <c r="R3145" i="2"/>
  <c r="O3335" i="2"/>
  <c r="G3164" i="2"/>
  <c r="F3157" i="2"/>
  <c r="P3234" i="2"/>
  <c r="L3118" i="2"/>
  <c r="Q3528" i="2"/>
  <c r="E3156" i="2"/>
  <c r="D2706" i="2"/>
  <c r="R3026" i="2"/>
  <c r="T3084" i="2"/>
  <c r="J2206" i="2"/>
  <c r="D3330" i="2"/>
  <c r="D2077" i="2"/>
  <c r="H2802" i="2"/>
  <c r="K2293" i="2"/>
  <c r="O3531" i="2"/>
  <c r="T2589" i="2"/>
  <c r="W2923" i="2"/>
  <c r="H2921" i="2"/>
  <c r="T3083" i="2"/>
  <c r="G3165" i="2"/>
  <c r="C3126" i="2"/>
  <c r="W3377" i="2"/>
  <c r="T3015" i="2"/>
  <c r="D2299" i="2"/>
  <c r="J3423" i="2"/>
  <c r="L493" i="2"/>
  <c r="L1924" i="2"/>
  <c r="R870" i="2"/>
  <c r="I1084" i="2"/>
  <c r="N1792" i="2"/>
  <c r="V2759" i="2"/>
  <c r="M3217" i="2"/>
  <c r="Q2983" i="2"/>
  <c r="K2979" i="2"/>
  <c r="C3280" i="2"/>
  <c r="J3243" i="2"/>
  <c r="D3241" i="2"/>
  <c r="L3336" i="2"/>
  <c r="H2508" i="2"/>
  <c r="V2873" i="2"/>
  <c r="S2599" i="2"/>
  <c r="M3111" i="2"/>
  <c r="I2499" i="2"/>
  <c r="W2446" i="2"/>
  <c r="V1258" i="2"/>
  <c r="C2316" i="2"/>
  <c r="Q1014" i="2"/>
  <c r="H3226" i="2"/>
  <c r="S2623" i="2"/>
  <c r="H1300" i="2"/>
  <c r="F3024" i="2"/>
  <c r="F2604" i="2"/>
  <c r="J2666" i="2"/>
  <c r="P3379" i="2"/>
  <c r="E2620" i="2"/>
  <c r="L2461" i="2"/>
  <c r="Q3183" i="2"/>
  <c r="U2769" i="2"/>
  <c r="M2475" i="2"/>
  <c r="V3217" i="2"/>
  <c r="D3489" i="2"/>
  <c r="L2506" i="2"/>
  <c r="G2971" i="2"/>
  <c r="H495" i="2"/>
  <c r="F2465" i="2"/>
  <c r="R3155" i="2"/>
  <c r="S3039" i="2"/>
  <c r="N3346" i="2"/>
  <c r="N3030" i="2"/>
  <c r="H3213" i="2"/>
  <c r="M1848" i="2"/>
  <c r="J1197" i="2"/>
  <c r="O1605" i="2"/>
  <c r="P3551" i="2"/>
  <c r="N3519" i="2"/>
  <c r="S3249" i="2"/>
  <c r="D2370" i="2"/>
  <c r="R2729" i="2"/>
  <c r="V3078" i="2"/>
  <c r="S2727" i="2"/>
  <c r="K2330" i="2"/>
  <c r="P3109" i="2"/>
  <c r="P1480" i="2"/>
  <c r="G3125" i="2"/>
  <c r="W2466" i="2"/>
  <c r="D1365" i="2"/>
  <c r="D3572" i="2"/>
  <c r="S3140" i="2"/>
  <c r="M2253" i="2"/>
  <c r="S2955" i="2"/>
  <c r="S2780" i="2"/>
  <c r="G3408" i="2"/>
  <c r="E3149" i="2"/>
  <c r="I3182" i="2"/>
  <c r="G1907" i="2"/>
  <c r="H3221" i="2"/>
  <c r="L2647" i="2"/>
  <c r="F2768" i="2"/>
  <c r="O2851" i="2"/>
  <c r="U2822" i="2"/>
  <c r="K2943" i="2"/>
  <c r="C2575" i="2"/>
  <c r="U2960" i="2"/>
  <c r="N2097" i="2"/>
  <c r="S3055" i="2"/>
  <c r="Q1831" i="2"/>
  <c r="O1786" i="2"/>
  <c r="O2703" i="2"/>
  <c r="W2655" i="2"/>
  <c r="K3334" i="2"/>
  <c r="M940" i="2"/>
  <c r="G2802" i="2"/>
  <c r="D2566" i="2"/>
  <c r="D3623" i="2"/>
  <c r="J1820" i="2"/>
  <c r="L2410" i="2"/>
  <c r="G2895" i="2"/>
  <c r="L2940" i="2"/>
  <c r="H3614" i="2"/>
  <c r="J2700" i="2"/>
  <c r="D2888" i="2"/>
  <c r="O2529" i="2"/>
  <c r="V2934" i="2"/>
  <c r="S2583" i="2"/>
  <c r="H1260" i="2"/>
  <c r="P3309" i="2"/>
  <c r="K2407" i="2"/>
  <c r="V2470" i="2"/>
  <c r="D2205" i="2"/>
  <c r="L2317" i="2"/>
  <c r="F2323" i="2"/>
  <c r="O1913" i="2"/>
  <c r="O1564" i="2"/>
  <c r="K3499" i="2"/>
  <c r="P3357" i="2"/>
  <c r="H2588" i="2"/>
  <c r="R2864" i="2"/>
  <c r="G2799" i="2"/>
  <c r="N2444" i="2"/>
  <c r="J3047" i="2"/>
  <c r="W1511" i="2"/>
  <c r="U3335" i="2"/>
  <c r="M876" i="2"/>
  <c r="M2443" i="2"/>
  <c r="H2894" i="2"/>
  <c r="W3446" i="2"/>
  <c r="G2526" i="2"/>
  <c r="F2432" i="2"/>
  <c r="W452" i="2"/>
  <c r="R3266" i="2"/>
  <c r="C3524" i="2"/>
  <c r="O2839" i="2"/>
  <c r="G3422" i="2"/>
  <c r="O3336" i="2"/>
  <c r="M1827" i="2"/>
  <c r="T2761" i="2"/>
  <c r="G3151" i="2"/>
  <c r="T1495" i="2"/>
  <c r="R2172" i="2"/>
  <c r="D3327" i="2"/>
  <c r="W2948" i="2"/>
  <c r="U2756" i="2"/>
  <c r="L2406" i="2"/>
  <c r="K3304" i="2"/>
  <c r="T1898" i="2"/>
  <c r="T3100" i="2"/>
  <c r="F2702" i="2"/>
  <c r="W3165" i="2"/>
  <c r="D2261" i="2"/>
  <c r="N2953" i="2"/>
  <c r="S2987" i="2"/>
  <c r="M2205" i="2"/>
  <c r="W2896" i="2"/>
  <c r="K3337" i="2"/>
  <c r="H3371" i="2"/>
  <c r="S3240" i="2"/>
  <c r="L2237" i="2"/>
  <c r="E2586" i="2"/>
  <c r="K3093" i="2"/>
  <c r="P1561" i="2"/>
  <c r="W2726" i="2"/>
  <c r="N3394" i="2"/>
  <c r="T3496" i="2"/>
  <c r="L2968" i="2"/>
  <c r="N2591" i="2"/>
  <c r="S2641" i="2"/>
  <c r="S632" i="2"/>
  <c r="K2085" i="2"/>
  <c r="L2360" i="2"/>
  <c r="T3484" i="2"/>
  <c r="D3312" i="2"/>
  <c r="G1726" i="2"/>
  <c r="H3210" i="2"/>
  <c r="G3081" i="2"/>
  <c r="M2653" i="2"/>
  <c r="W3052" i="2"/>
  <c r="J2365" i="2"/>
  <c r="E3411" i="2"/>
  <c r="H2637" i="2"/>
  <c r="H3006" i="2"/>
  <c r="V1977" i="2"/>
  <c r="I2186" i="2"/>
  <c r="J3101" i="2"/>
  <c r="P2739" i="2"/>
  <c r="R3046" i="2"/>
  <c r="M2897" i="2"/>
  <c r="E2196" i="2"/>
  <c r="H2665" i="2"/>
  <c r="M2557" i="2"/>
  <c r="S2253" i="2"/>
  <c r="V2974" i="2"/>
  <c r="H3197" i="2"/>
  <c r="H2878" i="2"/>
  <c r="M3247" i="2"/>
  <c r="L3226" i="2"/>
  <c r="W3044" i="2"/>
  <c r="F2490" i="2"/>
  <c r="M3135" i="2"/>
  <c r="S2037" i="2"/>
  <c r="V2460" i="2"/>
  <c r="K3214" i="2"/>
  <c r="G2904" i="2"/>
  <c r="F2444" i="2"/>
  <c r="U3299" i="2"/>
  <c r="C1771" i="2"/>
  <c r="S3391" i="2"/>
  <c r="F1846" i="2"/>
  <c r="I2835" i="2"/>
  <c r="O2613" i="2"/>
  <c r="M2141" i="2"/>
  <c r="E2821" i="2"/>
  <c r="S2979" i="2"/>
  <c r="T3434" i="2"/>
  <c r="G3285" i="2"/>
  <c r="N1717" i="2"/>
  <c r="K2583" i="2"/>
  <c r="M3282" i="2"/>
  <c r="C3105" i="2"/>
  <c r="F3284" i="2"/>
  <c r="D3341" i="2"/>
  <c r="N2829" i="2"/>
  <c r="R3184" i="2"/>
  <c r="N3480" i="2"/>
  <c r="S2886" i="2"/>
  <c r="T2828" i="2"/>
  <c r="Q2348" i="2"/>
  <c r="F2750" i="2"/>
  <c r="F1185" i="2"/>
  <c r="I2704" i="2"/>
  <c r="N2252" i="2"/>
  <c r="V2645" i="2"/>
  <c r="R3277" i="2"/>
  <c r="M2645" i="2"/>
  <c r="U2099" i="2"/>
  <c r="W1471" i="2"/>
  <c r="F3313" i="2"/>
  <c r="W3264" i="2"/>
  <c r="S2838" i="2"/>
  <c r="K2442" i="2"/>
  <c r="M1269" i="2"/>
  <c r="W2734" i="2"/>
  <c r="H2648" i="2"/>
  <c r="J2733" i="2"/>
  <c r="C2930" i="2"/>
  <c r="O2717" i="2"/>
  <c r="G3257" i="2"/>
  <c r="I2577" i="2"/>
  <c r="L1156" i="2"/>
  <c r="N2902" i="2"/>
  <c r="J1448" i="2"/>
  <c r="P3150" i="2"/>
  <c r="W1276" i="2"/>
  <c r="S2787" i="2"/>
  <c r="D2765" i="2"/>
  <c r="K1763" i="2"/>
  <c r="P545" i="2"/>
  <c r="O1332" i="2"/>
  <c r="D2158" i="2"/>
  <c r="Q3435" i="2"/>
  <c r="K2115" i="2"/>
  <c r="E1988" i="2"/>
  <c r="I3319" i="2"/>
  <c r="R2531" i="2"/>
  <c r="S1894" i="2"/>
  <c r="K2279" i="2"/>
  <c r="F2077" i="2"/>
  <c r="R3153" i="2"/>
  <c r="M1431" i="2"/>
  <c r="W2795" i="2"/>
  <c r="K2843" i="2"/>
  <c r="J2661" i="2"/>
  <c r="I1817" i="2"/>
  <c r="R2653" i="2"/>
  <c r="T2692" i="2"/>
  <c r="M2710" i="2"/>
  <c r="I3012" i="2"/>
  <c r="S2647" i="2"/>
  <c r="U3025" i="2"/>
  <c r="D2798" i="2"/>
  <c r="L1324" i="2"/>
  <c r="O2563" i="2"/>
  <c r="W2729" i="2"/>
  <c r="V1642" i="2"/>
  <c r="M2059" i="2"/>
  <c r="J640" i="2"/>
  <c r="O3097" i="2"/>
  <c r="D2896" i="2"/>
  <c r="K2265" i="2"/>
  <c r="S3335" i="2"/>
  <c r="N3205" i="2"/>
  <c r="M3173" i="2"/>
  <c r="D2780" i="2"/>
  <c r="T3319" i="2"/>
  <c r="F2824" i="2"/>
  <c r="K1515" i="2"/>
  <c r="C3078" i="2"/>
  <c r="C3379" i="2"/>
  <c r="I2745" i="2"/>
  <c r="K1963" i="2"/>
  <c r="Q3306" i="2"/>
  <c r="O2328" i="2"/>
  <c r="D3001" i="2"/>
  <c r="J2220" i="2"/>
  <c r="G182" i="2"/>
  <c r="N3064" i="2"/>
  <c r="K2883" i="2"/>
  <c r="L1710" i="2"/>
  <c r="K2533" i="2"/>
  <c r="N3434" i="2"/>
  <c r="V2413" i="2"/>
  <c r="N2673" i="2"/>
  <c r="S2942" i="2"/>
  <c r="D3434" i="2"/>
  <c r="I2965" i="2"/>
  <c r="O3051" i="2"/>
  <c r="Q2165" i="2"/>
  <c r="C2108" i="2"/>
  <c r="U1313" i="2"/>
  <c r="U2706" i="2"/>
  <c r="M2457" i="2"/>
  <c r="U1544" i="2"/>
  <c r="H1062" i="2"/>
  <c r="V1524" i="2"/>
  <c r="H3410" i="2"/>
  <c r="G3371" i="2"/>
  <c r="C3149" i="2"/>
  <c r="M3001" i="2"/>
  <c r="T2677" i="2"/>
  <c r="O3359" i="2"/>
  <c r="D3144" i="2"/>
  <c r="D3394" i="2"/>
  <c r="W2477" i="2"/>
  <c r="T1243" i="2"/>
  <c r="N2836" i="2"/>
  <c r="E961" i="2"/>
  <c r="C3096" i="2"/>
  <c r="J1304" i="2"/>
  <c r="H2636" i="2"/>
  <c r="G2822" i="2"/>
  <c r="S2754" i="2"/>
  <c r="Q1421" i="2"/>
  <c r="V2890" i="2"/>
  <c r="V2918" i="2"/>
  <c r="K2644" i="2"/>
  <c r="E3422" i="2"/>
  <c r="N2181" i="2"/>
  <c r="S2083" i="2"/>
  <c r="T3501" i="2"/>
  <c r="Q2919" i="2"/>
  <c r="D3419" i="2"/>
  <c r="L3143" i="2"/>
  <c r="U3205" i="2"/>
  <c r="D2405" i="2"/>
  <c r="U2897" i="2"/>
  <c r="C427" i="2"/>
  <c r="F1682" i="2"/>
  <c r="N3153" i="2"/>
  <c r="I2759" i="2"/>
  <c r="Q2651" i="2"/>
  <c r="W2559" i="2"/>
  <c r="D3449" i="2"/>
  <c r="N2024" i="2"/>
  <c r="M3191" i="2"/>
  <c r="T1915" i="2"/>
  <c r="I2856" i="2"/>
  <c r="T2622" i="2"/>
  <c r="E3157" i="2"/>
  <c r="L2665" i="2"/>
  <c r="J3446" i="2"/>
  <c r="M2919" i="2"/>
  <c r="G1446" i="2"/>
  <c r="T3074" i="2"/>
  <c r="M3210" i="2"/>
  <c r="L2891" i="2"/>
  <c r="O3331" i="2"/>
  <c r="C2493" i="2"/>
  <c r="S3325" i="2"/>
  <c r="M3042" i="2"/>
  <c r="I2113" i="2"/>
  <c r="F3053" i="2"/>
  <c r="P3472" i="2"/>
  <c r="S2968" i="2"/>
  <c r="Q2856" i="2"/>
  <c r="J3337" i="2"/>
  <c r="L2941" i="2"/>
  <c r="W2320" i="2"/>
  <c r="O2253" i="2"/>
  <c r="O2347" i="2"/>
  <c r="H2575" i="2"/>
  <c r="J3276" i="2"/>
  <c r="I2241" i="2"/>
  <c r="H2470" i="2"/>
  <c r="I3048" i="2"/>
  <c r="H2273" i="2"/>
  <c r="S1820" i="2"/>
  <c r="K3118" i="2"/>
  <c r="W2527" i="2"/>
  <c r="H3225" i="2"/>
  <c r="M3045" i="2"/>
  <c r="P1998" i="2"/>
  <c r="K2464" i="2"/>
  <c r="U2629" i="2"/>
  <c r="R3265" i="2"/>
  <c r="J2766" i="2"/>
  <c r="L2605" i="2"/>
  <c r="W2976" i="2"/>
  <c r="E3247" i="2"/>
  <c r="P3194" i="2"/>
  <c r="E1720" i="2"/>
  <c r="M1513" i="2"/>
  <c r="M2470" i="2"/>
  <c r="S3162" i="2"/>
  <c r="J2960" i="2"/>
  <c r="S2809" i="2"/>
  <c r="V2262" i="2"/>
  <c r="C3579" i="2"/>
  <c r="S2226" i="2"/>
  <c r="J3330" i="2"/>
  <c r="F3451" i="2"/>
  <c r="V2392" i="2"/>
  <c r="Q3145" i="2"/>
  <c r="T2928" i="2"/>
  <c r="L3299" i="2"/>
  <c r="P3327" i="2"/>
  <c r="D2854" i="2"/>
  <c r="V2698" i="2"/>
  <c r="W3445" i="2"/>
  <c r="R3382" i="2"/>
  <c r="V2424" i="2"/>
  <c r="E2195" i="2"/>
  <c r="R2271" i="2"/>
  <c r="C3026" i="2"/>
  <c r="D2584" i="2"/>
  <c r="R2984" i="2"/>
  <c r="N1234" i="2"/>
  <c r="N2907" i="2"/>
  <c r="W2427" i="2"/>
  <c r="I2869" i="2"/>
  <c r="G3060" i="2"/>
  <c r="D3121" i="2"/>
  <c r="M2996" i="2"/>
  <c r="H1633" i="2"/>
  <c r="S2595" i="2"/>
  <c r="C2110" i="2"/>
  <c r="H2418" i="2"/>
  <c r="W1728" i="2"/>
  <c r="J2622" i="2"/>
  <c r="J3313" i="2"/>
  <c r="O2186" i="2"/>
  <c r="N2952" i="2"/>
  <c r="G3085" i="2"/>
  <c r="U2373" i="2"/>
  <c r="U3399" i="2"/>
  <c r="F3321" i="2"/>
  <c r="V3229" i="2"/>
  <c r="M2018" i="2"/>
  <c r="V2825" i="2"/>
  <c r="N1404" i="2"/>
  <c r="W2803" i="2"/>
  <c r="H3237" i="2"/>
  <c r="P3146" i="2"/>
  <c r="E2805" i="2"/>
  <c r="O2091" i="2"/>
  <c r="I2289" i="2"/>
  <c r="N2692" i="2"/>
  <c r="P2157" i="2"/>
  <c r="U3366" i="2"/>
  <c r="D1969" i="2"/>
  <c r="F2330" i="2"/>
  <c r="H1051" i="2"/>
  <c r="E3239" i="2"/>
  <c r="E2303" i="2"/>
  <c r="T3095" i="2"/>
  <c r="R1921" i="2"/>
  <c r="E3431" i="2"/>
  <c r="R1440" i="2"/>
  <c r="C2189" i="2"/>
  <c r="R3192" i="2"/>
  <c r="P2443" i="2"/>
  <c r="D2008" i="2"/>
  <c r="C2096" i="2"/>
  <c r="G3072" i="2"/>
  <c r="I1503" i="2"/>
  <c r="S3601" i="2"/>
  <c r="R3111" i="2"/>
  <c r="I3111" i="2"/>
  <c r="K3200" i="2"/>
  <c r="O2376" i="2"/>
  <c r="P2197" i="2"/>
  <c r="S2353" i="2"/>
  <c r="D2048" i="2"/>
  <c r="W2540" i="2"/>
  <c r="J3207" i="2"/>
  <c r="U3158" i="2"/>
  <c r="E2983" i="2"/>
  <c r="M3091" i="2"/>
  <c r="C1654" i="2"/>
  <c r="M3178" i="2"/>
  <c r="J1205" i="2"/>
  <c r="W3234" i="2"/>
  <c r="J3288" i="2"/>
  <c r="Q1450" i="2"/>
  <c r="H2789" i="2"/>
  <c r="D797" i="2"/>
  <c r="O3126" i="2"/>
  <c r="P2228" i="2"/>
  <c r="N2753" i="2"/>
  <c r="N2371" i="2"/>
  <c r="H1299" i="2"/>
  <c r="K1104" i="2"/>
  <c r="Q3014" i="2"/>
  <c r="O2528" i="2"/>
  <c r="R2599" i="2"/>
  <c r="T2428" i="2"/>
  <c r="R3010" i="2"/>
  <c r="P2329" i="2"/>
  <c r="G2429" i="2"/>
  <c r="U3340" i="2"/>
  <c r="Q2793" i="2"/>
  <c r="O1052" i="2"/>
  <c r="N2502" i="2"/>
  <c r="Q2361" i="2"/>
  <c r="J2009" i="2"/>
  <c r="J3557" i="2"/>
  <c r="T2395" i="2"/>
  <c r="V2223" i="2"/>
  <c r="O2547" i="2"/>
  <c r="J3384" i="2"/>
  <c r="F2315" i="2"/>
  <c r="V3205" i="2"/>
  <c r="N2540" i="2"/>
  <c r="V2616" i="2"/>
  <c r="N3370" i="2"/>
  <c r="F1402" i="2"/>
  <c r="K2164" i="2"/>
  <c r="K3421" i="2"/>
  <c r="N3022" i="2"/>
  <c r="H2331" i="2"/>
  <c r="P2666" i="2"/>
  <c r="R2756" i="2"/>
  <c r="E2288" i="2"/>
  <c r="K2119" i="2"/>
  <c r="U2811" i="2"/>
  <c r="T2887" i="2"/>
  <c r="W3395" i="2"/>
  <c r="F2655" i="2"/>
  <c r="R3273" i="2"/>
  <c r="U3031" i="2"/>
  <c r="W2736" i="2"/>
  <c r="M1009" i="2"/>
  <c r="W2298" i="2"/>
  <c r="H1934" i="2"/>
  <c r="H3376" i="2"/>
  <c r="Q2929" i="2"/>
  <c r="N2464" i="2"/>
  <c r="J2939" i="2"/>
  <c r="H586" i="2"/>
  <c r="E2772" i="2"/>
  <c r="J3378" i="2"/>
  <c r="M2818" i="2"/>
  <c r="S3300" i="2"/>
  <c r="R1313" i="2"/>
  <c r="R3347" i="2"/>
  <c r="R2424" i="2"/>
  <c r="I3285" i="2"/>
  <c r="T2731" i="2"/>
  <c r="W2839" i="2"/>
  <c r="S2643" i="2"/>
  <c r="I2420" i="2"/>
  <c r="O1070" i="2"/>
  <c r="K3403" i="2"/>
  <c r="U2875" i="2"/>
  <c r="O2407" i="2"/>
  <c r="H2649" i="2"/>
  <c r="M3237" i="2"/>
  <c r="U2171" i="2"/>
  <c r="U2404" i="2"/>
  <c r="O3290" i="2"/>
  <c r="C1910" i="2"/>
  <c r="K3254" i="2"/>
  <c r="W2880" i="2"/>
  <c r="P1659" i="2"/>
  <c r="K2897" i="2"/>
  <c r="C3269" i="2"/>
  <c r="V1730" i="2"/>
  <c r="I2338" i="2"/>
  <c r="S3407" i="2"/>
  <c r="E3072" i="2"/>
  <c r="M2469" i="2"/>
  <c r="I1734" i="2"/>
  <c r="K2428" i="2"/>
  <c r="I3462" i="2"/>
  <c r="V2607" i="2"/>
  <c r="I3278" i="2"/>
  <c r="I2743" i="2"/>
  <c r="D2213" i="2"/>
  <c r="W2885" i="2"/>
  <c r="L3163" i="2"/>
  <c r="F3260" i="2"/>
  <c r="C412" i="2"/>
  <c r="L3331" i="2"/>
  <c r="V1589" i="2"/>
  <c r="V2831" i="2"/>
  <c r="V2842" i="2"/>
  <c r="M2783" i="2"/>
  <c r="U2955" i="2"/>
  <c r="J3141" i="2"/>
  <c r="L2882" i="2"/>
  <c r="R2528" i="2"/>
  <c r="C2989" i="2"/>
  <c r="O2678" i="2"/>
  <c r="J2642" i="2"/>
  <c r="S825" i="2"/>
  <c r="S2446" i="2"/>
  <c r="N2007" i="2"/>
  <c r="P2799" i="2"/>
  <c r="E561" i="2"/>
  <c r="T3266" i="2"/>
  <c r="K2457" i="2"/>
  <c r="M3245" i="2"/>
  <c r="P3376" i="2"/>
  <c r="H3466" i="2"/>
  <c r="F1465" i="2"/>
  <c r="K3480" i="2"/>
  <c r="U2789" i="2"/>
  <c r="I2775" i="2"/>
  <c r="S1988" i="2"/>
  <c r="V2767" i="2"/>
  <c r="M681" i="2"/>
  <c r="R2131" i="2"/>
  <c r="E1486" i="2"/>
  <c r="H1987" i="2"/>
  <c r="R2562" i="2"/>
  <c r="W2887" i="2"/>
  <c r="U817" i="2"/>
  <c r="S2627" i="2"/>
  <c r="W1414" i="2"/>
  <c r="L2768" i="2"/>
  <c r="Q1486" i="2"/>
  <c r="M1262" i="2"/>
  <c r="T3316" i="2"/>
  <c r="W2723" i="2"/>
  <c r="I2741" i="2"/>
  <c r="G1600" i="2"/>
  <c r="S1927" i="2"/>
  <c r="I2344" i="2"/>
  <c r="T1282" i="2"/>
  <c r="G2973" i="2"/>
  <c r="U1729" i="2"/>
  <c r="L3155" i="2"/>
  <c r="D3085" i="2"/>
  <c r="N1870" i="2"/>
  <c r="O2937" i="2"/>
  <c r="H2995" i="2"/>
  <c r="V2251" i="2"/>
  <c r="C2268" i="2"/>
  <c r="G2330" i="2"/>
  <c r="I2457" i="2"/>
  <c r="Q2859" i="2"/>
  <c r="F2537" i="2"/>
  <c r="E2963" i="2"/>
  <c r="D1549" i="2"/>
  <c r="K1383" i="2"/>
  <c r="T2602" i="2"/>
  <c r="F2976" i="2"/>
  <c r="K3209" i="2"/>
  <c r="M1207" i="2"/>
  <c r="J2928" i="2"/>
  <c r="S2215" i="2"/>
  <c r="D3082" i="2"/>
  <c r="H1556" i="2"/>
  <c r="T3210" i="2"/>
  <c r="K3326" i="2"/>
  <c r="L2995" i="2"/>
  <c r="C3385" i="2"/>
  <c r="I2925" i="2"/>
  <c r="S2039" i="2"/>
  <c r="V2091" i="2"/>
  <c r="V2136" i="2"/>
  <c r="I3474" i="2"/>
  <c r="O2204" i="2"/>
  <c r="D1880" i="2"/>
  <c r="R1804" i="2"/>
  <c r="V2888" i="2"/>
  <c r="G3279" i="2"/>
  <c r="O2647" i="2"/>
  <c r="U1918" i="2"/>
  <c r="F3342" i="2"/>
  <c r="O3062" i="2"/>
  <c r="P2507" i="2"/>
  <c r="O2986" i="2"/>
  <c r="U2145" i="2"/>
  <c r="I3175" i="2"/>
  <c r="P3371" i="2"/>
  <c r="I3449" i="2"/>
  <c r="I1635" i="2"/>
  <c r="V3119" i="2"/>
  <c r="W2090" i="2"/>
  <c r="V373" i="2"/>
  <c r="P2006" i="2"/>
  <c r="D3504" i="2"/>
  <c r="W1660" i="2"/>
  <c r="H1739" i="2"/>
  <c r="T2264" i="2"/>
  <c r="F2411" i="2"/>
  <c r="D3224" i="2"/>
  <c r="D2139" i="2"/>
  <c r="I1146" i="2"/>
  <c r="O2479" i="2"/>
  <c r="H2492" i="2"/>
  <c r="R3110" i="2"/>
  <c r="H2519" i="2"/>
  <c r="G2785" i="2"/>
  <c r="N700" i="2"/>
  <c r="E1312" i="2"/>
  <c r="E2837" i="2"/>
  <c r="N3131" i="2"/>
  <c r="N3156" i="2"/>
  <c r="Q2169" i="2"/>
  <c r="Q181" i="2"/>
  <c r="N1228" i="2"/>
  <c r="K3023" i="2"/>
  <c r="M502" i="2"/>
  <c r="R1990" i="2"/>
  <c r="F2782" i="2"/>
  <c r="E1902" i="2"/>
  <c r="Q2649" i="2"/>
  <c r="G3239" i="2"/>
  <c r="S1728" i="2"/>
  <c r="G1324" i="2"/>
  <c r="T582" i="2"/>
  <c r="S2884" i="2"/>
  <c r="L2439" i="2"/>
  <c r="C2811" i="2"/>
  <c r="D2591" i="2"/>
  <c r="Q2632" i="2"/>
  <c r="J3195" i="2"/>
  <c r="E2276" i="2"/>
  <c r="L3285" i="2"/>
  <c r="T1478" i="2"/>
  <c r="U2393" i="2"/>
  <c r="Q2711" i="2"/>
  <c r="F1124" i="2"/>
  <c r="F3057" i="2"/>
  <c r="V3348" i="2"/>
  <c r="J2492" i="2"/>
  <c r="T1211" i="2"/>
  <c r="W3137" i="2"/>
  <c r="I1896" i="2"/>
  <c r="M1220" i="2"/>
  <c r="J2755" i="2"/>
  <c r="Q1709" i="2"/>
  <c r="D3166" i="2"/>
  <c r="M3557" i="2"/>
  <c r="F3282" i="2"/>
  <c r="W2769" i="2"/>
  <c r="E1805" i="2"/>
  <c r="F3156" i="2"/>
  <c r="R2700" i="2"/>
  <c r="H3223" i="2"/>
  <c r="N2254" i="2"/>
  <c r="F2342" i="2"/>
  <c r="I2631" i="2"/>
  <c r="V3004" i="2"/>
  <c r="H2300" i="2"/>
  <c r="U2295" i="2"/>
  <c r="Q2192" i="2"/>
  <c r="W2683" i="2"/>
  <c r="T2834" i="2"/>
  <c r="S2286" i="2"/>
  <c r="W575" i="2"/>
  <c r="S2880" i="2"/>
  <c r="J1612" i="2"/>
  <c r="O2907" i="2"/>
  <c r="U2978" i="2"/>
  <c r="N2924" i="2"/>
  <c r="U3557" i="2"/>
  <c r="K1738" i="2"/>
  <c r="N2830" i="2"/>
  <c r="Q3234" i="2"/>
  <c r="Q3049" i="2"/>
  <c r="C2279" i="2"/>
  <c r="Q2864" i="2"/>
  <c r="J2690" i="2"/>
  <c r="E1918" i="2"/>
  <c r="R3436" i="2"/>
  <c r="C2610" i="2"/>
  <c r="I2355" i="2"/>
  <c r="R3571" i="2"/>
  <c r="Q2778" i="2"/>
  <c r="O1920" i="2"/>
  <c r="M2824" i="2"/>
  <c r="E1875" i="2"/>
  <c r="G2650" i="2"/>
  <c r="J3278" i="2"/>
  <c r="G2390" i="2"/>
  <c r="D2404" i="2"/>
  <c r="L1902" i="2"/>
  <c r="C2778" i="2"/>
  <c r="U2852" i="2"/>
  <c r="K1275" i="2"/>
  <c r="L2898" i="2"/>
  <c r="I3231" i="2"/>
  <c r="W2745" i="2"/>
  <c r="W3318" i="2"/>
  <c r="Q3129" i="2"/>
  <c r="W2613" i="2"/>
  <c r="R3195" i="2"/>
  <c r="C3374" i="2"/>
  <c r="Q2572" i="2"/>
  <c r="F3250" i="2"/>
  <c r="K755" i="2"/>
  <c r="W2911" i="2"/>
  <c r="I3042" i="2"/>
  <c r="O2963" i="2"/>
  <c r="J2662" i="2"/>
  <c r="S2079" i="2"/>
  <c r="K2641" i="2"/>
  <c r="H3110" i="2"/>
  <c r="Q3311" i="2"/>
  <c r="N2729" i="2"/>
  <c r="E2923" i="2"/>
  <c r="E3053" i="2"/>
  <c r="I917" i="2"/>
  <c r="V2811" i="2"/>
  <c r="R1543" i="2"/>
  <c r="Q2971" i="2"/>
  <c r="M1511" i="2"/>
  <c r="J3468" i="2"/>
  <c r="G2264" i="2"/>
  <c r="O2231" i="2"/>
  <c r="I3057" i="2"/>
  <c r="P2038" i="2"/>
  <c r="G2162" i="2"/>
  <c r="H1875" i="2"/>
  <c r="V3057" i="2"/>
  <c r="O1776" i="2"/>
  <c r="V2677" i="2"/>
  <c r="U1049" i="2"/>
  <c r="L2014" i="2"/>
  <c r="C1730" i="2"/>
  <c r="I3476" i="2"/>
  <c r="J3521" i="2"/>
  <c r="W3402" i="2"/>
  <c r="C3095" i="2"/>
  <c r="M2157" i="2"/>
  <c r="D3459" i="2"/>
  <c r="O3148" i="2"/>
  <c r="W2908" i="2"/>
  <c r="N2592" i="2"/>
  <c r="L2831" i="2"/>
  <c r="P3149" i="2"/>
  <c r="D2105" i="2"/>
  <c r="S2445" i="2"/>
  <c r="W2310" i="2"/>
  <c r="P2276" i="2"/>
  <c r="T2625" i="2"/>
  <c r="H1704" i="2"/>
  <c r="W2578" i="2"/>
  <c r="D2691" i="2"/>
  <c r="V2891" i="2"/>
  <c r="M2719" i="2"/>
  <c r="Q2860" i="2"/>
  <c r="T2793" i="2"/>
  <c r="H2816" i="2"/>
  <c r="E2403" i="2"/>
  <c r="D2563" i="2"/>
  <c r="J2883" i="2"/>
  <c r="T3246" i="2"/>
  <c r="C3131" i="2"/>
  <c r="F1323" i="2"/>
  <c r="H3314" i="2"/>
  <c r="G2287" i="2"/>
  <c r="Q2576" i="2"/>
  <c r="J1557" i="2"/>
  <c r="K3202" i="2"/>
  <c r="T2237" i="2"/>
  <c r="F2521" i="2"/>
  <c r="J2213" i="2"/>
  <c r="L1631" i="2"/>
  <c r="K3111" i="2"/>
  <c r="K2183" i="2"/>
  <c r="S2466" i="2"/>
  <c r="Q2681" i="2"/>
  <c r="H2057" i="2"/>
  <c r="O981" i="2"/>
  <c r="D2276" i="2"/>
  <c r="D1724" i="2"/>
  <c r="O2516" i="2"/>
  <c r="N1201" i="2"/>
  <c r="S2068" i="2"/>
  <c r="P454" i="2"/>
  <c r="W1669" i="2"/>
  <c r="I2756" i="2"/>
  <c r="D1462" i="2"/>
  <c r="L2816" i="2"/>
  <c r="O1444" i="2"/>
  <c r="J2380" i="2"/>
  <c r="T2966" i="2"/>
  <c r="R664" i="2"/>
  <c r="U2970" i="2"/>
  <c r="O831" i="2"/>
  <c r="S2195" i="2"/>
  <c r="H3287" i="2"/>
  <c r="D2871" i="2"/>
  <c r="S1316" i="2"/>
  <c r="V1984" i="2"/>
  <c r="D3176" i="2"/>
  <c r="W3602" i="2"/>
  <c r="R1457" i="2"/>
  <c r="K396" i="2"/>
  <c r="H2501" i="2"/>
  <c r="Q2248" i="2"/>
  <c r="Q2644" i="2"/>
  <c r="Q2470" i="2"/>
  <c r="N3021" i="2"/>
  <c r="N2047" i="2"/>
  <c r="G1617" i="2"/>
  <c r="G1497" i="2"/>
  <c r="P2704" i="2"/>
  <c r="R2907" i="2"/>
  <c r="G3040" i="2"/>
  <c r="L3034" i="2"/>
  <c r="Q2246" i="2"/>
  <c r="I2913" i="2"/>
  <c r="M1727" i="2"/>
  <c r="K2363" i="2"/>
  <c r="O1896" i="2"/>
  <c r="J1812" i="2"/>
  <c r="V2817" i="2"/>
  <c r="N3008" i="2"/>
  <c r="V2568" i="2"/>
  <c r="G2519" i="2"/>
  <c r="K3050" i="2"/>
  <c r="L3021" i="2"/>
  <c r="Q2754" i="2"/>
  <c r="M2619" i="2"/>
  <c r="C2508" i="2"/>
  <c r="R1488" i="2"/>
  <c r="S2072" i="2"/>
  <c r="P1048" i="2"/>
  <c r="T2873" i="2"/>
  <c r="H1847" i="2"/>
  <c r="C2906" i="2"/>
  <c r="O2356" i="2"/>
  <c r="O2467" i="2"/>
  <c r="F3181" i="2"/>
  <c r="J2682" i="2"/>
  <c r="F2971" i="2"/>
  <c r="W1851" i="2"/>
  <c r="P2810" i="2"/>
  <c r="V2449" i="2"/>
  <c r="M2784" i="2"/>
  <c r="F1784" i="2"/>
  <c r="K3056" i="2"/>
  <c r="C2238" i="2"/>
  <c r="T2699" i="2"/>
  <c r="M2684" i="2"/>
  <c r="O2890" i="2"/>
  <c r="K2100" i="2"/>
  <c r="T1055" i="2"/>
  <c r="Q2357" i="2"/>
  <c r="P2960" i="2"/>
  <c r="O3456" i="2"/>
  <c r="K2765" i="2"/>
  <c r="G3254" i="2"/>
  <c r="W2993" i="2"/>
  <c r="U3524" i="2"/>
  <c r="S2709" i="2"/>
  <c r="H3217" i="2"/>
  <c r="M1559" i="2"/>
  <c r="I3163" i="2"/>
  <c r="S3132" i="2"/>
  <c r="S2861" i="2"/>
  <c r="G3186" i="2"/>
  <c r="O3163" i="2"/>
  <c r="E2520" i="2"/>
  <c r="J3258" i="2"/>
  <c r="S3158" i="2"/>
  <c r="K2402" i="2"/>
  <c r="J2360" i="2"/>
  <c r="M3414" i="2"/>
  <c r="E2858" i="2"/>
  <c r="G1954" i="2"/>
  <c r="M1765" i="2"/>
  <c r="V3270" i="2"/>
  <c r="R2171" i="2"/>
  <c r="D2317" i="2"/>
  <c r="T3181" i="2"/>
  <c r="L2377" i="2"/>
  <c r="D1966" i="2"/>
  <c r="H1681" i="2"/>
  <c r="H2915" i="2"/>
  <c r="M2946" i="2"/>
  <c r="S2287" i="2"/>
  <c r="E3549" i="2"/>
  <c r="F2907" i="2"/>
  <c r="D2470" i="2"/>
  <c r="R2236" i="2"/>
  <c r="V2889" i="2"/>
  <c r="D3214" i="2"/>
  <c r="T1373" i="2"/>
  <c r="D3004" i="2"/>
  <c r="V3351" i="2"/>
  <c r="K1901" i="2"/>
  <c r="F853" i="2"/>
  <c r="T3162" i="2"/>
  <c r="T3401" i="2"/>
  <c r="Q2749" i="2"/>
  <c r="O1355" i="2"/>
  <c r="D3276" i="2"/>
  <c r="R854" i="2"/>
  <c r="T3251" i="2"/>
  <c r="U2441" i="2"/>
  <c r="T2380" i="2"/>
  <c r="F3097" i="2"/>
  <c r="C2386" i="2"/>
  <c r="K2875" i="2"/>
  <c r="J3408" i="2"/>
  <c r="D1979" i="2"/>
  <c r="Q3046" i="2"/>
  <c r="T2990" i="2"/>
  <c r="N3195" i="2"/>
  <c r="L3286" i="2"/>
  <c r="R2800" i="2"/>
  <c r="N1443" i="2"/>
  <c r="L1462" i="2"/>
  <c r="R2649" i="2"/>
  <c r="P2919" i="2"/>
  <c r="H2004" i="2"/>
  <c r="U770" i="2"/>
  <c r="S1585" i="2"/>
  <c r="R3308" i="2"/>
  <c r="Q1649" i="2"/>
  <c r="C1868" i="2"/>
  <c r="E3459" i="2"/>
  <c r="L3593" i="2"/>
  <c r="F2822" i="2"/>
  <c r="H2368" i="2"/>
  <c r="C3254" i="2"/>
  <c r="W3154" i="2"/>
  <c r="Q3102" i="2"/>
  <c r="G2768" i="2"/>
  <c r="E3441" i="2"/>
  <c r="N1195" i="2"/>
  <c r="F2683" i="2"/>
  <c r="R2738" i="2"/>
  <c r="U2616" i="2"/>
  <c r="Q2079" i="2"/>
  <c r="W3139" i="2"/>
  <c r="Q1118" i="2"/>
  <c r="T2944" i="2"/>
  <c r="R2430" i="2"/>
  <c r="R2765" i="2"/>
  <c r="Q1217" i="2"/>
  <c r="I2511" i="2"/>
  <c r="Q2705" i="2"/>
  <c r="D2581" i="2"/>
  <c r="K3268" i="2"/>
  <c r="I2936" i="2"/>
  <c r="I1652" i="2"/>
  <c r="H1097" i="2"/>
  <c r="T2213" i="2"/>
  <c r="N2078" i="2"/>
  <c r="P696" i="2"/>
  <c r="S2460" i="2"/>
  <c r="U1583" i="2"/>
  <c r="N3140" i="2"/>
  <c r="P2928" i="2"/>
  <c r="U3002" i="2"/>
  <c r="E1126" i="2"/>
  <c r="U1264" i="2"/>
  <c r="O1038" i="2"/>
  <c r="Q2993" i="2"/>
  <c r="D2919" i="2"/>
  <c r="J3202" i="2"/>
  <c r="I2327" i="2"/>
  <c r="L1751" i="2"/>
  <c r="L1541" i="2"/>
  <c r="G2647" i="2"/>
  <c r="L3409" i="2"/>
  <c r="P2561" i="2"/>
  <c r="U3037" i="2"/>
  <c r="D3056" i="2"/>
  <c r="Q2794" i="2"/>
  <c r="O1812" i="2"/>
  <c r="H3128" i="2"/>
  <c r="C2691" i="2"/>
  <c r="L3278" i="2"/>
  <c r="N3069" i="2"/>
  <c r="J2621" i="2"/>
  <c r="T3462" i="2"/>
  <c r="F2464" i="2"/>
  <c r="D2356" i="2"/>
  <c r="T1728" i="2"/>
  <c r="E1239" i="2"/>
  <c r="R529" i="2"/>
  <c r="V2602" i="2"/>
  <c r="G2893" i="2"/>
  <c r="K3473" i="2"/>
  <c r="L3023" i="2"/>
  <c r="T1684" i="2"/>
  <c r="Q3300" i="2"/>
  <c r="C2760" i="2"/>
  <c r="S1928" i="2"/>
  <c r="G1015" i="2"/>
  <c r="N1525" i="2"/>
  <c r="T3291" i="2"/>
  <c r="J2790" i="2"/>
  <c r="E2788" i="2"/>
  <c r="J2963" i="2"/>
  <c r="Q3269" i="2"/>
  <c r="V2556" i="2"/>
  <c r="M2532" i="2"/>
  <c r="W2221" i="2"/>
  <c r="D2704" i="2"/>
  <c r="O2920" i="2"/>
  <c r="E3428" i="2"/>
  <c r="R2529" i="2"/>
  <c r="T3456" i="2"/>
  <c r="K2823" i="2"/>
  <c r="T3160" i="2"/>
  <c r="V2943" i="2"/>
  <c r="Q3371" i="2"/>
  <c r="P2209" i="2"/>
  <c r="K2827" i="2"/>
  <c r="D839" i="2"/>
  <c r="F1978" i="2"/>
  <c r="H2336" i="2"/>
  <c r="M2942" i="2"/>
  <c r="J2914" i="2"/>
  <c r="U2707" i="2"/>
  <c r="K2506" i="2"/>
  <c r="V1643" i="2"/>
  <c r="U2851" i="2"/>
  <c r="E2584" i="2"/>
  <c r="N3109" i="2"/>
  <c r="E2892" i="2"/>
  <c r="K2709" i="2"/>
  <c r="G1759" i="2"/>
  <c r="T2799" i="2"/>
  <c r="K2215" i="2"/>
  <c r="E3363" i="2"/>
  <c r="V2955" i="2"/>
  <c r="G1092" i="2"/>
  <c r="R1703" i="2"/>
  <c r="D1601" i="2"/>
  <c r="S3305" i="2"/>
  <c r="M2544" i="2"/>
  <c r="S3087" i="2"/>
  <c r="I2493" i="2"/>
  <c r="D2869" i="2"/>
  <c r="C2570" i="2"/>
  <c r="K2844" i="2"/>
  <c r="E2670" i="2"/>
  <c r="K2172" i="2"/>
  <c r="K3453" i="2"/>
  <c r="M1694" i="2"/>
  <c r="P3009" i="2"/>
  <c r="N2625" i="2"/>
  <c r="E3106" i="2"/>
  <c r="M2182" i="2"/>
  <c r="D2616" i="2"/>
  <c r="R1588" i="2"/>
  <c r="J2028" i="2"/>
  <c r="I2725" i="2"/>
  <c r="K1329" i="2"/>
  <c r="E1696" i="2"/>
  <c r="G3260" i="2"/>
  <c r="I3150" i="2"/>
  <c r="S2906" i="2"/>
  <c r="D2743" i="2"/>
  <c r="R2601" i="2"/>
  <c r="E2321" i="2"/>
  <c r="D2070" i="2"/>
  <c r="M2486" i="2"/>
  <c r="W3241" i="2"/>
  <c r="M1977" i="2"/>
  <c r="O2289" i="2"/>
  <c r="S2122" i="2"/>
  <c r="J3354" i="2"/>
  <c r="T3377" i="2"/>
  <c r="L2876" i="2"/>
  <c r="U1844" i="2"/>
  <c r="C2478" i="2"/>
  <c r="D3417" i="2"/>
  <c r="G2359" i="2"/>
  <c r="L1426" i="2"/>
  <c r="Q3180" i="2"/>
  <c r="C683" i="2"/>
  <c r="S468" i="2"/>
  <c r="C1587" i="2"/>
  <c r="P2594" i="2"/>
  <c r="J2189" i="2"/>
  <c r="H2671" i="2"/>
  <c r="G2403" i="2"/>
  <c r="O2876" i="2"/>
  <c r="S1707" i="2"/>
  <c r="H1859" i="2"/>
  <c r="T2728" i="2"/>
  <c r="L2241" i="2"/>
  <c r="L1686" i="2"/>
  <c r="W2938" i="2"/>
  <c r="J3131" i="2"/>
  <c r="G567" i="2"/>
  <c r="G3369" i="2"/>
  <c r="E1913" i="2"/>
  <c r="S1847" i="2"/>
  <c r="J2470" i="2"/>
  <c r="K1336" i="2"/>
  <c r="W2414" i="2"/>
  <c r="V2737" i="2"/>
  <c r="W1013" i="2"/>
  <c r="C2405" i="2"/>
  <c r="I1257" i="2"/>
  <c r="T3418" i="2"/>
  <c r="V1058" i="2"/>
  <c r="P2625" i="2"/>
  <c r="W3432" i="2"/>
  <c r="G2980" i="2"/>
  <c r="T3450" i="2"/>
  <c r="Q2236" i="2"/>
  <c r="P3203" i="2"/>
  <c r="G3277" i="2"/>
  <c r="N2918" i="2"/>
  <c r="K2189" i="2"/>
  <c r="H2778" i="2"/>
  <c r="K2735" i="2"/>
  <c r="T2528" i="2"/>
  <c r="R1920" i="2"/>
  <c r="N2797" i="2"/>
  <c r="I2780" i="2"/>
  <c r="C2889" i="2"/>
  <c r="J3498" i="2"/>
  <c r="F2351" i="2"/>
  <c r="U3429" i="2"/>
  <c r="H1442" i="2"/>
  <c r="K1819" i="2"/>
  <c r="G1104" i="2"/>
  <c r="P3277" i="2"/>
  <c r="U2783" i="2"/>
  <c r="E3551" i="2"/>
  <c r="V1822" i="2"/>
  <c r="F677" i="2"/>
  <c r="Q1988" i="2"/>
  <c r="Q1076" i="2"/>
  <c r="R1941" i="2"/>
  <c r="K1619" i="2"/>
  <c r="P1544" i="2"/>
  <c r="N2435" i="2"/>
  <c r="L3104" i="2"/>
  <c r="W1584" i="2"/>
  <c r="F2682" i="2"/>
  <c r="T2218" i="2"/>
  <c r="I2728" i="2"/>
  <c r="Q2812" i="2"/>
  <c r="J3285" i="2"/>
  <c r="P2842" i="2"/>
  <c r="D3305" i="2"/>
  <c r="G2047" i="2"/>
  <c r="P3348" i="2"/>
  <c r="J1222" i="2"/>
  <c r="G616" i="2"/>
  <c r="U2749" i="2"/>
  <c r="R3290" i="2"/>
  <c r="G2818" i="2"/>
  <c r="P3125" i="2"/>
  <c r="W2807" i="2"/>
  <c r="S3560" i="2"/>
  <c r="D1463" i="2"/>
  <c r="H2733" i="2"/>
  <c r="Q3203" i="2"/>
  <c r="L3086" i="2"/>
  <c r="I3612" i="2"/>
  <c r="E2107" i="2"/>
  <c r="L3463" i="2"/>
  <c r="N1345" i="2"/>
  <c r="Q2868" i="2"/>
  <c r="Q3001" i="2"/>
  <c r="E3103" i="2"/>
  <c r="O2818" i="2"/>
  <c r="H3467" i="2"/>
  <c r="D2447" i="2"/>
  <c r="L3404" i="2"/>
  <c r="R3225" i="2"/>
  <c r="G3127" i="2"/>
  <c r="W2679" i="2"/>
  <c r="M3271" i="2"/>
  <c r="M2958" i="2"/>
  <c r="U2819" i="2"/>
  <c r="Q2162" i="2"/>
  <c r="T3533" i="2"/>
  <c r="V3026" i="2"/>
  <c r="F3281" i="2"/>
  <c r="O2314" i="2"/>
  <c r="R2763" i="2"/>
  <c r="I2590" i="2"/>
  <c r="T686" i="2"/>
  <c r="J2711" i="2"/>
  <c r="W2313" i="2"/>
  <c r="H2442" i="2"/>
  <c r="P3221" i="2"/>
  <c r="R1695" i="2"/>
  <c r="K2760" i="2"/>
  <c r="O2748" i="2"/>
  <c r="Q2222" i="2"/>
  <c r="U2225" i="2"/>
  <c r="U1805" i="2"/>
  <c r="W2189" i="2"/>
  <c r="S2580" i="2"/>
  <c r="M1810" i="2"/>
  <c r="J1217" i="2"/>
  <c r="M3090" i="2"/>
  <c r="D2970" i="2"/>
  <c r="D2848" i="2"/>
  <c r="G2568" i="2"/>
  <c r="F3098" i="2"/>
  <c r="F2127" i="2"/>
  <c r="F485" i="2"/>
  <c r="I2887" i="2"/>
  <c r="H1488" i="2"/>
  <c r="H2682" i="2"/>
  <c r="L3520" i="2"/>
  <c r="E3042" i="2"/>
  <c r="F1226" i="2"/>
  <c r="E2122" i="2"/>
  <c r="T2664" i="2"/>
  <c r="S3021" i="2"/>
  <c r="O1407" i="2"/>
  <c r="O1931" i="2"/>
  <c r="J3188" i="2"/>
  <c r="Q2140" i="2"/>
  <c r="T1490" i="2"/>
  <c r="U3096" i="2"/>
  <c r="M1880" i="2"/>
  <c r="D3124" i="2"/>
  <c r="F2812" i="2"/>
  <c r="R1805" i="2"/>
  <c r="W2508" i="2"/>
  <c r="V2430" i="2"/>
  <c r="I2261" i="2"/>
  <c r="L2752" i="2"/>
  <c r="C395" i="2"/>
  <c r="N3344" i="2"/>
  <c r="V2501" i="2"/>
  <c r="F2577" i="2"/>
  <c r="F3005" i="2"/>
  <c r="L2339" i="2"/>
  <c r="W2977" i="2"/>
  <c r="W3147" i="2"/>
  <c r="Q527" i="2"/>
  <c r="W1205" i="2"/>
  <c r="M2615" i="2"/>
  <c r="C3086" i="2"/>
  <c r="C1869" i="2"/>
  <c r="O2410" i="2"/>
  <c r="Q1911" i="2"/>
  <c r="H2584" i="2"/>
  <c r="T2774" i="2"/>
  <c r="O3304" i="2"/>
  <c r="K2995" i="2"/>
  <c r="I461" i="2"/>
  <c r="E2331" i="2"/>
  <c r="L2498" i="2"/>
  <c r="R1888" i="2"/>
  <c r="R1967" i="2"/>
  <c r="F3189" i="2"/>
  <c r="K3084" i="2"/>
  <c r="T2191" i="2"/>
  <c r="K1982" i="2"/>
  <c r="E1726" i="2"/>
  <c r="E1962" i="2"/>
  <c r="E2842" i="2"/>
  <c r="D3067" i="2"/>
  <c r="K1798" i="2"/>
  <c r="I2937" i="2"/>
  <c r="W3175" i="2"/>
  <c r="J2929" i="2"/>
  <c r="Q3142" i="2"/>
  <c r="H2887" i="2"/>
  <c r="C1316" i="2"/>
  <c r="Q1724" i="2"/>
  <c r="R588" i="2"/>
  <c r="D1189" i="2"/>
  <c r="G2276" i="2"/>
  <c r="P3307" i="2"/>
  <c r="N3046" i="2"/>
  <c r="R1956" i="2"/>
  <c r="T2591" i="2"/>
  <c r="I1438" i="2"/>
  <c r="C1617" i="2"/>
  <c r="U1036" i="2"/>
  <c r="T3081" i="2"/>
  <c r="F3498" i="2"/>
  <c r="U3238" i="2"/>
  <c r="Q2247" i="2"/>
  <c r="J1355" i="2"/>
  <c r="V1849" i="2"/>
  <c r="J2646" i="2"/>
  <c r="G2913" i="2"/>
  <c r="W615" i="2"/>
  <c r="P2709" i="2"/>
  <c r="W1636" i="2"/>
  <c r="I2429" i="2"/>
  <c r="F1969" i="2"/>
  <c r="O2685" i="2"/>
  <c r="T2609" i="2"/>
  <c r="C2374" i="2"/>
  <c r="R1628" i="2"/>
  <c r="U3098" i="2"/>
  <c r="L551" i="2"/>
  <c r="R3118" i="2"/>
  <c r="C2499" i="2"/>
  <c r="C2060" i="2"/>
  <c r="M2458" i="2"/>
  <c r="J1609" i="2"/>
  <c r="I3139" i="2"/>
  <c r="U2587" i="2"/>
  <c r="J1895" i="2"/>
  <c r="I3005" i="2"/>
  <c r="V2854" i="2"/>
  <c r="M2028" i="2"/>
  <c r="I1202" i="2"/>
  <c r="H646" i="2"/>
  <c r="U3006" i="2"/>
  <c r="Q1472" i="2"/>
  <c r="O2251" i="2"/>
  <c r="C2057" i="2"/>
  <c r="W2681" i="2"/>
  <c r="M2124" i="2"/>
  <c r="J2795" i="2"/>
  <c r="V2141" i="2"/>
  <c r="G2885" i="2"/>
  <c r="C2243" i="2"/>
  <c r="O2671" i="2"/>
  <c r="S2833" i="2"/>
  <c r="S2896" i="2"/>
  <c r="D1992" i="2"/>
  <c r="S2608" i="2"/>
  <c r="N2609" i="2"/>
  <c r="P2302" i="2"/>
  <c r="S1641" i="2"/>
  <c r="T2621" i="2"/>
  <c r="G1788" i="2"/>
  <c r="E842" i="2"/>
  <c r="H2839" i="2"/>
  <c r="W1961" i="2"/>
  <c r="F2421" i="2"/>
  <c r="T2817" i="2"/>
  <c r="L3177" i="2"/>
  <c r="J2284" i="2"/>
  <c r="S1428" i="2"/>
  <c r="M3088" i="2"/>
  <c r="K2816" i="2"/>
  <c r="D1195" i="2"/>
  <c r="I3568" i="2"/>
  <c r="S3367" i="2"/>
  <c r="C1563" i="2"/>
  <c r="Q1195" i="2"/>
  <c r="J782" i="2"/>
  <c r="T2281" i="2"/>
  <c r="T2165" i="2"/>
  <c r="Q2714" i="2"/>
  <c r="M2473" i="2"/>
  <c r="S2070" i="2"/>
  <c r="K1729" i="2"/>
  <c r="L2203" i="2"/>
  <c r="H1659" i="2"/>
  <c r="R2682" i="2"/>
  <c r="U2351" i="2"/>
  <c r="P1626" i="2"/>
  <c r="D2852" i="2"/>
  <c r="U2740" i="2"/>
  <c r="N850" i="2"/>
  <c r="J2089" i="2"/>
  <c r="D1839" i="2"/>
  <c r="T310" i="2"/>
  <c r="G1180" i="2"/>
  <c r="C2637" i="2"/>
  <c r="N1868" i="2"/>
  <c r="F1831" i="2"/>
  <c r="J2160" i="2"/>
  <c r="F2966" i="2"/>
  <c r="V3010" i="2"/>
  <c r="H2429" i="2"/>
  <c r="G3298" i="2"/>
  <c r="E1702" i="2"/>
  <c r="E2975" i="2"/>
  <c r="D3035" i="2"/>
  <c r="O2576" i="2"/>
  <c r="F332" i="2"/>
  <c r="R2498" i="2"/>
  <c r="U2198" i="2"/>
  <c r="H1258" i="2"/>
  <c r="W853" i="2"/>
  <c r="F2945" i="2"/>
  <c r="T2943" i="2"/>
  <c r="R3025" i="2"/>
  <c r="J2670" i="2"/>
  <c r="I2961" i="2"/>
  <c r="N3086" i="2"/>
  <c r="L2283" i="2"/>
  <c r="K2532" i="2"/>
  <c r="M3107" i="2"/>
  <c r="N1824" i="2"/>
  <c r="M2914" i="2"/>
  <c r="V1603" i="2"/>
  <c r="W2340" i="2"/>
  <c r="W3051" i="2"/>
  <c r="R421" i="2"/>
  <c r="G2004" i="2"/>
  <c r="V3047" i="2"/>
  <c r="P2823" i="2"/>
  <c r="C2353" i="2"/>
  <c r="T1274" i="2"/>
  <c r="U1846" i="2"/>
  <c r="O2853" i="2"/>
  <c r="U2313" i="2"/>
  <c r="W1619" i="2"/>
  <c r="L1833" i="2"/>
  <c r="G1834" i="2"/>
  <c r="V1803" i="2"/>
  <c r="G2869" i="2"/>
  <c r="E1174" i="2"/>
  <c r="R1604" i="2"/>
  <c r="N2813" i="2"/>
  <c r="O2541" i="2"/>
  <c r="J1254" i="2"/>
  <c r="Q2787" i="2"/>
  <c r="T1411" i="2"/>
  <c r="M2069" i="2"/>
  <c r="V2734" i="2"/>
  <c r="P1128" i="2"/>
  <c r="V1707" i="2"/>
  <c r="K2388" i="2"/>
  <c r="E1177" i="2"/>
  <c r="T2348" i="2"/>
  <c r="R2710" i="2"/>
  <c r="I1500" i="2"/>
  <c r="J1955" i="2"/>
  <c r="V1411" i="2"/>
  <c r="H2505" i="2"/>
  <c r="J1368" i="2"/>
  <c r="K3498" i="2"/>
  <c r="P184" i="2"/>
  <c r="D427" i="2"/>
  <c r="D358" i="2"/>
  <c r="V1636" i="2"/>
  <c r="T3367" i="2"/>
  <c r="Q2928" i="2"/>
  <c r="S1917" i="2"/>
  <c r="S2673" i="2"/>
  <c r="S2116" i="2"/>
  <c r="I2367" i="2"/>
  <c r="E2677" i="2"/>
  <c r="H651" i="2"/>
  <c r="W2965" i="2"/>
  <c r="M2762" i="2"/>
  <c r="G1830" i="2"/>
  <c r="W2617" i="2"/>
  <c r="R1471" i="2"/>
  <c r="Q438" i="2"/>
  <c r="N2996" i="2"/>
  <c r="W2112" i="2"/>
  <c r="T1607" i="2"/>
  <c r="E3066" i="2"/>
  <c r="F1002" i="2"/>
  <c r="Q2272" i="2"/>
  <c r="W2595" i="2"/>
  <c r="M2800" i="2"/>
  <c r="M1423" i="2"/>
  <c r="U2061" i="2"/>
  <c r="O2265" i="2"/>
  <c r="D1051" i="2"/>
  <c r="W2854" i="2"/>
  <c r="W3090" i="2"/>
  <c r="H3041" i="2"/>
  <c r="V3058" i="2"/>
  <c r="S3501" i="2"/>
  <c r="J585" i="2"/>
  <c r="C2593" i="2"/>
  <c r="U2977" i="2"/>
  <c r="O2740" i="2"/>
  <c r="P2227" i="2"/>
  <c r="H795" i="2"/>
  <c r="W1802" i="2"/>
  <c r="W3321" i="2"/>
  <c r="C2168" i="2"/>
  <c r="U2654" i="2"/>
  <c r="I2475" i="2"/>
  <c r="C2696" i="2"/>
  <c r="C2887" i="2"/>
  <c r="K1277" i="2"/>
  <c r="K3368" i="2"/>
  <c r="I3446" i="2"/>
  <c r="D3265" i="2"/>
  <c r="D1987" i="2"/>
  <c r="R2204" i="2"/>
  <c r="D2972" i="2"/>
  <c r="H2573" i="2"/>
  <c r="K2141" i="2"/>
  <c r="T1663" i="2"/>
  <c r="J3561" i="2"/>
  <c r="V1815" i="2"/>
  <c r="U3123" i="2"/>
  <c r="K2621" i="2"/>
  <c r="T3020" i="2"/>
  <c r="M1625" i="2"/>
  <c r="M2279" i="2"/>
  <c r="G3230" i="2"/>
  <c r="W3306" i="2"/>
  <c r="P1153" i="2"/>
  <c r="P2829" i="2"/>
  <c r="M1615" i="2"/>
  <c r="R3042" i="2"/>
  <c r="H3428" i="2"/>
  <c r="V3031" i="2"/>
  <c r="K3351" i="2"/>
  <c r="P2232" i="2"/>
  <c r="P2915" i="2"/>
  <c r="M2813" i="2"/>
  <c r="V3384" i="2"/>
  <c r="U3230" i="2"/>
  <c r="L2602" i="2"/>
  <c r="T2877" i="2"/>
  <c r="E2096" i="2"/>
  <c r="K3429" i="2"/>
  <c r="E2301" i="2"/>
  <c r="K3356" i="2"/>
  <c r="V3109" i="2"/>
  <c r="O3189" i="2"/>
  <c r="N3044" i="2"/>
  <c r="U813" i="2"/>
  <c r="L2925" i="2"/>
  <c r="G1988" i="2"/>
  <c r="H3204" i="2"/>
  <c r="Q2821" i="2"/>
  <c r="T3118" i="2"/>
  <c r="M874" i="2"/>
  <c r="F2054" i="2"/>
  <c r="G2450" i="2"/>
  <c r="G2084" i="2"/>
  <c r="V3465" i="2"/>
  <c r="R2989" i="2"/>
  <c r="N2693" i="2"/>
  <c r="E2319" i="2"/>
  <c r="U2574" i="2"/>
  <c r="Q1943" i="2"/>
  <c r="U2355" i="2"/>
  <c r="E2476" i="2"/>
  <c r="J3037" i="2"/>
  <c r="S828" i="2"/>
  <c r="F2762" i="2"/>
  <c r="G2176" i="2"/>
  <c r="J898" i="2"/>
  <c r="E2765" i="2"/>
  <c r="U2774" i="2"/>
  <c r="C2711" i="2"/>
  <c r="S3048" i="2"/>
  <c r="P3116" i="2"/>
  <c r="O2917" i="2"/>
  <c r="O2354" i="2"/>
  <c r="W3329" i="2"/>
  <c r="S1437" i="2"/>
  <c r="U1697" i="2"/>
  <c r="L2536" i="2"/>
  <c r="G3473" i="2"/>
  <c r="J1245" i="2"/>
  <c r="R2895" i="2"/>
  <c r="H1353" i="2"/>
  <c r="O1488" i="2"/>
  <c r="W1573" i="2"/>
  <c r="V862" i="2"/>
  <c r="P1313" i="2"/>
  <c r="M3005" i="2"/>
  <c r="N1185" i="2"/>
  <c r="W3290" i="2"/>
  <c r="T2089" i="2"/>
  <c r="U1910" i="2"/>
  <c r="I1641" i="2"/>
  <c r="P2497" i="2"/>
  <c r="C2291" i="2"/>
  <c r="W3559" i="2"/>
  <c r="M3067" i="2"/>
  <c r="G2362" i="2"/>
  <c r="J1457" i="2"/>
  <c r="N1831" i="2"/>
  <c r="W2767" i="2"/>
  <c r="M1598" i="2"/>
  <c r="Q2051" i="2"/>
  <c r="V1574" i="2"/>
  <c r="F764" i="2"/>
  <c r="O3567" i="2"/>
  <c r="I2658" i="2"/>
  <c r="E2910" i="2"/>
  <c r="W2891" i="2"/>
  <c r="S1525" i="2"/>
  <c r="S3027" i="2"/>
  <c r="I1385" i="2"/>
  <c r="C3450" i="2"/>
  <c r="S3243" i="2"/>
  <c r="J2624" i="2"/>
  <c r="C1375" i="2"/>
  <c r="R3144" i="2"/>
  <c r="M470" i="2"/>
  <c r="R2534" i="2"/>
  <c r="O3043" i="2"/>
  <c r="T2984" i="2"/>
  <c r="S2691" i="2"/>
  <c r="F2402" i="2"/>
  <c r="D2488" i="2"/>
  <c r="O2887" i="2"/>
  <c r="W1598" i="2"/>
  <c r="M3206" i="2"/>
  <c r="D3520" i="2"/>
  <c r="H976" i="2"/>
  <c r="V1013" i="2"/>
  <c r="N2786" i="2"/>
  <c r="N2654" i="2"/>
  <c r="O2819" i="2"/>
  <c r="K3031" i="2"/>
  <c r="J1265" i="2"/>
  <c r="M10" i="2"/>
  <c r="V2744" i="2"/>
  <c r="H1537" i="2"/>
  <c r="N2215" i="2"/>
  <c r="K1368" i="2"/>
  <c r="G2705" i="2"/>
  <c r="V1844" i="2"/>
  <c r="F2857" i="2"/>
  <c r="E3294" i="2"/>
  <c r="T2980" i="2"/>
  <c r="U2847" i="2"/>
  <c r="V1902" i="2"/>
  <c r="W1286" i="2"/>
  <c r="S2085" i="2"/>
  <c r="J3341" i="2"/>
  <c r="M2214" i="2"/>
  <c r="F3133" i="2"/>
  <c r="T2532" i="2"/>
  <c r="S3236" i="2"/>
  <c r="N2044" i="2"/>
  <c r="G3082" i="2"/>
  <c r="I1992" i="2"/>
  <c r="T2616" i="2"/>
  <c r="M3262" i="2"/>
  <c r="N1830" i="2"/>
  <c r="J2927" i="2"/>
  <c r="T2758" i="2"/>
  <c r="U895" i="2"/>
  <c r="W1447" i="2"/>
  <c r="R2924" i="2"/>
  <c r="C2085" i="2"/>
  <c r="F1896" i="2"/>
  <c r="T2960" i="2"/>
  <c r="V3413" i="2"/>
  <c r="R2463" i="2"/>
  <c r="I2453" i="2"/>
  <c r="E2003" i="2"/>
  <c r="G3335" i="2"/>
  <c r="I3134" i="2"/>
  <c r="D3411" i="2"/>
  <c r="U3438" i="2"/>
  <c r="K3004" i="2"/>
  <c r="W1415" i="2"/>
  <c r="O1788" i="2"/>
  <c r="R2552" i="2"/>
  <c r="S2004" i="2"/>
  <c r="P1682" i="2"/>
  <c r="R2331" i="2"/>
  <c r="I3364" i="2"/>
  <c r="I2046" i="2"/>
  <c r="G931" i="2"/>
  <c r="J3247" i="2"/>
  <c r="K3387" i="2"/>
  <c r="R3239" i="2"/>
  <c r="E2907" i="2"/>
  <c r="D3251" i="2"/>
  <c r="C2514" i="2"/>
  <c r="N2958" i="2"/>
  <c r="Q3421" i="2"/>
  <c r="D1835" i="2"/>
  <c r="M1506" i="2"/>
  <c r="V2816" i="2"/>
  <c r="N2557" i="2"/>
  <c r="K2302" i="2"/>
  <c r="F1519" i="2"/>
  <c r="M3056" i="2"/>
  <c r="J2127" i="2"/>
  <c r="V2932" i="2"/>
  <c r="T2777" i="2"/>
  <c r="D3534" i="2"/>
  <c r="E2652" i="2"/>
  <c r="L2287" i="2"/>
  <c r="H2416" i="2"/>
  <c r="I2685" i="2"/>
  <c r="F1739" i="2"/>
  <c r="P1658" i="2"/>
  <c r="J1855" i="2"/>
  <c r="V1337" i="2"/>
  <c r="L3332" i="2"/>
  <c r="Q3517" i="2"/>
  <c r="H2068" i="2"/>
  <c r="U2392" i="2"/>
  <c r="L3039" i="2"/>
  <c r="C2527" i="2"/>
  <c r="D1799" i="2"/>
  <c r="H3118" i="2"/>
  <c r="N2646" i="2"/>
  <c r="U2631" i="2"/>
  <c r="R2996" i="2"/>
  <c r="V3064" i="2"/>
  <c r="N2983" i="2"/>
  <c r="L2026" i="2"/>
  <c r="F541" i="2"/>
  <c r="D2674" i="2"/>
  <c r="M2663" i="2"/>
  <c r="F3113" i="2"/>
  <c r="T2945" i="2"/>
  <c r="O1479" i="2"/>
  <c r="E1680" i="2"/>
  <c r="T2750" i="2"/>
  <c r="W1559" i="2"/>
  <c r="W3138" i="2"/>
  <c r="F1217" i="2"/>
  <c r="U2419" i="2"/>
  <c r="L2800" i="2"/>
  <c r="W3305" i="2"/>
  <c r="U1301" i="2"/>
  <c r="L2434" i="2"/>
  <c r="U3413" i="2"/>
  <c r="U3346" i="2"/>
  <c r="J3222" i="2"/>
  <c r="Q2196" i="2"/>
  <c r="C1003" i="2"/>
  <c r="D2731" i="2"/>
  <c r="F2478" i="2"/>
  <c r="V2647" i="2"/>
  <c r="V3168" i="2"/>
  <c r="L3140" i="2"/>
  <c r="G3191" i="2"/>
  <c r="I2805" i="2"/>
  <c r="S2901" i="2"/>
  <c r="F3124" i="2"/>
  <c r="C2983" i="2"/>
  <c r="F3116" i="2"/>
  <c r="K2788" i="2"/>
  <c r="J2083" i="2"/>
  <c r="D2837" i="2"/>
  <c r="M2674" i="2"/>
  <c r="C3359" i="2"/>
  <c r="F1369" i="2"/>
  <c r="P3177" i="2"/>
  <c r="E2441" i="2"/>
  <c r="Q2495" i="2"/>
  <c r="J3012" i="2"/>
  <c r="D2073" i="2"/>
  <c r="J2994" i="2"/>
  <c r="F3450" i="2"/>
  <c r="O2637" i="2"/>
  <c r="M2841" i="2"/>
  <c r="E2515" i="2"/>
  <c r="E3144" i="2"/>
  <c r="G1960" i="2"/>
  <c r="P3198" i="2"/>
  <c r="K2490" i="2"/>
  <c r="J2925" i="2"/>
  <c r="H2146" i="2"/>
  <c r="T1069" i="2"/>
  <c r="T2554" i="2"/>
  <c r="J2851" i="2"/>
  <c r="R3054" i="2"/>
  <c r="C3104" i="2"/>
  <c r="D3049" i="2"/>
  <c r="L3605" i="2"/>
  <c r="S1407" i="2"/>
  <c r="E2758" i="2"/>
  <c r="I2793" i="2"/>
  <c r="Q1764" i="2"/>
  <c r="W3231" i="2"/>
  <c r="L2822" i="2"/>
  <c r="W3332" i="2"/>
  <c r="U2825" i="2"/>
  <c r="Q3456" i="2"/>
  <c r="U1258" i="2"/>
  <c r="T2983" i="2"/>
  <c r="W2172" i="2"/>
  <c r="R3057" i="2"/>
  <c r="E1360" i="2"/>
  <c r="N2876" i="2"/>
  <c r="W1648" i="2"/>
  <c r="P1737" i="2"/>
  <c r="N2467" i="2"/>
  <c r="S2952" i="2"/>
  <c r="I2519" i="2"/>
  <c r="Q2869" i="2"/>
  <c r="S2415" i="2"/>
  <c r="G1846" i="2"/>
  <c r="Q3069" i="2"/>
  <c r="K2008" i="2"/>
  <c r="T458" i="2"/>
  <c r="O1597" i="2"/>
  <c r="W2991" i="2"/>
  <c r="R2206" i="2"/>
  <c r="S3128" i="2"/>
  <c r="W3150" i="2"/>
  <c r="S3065" i="2"/>
  <c r="H3104" i="2"/>
  <c r="L2435" i="2"/>
  <c r="T1353" i="2"/>
  <c r="I1316" i="2"/>
  <c r="T3099" i="2"/>
  <c r="J3396" i="2"/>
  <c r="D3015" i="2"/>
  <c r="Q1739" i="2"/>
  <c r="U2790" i="2"/>
  <c r="M3434" i="2"/>
  <c r="J3119" i="2"/>
  <c r="U2942" i="2"/>
  <c r="Q1218" i="2"/>
  <c r="L1929" i="2"/>
  <c r="D3483" i="2"/>
  <c r="S2581" i="2"/>
  <c r="Q1986" i="2"/>
  <c r="W3092" i="2"/>
  <c r="S1636" i="2"/>
  <c r="M2997" i="2"/>
  <c r="E1111" i="2"/>
  <c r="U927" i="2"/>
  <c r="U1467" i="2"/>
  <c r="M3396" i="2"/>
  <c r="P1834" i="2"/>
  <c r="M1158" i="2"/>
  <c r="C2362" i="2"/>
  <c r="N3277" i="2"/>
  <c r="N2866" i="2"/>
  <c r="E1080" i="2"/>
  <c r="F2287" i="2"/>
  <c r="U1232" i="2"/>
  <c r="U2464" i="2"/>
  <c r="L768" i="2"/>
  <c r="O1507" i="2"/>
  <c r="C2101" i="2"/>
  <c r="N2881" i="2"/>
  <c r="C3057" i="2"/>
  <c r="L1471" i="2"/>
  <c r="U961" i="2"/>
  <c r="N2998" i="2"/>
  <c r="C2426" i="2"/>
  <c r="W2599" i="2"/>
  <c r="L1654" i="2"/>
  <c r="K2295" i="2"/>
  <c r="M2609" i="2"/>
  <c r="F1814" i="2"/>
  <c r="K1029" i="2"/>
  <c r="R1149" i="2"/>
  <c r="C2157" i="2"/>
  <c r="T3191" i="2"/>
  <c r="U1424" i="2"/>
  <c r="F2185" i="2"/>
  <c r="V2291" i="2"/>
  <c r="U3255" i="2"/>
  <c r="I3219" i="2"/>
  <c r="T2070" i="2"/>
  <c r="J1653" i="2"/>
  <c r="I3237" i="2"/>
  <c r="T2344" i="2"/>
  <c r="P2403" i="2"/>
  <c r="L2246" i="2"/>
  <c r="K2662" i="2"/>
  <c r="S3397" i="2"/>
  <c r="G2185" i="2"/>
  <c r="V2181" i="2"/>
  <c r="J1391" i="2"/>
  <c r="T2601" i="2"/>
  <c r="U3297" i="2"/>
  <c r="Q2816" i="2"/>
  <c r="V2639" i="2"/>
  <c r="D2605" i="2"/>
  <c r="Q1583" i="2"/>
  <c r="G1464" i="2"/>
  <c r="S1000" i="2"/>
  <c r="R3292" i="2"/>
  <c r="I2838" i="2"/>
  <c r="E2660" i="2"/>
  <c r="L2206" i="2"/>
  <c r="J1216" i="2"/>
  <c r="M3509" i="2"/>
  <c r="H3167" i="2"/>
  <c r="H1946" i="2"/>
  <c r="O3119" i="2"/>
  <c r="M3400" i="2"/>
  <c r="S3340" i="2"/>
  <c r="J3504" i="2"/>
  <c r="H3503" i="2"/>
  <c r="I2986" i="2"/>
  <c r="R3567" i="2"/>
  <c r="T3239" i="2"/>
  <c r="V3059" i="2"/>
  <c r="C2948" i="2"/>
  <c r="K2984" i="2"/>
  <c r="S2919" i="2"/>
  <c r="P2278" i="2"/>
  <c r="I2236" i="2"/>
  <c r="R2581" i="2"/>
  <c r="R2349" i="2"/>
  <c r="F1479" i="2"/>
  <c r="G2122" i="2"/>
  <c r="R2551" i="2"/>
  <c r="L2489" i="2"/>
  <c r="D3426" i="2"/>
  <c r="O2654" i="2"/>
  <c r="D1843" i="2"/>
  <c r="L2887" i="2"/>
  <c r="O2019" i="2"/>
  <c r="G2909" i="2"/>
  <c r="P2946" i="2"/>
  <c r="E3456" i="2"/>
  <c r="S1964" i="2"/>
  <c r="D2257" i="2"/>
  <c r="G1884" i="2"/>
  <c r="T2700" i="2"/>
  <c r="L2772" i="2"/>
  <c r="W1920" i="2"/>
  <c r="S1895" i="2"/>
  <c r="J3508" i="2"/>
  <c r="H3144" i="2"/>
  <c r="E1193" i="2"/>
  <c r="S2189" i="2"/>
  <c r="C3224" i="2"/>
  <c r="V2788" i="2"/>
  <c r="W2294" i="2"/>
  <c r="C3319" i="2"/>
  <c r="H3108" i="2"/>
  <c r="O2282" i="2"/>
  <c r="G2194" i="2"/>
  <c r="W2162" i="2"/>
  <c r="P2283" i="2"/>
  <c r="C2702" i="2"/>
  <c r="U3361" i="2"/>
  <c r="T3475" i="2"/>
  <c r="S2756" i="2"/>
  <c r="W2523" i="2"/>
  <c r="V3021" i="2"/>
  <c r="I2894" i="2"/>
  <c r="R2211" i="2"/>
  <c r="O2863" i="2"/>
  <c r="O2140" i="2"/>
  <c r="Q2382" i="2"/>
  <c r="W1538" i="2"/>
  <c r="S2864" i="2"/>
  <c r="S3052" i="2"/>
  <c r="C2538" i="2"/>
  <c r="O647" i="2"/>
  <c r="O3047" i="2"/>
  <c r="U1993" i="2"/>
  <c r="C1112" i="2"/>
  <c r="V3046" i="2"/>
  <c r="L2990" i="2"/>
  <c r="L3207" i="2"/>
  <c r="P2911" i="2"/>
  <c r="M2641" i="2"/>
  <c r="R2776" i="2"/>
  <c r="G2697" i="2"/>
  <c r="H2339" i="2"/>
  <c r="K2218" i="2"/>
  <c r="G1584" i="2"/>
  <c r="M3098" i="2"/>
  <c r="P3022" i="2"/>
  <c r="E3190" i="2"/>
  <c r="F2695" i="2"/>
  <c r="I366" i="2"/>
  <c r="N2386" i="2"/>
  <c r="F3208" i="2"/>
  <c r="V1817" i="2"/>
  <c r="T1610" i="2"/>
  <c r="P2767" i="2"/>
  <c r="U2122" i="2"/>
  <c r="P1580" i="2"/>
  <c r="O1765" i="2"/>
  <c r="N3239" i="2"/>
  <c r="F2742" i="2"/>
  <c r="M3127" i="2"/>
  <c r="V2775" i="2"/>
  <c r="H3044" i="2"/>
  <c r="V1806" i="2"/>
  <c r="V1437" i="2"/>
  <c r="O2262" i="2"/>
  <c r="I3377" i="2"/>
  <c r="F2541" i="2"/>
  <c r="M1840" i="2"/>
  <c r="H1909" i="2"/>
  <c r="R3058" i="2"/>
  <c r="U2467" i="2"/>
  <c r="W3088" i="2"/>
  <c r="I1587" i="2"/>
  <c r="J2897" i="2"/>
  <c r="W2634" i="2"/>
  <c r="S3270" i="2"/>
  <c r="T3047" i="2"/>
  <c r="R2050" i="2"/>
  <c r="Q3025" i="2"/>
  <c r="R2407" i="2"/>
  <c r="J2951" i="2"/>
  <c r="W1311" i="2"/>
  <c r="T1492" i="2"/>
  <c r="N1872" i="2"/>
  <c r="F2832" i="2"/>
  <c r="D3107" i="2"/>
  <c r="D1968" i="2"/>
  <c r="K2527" i="2"/>
  <c r="U2808" i="2"/>
  <c r="W805" i="2"/>
  <c r="H1957" i="2"/>
  <c r="D2094" i="2"/>
  <c r="N1255" i="2"/>
  <c r="Q1525" i="2"/>
  <c r="S961" i="2"/>
  <c r="M2269" i="2"/>
  <c r="K1911" i="2"/>
  <c r="Q1242" i="2"/>
  <c r="D2413" i="2"/>
  <c r="Q798" i="2"/>
  <c r="J3422" i="2"/>
  <c r="M3280" i="2"/>
  <c r="W2935" i="2"/>
  <c r="U1750" i="2"/>
  <c r="S1490" i="2"/>
  <c r="C1723" i="2"/>
  <c r="K2910" i="2"/>
  <c r="T2950" i="2"/>
  <c r="D414" i="2"/>
  <c r="J1523" i="2"/>
  <c r="D2831" i="2"/>
  <c r="L1931" i="2"/>
  <c r="U2570" i="2"/>
  <c r="U1521" i="2"/>
  <c r="V1457" i="2"/>
  <c r="N2679" i="2"/>
  <c r="C3610" i="2"/>
  <c r="C3215" i="2"/>
  <c r="W2371" i="2"/>
  <c r="I1398" i="2"/>
  <c r="N3292" i="2"/>
  <c r="K1553" i="2"/>
  <c r="U2798" i="2"/>
  <c r="L2146" i="2"/>
  <c r="M2910" i="2"/>
  <c r="T2840" i="2"/>
  <c r="M1195" i="2"/>
  <c r="W1640" i="2"/>
  <c r="W1804" i="2"/>
  <c r="I1707" i="2"/>
  <c r="Q3020" i="2"/>
  <c r="S1818" i="2"/>
  <c r="E2969" i="2"/>
  <c r="I2487" i="2"/>
  <c r="K2401" i="2"/>
  <c r="R1803" i="2"/>
  <c r="O2429" i="2"/>
  <c r="F2141" i="2"/>
  <c r="U2672" i="2"/>
  <c r="M1118" i="2"/>
  <c r="D1640" i="2"/>
  <c r="L1585" i="2"/>
  <c r="L2648" i="2"/>
  <c r="T2441" i="2"/>
  <c r="S1475" i="2"/>
  <c r="L519" i="2"/>
  <c r="D2608" i="2"/>
  <c r="M2978" i="2"/>
  <c r="N3076" i="2"/>
  <c r="D3334" i="2"/>
  <c r="O2550" i="2"/>
  <c r="I2701" i="2"/>
  <c r="T2225" i="2"/>
  <c r="C1778" i="2"/>
  <c r="V1233" i="2"/>
  <c r="D2806" i="2"/>
  <c r="O920" i="2"/>
  <c r="V839" i="2"/>
  <c r="S3012" i="2"/>
  <c r="J1940" i="2"/>
  <c r="H1135" i="2"/>
  <c r="Q3132" i="2"/>
  <c r="K2507" i="2"/>
  <c r="M3364" i="2"/>
  <c r="I1799" i="2"/>
  <c r="N2826" i="2"/>
  <c r="N1787" i="2"/>
  <c r="C2978" i="2"/>
  <c r="F2846" i="2"/>
  <c r="V2609" i="2"/>
  <c r="C1307" i="2"/>
  <c r="W2659" i="2"/>
  <c r="J226" i="2"/>
  <c r="U186" i="2"/>
  <c r="F2155" i="2"/>
  <c r="K3415" i="2"/>
  <c r="F2694" i="2"/>
  <c r="M2447" i="2"/>
  <c r="L3357" i="2"/>
  <c r="K2991" i="2"/>
  <c r="O2405" i="2"/>
  <c r="T2418" i="2"/>
  <c r="M2623" i="2"/>
  <c r="J1077" i="2"/>
  <c r="M2423" i="2"/>
  <c r="M2320" i="2"/>
  <c r="T1739" i="2"/>
  <c r="O2933" i="2"/>
  <c r="D3090" i="2"/>
  <c r="D1858" i="2"/>
  <c r="L2511" i="2"/>
  <c r="C2367" i="2"/>
  <c r="Q3031" i="2"/>
  <c r="D2598" i="2"/>
  <c r="H647" i="2"/>
  <c r="U1386" i="2"/>
  <c r="P3243" i="2"/>
  <c r="F2540" i="2"/>
  <c r="J1504" i="2"/>
  <c r="R2688" i="2"/>
  <c r="F3107" i="2"/>
  <c r="E3197" i="2"/>
  <c r="K3529" i="2"/>
  <c r="U433" i="2"/>
  <c r="K2791" i="2"/>
  <c r="N1797" i="2"/>
  <c r="H2936" i="2"/>
  <c r="F1821" i="2"/>
  <c r="O1469" i="2"/>
  <c r="V2178" i="2"/>
  <c r="V2507" i="2"/>
  <c r="L3144" i="2"/>
  <c r="G2521" i="2"/>
  <c r="K2202" i="2"/>
  <c r="R665" i="2"/>
  <c r="I3481" i="2"/>
  <c r="J1230" i="2"/>
  <c r="J2924" i="2"/>
  <c r="K3016" i="2"/>
  <c r="N2244" i="2"/>
  <c r="V2940" i="2"/>
  <c r="I2609" i="2"/>
  <c r="H3430" i="2"/>
  <c r="G2870" i="2"/>
  <c r="J3040" i="2"/>
  <c r="F756" i="2"/>
  <c r="O2966" i="2"/>
  <c r="L2312" i="2"/>
  <c r="S1944" i="2"/>
  <c r="M2221" i="2"/>
  <c r="R3137" i="2"/>
  <c r="U1972" i="2"/>
  <c r="H3102" i="2"/>
  <c r="S2810" i="2"/>
  <c r="W2906" i="2"/>
  <c r="V2985" i="2"/>
  <c r="V2600" i="2"/>
  <c r="T2378" i="2"/>
  <c r="S2931" i="2"/>
  <c r="H2810" i="2"/>
  <c r="F2580" i="2"/>
  <c r="T3311" i="2"/>
  <c r="H3007" i="2"/>
  <c r="O3538" i="2"/>
  <c r="I2865" i="2"/>
  <c r="O3096" i="2"/>
  <c r="J3032" i="2"/>
  <c r="O2273" i="2"/>
  <c r="P2653" i="2"/>
  <c r="C3106" i="2"/>
  <c r="G2250" i="2"/>
  <c r="E2771" i="2"/>
  <c r="M1682" i="2"/>
  <c r="M2785" i="2"/>
  <c r="L3424" i="2"/>
  <c r="I2863" i="2"/>
  <c r="P2721" i="2"/>
  <c r="W2700" i="2"/>
  <c r="E2269" i="2"/>
  <c r="S3085" i="2"/>
  <c r="L2779" i="2"/>
  <c r="T3304" i="2"/>
  <c r="G3532" i="2"/>
  <c r="R2547" i="2"/>
  <c r="W1932" i="2"/>
  <c r="F3402" i="2"/>
  <c r="J3534" i="2"/>
  <c r="K3121" i="2"/>
  <c r="E2715" i="2"/>
  <c r="P2863" i="2"/>
  <c r="D574" i="2"/>
  <c r="O2808" i="2"/>
  <c r="N3203" i="2"/>
  <c r="Q3137" i="2"/>
  <c r="N3250" i="2"/>
  <c r="M3059" i="2"/>
  <c r="D1430" i="2"/>
  <c r="R2140" i="2"/>
  <c r="R2872" i="2"/>
  <c r="U1760" i="2"/>
  <c r="K2831" i="2"/>
  <c r="N3430" i="2"/>
  <c r="I3192" i="2"/>
  <c r="T1510" i="2"/>
  <c r="H2943" i="2"/>
  <c r="S2796" i="2"/>
  <c r="O2888" i="2"/>
  <c r="N1602" i="2"/>
  <c r="L2667" i="2"/>
  <c r="T2020" i="2"/>
  <c r="V3014" i="2"/>
  <c r="H2953" i="2"/>
  <c r="N3105" i="2"/>
  <c r="G3281" i="2"/>
  <c r="M3130" i="2"/>
  <c r="L1946" i="2"/>
  <c r="W3337" i="2"/>
  <c r="J2626" i="2"/>
  <c r="L2120" i="2"/>
  <c r="U2830" i="2"/>
  <c r="P1437" i="2"/>
  <c r="L1331" i="2"/>
  <c r="L2271" i="2"/>
  <c r="G3200" i="2"/>
  <c r="S1248" i="2"/>
  <c r="K2573" i="2"/>
  <c r="I3247" i="2"/>
  <c r="O3327" i="2"/>
  <c r="K3060" i="2"/>
  <c r="N2265" i="2"/>
  <c r="K1649" i="2"/>
  <c r="F1942" i="2"/>
  <c r="Q3122" i="2"/>
  <c r="K3156" i="2"/>
  <c r="E3322" i="2"/>
  <c r="J2692" i="2"/>
  <c r="K2243" i="2"/>
  <c r="R2526" i="2"/>
  <c r="T2600" i="2"/>
  <c r="I3170" i="2"/>
  <c r="Q3282" i="2"/>
  <c r="H59" i="2"/>
  <c r="O3031" i="2"/>
  <c r="S3451" i="2"/>
  <c r="R2770" i="2"/>
  <c r="N3014" i="2"/>
  <c r="V2312" i="2"/>
  <c r="W2463" i="2"/>
  <c r="E3482" i="2"/>
  <c r="S2887" i="2"/>
  <c r="N2597" i="2"/>
  <c r="I3213" i="2"/>
  <c r="G2343" i="2"/>
  <c r="J1181" i="2"/>
  <c r="R2367" i="2"/>
  <c r="M329" i="2"/>
  <c r="R3069" i="2"/>
  <c r="L2229" i="2"/>
  <c r="K2101" i="2"/>
  <c r="N2506" i="2"/>
  <c r="P3454" i="2"/>
  <c r="Q2619" i="2"/>
  <c r="T1824" i="2"/>
  <c r="I2339" i="2"/>
  <c r="C2935" i="2"/>
  <c r="T2255" i="2"/>
  <c r="H2949" i="2"/>
  <c r="O3191" i="2"/>
  <c r="S2933" i="2"/>
  <c r="N725" i="2"/>
  <c r="R1933" i="2"/>
  <c r="L1067" i="2"/>
  <c r="T3260" i="2"/>
  <c r="K3148" i="2"/>
  <c r="Q3243" i="2"/>
  <c r="V2464" i="2"/>
  <c r="W1030" i="2"/>
  <c r="I3256" i="2"/>
  <c r="F2544" i="2"/>
  <c r="L3267" i="2"/>
  <c r="D2495" i="2"/>
  <c r="U1581" i="2"/>
  <c r="F2133" i="2"/>
  <c r="L2720" i="2"/>
  <c r="G2736" i="2"/>
  <c r="U2780" i="2"/>
  <c r="G1172" i="2"/>
  <c r="O2923" i="2"/>
  <c r="G3292" i="2"/>
  <c r="N1574" i="2"/>
  <c r="W2580" i="2"/>
  <c r="T176" i="2"/>
  <c r="H3173" i="2"/>
  <c r="S3366" i="2"/>
  <c r="T2759" i="2"/>
  <c r="N3113" i="2"/>
  <c r="J1663" i="2"/>
  <c r="V2548" i="2"/>
  <c r="Q3486" i="2"/>
  <c r="U973" i="2"/>
  <c r="W2167" i="2"/>
  <c r="C2964" i="2"/>
  <c r="G2730" i="2"/>
  <c r="J2548" i="2"/>
  <c r="K3083" i="2"/>
  <c r="E2716" i="2"/>
  <c r="H1423" i="2"/>
  <c r="P1170" i="2"/>
  <c r="J2917" i="2"/>
  <c r="O2485" i="2"/>
  <c r="V2560" i="2"/>
  <c r="N3139" i="2"/>
  <c r="E489" i="2"/>
  <c r="D2392" i="2"/>
  <c r="J1654" i="2"/>
  <c r="G3222" i="2"/>
  <c r="U3285" i="2"/>
  <c r="D1410" i="2"/>
  <c r="E1854" i="2"/>
  <c r="S3131" i="2"/>
  <c r="J2514" i="2"/>
  <c r="P1957" i="2"/>
  <c r="E2783" i="2"/>
  <c r="P803" i="2"/>
  <c r="N2531" i="2"/>
  <c r="E2188" i="2"/>
  <c r="C2816" i="2"/>
  <c r="C3143" i="2"/>
  <c r="O350" i="2"/>
  <c r="S1990" i="2"/>
  <c r="K2508" i="2"/>
  <c r="J3129" i="2"/>
  <c r="N2517" i="2"/>
  <c r="P482" i="2"/>
  <c r="R3035" i="2"/>
  <c r="D2980" i="2"/>
  <c r="D3285" i="2"/>
  <c r="R3238" i="2"/>
  <c r="G1751" i="2"/>
  <c r="N1969" i="2"/>
  <c r="I2506" i="2"/>
  <c r="F2261" i="2"/>
  <c r="K1667" i="2"/>
  <c r="N1564" i="2"/>
  <c r="L2679" i="2"/>
  <c r="K2307" i="2"/>
  <c r="K3372" i="2"/>
  <c r="J2372" i="2"/>
  <c r="L1699" i="2"/>
  <c r="D2237" i="2"/>
  <c r="E1151" i="2"/>
  <c r="W2588" i="2"/>
  <c r="R2353" i="2"/>
  <c r="S651" i="2"/>
  <c r="J2854" i="2"/>
  <c r="N3353" i="2"/>
  <c r="D2436" i="2"/>
  <c r="K2786" i="2"/>
  <c r="N2092" i="2"/>
  <c r="V3102" i="2"/>
  <c r="F2509" i="2"/>
  <c r="W2249" i="2"/>
  <c r="K1486" i="2"/>
  <c r="D2114" i="2"/>
  <c r="O2601" i="2"/>
  <c r="J1465" i="2"/>
  <c r="F433" i="2"/>
  <c r="L2272" i="2"/>
  <c r="Q3037" i="2"/>
  <c r="C3079" i="2"/>
  <c r="M1852" i="2"/>
  <c r="O3045" i="2"/>
  <c r="W2563" i="2"/>
  <c r="Q2584" i="2"/>
  <c r="S1876" i="2"/>
  <c r="Q2806" i="2"/>
  <c r="V1669" i="2"/>
  <c r="S673" i="2"/>
  <c r="H2396" i="2"/>
  <c r="G1341" i="2"/>
  <c r="M2440" i="2"/>
  <c r="K1965" i="2"/>
  <c r="N3120" i="2"/>
  <c r="T2321" i="2"/>
  <c r="M3085" i="2"/>
  <c r="Q2727" i="2"/>
  <c r="T2027" i="2"/>
  <c r="H2742" i="2"/>
  <c r="W1930" i="2"/>
  <c r="S2166" i="2"/>
  <c r="V1855" i="2"/>
  <c r="T1875" i="2"/>
  <c r="J2085" i="2"/>
  <c r="G392" i="2"/>
  <c r="T1504" i="2"/>
  <c r="C3231" i="2"/>
  <c r="S1260" i="2"/>
  <c r="L2743" i="2"/>
  <c r="T1871" i="2"/>
  <c r="I1581" i="2"/>
  <c r="K756" i="2"/>
  <c r="H2898" i="2"/>
  <c r="I2259" i="2"/>
  <c r="U2115" i="2"/>
  <c r="C3250" i="2"/>
  <c r="M2138" i="2"/>
  <c r="C2263" i="2"/>
  <c r="E3089" i="2"/>
  <c r="D2905" i="2"/>
  <c r="F1197" i="2"/>
  <c r="U2566" i="2"/>
  <c r="K1684" i="2"/>
  <c r="J505" i="2"/>
  <c r="Q1564" i="2"/>
  <c r="J1436" i="2"/>
  <c r="T3103" i="2"/>
  <c r="G1481" i="2"/>
  <c r="J3028" i="2"/>
  <c r="E1598" i="2"/>
  <c r="M3094" i="2"/>
  <c r="Q1452" i="2"/>
  <c r="D1894" i="2"/>
  <c r="S1863" i="2"/>
  <c r="O1736" i="2"/>
  <c r="M2577" i="2"/>
  <c r="H427" i="2"/>
  <c r="L2531" i="2"/>
  <c r="E448" i="2"/>
  <c r="W2012" i="2"/>
  <c r="K1663" i="2"/>
  <c r="I2284" i="2"/>
  <c r="H1778" i="2"/>
  <c r="I2567" i="2"/>
  <c r="R1367" i="2"/>
  <c r="G2187" i="2"/>
  <c r="L1476" i="2"/>
  <c r="O408" i="2"/>
  <c r="M2323" i="2"/>
  <c r="K3327" i="2"/>
  <c r="R2686" i="2"/>
  <c r="V2702" i="2"/>
  <c r="O690" i="2"/>
  <c r="G898" i="2"/>
  <c r="H523" i="2"/>
  <c r="C1801" i="2"/>
  <c r="K208" i="2"/>
  <c r="Q3292" i="2"/>
  <c r="W2772" i="2"/>
  <c r="J1697" i="2"/>
  <c r="U3122" i="2"/>
  <c r="D543" i="2"/>
  <c r="E1660" i="2"/>
  <c r="W2210" i="2"/>
  <c r="S2589" i="2"/>
  <c r="C232" i="2"/>
  <c r="Q2575" i="2"/>
  <c r="U2262" i="2"/>
  <c r="J2357" i="2"/>
  <c r="K705" i="2"/>
  <c r="N1958" i="2"/>
  <c r="P813" i="2"/>
  <c r="V3321" i="2"/>
  <c r="E2095" i="2"/>
  <c r="Q2781" i="2"/>
  <c r="S1172" i="2"/>
  <c r="M3314" i="2"/>
  <c r="K3280" i="2"/>
  <c r="R2538" i="2"/>
  <c r="R432" i="2"/>
  <c r="S332" i="2"/>
  <c r="G2068" i="2"/>
  <c r="H2684" i="2"/>
  <c r="V2513" i="2"/>
  <c r="D462" i="2"/>
  <c r="W1145" i="2"/>
  <c r="N1369" i="2"/>
  <c r="Q2406" i="2"/>
  <c r="P1002" i="2"/>
  <c r="T2132" i="2"/>
  <c r="L3261" i="2"/>
  <c r="G3253" i="2"/>
  <c r="S3287" i="2"/>
  <c r="K2564" i="2"/>
  <c r="N1635" i="2"/>
  <c r="R3116" i="2"/>
  <c r="T2642" i="2"/>
  <c r="F3029" i="2"/>
  <c r="C3444" i="2"/>
  <c r="O1803" i="2"/>
  <c r="U2112" i="2"/>
  <c r="V2982" i="2"/>
  <c r="P3222" i="2"/>
  <c r="J3154" i="2"/>
  <c r="W3346" i="2"/>
  <c r="C3536" i="2"/>
  <c r="K2606" i="2"/>
  <c r="C3300" i="2"/>
  <c r="U3368" i="2"/>
  <c r="C2271" i="2"/>
  <c r="S2294" i="2"/>
  <c r="I1872" i="2"/>
  <c r="L2694" i="2"/>
  <c r="E2345" i="2"/>
  <c r="L3130" i="2"/>
  <c r="J3555" i="2"/>
  <c r="M2527" i="2"/>
  <c r="P2796" i="2"/>
  <c r="F2902" i="2"/>
  <c r="F2568" i="2"/>
  <c r="H3463" i="2"/>
  <c r="W1915" i="2"/>
  <c r="P3319" i="2"/>
  <c r="T3043" i="2"/>
  <c r="E2742" i="2"/>
  <c r="M1826" i="2"/>
  <c r="S1909" i="2"/>
  <c r="I2784" i="2"/>
  <c r="H3061" i="2"/>
  <c r="N604" i="2"/>
  <c r="W1091" i="2"/>
  <c r="M3561" i="2"/>
  <c r="N3050" i="2"/>
  <c r="K3172" i="2"/>
  <c r="H3539" i="2"/>
  <c r="V3080" i="2"/>
  <c r="R3142" i="2"/>
  <c r="U689" i="2"/>
  <c r="G3396" i="2"/>
  <c r="K3382" i="2"/>
  <c r="P2778" i="2"/>
  <c r="U2768" i="2"/>
  <c r="N2890" i="2"/>
  <c r="G3389" i="2"/>
  <c r="I2955" i="2"/>
  <c r="G2892" i="2"/>
  <c r="K2949" i="2"/>
  <c r="D3295" i="2"/>
  <c r="H2660" i="2"/>
  <c r="F933" i="2"/>
  <c r="U2341" i="2"/>
  <c r="E925" i="2"/>
  <c r="I433" i="2"/>
  <c r="I2799" i="2"/>
  <c r="T3395" i="2"/>
  <c r="M1607" i="2"/>
  <c r="E2944" i="2"/>
  <c r="F3346" i="2"/>
  <c r="V2447" i="2"/>
  <c r="W2505" i="2"/>
  <c r="L3014" i="2"/>
  <c r="S2483" i="2"/>
  <c r="O1545" i="2"/>
  <c r="U1562" i="2"/>
  <c r="P1211" i="2"/>
  <c r="V3500" i="2"/>
  <c r="H3093" i="2"/>
  <c r="E3195" i="2"/>
  <c r="K2763" i="2"/>
  <c r="L2284" i="2"/>
  <c r="N2363" i="2"/>
  <c r="P2881" i="2"/>
  <c r="U3480" i="2"/>
  <c r="N3333" i="2"/>
  <c r="S1815" i="2"/>
  <c r="S2495" i="2"/>
  <c r="G2427" i="2"/>
  <c r="R1443" i="2"/>
  <c r="U2460" i="2"/>
  <c r="P3228" i="2"/>
  <c r="K3246" i="2"/>
  <c r="F2583" i="2"/>
  <c r="D1633" i="2"/>
  <c r="E3135" i="2"/>
  <c r="L1669" i="2"/>
  <c r="D2244" i="2"/>
  <c r="Q2291" i="2"/>
  <c r="Q1227" i="2"/>
  <c r="S2289" i="2"/>
  <c r="S3050" i="2"/>
  <c r="H2495" i="2"/>
  <c r="M2256" i="2"/>
  <c r="M2078" i="2"/>
  <c r="V2988" i="2"/>
  <c r="M3008" i="2"/>
  <c r="D987" i="2"/>
  <c r="H2251" i="2"/>
  <c r="L2078" i="2"/>
  <c r="L2845" i="2"/>
  <c r="E2854" i="2"/>
  <c r="J2185" i="2"/>
  <c r="D3110" i="2"/>
  <c r="I2038" i="2"/>
  <c r="F2380" i="2"/>
  <c r="C2740" i="2"/>
  <c r="I2170" i="2"/>
  <c r="N1656" i="2"/>
  <c r="V2794" i="2"/>
  <c r="Q3060" i="2"/>
  <c r="M3250" i="2"/>
  <c r="L1238" i="2"/>
  <c r="L3170" i="2"/>
  <c r="D2753" i="2"/>
  <c r="O1872" i="2"/>
  <c r="C1214" i="2"/>
  <c r="C1653" i="2"/>
  <c r="G2634" i="2"/>
  <c r="S2014" i="2"/>
  <c r="T1479" i="2"/>
  <c r="H2975" i="2"/>
  <c r="W1525" i="2"/>
  <c r="F2809" i="2"/>
  <c r="T2489" i="2"/>
  <c r="V3048" i="2"/>
  <c r="S3023" i="2"/>
  <c r="F2751" i="2"/>
  <c r="T1591" i="2"/>
  <c r="I3095" i="2"/>
  <c r="M833" i="2"/>
  <c r="T2098" i="2"/>
  <c r="E2824" i="2"/>
  <c r="E2895" i="2"/>
  <c r="F2165" i="2"/>
  <c r="G2559" i="2"/>
  <c r="H555" i="2"/>
  <c r="O1462" i="2"/>
  <c r="L2394" i="2"/>
  <c r="U1547" i="2"/>
  <c r="W1688" i="2"/>
  <c r="S2584" i="2"/>
  <c r="Q2480" i="2"/>
  <c r="W1502" i="2"/>
  <c r="O2635" i="2"/>
  <c r="K2941" i="2"/>
  <c r="W2640" i="2"/>
  <c r="Q2852" i="2"/>
  <c r="R2576" i="2"/>
  <c r="K2301" i="2"/>
  <c r="V1661" i="2"/>
  <c r="G3575" i="2"/>
  <c r="V1600" i="2"/>
  <c r="U3267" i="2"/>
  <c r="V3159" i="2"/>
  <c r="R2071" i="2"/>
  <c r="N3047" i="2"/>
  <c r="P2608" i="2"/>
  <c r="F2294" i="2"/>
  <c r="O1428" i="2"/>
  <c r="U369" i="2"/>
  <c r="F2113" i="2"/>
  <c r="R2145" i="2"/>
  <c r="Q3319" i="2"/>
  <c r="S2753" i="2"/>
  <c r="M2716" i="2"/>
  <c r="M1870" i="2"/>
  <c r="U2547" i="2"/>
  <c r="P3087" i="2"/>
  <c r="I2781" i="2"/>
  <c r="J2855" i="2"/>
  <c r="E1578" i="2"/>
  <c r="L2012" i="2"/>
  <c r="R2846" i="2"/>
  <c r="J3006" i="2"/>
  <c r="L2136" i="2"/>
  <c r="M2985" i="2"/>
  <c r="K2689" i="2"/>
  <c r="Q292" i="2"/>
  <c r="W3074" i="2"/>
  <c r="W3143" i="2"/>
  <c r="U2170" i="2"/>
  <c r="J1348" i="2"/>
  <c r="M3010" i="2"/>
  <c r="J3109" i="2"/>
  <c r="V2530" i="2"/>
  <c r="W2848" i="2"/>
  <c r="Q3134" i="2"/>
  <c r="T2375" i="2"/>
  <c r="J2962" i="2"/>
  <c r="D2123" i="2"/>
  <c r="Q2855" i="2"/>
  <c r="U2248" i="2"/>
  <c r="J2774" i="2"/>
  <c r="I3405" i="2"/>
  <c r="W359" i="2"/>
  <c r="N668" i="2"/>
  <c r="V1358" i="2"/>
  <c r="Q2371" i="2"/>
  <c r="N1212" i="2"/>
  <c r="S3117" i="2"/>
  <c r="H3031" i="2"/>
  <c r="G2164" i="2"/>
  <c r="H2542" i="2"/>
  <c r="R1073" i="2"/>
  <c r="J3415" i="2"/>
  <c r="G2925" i="2"/>
  <c r="K3537" i="2"/>
  <c r="C2971" i="2"/>
  <c r="U3064" i="2"/>
  <c r="K2247" i="2"/>
  <c r="L2285" i="2"/>
  <c r="T2946" i="2"/>
  <c r="P2320" i="2"/>
  <c r="P3237" i="2"/>
  <c r="V3215" i="2"/>
  <c r="U3242" i="2"/>
  <c r="S2900" i="2"/>
  <c r="S3184" i="2"/>
  <c r="V849" i="2"/>
  <c r="C2791" i="2"/>
  <c r="O1390" i="2"/>
  <c r="J2950" i="2"/>
  <c r="V3318" i="2"/>
  <c r="L3310" i="2"/>
  <c r="C3383" i="2"/>
  <c r="F3486" i="2"/>
  <c r="D1810" i="2"/>
  <c r="T1315" i="2"/>
  <c r="E3496" i="2"/>
  <c r="L3444" i="2"/>
  <c r="E3227" i="2"/>
  <c r="D3168" i="2"/>
  <c r="R1835" i="2"/>
  <c r="F3163" i="2"/>
  <c r="N2189" i="2"/>
  <c r="M1889" i="2"/>
  <c r="E2548" i="2"/>
  <c r="M3208" i="2"/>
  <c r="U3102" i="2"/>
  <c r="T3508" i="2"/>
  <c r="Q3429" i="2"/>
  <c r="C2805" i="2"/>
  <c r="H3500" i="2"/>
  <c r="T1550" i="2"/>
  <c r="R3202" i="2"/>
  <c r="N1994" i="2"/>
  <c r="P2801" i="2"/>
  <c r="Q3233" i="2"/>
  <c r="G2344" i="2"/>
  <c r="N2893" i="2"/>
  <c r="K2759" i="2"/>
  <c r="O1759" i="2"/>
  <c r="R2741" i="2"/>
  <c r="H1868" i="2"/>
  <c r="U3076" i="2"/>
  <c r="U2406" i="2"/>
  <c r="S2387" i="2"/>
  <c r="Q2739" i="2"/>
  <c r="P3349" i="2"/>
  <c r="K2035" i="2"/>
  <c r="O2938" i="2"/>
  <c r="G2959" i="2"/>
  <c r="W2845" i="2"/>
  <c r="W3592" i="2"/>
  <c r="T3137" i="2"/>
  <c r="N3194" i="2"/>
  <c r="U2458" i="2"/>
  <c r="E982" i="2"/>
  <c r="K2721" i="2"/>
  <c r="N2968" i="2"/>
  <c r="D2368" i="2"/>
  <c r="C3276" i="2"/>
  <c r="Q3608" i="2"/>
  <c r="S2214" i="2"/>
  <c r="T3405" i="2"/>
  <c r="V2637" i="2"/>
  <c r="D2880" i="2"/>
  <c r="M2953" i="2"/>
  <c r="T1758" i="2"/>
  <c r="C2967" i="2"/>
  <c r="R3079" i="2"/>
  <c r="Q2699" i="2"/>
  <c r="R3027" i="2"/>
  <c r="M2396" i="2"/>
  <c r="M2898" i="2"/>
  <c r="P2950" i="2"/>
  <c r="M2683" i="2"/>
  <c r="U1500" i="2"/>
  <c r="W3109" i="2"/>
  <c r="E2618" i="2"/>
  <c r="I3179" i="2"/>
  <c r="E3269" i="2"/>
  <c r="H1895" i="2"/>
  <c r="J1866" i="2"/>
  <c r="D1962" i="2"/>
  <c r="M3071" i="2"/>
  <c r="P2790" i="2"/>
  <c r="D3519" i="2"/>
  <c r="O2757" i="2"/>
  <c r="T3539" i="2"/>
  <c r="F1209" i="2"/>
  <c r="C2641" i="2"/>
  <c r="D3386" i="2"/>
  <c r="G3241" i="2"/>
  <c r="W3375" i="2"/>
  <c r="E2871" i="2"/>
  <c r="H1605" i="2"/>
  <c r="H3627" i="2"/>
  <c r="L2579" i="2"/>
  <c r="P3500" i="2"/>
  <c r="O1764" i="2"/>
  <c r="V1597" i="2"/>
  <c r="N1902" i="2"/>
  <c r="T2910" i="2"/>
  <c r="C2602" i="2"/>
  <c r="N2854" i="2"/>
  <c r="M2825" i="2"/>
  <c r="P3184" i="2"/>
  <c r="K2425" i="2"/>
  <c r="O2874" i="2"/>
  <c r="I2097" i="2"/>
  <c r="L2191" i="2"/>
  <c r="G2499" i="2"/>
  <c r="G2495" i="2"/>
  <c r="L3472" i="2"/>
  <c r="N2793" i="2"/>
  <c r="C1551" i="2"/>
  <c r="H280" i="2"/>
  <c r="R3029" i="2"/>
  <c r="S2804" i="2"/>
  <c r="H2499" i="2"/>
  <c r="H1814" i="2"/>
  <c r="H2691" i="2"/>
  <c r="I2638" i="2"/>
  <c r="G3271" i="2"/>
  <c r="H2003" i="2"/>
  <c r="E3231" i="2"/>
  <c r="M2516" i="2"/>
  <c r="G1757" i="2"/>
  <c r="G2356" i="2"/>
  <c r="O2461" i="2"/>
  <c r="J3073" i="2"/>
  <c r="N2120" i="2"/>
  <c r="Q1296" i="2"/>
  <c r="M903" i="2"/>
  <c r="I3081" i="2"/>
  <c r="F2159" i="2"/>
  <c r="T1838" i="2"/>
  <c r="H2222" i="2"/>
  <c r="G2842" i="2"/>
  <c r="J2285" i="2"/>
  <c r="P3112" i="2"/>
  <c r="F1508" i="2"/>
  <c r="N3111" i="2"/>
  <c r="R2980" i="2"/>
  <c r="M2338" i="2"/>
  <c r="U2883" i="2"/>
  <c r="T2931" i="2"/>
  <c r="W2127" i="2"/>
  <c r="I1947" i="2"/>
  <c r="S1293" i="2"/>
  <c r="O3198" i="2"/>
  <c r="S1554" i="2"/>
  <c r="E1981" i="2"/>
  <c r="I2090" i="2"/>
  <c r="E3170" i="2"/>
  <c r="G2328" i="2"/>
  <c r="N1557" i="2"/>
  <c r="N3265" i="2"/>
  <c r="T2794" i="2"/>
  <c r="U452" i="2"/>
  <c r="E1567" i="2"/>
  <c r="M1965" i="2"/>
  <c r="L3622" i="2"/>
  <c r="U2289" i="2"/>
  <c r="J2279" i="2"/>
  <c r="W3042" i="2"/>
  <c r="Q2234" i="2"/>
  <c r="K3198" i="2"/>
  <c r="R1701" i="2"/>
  <c r="C3138" i="2"/>
  <c r="Q2716" i="2"/>
  <c r="T1913" i="2"/>
  <c r="N2912" i="2"/>
  <c r="G1310" i="2"/>
  <c r="V2020" i="2"/>
  <c r="K2538" i="2"/>
  <c r="L2024" i="2"/>
  <c r="D2833" i="2"/>
  <c r="V2668" i="2"/>
  <c r="N1714" i="2"/>
  <c r="E3058" i="2"/>
  <c r="I3024" i="2"/>
  <c r="T2988" i="2"/>
  <c r="K3221" i="2"/>
  <c r="L3125" i="2"/>
  <c r="N2379" i="2"/>
  <c r="G2693" i="2"/>
  <c r="N1466" i="2"/>
  <c r="N3007" i="2"/>
  <c r="N3053" i="2"/>
  <c r="S3226" i="2"/>
  <c r="H952" i="2"/>
  <c r="V1569" i="2"/>
  <c r="L3113" i="2"/>
  <c r="M1497" i="2"/>
  <c r="L2758" i="2"/>
  <c r="M2229" i="2"/>
  <c r="M1216" i="2"/>
  <c r="Q1065" i="2"/>
  <c r="U2456" i="2"/>
  <c r="S2179" i="2"/>
  <c r="V2599" i="2"/>
  <c r="C2509" i="2"/>
  <c r="T1233" i="2"/>
  <c r="U3053" i="2"/>
  <c r="M3337" i="2"/>
  <c r="J3149" i="2"/>
  <c r="V3247" i="2"/>
  <c r="O3578" i="2"/>
  <c r="R2013" i="2"/>
  <c r="I3424" i="2"/>
  <c r="S2997" i="2"/>
  <c r="E3035" i="2"/>
  <c r="T3327" i="2"/>
  <c r="P1707" i="2"/>
  <c r="G3126" i="2"/>
  <c r="J2443" i="2"/>
  <c r="I3473" i="2"/>
  <c r="P2377" i="2"/>
  <c r="D3112" i="2"/>
  <c r="K2775" i="2"/>
  <c r="F1796" i="2"/>
  <c r="K3457" i="2"/>
  <c r="S2053" i="2"/>
  <c r="W2272" i="2"/>
  <c r="F3015" i="2"/>
  <c r="L277" i="2"/>
  <c r="V1773" i="2"/>
  <c r="F2801" i="2"/>
  <c r="K2077" i="2"/>
  <c r="Q2666" i="2"/>
  <c r="W1389" i="2"/>
  <c r="G3316" i="2"/>
  <c r="V818" i="2"/>
  <c r="J2033" i="2"/>
  <c r="J3108" i="2"/>
  <c r="F3172" i="2"/>
  <c r="Q3390" i="2"/>
  <c r="J3246" i="2"/>
  <c r="W2719" i="2"/>
  <c r="U2517" i="2"/>
  <c r="C2957" i="2"/>
  <c r="L2727" i="2"/>
  <c r="V2959" i="2"/>
  <c r="Q2807" i="2"/>
  <c r="G2663" i="2"/>
  <c r="U2880" i="2"/>
  <c r="P2481" i="2"/>
  <c r="C3350" i="2"/>
  <c r="J1646" i="2"/>
  <c r="I2468" i="2"/>
  <c r="C1859" i="2"/>
  <c r="G3290" i="2"/>
  <c r="T3036" i="2"/>
  <c r="I2952" i="2"/>
  <c r="M3254" i="2"/>
  <c r="U1498" i="2"/>
  <c r="F1695" i="2"/>
  <c r="G3161" i="2"/>
  <c r="U3412" i="2"/>
  <c r="H3269" i="2"/>
  <c r="P3478" i="2"/>
  <c r="I2971" i="2"/>
  <c r="U1897" i="2"/>
  <c r="K2840" i="2"/>
  <c r="U1592" i="2"/>
  <c r="M1851" i="2"/>
  <c r="L3268" i="2"/>
  <c r="O2978" i="2"/>
  <c r="D3019" i="2"/>
  <c r="C2941" i="2"/>
  <c r="R1800" i="2"/>
  <c r="I3529" i="2"/>
  <c r="P2353" i="2"/>
  <c r="L2309" i="2"/>
  <c r="G2163" i="2"/>
  <c r="J2990" i="2"/>
  <c r="M1974" i="2"/>
  <c r="K3445" i="2"/>
  <c r="K3223" i="2"/>
  <c r="R3603" i="2"/>
  <c r="W3119" i="2"/>
  <c r="S2910" i="2"/>
  <c r="C2613" i="2"/>
  <c r="Q2481" i="2"/>
  <c r="D1629" i="2"/>
  <c r="T3037" i="2"/>
  <c r="L2799" i="2"/>
  <c r="D2373" i="2"/>
  <c r="G2874" i="2"/>
  <c r="O1388" i="2"/>
  <c r="O2218" i="2"/>
  <c r="L3175" i="2"/>
  <c r="H2960" i="2"/>
  <c r="T1390" i="2"/>
  <c r="E2501" i="2"/>
  <c r="H3291" i="2"/>
  <c r="U3264" i="2"/>
  <c r="J2067" i="2"/>
  <c r="W3353" i="2"/>
  <c r="G3311" i="2"/>
  <c r="V3432" i="2"/>
  <c r="G1952" i="2"/>
  <c r="H2187" i="2"/>
  <c r="I3115" i="2"/>
  <c r="J3087" i="2"/>
  <c r="V2243" i="2"/>
  <c r="J1833" i="2"/>
  <c r="C2657" i="2"/>
  <c r="R3356" i="2"/>
  <c r="O2302" i="2"/>
  <c r="T2306" i="2"/>
  <c r="H3026" i="2"/>
  <c r="D2652" i="2"/>
  <c r="S1983" i="2"/>
  <c r="C3284" i="2"/>
  <c r="H1939" i="2"/>
  <c r="G2662" i="2"/>
  <c r="J2241" i="2"/>
  <c r="J2625" i="2"/>
  <c r="C1426" i="2"/>
  <c r="F2312" i="2"/>
  <c r="H2390" i="2"/>
  <c r="K1550" i="2"/>
  <c r="O1993" i="2"/>
  <c r="Q2581" i="2"/>
  <c r="J2701" i="2"/>
  <c r="P3261" i="2"/>
  <c r="S2365" i="2"/>
  <c r="E2423" i="2"/>
  <c r="J1519" i="2"/>
  <c r="C2599" i="2"/>
  <c r="V2893" i="2"/>
  <c r="L1889" i="2"/>
  <c r="L2761" i="2"/>
  <c r="T3229" i="2"/>
  <c r="S3029" i="2"/>
  <c r="V2538" i="2"/>
  <c r="O2918" i="2"/>
  <c r="F3331" i="2"/>
  <c r="D2217" i="2"/>
  <c r="N3136" i="2"/>
  <c r="L2371" i="2"/>
  <c r="G2329" i="2"/>
  <c r="R760" i="2"/>
  <c r="R3127" i="2"/>
  <c r="C1505" i="2"/>
  <c r="F1556" i="2"/>
  <c r="M2556" i="2"/>
  <c r="K604" i="2"/>
  <c r="J3473" i="2"/>
  <c r="T1765" i="2"/>
  <c r="E2786" i="2"/>
  <c r="E2840" i="2"/>
  <c r="R2361" i="2"/>
  <c r="O1861" i="2"/>
  <c r="R2397" i="2"/>
  <c r="Q1674" i="2"/>
  <c r="H369" i="2"/>
  <c r="K2359" i="2"/>
  <c r="C3027" i="2"/>
  <c r="U462" i="2"/>
  <c r="P2920" i="2"/>
  <c r="P2755" i="2"/>
  <c r="E2673" i="2"/>
  <c r="O1206" i="2"/>
  <c r="U3149" i="2"/>
  <c r="W2945" i="2"/>
  <c r="F1524" i="2"/>
  <c r="V2463" i="2"/>
  <c r="H2873" i="2"/>
  <c r="C3189" i="2"/>
  <c r="I2613" i="2"/>
  <c r="H1256" i="2"/>
  <c r="G1445" i="2"/>
  <c r="I1275" i="2"/>
  <c r="D3022" i="2"/>
  <c r="W2302" i="2"/>
  <c r="O2911" i="2"/>
  <c r="F1609" i="2"/>
  <c r="I2257" i="2"/>
  <c r="I750" i="2"/>
  <c r="W3148" i="2"/>
  <c r="S1577" i="2"/>
  <c r="H2561" i="2"/>
  <c r="F2578" i="2"/>
  <c r="W2738" i="2"/>
  <c r="U3046" i="2"/>
  <c r="C1722" i="2"/>
  <c r="M1457" i="2"/>
  <c r="C2429" i="2"/>
  <c r="O1582" i="2"/>
  <c r="V2304" i="2"/>
  <c r="Q1983" i="2"/>
  <c r="W2898" i="2"/>
  <c r="G1553" i="2"/>
  <c r="P1632" i="2"/>
  <c r="K2390" i="2"/>
  <c r="R574" i="2"/>
  <c r="K2795" i="2"/>
  <c r="G1328" i="2"/>
  <c r="R3374" i="2"/>
  <c r="H1170" i="2"/>
  <c r="H2200" i="2"/>
  <c r="E2439" i="2"/>
  <c r="O2944" i="2"/>
  <c r="U2272" i="2"/>
  <c r="C3475" i="2"/>
  <c r="R1716" i="2"/>
  <c r="I2643" i="2"/>
  <c r="R2798" i="2"/>
  <c r="P2671" i="2"/>
  <c r="L1228" i="2"/>
  <c r="J1456" i="2"/>
  <c r="K3228" i="2"/>
  <c r="R2224" i="2"/>
  <c r="P2783" i="2"/>
  <c r="L3537" i="2"/>
  <c r="D1340" i="2"/>
  <c r="K2176" i="2"/>
  <c r="C2673" i="2"/>
  <c r="V1165" i="2"/>
  <c r="D1717" i="2"/>
  <c r="H3187" i="2"/>
  <c r="W1828" i="2"/>
  <c r="F1597" i="2"/>
  <c r="W1719" i="2"/>
  <c r="N3197" i="2"/>
  <c r="U3100" i="2"/>
  <c r="L786" i="2"/>
  <c r="S2659" i="2"/>
  <c r="R1192" i="2"/>
  <c r="E2311" i="2"/>
  <c r="G2357" i="2"/>
  <c r="G2460" i="2"/>
  <c r="Q2609" i="2"/>
  <c r="V2865" i="2"/>
  <c r="H3571" i="2"/>
  <c r="L2624" i="2"/>
  <c r="C2193" i="2"/>
  <c r="Q1628" i="2"/>
  <c r="C3402" i="2"/>
  <c r="Q3582" i="2"/>
  <c r="W2955" i="2"/>
  <c r="E3492" i="2"/>
  <c r="F3330" i="2"/>
  <c r="G1870" i="2"/>
  <c r="L3190" i="2"/>
  <c r="F2677" i="2"/>
  <c r="P3302" i="2"/>
  <c r="D2412" i="2"/>
  <c r="P1619" i="2"/>
  <c r="S2679" i="2"/>
  <c r="Q2509" i="2"/>
  <c r="G2829" i="2"/>
  <c r="V2631" i="2"/>
  <c r="G651" i="2"/>
  <c r="P2210" i="2"/>
  <c r="U3204" i="2"/>
  <c r="W2003" i="2"/>
  <c r="R2378" i="2"/>
  <c r="M2845" i="2"/>
  <c r="R3305" i="2"/>
  <c r="M2753" i="2"/>
  <c r="N2798" i="2"/>
  <c r="V3282" i="2"/>
  <c r="I3313" i="2"/>
  <c r="W3050" i="2"/>
  <c r="Q2253" i="2"/>
  <c r="U3132" i="2"/>
  <c r="V917" i="2"/>
  <c r="N3245" i="2"/>
  <c r="G2817" i="2"/>
  <c r="S2898" i="2"/>
  <c r="K2986" i="2"/>
  <c r="D2791" i="2"/>
  <c r="U2906" i="2"/>
  <c r="H3282" i="2"/>
  <c r="C3030" i="2"/>
  <c r="L2928" i="2"/>
  <c r="E3607" i="2"/>
  <c r="E2990" i="2"/>
  <c r="C3120" i="2"/>
  <c r="S2858" i="2"/>
  <c r="W1222" i="2"/>
  <c r="P2181" i="2"/>
  <c r="R2678" i="2"/>
  <c r="O3222" i="2"/>
  <c r="U2294" i="2"/>
  <c r="K3062" i="2"/>
  <c r="M854" i="2"/>
  <c r="L3508" i="2"/>
  <c r="H1983" i="2"/>
  <c r="I3550" i="2"/>
  <c r="W2897" i="2"/>
  <c r="N3213" i="2"/>
  <c r="C668" i="2"/>
  <c r="Q2706" i="2"/>
  <c r="C2718" i="2"/>
  <c r="T2962" i="2"/>
  <c r="I1854" i="2"/>
  <c r="N1990" i="2"/>
  <c r="G2484" i="2"/>
  <c r="T2711" i="2"/>
  <c r="C2705" i="2"/>
  <c r="M3384" i="2"/>
  <c r="N1946" i="2"/>
  <c r="S3010" i="2"/>
  <c r="O3348" i="2"/>
  <c r="F2835" i="2"/>
  <c r="T2112" i="2"/>
  <c r="V1918" i="2"/>
  <c r="V2205" i="2"/>
  <c r="M2554" i="2"/>
  <c r="R2971" i="2"/>
  <c r="L3320" i="2"/>
  <c r="P2953" i="2"/>
  <c r="T2951" i="2"/>
  <c r="W2958" i="2"/>
  <c r="W2653" i="2"/>
  <c r="H2930" i="2"/>
  <c r="I2579" i="2"/>
  <c r="N2160" i="2"/>
  <c r="Q2288" i="2"/>
  <c r="G2998" i="2"/>
  <c r="W2448" i="2"/>
  <c r="I3329" i="2"/>
  <c r="C3192" i="2"/>
  <c r="C1526" i="2"/>
  <c r="K931" i="2"/>
  <c r="H2996" i="2"/>
  <c r="C2654" i="2"/>
  <c r="C2626" i="2"/>
  <c r="E863" i="2"/>
  <c r="N2872" i="2"/>
  <c r="N3177" i="2"/>
  <c r="I2940" i="2"/>
  <c r="I2375" i="2"/>
  <c r="L2501" i="2"/>
  <c r="U3377" i="2"/>
  <c r="P3336" i="2"/>
  <c r="F2328" i="2"/>
  <c r="I2917" i="2"/>
  <c r="H2731" i="2"/>
  <c r="S1910" i="2"/>
  <c r="H3382" i="2"/>
  <c r="O2867" i="2"/>
  <c r="D2929" i="2"/>
  <c r="R2018" i="2"/>
  <c r="M3409" i="2"/>
  <c r="M3375" i="2"/>
  <c r="N516" i="2"/>
  <c r="U2533" i="2"/>
  <c r="L2966" i="2"/>
  <c r="R3050" i="2"/>
  <c r="M3112" i="2"/>
  <c r="V2999" i="2"/>
  <c r="V3300" i="2"/>
  <c r="D2997" i="2"/>
  <c r="U1786" i="2"/>
  <c r="N2913" i="2"/>
  <c r="W2717" i="2"/>
  <c r="F2739" i="2"/>
  <c r="G2860" i="2"/>
  <c r="J2396" i="2"/>
  <c r="I2998" i="2"/>
  <c r="S2982" i="2"/>
  <c r="E3177" i="2"/>
  <c r="S3326" i="2"/>
  <c r="R2620" i="2"/>
  <c r="P2914" i="2"/>
  <c r="C2815" i="2"/>
  <c r="O2364" i="2"/>
  <c r="C2531" i="2"/>
  <c r="C2384" i="2"/>
  <c r="J3491" i="2"/>
  <c r="C2054" i="2"/>
  <c r="E2820" i="2"/>
  <c r="I2582" i="2"/>
  <c r="J2926" i="2"/>
  <c r="D2701" i="2"/>
  <c r="G1748" i="2"/>
  <c r="I3595" i="2"/>
  <c r="S1264" i="2"/>
  <c r="D2930" i="2"/>
  <c r="N2633" i="2"/>
  <c r="I1816" i="2"/>
  <c r="P1504" i="2"/>
  <c r="D1644" i="2"/>
  <c r="H2870" i="2"/>
  <c r="C2827" i="2"/>
  <c r="L1913" i="2"/>
  <c r="M1473" i="2"/>
  <c r="K1160" i="2"/>
  <c r="P2282" i="2"/>
  <c r="L3128" i="2"/>
  <c r="F2422" i="2"/>
  <c r="K1786" i="2"/>
  <c r="Q1537" i="2"/>
  <c r="J2323" i="2"/>
  <c r="G2032" i="2"/>
  <c r="O736" i="2"/>
  <c r="I2485" i="2"/>
  <c r="P3244" i="2"/>
  <c r="H3285" i="2"/>
  <c r="P3212" i="2"/>
  <c r="V2832" i="2"/>
  <c r="G2149" i="2"/>
  <c r="D2208" i="2"/>
  <c r="U1722" i="2"/>
  <c r="L2161" i="2"/>
  <c r="J1648" i="2"/>
  <c r="K368" i="2"/>
  <c r="N829" i="2"/>
  <c r="I3034" i="2"/>
  <c r="P3247" i="2"/>
  <c r="E3115" i="2"/>
  <c r="D1790" i="2"/>
  <c r="V3033" i="2"/>
  <c r="G1630" i="2"/>
  <c r="M2941" i="2"/>
  <c r="S3216" i="2"/>
  <c r="Q1514" i="2"/>
  <c r="R2010" i="2"/>
  <c r="L2023" i="2"/>
  <c r="E1384" i="2"/>
  <c r="L2645" i="2"/>
  <c r="V3029" i="2"/>
  <c r="D3238" i="2"/>
  <c r="R2368" i="2"/>
  <c r="Q2907" i="2"/>
  <c r="I2023" i="2"/>
  <c r="C3059" i="2"/>
  <c r="F1161" i="2"/>
  <c r="G2255" i="2"/>
  <c r="R2621" i="2"/>
  <c r="D2486" i="2"/>
  <c r="Q1818" i="2"/>
  <c r="D1405" i="2"/>
  <c r="I1515" i="2"/>
  <c r="G2172" i="2"/>
  <c r="K2430" i="2"/>
  <c r="Q2497" i="2"/>
  <c r="V3160" i="2"/>
  <c r="U2265" i="2"/>
  <c r="G3139" i="2"/>
  <c r="K3604" i="2"/>
  <c r="L2568" i="2"/>
  <c r="H2956" i="2"/>
  <c r="O2237" i="2"/>
  <c r="V1916" i="2"/>
  <c r="G2261" i="2"/>
  <c r="W2203" i="2"/>
  <c r="F1723" i="2"/>
  <c r="L2318" i="2"/>
  <c r="G2075" i="2"/>
  <c r="W2513" i="2"/>
  <c r="U2081" i="2"/>
  <c r="F145" i="2"/>
  <c r="U2403" i="2"/>
  <c r="O3609" i="2"/>
  <c r="K1747" i="2"/>
  <c r="F1627" i="2"/>
  <c r="C315" i="2"/>
  <c r="O3400" i="2"/>
  <c r="R2708" i="2"/>
  <c r="W376" i="2"/>
  <c r="G1839" i="2"/>
  <c r="I1920" i="2"/>
  <c r="Q2440" i="2"/>
  <c r="M2213" i="2"/>
  <c r="P2846" i="2"/>
  <c r="R2588" i="2"/>
  <c r="R209" i="2"/>
  <c r="C2883" i="2"/>
  <c r="Q1891" i="2"/>
  <c r="V916" i="2"/>
  <c r="I2395" i="2"/>
  <c r="K2865" i="2"/>
  <c r="O3110" i="2"/>
  <c r="G3097" i="2"/>
  <c r="H2646" i="2"/>
  <c r="S2928" i="2"/>
  <c r="T2498" i="2"/>
  <c r="D3039" i="2"/>
  <c r="K2802" i="2"/>
  <c r="Q2795" i="2"/>
  <c r="J1466" i="2"/>
  <c r="I1733" i="2"/>
  <c r="I2713" i="2"/>
  <c r="N3269" i="2"/>
  <c r="M3339" i="2"/>
  <c r="N2315" i="2"/>
  <c r="C3022" i="2"/>
  <c r="M2882" i="2"/>
  <c r="H3060" i="2"/>
  <c r="E2230" i="2"/>
  <c r="G3399" i="2"/>
  <c r="G2972" i="2"/>
  <c r="J1982" i="2"/>
  <c r="N1105" i="2"/>
  <c r="H1036" i="2"/>
  <c r="S2651" i="2"/>
  <c r="J2152" i="2"/>
  <c r="H2539" i="2"/>
  <c r="T916" i="2"/>
  <c r="W3083" i="2"/>
  <c r="N2978" i="2"/>
  <c r="N2282" i="2"/>
  <c r="I1938" i="2"/>
  <c r="G2844" i="2"/>
  <c r="E2334" i="2"/>
  <c r="P2718" i="2"/>
  <c r="S827" i="2"/>
  <c r="J2126" i="2"/>
  <c r="D3528" i="2"/>
  <c r="M938" i="2"/>
  <c r="N161" i="2"/>
  <c r="K846" i="2"/>
  <c r="T2714" i="2"/>
  <c r="R398" i="2"/>
  <c r="E2149" i="2"/>
  <c r="C1024" i="2"/>
  <c r="U3082" i="2"/>
  <c r="P3403" i="2"/>
  <c r="V2550" i="2"/>
  <c r="L1385" i="2"/>
  <c r="E2595" i="2"/>
  <c r="W2629" i="2"/>
  <c r="J2472" i="2"/>
  <c r="R2213" i="2"/>
  <c r="D2868" i="2"/>
  <c r="O1742" i="2"/>
  <c r="T2455" i="2"/>
  <c r="C1990" i="2"/>
  <c r="N1648" i="2"/>
  <c r="J1973" i="2"/>
  <c r="E900" i="2"/>
  <c r="W2810" i="2"/>
  <c r="U3410" i="2"/>
  <c r="M2541" i="2"/>
  <c r="H1295" i="2"/>
  <c r="I3268" i="2"/>
  <c r="I2871" i="2"/>
  <c r="R2220" i="2"/>
  <c r="W2859" i="2"/>
  <c r="H2350" i="2"/>
  <c r="J2489" i="2"/>
  <c r="S2364" i="2"/>
  <c r="S2961" i="2"/>
  <c r="U1883" i="2"/>
  <c r="C998" i="2"/>
  <c r="P3589" i="2"/>
  <c r="Q1944" i="2"/>
  <c r="W2179" i="2"/>
  <c r="H2269" i="2"/>
  <c r="Q3042" i="2"/>
  <c r="G2798" i="2"/>
  <c r="N3201" i="2"/>
  <c r="K3175" i="2"/>
  <c r="Q1381" i="2"/>
  <c r="S3358" i="2"/>
  <c r="P2378" i="2"/>
  <c r="W1755" i="2"/>
  <c r="M3015" i="2"/>
  <c r="M1294" i="2"/>
  <c r="I526" i="2"/>
  <c r="I2957" i="2"/>
  <c r="W1858" i="2"/>
  <c r="V325" i="2"/>
  <c r="V3139" i="2"/>
  <c r="H3229" i="2"/>
  <c r="K2372" i="2"/>
  <c r="J2969" i="2"/>
  <c r="R515" i="2"/>
  <c r="I2397" i="2"/>
  <c r="M2521" i="2"/>
  <c r="I1141" i="2"/>
  <c r="D2768" i="2"/>
  <c r="T2508" i="2"/>
  <c r="U1426" i="2"/>
  <c r="W1597" i="2"/>
  <c r="O3340" i="2"/>
  <c r="D2227" i="2"/>
  <c r="I1966" i="2"/>
  <c r="F1823" i="2"/>
  <c r="O3385" i="2"/>
  <c r="V3181" i="2"/>
  <c r="R1858" i="2"/>
  <c r="U2291" i="2"/>
  <c r="J2554" i="2"/>
  <c r="M1680" i="2"/>
  <c r="O2024" i="2"/>
  <c r="V2927" i="2"/>
  <c r="O2882" i="2"/>
  <c r="N3149" i="2"/>
  <c r="M497" i="2"/>
  <c r="G2781" i="2"/>
  <c r="O2593" i="2"/>
  <c r="P735" i="2"/>
  <c r="O414" i="2"/>
  <c r="S889" i="2"/>
  <c r="R3090" i="2"/>
  <c r="P2479" i="2"/>
  <c r="K2787" i="2"/>
  <c r="R2505" i="2"/>
  <c r="G2579" i="2"/>
  <c r="Q2920" i="2"/>
  <c r="R2991" i="2"/>
  <c r="O1806" i="2"/>
  <c r="F2419" i="2"/>
  <c r="G2423" i="2"/>
  <c r="H1338" i="2"/>
  <c r="E2744" i="2"/>
  <c r="H3051" i="2"/>
  <c r="P2743" i="2"/>
  <c r="N2135" i="2"/>
  <c r="I2721" i="2"/>
  <c r="J2846" i="2"/>
  <c r="U3061" i="2"/>
  <c r="I2635" i="2"/>
  <c r="K868" i="2"/>
  <c r="S2369" i="2"/>
  <c r="Q2967" i="2"/>
  <c r="G1245" i="2"/>
  <c r="U2200" i="2"/>
  <c r="M1805" i="2"/>
  <c r="H1848" i="2"/>
  <c r="G2430" i="2"/>
  <c r="U2376" i="2"/>
  <c r="J2449" i="2"/>
  <c r="I3055" i="2"/>
  <c r="V3256" i="2"/>
  <c r="I3453" i="2"/>
  <c r="M3053" i="2"/>
  <c r="O607" i="2"/>
  <c r="I3318" i="2"/>
  <c r="Q3327" i="2"/>
  <c r="K3341" i="2"/>
  <c r="C2976" i="2"/>
  <c r="I586" i="2"/>
  <c r="I2529" i="2"/>
  <c r="D3076" i="2"/>
  <c r="M1161" i="2"/>
  <c r="V3182" i="2"/>
  <c r="K3291" i="2"/>
  <c r="E2916" i="2"/>
  <c r="H2173" i="2"/>
  <c r="L3239" i="2"/>
  <c r="U2195" i="2"/>
  <c r="O1688" i="2"/>
  <c r="T3155" i="2"/>
  <c r="E2545" i="2"/>
  <c r="Q3126" i="2"/>
  <c r="M2272" i="2"/>
  <c r="G3107" i="2"/>
  <c r="C2604" i="2"/>
  <c r="U2379" i="2"/>
  <c r="G1798" i="2"/>
  <c r="S3381" i="2"/>
  <c r="L2541" i="2"/>
  <c r="P2634" i="2"/>
  <c r="H2918" i="2"/>
  <c r="C2239" i="2"/>
  <c r="V2970" i="2"/>
  <c r="S3220" i="2"/>
  <c r="R3608" i="2"/>
  <c r="P2040" i="2"/>
  <c r="C2542" i="2"/>
  <c r="J3165" i="2"/>
  <c r="H1811" i="2"/>
  <c r="D3407" i="2"/>
  <c r="T3209" i="2"/>
  <c r="U3043" i="2"/>
  <c r="H2579" i="2"/>
  <c r="G3148" i="2"/>
  <c r="H2305" i="2"/>
  <c r="S2865" i="2"/>
  <c r="G2174" i="2"/>
  <c r="D3106" i="2"/>
  <c r="P2852" i="2"/>
  <c r="D2816" i="2"/>
  <c r="V2261" i="2"/>
  <c r="S2021" i="2"/>
  <c r="E1317" i="2"/>
  <c r="H2373" i="2"/>
  <c r="S3100" i="2"/>
  <c r="F2939" i="2"/>
  <c r="F2765" i="2"/>
  <c r="F3165" i="2"/>
  <c r="T2906" i="2"/>
  <c r="D2828" i="2"/>
  <c r="U2974" i="2"/>
  <c r="V3121" i="2"/>
  <c r="L1447" i="2"/>
  <c r="I2362" i="2"/>
  <c r="C1666" i="2"/>
  <c r="F2000" i="2"/>
  <c r="T2440" i="2"/>
  <c r="S2741" i="2"/>
  <c r="V2159" i="2"/>
  <c r="G1967" i="2"/>
  <c r="D2583" i="2"/>
  <c r="N2745" i="2"/>
  <c r="K2752" i="2"/>
  <c r="I2827" i="2"/>
  <c r="W1840" i="2"/>
  <c r="T3562" i="2"/>
  <c r="Q2758" i="2"/>
  <c r="Q3247" i="2"/>
  <c r="W2268" i="2"/>
  <c r="P2483" i="2"/>
  <c r="P1769" i="2"/>
  <c r="S1572" i="2"/>
  <c r="D2565" i="2"/>
  <c r="F2625" i="2"/>
  <c r="C1728" i="2"/>
  <c r="K1595" i="2"/>
  <c r="R2348" i="2"/>
  <c r="J2987" i="2"/>
  <c r="T3271" i="2"/>
  <c r="U2532" i="2"/>
  <c r="M3074" i="2"/>
  <c r="L2596" i="2"/>
  <c r="M1246" i="2"/>
  <c r="F1178" i="2"/>
  <c r="E3260" i="2"/>
  <c r="Q1969" i="2"/>
  <c r="G1494" i="2"/>
  <c r="O3157" i="2"/>
  <c r="J3433" i="2"/>
  <c r="T3303" i="2"/>
  <c r="J2921" i="2"/>
  <c r="R2357" i="2"/>
  <c r="L2268" i="2"/>
  <c r="F2461" i="2"/>
  <c r="Q2836" i="2"/>
  <c r="Q1262" i="2"/>
  <c r="E2170" i="2"/>
  <c r="T3045" i="2"/>
  <c r="D2266" i="2"/>
  <c r="M2614" i="2"/>
  <c r="Q867" i="2"/>
  <c r="C1612" i="2"/>
  <c r="P3528" i="2"/>
  <c r="N1809" i="2"/>
  <c r="G1167" i="2"/>
  <c r="D2466" i="2"/>
  <c r="N1419" i="2"/>
  <c r="I3100" i="2"/>
  <c r="D2556" i="2"/>
  <c r="T2517" i="2"/>
  <c r="K2822" i="2"/>
  <c r="Q2622" i="2"/>
  <c r="O2093" i="2"/>
  <c r="C2785" i="2"/>
  <c r="G3147" i="2"/>
  <c r="N1865" i="2"/>
  <c r="F2217" i="2"/>
  <c r="T2619" i="2"/>
  <c r="V1057" i="2"/>
  <c r="D3200" i="2"/>
  <c r="U3309" i="2"/>
  <c r="H1111" i="2"/>
  <c r="G2497" i="2"/>
  <c r="I1204" i="2"/>
  <c r="O2442" i="2"/>
  <c r="C3211" i="2"/>
  <c r="C3264" i="2"/>
  <c r="C2962" i="2"/>
  <c r="K3157" i="2"/>
  <c r="M2833" i="2"/>
  <c r="S2406" i="2"/>
  <c r="E1520" i="2"/>
  <c r="L2843" i="2"/>
  <c r="I2959" i="2"/>
  <c r="N1569" i="2"/>
  <c r="L257" i="2"/>
  <c r="Q2602" i="2"/>
  <c r="M1477" i="2"/>
  <c r="H2413" i="2"/>
  <c r="I3400" i="2"/>
  <c r="G2876" i="2"/>
  <c r="J3355" i="2"/>
  <c r="J2563" i="2"/>
  <c r="O3314" i="2"/>
  <c r="D3478" i="2"/>
  <c r="S2736" i="2"/>
  <c r="G2486" i="2"/>
  <c r="V3131" i="2"/>
  <c r="E3292" i="2"/>
  <c r="L1790" i="2"/>
  <c r="S1001" i="2"/>
  <c r="V2871" i="2"/>
  <c r="N3234" i="2"/>
  <c r="V773" i="2"/>
  <c r="E2797" i="2"/>
  <c r="L2894" i="2"/>
  <c r="G3112" i="2"/>
  <c r="P3168" i="2"/>
  <c r="V2435" i="2"/>
  <c r="R1520" i="2"/>
  <c r="W3245" i="2"/>
  <c r="S2516" i="2"/>
  <c r="M2792" i="2"/>
  <c r="I1919" i="2"/>
  <c r="E1542" i="2"/>
  <c r="E3167" i="2"/>
  <c r="T1717" i="2"/>
  <c r="C2117" i="2"/>
  <c r="K1754" i="2"/>
  <c r="I2197" i="2"/>
  <c r="D3010" i="2"/>
  <c r="D2942" i="2"/>
  <c r="M272" i="2"/>
  <c r="F2099" i="2"/>
  <c r="D1662" i="2"/>
  <c r="O3137" i="2"/>
  <c r="Q2300" i="2"/>
  <c r="F2442" i="2"/>
  <c r="O3577" i="2"/>
  <c r="P2509" i="2"/>
  <c r="L2937" i="2"/>
  <c r="V2671" i="2"/>
  <c r="M3118" i="2"/>
  <c r="U609" i="2"/>
  <c r="N1896" i="2"/>
  <c r="I3363" i="2"/>
  <c r="H235" i="2"/>
  <c r="H1653" i="2"/>
  <c r="E1385" i="2"/>
  <c r="K3423" i="2"/>
  <c r="Q2733" i="2"/>
  <c r="N2610" i="2"/>
  <c r="M3381" i="2"/>
  <c r="H2600" i="2"/>
  <c r="R3350" i="2"/>
  <c r="M2883" i="2"/>
  <c r="I2372" i="2"/>
  <c r="V3030" i="2"/>
  <c r="E3308" i="2"/>
  <c r="V3331" i="2"/>
  <c r="L2477" i="2"/>
  <c r="I2129" i="2"/>
  <c r="H3136" i="2"/>
  <c r="E2542" i="2"/>
  <c r="N2875" i="2"/>
  <c r="E2638" i="2"/>
  <c r="P2295" i="2"/>
  <c r="V3433" i="2"/>
  <c r="C1876" i="2"/>
  <c r="H2534" i="2"/>
  <c r="W3385" i="2"/>
  <c r="I1834" i="2"/>
  <c r="P3368" i="2"/>
  <c r="N2857" i="2"/>
  <c r="T3403" i="2"/>
  <c r="T1694" i="2"/>
  <c r="G3348" i="2"/>
  <c r="S2434" i="2"/>
  <c r="T2271" i="2"/>
  <c r="I1756" i="2"/>
  <c r="I3244" i="2"/>
  <c r="O2018" i="2"/>
  <c r="S2951" i="2"/>
  <c r="U2594" i="2"/>
  <c r="H2355" i="2"/>
  <c r="L3241" i="2"/>
  <c r="Q2689" i="2"/>
  <c r="S1660" i="2"/>
  <c r="T1783" i="2"/>
  <c r="K3536" i="2"/>
  <c r="R2478" i="2"/>
  <c r="H3097" i="2"/>
  <c r="C3486" i="2"/>
  <c r="F2872" i="2"/>
  <c r="U3194" i="2"/>
  <c r="N3241" i="2"/>
  <c r="E2268" i="2"/>
  <c r="K3489" i="2"/>
  <c r="S1076" i="2"/>
  <c r="H1167" i="2"/>
  <c r="M2794" i="2"/>
  <c r="J3151" i="2"/>
  <c r="K2659" i="2"/>
  <c r="D2161" i="2"/>
  <c r="D2684" i="2"/>
  <c r="S2363" i="2"/>
  <c r="I2324" i="2"/>
  <c r="J881" i="2"/>
  <c r="M2303" i="2"/>
  <c r="L2980" i="2"/>
  <c r="J2084" i="2"/>
  <c r="J3220" i="2"/>
  <c r="V2216" i="2"/>
  <c r="S2930" i="2"/>
  <c r="M3081" i="2"/>
  <c r="R2698" i="2"/>
  <c r="D2999" i="2"/>
  <c r="E3139" i="2"/>
  <c r="O2113" i="2"/>
  <c r="V3148" i="2"/>
  <c r="I2393" i="2"/>
  <c r="H2465" i="2"/>
  <c r="J3033" i="2"/>
  <c r="C571" i="2"/>
  <c r="N1725" i="2"/>
  <c r="N2976" i="2"/>
  <c r="S2661" i="2"/>
  <c r="G591" i="2"/>
  <c r="J1880" i="2"/>
  <c r="J2888" i="2"/>
  <c r="M3037" i="2"/>
  <c r="R3130" i="2"/>
  <c r="O3414" i="2"/>
  <c r="H2265" i="2"/>
  <c r="C2953" i="2"/>
  <c r="T463" i="2"/>
  <c r="C1628" i="2"/>
  <c r="S3160" i="2"/>
  <c r="K3229" i="2"/>
  <c r="J2793" i="2"/>
  <c r="V1396" i="2"/>
  <c r="H2599" i="2"/>
  <c r="G2542" i="2"/>
  <c r="J3610" i="2"/>
  <c r="T431" i="2"/>
  <c r="J1719" i="2"/>
  <c r="T2688" i="2"/>
  <c r="G3005" i="2"/>
  <c r="F1797" i="2"/>
  <c r="P3043" i="2"/>
  <c r="I2449" i="2"/>
  <c r="P2264" i="2"/>
  <c r="H2357" i="2"/>
  <c r="H3022" i="2"/>
  <c r="S427" i="2"/>
  <c r="L2567" i="2"/>
  <c r="H1846" i="2"/>
  <c r="E2730" i="2"/>
  <c r="O3018" i="2"/>
  <c r="S3282" i="2"/>
  <c r="N2632" i="2"/>
  <c r="C2771" i="2"/>
  <c r="K1641" i="2"/>
  <c r="F1861" i="2"/>
  <c r="J3226" i="2"/>
  <c r="L2938" i="2"/>
  <c r="G2711" i="2"/>
  <c r="L2069" i="2"/>
  <c r="G2005" i="2"/>
  <c r="T2296" i="2"/>
  <c r="G1148" i="2"/>
  <c r="H1806" i="2"/>
  <c r="F2271" i="2"/>
  <c r="U2438" i="2"/>
  <c r="K379" i="2"/>
  <c r="H3256" i="2"/>
  <c r="T3232" i="2"/>
  <c r="I174" i="2"/>
  <c r="N637" i="2"/>
  <c r="K3021" i="2"/>
  <c r="E3074" i="2"/>
  <c r="G2217" i="2"/>
  <c r="K2393" i="2"/>
  <c r="R3190" i="2"/>
  <c r="J2337" i="2"/>
  <c r="O1884" i="2"/>
  <c r="E2889" i="2"/>
  <c r="S2125" i="2"/>
  <c r="M2427" i="2"/>
  <c r="I2136" i="2"/>
  <c r="O3135" i="2"/>
  <c r="N930" i="2"/>
  <c r="E2827" i="2"/>
  <c r="I1262" i="2"/>
  <c r="R1651" i="2"/>
  <c r="D2983" i="2"/>
  <c r="W3018" i="2"/>
  <c r="O3007" i="2"/>
  <c r="P2855" i="2"/>
  <c r="Q2515" i="2"/>
  <c r="K2414" i="2"/>
  <c r="I2373" i="2"/>
  <c r="C1099" i="2"/>
  <c r="P3281" i="2"/>
  <c r="H1738" i="2"/>
  <c r="V2378" i="2"/>
  <c r="G3211" i="2"/>
  <c r="J2564" i="2"/>
  <c r="U3293" i="2"/>
  <c r="K1092" i="2"/>
  <c r="F1906" i="2"/>
  <c r="G2921" i="2"/>
  <c r="J2901" i="2"/>
  <c r="K2671" i="2"/>
  <c r="D2574" i="2"/>
  <c r="J2710" i="2"/>
  <c r="O2875" i="2"/>
  <c r="D3531" i="2"/>
  <c r="N1351" i="2"/>
  <c r="Q1281" i="2"/>
  <c r="H2220" i="2"/>
  <c r="P3571" i="2"/>
  <c r="D1001" i="2"/>
  <c r="T917" i="2"/>
  <c r="C2413" i="2"/>
  <c r="T2584" i="2"/>
  <c r="S2680" i="2"/>
  <c r="V2056" i="2"/>
  <c r="E2463" i="2"/>
  <c r="C2495" i="2"/>
  <c r="P2346" i="2"/>
  <c r="W2956" i="2"/>
  <c r="R3415" i="2"/>
  <c r="C3232" i="2"/>
  <c r="E306" i="2"/>
  <c r="J2874" i="2"/>
  <c r="V3005" i="2"/>
  <c r="R1000" i="2"/>
  <c r="I2430" i="2"/>
  <c r="U2329" i="2"/>
  <c r="G2601" i="2"/>
  <c r="I2581" i="2"/>
  <c r="J673" i="2"/>
  <c r="S3247" i="2"/>
  <c r="U3202" i="2"/>
  <c r="L3042" i="2"/>
  <c r="H3037" i="2"/>
  <c r="J2811" i="2"/>
  <c r="G1710" i="2"/>
  <c r="V1193" i="2"/>
  <c r="I2537" i="2"/>
  <c r="M2642" i="2"/>
  <c r="N2576" i="2"/>
  <c r="Q1573" i="2"/>
  <c r="L3165" i="2"/>
  <c r="T3038" i="2"/>
  <c r="L2431" i="2"/>
  <c r="G2950" i="2"/>
  <c r="I2675" i="2"/>
  <c r="U3263" i="2"/>
  <c r="E3266" i="2"/>
  <c r="F2406" i="2"/>
  <c r="L3027" i="2"/>
  <c r="G3008" i="2"/>
  <c r="V3320" i="2"/>
  <c r="O2690" i="2"/>
  <c r="K1228" i="2"/>
  <c r="N2909" i="2"/>
  <c r="O2266" i="2"/>
  <c r="Q2530" i="2"/>
  <c r="E3173" i="2"/>
  <c r="W2870" i="2"/>
  <c r="C3050" i="2"/>
  <c r="G2038" i="2"/>
  <c r="D2838" i="2"/>
  <c r="V2126" i="2"/>
  <c r="S2914" i="2"/>
  <c r="Q2827" i="2"/>
  <c r="K3284" i="2"/>
  <c r="V3303" i="2"/>
  <c r="M3582" i="2"/>
  <c r="D3185" i="2"/>
  <c r="C1988" i="2"/>
  <c r="D2193" i="2"/>
  <c r="R2334" i="2"/>
  <c r="L3139" i="2"/>
  <c r="J3231" i="2"/>
  <c r="V1740" i="2"/>
  <c r="I2473" i="2"/>
  <c r="J2977" i="2"/>
  <c r="S3288" i="2"/>
  <c r="I3107" i="2"/>
  <c r="E1926" i="2"/>
  <c r="F3233" i="2"/>
  <c r="J2812" i="2"/>
  <c r="J1859" i="2"/>
  <c r="R1897" i="2"/>
  <c r="E1639" i="2"/>
  <c r="P3387" i="2"/>
  <c r="U2215" i="2"/>
  <c r="S3003" i="2"/>
  <c r="U2764" i="2"/>
  <c r="P965" i="2"/>
  <c r="P3035" i="2"/>
  <c r="W2565" i="2"/>
  <c r="M2436" i="2"/>
  <c r="O2058" i="2"/>
  <c r="R3007" i="2"/>
  <c r="O2689" i="2"/>
  <c r="Q3280" i="2"/>
  <c r="N2846" i="2"/>
  <c r="K2740" i="2"/>
  <c r="G2435" i="2"/>
  <c r="I326" i="2"/>
  <c r="L3198" i="2"/>
  <c r="T2013" i="2"/>
  <c r="T1613" i="2"/>
  <c r="Q1717" i="2"/>
  <c r="O2998" i="2"/>
  <c r="C3330" i="2"/>
  <c r="R2300" i="2"/>
  <c r="J2754" i="2"/>
  <c r="D2694" i="2"/>
  <c r="P3210" i="2"/>
  <c r="F3210" i="2"/>
  <c r="R3252" i="2"/>
  <c r="V3066" i="2"/>
  <c r="K2855" i="2"/>
  <c r="N2847" i="2"/>
  <c r="D1588" i="2"/>
  <c r="F3442" i="2"/>
  <c r="P3055" i="2"/>
  <c r="G2307" i="2"/>
  <c r="L2870" i="2"/>
  <c r="G3596" i="2"/>
  <c r="M3394" i="2"/>
  <c r="R2053" i="2"/>
  <c r="L2935" i="2"/>
  <c r="T3219" i="2"/>
  <c r="E2046" i="2"/>
  <c r="V1878" i="2"/>
  <c r="W2921" i="2"/>
  <c r="F2774" i="2"/>
  <c r="D3447" i="2"/>
  <c r="F2897" i="2"/>
  <c r="G1736" i="2"/>
  <c r="L3106" i="2"/>
  <c r="L3366" i="2"/>
  <c r="M2558" i="2"/>
  <c r="H3238" i="2"/>
  <c r="P2868" i="2"/>
  <c r="J2805" i="2"/>
  <c r="G2928" i="2"/>
  <c r="F2985" i="2"/>
  <c r="T1399" i="2"/>
  <c r="F2689" i="2"/>
  <c r="F2195" i="2"/>
  <c r="V2770" i="2"/>
  <c r="J3411" i="2"/>
  <c r="G2832" i="2"/>
  <c r="C2898" i="2"/>
  <c r="H2572" i="2"/>
  <c r="K1829" i="2"/>
  <c r="T2269" i="2"/>
  <c r="N2369" i="2"/>
  <c r="N2030" i="2"/>
  <c r="D1872" i="2"/>
  <c r="L3078" i="2"/>
  <c r="T1716" i="2"/>
  <c r="R3170" i="2"/>
  <c r="L2704" i="2"/>
  <c r="F2720" i="2"/>
  <c r="W2648" i="2"/>
  <c r="D2292" i="2"/>
  <c r="T2611" i="2"/>
  <c r="H1151" i="2"/>
  <c r="E2004" i="2"/>
  <c r="J2634" i="2"/>
  <c r="O2489" i="2"/>
  <c r="L3035" i="2"/>
  <c r="W1044" i="2"/>
  <c r="N1555" i="2"/>
  <c r="L1987" i="2"/>
  <c r="K1268" i="2"/>
  <c r="J8" i="2"/>
  <c r="N3385" i="2"/>
  <c r="G2654" i="2"/>
  <c r="C3134" i="2"/>
  <c r="N1209" i="2"/>
  <c r="J1505" i="2"/>
  <c r="O3225" i="2"/>
  <c r="R2254" i="2"/>
  <c r="U2577" i="2"/>
  <c r="T2612" i="2"/>
  <c r="E1778" i="2"/>
  <c r="L2719" i="2"/>
  <c r="O2419" i="2"/>
  <c r="V1811" i="2"/>
  <c r="F3268" i="2"/>
  <c r="R3282" i="2"/>
  <c r="N3214" i="2"/>
  <c r="H1603" i="2"/>
  <c r="H3100" i="2"/>
  <c r="O1936" i="2"/>
  <c r="O2086" i="2"/>
  <c r="R2277" i="2"/>
  <c r="O2891" i="2"/>
  <c r="P2744" i="2"/>
  <c r="G826" i="2"/>
  <c r="I2711" i="2"/>
  <c r="I2974" i="2"/>
  <c r="W1494" i="2"/>
  <c r="C112" i="2"/>
  <c r="C56" i="2"/>
  <c r="J760" i="2"/>
  <c r="N1765" i="2"/>
  <c r="J1714" i="2"/>
  <c r="W101" i="2"/>
  <c r="N2204" i="2"/>
  <c r="G1366" i="2"/>
  <c r="U1414" i="2"/>
  <c r="L2482" i="2"/>
  <c r="D2968" i="2"/>
  <c r="O2162" i="2"/>
  <c r="K2826" i="2"/>
  <c r="U1978" i="2"/>
  <c r="O1530" i="2"/>
  <c r="D2696" i="2"/>
  <c r="F178" i="2"/>
  <c r="N3012" i="2"/>
  <c r="C2356" i="2"/>
  <c r="D2265" i="2"/>
  <c r="R468" i="2"/>
  <c r="D1261" i="2"/>
  <c r="E3174" i="2"/>
  <c r="O1712" i="2"/>
  <c r="W1946" i="2"/>
  <c r="L1940" i="2"/>
  <c r="P1887" i="2"/>
  <c r="L2716" i="2"/>
  <c r="O3066" i="2"/>
  <c r="I3434" i="2"/>
  <c r="W2443" i="2"/>
  <c r="V3628" i="2"/>
  <c r="I2765" i="2"/>
  <c r="C2609" i="2"/>
  <c r="L775" i="2"/>
  <c r="P1523" i="2"/>
  <c r="V3514" i="2"/>
  <c r="L1967" i="2"/>
  <c r="O3430" i="2"/>
  <c r="M3002" i="2"/>
  <c r="M2670" i="2"/>
  <c r="D1485" i="2"/>
  <c r="L847" i="2"/>
  <c r="L2674" i="2"/>
  <c r="K2967" i="2"/>
  <c r="E2906" i="2"/>
  <c r="I3284" i="2"/>
  <c r="N3178" i="2"/>
  <c r="C1732" i="2"/>
  <c r="W996" i="2"/>
  <c r="C2658" i="2"/>
  <c r="F2168" i="2"/>
  <c r="S2719" i="2"/>
  <c r="S2847" i="2"/>
  <c r="H2163" i="2"/>
  <c r="E2989" i="2"/>
  <c r="P2236" i="2"/>
  <c r="I2531" i="2"/>
  <c r="W2790" i="2"/>
  <c r="M3020" i="2"/>
  <c r="L2946" i="2"/>
  <c r="G2136" i="2"/>
  <c r="D1238" i="2"/>
  <c r="L2454" i="2"/>
  <c r="M2588" i="2"/>
  <c r="S2776" i="2"/>
  <c r="J1617" i="2"/>
  <c r="H2439" i="2"/>
  <c r="J2681" i="2"/>
  <c r="L2863" i="2"/>
  <c r="K715" i="2"/>
  <c r="H3275" i="2"/>
  <c r="R1796" i="2"/>
  <c r="N3133" i="2"/>
  <c r="S2310" i="2"/>
  <c r="H1138" i="2"/>
  <c r="Q973" i="2"/>
  <c r="J2483" i="2"/>
  <c r="M1168" i="2"/>
  <c r="T3174" i="2"/>
  <c r="U3280" i="2"/>
  <c r="V2026" i="2"/>
  <c r="T3121" i="2"/>
  <c r="S2909" i="2"/>
  <c r="D3068" i="2"/>
  <c r="F1773" i="2"/>
  <c r="H763" i="2"/>
  <c r="O258" i="2"/>
  <c r="T2246" i="2"/>
  <c r="G496" i="2"/>
  <c r="O2196" i="2"/>
  <c r="F1403" i="2"/>
  <c r="W1342" i="2"/>
  <c r="U1031" i="2"/>
  <c r="H2630" i="2"/>
  <c r="E3442" i="2"/>
  <c r="D2340" i="2"/>
  <c r="O3490" i="2"/>
  <c r="V2436" i="2"/>
  <c r="O1480" i="2"/>
  <c r="F1599" i="2"/>
  <c r="L3293" i="2"/>
  <c r="R2677" i="2"/>
  <c r="T986" i="2"/>
  <c r="G366" i="2"/>
  <c r="V216" i="2"/>
  <c r="M1831" i="2"/>
  <c r="V3028" i="2"/>
  <c r="W1833" i="2"/>
  <c r="U578" i="2"/>
  <c r="J2465" i="2"/>
  <c r="U3314" i="2"/>
  <c r="G3372" i="2"/>
  <c r="E2051" i="2"/>
  <c r="L478" i="2"/>
  <c r="O1672" i="2"/>
  <c r="V2939" i="2"/>
  <c r="F2934" i="2"/>
  <c r="C1111" i="2"/>
  <c r="C2627" i="2"/>
  <c r="F1613" i="2"/>
  <c r="S1634" i="2"/>
  <c r="C2590" i="2"/>
  <c r="R2646" i="2"/>
  <c r="U3432" i="2"/>
  <c r="J888" i="2"/>
  <c r="S2948" i="2"/>
  <c r="N2278" i="2"/>
  <c r="O2789" i="2"/>
  <c r="M3278" i="2"/>
  <c r="F2367" i="2"/>
  <c r="F2979" i="2"/>
  <c r="U3456" i="2"/>
  <c r="G1882" i="2"/>
  <c r="G2727" i="2"/>
  <c r="N2134" i="2"/>
  <c r="U1799" i="2"/>
  <c r="V2403" i="2"/>
  <c r="R3117" i="2"/>
  <c r="T2436" i="2"/>
  <c r="V1993" i="2"/>
  <c r="O839" i="2"/>
  <c r="K2589" i="2"/>
  <c r="H2685" i="2"/>
  <c r="L3301" i="2"/>
  <c r="D319" i="2"/>
  <c r="R2359" i="2"/>
  <c r="I782" i="2"/>
  <c r="E2572" i="2"/>
  <c r="R2746" i="2"/>
  <c r="E2241" i="2"/>
  <c r="E2591" i="2"/>
  <c r="J1954" i="2"/>
  <c r="V1785" i="2"/>
  <c r="F2507" i="2"/>
  <c r="W2982" i="2"/>
  <c r="I1114" i="2"/>
  <c r="C2014" i="2"/>
  <c r="Q1828" i="2"/>
  <c r="R2287" i="2"/>
  <c r="C2471" i="2"/>
  <c r="D1878" i="2"/>
  <c r="C3349" i="2"/>
  <c r="F1007" i="2"/>
  <c r="W1795" i="2"/>
  <c r="F2841" i="2"/>
  <c r="W3124" i="2"/>
  <c r="I414" i="2"/>
  <c r="G2675" i="2"/>
  <c r="N1042" i="2"/>
  <c r="P1829" i="2"/>
  <c r="N1008" i="2"/>
  <c r="C2615" i="2"/>
  <c r="J1116" i="2"/>
  <c r="Q2784" i="2"/>
  <c r="T2865" i="2"/>
  <c r="U3141" i="2"/>
  <c r="H1457" i="2"/>
  <c r="H2315" i="2"/>
  <c r="D3081" i="2"/>
  <c r="C2503" i="2"/>
  <c r="W1727" i="2"/>
  <c r="L1397" i="2"/>
  <c r="I3368" i="2"/>
  <c r="K1714" i="2"/>
  <c r="L1468" i="2"/>
  <c r="K2168" i="2"/>
  <c r="R1685" i="2"/>
  <c r="T3109" i="2"/>
  <c r="V749" i="2"/>
  <c r="H3215" i="2"/>
  <c r="K2108" i="2"/>
  <c r="J3204" i="2"/>
  <c r="K3399" i="2"/>
  <c r="N2959" i="2"/>
  <c r="O2763" i="2"/>
  <c r="U2886" i="2"/>
  <c r="P2592" i="2"/>
  <c r="V2708" i="2"/>
  <c r="L988" i="2"/>
  <c r="L2523" i="2"/>
  <c r="R1883" i="2"/>
  <c r="P995" i="2"/>
  <c r="L1316" i="2"/>
  <c r="F847" i="2"/>
  <c r="J2878" i="2"/>
  <c r="E1207" i="2"/>
  <c r="K2670" i="2"/>
  <c r="N2767" i="2"/>
  <c r="L1591" i="2"/>
  <c r="I2280" i="2"/>
  <c r="N1720" i="2"/>
  <c r="H2151" i="2"/>
  <c r="V2561" i="2"/>
  <c r="P1883" i="2"/>
  <c r="J1414" i="2"/>
  <c r="W2847" i="2"/>
  <c r="W1417" i="2"/>
  <c r="M2943" i="2"/>
  <c r="K2801" i="2"/>
  <c r="C1391" i="2"/>
  <c r="R2650" i="2"/>
  <c r="L2010" i="2"/>
  <c r="E3299" i="2"/>
  <c r="O781" i="2"/>
  <c r="K2291" i="2"/>
  <c r="K2151" i="2"/>
  <c r="L1379" i="2"/>
  <c r="R980" i="2"/>
  <c r="Q597" i="2"/>
  <c r="V2247" i="2"/>
  <c r="R2628" i="2"/>
  <c r="V2306" i="2"/>
  <c r="P3424" i="2"/>
  <c r="H2449" i="2"/>
  <c r="H1641" i="2"/>
  <c r="R2923" i="2"/>
  <c r="M1128" i="2"/>
  <c r="W1981" i="2"/>
  <c r="V3104" i="2"/>
  <c r="F2594" i="2"/>
  <c r="O2658" i="2"/>
  <c r="U1966" i="2"/>
  <c r="U3216" i="2"/>
  <c r="N3452" i="2"/>
  <c r="R2489" i="2"/>
  <c r="J973" i="2"/>
  <c r="I2548" i="2"/>
  <c r="M2339" i="2"/>
  <c r="J1950" i="2"/>
  <c r="M1970" i="2"/>
  <c r="U2651" i="2"/>
  <c r="R1538" i="2"/>
  <c r="K2294" i="2"/>
  <c r="F991" i="2"/>
  <c r="H3086" i="2"/>
  <c r="C3453" i="2"/>
  <c r="F2178" i="2"/>
  <c r="H2246" i="2"/>
  <c r="D2134" i="2"/>
  <c r="D2508" i="2"/>
  <c r="S1880" i="2"/>
  <c r="T2874" i="2"/>
  <c r="H2677" i="2"/>
  <c r="Q2750" i="2"/>
  <c r="V669" i="2"/>
  <c r="H2062" i="2"/>
  <c r="G1953" i="2"/>
  <c r="C1733" i="2"/>
  <c r="H2837" i="2"/>
  <c r="R1089" i="2"/>
  <c r="M2368" i="2"/>
  <c r="Q2951" i="2"/>
  <c r="H3027" i="2"/>
  <c r="I2104" i="2"/>
  <c r="I2870" i="2"/>
  <c r="F2046" i="2"/>
  <c r="I2543" i="2"/>
  <c r="R848" i="2"/>
  <c r="I2570" i="2"/>
  <c r="V2228" i="2"/>
  <c r="U2662" i="2"/>
  <c r="I1079" i="2"/>
  <c r="I2419" i="2"/>
  <c r="C1727" i="2"/>
  <c r="M1657" i="2"/>
  <c r="K1831" i="2"/>
  <c r="P2819" i="2"/>
  <c r="S1859" i="2"/>
  <c r="G1288" i="2"/>
  <c r="N1049" i="2"/>
  <c r="N2354" i="2"/>
  <c r="N3432" i="2"/>
  <c r="S1619" i="2"/>
  <c r="Q2379" i="2"/>
  <c r="Q3293" i="2"/>
  <c r="C2741" i="2"/>
  <c r="J1344" i="2"/>
  <c r="R2385" i="2"/>
  <c r="U1859" i="2"/>
  <c r="S1748" i="2"/>
  <c r="V2215" i="2"/>
  <c r="K1597" i="2"/>
  <c r="R2948" i="2"/>
  <c r="R1786" i="2"/>
  <c r="V1893" i="2"/>
  <c r="P2413" i="2"/>
  <c r="T1810" i="2"/>
  <c r="R1848" i="2"/>
  <c r="I3279" i="2"/>
  <c r="H330" i="2"/>
  <c r="K1392" i="2"/>
  <c r="M3161" i="2"/>
  <c r="U1499" i="2"/>
  <c r="W2045" i="2"/>
  <c r="P2240" i="2"/>
  <c r="S2391" i="2"/>
  <c r="V890" i="2"/>
  <c r="K2496" i="2"/>
  <c r="V2278" i="2"/>
  <c r="E3031" i="2"/>
  <c r="U545" i="2"/>
  <c r="E2781" i="2"/>
  <c r="W1678" i="2"/>
  <c r="F2993" i="2"/>
  <c r="R2512" i="2"/>
  <c r="U3269" i="2"/>
  <c r="T3164" i="2"/>
  <c r="V2716" i="2"/>
  <c r="J1703" i="2"/>
  <c r="R2490" i="2"/>
  <c r="Q2603" i="2"/>
  <c r="O2543" i="2"/>
  <c r="R1308" i="2"/>
  <c r="U1354" i="2"/>
  <c r="M3354" i="2"/>
  <c r="E1490" i="2"/>
  <c r="U1496" i="2"/>
  <c r="K2199" i="2"/>
  <c r="M3025" i="2"/>
  <c r="S1545" i="2"/>
  <c r="R3191" i="2"/>
  <c r="Q2518" i="2"/>
  <c r="P2251" i="2"/>
  <c r="J2343" i="2"/>
  <c r="W2534" i="2"/>
  <c r="W3233" i="2"/>
  <c r="D2819" i="2"/>
  <c r="U2572" i="2"/>
  <c r="M3460" i="2"/>
  <c r="E2810" i="2"/>
  <c r="P3546" i="2"/>
  <c r="U2752" i="2"/>
  <c r="U3386" i="2"/>
  <c r="U2837" i="2"/>
  <c r="Q2427" i="2"/>
  <c r="H1860" i="2"/>
  <c r="Q1466" i="2"/>
  <c r="F1050" i="2"/>
  <c r="G3220" i="2"/>
  <c r="D2835" i="2"/>
  <c r="K3477" i="2"/>
  <c r="D3290" i="2"/>
  <c r="N2084" i="2"/>
  <c r="Q2301" i="2"/>
  <c r="R2417" i="2"/>
  <c r="Q3367" i="2"/>
  <c r="U2885" i="2"/>
  <c r="W1492" i="2"/>
  <c r="R2831" i="2"/>
  <c r="N1746" i="2"/>
  <c r="C2841" i="2"/>
  <c r="F1576" i="2"/>
  <c r="G2732" i="2"/>
  <c r="W1124" i="2"/>
  <c r="V2283" i="2"/>
  <c r="N2504" i="2"/>
  <c r="D2341" i="2"/>
  <c r="S1631" i="2"/>
  <c r="V2384" i="2"/>
  <c r="M3129" i="2"/>
  <c r="S9" i="2"/>
  <c r="J2325" i="2"/>
  <c r="R2565" i="2"/>
  <c r="T2932" i="2"/>
  <c r="C3242" i="2"/>
  <c r="L1752" i="2"/>
  <c r="D1507" i="2"/>
  <c r="Q3006" i="2"/>
  <c r="R2737" i="2"/>
  <c r="D2613" i="2"/>
  <c r="L2850" i="2"/>
  <c r="W2579" i="2"/>
  <c r="L2315" i="2"/>
  <c r="O3219" i="2"/>
  <c r="F3422" i="2"/>
  <c r="M3480" i="2"/>
  <c r="I2616" i="2"/>
  <c r="U1569" i="2"/>
  <c r="V2405" i="2"/>
  <c r="F3069" i="2"/>
  <c r="O1607" i="2"/>
  <c r="H1162" i="2"/>
  <c r="E2156" i="2"/>
  <c r="N948" i="2"/>
  <c r="V2108" i="2"/>
  <c r="L2932" i="2"/>
  <c r="V1831" i="2"/>
  <c r="L3271" i="2"/>
  <c r="U1792" i="2"/>
  <c r="R2898" i="2"/>
  <c r="O2747" i="2"/>
  <c r="O2899" i="2"/>
  <c r="P2565" i="2"/>
  <c r="L1705" i="2"/>
  <c r="I2130" i="2"/>
  <c r="F2833" i="2"/>
  <c r="H1287" i="2"/>
  <c r="N967" i="2"/>
  <c r="R1048" i="2"/>
  <c r="D2122" i="2"/>
  <c r="K1421" i="2"/>
  <c r="H1190" i="2"/>
  <c r="F3431" i="2"/>
  <c r="J3440" i="2"/>
  <c r="T2663" i="2"/>
  <c r="C1185" i="2"/>
  <c r="P1044" i="2"/>
  <c r="I717" i="2"/>
  <c r="U1465" i="2"/>
  <c r="C1982" i="2"/>
  <c r="K403" i="2"/>
  <c r="R1913" i="2"/>
  <c r="V2564" i="2"/>
  <c r="G1916" i="2"/>
  <c r="T2820" i="2"/>
  <c r="C2579" i="2"/>
  <c r="N1819" i="2"/>
  <c r="G1767" i="2"/>
  <c r="E2201" i="2"/>
  <c r="R817" i="2"/>
  <c r="F3125" i="2"/>
  <c r="V3240" i="2"/>
  <c r="T1719" i="2"/>
  <c r="M2327" i="2"/>
  <c r="J3083" i="2"/>
  <c r="L3062" i="2"/>
  <c r="V1434" i="2"/>
  <c r="Q3074" i="2"/>
  <c r="M1448" i="2"/>
  <c r="C1287" i="2"/>
  <c r="D2778" i="2"/>
  <c r="I313" i="2"/>
  <c r="I1670" i="2"/>
  <c r="V1997" i="2"/>
  <c r="K2946" i="2"/>
  <c r="L2578" i="2"/>
  <c r="O2131" i="2"/>
  <c r="J3279" i="2"/>
  <c r="Q3080" i="2"/>
  <c r="O1471" i="2"/>
  <c r="V1549" i="2"/>
  <c r="F3022" i="2"/>
  <c r="P802" i="2"/>
  <c r="F1938" i="2"/>
  <c r="V2062" i="2"/>
  <c r="F2325" i="2"/>
  <c r="U3159" i="2"/>
  <c r="E1728" i="2"/>
  <c r="Q2242" i="2"/>
  <c r="M2340" i="2"/>
  <c r="D2995" i="2"/>
  <c r="I2407" i="2"/>
  <c r="H602" i="2"/>
  <c r="E2849" i="2"/>
  <c r="W2724" i="2"/>
  <c r="L1197" i="2"/>
  <c r="Q1810" i="2"/>
  <c r="L1493" i="2"/>
  <c r="Q758" i="2"/>
  <c r="D2381" i="2"/>
  <c r="R1370" i="2"/>
  <c r="N1030" i="2"/>
  <c r="D2977" i="2"/>
  <c r="J1767" i="2"/>
  <c r="D2918" i="2"/>
  <c r="N3212" i="2"/>
  <c r="E3478" i="2"/>
  <c r="P3351" i="2"/>
  <c r="D2910" i="2"/>
  <c r="C1514" i="2"/>
  <c r="W2818" i="2"/>
  <c r="H2514" i="2"/>
  <c r="E1997" i="2"/>
  <c r="V3002" i="2"/>
  <c r="N1927" i="2"/>
  <c r="K2120" i="2"/>
  <c r="S3186" i="2"/>
  <c r="S1657" i="2"/>
  <c r="T2976" i="2"/>
  <c r="R2822" i="2"/>
  <c r="O21" i="2"/>
  <c r="J2264" i="2"/>
  <c r="G2308" i="2"/>
  <c r="K3131" i="2"/>
  <c r="G647" i="2"/>
  <c r="E2807" i="2"/>
  <c r="O2771" i="2"/>
  <c r="L1947" i="2"/>
  <c r="U2317" i="2"/>
  <c r="P2803" i="2"/>
  <c r="P2865" i="2"/>
  <c r="I3128" i="2"/>
  <c r="U1835" i="2"/>
  <c r="K1557" i="2"/>
  <c r="L1625" i="2"/>
  <c r="T3167" i="2"/>
  <c r="T1735" i="2"/>
  <c r="V2086" i="2"/>
  <c r="D1283" i="2"/>
  <c r="H2939" i="2"/>
  <c r="P3030" i="2"/>
  <c r="E3198" i="2"/>
  <c r="V1365" i="2"/>
  <c r="G2143" i="2"/>
  <c r="K323" i="2"/>
  <c r="G1660" i="2"/>
  <c r="Q1748" i="2"/>
  <c r="R2619" i="2"/>
  <c r="S1511" i="2"/>
  <c r="K1098" i="2"/>
  <c r="I1052" i="2"/>
  <c r="H1321" i="2"/>
  <c r="R1037" i="2"/>
  <c r="V2118" i="2"/>
  <c r="T2912" i="2"/>
  <c r="T1433" i="2"/>
  <c r="P2837" i="2"/>
  <c r="H3019" i="2"/>
  <c r="Q1380" i="2"/>
  <c r="I1249" i="2"/>
  <c r="V684" i="2"/>
  <c r="V2790" i="2"/>
  <c r="N1639" i="2"/>
  <c r="E895" i="2"/>
  <c r="I1278" i="2"/>
  <c r="I1492" i="2"/>
  <c r="J794" i="2"/>
  <c r="N2668" i="2"/>
  <c r="V764" i="2"/>
  <c r="N1785" i="2"/>
  <c r="N2777" i="2"/>
  <c r="V1813" i="2"/>
  <c r="I1951" i="2"/>
  <c r="J1007" i="2"/>
  <c r="D2253" i="2"/>
  <c r="C1561" i="2"/>
  <c r="I2308" i="2"/>
  <c r="I862" i="2"/>
  <c r="M2328" i="2"/>
  <c r="H1973" i="2"/>
  <c r="L1442" i="2"/>
  <c r="Q2478" i="2"/>
  <c r="W1638" i="2"/>
  <c r="F2015" i="2"/>
  <c r="S1279" i="2"/>
  <c r="V2514" i="2"/>
  <c r="F2906" i="2"/>
  <c r="U2823" i="2"/>
  <c r="L2708" i="2"/>
  <c r="M2712" i="2"/>
  <c r="D2611" i="2"/>
  <c r="R2905" i="2"/>
  <c r="D3399" i="2"/>
  <c r="G2363" i="2"/>
  <c r="T1563" i="2"/>
  <c r="I2893" i="2"/>
  <c r="S2755" i="2"/>
  <c r="D1256" i="2"/>
  <c r="H1995" i="2"/>
  <c r="V2255" i="2"/>
  <c r="U2421" i="2"/>
  <c r="F2305" i="2"/>
  <c r="H2490" i="2"/>
  <c r="U2573" i="2"/>
  <c r="U3436" i="2"/>
  <c r="L3321" i="2"/>
  <c r="V1541" i="2"/>
  <c r="M1287" i="2"/>
  <c r="P3131" i="2"/>
  <c r="J2763" i="2"/>
  <c r="O1858" i="2"/>
  <c r="S2268" i="2"/>
  <c r="O3238" i="2"/>
  <c r="C2349" i="2"/>
  <c r="W3187" i="2"/>
  <c r="G1501" i="2"/>
  <c r="K3277" i="2"/>
  <c r="P2349" i="2"/>
  <c r="C1037" i="2"/>
  <c r="V152" i="2"/>
  <c r="F2933" i="2"/>
  <c r="O2695" i="2"/>
  <c r="T2937" i="2"/>
  <c r="V380" i="2"/>
  <c r="P2337" i="2"/>
  <c r="J2869" i="2"/>
  <c r="M2212" i="2"/>
  <c r="O2406" i="2"/>
  <c r="W3424" i="2"/>
  <c r="F3044" i="2"/>
  <c r="P1680" i="2"/>
  <c r="W2398" i="2"/>
  <c r="G2806" i="2"/>
  <c r="D2663" i="2"/>
  <c r="U2867" i="2"/>
  <c r="P3452" i="2"/>
  <c r="K2239" i="2"/>
  <c r="U3016" i="2"/>
  <c r="W1783" i="2"/>
  <c r="L2121" i="2"/>
  <c r="F3436" i="2"/>
  <c r="S1574" i="2"/>
  <c r="K2780" i="2"/>
  <c r="Q2046" i="2"/>
  <c r="J1791" i="2"/>
  <c r="W2624" i="2"/>
  <c r="R3108" i="2"/>
  <c r="C2629" i="2"/>
  <c r="G1024" i="2"/>
  <c r="D3113" i="2"/>
  <c r="T2551" i="2"/>
  <c r="L2994" i="2"/>
  <c r="F372" i="2"/>
  <c r="R2569" i="2"/>
  <c r="C2709" i="2"/>
  <c r="R2294" i="2"/>
  <c r="V1069" i="2"/>
  <c r="E1964" i="2"/>
  <c r="U2623" i="2"/>
  <c r="M2779" i="2"/>
  <c r="F2959" i="2"/>
  <c r="N448" i="2"/>
  <c r="R1415" i="2"/>
  <c r="F1389" i="2"/>
  <c r="S2805" i="2"/>
  <c r="S1902" i="2"/>
  <c r="U2945" i="2"/>
  <c r="O1294" i="2"/>
  <c r="K1439" i="2"/>
  <c r="I2454" i="2"/>
  <c r="G2661" i="2"/>
  <c r="Q2425" i="2"/>
  <c r="I2143" i="2"/>
  <c r="D1149" i="2"/>
  <c r="O1296" i="2"/>
  <c r="C420" i="2"/>
  <c r="T3007" i="2"/>
  <c r="I2219" i="2"/>
  <c r="J1926" i="2"/>
  <c r="V3350" i="2"/>
  <c r="D3151" i="2"/>
  <c r="W1062" i="2"/>
  <c r="M3264" i="2"/>
  <c r="P1708" i="2"/>
  <c r="P1375" i="2"/>
  <c r="L2811" i="2"/>
  <c r="R1974" i="2"/>
  <c r="V868" i="2"/>
  <c r="K2989" i="2"/>
  <c r="S1418" i="2"/>
  <c r="I2296" i="2"/>
  <c r="U1741" i="2"/>
  <c r="J1980" i="2"/>
  <c r="H2541" i="2"/>
  <c r="H2001" i="2"/>
  <c r="C2685" i="2"/>
  <c r="V398" i="2"/>
  <c r="U2529" i="2"/>
  <c r="F2728" i="2"/>
  <c r="K1433" i="2"/>
  <c r="E2942" i="2"/>
  <c r="I3258" i="2"/>
  <c r="F2373" i="2"/>
  <c r="M1458" i="2"/>
  <c r="W879" i="2"/>
  <c r="I2041" i="2"/>
  <c r="S1963" i="2"/>
  <c r="Q3051" i="2"/>
  <c r="M2050" i="2"/>
  <c r="W3006" i="2"/>
  <c r="R2314" i="2"/>
  <c r="L1584" i="2"/>
  <c r="D3237" i="2"/>
  <c r="L2476" i="2"/>
  <c r="H2171" i="2"/>
  <c r="D89" i="2"/>
  <c r="I1428" i="2"/>
  <c r="M2262" i="2"/>
  <c r="D1687" i="2"/>
  <c r="W2639" i="2"/>
  <c r="C3111" i="2"/>
  <c r="C2312" i="2"/>
  <c r="D2873" i="2"/>
  <c r="U603" i="2"/>
  <c r="R548" i="2"/>
  <c r="J635" i="2"/>
  <c r="F1856" i="2"/>
  <c r="I2494" i="2"/>
  <c r="L1852" i="2"/>
  <c r="F2500" i="2"/>
  <c r="L1757" i="2"/>
  <c r="T2615" i="2"/>
  <c r="V2275" i="2"/>
  <c r="V2869" i="2"/>
  <c r="J2606" i="2"/>
  <c r="C3397" i="2"/>
  <c r="F2952" i="2"/>
  <c r="L2041" i="2"/>
  <c r="R3076" i="2"/>
  <c r="J1621" i="2"/>
  <c r="H1740" i="2"/>
  <c r="G2404" i="2"/>
  <c r="I1166" i="2"/>
  <c r="S460" i="2"/>
  <c r="T919" i="2"/>
  <c r="V2165" i="2"/>
  <c r="O2428" i="2"/>
  <c r="W2966" i="2"/>
  <c r="I2500" i="2"/>
  <c r="D2224" i="2"/>
  <c r="L2273" i="2"/>
  <c r="R3217" i="2"/>
  <c r="M2632" i="2"/>
  <c r="M2491" i="2"/>
  <c r="D3023" i="2"/>
  <c r="D2945" i="2"/>
  <c r="O3077" i="2"/>
  <c r="Q2553" i="2"/>
  <c r="N3020" i="2"/>
  <c r="P1232" i="2"/>
  <c r="E2784" i="2"/>
  <c r="O1322" i="2"/>
  <c r="G3478" i="2"/>
  <c r="W1907" i="2"/>
  <c r="N3514" i="2"/>
  <c r="E3010" i="2"/>
  <c r="C1483" i="2"/>
  <c r="T2585" i="2"/>
  <c r="O3103" i="2"/>
  <c r="E3384" i="2"/>
  <c r="K3435" i="2"/>
  <c r="P2626" i="2"/>
  <c r="C1051" i="2"/>
  <c r="V1459" i="2"/>
  <c r="K1777" i="2"/>
  <c r="I2043" i="2"/>
  <c r="W3096" i="2"/>
  <c r="D2998" i="2"/>
  <c r="E2636" i="2"/>
  <c r="W165" i="2"/>
  <c r="K2884" i="2"/>
  <c r="H2931" i="2"/>
  <c r="U2222" i="2"/>
  <c r="T1805" i="2"/>
  <c r="W1461" i="2"/>
  <c r="J3363" i="2"/>
  <c r="W3176" i="2"/>
  <c r="M2967" i="2"/>
  <c r="S1710" i="2"/>
  <c r="F1571" i="2"/>
  <c r="U761" i="2"/>
  <c r="O968" i="2"/>
  <c r="R2532" i="2"/>
  <c r="W2360" i="2"/>
  <c r="L1478" i="2"/>
  <c r="E1619" i="2"/>
  <c r="C2104" i="2"/>
  <c r="O2470" i="2"/>
  <c r="J2231" i="2"/>
  <c r="F2233" i="2"/>
  <c r="E1623" i="2"/>
  <c r="S945" i="2"/>
  <c r="F3064" i="2"/>
  <c r="D3248" i="2"/>
  <c r="J2765" i="2"/>
  <c r="U1070" i="2"/>
  <c r="H871" i="2"/>
  <c r="O2582" i="2"/>
  <c r="H1951" i="2"/>
  <c r="L2529" i="2"/>
  <c r="T2581" i="2"/>
  <c r="Q2921" i="2"/>
  <c r="U1998" i="2"/>
  <c r="E3105" i="2"/>
  <c r="M2880" i="2"/>
  <c r="M2755" i="2"/>
  <c r="O2436" i="2"/>
  <c r="J2082" i="2"/>
  <c r="T2470" i="2"/>
  <c r="H2207" i="2"/>
  <c r="M3333" i="2"/>
  <c r="L2616" i="2"/>
  <c r="L1725" i="2"/>
  <c r="R2416" i="2"/>
  <c r="G2145" i="2"/>
  <c r="F3444" i="2"/>
  <c r="J3196" i="2"/>
  <c r="C1320" i="2"/>
  <c r="F2451" i="2"/>
  <c r="S3309" i="2"/>
  <c r="R2580" i="2"/>
  <c r="K2114" i="2"/>
  <c r="J3203" i="2"/>
  <c r="Q2555" i="2"/>
  <c r="S2537" i="2"/>
  <c r="O383" i="2"/>
  <c r="J2803" i="2"/>
  <c r="L2067" i="2"/>
  <c r="J2992" i="2"/>
  <c r="D2572" i="2"/>
  <c r="R1774" i="2"/>
  <c r="L1214" i="2"/>
  <c r="T2206" i="2"/>
  <c r="U3007" i="2"/>
  <c r="F1184" i="2"/>
  <c r="E2192" i="2"/>
  <c r="N3188" i="2"/>
  <c r="L1981" i="2"/>
  <c r="M1230" i="2"/>
  <c r="M2622" i="2"/>
  <c r="O3122" i="2"/>
  <c r="E1904" i="2"/>
  <c r="M1664" i="2"/>
  <c r="I2705" i="2"/>
  <c r="T1577" i="2"/>
  <c r="K1879" i="2"/>
  <c r="L2386" i="2"/>
  <c r="E2692" i="2"/>
  <c r="E3448" i="2"/>
  <c r="U1665" i="2"/>
  <c r="C2851" i="2"/>
  <c r="K3103" i="2"/>
  <c r="S1156" i="2"/>
  <c r="R2669" i="2"/>
  <c r="O2414" i="2"/>
  <c r="H3435" i="2"/>
  <c r="K2938" i="2"/>
  <c r="S380" i="2"/>
  <c r="U3049" i="2"/>
  <c r="D3471" i="2"/>
  <c r="F3545" i="2"/>
  <c r="Q2153" i="2"/>
  <c r="Q2738" i="2"/>
  <c r="O3525" i="2"/>
  <c r="Q2352" i="2"/>
  <c r="U2490" i="2"/>
  <c r="L2266" i="2"/>
  <c r="I987" i="2"/>
  <c r="R3437" i="2"/>
  <c r="J3395" i="2"/>
  <c r="K3344" i="2"/>
  <c r="D2976" i="2"/>
  <c r="U3302" i="2"/>
  <c r="J3183" i="2"/>
  <c r="V3430" i="2"/>
  <c r="N2837" i="2"/>
  <c r="N2642" i="2"/>
  <c r="V3352" i="2"/>
  <c r="N2404" i="2"/>
  <c r="P3025" i="2"/>
  <c r="O1447" i="2"/>
  <c r="O795" i="2"/>
  <c r="I1835" i="2"/>
  <c r="W2436" i="2"/>
  <c r="U1983" i="2"/>
  <c r="T2788" i="2"/>
  <c r="W3046" i="2"/>
  <c r="G2800" i="2"/>
  <c r="M2038" i="2"/>
  <c r="K2398" i="2"/>
  <c r="W3373" i="2"/>
  <c r="Q2040" i="2"/>
  <c r="L1958" i="2"/>
  <c r="K2226" i="2"/>
  <c r="G3284" i="2"/>
  <c r="R1064" i="2"/>
  <c r="C1929" i="2"/>
  <c r="W2410" i="2"/>
  <c r="C2795" i="2"/>
  <c r="P2190" i="2"/>
  <c r="E2976" i="2"/>
  <c r="O1229" i="2"/>
  <c r="R2801" i="2"/>
  <c r="P1814" i="2"/>
  <c r="J2201" i="2"/>
  <c r="E1572" i="2"/>
  <c r="U3023" i="2"/>
  <c r="W2365" i="2"/>
  <c r="D2784" i="2"/>
  <c r="E2314" i="2"/>
  <c r="P2259" i="2"/>
  <c r="E2261" i="2"/>
  <c r="E3545" i="2"/>
  <c r="Q1221" i="2"/>
  <c r="H2595" i="2"/>
  <c r="C2587" i="2"/>
  <c r="C1896" i="2"/>
  <c r="S3369" i="2"/>
  <c r="E2332" i="2"/>
  <c r="H3073" i="2"/>
  <c r="G2987" i="2"/>
  <c r="D3377" i="2"/>
  <c r="M2706" i="2"/>
  <c r="L2340" i="2"/>
  <c r="C2996" i="2"/>
  <c r="P2553" i="2"/>
  <c r="F1368" i="2"/>
  <c r="H824" i="2"/>
  <c r="T2969" i="2"/>
  <c r="W2169" i="2"/>
  <c r="O2569" i="2"/>
  <c r="N1682" i="2"/>
  <c r="Q3061" i="2"/>
  <c r="L3275" i="2"/>
  <c r="T2736" i="2"/>
  <c r="O3274" i="2"/>
  <c r="P3176" i="2"/>
  <c r="T2644" i="2"/>
  <c r="H2225" i="2"/>
  <c r="E133" i="2"/>
  <c r="P3027" i="2"/>
  <c r="S3097" i="2"/>
  <c r="L2729" i="2"/>
  <c r="T2913" i="2"/>
  <c r="O508" i="2"/>
  <c r="R3008" i="2"/>
  <c r="N2758" i="2"/>
  <c r="E2442" i="2"/>
  <c r="R2896" i="2"/>
  <c r="O3116" i="2"/>
  <c r="R2963" i="2"/>
  <c r="G2095" i="2"/>
  <c r="D1990" i="2"/>
  <c r="H1538" i="2"/>
  <c r="S1755" i="2"/>
  <c r="J2983" i="2"/>
  <c r="K2951" i="2"/>
  <c r="G1612" i="2"/>
  <c r="W3197" i="2"/>
  <c r="V2266" i="2"/>
  <c r="L1072" i="2"/>
  <c r="H3352" i="2"/>
  <c r="E3348" i="2"/>
  <c r="Q2147" i="2"/>
  <c r="C419" i="2"/>
  <c r="Q2583" i="2"/>
  <c r="N1684" i="2"/>
  <c r="J2971" i="2"/>
  <c r="U2791" i="2"/>
  <c r="J2510" i="2"/>
  <c r="E2169" i="2"/>
  <c r="F1329" i="2"/>
  <c r="F2324" i="2"/>
  <c r="R2079" i="2"/>
  <c r="M1861" i="2"/>
  <c r="F988" i="2"/>
  <c r="E2197" i="2"/>
  <c r="P1773" i="2"/>
  <c r="J564" i="2"/>
  <c r="H2035" i="2"/>
  <c r="E1338" i="2"/>
  <c r="W1712" i="2"/>
  <c r="M3447" i="2"/>
  <c r="M450" i="2"/>
  <c r="J3236" i="2"/>
  <c r="T1471" i="2"/>
  <c r="J3424" i="2"/>
  <c r="H1664" i="2"/>
  <c r="I1155" i="2"/>
  <c r="T1796" i="2"/>
  <c r="R3517" i="2"/>
  <c r="F2483" i="2"/>
  <c r="T3298" i="2"/>
  <c r="G871" i="2"/>
  <c r="U593" i="2"/>
  <c r="R417" i="2"/>
  <c r="U1190" i="2"/>
  <c r="L2927" i="2"/>
  <c r="T2274" i="2"/>
  <c r="D2630" i="2"/>
  <c r="C2779" i="2"/>
  <c r="T3313" i="2"/>
  <c r="T1760" i="2"/>
  <c r="J2770" i="2"/>
  <c r="D2808" i="2"/>
  <c r="S2772" i="2"/>
  <c r="W1534" i="2"/>
  <c r="E3291" i="2"/>
  <c r="F2519" i="2"/>
  <c r="L2897" i="2"/>
  <c r="W2714" i="2"/>
  <c r="R2014" i="2"/>
  <c r="S2084" i="2"/>
  <c r="M1437" i="2"/>
  <c r="D415" i="2"/>
  <c r="P2851" i="2"/>
  <c r="J2920" i="2"/>
  <c r="C1862" i="2"/>
  <c r="M2698" i="2"/>
  <c r="I3158" i="2"/>
  <c r="C2075" i="2"/>
  <c r="O2577" i="2"/>
  <c r="O2071" i="2"/>
  <c r="T839" i="2"/>
  <c r="O2220" i="2"/>
  <c r="J2530" i="2"/>
  <c r="K1814" i="2"/>
  <c r="J793" i="2"/>
  <c r="R2481" i="2"/>
  <c r="J2462" i="2"/>
  <c r="M1079" i="2"/>
  <c r="D2475" i="2"/>
  <c r="G2382" i="2"/>
  <c r="W663" i="2"/>
  <c r="W2806" i="2"/>
  <c r="U2937" i="2"/>
  <c r="C2229" i="2"/>
  <c r="S2541" i="2"/>
  <c r="K1299" i="2"/>
  <c r="T2604" i="2"/>
  <c r="Q2842" i="2"/>
  <c r="E609" i="2"/>
  <c r="V2727" i="2"/>
  <c r="O3211" i="2"/>
  <c r="G2360" i="2"/>
  <c r="M1771" i="2"/>
  <c r="U1935" i="2"/>
  <c r="O2119" i="2"/>
  <c r="M1673" i="2"/>
  <c r="R3303" i="2"/>
  <c r="P3220" i="2"/>
  <c r="W3068" i="2"/>
  <c r="K1209" i="2"/>
  <c r="W2489" i="2"/>
  <c r="P3115" i="2"/>
  <c r="C2946" i="2"/>
  <c r="N3071" i="2"/>
  <c r="S2031" i="2"/>
  <c r="D3128" i="2"/>
  <c r="H2924" i="2"/>
  <c r="L1915" i="2"/>
  <c r="D2849" i="2"/>
  <c r="T2092" i="2"/>
  <c r="D1502" i="2"/>
  <c r="F1652" i="2"/>
  <c r="M3395" i="2"/>
  <c r="Q2351" i="2"/>
  <c r="M2789" i="2"/>
  <c r="M1985" i="2"/>
  <c r="D3287" i="2"/>
  <c r="D2573" i="2"/>
  <c r="G102" i="2"/>
  <c r="G2665" i="2"/>
  <c r="N2760" i="2"/>
  <c r="C1945" i="2"/>
  <c r="W2314" i="2"/>
  <c r="L2122" i="2"/>
  <c r="L1483" i="2"/>
  <c r="F3270" i="2"/>
  <c r="J3110" i="2"/>
  <c r="S2604" i="2"/>
  <c r="V3472" i="2"/>
  <c r="C3044" i="2"/>
  <c r="U3319" i="2"/>
  <c r="V1782" i="2"/>
  <c r="N2190" i="2"/>
  <c r="C2077" i="2"/>
  <c r="V2512" i="2"/>
  <c r="V2057" i="2"/>
  <c r="T2463" i="2"/>
  <c r="W2730" i="2"/>
  <c r="C579" i="2"/>
  <c r="M2988" i="2"/>
  <c r="W989" i="2"/>
  <c r="Q2701" i="2"/>
  <c r="S3353" i="2"/>
  <c r="R2540" i="2"/>
  <c r="M1639" i="2"/>
  <c r="U1439" i="2"/>
  <c r="G3093" i="2"/>
  <c r="I982" i="2"/>
  <c r="R1009" i="2"/>
  <c r="K2743" i="2"/>
  <c r="W2239" i="2"/>
  <c r="C2149" i="2"/>
  <c r="W239" i="2"/>
  <c r="N1784" i="2"/>
  <c r="D1540" i="2"/>
  <c r="Q3427" i="2"/>
  <c r="U366" i="2"/>
  <c r="H3030" i="2"/>
  <c r="P1052" i="2"/>
  <c r="L2791" i="2"/>
  <c r="L2165" i="2"/>
  <c r="K3134" i="2"/>
  <c r="H3316" i="2"/>
  <c r="O1055" i="2"/>
  <c r="Q2686" i="2"/>
  <c r="K2185" i="2"/>
  <c r="W2672" i="2"/>
  <c r="K1878" i="2"/>
  <c r="U2095" i="2"/>
  <c r="M2837" i="2"/>
  <c r="S1426" i="2"/>
  <c r="P2245" i="2"/>
  <c r="G3299" i="2"/>
  <c r="R2833" i="2"/>
  <c r="W731" i="2"/>
  <c r="W2875" i="2"/>
  <c r="I2930" i="2"/>
  <c r="D2092" i="2"/>
  <c r="D1756" i="2"/>
  <c r="M2675" i="2"/>
  <c r="T1914" i="2"/>
  <c r="Q1307" i="2"/>
  <c r="G3054" i="2"/>
  <c r="I2411" i="2"/>
  <c r="O3104" i="2"/>
  <c r="S2080" i="2"/>
  <c r="T2548" i="2"/>
  <c r="R1959" i="2"/>
  <c r="N1975" i="2"/>
  <c r="G2843" i="2"/>
  <c r="M1099" i="2"/>
  <c r="W1172" i="2"/>
  <c r="L1188" i="2"/>
  <c r="E1560" i="2"/>
  <c r="V1942" i="2"/>
  <c r="I2763" i="2"/>
  <c r="W3045" i="2"/>
  <c r="P3476" i="2"/>
  <c r="M2861" i="2"/>
  <c r="U2993" i="2"/>
  <c r="S2633" i="2"/>
  <c r="U3458" i="2"/>
  <c r="U2194" i="2"/>
  <c r="G3453" i="2"/>
  <c r="N2845" i="2"/>
  <c r="T1974" i="2"/>
  <c r="O2573" i="2"/>
  <c r="R3418" i="2"/>
  <c r="Q2123" i="2"/>
  <c r="U2249" i="2"/>
  <c r="F804" i="2"/>
  <c r="J2783" i="2"/>
  <c r="U1689" i="2"/>
  <c r="K2809" i="2"/>
  <c r="J491" i="2"/>
  <c r="I2319" i="2"/>
  <c r="O2615" i="2"/>
  <c r="C1568" i="2"/>
  <c r="N945" i="2"/>
  <c r="J2800" i="2"/>
  <c r="S2621" i="2"/>
  <c r="G1991" i="2"/>
  <c r="U1150" i="2"/>
  <c r="M2771" i="2"/>
  <c r="I2005" i="2"/>
  <c r="W1848" i="2"/>
  <c r="R1468" i="2"/>
  <c r="O1969" i="2"/>
  <c r="K2056" i="2"/>
  <c r="M1630" i="2"/>
  <c r="S1832" i="2"/>
  <c r="N2870" i="2"/>
  <c r="T537" i="2"/>
  <c r="G2192" i="2"/>
  <c r="W228" i="2"/>
  <c r="E3487" i="2"/>
  <c r="W3122" i="2"/>
  <c r="V3262" i="2"/>
  <c r="V2792" i="2"/>
  <c r="M3141" i="2"/>
  <c r="U1950" i="2"/>
  <c r="L2848" i="2"/>
  <c r="L1075" i="2"/>
  <c r="N469" i="2"/>
  <c r="U3291" i="2"/>
  <c r="I493" i="2"/>
  <c r="K2633" i="2"/>
  <c r="N2402" i="2"/>
  <c r="T1889" i="2"/>
  <c r="F2730" i="2"/>
  <c r="P3358" i="2"/>
  <c r="U1828" i="2"/>
  <c r="E2565" i="2"/>
  <c r="E2924" i="2"/>
  <c r="I2786" i="2"/>
  <c r="Q1710" i="2"/>
  <c r="H1982" i="2"/>
  <c r="P2757" i="2"/>
  <c r="I2599" i="2"/>
  <c r="S1400" i="2"/>
  <c r="S1992" i="2"/>
  <c r="V3400" i="2"/>
  <c r="T2231" i="2"/>
  <c r="S1861" i="2"/>
  <c r="I1448" i="2"/>
  <c r="S3123" i="2"/>
  <c r="T494" i="2"/>
  <c r="V2732" i="2"/>
  <c r="H2728" i="2"/>
  <c r="W2642" i="2"/>
  <c r="O2545" i="2"/>
  <c r="W3064" i="2"/>
  <c r="S2508" i="2"/>
  <c r="E1222" i="2"/>
  <c r="S2311" i="2"/>
  <c r="P2659" i="2"/>
  <c r="S2237" i="2"/>
  <c r="I165" i="2"/>
  <c r="O2299" i="2"/>
  <c r="U1344" i="2"/>
  <c r="D602" i="2"/>
  <c r="R2827" i="2"/>
  <c r="I3091" i="2"/>
  <c r="K2898" i="2"/>
  <c r="D2805" i="2"/>
  <c r="T2278" i="2"/>
  <c r="S2527" i="2"/>
  <c r="S2437" i="2"/>
  <c r="Q1807" i="2"/>
  <c r="F1030" i="2"/>
  <c r="E1897" i="2"/>
  <c r="P1989" i="2"/>
  <c r="J2056" i="2"/>
  <c r="H2628" i="2"/>
  <c r="E2659" i="2"/>
  <c r="M2322" i="2"/>
  <c r="J2860" i="2"/>
  <c r="U1466" i="2"/>
  <c r="M2850" i="2"/>
  <c r="M1610" i="2"/>
  <c r="E3086" i="2"/>
  <c r="G1859" i="2"/>
  <c r="U1194" i="2"/>
  <c r="N2656" i="2"/>
  <c r="Q2400" i="2"/>
  <c r="U2148" i="2"/>
  <c r="O2990" i="2"/>
  <c r="R1555" i="2"/>
  <c r="U3317" i="2"/>
  <c r="P1921" i="2"/>
  <c r="L166" i="2"/>
  <c r="K382" i="2"/>
  <c r="I2366" i="2"/>
  <c r="G2182" i="2"/>
  <c r="R2841" i="2"/>
  <c r="N3023" i="2"/>
  <c r="Q2453" i="2"/>
  <c r="W1555" i="2"/>
  <c r="F2221" i="2"/>
  <c r="G2234" i="2"/>
  <c r="S2379" i="2"/>
  <c r="W2969" i="2"/>
  <c r="K2501" i="2"/>
  <c r="N436" i="2"/>
  <c r="T3566" i="2"/>
  <c r="P3166" i="2"/>
  <c r="J2493" i="2"/>
  <c r="U2694" i="2"/>
  <c r="Q2980" i="2"/>
  <c r="W2799" i="2"/>
  <c r="C2806" i="2"/>
  <c r="F834" i="2"/>
  <c r="P1223" i="2"/>
  <c r="F2585" i="2"/>
  <c r="S2158" i="2"/>
  <c r="M3048" i="2"/>
  <c r="O1431" i="2"/>
  <c r="T3001" i="2"/>
  <c r="L2099" i="2"/>
  <c r="H2422" i="2"/>
  <c r="K1698" i="2"/>
  <c r="S3130" i="2"/>
  <c r="T1348" i="2"/>
  <c r="U1965" i="2"/>
  <c r="K1527" i="2"/>
  <c r="D391" i="2"/>
  <c r="V1032" i="2"/>
  <c r="L2319" i="2"/>
  <c r="P2839" i="2"/>
  <c r="P2280" i="2"/>
  <c r="U2709" i="2"/>
  <c r="J2731" i="2"/>
  <c r="M1100" i="2"/>
  <c r="K3080" i="2"/>
  <c r="R3049" i="2"/>
  <c r="H1426" i="2"/>
  <c r="W3263" i="2"/>
  <c r="N2601" i="2"/>
  <c r="R519" i="2"/>
  <c r="M2884" i="2"/>
  <c r="R3307" i="2"/>
  <c r="L3119" i="2"/>
  <c r="D3017" i="2"/>
  <c r="J2610" i="2"/>
  <c r="E2629" i="2"/>
  <c r="H2455" i="2"/>
  <c r="T1698" i="2"/>
  <c r="T3014" i="2"/>
  <c r="K3001" i="2"/>
  <c r="C3051" i="2"/>
  <c r="K3079" i="2"/>
  <c r="M3311" i="2"/>
  <c r="K2409" i="2"/>
  <c r="Q3141" i="2"/>
  <c r="K783" i="2"/>
  <c r="T1749" i="2"/>
  <c r="J3123" i="2"/>
  <c r="P2466" i="2"/>
  <c r="E1217" i="2"/>
  <c r="J2603" i="2"/>
  <c r="M321" i="2"/>
  <c r="W284" i="2"/>
  <c r="M1738" i="2"/>
  <c r="N3015" i="2"/>
  <c r="Q2259" i="2"/>
  <c r="Q2383" i="2"/>
  <c r="S2493" i="2"/>
  <c r="P2890" i="2"/>
  <c r="T2626" i="2"/>
  <c r="N3119" i="2"/>
  <c r="D1386" i="2"/>
  <c r="J2667" i="2"/>
  <c r="S3434" i="2"/>
  <c r="H3040" i="2"/>
  <c r="W2004" i="2"/>
  <c r="U2890" i="2"/>
  <c r="V2072" i="2"/>
  <c r="K2424" i="2"/>
  <c r="O1300" i="2"/>
  <c r="U2842" i="2"/>
  <c r="Q1090" i="2"/>
  <c r="Q3376" i="2"/>
  <c r="H2700" i="2"/>
  <c r="N1779" i="2"/>
  <c r="V1313" i="2"/>
  <c r="J2982" i="2"/>
  <c r="H2711" i="2"/>
  <c r="C2669" i="2"/>
  <c r="V2046" i="2"/>
  <c r="O2433" i="2"/>
  <c r="O848" i="2"/>
  <c r="S3161" i="2"/>
  <c r="N1992" i="2"/>
  <c r="G275" i="2"/>
  <c r="O3199" i="2"/>
  <c r="V2054" i="2"/>
  <c r="H2663" i="2"/>
  <c r="I878" i="2"/>
  <c r="N2440" i="2"/>
  <c r="E2985" i="2"/>
  <c r="T2858" i="2"/>
  <c r="G2930" i="2"/>
  <c r="Q1027" i="2"/>
  <c r="J2932" i="2"/>
  <c r="S3295" i="2"/>
  <c r="M2367" i="2"/>
  <c r="T3033" i="2"/>
  <c r="S1405" i="2"/>
  <c r="M815" i="2"/>
  <c r="D3098" i="2"/>
  <c r="U2717" i="2"/>
  <c r="M1816" i="2"/>
  <c r="E2221" i="2"/>
  <c r="J1529" i="2"/>
  <c r="V1660" i="2"/>
  <c r="L894" i="2"/>
  <c r="O2234" i="2"/>
  <c r="P1850" i="2"/>
  <c r="H3189" i="2"/>
  <c r="L2856" i="2"/>
  <c r="M2947" i="2"/>
  <c r="V2339" i="2"/>
  <c r="G2511" i="2"/>
  <c r="Q2215" i="2"/>
  <c r="L1218" i="2"/>
  <c r="S1185" i="2"/>
  <c r="H2783" i="2"/>
  <c r="W1486" i="2"/>
  <c r="M2188" i="2"/>
  <c r="V1765" i="2"/>
  <c r="L2469" i="2"/>
  <c r="C2063" i="2"/>
  <c r="L2034" i="2"/>
  <c r="S3311" i="2"/>
  <c r="E2533" i="2"/>
  <c r="F2545" i="2"/>
  <c r="V1856" i="2"/>
  <c r="L2861" i="2"/>
  <c r="R3015" i="2"/>
  <c r="L1465" i="2"/>
  <c r="D2745" i="2"/>
  <c r="W3114" i="2"/>
  <c r="M1650" i="2"/>
  <c r="N1297" i="2"/>
  <c r="J918" i="2"/>
  <c r="P1363" i="2"/>
  <c r="S2521" i="2"/>
  <c r="L1182" i="2"/>
  <c r="F2494" i="2"/>
  <c r="S2707" i="2"/>
  <c r="Q2032" i="2"/>
  <c r="D1587" i="2"/>
  <c r="D2119" i="2"/>
  <c r="S2778" i="2"/>
  <c r="P2398" i="2"/>
  <c r="D1174" i="2"/>
  <c r="R1105" i="2"/>
  <c r="F1549" i="2"/>
  <c r="J1412" i="2"/>
  <c r="S1777" i="2"/>
  <c r="G2216" i="2"/>
  <c r="E1757" i="2"/>
  <c r="W1900" i="2"/>
  <c r="L2354" i="2"/>
  <c r="Q2377" i="2"/>
  <c r="T758" i="2"/>
  <c r="J2905" i="2"/>
  <c r="J3407" i="2"/>
  <c r="M3365" i="2"/>
  <c r="K1494" i="2"/>
  <c r="P2942" i="2"/>
  <c r="J2997" i="2"/>
  <c r="W2524" i="2"/>
  <c r="G3049" i="2"/>
  <c r="C2409" i="2"/>
  <c r="O2483" i="2"/>
  <c r="T1199" i="2"/>
  <c r="P3029" i="2"/>
  <c r="H2796" i="2"/>
  <c r="W1765" i="2"/>
  <c r="T3027" i="2"/>
  <c r="O2744" i="2"/>
  <c r="K2719" i="2"/>
  <c r="F1774" i="2"/>
  <c r="O2198" i="2"/>
  <c r="V1465" i="2"/>
  <c r="G2438" i="2"/>
  <c r="C3199" i="2"/>
  <c r="L1678" i="2"/>
  <c r="F1769" i="2"/>
  <c r="O136" i="2"/>
  <c r="W2774" i="2"/>
  <c r="D3033" i="2"/>
  <c r="D2457" i="2"/>
  <c r="S2694" i="2"/>
  <c r="D3173" i="2"/>
  <c r="V1101" i="2"/>
  <c r="I3538" i="2"/>
  <c r="N1674" i="2"/>
  <c r="D3066" i="2"/>
  <c r="S2863" i="2"/>
  <c r="J2122" i="2"/>
  <c r="G2638" i="2"/>
  <c r="N2949" i="2"/>
  <c r="E3015" i="2"/>
  <c r="V3464" i="2"/>
  <c r="G2788" i="2"/>
  <c r="G2479" i="2"/>
  <c r="V2272" i="2"/>
  <c r="L2227" i="2"/>
  <c r="K2593" i="2"/>
  <c r="F421" i="2"/>
  <c r="L2564" i="2"/>
  <c r="N2871" i="2"/>
  <c r="W1984" i="2"/>
  <c r="O2983" i="2"/>
  <c r="P370" i="2"/>
  <c r="D1510" i="2"/>
  <c r="H1865" i="2"/>
  <c r="M1326" i="2"/>
  <c r="D2955" i="2"/>
  <c r="U1212" i="2"/>
  <c r="M1461" i="2"/>
  <c r="H1647" i="2"/>
  <c r="R1575" i="2"/>
  <c r="M3014" i="2"/>
  <c r="W2471" i="2"/>
  <c r="L2790" i="2"/>
  <c r="I2977" i="2"/>
  <c r="V2815" i="2"/>
  <c r="C2722" i="2"/>
  <c r="E2136" i="2"/>
  <c r="I3076" i="2"/>
  <c r="I2235" i="2"/>
  <c r="J1600" i="2"/>
  <c r="K1154" i="2"/>
  <c r="K2403" i="2"/>
  <c r="P2753" i="2"/>
  <c r="D2169" i="2"/>
  <c r="I3053" i="2"/>
  <c r="Q2146" i="2"/>
  <c r="T3146" i="2"/>
  <c r="P1799" i="2"/>
  <c r="I1512" i="2"/>
  <c r="D2764" i="2"/>
  <c r="G1391" i="2"/>
  <c r="K3194" i="2"/>
  <c r="O3024" i="2"/>
  <c r="U2432" i="2"/>
  <c r="V2204" i="2"/>
  <c r="D1719" i="2"/>
  <c r="G3124" i="2"/>
  <c r="L1386" i="2"/>
  <c r="W1993" i="2"/>
  <c r="P1481" i="2"/>
  <c r="W2468" i="2"/>
  <c r="W2052" i="2"/>
  <c r="I2459" i="2"/>
  <c r="R560" i="2"/>
  <c r="M2051" i="2"/>
  <c r="D3154" i="2"/>
  <c r="V3074" i="2"/>
  <c r="W3212" i="2"/>
  <c r="O2773" i="2"/>
  <c r="M3453" i="2"/>
  <c r="H2741" i="2"/>
  <c r="W568" i="2"/>
  <c r="J2782" i="2"/>
  <c r="I2377" i="2"/>
  <c r="M3265" i="2"/>
  <c r="N1415" i="2"/>
  <c r="H1879" i="2"/>
  <c r="D2187" i="2"/>
  <c r="J2428" i="2"/>
  <c r="M1015" i="2"/>
  <c r="E1470" i="2"/>
  <c r="E3125" i="2"/>
  <c r="J2404" i="2"/>
  <c r="H3094" i="2"/>
  <c r="Q2332" i="2"/>
  <c r="M3227" i="2"/>
  <c r="S2323" i="2"/>
  <c r="W3217" i="2"/>
  <c r="D2332" i="2"/>
  <c r="M1566" i="2"/>
  <c r="N1999" i="2"/>
  <c r="I2665" i="2"/>
  <c r="K1249" i="2"/>
  <c r="G1631" i="2"/>
  <c r="W1109" i="2"/>
  <c r="S3189" i="2"/>
  <c r="U2029" i="2"/>
  <c r="F3257" i="2"/>
  <c r="M3057" i="2"/>
  <c r="P2476" i="2"/>
  <c r="P2569" i="2"/>
  <c r="N2963" i="2"/>
  <c r="M2906" i="2"/>
  <c r="T3069" i="2"/>
  <c r="D2736" i="2"/>
  <c r="C3395" i="2"/>
  <c r="M2409" i="2"/>
  <c r="W2478" i="2"/>
  <c r="M2061" i="2"/>
  <c r="D2086" i="2"/>
  <c r="T2403" i="2"/>
  <c r="K3144" i="2"/>
  <c r="L3135" i="2"/>
  <c r="V3416" i="2"/>
  <c r="T2634" i="2"/>
  <c r="M1051" i="2"/>
  <c r="R1101" i="2"/>
  <c r="O2979" i="2"/>
  <c r="N1288" i="2"/>
  <c r="Q2397" i="2"/>
  <c r="R2457" i="2"/>
  <c r="T3002" i="2"/>
  <c r="W2252" i="2"/>
  <c r="T1790" i="2"/>
  <c r="F694" i="2"/>
  <c r="F2719" i="2"/>
  <c r="H2610" i="2"/>
  <c r="E2881" i="2"/>
  <c r="T2967" i="2"/>
  <c r="F2994" i="2"/>
  <c r="W3532" i="2"/>
  <c r="T2986" i="2"/>
  <c r="H2483" i="2"/>
  <c r="L2465" i="2"/>
  <c r="O1857" i="2"/>
  <c r="T1784" i="2"/>
  <c r="J3115" i="2"/>
  <c r="M2085" i="2"/>
  <c r="L2391" i="2"/>
  <c r="H1695" i="2"/>
  <c r="J457" i="2"/>
  <c r="E2844" i="2"/>
  <c r="N1088" i="2"/>
  <c r="U993" i="2"/>
  <c r="I2585" i="2"/>
  <c r="T3532" i="2"/>
  <c r="U799" i="2"/>
  <c r="Q2488" i="2"/>
  <c r="M2351" i="2"/>
  <c r="L2424" i="2"/>
  <c r="O2203" i="2"/>
  <c r="C3220" i="2"/>
  <c r="K2050" i="2"/>
  <c r="W2749" i="2"/>
  <c r="H1805" i="2"/>
  <c r="M2481" i="2"/>
  <c r="V1171" i="2"/>
  <c r="C3167" i="2"/>
  <c r="J1602" i="2"/>
  <c r="L2823" i="2"/>
  <c r="O329" i="2"/>
  <c r="D3213" i="2"/>
  <c r="T1385" i="2"/>
  <c r="M2372" i="2"/>
  <c r="H2737" i="2"/>
  <c r="U2411" i="2"/>
  <c r="E1333" i="2"/>
  <c r="N2130" i="2"/>
  <c r="O3236" i="2"/>
  <c r="P3187" i="2"/>
  <c r="V1946" i="2"/>
  <c r="F2070" i="2"/>
  <c r="F1298" i="2"/>
  <c r="P1666" i="2"/>
  <c r="T2792" i="2"/>
  <c r="P1699" i="2"/>
  <c r="V633" i="2"/>
  <c r="U3192" i="2"/>
  <c r="I2946" i="2"/>
  <c r="O896" i="2"/>
  <c r="T2564" i="2"/>
  <c r="S3215" i="2"/>
  <c r="I2022" i="2"/>
  <c r="D1705" i="2"/>
  <c r="T1803" i="2"/>
  <c r="P2766" i="2"/>
  <c r="C1521" i="2"/>
  <c r="V1973" i="2"/>
  <c r="M554" i="2"/>
  <c r="L2170" i="2"/>
  <c r="M2890" i="2"/>
  <c r="T2198" i="2"/>
  <c r="E3380" i="2"/>
  <c r="P3431" i="2"/>
  <c r="C2131" i="2"/>
  <c r="C1668" i="2"/>
  <c r="D2627" i="2"/>
  <c r="C2647" i="2"/>
  <c r="P3289" i="2"/>
  <c r="G943" i="2"/>
  <c r="D3009" i="2"/>
  <c r="U2550" i="2"/>
  <c r="O2523" i="2"/>
  <c r="P2101" i="2"/>
  <c r="F1764" i="2"/>
  <c r="Q1630" i="2"/>
  <c r="M152" i="2"/>
  <c r="F2254" i="2"/>
  <c r="I1574" i="2"/>
  <c r="S2808" i="2"/>
  <c r="U1450" i="2"/>
  <c r="T1486" i="2"/>
  <c r="C2577" i="2"/>
  <c r="P2267" i="2"/>
  <c r="U1825" i="2"/>
  <c r="U1417" i="2"/>
  <c r="S2792" i="2"/>
  <c r="Q2562" i="2"/>
  <c r="S1335" i="2"/>
  <c r="O2059" i="2"/>
  <c r="P1792" i="2"/>
  <c r="F2864" i="2"/>
  <c r="E1837" i="2"/>
  <c r="U2196" i="2"/>
  <c r="N396" i="2"/>
  <c r="G2587" i="2"/>
  <c r="O2868" i="2"/>
  <c r="U1840" i="2"/>
  <c r="E2818" i="2"/>
  <c r="I3385" i="2"/>
  <c r="N3404" i="2"/>
  <c r="G1986" i="2"/>
  <c r="N2853" i="2"/>
  <c r="V1334" i="2"/>
  <c r="S3150" i="2"/>
  <c r="I2846" i="2"/>
  <c r="H1924" i="2"/>
  <c r="R3016" i="2"/>
  <c r="G2984" i="2"/>
  <c r="J1464" i="2"/>
  <c r="P1664" i="2"/>
  <c r="K3122" i="2"/>
  <c r="Q2292" i="2"/>
  <c r="K1690" i="2"/>
  <c r="K2792" i="2"/>
  <c r="N2966" i="2"/>
  <c r="C2676" i="2"/>
  <c r="W394" i="2"/>
  <c r="P2051" i="2"/>
  <c r="M3043" i="2"/>
  <c r="T3358" i="2"/>
  <c r="K2598" i="2"/>
  <c r="M3197" i="2"/>
  <c r="M713" i="2"/>
  <c r="U2929" i="2"/>
  <c r="K708" i="2"/>
  <c r="L276" i="2"/>
  <c r="J2892" i="2"/>
  <c r="J1258" i="2"/>
  <c r="D2184" i="2"/>
  <c r="G1439" i="2"/>
  <c r="R1901" i="2"/>
  <c r="L2308" i="2"/>
  <c r="U2558" i="2"/>
  <c r="Q534" i="2"/>
  <c r="V2913" i="2"/>
  <c r="K2749" i="2"/>
  <c r="E2510" i="2"/>
  <c r="C2597" i="2"/>
  <c r="R3172" i="2"/>
  <c r="P2059" i="2"/>
  <c r="K3108" i="2"/>
  <c r="D2769" i="2"/>
  <c r="O2803" i="2"/>
  <c r="E1900" i="2"/>
  <c r="F2590" i="2"/>
  <c r="N617" i="2"/>
  <c r="H3181" i="2"/>
  <c r="I2945" i="2"/>
  <c r="I2206" i="2"/>
  <c r="I3096" i="2"/>
  <c r="E1538" i="2"/>
  <c r="R2926" i="2"/>
  <c r="O3447" i="2"/>
  <c r="C2864" i="2"/>
  <c r="G2858" i="2"/>
  <c r="J1431" i="2"/>
  <c r="C3041" i="2"/>
  <c r="S1825" i="2"/>
  <c r="U3112" i="2"/>
  <c r="Q1675" i="2"/>
  <c r="G615" i="2"/>
  <c r="E2568" i="2"/>
  <c r="L2849" i="2"/>
  <c r="H1852" i="2"/>
  <c r="R2061" i="2"/>
  <c r="C3377" i="2"/>
  <c r="Q2198" i="2"/>
  <c r="C2345" i="2"/>
  <c r="T3289" i="2"/>
  <c r="J1494" i="2"/>
  <c r="G2562" i="2"/>
  <c r="P1359" i="2"/>
  <c r="I2668" i="2"/>
  <c r="U681" i="2"/>
  <c r="P2423" i="2"/>
  <c r="O1722" i="2"/>
  <c r="O1520" i="2"/>
  <c r="F1159" i="2"/>
  <c r="F2570" i="2"/>
  <c r="I3025" i="2"/>
  <c r="E2525" i="2"/>
  <c r="W3116" i="2"/>
  <c r="C3381" i="2"/>
  <c r="C2524" i="2"/>
  <c r="T2655" i="2"/>
  <c r="S1854" i="2"/>
  <c r="W2646" i="2"/>
  <c r="P1791" i="2"/>
  <c r="C3152" i="2"/>
  <c r="H1235" i="2"/>
  <c r="M1106" i="2"/>
  <c r="W1031" i="2"/>
  <c r="R2850" i="2"/>
  <c r="F670" i="2"/>
  <c r="L1501" i="2"/>
  <c r="L2974" i="2"/>
  <c r="O2960" i="2"/>
  <c r="I2703" i="2"/>
  <c r="F2235" i="2"/>
  <c r="N2603" i="2"/>
  <c r="F2638" i="2"/>
  <c r="R3514" i="2"/>
  <c r="N2848" i="2"/>
  <c r="U2926" i="2"/>
  <c r="E3088" i="2"/>
  <c r="J1786" i="2"/>
  <c r="H907" i="2"/>
  <c r="C2733" i="2"/>
  <c r="P1360" i="2"/>
  <c r="N2616" i="2"/>
  <c r="F2104" i="2"/>
  <c r="K508" i="2"/>
  <c r="F1552" i="2"/>
  <c r="D1575" i="2"/>
  <c r="C2744" i="2"/>
  <c r="U2324" i="2"/>
  <c r="T1637" i="2"/>
  <c r="F2965" i="2"/>
  <c r="S2087" i="2"/>
  <c r="P3298" i="2"/>
  <c r="E1188" i="2"/>
  <c r="Q1526" i="2"/>
  <c r="H2480" i="2"/>
  <c r="E831" i="2"/>
  <c r="D2692" i="2"/>
  <c r="U1082" i="2"/>
  <c r="W566" i="2"/>
  <c r="P1709" i="2"/>
  <c r="N1634" i="2"/>
  <c r="Q1890" i="2"/>
  <c r="K1416" i="2"/>
  <c r="K3219" i="2"/>
  <c r="L3219" i="2"/>
  <c r="O2535" i="2"/>
  <c r="D2543" i="2"/>
  <c r="U2981" i="2"/>
  <c r="M2606" i="2"/>
  <c r="L3010" i="2"/>
  <c r="E1418" i="2"/>
  <c r="I2928" i="2"/>
  <c r="C1233" i="2"/>
  <c r="P2688" i="2"/>
  <c r="W2742" i="2"/>
  <c r="M3268" i="2"/>
  <c r="M2802" i="2"/>
  <c r="L2035" i="2"/>
  <c r="J2660" i="2"/>
  <c r="T3054" i="2"/>
  <c r="J3364" i="2"/>
  <c r="J2328" i="2"/>
  <c r="O3022" i="2"/>
  <c r="E3229" i="2"/>
  <c r="E3398" i="2"/>
  <c r="G2871" i="2"/>
  <c r="Q3305" i="2"/>
  <c r="K2474" i="2"/>
  <c r="R2624" i="2"/>
  <c r="W3262" i="2"/>
  <c r="L1812" i="2"/>
  <c r="J2643" i="2"/>
  <c r="N3003" i="2"/>
  <c r="V3299" i="2"/>
  <c r="O1938" i="2"/>
  <c r="Q3052" i="2"/>
  <c r="I1780" i="2"/>
  <c r="F2023" i="2"/>
  <c r="D1953" i="2"/>
  <c r="G2183" i="2"/>
  <c r="S2060" i="2"/>
  <c r="E3093" i="2"/>
  <c r="G1755" i="2"/>
  <c r="Q2476" i="2"/>
  <c r="N313" i="2"/>
  <c r="U1285" i="2"/>
  <c r="R1427" i="2"/>
  <c r="I3457" i="2"/>
  <c r="K2369" i="2"/>
  <c r="I2346" i="2"/>
  <c r="E2486" i="2"/>
  <c r="N3414" i="2"/>
  <c r="E3070" i="2"/>
  <c r="O2954" i="2"/>
  <c r="K3171" i="2"/>
  <c r="O2460" i="2"/>
  <c r="D3111" i="2"/>
  <c r="W2587" i="2"/>
  <c r="P3405" i="2"/>
  <c r="Q2935" i="2"/>
  <c r="H3381" i="2"/>
  <c r="E2266" i="2"/>
  <c r="Q2163" i="2"/>
  <c r="E2886" i="2"/>
  <c r="M1967" i="2"/>
  <c r="Q2460" i="2"/>
  <c r="F3167" i="2"/>
  <c r="D3052" i="2"/>
  <c r="E3183" i="2"/>
  <c r="E3359" i="2"/>
  <c r="U2333" i="2"/>
  <c r="F2816" i="2"/>
  <c r="E2062" i="2"/>
  <c r="U3315" i="2"/>
  <c r="P3046" i="2"/>
  <c r="G2432" i="2"/>
  <c r="E1706" i="2"/>
  <c r="Q2388" i="2"/>
  <c r="U3145" i="2"/>
  <c r="I2361" i="2"/>
  <c r="D2425" i="2"/>
  <c r="S3255" i="2"/>
  <c r="G2388" i="2"/>
  <c r="F2800" i="2"/>
  <c r="U2979" i="2"/>
  <c r="C1928" i="2"/>
  <c r="S3466" i="2"/>
  <c r="Q2571" i="2"/>
  <c r="R3175" i="2"/>
  <c r="J1679" i="2"/>
  <c r="F2476" i="2"/>
  <c r="I2452" i="2"/>
  <c r="V2351" i="2"/>
  <c r="K2681" i="2"/>
  <c r="F2303" i="2"/>
  <c r="V1614" i="2"/>
  <c r="R321" i="2"/>
  <c r="K2601" i="2"/>
  <c r="M3036" i="2"/>
  <c r="L2964" i="2"/>
  <c r="K3026" i="2"/>
  <c r="P2891" i="2"/>
  <c r="R655" i="2"/>
  <c r="W3136" i="2"/>
  <c r="P764" i="2"/>
  <c r="J2263" i="2"/>
  <c r="F1146" i="2"/>
  <c r="K3276" i="2"/>
  <c r="N3078" i="2"/>
  <c r="W2106" i="2"/>
  <c r="U865" i="2"/>
  <c r="O1519" i="2"/>
  <c r="U561" i="2"/>
  <c r="D2549" i="2"/>
  <c r="J663" i="2"/>
  <c r="H2543" i="2"/>
  <c r="J3175" i="2"/>
  <c r="J2645" i="2"/>
  <c r="S2366" i="2"/>
  <c r="F247" i="2"/>
  <c r="G3255" i="2"/>
  <c r="F3344" i="2"/>
  <c r="C2727" i="2"/>
  <c r="N860" i="2"/>
  <c r="D1975" i="2"/>
  <c r="H2320" i="2"/>
  <c r="F2780" i="2"/>
  <c r="F2300" i="2"/>
  <c r="C3339" i="2"/>
  <c r="M2439" i="2"/>
  <c r="W1792" i="2"/>
  <c r="W2712" i="2"/>
  <c r="L2448" i="2"/>
  <c r="H1113" i="2"/>
  <c r="C1211" i="2"/>
  <c r="S2459" i="2"/>
  <c r="Q819" i="2"/>
  <c r="F1962" i="2"/>
  <c r="W2975" i="2"/>
  <c r="O2729" i="2"/>
  <c r="U1443" i="2"/>
  <c r="R2025" i="2"/>
  <c r="V1647" i="2"/>
  <c r="F337" i="2"/>
  <c r="K3306" i="2"/>
  <c r="T1052" i="2"/>
  <c r="J3168" i="2"/>
  <c r="O2084" i="2"/>
  <c r="E2220" i="2"/>
  <c r="O1573" i="2"/>
  <c r="W2570" i="2"/>
  <c r="L2801" i="2"/>
  <c r="H2964" i="2"/>
  <c r="L2748" i="2"/>
  <c r="D2938" i="2"/>
  <c r="V2492" i="2"/>
  <c r="M3336" i="2"/>
  <c r="K1757" i="2"/>
  <c r="K2881" i="2"/>
  <c r="L3057" i="2"/>
  <c r="H2257" i="2"/>
  <c r="S1567" i="2"/>
  <c r="J2120" i="2"/>
  <c r="N2240" i="2"/>
  <c r="P2715" i="2"/>
  <c r="N2503" i="2"/>
  <c r="K2205" i="2"/>
  <c r="Q56" i="2"/>
  <c r="H2434" i="2"/>
  <c r="P815" i="2"/>
  <c r="G2074" i="2"/>
  <c r="F997" i="2"/>
  <c r="H2114" i="2"/>
  <c r="L1639" i="2"/>
  <c r="O1692" i="2"/>
  <c r="N3175" i="2"/>
  <c r="I2621" i="2"/>
  <c r="L1381" i="2"/>
  <c r="H3211" i="2"/>
  <c r="D2419" i="2"/>
  <c r="N1998" i="2"/>
  <c r="F3080" i="2"/>
  <c r="H1933" i="2"/>
  <c r="F2322" i="2"/>
  <c r="C2510" i="2"/>
  <c r="P2610" i="2"/>
  <c r="E2224" i="2"/>
  <c r="R1060" i="2"/>
  <c r="D455" i="2"/>
  <c r="F139" i="2"/>
  <c r="V513" i="2"/>
  <c r="O34" i="2"/>
  <c r="L1986" i="2"/>
  <c r="C2450" i="2"/>
  <c r="O704" i="2"/>
  <c r="N1507" i="2"/>
  <c r="G2177" i="2"/>
  <c r="Q1939" i="2"/>
  <c r="F2171" i="2"/>
  <c r="L2534" i="2"/>
  <c r="S2239" i="2"/>
  <c r="J2137" i="2"/>
  <c r="I2009" i="2"/>
  <c r="O610" i="2"/>
  <c r="K1413" i="2"/>
  <c r="W2238" i="2"/>
  <c r="E2487" i="2"/>
  <c r="I3297" i="2"/>
  <c r="L2781" i="2"/>
  <c r="W1557" i="2"/>
  <c r="P3093" i="2"/>
  <c r="R2958" i="2"/>
  <c r="L2824" i="2"/>
  <c r="J3095" i="2"/>
  <c r="M2873" i="2"/>
  <c r="D2746" i="2"/>
  <c r="M1278" i="2"/>
  <c r="C3316" i="2"/>
  <c r="M2373" i="2"/>
  <c r="M2042" i="2"/>
  <c r="I2676" i="2"/>
  <c r="G2481" i="2"/>
  <c r="U3590" i="2"/>
  <c r="K2432" i="2"/>
  <c r="Q3368" i="2"/>
  <c r="K2451" i="2"/>
  <c r="W3019" i="2"/>
  <c r="H2946" i="2"/>
  <c r="W2368" i="2"/>
  <c r="V405" i="2"/>
  <c r="L1408" i="2"/>
  <c r="W2925" i="2"/>
  <c r="R1505" i="2"/>
  <c r="Q2184" i="2"/>
  <c r="D1207" i="2"/>
  <c r="G2976" i="2"/>
  <c r="T3347" i="2"/>
  <c r="C2923" i="2"/>
  <c r="J3224" i="2"/>
  <c r="W2420" i="2"/>
  <c r="Q14" i="2"/>
  <c r="F2517" i="2"/>
  <c r="H2023" i="2"/>
  <c r="N2657" i="2"/>
  <c r="V3110" i="2"/>
  <c r="D2055" i="2"/>
  <c r="G2447" i="2"/>
  <c r="D1693" i="2"/>
  <c r="K2449" i="2"/>
  <c r="I2830" i="2"/>
  <c r="V2133" i="2"/>
  <c r="P1344" i="2"/>
  <c r="N3063" i="2"/>
  <c r="C2596" i="2"/>
  <c r="J3114" i="2"/>
  <c r="R2210" i="2"/>
  <c r="V1714" i="2"/>
  <c r="D2925" i="2"/>
  <c r="E1592" i="2"/>
  <c r="C2894" i="2"/>
  <c r="P2221" i="2"/>
  <c r="E2446" i="2"/>
  <c r="J2278" i="2"/>
  <c r="U1793" i="2"/>
  <c r="L1305" i="2"/>
  <c r="Q3040" i="2"/>
  <c r="D2225" i="2"/>
  <c r="G3007" i="2"/>
  <c r="L1499" i="2"/>
  <c r="I2931" i="2"/>
  <c r="O3256" i="2"/>
  <c r="F284" i="2"/>
  <c r="S2585" i="2"/>
  <c r="M6" i="2"/>
  <c r="J3334" i="2"/>
  <c r="C1853" i="2"/>
  <c r="S3279" i="2"/>
  <c r="F2379" i="2"/>
  <c r="S2062" i="2"/>
  <c r="M1129" i="2"/>
  <c r="M1028" i="2"/>
  <c r="S3101" i="2"/>
  <c r="K2673" i="2"/>
  <c r="C1849" i="2"/>
  <c r="H1831" i="2"/>
  <c r="H1147" i="2"/>
  <c r="Q2432" i="2"/>
  <c r="C662" i="2"/>
  <c r="P2257" i="2"/>
  <c r="S2738" i="2"/>
  <c r="S2337" i="2"/>
  <c r="L3222" i="2"/>
  <c r="M3441" i="2"/>
  <c r="T2037" i="2"/>
  <c r="E1110" i="2"/>
  <c r="F2651" i="2"/>
  <c r="N3190" i="2"/>
  <c r="S2703" i="2"/>
  <c r="S1064" i="2"/>
  <c r="N1852" i="2"/>
  <c r="Q1302" i="2"/>
  <c r="C696" i="2"/>
  <c r="D145" i="2"/>
  <c r="C2528" i="2"/>
  <c r="P2116" i="2"/>
  <c r="D1639" i="2"/>
  <c r="H1965" i="2"/>
  <c r="H2827" i="2"/>
  <c r="K2548" i="2"/>
  <c r="D2658" i="2"/>
  <c r="J857" i="2"/>
  <c r="F492" i="2"/>
  <c r="W1859" i="2"/>
  <c r="G201" i="2"/>
  <c r="W1704" i="2"/>
  <c r="D3073" i="2"/>
  <c r="W2132" i="2"/>
  <c r="I1622" i="2"/>
  <c r="K2908" i="2"/>
  <c r="I3307" i="2"/>
  <c r="I2716" i="2"/>
  <c r="V1593" i="2"/>
  <c r="I3099" i="2"/>
  <c r="J3489" i="2"/>
  <c r="M2938" i="2"/>
  <c r="N2604" i="2"/>
  <c r="E2211" i="2"/>
  <c r="O2794" i="2"/>
  <c r="U1625" i="2"/>
  <c r="K1290" i="2"/>
  <c r="I1059" i="2"/>
  <c r="J1513" i="2"/>
  <c r="W3215" i="2"/>
  <c r="T3114" i="2"/>
  <c r="G1717" i="2"/>
  <c r="D815" i="2"/>
  <c r="C2652" i="2"/>
  <c r="S1458" i="2"/>
  <c r="M2276" i="2"/>
  <c r="E3443" i="2"/>
  <c r="P2771" i="2"/>
  <c r="I2730" i="2"/>
  <c r="P3102" i="2"/>
  <c r="R2563" i="2"/>
  <c r="C2051" i="2"/>
  <c r="T3090" i="2"/>
  <c r="V2344" i="2"/>
  <c r="W2841" i="2"/>
  <c r="I2421" i="2"/>
  <c r="G1945" i="2"/>
  <c r="H989" i="2"/>
  <c r="C2846" i="2"/>
  <c r="H2034" i="2"/>
  <c r="D2776" i="2"/>
  <c r="Q2065" i="2"/>
  <c r="O3197" i="2"/>
  <c r="O2120" i="2"/>
  <c r="O3038" i="2"/>
  <c r="N2505" i="2"/>
  <c r="P1828" i="2"/>
  <c r="O2886" i="2"/>
  <c r="G2572" i="2"/>
  <c r="C548" i="2"/>
  <c r="V3017" i="2"/>
  <c r="S3296" i="2"/>
  <c r="P3292" i="2"/>
  <c r="U1537" i="2"/>
  <c r="T2720" i="2"/>
  <c r="M1399" i="2"/>
  <c r="D1391" i="2"/>
  <c r="P3264" i="2"/>
  <c r="P2885" i="2"/>
  <c r="F3054" i="2"/>
  <c r="I3147" i="2"/>
  <c r="H2401" i="2"/>
  <c r="W2753" i="2"/>
  <c r="L302" i="2"/>
  <c r="U2898" i="2"/>
  <c r="I1027" i="2"/>
  <c r="G3221" i="2"/>
  <c r="F244" i="2"/>
  <c r="K2796" i="2"/>
  <c r="F1929" i="2"/>
  <c r="I1862" i="2"/>
  <c r="C1380" i="2"/>
  <c r="N2962" i="2"/>
  <c r="E1216" i="2"/>
  <c r="N2430" i="2"/>
  <c r="F885" i="2"/>
  <c r="I2434" i="2"/>
  <c r="N1549" i="2"/>
  <c r="T2099" i="2"/>
  <c r="W2343" i="2"/>
  <c r="H410" i="2"/>
  <c r="P1469" i="2"/>
  <c r="C2418" i="2"/>
  <c r="L940" i="2"/>
  <c r="I3087" i="2"/>
  <c r="K1813" i="2"/>
  <c r="G3457" i="2"/>
  <c r="O2023" i="2"/>
  <c r="P2125" i="2"/>
  <c r="V2481" i="2"/>
  <c r="P2288" i="2"/>
  <c r="M2687" i="2"/>
  <c r="U2765" i="2"/>
  <c r="R2899" i="2"/>
  <c r="D1781" i="2"/>
  <c r="P1671" i="2"/>
  <c r="F3011" i="2"/>
  <c r="I3445" i="2"/>
  <c r="I895" i="2"/>
  <c r="W600" i="2"/>
  <c r="P1026" i="2"/>
  <c r="P2146" i="2"/>
  <c r="D2609" i="2"/>
  <c r="U2278" i="2"/>
  <c r="N2450" i="2"/>
  <c r="I3433" i="2"/>
  <c r="N2675" i="2"/>
  <c r="F1863" i="2"/>
  <c r="R2961" i="2"/>
  <c r="J2258" i="2"/>
  <c r="T1366" i="2"/>
  <c r="S1144" i="2"/>
  <c r="G2044" i="2"/>
  <c r="L1828" i="2"/>
  <c r="D3329" i="2"/>
  <c r="V1736" i="2"/>
  <c r="T2123" i="2"/>
  <c r="D1403" i="2"/>
  <c r="Q2932" i="2"/>
  <c r="G2318" i="2"/>
  <c r="E1908" i="2"/>
  <c r="C2832" i="2"/>
  <c r="S2954" i="2"/>
  <c r="I2962" i="2"/>
  <c r="O2180" i="2"/>
  <c r="M2331" i="2"/>
  <c r="D3044" i="2"/>
  <c r="D1007" i="2"/>
  <c r="L1936" i="2"/>
  <c r="K343" i="2"/>
  <c r="Q3363" i="2"/>
  <c r="O1567" i="2"/>
  <c r="E1573" i="2"/>
  <c r="N2548" i="2"/>
  <c r="I1751" i="2"/>
  <c r="S2690" i="2"/>
  <c r="I1459" i="2"/>
  <c r="E1230" i="2"/>
  <c r="M2720" i="2"/>
  <c r="F3347" i="2"/>
  <c r="O2636" i="2"/>
  <c r="F1572" i="2"/>
  <c r="M666" i="2"/>
  <c r="K3285" i="2"/>
  <c r="S2806" i="2"/>
  <c r="M762" i="2"/>
  <c r="T2952" i="2"/>
  <c r="P1777" i="2"/>
  <c r="N1669" i="2"/>
  <c r="K1634" i="2"/>
  <c r="L814" i="2"/>
  <c r="M999" i="2"/>
  <c r="N1741" i="2"/>
  <c r="W1622" i="2"/>
  <c r="K2559" i="2"/>
  <c r="W1682" i="2"/>
  <c r="W2879" i="2"/>
  <c r="J2307" i="2"/>
  <c r="N2270" i="2"/>
  <c r="E1608" i="2"/>
  <c r="U3109" i="2"/>
  <c r="O3325" i="2"/>
  <c r="V1573" i="2"/>
  <c r="W2713" i="2"/>
  <c r="J1273" i="2"/>
  <c r="D1551" i="2"/>
  <c r="W1585" i="2"/>
  <c r="E3548" i="2"/>
  <c r="T2940" i="2"/>
  <c r="J2276" i="2"/>
  <c r="Q1451" i="2"/>
  <c r="G1182" i="2"/>
  <c r="P1650" i="2"/>
  <c r="I3041" i="2"/>
  <c r="Q406" i="2"/>
  <c r="U1659" i="2"/>
  <c r="F1683" i="2"/>
  <c r="V2167" i="2"/>
  <c r="O3026" i="2"/>
  <c r="T3308" i="2"/>
  <c r="K2170" i="2"/>
  <c r="G2392" i="2"/>
  <c r="C2185" i="2"/>
  <c r="F3059" i="2"/>
  <c r="G3177" i="2"/>
  <c r="K2964" i="2"/>
  <c r="V2906" i="2"/>
  <c r="H2237" i="2"/>
  <c r="J2845" i="2"/>
  <c r="C996" i="2"/>
  <c r="N1996" i="2"/>
  <c r="W2863" i="2"/>
  <c r="L3162" i="2"/>
  <c r="M2498" i="2"/>
  <c r="Q2475" i="2"/>
  <c r="P3111" i="2"/>
  <c r="O2556" i="2"/>
  <c r="K1075" i="2"/>
  <c r="Q278" i="2"/>
  <c r="F2038" i="2"/>
  <c r="T2313" i="2"/>
  <c r="S2348" i="2"/>
  <c r="U2433" i="2"/>
  <c r="P381" i="2"/>
  <c r="F2355" i="2"/>
  <c r="P994" i="2"/>
  <c r="R2527" i="2"/>
  <c r="G1589" i="2"/>
  <c r="C3000" i="2"/>
  <c r="U1979" i="2"/>
  <c r="E1792" i="2"/>
  <c r="U2562" i="2"/>
  <c r="H2233" i="2"/>
  <c r="S3034" i="2"/>
  <c r="U1047" i="2"/>
  <c r="L2804" i="2"/>
  <c r="D2195" i="2"/>
  <c r="L2167" i="2"/>
  <c r="H2127" i="2"/>
  <c r="K2529" i="2"/>
  <c r="F2078" i="2"/>
  <c r="W2336" i="2"/>
  <c r="T3106" i="2"/>
  <c r="R2472" i="2"/>
  <c r="I2908" i="2"/>
  <c r="C2580" i="2"/>
  <c r="C2998" i="2"/>
  <c r="M1884" i="2"/>
  <c r="G2722" i="2"/>
  <c r="E897" i="2"/>
  <c r="R1404" i="2"/>
  <c r="D3133" i="2"/>
  <c r="O1822" i="2"/>
  <c r="O2752" i="2"/>
  <c r="H2260" i="2"/>
  <c r="N2960" i="2"/>
  <c r="K2604" i="2"/>
  <c r="S2331" i="2"/>
  <c r="L2299" i="2"/>
  <c r="W2331" i="2"/>
  <c r="K3236" i="2"/>
  <c r="S2501" i="2"/>
  <c r="N1793" i="2"/>
  <c r="D2268" i="2"/>
  <c r="I2384" i="2"/>
  <c r="P1454" i="2"/>
  <c r="G1892" i="2"/>
  <c r="P2614" i="2"/>
  <c r="D2309" i="2"/>
  <c r="E2180" i="2"/>
  <c r="P1870" i="2"/>
  <c r="R1127" i="2"/>
  <c r="L3253" i="2"/>
  <c r="F1870" i="2"/>
  <c r="N2470" i="2"/>
  <c r="S1768" i="2"/>
  <c r="U3177" i="2"/>
  <c r="E3347" i="2"/>
  <c r="D2881" i="2"/>
  <c r="F2473" i="2"/>
  <c r="K2386" i="2"/>
  <c r="Q2692" i="2"/>
  <c r="E1821" i="2"/>
  <c r="G1695" i="2"/>
  <c r="T457" i="2"/>
  <c r="J3161" i="2"/>
  <c r="I1750" i="2"/>
  <c r="S2222" i="2"/>
  <c r="Q2173" i="2"/>
  <c r="N1464" i="2"/>
  <c r="K827" i="2"/>
  <c r="L1919" i="2"/>
  <c r="F3264" i="2"/>
  <c r="J2652" i="2"/>
  <c r="P3317" i="2"/>
  <c r="O2391" i="2"/>
  <c r="S2505" i="2"/>
  <c r="G2944" i="2"/>
  <c r="J1908" i="2"/>
  <c r="K2087" i="2"/>
  <c r="L1845" i="2"/>
  <c r="G1808" i="2"/>
  <c r="J2879" i="2"/>
  <c r="K1340" i="2"/>
  <c r="L3473" i="2"/>
  <c r="K1583" i="2"/>
  <c r="R456" i="2"/>
  <c r="H780" i="2"/>
  <c r="C2992" i="2"/>
  <c r="J2730" i="2"/>
  <c r="P3031" i="2"/>
  <c r="E1987" i="2"/>
  <c r="E2541" i="2"/>
  <c r="J1816" i="2"/>
  <c r="L3270" i="2"/>
  <c r="T2480" i="2"/>
  <c r="L2195" i="2"/>
  <c r="W3472" i="2"/>
  <c r="F3197" i="2"/>
  <c r="P3360" i="2"/>
  <c r="T2748" i="2"/>
  <c r="T2989" i="2"/>
  <c r="I2575" i="2"/>
  <c r="R1761" i="2"/>
  <c r="P3496" i="2"/>
  <c r="U2832" i="2"/>
  <c r="H2838" i="2"/>
  <c r="V1820" i="2"/>
  <c r="I2597" i="2"/>
  <c r="J2076" i="2"/>
  <c r="K1711" i="2"/>
  <c r="R1526" i="2"/>
  <c r="W792" i="2"/>
  <c r="P2113" i="2"/>
  <c r="K2911" i="2"/>
  <c r="F600" i="2"/>
  <c r="J2605" i="2"/>
  <c r="F2485" i="2"/>
  <c r="W2538" i="2"/>
  <c r="F1252" i="2"/>
  <c r="L3250" i="2"/>
  <c r="K3064" i="2"/>
  <c r="D2113" i="2"/>
  <c r="U1989" i="2"/>
  <c r="V1781" i="2"/>
  <c r="K1643" i="2"/>
  <c r="K1161" i="2"/>
  <c r="I1405" i="2"/>
  <c r="M2570" i="2"/>
  <c r="E338" i="2"/>
  <c r="O3094" i="2"/>
  <c r="M1235" i="2"/>
  <c r="U1884" i="2"/>
  <c r="E1863" i="2"/>
  <c r="R3298" i="2"/>
  <c r="O1916" i="2"/>
  <c r="F3177" i="2"/>
  <c r="R3163" i="2"/>
  <c r="P885" i="2"/>
  <c r="W2996" i="2"/>
  <c r="C1682" i="2"/>
  <c r="L602" i="2"/>
  <c r="S2956" i="2"/>
  <c r="Q1780" i="2"/>
  <c r="S1106" i="2"/>
  <c r="J2966" i="2"/>
  <c r="J1576" i="2"/>
  <c r="N717" i="2"/>
  <c r="S2770" i="2"/>
  <c r="H1541" i="2"/>
  <c r="G1452" i="2"/>
  <c r="M2701" i="2"/>
  <c r="P2969" i="2"/>
  <c r="W2285" i="2"/>
  <c r="E2248" i="2"/>
  <c r="U1182" i="2"/>
  <c r="H2412" i="2"/>
  <c r="N2347" i="2"/>
  <c r="O3309" i="2"/>
  <c r="I2920" i="2"/>
  <c r="P2826" i="2"/>
  <c r="U2860" i="2"/>
  <c r="T1147" i="2"/>
  <c r="W2961" i="2"/>
  <c r="E2503" i="2"/>
  <c r="I2451" i="2"/>
  <c r="N572" i="2"/>
  <c r="E2736" i="2"/>
  <c r="W3198" i="2"/>
  <c r="K1779" i="2"/>
  <c r="J1143" i="2"/>
  <c r="S772" i="2"/>
  <c r="U2678" i="2"/>
  <c r="F2251" i="2"/>
  <c r="F3220" i="2"/>
  <c r="R2885" i="2"/>
  <c r="F2428" i="2"/>
  <c r="W2087" i="2"/>
  <c r="L2552" i="2"/>
  <c r="T3113" i="2"/>
  <c r="S3170" i="2"/>
  <c r="D2560" i="2"/>
  <c r="U3228" i="2"/>
  <c r="D2374" i="2"/>
  <c r="R2102" i="2"/>
  <c r="D3422" i="2"/>
  <c r="H2835" i="2"/>
  <c r="D2176" i="2"/>
  <c r="H2664" i="2"/>
  <c r="V3156" i="2"/>
  <c r="Q1618" i="2"/>
  <c r="M3419" i="2"/>
  <c r="M2972" i="2"/>
  <c r="K1915" i="2"/>
  <c r="E1035" i="2"/>
  <c r="J2702" i="2"/>
  <c r="Q3278" i="2"/>
  <c r="I2916" i="2"/>
  <c r="P2298" i="2"/>
  <c r="E2485" i="2"/>
  <c r="T879" i="2"/>
  <c r="D2664" i="2"/>
  <c r="P1501" i="2"/>
  <c r="W3271" i="2"/>
  <c r="M2908" i="2"/>
  <c r="U2695" i="2"/>
  <c r="I397" i="2"/>
  <c r="E2477" i="2"/>
  <c r="F405" i="2"/>
  <c r="L951" i="2"/>
  <c r="Q2772" i="2"/>
  <c r="I893" i="2"/>
  <c r="J2391" i="2"/>
  <c r="S3443" i="2"/>
  <c r="K1988" i="2"/>
  <c r="L2183" i="2"/>
  <c r="R2917" i="2"/>
  <c r="D3233" i="2"/>
  <c r="F3432" i="2"/>
  <c r="H3320" i="2"/>
  <c r="F3072" i="2"/>
  <c r="R2656" i="2"/>
  <c r="L2698" i="2"/>
  <c r="Q3100" i="2"/>
  <c r="D2388" i="2"/>
  <c r="K1805" i="2"/>
  <c r="Q1617" i="2"/>
  <c r="H2174" i="2"/>
  <c r="G472" i="2"/>
  <c r="L2384" i="2"/>
  <c r="R2325" i="2"/>
  <c r="Q1834" i="2"/>
  <c r="E2835" i="2"/>
  <c r="L2774" i="2"/>
  <c r="G1216" i="2"/>
  <c r="S1635" i="2"/>
  <c r="E3083" i="2"/>
  <c r="C2866" i="2"/>
  <c r="Q2158" i="2"/>
  <c r="C1902" i="2"/>
  <c r="E2739" i="2"/>
  <c r="U2505" i="2"/>
  <c r="T2097" i="2"/>
  <c r="M1603" i="2"/>
  <c r="P3088" i="2"/>
  <c r="C1258" i="2"/>
  <c r="K2165" i="2"/>
  <c r="W1806" i="2"/>
  <c r="W1418" i="2"/>
  <c r="O2308" i="2"/>
  <c r="O1751" i="2"/>
  <c r="U3114" i="2"/>
  <c r="U2538" i="2"/>
  <c r="F2725" i="2"/>
  <c r="W351" i="2"/>
  <c r="J1135" i="2"/>
  <c r="F2913" i="2"/>
  <c r="K2066" i="2"/>
  <c r="Q904" i="2"/>
  <c r="O2558" i="2"/>
  <c r="I1042" i="2"/>
  <c r="R3020" i="2"/>
  <c r="Q1847" i="2"/>
  <c r="E407" i="2"/>
  <c r="N2510" i="2"/>
  <c r="W160" i="2"/>
  <c r="S3536" i="2"/>
  <c r="U2468" i="2"/>
  <c r="L470" i="2"/>
  <c r="E746" i="2"/>
  <c r="O428" i="2"/>
  <c r="T1247" i="2"/>
  <c r="P2742" i="2"/>
  <c r="G937" i="2"/>
  <c r="W2344" i="2"/>
  <c r="V1675" i="2"/>
  <c r="T2933" i="2"/>
  <c r="K2405" i="2"/>
  <c r="O2588" i="2"/>
  <c r="C2955" i="2"/>
  <c r="S2136" i="2"/>
  <c r="H3263" i="2"/>
  <c r="G2115" i="2"/>
  <c r="F2384" i="2"/>
  <c r="O624" i="2"/>
  <c r="K3045" i="2"/>
  <c r="N2957" i="2"/>
  <c r="K707" i="2"/>
  <c r="L2687" i="2"/>
  <c r="D1332" i="2"/>
  <c r="S1816" i="2"/>
  <c r="H2970" i="2"/>
  <c r="I1484" i="2"/>
  <c r="N2712" i="2"/>
  <c r="O834" i="2"/>
  <c r="C2487" i="2"/>
  <c r="P2834" i="2"/>
  <c r="I1218" i="2"/>
  <c r="O1689" i="2"/>
  <c r="P2366" i="2"/>
  <c r="L3050" i="2"/>
  <c r="M2407" i="2"/>
  <c r="U1964" i="2"/>
  <c r="F2435" i="2"/>
  <c r="H2913" i="2"/>
  <c r="T2280" i="2"/>
  <c r="H1717" i="2"/>
  <c r="R777" i="2"/>
  <c r="V1959" i="2"/>
  <c r="S2523" i="2"/>
  <c r="T791" i="2"/>
  <c r="D2359" i="2"/>
  <c r="D3293" i="2"/>
  <c r="I1675" i="2"/>
  <c r="G2335" i="2"/>
  <c r="D2512" i="2"/>
  <c r="D2330" i="2"/>
  <c r="J2115" i="2"/>
  <c r="K867" i="2"/>
  <c r="K1385" i="2"/>
  <c r="S1474" i="2"/>
  <c r="O1818" i="2"/>
  <c r="H343" i="2"/>
  <c r="J720" i="2"/>
  <c r="Q2782" i="2"/>
  <c r="R889" i="2"/>
  <c r="F2029" i="2"/>
  <c r="G3149" i="2"/>
  <c r="C3234" i="2"/>
  <c r="S3093" i="2"/>
  <c r="R3140" i="2"/>
  <c r="R1503" i="2"/>
  <c r="K2591" i="2"/>
  <c r="P3003" i="2"/>
  <c r="G3138" i="2"/>
  <c r="Q2667" i="2"/>
  <c r="K2254" i="2"/>
  <c r="M2442" i="2"/>
  <c r="U2841" i="2"/>
  <c r="C1038" i="2"/>
  <c r="S1633" i="2"/>
  <c r="F2793" i="2"/>
  <c r="Q2120" i="2"/>
  <c r="K2649" i="2"/>
  <c r="F2438" i="2"/>
  <c r="T2048" i="2"/>
  <c r="O1604" i="2"/>
  <c r="U1503" i="2"/>
  <c r="L2842" i="2"/>
  <c r="H1311" i="2"/>
  <c r="M1466" i="2"/>
  <c r="O1744" i="2"/>
  <c r="G3202" i="2"/>
  <c r="T2432" i="2"/>
  <c r="I1101" i="2"/>
  <c r="P2440" i="2"/>
  <c r="F2871" i="2"/>
  <c r="U1210" i="2"/>
  <c r="E2294" i="2"/>
  <c r="J3177" i="2"/>
  <c r="T3307" i="2"/>
  <c r="J3078" i="2"/>
  <c r="D3054" i="2"/>
  <c r="R2689" i="2"/>
  <c r="T3169" i="2"/>
  <c r="P2833" i="2"/>
  <c r="O2074" i="2"/>
  <c r="S536" i="2"/>
  <c r="J3189" i="2"/>
  <c r="E1906" i="2"/>
  <c r="L453" i="2"/>
  <c r="T2484" i="2"/>
  <c r="H2319" i="2"/>
  <c r="D2157" i="2"/>
  <c r="E1506" i="2"/>
  <c r="V2476" i="2"/>
  <c r="Q2755" i="2"/>
  <c r="M2744" i="2"/>
  <c r="U2965" i="2"/>
  <c r="N1154" i="2"/>
  <c r="L2327" i="2"/>
  <c r="P2332" i="2"/>
  <c r="S1662" i="2"/>
  <c r="R1165" i="2"/>
  <c r="S2198" i="2"/>
  <c r="T2466" i="2"/>
  <c r="E2947" i="2"/>
  <c r="N2434" i="2"/>
  <c r="V961" i="2"/>
  <c r="G2482" i="2"/>
  <c r="H2763" i="2"/>
  <c r="R2685" i="2"/>
  <c r="Q2789" i="2"/>
  <c r="C2578" i="2"/>
  <c r="K3042" i="2"/>
  <c r="D735" i="2"/>
  <c r="R3283" i="2"/>
  <c r="R2935" i="2"/>
  <c r="N2455" i="2"/>
  <c r="Q1345" i="2"/>
  <c r="P2542" i="2"/>
  <c r="C2897" i="2"/>
  <c r="F2649" i="2"/>
  <c r="V1890" i="2"/>
  <c r="O1787" i="2"/>
  <c r="D2786" i="2"/>
  <c r="O2318" i="2"/>
  <c r="C2217" i="2"/>
  <c r="W2482" i="2"/>
  <c r="U120" i="2"/>
  <c r="K1570" i="2"/>
  <c r="U2448" i="2"/>
  <c r="C2913" i="2"/>
  <c r="R1479" i="2"/>
  <c r="M2717" i="2"/>
  <c r="P1370" i="2"/>
  <c r="S2683" i="2"/>
  <c r="U833" i="2"/>
  <c r="Q1197" i="2"/>
  <c r="I2733" i="2"/>
  <c r="O2530" i="2"/>
  <c r="G2292" i="2"/>
  <c r="I2213" i="2"/>
  <c r="K2623" i="2"/>
  <c r="I2414" i="2"/>
  <c r="P3045" i="2"/>
  <c r="C2468" i="2"/>
  <c r="K3096" i="2"/>
  <c r="G2898" i="2"/>
  <c r="C2516" i="2"/>
  <c r="O1363" i="2"/>
  <c r="S2722" i="2"/>
  <c r="U1495" i="2"/>
  <c r="G1520" i="2"/>
  <c r="G2286" i="2"/>
  <c r="T2232" i="2"/>
  <c r="Q976" i="2"/>
  <c r="E1840" i="2"/>
  <c r="K2021" i="2"/>
  <c r="G2395" i="2"/>
  <c r="J1281" i="2"/>
  <c r="I2767" i="2"/>
  <c r="S2377" i="2"/>
  <c r="G3625" i="2"/>
  <c r="U2266" i="2"/>
  <c r="I3443" i="2"/>
  <c r="R39" i="2"/>
  <c r="E2599" i="2"/>
  <c r="R1327" i="2"/>
  <c r="W3249" i="2"/>
  <c r="U1645" i="2"/>
  <c r="R1553" i="2"/>
  <c r="E836" i="2"/>
  <c r="G3053" i="2"/>
  <c r="N2943" i="2"/>
  <c r="R2408" i="2"/>
  <c r="P3032" i="2"/>
  <c r="W2914" i="2"/>
  <c r="K1611" i="2"/>
  <c r="R3154" i="2"/>
  <c r="J1037" i="2"/>
  <c r="K3029" i="2"/>
  <c r="T1581" i="2"/>
  <c r="T2473" i="2"/>
  <c r="V2956" i="2"/>
  <c r="C3442" i="2"/>
  <c r="I2927" i="2"/>
  <c r="H3201" i="2"/>
  <c r="V1931" i="2"/>
  <c r="W2434" i="2"/>
  <c r="F3275" i="2"/>
  <c r="W1908" i="2"/>
  <c r="K2311" i="2"/>
  <c r="L1125" i="2"/>
  <c r="C2834" i="2"/>
  <c r="E86" i="2"/>
  <c r="G2845" i="2"/>
  <c r="J740" i="2"/>
  <c r="R2587" i="2"/>
  <c r="I2732" i="2"/>
  <c r="H1465" i="2"/>
  <c r="P1321" i="2"/>
  <c r="E2860" i="2"/>
  <c r="O1774" i="2"/>
  <c r="R961" i="2"/>
  <c r="G2824" i="2"/>
  <c r="C1754" i="2"/>
  <c r="G1475" i="2"/>
  <c r="C2224" i="2"/>
  <c r="C2198" i="2"/>
  <c r="Q2831" i="2"/>
  <c r="G901" i="2"/>
  <c r="R2927" i="2"/>
  <c r="J433" i="2"/>
  <c r="M3304" i="2"/>
  <c r="O1763" i="2"/>
  <c r="V2676" i="2"/>
  <c r="W1064" i="2"/>
  <c r="O1232" i="2"/>
  <c r="O3288" i="2"/>
  <c r="T3282" i="2"/>
  <c r="P2644" i="2"/>
  <c r="O3059" i="2"/>
  <c r="V3024" i="2"/>
  <c r="V1628" i="2"/>
  <c r="S2699" i="2"/>
  <c r="M2925" i="2"/>
  <c r="E3360" i="2"/>
  <c r="C2212" i="2"/>
  <c r="L2614" i="2"/>
  <c r="C2786" i="2"/>
  <c r="F1268" i="2"/>
  <c r="J971" i="2"/>
  <c r="C2847" i="2"/>
  <c r="S1354" i="2"/>
  <c r="Q2375" i="2"/>
  <c r="R1949" i="2"/>
  <c r="T1303" i="2"/>
  <c r="J1101" i="2"/>
  <c r="J98" i="2"/>
  <c r="G1256" i="2"/>
  <c r="C1898" i="2"/>
  <c r="V3171" i="2"/>
  <c r="H2927" i="2"/>
  <c r="E1658" i="2"/>
  <c r="P3479" i="2"/>
  <c r="F2553" i="2"/>
  <c r="R2264" i="2"/>
  <c r="I2337" i="2"/>
  <c r="D1664" i="2"/>
  <c r="Q1346" i="2"/>
  <c r="G234" i="2"/>
  <c r="T2053" i="2"/>
  <c r="C1814" i="2"/>
  <c r="W3391" i="2"/>
  <c r="T643" i="2"/>
  <c r="U1635" i="2"/>
  <c r="O1847" i="2"/>
  <c r="G1108" i="2"/>
  <c r="F743" i="2"/>
  <c r="R2436" i="2"/>
  <c r="O2155" i="2"/>
  <c r="T447" i="2"/>
  <c r="V2461" i="2"/>
  <c r="U2229" i="2"/>
  <c r="G364" i="2"/>
  <c r="H2746" i="2"/>
  <c r="N641" i="2"/>
  <c r="R1915" i="2"/>
  <c r="R2494" i="2"/>
  <c r="P2241" i="2"/>
  <c r="I1558" i="2"/>
  <c r="P2740" i="2"/>
  <c r="T2846" i="2"/>
  <c r="C2100" i="2"/>
  <c r="S3315" i="2"/>
  <c r="D3074" i="2"/>
  <c r="U1673" i="2"/>
  <c r="Q494" i="2"/>
  <c r="N2127" i="2"/>
  <c r="G2962" i="2"/>
  <c r="P2316" i="2"/>
  <c r="S2186" i="2"/>
  <c r="S2720" i="2"/>
  <c r="N2652" i="2"/>
  <c r="F1747" i="2"/>
  <c r="T2572" i="2"/>
  <c r="T3034" i="2"/>
  <c r="N1298" i="2"/>
  <c r="J2334" i="2"/>
  <c r="F1889" i="2"/>
  <c r="C3342" i="2"/>
  <c r="T1044" i="2"/>
  <c r="P882" i="2"/>
  <c r="K1484" i="2"/>
  <c r="Q1698" i="2"/>
  <c r="S2622" i="2"/>
  <c r="C2335" i="2"/>
  <c r="O2762" i="2"/>
  <c r="O2578" i="2"/>
  <c r="L2438" i="2"/>
  <c r="W1367" i="2"/>
  <c r="Q2075" i="2"/>
  <c r="U2862" i="2"/>
  <c r="L2157" i="2"/>
  <c r="W1390" i="2"/>
  <c r="U2630" i="2"/>
  <c r="J1906" i="2"/>
  <c r="H562" i="2"/>
  <c r="S1359" i="2"/>
  <c r="F2627" i="2"/>
  <c r="D3006" i="2"/>
  <c r="R1931" i="2"/>
  <c r="M2478" i="2"/>
  <c r="N1774" i="2"/>
  <c r="I2629" i="2"/>
  <c r="M2896" i="2"/>
  <c r="I1604" i="2"/>
  <c r="Q2020" i="2"/>
  <c r="C3094" i="2"/>
  <c r="V3067" i="2"/>
  <c r="V3040" i="2"/>
  <c r="U3295" i="2"/>
  <c r="N3521" i="2"/>
  <c r="P2642" i="2"/>
  <c r="S2519" i="2"/>
  <c r="K2482" i="2"/>
  <c r="F2988" i="2"/>
  <c r="N2413" i="2"/>
  <c r="H2966" i="2"/>
  <c r="H650" i="2"/>
  <c r="T1181" i="2"/>
  <c r="W2066" i="2"/>
  <c r="E2733" i="2"/>
  <c r="J2029" i="2"/>
  <c r="R1942" i="2"/>
  <c r="R1309" i="2"/>
  <c r="U2259" i="2"/>
  <c r="V2523" i="2"/>
  <c r="I3511" i="2"/>
  <c r="M2775" i="2"/>
  <c r="E2309" i="2"/>
  <c r="R2358" i="2"/>
  <c r="T3017" i="2"/>
  <c r="I3162" i="2"/>
  <c r="N2213" i="2"/>
  <c r="H2782" i="2"/>
  <c r="K1853" i="2"/>
  <c r="Q1599" i="2"/>
  <c r="K544" i="2"/>
  <c r="I2182" i="2"/>
  <c r="S2182" i="2"/>
  <c r="I2995" i="2"/>
  <c r="R1306" i="2"/>
  <c r="O1723" i="2"/>
  <c r="D1994" i="2"/>
  <c r="W487" i="2"/>
  <c r="R886" i="2"/>
  <c r="R2026" i="2"/>
  <c r="K1513" i="2"/>
  <c r="C2412" i="2"/>
  <c r="L2598" i="2"/>
  <c r="U1229" i="2"/>
  <c r="T2293" i="2"/>
  <c r="W3182" i="2"/>
  <c r="L783" i="2"/>
  <c r="D100" i="2"/>
  <c r="F1429" i="2"/>
  <c r="W2547" i="2"/>
  <c r="J1953" i="2"/>
  <c r="J35" i="2"/>
  <c r="P2361" i="2"/>
  <c r="W3132" i="2"/>
  <c r="V1105" i="2"/>
  <c r="C1026" i="2"/>
  <c r="M2415" i="2"/>
  <c r="Q2035" i="2"/>
  <c r="E2874" i="2"/>
  <c r="T2954" i="2"/>
  <c r="R2169" i="2"/>
  <c r="P354" i="2"/>
  <c r="F2309" i="2"/>
  <c r="C1264" i="2"/>
  <c r="V2987" i="2"/>
  <c r="J1402" i="2"/>
  <c r="L3094" i="2"/>
  <c r="V2007" i="2"/>
  <c r="J1117" i="2"/>
  <c r="P1014" i="2"/>
  <c r="E2154" i="2"/>
  <c r="H1712" i="2"/>
  <c r="W1850" i="2"/>
  <c r="I2032" i="2"/>
  <c r="I2809" i="2"/>
  <c r="D2670" i="2"/>
  <c r="T1543" i="2"/>
  <c r="T2921" i="2"/>
  <c r="H2379" i="2"/>
  <c r="I989" i="2"/>
  <c r="E2662" i="2"/>
  <c r="W1469" i="2"/>
  <c r="L1179" i="2"/>
  <c r="W2697" i="2"/>
  <c r="V2264" i="2"/>
  <c r="V3531" i="2"/>
  <c r="F2668" i="2"/>
  <c r="R1784" i="2"/>
  <c r="G2508" i="2"/>
  <c r="T1357" i="2"/>
  <c r="P1275" i="2"/>
  <c r="J1553" i="2"/>
  <c r="C1292" i="2"/>
  <c r="W3579" i="2"/>
  <c r="K203" i="2"/>
  <c r="I1814" i="2"/>
  <c r="T2303" i="2"/>
  <c r="J912" i="2"/>
  <c r="I2230" i="2"/>
  <c r="H1576" i="2"/>
  <c r="F1587" i="2"/>
  <c r="C1461" i="2"/>
  <c r="R2622" i="2"/>
  <c r="I1975" i="2"/>
  <c r="N2238" i="2"/>
  <c r="N3279" i="2"/>
  <c r="L2508" i="2"/>
  <c r="D2944" i="2"/>
  <c r="N2939" i="2"/>
  <c r="P2775" i="2"/>
  <c r="E1280" i="2"/>
  <c r="C1176" i="2"/>
  <c r="O1403" i="2"/>
  <c r="I1795" i="2"/>
  <c r="N1281" i="2"/>
  <c r="H2779" i="2"/>
  <c r="D2029" i="2"/>
  <c r="H3054" i="2"/>
  <c r="Q2307" i="2"/>
  <c r="W2936" i="2"/>
  <c r="J1113" i="2"/>
  <c r="S1620" i="2"/>
  <c r="N1261" i="2"/>
  <c r="M1103" i="2"/>
  <c r="E2343" i="2"/>
  <c r="N2915" i="2"/>
  <c r="K954" i="2"/>
  <c r="W2735" i="2"/>
  <c r="E2471" i="2"/>
  <c r="C1503" i="2"/>
  <c r="L2031" i="2"/>
  <c r="T602" i="2"/>
  <c r="L2738" i="2"/>
  <c r="R3161" i="2"/>
  <c r="C2218" i="2"/>
  <c r="Q2426" i="2"/>
  <c r="R2720" i="2"/>
  <c r="E2312" i="2"/>
  <c r="K1031" i="2"/>
  <c r="E1469" i="2"/>
  <c r="F1005" i="2"/>
  <c r="R2715" i="2"/>
  <c r="M2506" i="2"/>
  <c r="K1189" i="2"/>
  <c r="V1716" i="2"/>
  <c r="E1666" i="2"/>
  <c r="G2994" i="2"/>
  <c r="E121" i="2"/>
  <c r="O2643" i="2"/>
  <c r="V2799" i="2"/>
  <c r="R2533" i="2"/>
  <c r="H2889" i="2"/>
  <c r="K3092" i="2"/>
  <c r="R2564" i="2"/>
  <c r="E2793" i="2"/>
  <c r="J1751" i="2"/>
  <c r="Q2283" i="2"/>
  <c r="N2184" i="2"/>
  <c r="C1974" i="2"/>
  <c r="I2027" i="2"/>
  <c r="N1807" i="2"/>
  <c r="U2864" i="2"/>
  <c r="I2108" i="2"/>
  <c r="N726" i="2"/>
  <c r="V2466" i="2"/>
  <c r="W2006" i="2"/>
  <c r="J1526" i="2"/>
  <c r="N1871" i="2"/>
  <c r="U2156" i="2"/>
  <c r="E1907" i="2"/>
  <c r="K1762" i="2"/>
  <c r="H2990" i="2"/>
  <c r="L1613" i="2"/>
  <c r="D900" i="2"/>
  <c r="P3122" i="2"/>
  <c r="U1127" i="2"/>
  <c r="D2214" i="2"/>
  <c r="G1959" i="2"/>
  <c r="J2226" i="2"/>
  <c r="J1071" i="2"/>
  <c r="T2771" i="2"/>
  <c r="K213" i="2"/>
  <c r="C2289" i="2"/>
  <c r="O3063" i="2"/>
  <c r="H1999" i="2"/>
  <c r="U2866" i="2"/>
  <c r="M1555" i="2"/>
  <c r="C3422" i="2"/>
  <c r="K1975" i="2"/>
  <c r="T3082" i="2"/>
  <c r="P859" i="2"/>
  <c r="N1208" i="2"/>
  <c r="V1620" i="2"/>
  <c r="R1971" i="2"/>
  <c r="Q2532" i="2"/>
  <c r="I986" i="2"/>
  <c r="C2225" i="2"/>
  <c r="L1615" i="2"/>
  <c r="Q262" i="2"/>
  <c r="O2369" i="2"/>
  <c r="W2202" i="2"/>
  <c r="E1701" i="2"/>
  <c r="I3143" i="2"/>
  <c r="F1417" i="2"/>
  <c r="V2317" i="2"/>
  <c r="W2219" i="2"/>
  <c r="E524" i="2"/>
  <c r="C2040" i="2"/>
  <c r="G1516" i="2"/>
  <c r="E2214" i="2"/>
  <c r="E2355" i="2"/>
  <c r="L641" i="2"/>
  <c r="L1275" i="2"/>
  <c r="H930" i="2"/>
  <c r="G418" i="2"/>
  <c r="Q3062" i="2"/>
  <c r="M2021" i="2"/>
  <c r="N2425" i="2"/>
  <c r="K2266" i="2"/>
  <c r="S2574" i="2"/>
  <c r="V3193" i="2"/>
  <c r="W1962" i="2"/>
  <c r="U2542" i="2"/>
  <c r="O3205" i="2"/>
  <c r="Q2243" i="2"/>
  <c r="G2472" i="2"/>
  <c r="V611" i="2"/>
  <c r="C2682" i="2"/>
  <c r="O995" i="2"/>
  <c r="C2292" i="2"/>
  <c r="S1493" i="2"/>
  <c r="P2229" i="2"/>
  <c r="F2012" i="2"/>
  <c r="L1791" i="2"/>
  <c r="I2293" i="2"/>
  <c r="E1800" i="2"/>
  <c r="L1492" i="2"/>
  <c r="S3063" i="2"/>
  <c r="I264" i="2"/>
  <c r="U2950" i="2"/>
  <c r="H1218" i="2"/>
  <c r="O1631" i="2"/>
  <c r="C2789" i="2"/>
  <c r="Q1812" i="2"/>
  <c r="E3432" i="2"/>
  <c r="H2823" i="2"/>
  <c r="N2701" i="2"/>
  <c r="O1656" i="2"/>
  <c r="T3055" i="2"/>
  <c r="N2579" i="2"/>
  <c r="H2813" i="2"/>
  <c r="N1249" i="2"/>
  <c r="R2044" i="2"/>
  <c r="N3285" i="2"/>
  <c r="N2436" i="2"/>
  <c r="U3298" i="2"/>
  <c r="S3129" i="2"/>
  <c r="R3353" i="2"/>
  <c r="C3388" i="2"/>
  <c r="Q2318" i="2"/>
  <c r="E1956" i="2"/>
  <c r="T1555" i="2"/>
  <c r="W1923" i="2"/>
  <c r="K3289" i="2"/>
  <c r="F1641" i="2"/>
  <c r="Q2608" i="2"/>
  <c r="H2780" i="2"/>
  <c r="F3063" i="2"/>
  <c r="T2472" i="2"/>
  <c r="K1230" i="2"/>
  <c r="K2631" i="2"/>
  <c r="C2174" i="2"/>
  <c r="V2023" i="2"/>
  <c r="G1957" i="2"/>
  <c r="T2430" i="2"/>
  <c r="U2479" i="2"/>
  <c r="F2595" i="2"/>
  <c r="I2647" i="2"/>
  <c r="E2684" i="2"/>
  <c r="K2892" i="2"/>
  <c r="G1867" i="2"/>
  <c r="Q1661" i="2"/>
  <c r="Q2875" i="2"/>
  <c r="L1573" i="2"/>
  <c r="U2665" i="2"/>
  <c r="K2289" i="2"/>
  <c r="D2637" i="2"/>
  <c r="N2328" i="2"/>
  <c r="P2573" i="2"/>
  <c r="U2734" i="2"/>
  <c r="P3324" i="2"/>
  <c r="D2493" i="2"/>
  <c r="L849" i="2"/>
  <c r="L1693" i="2"/>
  <c r="K2891" i="2"/>
  <c r="F175" i="2"/>
  <c r="D1491" i="2"/>
  <c r="T3363" i="2"/>
  <c r="L1872" i="2"/>
  <c r="O2352" i="2"/>
  <c r="M1716" i="2"/>
  <c r="G1657" i="2"/>
  <c r="K3164" i="2"/>
  <c r="P2759" i="2"/>
  <c r="N326" i="2"/>
  <c r="R1489" i="2"/>
  <c r="R3452" i="2"/>
  <c r="O2634" i="2"/>
  <c r="W1196" i="2"/>
  <c r="H3016" i="2"/>
  <c r="I2926" i="2"/>
  <c r="G2473" i="2"/>
  <c r="N1773" i="2"/>
  <c r="D2647" i="2"/>
  <c r="Q1524" i="2"/>
  <c r="O3072" i="2"/>
  <c r="C2768" i="2"/>
  <c r="E514" i="2"/>
  <c r="K2078" i="2"/>
  <c r="K1872" i="2"/>
  <c r="E2469" i="2"/>
  <c r="I2203" i="2"/>
  <c r="G431" i="2"/>
  <c r="R268" i="2"/>
  <c r="P2714" i="2"/>
  <c r="D3303" i="2"/>
  <c r="N2414" i="2"/>
  <c r="P2702" i="2"/>
  <c r="E2657" i="2"/>
  <c r="W2626" i="2"/>
  <c r="N1740" i="2"/>
  <c r="R2188" i="2"/>
  <c r="O1562" i="2"/>
  <c r="J1381" i="2"/>
  <c r="W3144" i="2"/>
  <c r="O1137" i="2"/>
  <c r="E2804" i="2"/>
  <c r="F943" i="2"/>
  <c r="F2918" i="2"/>
  <c r="S1126" i="2"/>
  <c r="G1026" i="2"/>
  <c r="L3108" i="2"/>
  <c r="G2436" i="2"/>
  <c r="W1296" i="2"/>
  <c r="D3005" i="2"/>
  <c r="R1472" i="2"/>
  <c r="V1299" i="2"/>
  <c r="R1972" i="2"/>
  <c r="Q2894" i="2"/>
  <c r="O2165" i="2"/>
  <c r="K1001" i="2"/>
  <c r="G2626" i="2"/>
  <c r="T3031" i="2"/>
  <c r="T2171" i="2"/>
  <c r="R1981" i="2"/>
  <c r="I1632" i="2"/>
  <c r="S2844" i="2"/>
  <c r="F3186" i="2"/>
  <c r="D1197" i="2"/>
  <c r="D3102" i="2"/>
  <c r="I2750" i="2"/>
  <c r="K2530" i="2"/>
  <c r="R1762" i="2"/>
  <c r="K2282" i="2"/>
  <c r="P2750" i="2"/>
  <c r="K2256" i="2"/>
  <c r="E2516" i="2"/>
  <c r="M1655" i="2"/>
  <c r="O2284" i="2"/>
  <c r="C2501" i="2"/>
  <c r="L1711" i="2"/>
  <c r="L1962" i="2"/>
  <c r="F2982" i="2"/>
  <c r="Q1871" i="2"/>
  <c r="Q812" i="2"/>
  <c r="U1214" i="2"/>
  <c r="H950" i="2"/>
  <c r="S3504" i="2"/>
  <c r="R2097" i="2"/>
  <c r="N2157" i="2"/>
  <c r="M2064" i="2"/>
  <c r="F2584" i="2"/>
  <c r="V2654" i="2"/>
  <c r="C1364" i="2"/>
  <c r="R2744" i="2"/>
  <c r="V3206" i="2"/>
  <c r="T1374" i="2"/>
  <c r="K1305" i="2"/>
  <c r="I605" i="2"/>
  <c r="W2025" i="2"/>
  <c r="R539" i="2"/>
  <c r="T3062" i="2"/>
  <c r="C2247" i="2"/>
  <c r="V1874" i="2"/>
  <c r="L1508" i="2"/>
  <c r="W3293" i="2"/>
  <c r="S3174" i="2"/>
  <c r="I3201" i="2"/>
  <c r="H1940" i="2"/>
  <c r="U1497" i="2"/>
  <c r="Q1731" i="2"/>
  <c r="N1426" i="2"/>
  <c r="V2268" i="2"/>
  <c r="E2117" i="2"/>
  <c r="C1434" i="2"/>
  <c r="P2482" i="2"/>
  <c r="T2870" i="2"/>
  <c r="U1505" i="2"/>
  <c r="Q360" i="2"/>
  <c r="D860" i="2"/>
  <c r="N1247" i="2"/>
  <c r="K256" i="2"/>
  <c r="H3491" i="2"/>
  <c r="C1645" i="2"/>
  <c r="U2669" i="2"/>
  <c r="F2960" i="2"/>
  <c r="P2566" i="2"/>
  <c r="N2790" i="2"/>
  <c r="G1592" i="2"/>
  <c r="I3380" i="2"/>
  <c r="K1748" i="2"/>
  <c r="E766" i="2"/>
  <c r="O3143" i="2"/>
  <c r="R1836" i="2"/>
  <c r="R1917" i="2"/>
  <c r="Q1494" i="2"/>
  <c r="F719" i="2"/>
  <c r="J63" i="2"/>
  <c r="F1990" i="2"/>
  <c r="C2736" i="2"/>
  <c r="F3106" i="2"/>
  <c r="P1840" i="2"/>
  <c r="U2770" i="2"/>
  <c r="N2607" i="2"/>
  <c r="V2511" i="2"/>
  <c r="T2357" i="2"/>
  <c r="D2406" i="2"/>
  <c r="K1832" i="2"/>
  <c r="H1251" i="2"/>
  <c r="L3137" i="2"/>
  <c r="M2889" i="2"/>
  <c r="H1239" i="2"/>
  <c r="T1545" i="2"/>
  <c r="Q3297" i="2"/>
  <c r="V2324" i="2"/>
  <c r="T2349" i="2"/>
  <c r="M2713" i="2"/>
  <c r="P1997" i="2"/>
  <c r="I2569" i="2"/>
  <c r="C1935" i="2"/>
  <c r="E1565" i="2"/>
  <c r="C3178" i="2"/>
  <c r="E849" i="2"/>
  <c r="I1965" i="2"/>
  <c r="F1600" i="2"/>
  <c r="U2026" i="2"/>
  <c r="D1592" i="2"/>
  <c r="C851" i="2"/>
  <c r="T2541" i="2"/>
  <c r="D1650" i="2"/>
  <c r="G1223" i="2"/>
  <c r="R1720" i="2"/>
  <c r="S2763" i="2"/>
  <c r="R3186" i="2"/>
  <c r="R806" i="2"/>
  <c r="T1827" i="2"/>
  <c r="L1548" i="2"/>
  <c r="J2798" i="2"/>
  <c r="Q2833" i="2"/>
  <c r="C1170" i="2"/>
  <c r="W1247" i="2"/>
  <c r="P1515" i="2"/>
  <c r="O972" i="2"/>
  <c r="J3000" i="2"/>
  <c r="F2299" i="2"/>
  <c r="Q1981" i="2"/>
  <c r="H872" i="2"/>
  <c r="W2175" i="2"/>
  <c r="L1412" i="2"/>
  <c r="G1231" i="2"/>
  <c r="U1593" i="2"/>
  <c r="P1468" i="2"/>
  <c r="S3400" i="2"/>
  <c r="O1435" i="2"/>
  <c r="I3104" i="2"/>
  <c r="T2101" i="2"/>
  <c r="W2777" i="2"/>
  <c r="F2238" i="2"/>
  <c r="G1325" i="2"/>
  <c r="F2805" i="2"/>
  <c r="K797" i="2"/>
  <c r="I3149" i="2"/>
  <c r="D1037" i="2"/>
  <c r="N1229" i="2"/>
  <c r="V2598" i="2"/>
  <c r="W3001" i="2"/>
  <c r="T3235" i="2"/>
  <c r="T2905" i="2"/>
  <c r="F3040" i="2"/>
  <c r="T3275" i="2"/>
  <c r="V2149" i="2"/>
  <c r="Q860" i="2"/>
  <c r="L1823" i="2"/>
  <c r="H2804" i="2"/>
  <c r="N2038" i="2"/>
  <c r="K1231" i="2"/>
  <c r="U2761" i="2"/>
  <c r="V2375" i="2"/>
  <c r="Q2145" i="2"/>
  <c r="G917" i="2"/>
  <c r="M3184" i="2"/>
  <c r="U3260" i="2"/>
  <c r="W1423" i="2"/>
  <c r="E2216" i="2"/>
  <c r="V2841" i="2"/>
  <c r="M2915" i="2"/>
  <c r="P682" i="2"/>
  <c r="V1511" i="2"/>
  <c r="C1549" i="2"/>
  <c r="G3190" i="2"/>
  <c r="I1250" i="2"/>
  <c r="O1956" i="2"/>
  <c r="F186" i="2"/>
  <c r="U3350" i="2"/>
  <c r="K1135" i="2"/>
  <c r="O593" i="2"/>
  <c r="V2667" i="2"/>
  <c r="O857" i="2"/>
  <c r="R3336" i="2"/>
  <c r="L866" i="2"/>
  <c r="N3321" i="2"/>
  <c r="M2249" i="2"/>
  <c r="F2977" i="2"/>
  <c r="S917" i="2"/>
  <c r="C2999" i="2"/>
  <c r="N2258" i="2"/>
  <c r="N2043" i="2"/>
  <c r="E2057" i="2"/>
  <c r="L1525" i="2"/>
  <c r="W1047" i="2"/>
  <c r="Q2694" i="2"/>
  <c r="U714" i="2"/>
  <c r="C1737" i="2"/>
  <c r="L610" i="2"/>
  <c r="F1707" i="2"/>
  <c r="C2465" i="2"/>
  <c r="S2043" i="2"/>
  <c r="S1082" i="2"/>
  <c r="U2181" i="2"/>
  <c r="C2195" i="2"/>
  <c r="G2667" i="2"/>
  <c r="V1888" i="2"/>
  <c r="I1638" i="2"/>
  <c r="U3270" i="2"/>
  <c r="V1073" i="2"/>
  <c r="H1562" i="2"/>
  <c r="V2585" i="2"/>
  <c r="C340" i="2"/>
  <c r="R3157" i="2"/>
  <c r="Q874" i="2"/>
  <c r="Q1699" i="2"/>
  <c r="L2970" i="2"/>
  <c r="S3578" i="2"/>
  <c r="R1433" i="2"/>
  <c r="S1868" i="2"/>
  <c r="E1834" i="2"/>
  <c r="R1900" i="2"/>
  <c r="I2661" i="2"/>
  <c r="F1825" i="2"/>
  <c r="G2509" i="2"/>
  <c r="O1423" i="2"/>
  <c r="I1171" i="2"/>
  <c r="P722" i="2"/>
  <c r="W623" i="2"/>
  <c r="M1108" i="2"/>
  <c r="I83" i="2"/>
  <c r="T2158" i="2"/>
  <c r="C1574" i="2"/>
  <c r="D2651" i="2"/>
  <c r="W2703" i="2"/>
  <c r="E1974" i="2"/>
  <c r="D1670" i="2"/>
  <c r="P1008" i="2"/>
  <c r="N2641" i="2"/>
  <c r="E3027" i="2"/>
  <c r="R1434" i="2"/>
  <c r="G915" i="2"/>
  <c r="F2983" i="2"/>
  <c r="G1453" i="2"/>
  <c r="J2269" i="2"/>
  <c r="R2725" i="2"/>
  <c r="I395" i="2"/>
  <c r="E2981" i="2"/>
  <c r="D2588" i="2"/>
  <c r="E1032" i="2"/>
  <c r="F2047" i="2"/>
  <c r="K1605" i="2"/>
  <c r="F676" i="2"/>
  <c r="U1892" i="2"/>
  <c r="L2176" i="2"/>
  <c r="D2891" i="2"/>
  <c r="E1127" i="2"/>
  <c r="M2569" i="2"/>
  <c r="K451" i="2"/>
  <c r="L624" i="2"/>
  <c r="E519" i="2"/>
  <c r="U1775" i="2"/>
  <c r="R1198" i="2"/>
  <c r="F1818" i="2"/>
  <c r="K42" i="2"/>
  <c r="H130" i="2"/>
  <c r="T534" i="2"/>
  <c r="G1068" i="2"/>
  <c r="H3135" i="2"/>
  <c r="L537" i="2"/>
  <c r="W1507" i="2"/>
  <c r="G2767" i="2"/>
  <c r="O1374" i="2"/>
  <c r="W1408" i="2"/>
  <c r="N1616" i="2"/>
  <c r="J591" i="2"/>
  <c r="O1370" i="2"/>
  <c r="H3011" i="2"/>
  <c r="I3052" i="2"/>
  <c r="G687" i="2"/>
  <c r="L2646" i="2"/>
  <c r="K1136" i="2"/>
  <c r="F2192" i="2"/>
  <c r="L852" i="2"/>
  <c r="S2504" i="2"/>
  <c r="Q2284" i="2"/>
  <c r="S2999" i="2"/>
  <c r="R1118" i="2"/>
  <c r="C2825" i="2"/>
  <c r="F1482" i="2"/>
  <c r="T3063" i="2"/>
  <c r="P3010" i="2"/>
  <c r="P2170" i="2"/>
  <c r="G2369" i="2"/>
  <c r="N2794" i="2"/>
  <c r="Q2251" i="2"/>
  <c r="F149" i="2"/>
  <c r="L2226" i="2"/>
  <c r="R2875" i="2"/>
  <c r="R2830" i="2"/>
  <c r="H2555" i="2"/>
  <c r="Q1888" i="2"/>
  <c r="U1233" i="2"/>
  <c r="R2180" i="2"/>
  <c r="S1866" i="2"/>
  <c r="T1118" i="2"/>
  <c r="R2259" i="2"/>
  <c r="J3142" i="2"/>
  <c r="T2900" i="2"/>
  <c r="P2239" i="2"/>
  <c r="C2984" i="2"/>
  <c r="I2576" i="2"/>
  <c r="H2433" i="2"/>
  <c r="P2070" i="2"/>
  <c r="M1690" i="2"/>
  <c r="D2302" i="2"/>
  <c r="T1909" i="2"/>
  <c r="R1696" i="2"/>
  <c r="M1081" i="2"/>
  <c r="C2322" i="2"/>
  <c r="V1044" i="2"/>
  <c r="W3208" i="2"/>
  <c r="L767" i="2"/>
  <c r="N2348" i="2"/>
  <c r="V3339" i="2"/>
  <c r="H2993" i="2"/>
  <c r="U2655" i="2"/>
  <c r="N2700" i="2"/>
  <c r="C3006" i="2"/>
  <c r="Q382" i="2"/>
  <c r="H1094" i="2"/>
  <c r="G1197" i="2"/>
  <c r="N729" i="2"/>
  <c r="V949" i="2"/>
  <c r="D871" i="2"/>
  <c r="V1755" i="2"/>
  <c r="G503" i="2"/>
  <c r="I2738" i="2"/>
  <c r="G1321" i="2"/>
  <c r="L3214" i="2"/>
  <c r="G2523" i="2"/>
  <c r="V2593" i="2"/>
  <c r="R433" i="2"/>
  <c r="D2537" i="2"/>
  <c r="I2845" i="2"/>
  <c r="C1944" i="2"/>
  <c r="E2437" i="2"/>
  <c r="D3046" i="2"/>
  <c r="O2694" i="2"/>
  <c r="N2563" i="2"/>
  <c r="R1719" i="2"/>
  <c r="R2068" i="2"/>
  <c r="R2950" i="2"/>
  <c r="F104" i="2"/>
  <c r="G583" i="2"/>
  <c r="I3122" i="2"/>
  <c r="H923" i="2"/>
  <c r="L3315" i="2"/>
  <c r="D3118" i="2"/>
  <c r="U2252" i="2"/>
  <c r="W2394" i="2"/>
  <c r="D1867" i="2"/>
  <c r="N1273" i="2"/>
  <c r="Q2413" i="2"/>
  <c r="D903" i="2"/>
  <c r="G874" i="2"/>
  <c r="O1516" i="2"/>
  <c r="V3458" i="2"/>
  <c r="O2531" i="2"/>
  <c r="J1477" i="2"/>
  <c r="L3458" i="2"/>
  <c r="N1923" i="2"/>
  <c r="U738" i="2"/>
  <c r="F2949" i="2"/>
  <c r="W3347" i="2"/>
  <c r="N1605" i="2"/>
  <c r="G3233" i="2"/>
  <c r="S2560" i="2"/>
  <c r="H1829" i="2"/>
  <c r="T2422" i="2"/>
  <c r="R672" i="2"/>
  <c r="W2437" i="2"/>
  <c r="R1840" i="2"/>
  <c r="H2054" i="2"/>
  <c r="P1407" i="2"/>
  <c r="C1581" i="2"/>
  <c r="W3387" i="2"/>
  <c r="H509" i="2"/>
  <c r="J2237" i="2"/>
  <c r="D479" i="2"/>
  <c r="V1213" i="2"/>
  <c r="N1179" i="2"/>
  <c r="M2247" i="2"/>
  <c r="O1306" i="2"/>
  <c r="U1391" i="2"/>
  <c r="E1769" i="2"/>
  <c r="N2702" i="2"/>
  <c r="P2519" i="2"/>
  <c r="P3373" i="2"/>
  <c r="C2878" i="2"/>
  <c r="P2474" i="2"/>
  <c r="U2807" i="2"/>
  <c r="F2197" i="2"/>
  <c r="D3212" i="2"/>
  <c r="C785" i="2"/>
  <c r="H2245" i="2"/>
  <c r="F2914" i="2"/>
  <c r="O2028" i="2"/>
  <c r="K2926" i="2"/>
  <c r="C2704" i="2"/>
  <c r="L1364" i="2"/>
  <c r="O2491" i="2"/>
  <c r="Q2268" i="2"/>
  <c r="F414" i="2"/>
  <c r="E654" i="2"/>
  <c r="H2311" i="2"/>
  <c r="P2631" i="2"/>
  <c r="M2448" i="2"/>
  <c r="J1488" i="2"/>
  <c r="J2017" i="2"/>
  <c r="N2869" i="2"/>
  <c r="L1494" i="2"/>
  <c r="H3219" i="2"/>
  <c r="R2866" i="2"/>
  <c r="U2070" i="2"/>
  <c r="L1750" i="2"/>
  <c r="I1871" i="2"/>
  <c r="C2568" i="2"/>
  <c r="S2921" i="2"/>
  <c r="W1108" i="2"/>
  <c r="V1951" i="2"/>
  <c r="V1789" i="2"/>
  <c r="V935" i="2"/>
  <c r="J2538" i="2"/>
  <c r="H2436" i="2"/>
  <c r="V2945" i="2"/>
  <c r="F2369" i="2"/>
  <c r="W3320" i="2"/>
  <c r="D1006" i="2"/>
  <c r="S1730" i="2"/>
  <c r="N1542" i="2"/>
  <c r="P2425" i="2"/>
  <c r="C2692" i="2"/>
  <c r="P3413" i="2"/>
  <c r="E2869" i="2"/>
  <c r="W1487" i="2"/>
  <c r="D2872" i="2"/>
  <c r="G2609" i="2"/>
  <c r="F905" i="2"/>
  <c r="H2587" i="2"/>
  <c r="F1180" i="2"/>
  <c r="U3130" i="2"/>
  <c r="C2373" i="2"/>
  <c r="J2331" i="2"/>
  <c r="F1583" i="2"/>
  <c r="W2980" i="2"/>
  <c r="K2645" i="2"/>
  <c r="T2389" i="2"/>
  <c r="U1286" i="2"/>
  <c r="F1743" i="2"/>
  <c r="J2075" i="2"/>
  <c r="K2216" i="2"/>
  <c r="V2859" i="2"/>
  <c r="I3266" i="2"/>
  <c r="K2836" i="2"/>
  <c r="W2924" i="2"/>
  <c r="K2132" i="2"/>
  <c r="M2101" i="2"/>
  <c r="G1686" i="2"/>
  <c r="E2496" i="2"/>
  <c r="M1245" i="2"/>
  <c r="Q3345" i="2"/>
  <c r="M906" i="2"/>
  <c r="R2320" i="2"/>
  <c r="T2815" i="2"/>
  <c r="W3129" i="2"/>
  <c r="W2519" i="2"/>
  <c r="Q413" i="2"/>
  <c r="S364" i="2"/>
  <c r="P2944" i="2"/>
  <c r="T2199" i="2"/>
  <c r="G2431" i="2"/>
  <c r="S1998" i="2"/>
  <c r="O2374" i="2"/>
  <c r="C1562" i="2"/>
  <c r="P2001" i="2"/>
  <c r="E1921" i="2"/>
  <c r="R1189" i="2"/>
  <c r="O1738" i="2"/>
  <c r="E1449" i="2"/>
  <c r="M991" i="2"/>
  <c r="O2554" i="2"/>
  <c r="G2679" i="2"/>
  <c r="O2206" i="2"/>
  <c r="M2488" i="2"/>
  <c r="T3332" i="2"/>
  <c r="I2558" i="2"/>
  <c r="T2475" i="2"/>
  <c r="C3158" i="2"/>
  <c r="M3303" i="2"/>
  <c r="M1393" i="2"/>
  <c r="V790" i="2"/>
  <c r="L2175" i="2"/>
  <c r="H2624" i="2"/>
  <c r="F1421" i="2"/>
  <c r="K2669" i="2"/>
  <c r="N2443" i="2"/>
  <c r="T2964" i="2"/>
  <c r="U1384" i="2"/>
  <c r="L2590" i="2"/>
  <c r="D1881" i="2"/>
  <c r="O2360" i="2"/>
  <c r="S2071" i="2"/>
  <c r="W2181" i="2"/>
  <c r="N2583" i="2"/>
  <c r="S2465" i="2"/>
  <c r="H1418" i="2"/>
  <c r="I1682" i="2"/>
  <c r="F2874" i="2"/>
  <c r="N205" i="2"/>
  <c r="Q3391" i="2"/>
  <c r="H2597" i="2"/>
  <c r="G3216" i="2"/>
  <c r="N3352" i="2"/>
  <c r="O2709" i="2"/>
  <c r="P3296" i="2"/>
  <c r="U3069" i="2"/>
  <c r="L3218" i="2"/>
  <c r="Q2802" i="2"/>
  <c r="E3000" i="2"/>
  <c r="Q3123" i="2"/>
  <c r="G2808" i="2"/>
  <c r="O3136" i="2"/>
  <c r="P3017" i="2"/>
  <c r="L3385" i="2"/>
  <c r="E2235" i="2"/>
  <c r="U3181" i="2"/>
  <c r="N3348" i="2"/>
  <c r="Q2910" i="2"/>
  <c r="T2919" i="2"/>
  <c r="D3325" i="2"/>
  <c r="O2687" i="2"/>
  <c r="O3076" i="2"/>
  <c r="O2226" i="2"/>
  <c r="V2804" i="2"/>
  <c r="O944" i="2"/>
  <c r="D3196" i="2"/>
  <c r="S3008" i="2"/>
  <c r="N1723" i="2"/>
  <c r="G2681" i="2"/>
  <c r="V3208" i="2"/>
  <c r="K3281" i="2"/>
  <c r="V2365" i="2"/>
  <c r="I1839" i="2"/>
  <c r="Q3083" i="2"/>
  <c r="C2036" i="2"/>
  <c r="O3085" i="2"/>
  <c r="L2741" i="2"/>
  <c r="O3428" i="2"/>
  <c r="E2661" i="2"/>
  <c r="G2131" i="2"/>
  <c r="W2235" i="2"/>
  <c r="T2022" i="2"/>
  <c r="G1621" i="2"/>
  <c r="E2876" i="2"/>
  <c r="T3157" i="2"/>
  <c r="L1484" i="2"/>
  <c r="K2016" i="2"/>
  <c r="I2975" i="2"/>
  <c r="P2534" i="2"/>
  <c r="E1844" i="2"/>
  <c r="G2613" i="2"/>
  <c r="U3495" i="2"/>
  <c r="D1816" i="2"/>
  <c r="G2278" i="2"/>
  <c r="W855" i="2"/>
  <c r="R3229" i="2"/>
  <c r="G2060" i="2"/>
  <c r="K1910" i="2"/>
  <c r="O3544" i="2"/>
  <c r="W1876" i="2"/>
  <c r="I1158" i="2"/>
  <c r="M2721" i="2"/>
  <c r="K2914" i="2"/>
  <c r="W2390" i="2"/>
  <c r="N3034" i="2"/>
  <c r="O2230" i="2"/>
  <c r="R2425" i="2"/>
  <c r="H3511" i="2"/>
  <c r="I365" i="2"/>
  <c r="E2142" i="2"/>
  <c r="M2135" i="2"/>
  <c r="W2255" i="2"/>
  <c r="J3049" i="2"/>
  <c r="N548" i="2"/>
  <c r="C1997" i="2"/>
  <c r="N3100" i="2"/>
  <c r="R2282" i="2"/>
  <c r="M2960" i="2"/>
  <c r="M1126" i="2"/>
  <c r="S3463" i="2"/>
  <c r="F1338" i="2"/>
  <c r="V2372" i="2"/>
  <c r="Q3110" i="2"/>
  <c r="K2987" i="2"/>
  <c r="P823" i="2"/>
  <c r="C2687" i="2"/>
  <c r="J1683" i="2"/>
  <c r="H3340" i="2"/>
  <c r="U2728" i="2"/>
  <c r="C3029" i="2"/>
  <c r="M1923" i="2"/>
  <c r="I2973" i="2"/>
  <c r="C763" i="2"/>
  <c r="V2367" i="2"/>
  <c r="D593" i="2"/>
  <c r="R3078" i="2"/>
  <c r="R1614" i="2"/>
  <c r="R1667" i="2"/>
  <c r="Q1637" i="2"/>
  <c r="K3316" i="2"/>
  <c r="T1951" i="2"/>
  <c r="F2778" i="2"/>
  <c r="F2364" i="2"/>
  <c r="K3052" i="2"/>
  <c r="W1810" i="2"/>
  <c r="F2923" i="2"/>
  <c r="T375" i="2"/>
  <c r="V2229" i="2"/>
  <c r="S3083" i="2"/>
  <c r="L3317" i="2"/>
  <c r="E2643" i="2"/>
  <c r="K2853" i="2"/>
  <c r="G3226" i="2"/>
  <c r="E1073" i="2"/>
  <c r="J2616" i="2"/>
  <c r="L2697" i="2"/>
  <c r="U2126" i="2"/>
  <c r="P3205" i="2"/>
  <c r="S2674" i="2"/>
  <c r="W3059" i="2"/>
  <c r="F3445" i="2"/>
  <c r="G2833" i="2"/>
  <c r="K1505" i="2"/>
  <c r="H2775" i="2"/>
  <c r="N2428" i="2"/>
  <c r="C3278" i="2"/>
  <c r="F2968" i="2"/>
  <c r="W2973" i="2"/>
  <c r="Q3121" i="2"/>
  <c r="J2862" i="2"/>
  <c r="L3300" i="2"/>
  <c r="M3321" i="2"/>
  <c r="P658" i="2"/>
  <c r="E2614" i="2"/>
  <c r="D2856" i="2"/>
  <c r="G3157" i="2"/>
  <c r="E2846" i="2"/>
  <c r="C2773" i="2"/>
  <c r="L1850" i="2"/>
  <c r="P3381" i="2"/>
  <c r="P2477" i="2"/>
  <c r="W2528" i="2"/>
  <c r="O3172" i="2"/>
  <c r="F1532" i="2"/>
  <c r="J1849" i="2"/>
  <c r="E2126" i="2"/>
  <c r="L2588" i="2"/>
  <c r="P2155" i="2"/>
  <c r="H2364" i="2"/>
  <c r="N3176" i="2"/>
  <c r="J2572" i="2"/>
  <c r="M2922" i="2"/>
  <c r="M2637" i="2"/>
  <c r="C3266" i="2"/>
  <c r="H2919" i="2"/>
  <c r="T3159" i="2"/>
  <c r="G560" i="2"/>
  <c r="N3028" i="2"/>
  <c r="N3121" i="2"/>
  <c r="W2836" i="2"/>
  <c r="I2562" i="2"/>
  <c r="E2523" i="2"/>
  <c r="W2041" i="2"/>
  <c r="O2521" i="2"/>
  <c r="H1072" i="2"/>
  <c r="R3062" i="2"/>
  <c r="P1409" i="2"/>
  <c r="E3321" i="2"/>
  <c r="Q1370" i="2"/>
  <c r="V3276" i="2"/>
  <c r="F3175" i="2"/>
  <c r="I2942" i="2"/>
  <c r="W866" i="2"/>
  <c r="Q1775" i="2"/>
  <c r="S1972" i="2"/>
  <c r="O2965" i="2"/>
  <c r="L1437" i="2"/>
  <c r="N3343" i="2"/>
  <c r="K3409" i="2"/>
  <c r="V2427" i="2"/>
  <c r="Q1787" i="2"/>
  <c r="N1638" i="2"/>
  <c r="W3009" i="2"/>
  <c r="V2721" i="2"/>
  <c r="P1280" i="2"/>
  <c r="H2192" i="2"/>
  <c r="S779" i="2"/>
  <c r="L1960" i="2"/>
  <c r="G1691" i="2"/>
  <c r="W3216" i="2"/>
  <c r="T3230" i="2"/>
  <c r="V2355" i="2"/>
  <c r="D2283" i="2"/>
  <c r="P2392" i="2"/>
  <c r="P3399" i="2"/>
  <c r="F2408" i="2"/>
  <c r="P578" i="2"/>
  <c r="N2009" i="2"/>
  <c r="K1540" i="2"/>
  <c r="F1840" i="2"/>
  <c r="S2236" i="2"/>
  <c r="E2759" i="2"/>
  <c r="C2862" i="2"/>
  <c r="T1508" i="2"/>
  <c r="Q1528" i="2"/>
  <c r="I2915" i="2"/>
  <c r="E2427" i="2"/>
  <c r="Q2614" i="2"/>
  <c r="W1230" i="2"/>
  <c r="S1822" i="2"/>
  <c r="R1647" i="2"/>
  <c r="V2947" i="2"/>
  <c r="Q2171" i="2"/>
  <c r="J2561" i="2"/>
  <c r="D3122" i="2"/>
  <c r="D2892" i="2"/>
  <c r="K1130" i="2"/>
  <c r="U2585" i="2"/>
  <c r="R2666" i="2"/>
  <c r="T2686" i="2"/>
  <c r="F2665" i="2"/>
  <c r="M2764" i="2"/>
  <c r="V853" i="2"/>
  <c r="D1630" i="2"/>
  <c r="W2155" i="2"/>
  <c r="C3208" i="2"/>
  <c r="R1670" i="2"/>
  <c r="I1753" i="2"/>
  <c r="V1616" i="2"/>
  <c r="D2803" i="2"/>
  <c r="Q753" i="2"/>
  <c r="F2267" i="2"/>
  <c r="H2399" i="2"/>
  <c r="R1292" i="2"/>
  <c r="L3213" i="2"/>
  <c r="H2523" i="2"/>
  <c r="I2549" i="2"/>
  <c r="C2572" i="2"/>
  <c r="O2274" i="2"/>
  <c r="K873" i="2"/>
  <c r="D2153" i="2"/>
  <c r="L403" i="2"/>
  <c r="J3536" i="2"/>
  <c r="U3044" i="2"/>
  <c r="M1279" i="2"/>
  <c r="S1925" i="2"/>
  <c r="M2730" i="2"/>
  <c r="I2427" i="2"/>
  <c r="I2697" i="2"/>
  <c r="H587" i="2"/>
  <c r="T2014" i="2"/>
  <c r="C2226" i="2"/>
  <c r="C2708" i="2"/>
  <c r="Q1249" i="2"/>
  <c r="U882" i="2"/>
  <c r="P3185" i="2"/>
  <c r="E2182" i="2"/>
  <c r="N1556" i="2"/>
  <c r="O2145" i="2"/>
  <c r="W2431" i="2"/>
  <c r="U2976" i="2"/>
  <c r="M1209" i="2"/>
  <c r="O2878" i="2"/>
  <c r="I629" i="2"/>
  <c r="U2586" i="2"/>
  <c r="I3184" i="2"/>
  <c r="U55" i="2"/>
  <c r="D2192" i="2"/>
  <c r="I3440" i="2"/>
  <c r="P3270" i="2"/>
  <c r="V1340" i="2"/>
  <c r="U1052" i="2"/>
  <c r="E3354" i="2"/>
  <c r="C710" i="2"/>
  <c r="N2339" i="2"/>
  <c r="D1775" i="2"/>
  <c r="M1700" i="2"/>
  <c r="K2175" i="2"/>
  <c r="K2776" i="2"/>
  <c r="F1888" i="2"/>
  <c r="I1154" i="2"/>
  <c r="O847" i="2"/>
  <c r="C1340" i="2"/>
  <c r="D1722" i="2"/>
  <c r="L1838" i="2"/>
  <c r="G1704" i="2"/>
  <c r="O2780" i="2"/>
  <c r="D1453" i="2"/>
  <c r="K149" i="2"/>
  <c r="J3599" i="2"/>
  <c r="O1648" i="2"/>
  <c r="U2621" i="2"/>
  <c r="O2614" i="2"/>
  <c r="L1550" i="2"/>
  <c r="N3207" i="2"/>
  <c r="J2910" i="2"/>
  <c r="K3384" i="2"/>
  <c r="T2961" i="2"/>
  <c r="G1031" i="2"/>
  <c r="F1788" i="2"/>
  <c r="R2449" i="2"/>
  <c r="R1640" i="2"/>
  <c r="D2648" i="2"/>
  <c r="G1509" i="2"/>
  <c r="E1248" i="2"/>
  <c r="J2305" i="2"/>
  <c r="C1683" i="2"/>
  <c r="R825" i="2"/>
  <c r="O3308" i="2"/>
  <c r="K3397" i="2"/>
  <c r="N806" i="2"/>
  <c r="H1607" i="2"/>
  <c r="M1568" i="2"/>
  <c r="H2272" i="2"/>
  <c r="E2290" i="2"/>
  <c r="T3161" i="2"/>
  <c r="V2907" i="2"/>
  <c r="P899" i="2"/>
  <c r="Q1621" i="2"/>
  <c r="U529" i="2"/>
  <c r="T2314" i="2"/>
  <c r="D730" i="2"/>
  <c r="K1103" i="2"/>
  <c r="G2252" i="2"/>
  <c r="U2394" i="2"/>
  <c r="G3364" i="2"/>
  <c r="N1311" i="2"/>
  <c r="U2637" i="2"/>
  <c r="P1642" i="2"/>
  <c r="S3266" i="2"/>
  <c r="S893" i="2"/>
  <c r="K1432" i="2"/>
  <c r="C2265" i="2"/>
  <c r="I2605" i="2"/>
  <c r="Q2294" i="2"/>
  <c r="P1491" i="2"/>
  <c r="G2349" i="2"/>
  <c r="P1214" i="2"/>
  <c r="E786" i="2"/>
  <c r="F704" i="2"/>
  <c r="D1191" i="2"/>
  <c r="I3089" i="2"/>
  <c r="H3227" i="2"/>
  <c r="H1056" i="2"/>
  <c r="H2261" i="2"/>
  <c r="J3409" i="2"/>
  <c r="H1555" i="2"/>
  <c r="D972" i="2"/>
  <c r="E2718" i="2"/>
  <c r="O1139" i="2"/>
  <c r="D2884" i="2"/>
  <c r="V2497" i="2"/>
  <c r="S1206" i="2"/>
  <c r="O478" i="2"/>
  <c r="C2732" i="2"/>
  <c r="Q1702" i="2"/>
  <c r="V3085" i="2"/>
  <c r="U2777" i="2"/>
  <c r="S2340" i="2"/>
  <c r="S2828" i="2"/>
  <c r="F3130" i="2"/>
  <c r="H1768" i="2"/>
  <c r="J2081" i="2"/>
  <c r="E2690" i="2"/>
  <c r="M1413" i="2"/>
  <c r="I1642" i="2"/>
  <c r="N1387" i="2"/>
  <c r="H1370" i="2"/>
  <c r="U1005" i="2"/>
  <c r="O915" i="2"/>
  <c r="J1785" i="2"/>
  <c r="E2407" i="2"/>
  <c r="O2837" i="2"/>
  <c r="K2646" i="2"/>
  <c r="S1194" i="2"/>
  <c r="E3252" i="2"/>
  <c r="W3102" i="2"/>
  <c r="F1560" i="2"/>
  <c r="Q2230" i="2"/>
  <c r="I2525" i="2"/>
  <c r="F2243" i="2"/>
  <c r="J702" i="2"/>
  <c r="I2559" i="2"/>
  <c r="C2178" i="2"/>
  <c r="D2679" i="2"/>
  <c r="F271" i="2"/>
  <c r="T2633" i="2"/>
  <c r="V1368" i="2"/>
  <c r="N1867" i="2"/>
  <c r="J40" i="2"/>
  <c r="D2720" i="2"/>
  <c r="J2912" i="2"/>
  <c r="G2674" i="2"/>
  <c r="I3466" i="2"/>
  <c r="P3049" i="2"/>
  <c r="E818" i="2"/>
  <c r="K2512" i="2"/>
  <c r="E3179" i="2"/>
  <c r="S1924" i="2"/>
  <c r="U3251" i="2"/>
  <c r="I3273" i="2"/>
  <c r="J2604" i="2"/>
  <c r="N1360" i="2"/>
  <c r="R2388" i="2"/>
  <c r="D2532" i="2"/>
  <c r="C3406" i="2"/>
  <c r="W2280" i="2"/>
  <c r="R2617" i="2"/>
  <c r="D2926" i="2"/>
  <c r="W2699" i="2"/>
  <c r="R2223" i="2"/>
  <c r="V2144" i="2"/>
  <c r="T2948" i="2"/>
  <c r="P2559" i="2"/>
  <c r="P933" i="2"/>
  <c r="Q3484" i="2"/>
  <c r="P2426" i="2"/>
  <c r="W2593" i="2"/>
  <c r="D1079" i="2"/>
  <c r="Q2618" i="2"/>
  <c r="M2007" i="2"/>
  <c r="I1590" i="2"/>
  <c r="H3220" i="2"/>
  <c r="I1431" i="2"/>
  <c r="C3472" i="2"/>
  <c r="L1792" i="2"/>
  <c r="T1588" i="2"/>
  <c r="G461" i="2"/>
  <c r="I2202" i="2"/>
  <c r="E660" i="2"/>
  <c r="Q2144" i="2"/>
  <c r="D2172" i="2"/>
  <c r="K3067" i="2"/>
  <c r="J3467" i="2"/>
  <c r="Q3623" i="2"/>
  <c r="N2833" i="2"/>
  <c r="K2244" i="2"/>
  <c r="L2420" i="2"/>
  <c r="M2006" i="2"/>
  <c r="H2905" i="2"/>
  <c r="H1810" i="2"/>
  <c r="L2949" i="2"/>
  <c r="H531" i="2"/>
  <c r="Q1744" i="2"/>
  <c r="E1084" i="2"/>
  <c r="R1246" i="2"/>
  <c r="I2655" i="2"/>
  <c r="H312" i="2"/>
  <c r="S2731" i="2"/>
  <c r="D2672" i="2"/>
  <c r="F2193" i="2"/>
  <c r="M1874" i="2"/>
  <c r="Q1805" i="2"/>
  <c r="I1764" i="2"/>
  <c r="G2414" i="2"/>
  <c r="I2181" i="2"/>
  <c r="E1424" i="2"/>
  <c r="S1973" i="2"/>
  <c r="H2643" i="2"/>
  <c r="C1837" i="2"/>
  <c r="O2579" i="2"/>
  <c r="S1272" i="2"/>
  <c r="D2635" i="2"/>
  <c r="K2450" i="2"/>
  <c r="U3015" i="2"/>
  <c r="R6" i="2"/>
  <c r="F3217" i="2"/>
  <c r="G2696" i="2"/>
  <c r="O2384" i="2"/>
  <c r="M2822" i="2"/>
  <c r="C1006" i="2"/>
  <c r="N1794" i="2"/>
  <c r="T670" i="2"/>
  <c r="D2196" i="2"/>
  <c r="M2265" i="2"/>
  <c r="U45" i="2"/>
  <c r="I2078" i="2"/>
  <c r="T1309" i="2"/>
  <c r="I82" i="2"/>
  <c r="J77" i="2"/>
  <c r="L790" i="2"/>
  <c r="Q2890" i="2"/>
  <c r="Q2672" i="2"/>
  <c r="U3493" i="2"/>
  <c r="Q1826" i="2"/>
  <c r="F1015" i="2"/>
  <c r="S3135" i="2"/>
  <c r="G555" i="2"/>
  <c r="V874" i="2"/>
  <c r="K531" i="2"/>
  <c r="N1987" i="2"/>
  <c r="T2049" i="2"/>
  <c r="F1595" i="2"/>
  <c r="P2662" i="2"/>
  <c r="V548" i="2"/>
  <c r="G2846" i="2"/>
  <c r="U228" i="2"/>
  <c r="O2735" i="2"/>
  <c r="C1633" i="2"/>
  <c r="G2692" i="2"/>
  <c r="P1466" i="2"/>
  <c r="T2220" i="2"/>
  <c r="M350" i="2"/>
  <c r="T281" i="2"/>
  <c r="L1497" i="2"/>
  <c r="U298" i="2"/>
  <c r="W2904" i="2"/>
  <c r="S2169" i="2"/>
  <c r="D3100" i="2"/>
  <c r="I2606" i="2"/>
  <c r="T2491" i="2"/>
  <c r="C1060" i="2"/>
  <c r="U630" i="2"/>
  <c r="E1707" i="2"/>
  <c r="P1889" i="2"/>
  <c r="N3406" i="2"/>
  <c r="C2961" i="2"/>
  <c r="H3309" i="2"/>
  <c r="R2880" i="2"/>
  <c r="K2913" i="2"/>
  <c r="V1492" i="2"/>
  <c r="H266" i="2"/>
  <c r="C2061" i="2"/>
  <c r="M2722" i="2"/>
  <c r="F2048" i="2"/>
  <c r="T2676" i="2"/>
  <c r="H185" i="2"/>
  <c r="S26" i="2"/>
  <c r="H340" i="2"/>
  <c r="H364" i="2"/>
  <c r="L1926" i="2"/>
  <c r="V2207" i="2"/>
  <c r="P1916" i="2"/>
  <c r="P1087" i="2"/>
  <c r="R1887" i="2"/>
  <c r="E3275" i="2"/>
  <c r="P2013" i="2"/>
  <c r="M3101" i="2"/>
  <c r="R2670" i="2"/>
  <c r="O1733" i="2"/>
  <c r="L2030" i="2"/>
  <c r="T2569" i="2"/>
  <c r="H1019" i="2"/>
  <c r="H2448" i="2"/>
  <c r="V324" i="2"/>
  <c r="O1116" i="2"/>
  <c r="N1218" i="2"/>
  <c r="E1613" i="2"/>
  <c r="I2116" i="2"/>
  <c r="D1746" i="2"/>
  <c r="O1191" i="2"/>
  <c r="R2198" i="2"/>
  <c r="R2362" i="2"/>
  <c r="N1571" i="2"/>
  <c r="R1914" i="2"/>
  <c r="Q2761" i="2"/>
  <c r="T2843" i="2"/>
  <c r="G1619" i="2"/>
  <c r="E2994" i="2"/>
  <c r="U2902" i="2"/>
  <c r="D1555" i="2"/>
  <c r="Q984" i="2"/>
  <c r="T384" i="2"/>
  <c r="D534" i="2"/>
  <c r="S2047" i="2"/>
  <c r="D2862" i="2"/>
  <c r="D3105" i="2"/>
  <c r="V3015" i="2"/>
  <c r="F3018" i="2"/>
  <c r="D3021" i="2"/>
  <c r="I686" i="2"/>
  <c r="V3133" i="2"/>
  <c r="C1786" i="2"/>
  <c r="T2693" i="2"/>
  <c r="F2496" i="2"/>
  <c r="I3017" i="2"/>
  <c r="S2298" i="2"/>
  <c r="V2333" i="2"/>
  <c r="V2771" i="2"/>
  <c r="K889" i="2"/>
  <c r="N2384" i="2"/>
  <c r="N3237" i="2"/>
  <c r="T2575" i="2"/>
  <c r="K1999" i="2"/>
  <c r="I3051" i="2"/>
  <c r="I3049" i="2"/>
  <c r="G1804" i="2"/>
  <c r="U2018" i="2"/>
  <c r="G2024" i="2"/>
  <c r="T2890" i="2"/>
  <c r="I2768" i="2"/>
  <c r="T1864" i="2"/>
  <c r="G1885" i="2"/>
  <c r="P2582" i="2"/>
  <c r="J501" i="2"/>
  <c r="E1655" i="2"/>
  <c r="G2901" i="2"/>
  <c r="Q1971" i="2"/>
  <c r="M3030" i="2"/>
  <c r="H3161" i="2"/>
  <c r="L2440" i="2"/>
  <c r="T1624" i="2"/>
  <c r="W2495" i="2"/>
  <c r="P3062" i="2"/>
  <c r="D1823" i="2"/>
  <c r="J2366" i="2"/>
  <c r="G3458" i="2"/>
  <c r="U893" i="2"/>
  <c r="L2909" i="2"/>
  <c r="N1186" i="2"/>
  <c r="L1848" i="2"/>
  <c r="O121" i="2"/>
  <c r="P2763" i="2"/>
  <c r="G3174" i="2"/>
  <c r="U594" i="2"/>
  <c r="W3056" i="2"/>
  <c r="I2857" i="2"/>
  <c r="V2782" i="2"/>
  <c r="V3195" i="2"/>
  <c r="H1203" i="2"/>
  <c r="K3222" i="2"/>
  <c r="Q2885" i="2"/>
  <c r="L3201" i="2"/>
  <c r="T2352" i="2"/>
  <c r="J3058" i="2"/>
  <c r="C3285" i="2"/>
  <c r="V1808" i="2"/>
  <c r="D1772" i="2"/>
  <c r="K79" i="2"/>
  <c r="O2915" i="2"/>
  <c r="T2054" i="2"/>
  <c r="G1929" i="2"/>
  <c r="J2410" i="2"/>
  <c r="K2803" i="2"/>
  <c r="H2369" i="2"/>
  <c r="H3432" i="2"/>
  <c r="G2274" i="2"/>
  <c r="S1764" i="2"/>
  <c r="M1032" i="2"/>
  <c r="L1134" i="2"/>
  <c r="K1682" i="2"/>
  <c r="C2853" i="2"/>
  <c r="L1629" i="2"/>
  <c r="E1773" i="2"/>
  <c r="Q3081" i="2"/>
  <c r="C2631" i="2"/>
  <c r="D1652" i="2"/>
  <c r="C2703" i="2"/>
  <c r="P2601" i="2"/>
  <c r="M3116" i="2"/>
  <c r="T1251" i="2"/>
  <c r="E2124" i="2"/>
  <c r="I573" i="2"/>
  <c r="D3221" i="2"/>
  <c r="U1785" i="2"/>
  <c r="M721" i="2"/>
  <c r="S1960" i="2"/>
  <c r="U1066" i="2"/>
  <c r="C2456" i="2"/>
  <c r="U705" i="2"/>
  <c r="V1567" i="2"/>
  <c r="P949" i="2"/>
  <c r="N1428" i="2"/>
  <c r="I1268" i="2"/>
  <c r="L1875" i="2"/>
  <c r="R3251" i="2"/>
  <c r="N2015" i="2"/>
  <c r="L2765" i="2"/>
  <c r="H1646" i="2"/>
  <c r="D2351" i="2"/>
  <c r="C1602" i="2"/>
  <c r="I60" i="2"/>
  <c r="E1654" i="2"/>
  <c r="F2840" i="2"/>
  <c r="H3296" i="2"/>
  <c r="T2059" i="2"/>
  <c r="F3266" i="2"/>
  <c r="G2668" i="2"/>
  <c r="M2870" i="2"/>
  <c r="F1594" i="2"/>
  <c r="U1456" i="2"/>
  <c r="L3080" i="2"/>
  <c r="P1451" i="2"/>
  <c r="P3183" i="2"/>
  <c r="O2738" i="2"/>
  <c r="L679" i="2"/>
  <c r="D1512" i="2"/>
  <c r="W1535" i="2"/>
  <c r="K2744" i="2"/>
  <c r="K2436" i="2"/>
  <c r="J2488" i="2"/>
  <c r="F2819" i="2"/>
  <c r="M2360" i="2"/>
  <c r="H1690" i="2"/>
  <c r="Q2033" i="2"/>
  <c r="C2720" i="2"/>
  <c r="N1157" i="2"/>
  <c r="J2212" i="2"/>
  <c r="W2943" i="2"/>
  <c r="U2952" i="2"/>
  <c r="N3129" i="2"/>
  <c r="P2850" i="2"/>
  <c r="D2306" i="2"/>
  <c r="Q2874" i="2"/>
  <c r="H2393" i="2"/>
  <c r="R2313" i="2"/>
  <c r="W2391" i="2"/>
  <c r="H1736" i="2"/>
  <c r="V1775" i="2"/>
  <c r="S3280" i="2"/>
  <c r="K3233" i="2"/>
  <c r="L2771" i="2"/>
  <c r="S2549" i="2"/>
  <c r="W3120" i="2"/>
  <c r="V3231" i="2"/>
  <c r="R1844" i="2"/>
  <c r="F661" i="2"/>
  <c r="G2900" i="2"/>
  <c r="G2926" i="2"/>
  <c r="S2967" i="2"/>
  <c r="V1968" i="2"/>
  <c r="Q2930" i="2"/>
  <c r="O739" i="2"/>
  <c r="O903" i="2"/>
  <c r="L2418" i="2"/>
  <c r="K564" i="2"/>
  <c r="V1361" i="2"/>
  <c r="W1872" i="2"/>
  <c r="I1421" i="2"/>
  <c r="E2694" i="2"/>
  <c r="J2727" i="2"/>
  <c r="H1991" i="2"/>
  <c r="W1152" i="2"/>
  <c r="D2732" i="2"/>
  <c r="J2906" i="2"/>
  <c r="P3175" i="2"/>
  <c r="K2569" i="2"/>
  <c r="D3273" i="2"/>
  <c r="P3325" i="2"/>
  <c r="D2133" i="2"/>
  <c r="O2351" i="2"/>
  <c r="T2400" i="2"/>
  <c r="H2540" i="2"/>
  <c r="P2903" i="2"/>
  <c r="F2661" i="2"/>
  <c r="G3146" i="2"/>
  <c r="S2380" i="2"/>
  <c r="O2845" i="2"/>
  <c r="P1478" i="2"/>
  <c r="T1573" i="2"/>
  <c r="M3084" i="2"/>
  <c r="C2294" i="2"/>
  <c r="R2389" i="2"/>
  <c r="Q3059" i="2"/>
  <c r="P2635" i="2"/>
  <c r="H2874" i="2"/>
  <c r="M2731" i="2"/>
  <c r="I432" i="2"/>
  <c r="D2902" i="2"/>
  <c r="V3285" i="2"/>
  <c r="M1730" i="2"/>
  <c r="M3253" i="2"/>
  <c r="R1868" i="2"/>
  <c r="G1677" i="2"/>
  <c r="C2671" i="2"/>
  <c r="P2270" i="2"/>
  <c r="O2381" i="2"/>
  <c r="K3028" i="2"/>
  <c r="D1447" i="2"/>
  <c r="U983" i="2"/>
  <c r="Q3150" i="2"/>
  <c r="E881" i="2"/>
  <c r="H2149" i="2"/>
  <c r="P1035" i="2"/>
  <c r="D3002" i="2"/>
  <c r="J2617" i="2"/>
  <c r="C3303" i="2"/>
  <c r="C2127" i="2"/>
  <c r="T2177" i="2"/>
  <c r="K851" i="2"/>
  <c r="N2987" i="2"/>
  <c r="E2982" i="2"/>
  <c r="F453" i="2"/>
  <c r="D2354" i="2"/>
  <c r="L3327" i="2"/>
  <c r="Q2045" i="2"/>
  <c r="K2900" i="2"/>
  <c r="H2948" i="2"/>
  <c r="J1921" i="2"/>
  <c r="G2891" i="2"/>
  <c r="C2758" i="2"/>
  <c r="O3529" i="2"/>
  <c r="U777" i="2"/>
  <c r="W901" i="2"/>
  <c r="N2944" i="2"/>
  <c r="V2633" i="2"/>
  <c r="C1651" i="2"/>
  <c r="W969" i="2"/>
  <c r="T1170" i="2"/>
  <c r="O2056" i="2"/>
  <c r="C3171" i="2"/>
  <c r="O1399" i="2"/>
  <c r="H1733" i="2"/>
  <c r="N2449" i="2"/>
  <c r="K1885" i="2"/>
  <c r="E2970" i="2"/>
  <c r="E2256" i="2"/>
  <c r="V3132" i="2"/>
  <c r="W503" i="2"/>
  <c r="C2752" i="2"/>
  <c r="N2653" i="2"/>
  <c r="J1173" i="2"/>
  <c r="W1023" i="2"/>
  <c r="Q620" i="2"/>
  <c r="V2580" i="2"/>
  <c r="H2538" i="2"/>
  <c r="D3171" i="2"/>
  <c r="H2072" i="2"/>
  <c r="K3065" i="2"/>
  <c r="Q3055" i="2"/>
  <c r="I1429" i="2"/>
  <c r="J1432" i="2"/>
  <c r="K3071" i="2"/>
  <c r="S662" i="2"/>
  <c r="N2248" i="2"/>
  <c r="G1406" i="2"/>
  <c r="E1480" i="2"/>
  <c r="U3089" i="2"/>
  <c r="D2755" i="2"/>
  <c r="W3168" i="2"/>
  <c r="Q1477" i="2"/>
  <c r="U2218" i="2"/>
  <c r="J3010" i="2"/>
  <c r="G1937" i="2"/>
  <c r="V2259" i="2"/>
  <c r="I2350" i="2"/>
  <c r="D2618" i="2"/>
  <c r="E2099" i="2"/>
  <c r="F1319" i="2"/>
  <c r="U2054" i="2"/>
  <c r="R2106" i="2"/>
  <c r="M1792" i="2"/>
  <c r="E1990" i="2"/>
  <c r="C2330" i="2"/>
  <c r="M2815" i="2"/>
  <c r="W1743" i="2"/>
  <c r="W2018" i="2"/>
  <c r="V3019" i="2"/>
  <c r="M2911" i="2"/>
  <c r="Q2652" i="2"/>
  <c r="E1398" i="2"/>
  <c r="O2950" i="2"/>
  <c r="T626" i="2"/>
  <c r="K1562" i="2"/>
  <c r="F2043" i="2"/>
  <c r="C3156" i="2"/>
  <c r="S3054" i="2"/>
  <c r="O2337" i="2"/>
  <c r="O2401" i="2"/>
  <c r="L3075" i="2"/>
  <c r="W3282" i="2"/>
  <c r="O2392" i="2"/>
  <c r="H1194" i="2"/>
  <c r="T1437" i="2"/>
  <c r="S1786" i="2"/>
  <c r="Q2945" i="2"/>
  <c r="J3490" i="2"/>
  <c r="N977" i="2"/>
  <c r="R2598" i="2"/>
  <c r="F1790" i="2"/>
  <c r="N2307" i="2"/>
  <c r="E3285" i="2"/>
  <c r="M710" i="2"/>
  <c r="U2494" i="2"/>
  <c r="U626" i="2"/>
  <c r="F548" i="2"/>
  <c r="N2326" i="2"/>
  <c r="D2061" i="2"/>
  <c r="F134" i="2"/>
  <c r="W2888" i="2"/>
  <c r="E2490" i="2"/>
  <c r="V915" i="2"/>
  <c r="O2852" i="2"/>
  <c r="G852" i="2"/>
  <c r="C2310" i="2"/>
  <c r="W690" i="2"/>
  <c r="O975" i="2"/>
  <c r="W2892" i="2"/>
  <c r="C2544" i="2"/>
  <c r="M2697" i="2"/>
  <c r="W3112" i="2"/>
  <c r="D2634" i="2"/>
  <c r="F3100" i="2"/>
  <c r="H2404" i="2"/>
  <c r="C1870" i="2"/>
  <c r="J2430" i="2"/>
  <c r="P769" i="2"/>
  <c r="I601" i="2"/>
  <c r="P2380" i="2"/>
  <c r="D3257" i="2"/>
  <c r="N2614" i="2"/>
  <c r="D420" i="2"/>
  <c r="C2389" i="2"/>
  <c r="Q1007" i="2"/>
  <c r="U1409" i="2"/>
  <c r="G628" i="2"/>
  <c r="G3066" i="2"/>
  <c r="D2000" i="2"/>
  <c r="I2595" i="2"/>
  <c r="E1770" i="2"/>
  <c r="P2381" i="2"/>
  <c r="U1874" i="2"/>
  <c r="W2020" i="2"/>
  <c r="K2856" i="2"/>
  <c r="O1542" i="2"/>
  <c r="E473" i="2"/>
  <c r="G1349" i="2"/>
  <c r="T2234" i="2"/>
  <c r="O1628" i="2"/>
  <c r="W1512" i="2"/>
  <c r="V1314" i="2"/>
  <c r="R3344" i="2"/>
  <c r="T2734" i="2"/>
  <c r="M3416" i="2"/>
  <c r="E2540" i="2"/>
  <c r="V2090" i="2"/>
  <c r="V2728" i="2"/>
  <c r="I2399" i="2"/>
  <c r="O2898" i="2"/>
  <c r="J1533" i="2"/>
  <c r="M62" i="2"/>
  <c r="C3034" i="2"/>
  <c r="E2382" i="2"/>
  <c r="P1965" i="2"/>
  <c r="N2154" i="2"/>
  <c r="O2508" i="2"/>
  <c r="O130" i="2"/>
  <c r="W2698" i="2"/>
  <c r="L3092" i="2"/>
  <c r="O2181" i="2"/>
  <c r="L1164" i="2"/>
  <c r="O3032" i="2"/>
  <c r="D2904" i="2"/>
  <c r="U890" i="2"/>
  <c r="D2476" i="2"/>
  <c r="G3090" i="2"/>
  <c r="I798" i="2"/>
  <c r="O1140" i="2"/>
  <c r="S1848" i="2"/>
  <c r="D1922" i="2"/>
  <c r="R2517" i="2"/>
  <c r="Q1460" i="2"/>
  <c r="R2088" i="2"/>
  <c r="R1828" i="2"/>
  <c r="R1081" i="2"/>
  <c r="D2203" i="2"/>
  <c r="W2264" i="2"/>
  <c r="L3384" i="2"/>
  <c r="Q1297" i="2"/>
  <c r="C2737" i="2"/>
  <c r="D3190" i="2"/>
  <c r="I1953" i="2"/>
  <c r="R360" i="2"/>
  <c r="M1512" i="2"/>
  <c r="U2557" i="2"/>
  <c r="P3333" i="2"/>
  <c r="G2602" i="2"/>
  <c r="H120" i="2"/>
  <c r="U1975" i="2"/>
  <c r="V2234" i="2"/>
  <c r="U2667" i="2"/>
  <c r="L439" i="2"/>
  <c r="D2284" i="2"/>
  <c r="M2940" i="2"/>
  <c r="T1209" i="2"/>
  <c r="I670" i="2"/>
  <c r="D2104" i="2"/>
  <c r="P2862" i="2"/>
  <c r="W3410" i="2"/>
  <c r="N2716" i="2"/>
  <c r="G999" i="2"/>
  <c r="D3024" i="2"/>
  <c r="N1855" i="2"/>
  <c r="R2446" i="2"/>
  <c r="D1904" i="2"/>
  <c r="U1631" i="2"/>
  <c r="U2844" i="2"/>
  <c r="R1829" i="2"/>
  <c r="G2428" i="2"/>
  <c r="S1539" i="2"/>
  <c r="J3181" i="2"/>
  <c r="I1663" i="2"/>
  <c r="M1194" i="2"/>
  <c r="R489" i="2"/>
  <c r="T973" i="2"/>
  <c r="S1713" i="2"/>
  <c r="G376" i="2"/>
  <c r="E2307" i="2"/>
  <c r="U2088" i="2"/>
  <c r="K2489" i="2"/>
  <c r="O3296" i="2"/>
  <c r="M530" i="2"/>
  <c r="W1261" i="2"/>
  <c r="P2081" i="2"/>
  <c r="U873" i="2"/>
  <c r="H1075" i="2"/>
  <c r="K2658" i="2"/>
  <c r="G2657" i="2"/>
  <c r="U2641" i="2"/>
  <c r="K1244" i="2"/>
  <c r="J2106" i="2"/>
  <c r="V3056" i="2"/>
  <c r="J3093" i="2"/>
  <c r="Q2650" i="2"/>
  <c r="O3095" i="2"/>
  <c r="P1474" i="2"/>
  <c r="V2648" i="2"/>
  <c r="R931" i="2"/>
  <c r="N1967" i="2"/>
  <c r="R457" i="2"/>
  <c r="R2125" i="2"/>
  <c r="K2284" i="2"/>
  <c r="J2555" i="2"/>
  <c r="M2603" i="2"/>
  <c r="K1106" i="2"/>
  <c r="T2056" i="2"/>
  <c r="H3023" i="2"/>
  <c r="D1108" i="2"/>
  <c r="E2306" i="2"/>
  <c r="V1695" i="2"/>
  <c r="F2004" i="2"/>
  <c r="F3169" i="2"/>
  <c r="V2491" i="2"/>
  <c r="H2213" i="2"/>
  <c r="T2212" i="2"/>
  <c r="T2657" i="2"/>
  <c r="J1388" i="2"/>
  <c r="S1133" i="2"/>
  <c r="I1111" i="2"/>
  <c r="K2499" i="2"/>
  <c r="T2547" i="2"/>
  <c r="D546" i="2"/>
  <c r="J2064" i="2"/>
  <c r="F828" i="2"/>
  <c r="P2444" i="2"/>
  <c r="N370" i="2"/>
  <c r="U1513" i="2"/>
  <c r="K1893" i="2"/>
  <c r="E2934" i="2"/>
  <c r="R1289" i="2"/>
  <c r="H2958" i="2"/>
  <c r="P3013" i="2"/>
  <c r="K2595" i="2"/>
  <c r="O687" i="2"/>
  <c r="V289" i="2"/>
  <c r="I1312" i="2"/>
  <c r="T283" i="2"/>
  <c r="C2346" i="2"/>
  <c r="G1314" i="2"/>
  <c r="I2266" i="2"/>
  <c r="J3228" i="2"/>
  <c r="C1887" i="2"/>
  <c r="H609" i="2"/>
  <c r="O1836" i="2"/>
  <c r="N2035" i="2"/>
  <c r="K1921" i="2"/>
  <c r="S3302" i="2"/>
  <c r="G455" i="2"/>
  <c r="H1608" i="2"/>
  <c r="H2963" i="2"/>
  <c r="I1955" i="2"/>
  <c r="V944" i="2"/>
  <c r="I1801" i="2"/>
  <c r="V2619" i="2"/>
  <c r="S396" i="2"/>
  <c r="F515" i="2"/>
  <c r="J3034" i="2"/>
  <c r="I980" i="2"/>
  <c r="J1279" i="2"/>
  <c r="L2636" i="2"/>
  <c r="T1978" i="2"/>
  <c r="O3289" i="2"/>
  <c r="P2289" i="2"/>
  <c r="F3265" i="2"/>
  <c r="U1111" i="2"/>
  <c r="O1539" i="2"/>
  <c r="M1139" i="2"/>
  <c r="W1553" i="2"/>
  <c r="S2090" i="2"/>
  <c r="H1497" i="2"/>
  <c r="H603" i="2"/>
  <c r="V409" i="2"/>
  <c r="F2664" i="2"/>
  <c r="M2613" i="2"/>
  <c r="G464" i="2"/>
  <c r="O1752" i="2"/>
  <c r="E513" i="2"/>
  <c r="W2598" i="2"/>
  <c r="C2979" i="2"/>
  <c r="W2878" i="2"/>
  <c r="P1657" i="2"/>
  <c r="V3022" i="2"/>
  <c r="W1176" i="2"/>
  <c r="G940" i="2"/>
  <c r="N3127" i="2"/>
  <c r="G2769" i="2"/>
  <c r="J3302" i="2"/>
  <c r="Q1317" i="2"/>
  <c r="K745" i="2"/>
  <c r="Q2410" i="2"/>
  <c r="W998" i="2"/>
  <c r="N1877" i="2"/>
  <c r="W1550" i="2"/>
  <c r="W1626" i="2"/>
  <c r="L2118" i="2"/>
  <c r="D1370" i="2"/>
  <c r="K2349" i="2"/>
  <c r="G1888" i="2"/>
  <c r="P2339" i="2"/>
  <c r="O2533" i="2"/>
  <c r="E3071" i="2"/>
  <c r="L2343" i="2"/>
  <c r="H1403" i="2"/>
  <c r="E1136" i="2"/>
  <c r="G1369" i="2"/>
  <c r="I2935" i="2"/>
  <c r="L2137" i="2"/>
  <c r="O579" i="2"/>
  <c r="U3138" i="2"/>
  <c r="F2733" i="2"/>
  <c r="U353" i="2"/>
  <c r="C1467" i="2"/>
  <c r="J131" i="2"/>
  <c r="R1076" i="2"/>
  <c r="L2409" i="2"/>
  <c r="V1689" i="2"/>
  <c r="O2317" i="2"/>
  <c r="H1651" i="2"/>
  <c r="W557" i="2"/>
  <c r="S2813" i="2"/>
  <c r="T1101" i="2"/>
  <c r="N745" i="2"/>
  <c r="J2209" i="2"/>
  <c r="K1483" i="2"/>
  <c r="E2862" i="2"/>
  <c r="D2877" i="2"/>
  <c r="G513" i="2"/>
  <c r="R1711" i="2"/>
  <c r="D666" i="2"/>
  <c r="D1611" i="2"/>
  <c r="D2521" i="2"/>
  <c r="I1800" i="2"/>
  <c r="T3255" i="2"/>
  <c r="R1477" i="2"/>
  <c r="R1197" i="2"/>
  <c r="V1715" i="2"/>
  <c r="H1253" i="2"/>
  <c r="E2198" i="2"/>
  <c r="U1712" i="2"/>
  <c r="I1774" i="2"/>
  <c r="Q2743" i="2"/>
  <c r="G3551" i="2"/>
  <c r="F1905" i="2"/>
  <c r="H345" i="2"/>
  <c r="D3313" i="2"/>
  <c r="J286" i="2"/>
  <c r="J1569" i="2"/>
  <c r="Q2420" i="2"/>
  <c r="V1483" i="2"/>
  <c r="O807" i="2"/>
  <c r="G2270" i="2"/>
  <c r="R2970" i="2"/>
  <c r="J779" i="2"/>
  <c r="V2624" i="2"/>
  <c r="E2006" i="2"/>
  <c r="D2874" i="2"/>
  <c r="Q2114" i="2"/>
  <c r="T3094" i="2"/>
  <c r="T1866" i="2"/>
  <c r="C891" i="2"/>
  <c r="P2164" i="2"/>
  <c r="O1230" i="2"/>
  <c r="M3152" i="2"/>
  <c r="C1043" i="2"/>
  <c r="N1633" i="2"/>
  <c r="M1433" i="2"/>
  <c r="V1557" i="2"/>
  <c r="P1055" i="2"/>
  <c r="T2862" i="2"/>
  <c r="U2097" i="2"/>
  <c r="N1122" i="2"/>
  <c r="M3240" i="2"/>
  <c r="G808" i="2"/>
  <c r="N3075" i="2"/>
  <c r="V1726" i="2"/>
  <c r="E2828" i="2"/>
  <c r="F1179" i="2"/>
  <c r="L1835" i="2"/>
  <c r="H1818" i="2"/>
  <c r="Q1234" i="2"/>
  <c r="R2714" i="2"/>
  <c r="D2454" i="2"/>
  <c r="C1296" i="2"/>
  <c r="K3098" i="2"/>
  <c r="K1953" i="2"/>
  <c r="N2627" i="2"/>
  <c r="T1854" i="2"/>
  <c r="G3041" i="2"/>
  <c r="Q911" i="2"/>
  <c r="Q3451" i="2"/>
  <c r="E1942" i="2"/>
  <c r="L3314" i="2"/>
  <c r="D2323" i="2"/>
  <c r="E1609" i="2"/>
  <c r="M1333" i="2"/>
  <c r="L3100" i="2"/>
  <c r="L1905" i="2"/>
  <c r="L2706" i="2"/>
  <c r="K3049" i="2"/>
  <c r="V2281" i="2"/>
  <c r="U2369" i="2"/>
  <c r="N1956" i="2"/>
  <c r="Q1487" i="2"/>
  <c r="T243" i="2"/>
  <c r="S1811" i="2"/>
  <c r="F397" i="2"/>
  <c r="O2066" i="2"/>
  <c r="E2547" i="2"/>
  <c r="D655" i="2"/>
  <c r="O1960" i="2"/>
  <c r="I2178" i="2"/>
  <c r="E718" i="2"/>
  <c r="U657" i="2"/>
  <c r="J2230" i="2"/>
  <c r="V2510" i="2"/>
  <c r="K3115" i="2"/>
  <c r="D459" i="2"/>
  <c r="Q2233" i="2"/>
  <c r="N781" i="2"/>
  <c r="O2712" i="2"/>
  <c r="F1729" i="2"/>
  <c r="V2210" i="2"/>
  <c r="R2461" i="2"/>
  <c r="T1969" i="2"/>
  <c r="O1784" i="2"/>
  <c r="R1673" i="2"/>
  <c r="G3076" i="2"/>
  <c r="N1800" i="2"/>
  <c r="R3228" i="2"/>
  <c r="E1681" i="2"/>
  <c r="N1749" i="2"/>
  <c r="J1002" i="2"/>
  <c r="M3370" i="2"/>
  <c r="M2114" i="2"/>
  <c r="S2717" i="2"/>
  <c r="N1781" i="2"/>
  <c r="D3382" i="2"/>
  <c r="H1877" i="2"/>
  <c r="T1403" i="2"/>
  <c r="I1805" i="2"/>
  <c r="P2567" i="2"/>
  <c r="S2088" i="2"/>
  <c r="N2874" i="2"/>
  <c r="O640" i="2"/>
  <c r="E1967" i="2"/>
  <c r="E447" i="2"/>
  <c r="M1214" i="2"/>
  <c r="Q1417" i="2"/>
  <c r="H2655" i="2"/>
  <c r="F2699" i="2"/>
  <c r="P1875" i="2"/>
  <c r="H2720" i="2"/>
  <c r="I2315" i="2"/>
  <c r="U2869" i="2"/>
  <c r="F1499" i="2"/>
  <c r="C2938" i="2"/>
  <c r="E1873" i="2"/>
  <c r="H2303" i="2"/>
  <c r="W1119" i="2"/>
  <c r="N135" i="2"/>
  <c r="U1821" i="2"/>
  <c r="I772" i="2"/>
  <c r="F2917" i="2"/>
  <c r="E2233" i="2"/>
  <c r="S3252" i="2"/>
  <c r="P3172" i="2"/>
  <c r="L2652" i="2"/>
  <c r="K863" i="2"/>
  <c r="J3009" i="2"/>
  <c r="W3086" i="2"/>
  <c r="V1770" i="2"/>
  <c r="F2036" i="2"/>
  <c r="L3017" i="2"/>
  <c r="G1545" i="2"/>
  <c r="N2932" i="2"/>
  <c r="T2156" i="2"/>
  <c r="G1205" i="2"/>
  <c r="I969" i="2"/>
  <c r="K2939" i="2"/>
  <c r="D488" i="2"/>
  <c r="R2091" i="2"/>
  <c r="D94" i="2"/>
  <c r="D2438" i="2"/>
  <c r="L2813" i="2"/>
  <c r="K2346" i="2"/>
  <c r="L2450" i="2"/>
  <c r="S2849" i="2"/>
  <c r="O2275" i="2"/>
  <c r="W596" i="2"/>
  <c r="V2235" i="2"/>
  <c r="J2491" i="2"/>
  <c r="E3373" i="2"/>
  <c r="P1106" i="2"/>
  <c r="E2040" i="2"/>
  <c r="J1212" i="2"/>
  <c r="C2383" i="2"/>
  <c r="O47" i="2"/>
  <c r="G1997" i="2"/>
  <c r="R2398" i="2"/>
  <c r="E3134" i="2"/>
  <c r="Q3295" i="2"/>
  <c r="M2644" i="2"/>
  <c r="U1143" i="2"/>
  <c r="I2947" i="2"/>
  <c r="U2350" i="2"/>
  <c r="H3028" i="2"/>
  <c r="O2276" i="2"/>
  <c r="N1612" i="2"/>
  <c r="J1819" i="2"/>
  <c r="I3304" i="2"/>
  <c r="C1129" i="2"/>
  <c r="F3067" i="2"/>
  <c r="M1366" i="2"/>
  <c r="K1169" i="2"/>
  <c r="O1730" i="2"/>
  <c r="P3258" i="2"/>
  <c r="O1645" i="2"/>
  <c r="M3215" i="2"/>
  <c r="T2739" i="2"/>
  <c r="L2270" i="2"/>
  <c r="C1358" i="2"/>
  <c r="U2990" i="2"/>
  <c r="Q2991" i="2"/>
  <c r="O2864" i="2"/>
  <c r="L965" i="2"/>
  <c r="U2868" i="2"/>
  <c r="G191" i="2"/>
  <c r="L2539" i="2"/>
  <c r="K924" i="2"/>
  <c r="C958" i="2"/>
  <c r="C1889" i="2"/>
  <c r="V1638" i="2"/>
  <c r="T2826" i="2"/>
  <c r="S1188" i="2"/>
  <c r="I1714" i="2"/>
  <c r="K2445" i="2"/>
  <c r="L2604" i="2"/>
  <c r="C764" i="2"/>
  <c r="W1856" i="2"/>
  <c r="E2203" i="2"/>
  <c r="J3164" i="2"/>
  <c r="H2394" i="2"/>
  <c r="K1119" i="2"/>
  <c r="H2252" i="2"/>
  <c r="V2524" i="2"/>
  <c r="O156" i="2"/>
  <c r="I3123" i="2"/>
  <c r="O544" i="2"/>
  <c r="U2668" i="2"/>
  <c r="P1521" i="2"/>
  <c r="V564" i="2"/>
  <c r="T3098" i="2"/>
  <c r="T1633" i="2"/>
  <c r="E3244" i="2"/>
  <c r="K2582" i="2"/>
  <c r="O1181" i="2"/>
  <c r="C3069" i="2"/>
  <c r="L2538" i="2"/>
  <c r="G3340" i="2"/>
  <c r="N2304" i="2"/>
  <c r="G2128" i="2"/>
  <c r="S2825" i="2"/>
  <c r="P463" i="2"/>
  <c r="P1461" i="2"/>
  <c r="K1785" i="2"/>
  <c r="D1286" i="2"/>
  <c r="Q121" i="2"/>
  <c r="E2426" i="2"/>
  <c r="M572" i="2"/>
  <c r="R945" i="2"/>
  <c r="C1415" i="2"/>
  <c r="H2861" i="2"/>
  <c r="P3404" i="2"/>
  <c r="N549" i="2"/>
  <c r="G3018" i="2"/>
  <c r="V2549" i="2"/>
  <c r="D1935" i="2"/>
  <c r="J2738" i="2"/>
  <c r="J2909" i="2"/>
  <c r="G167" i="2"/>
  <c r="D622" i="2"/>
  <c r="E2229" i="2"/>
  <c r="D1649" i="2"/>
  <c r="G2777" i="2"/>
  <c r="N297" i="2"/>
  <c r="G1873" i="2"/>
  <c r="R1391" i="2"/>
  <c r="G800" i="2"/>
  <c r="V1939" i="2"/>
  <c r="R2939" i="2"/>
  <c r="Q2244" i="2"/>
  <c r="Q1465" i="2"/>
  <c r="L1098" i="2"/>
  <c r="Q1874" i="2"/>
  <c r="G1811" i="2"/>
  <c r="H1789" i="2"/>
  <c r="K2810" i="2"/>
  <c r="T2599" i="2"/>
  <c r="S581" i="2"/>
  <c r="V1509" i="2"/>
  <c r="T2106" i="2"/>
  <c r="J945" i="2"/>
  <c r="E3557" i="2"/>
  <c r="H1327" i="2"/>
  <c r="Q3172" i="2"/>
  <c r="T2807" i="2"/>
  <c r="C1030" i="2"/>
  <c r="L1723" i="2"/>
  <c r="O744" i="2"/>
  <c r="M1663" i="2"/>
  <c r="N2365" i="2"/>
  <c r="F1690" i="2"/>
  <c r="S2045" i="2"/>
  <c r="F3039" i="2"/>
  <c r="K2701" i="2"/>
  <c r="L1842" i="2"/>
  <c r="R1881" i="2"/>
  <c r="O2860" i="2"/>
  <c r="W3043" i="2"/>
  <c r="M433" i="2"/>
  <c r="S3141" i="2"/>
  <c r="C3233" i="2"/>
  <c r="J2826" i="2"/>
  <c r="U1654" i="2"/>
  <c r="M1830" i="2"/>
  <c r="C628" i="2"/>
  <c r="I2107" i="2"/>
  <c r="R3086" i="2"/>
  <c r="V2719" i="2"/>
  <c r="N1839" i="2"/>
  <c r="G1864" i="2"/>
  <c r="C1779" i="2"/>
  <c r="U3099" i="2"/>
  <c r="V2293" i="2"/>
  <c r="W2868" i="2"/>
  <c r="N1928" i="2"/>
  <c r="W2300" i="2"/>
  <c r="H2585" i="2"/>
  <c r="R1705" i="2"/>
  <c r="P1952" i="2"/>
  <c r="P2780" i="2"/>
  <c r="L3191" i="2"/>
  <c r="F3028" i="2"/>
  <c r="V1583" i="2"/>
  <c r="R968" i="2"/>
  <c r="P1265" i="2"/>
  <c r="G2721" i="2"/>
  <c r="D1461" i="2"/>
  <c r="M2172" i="2"/>
  <c r="H2852" i="2"/>
  <c r="O2974" i="2"/>
  <c r="P1687" i="2"/>
  <c r="Q3338" i="2"/>
  <c r="M2291" i="2"/>
  <c r="I3212" i="2"/>
  <c r="S2102" i="2"/>
  <c r="L3256" i="2"/>
  <c r="R3028" i="2"/>
  <c r="O3021" i="2"/>
  <c r="S2355" i="2"/>
  <c r="O2124" i="2"/>
  <c r="E2712" i="2"/>
  <c r="R2275" i="2"/>
  <c r="S2698" i="2"/>
  <c r="M665" i="2"/>
  <c r="P2770" i="2"/>
  <c r="S1124" i="2"/>
  <c r="S2484" i="2"/>
  <c r="O830" i="2"/>
  <c r="C2287" i="2"/>
  <c r="Q3199" i="2"/>
  <c r="P1874" i="2"/>
  <c r="H3150" i="2"/>
  <c r="W1256" i="2"/>
  <c r="K2609" i="2"/>
  <c r="P715" i="2"/>
  <c r="H1833" i="2"/>
  <c r="G2917" i="2"/>
  <c r="K1129" i="2"/>
  <c r="T2162" i="2"/>
  <c r="K1874" i="2"/>
  <c r="R2350" i="2"/>
  <c r="V2809" i="2"/>
  <c r="K638" i="2"/>
  <c r="C2093" i="2"/>
  <c r="I3282" i="2"/>
  <c r="S2656" i="2"/>
  <c r="I2849" i="2"/>
  <c r="P2355" i="2"/>
  <c r="W2990" i="2"/>
  <c r="F3058" i="2"/>
  <c r="D1937" i="2"/>
  <c r="D1046" i="2"/>
  <c r="L1965" i="2"/>
  <c r="V2153" i="2"/>
  <c r="M3095" i="2"/>
  <c r="C2008" i="2"/>
  <c r="W3160" i="2"/>
  <c r="H1935" i="2"/>
  <c r="U1768" i="2"/>
  <c r="P1641" i="2"/>
  <c r="V3112" i="2"/>
  <c r="W2869" i="2"/>
  <c r="K2919" i="2"/>
  <c r="K2723" i="2"/>
  <c r="I3397" i="2"/>
  <c r="W3072" i="2"/>
  <c r="K2962" i="2"/>
  <c r="D2177" i="2"/>
  <c r="O3005" i="2"/>
  <c r="K1584" i="2"/>
  <c r="W2987" i="2"/>
  <c r="J157" i="2"/>
  <c r="T3194" i="2"/>
  <c r="M333" i="2"/>
  <c r="F2361" i="2"/>
  <c r="W3030" i="2"/>
  <c r="O2730" i="2"/>
  <c r="Q1385" i="2"/>
  <c r="M2765" i="2"/>
  <c r="O1465" i="2"/>
  <c r="Q2539" i="2"/>
  <c r="I2478" i="2"/>
  <c r="C2298" i="2"/>
  <c r="R2108" i="2"/>
  <c r="Q773" i="2"/>
  <c r="N680" i="2"/>
  <c r="U474" i="2"/>
  <c r="Q1059" i="2"/>
  <c r="V2526" i="2"/>
  <c r="K2545" i="2"/>
  <c r="G2489" i="2"/>
  <c r="U1200" i="2"/>
  <c r="O3090" i="2"/>
  <c r="L150" i="2"/>
  <c r="G456" i="2"/>
  <c r="S3431" i="2"/>
  <c r="M2601" i="2"/>
  <c r="E1434" i="2"/>
  <c r="D2057" i="2"/>
  <c r="W2678" i="2"/>
  <c r="H3138" i="2"/>
  <c r="V1928" i="2"/>
  <c r="V2361" i="2"/>
  <c r="L1651" i="2"/>
  <c r="J1970" i="2"/>
  <c r="U2073" i="2"/>
  <c r="U1479" i="2"/>
  <c r="F467" i="2"/>
  <c r="E2524" i="2"/>
  <c r="N316" i="2"/>
  <c r="H3046" i="2"/>
  <c r="O3435" i="2"/>
  <c r="P1623" i="2"/>
  <c r="K2343" i="2"/>
  <c r="S757" i="2"/>
  <c r="V1147" i="2"/>
  <c r="D1268" i="2"/>
  <c r="D447" i="2"/>
  <c r="W2840" i="2"/>
  <c r="M1504" i="2"/>
  <c r="U975" i="2"/>
  <c r="W937" i="2"/>
  <c r="P3028" i="2"/>
  <c r="H1261" i="2"/>
  <c r="Q1462" i="2"/>
  <c r="S745" i="2"/>
  <c r="I2288" i="2"/>
  <c r="D2378" i="2"/>
  <c r="M2422" i="2"/>
  <c r="N2886" i="2"/>
  <c r="F2879" i="2"/>
  <c r="N2955" i="2"/>
  <c r="V2923" i="2"/>
  <c r="E449" i="2"/>
  <c r="C2357" i="2"/>
  <c r="R528" i="2"/>
  <c r="L2630" i="2"/>
  <c r="L2913" i="2"/>
  <c r="U3209" i="2"/>
  <c r="P2896" i="2"/>
  <c r="K2717" i="2"/>
  <c r="E3345" i="2"/>
  <c r="C1400" i="2"/>
  <c r="F2415" i="2"/>
  <c r="D3175" i="2"/>
  <c r="N2756" i="2"/>
  <c r="P2737" i="2"/>
  <c r="E2600" i="2"/>
  <c r="W1874" i="2"/>
  <c r="J2031" i="2"/>
  <c r="S3005" i="2"/>
  <c r="G3481" i="2"/>
  <c r="W2788" i="2"/>
  <c r="J1793" i="2"/>
  <c r="G2906" i="2"/>
  <c r="U1434" i="2"/>
  <c r="R921" i="2"/>
  <c r="Q1374" i="2"/>
  <c r="T3353" i="2"/>
  <c r="O2412" i="2"/>
  <c r="K3256" i="2"/>
  <c r="W2291" i="2"/>
  <c r="U1167" i="2"/>
  <c r="W1841" i="2"/>
  <c r="L2658" i="2"/>
  <c r="N1623" i="2"/>
  <c r="V3228" i="2"/>
  <c r="S884" i="2"/>
  <c r="H1820" i="2"/>
  <c r="L2540" i="2"/>
  <c r="L2373" i="2"/>
  <c r="M2945" i="2"/>
  <c r="O3204" i="2"/>
  <c r="M2191" i="2"/>
  <c r="H1780" i="2"/>
  <c r="I2739" i="2"/>
  <c r="T1115" i="2"/>
  <c r="G2190" i="2"/>
  <c r="T3286" i="2"/>
  <c r="W2986" i="2"/>
  <c r="N1959" i="2"/>
  <c r="R2779" i="2"/>
  <c r="V2941" i="2"/>
  <c r="M2924" i="2"/>
  <c r="F2954" i="2"/>
  <c r="E393" i="2"/>
  <c r="J3103" i="2"/>
  <c r="K3196" i="2"/>
  <c r="S1698" i="2"/>
  <c r="C2025" i="2"/>
  <c r="W2135" i="2"/>
  <c r="P1943" i="2"/>
  <c r="K2707" i="2"/>
  <c r="O1464" i="2"/>
  <c r="R1356" i="2"/>
  <c r="S1385" i="2"/>
  <c r="F1937" i="2"/>
  <c r="P579" i="2"/>
  <c r="Q2239" i="2"/>
  <c r="O2783" i="2"/>
  <c r="V2791" i="2"/>
  <c r="T1843" i="2"/>
  <c r="J1702" i="2"/>
  <c r="L2836" i="2"/>
  <c r="I1189" i="2"/>
  <c r="R3242" i="2"/>
  <c r="D1947" i="2"/>
  <c r="R2323" i="2"/>
  <c r="S864" i="2"/>
  <c r="H2805" i="2"/>
  <c r="K1795" i="2"/>
  <c r="D2730" i="2"/>
  <c r="T1601" i="2"/>
  <c r="J2849" i="2"/>
  <c r="M2062" i="2"/>
  <c r="P1825" i="2"/>
  <c r="S2109" i="2"/>
  <c r="P2205" i="2"/>
  <c r="N2863" i="2"/>
  <c r="W372" i="2"/>
  <c r="Q1189" i="2"/>
  <c r="P1932" i="2"/>
  <c r="N2068" i="2"/>
  <c r="V2958" i="2"/>
  <c r="P3069" i="2"/>
  <c r="U2062" i="2"/>
  <c r="D1605" i="2"/>
  <c r="W2400" i="2"/>
  <c r="P2938" i="2"/>
  <c r="H2238" i="2"/>
  <c r="H2914" i="2"/>
  <c r="E2527" i="2"/>
  <c r="P2134" i="2"/>
  <c r="N2537" i="2"/>
  <c r="Q3212" i="2"/>
  <c r="H2717" i="2"/>
  <c r="W1861" i="2"/>
  <c r="P2967" i="2"/>
  <c r="V2978" i="2"/>
  <c r="R1970" i="2"/>
  <c r="T1932" i="2"/>
  <c r="N3060" i="2"/>
  <c r="V3151" i="2"/>
  <c r="K2556" i="2"/>
  <c r="C3508" i="2"/>
  <c r="V1734" i="2"/>
  <c r="Q3459" i="2"/>
  <c r="E2386" i="2"/>
  <c r="O2810" i="2"/>
  <c r="Q228" i="2"/>
  <c r="S3108" i="2"/>
  <c r="N1914" i="2"/>
  <c r="N909" i="2"/>
  <c r="P1705" i="2"/>
  <c r="G912" i="2"/>
  <c r="D3130" i="2"/>
  <c r="F3091" i="2"/>
  <c r="J2794" i="2"/>
  <c r="E1989" i="2"/>
  <c r="T1094" i="2"/>
  <c r="U3092" i="2"/>
  <c r="U1755" i="2"/>
  <c r="N2575" i="2"/>
  <c r="T462" i="2"/>
  <c r="F2332" i="2"/>
  <c r="O1188" i="2"/>
  <c r="M2238" i="2"/>
  <c r="O1627" i="2"/>
  <c r="H2929" i="2"/>
  <c r="K2863" i="2"/>
  <c r="K1384" i="2"/>
  <c r="I1229" i="2"/>
  <c r="M2829" i="2"/>
  <c r="G2107" i="2"/>
  <c r="J1783" i="2"/>
  <c r="S2217" i="2"/>
  <c r="K2491" i="2"/>
  <c r="N1828" i="2"/>
  <c r="E1527" i="2"/>
  <c r="C2900" i="2"/>
  <c r="N1716" i="2"/>
  <c r="S2771" i="2"/>
  <c r="Q3350" i="2"/>
  <c r="G1979" i="2"/>
  <c r="S1169" i="2"/>
  <c r="H1553" i="2"/>
  <c r="L2778" i="2"/>
  <c r="M2483" i="2"/>
  <c r="V2411" i="2"/>
  <c r="F1056" i="2"/>
  <c r="W2764" i="2"/>
  <c r="O224" i="2"/>
  <c r="V2928" i="2"/>
  <c r="R3051" i="2"/>
  <c r="S3098" i="2"/>
  <c r="T1618" i="2"/>
  <c r="J2274" i="2"/>
  <c r="T3091" i="2"/>
  <c r="T482" i="2"/>
  <c r="V2120" i="2"/>
  <c r="F3223" i="2"/>
  <c r="P2713" i="2"/>
  <c r="C3282" i="2"/>
  <c r="K1940" i="2"/>
  <c r="C2918" i="2"/>
  <c r="E2798" i="2"/>
  <c r="R2608" i="2"/>
  <c r="D2661" i="2"/>
  <c r="U1956" i="2"/>
  <c r="O3337" i="2"/>
  <c r="S2075" i="2"/>
  <c r="T1158" i="2"/>
  <c r="N3486" i="2"/>
  <c r="H2166" i="2"/>
  <c r="O438" i="2"/>
  <c r="T698" i="2"/>
  <c r="O2383" i="2"/>
  <c r="F2856" i="2"/>
  <c r="G2151" i="2"/>
  <c r="W2263" i="2"/>
  <c r="N2997" i="2"/>
  <c r="E2685" i="2"/>
  <c r="V1753" i="2"/>
  <c r="F3119" i="2"/>
  <c r="D1140" i="2"/>
  <c r="F2775" i="2"/>
  <c r="T2704" i="2"/>
  <c r="I2815" i="2"/>
  <c r="C3136" i="2"/>
  <c r="V2640" i="2"/>
  <c r="P3329" i="2"/>
  <c r="S2013" i="2"/>
  <c r="L2666" i="2"/>
  <c r="D1684" i="2"/>
  <c r="H2388" i="2"/>
  <c r="J1981" i="2"/>
  <c r="O3449" i="2"/>
  <c r="W2038" i="2"/>
  <c r="R203" i="2"/>
  <c r="N2937" i="2"/>
  <c r="T1195" i="2"/>
  <c r="H3232" i="2"/>
  <c r="L1961" i="2"/>
  <c r="C2611" i="2"/>
  <c r="J1892" i="2"/>
  <c r="O3237" i="2"/>
  <c r="L2722" i="2"/>
  <c r="L708" i="2"/>
  <c r="U2817" i="2"/>
  <c r="M730" i="2"/>
  <c r="P1528" i="2"/>
  <c r="F2056" i="2"/>
  <c r="G1934" i="2"/>
  <c r="V3087" i="2"/>
  <c r="L2594" i="2"/>
  <c r="K2471" i="2"/>
  <c r="N1397" i="2"/>
  <c r="V397" i="2"/>
  <c r="H2354" i="2"/>
  <c r="D831" i="2"/>
  <c r="O3168" i="2"/>
  <c r="L2544" i="2"/>
  <c r="H3272" i="2"/>
  <c r="U2919" i="2"/>
  <c r="O2953" i="2"/>
  <c r="T2678" i="2"/>
  <c r="S2042" i="2"/>
  <c r="G1482" i="2"/>
  <c r="S2716" i="2"/>
  <c r="F2150" i="2"/>
  <c r="T3163" i="2"/>
  <c r="R1470" i="2"/>
  <c r="S1589" i="2"/>
  <c r="R1560" i="2"/>
  <c r="T2536" i="2"/>
  <c r="U2314" i="2"/>
  <c r="K1635" i="2"/>
  <c r="H466" i="2"/>
  <c r="C1926" i="2"/>
  <c r="P1105" i="2"/>
  <c r="J2169" i="2"/>
  <c r="W2946" i="2"/>
  <c r="D2324" i="2"/>
  <c r="K2231" i="2"/>
  <c r="L2432" i="2"/>
  <c r="H2868" i="2"/>
  <c r="Q2265" i="2"/>
  <c r="E2282" i="2"/>
  <c r="V2773" i="2"/>
  <c r="I1787" i="2"/>
  <c r="F477" i="2"/>
  <c r="Q2598" i="2"/>
  <c r="R2055" i="2"/>
  <c r="M3267" i="2"/>
  <c r="E3264" i="2"/>
  <c r="J2496" i="2"/>
  <c r="I2226" i="2"/>
  <c r="R2406" i="2"/>
  <c r="C1773" i="2"/>
  <c r="P1713" i="2"/>
  <c r="R2470" i="2"/>
  <c r="D2993" i="2"/>
  <c r="L1935" i="2"/>
  <c r="J419" i="2"/>
  <c r="W2721" i="2"/>
  <c r="J3379" i="2"/>
  <c r="W1078" i="2"/>
  <c r="T1964" i="2"/>
  <c r="H1716" i="2"/>
  <c r="K411" i="2"/>
  <c r="W3291" i="2"/>
  <c r="O1046" i="2"/>
  <c r="J735" i="2"/>
  <c r="H1997" i="2"/>
  <c r="V1021" i="2"/>
  <c r="E1714" i="2"/>
  <c r="K2181" i="2"/>
  <c r="N3342" i="2"/>
  <c r="G2999" i="2"/>
  <c r="F1377" i="2"/>
  <c r="D2734" i="2"/>
  <c r="P474" i="2"/>
  <c r="V3238" i="2"/>
  <c r="H3203" i="2"/>
  <c r="M61" i="2"/>
  <c r="U2090" i="2"/>
  <c r="L2193" i="2"/>
  <c r="M460" i="2"/>
  <c r="U2008" i="2"/>
  <c r="S2551" i="2"/>
  <c r="M2718" i="2"/>
  <c r="U368" i="2"/>
  <c r="Q3127" i="2"/>
  <c r="P1393" i="2"/>
  <c r="F1596" i="2"/>
  <c r="M2408" i="2"/>
  <c r="J2005" i="2"/>
  <c r="I1763" i="2"/>
  <c r="C2197" i="2"/>
  <c r="H244" i="2"/>
  <c r="W3211" i="2"/>
  <c r="I1898" i="2"/>
  <c r="P2045" i="2"/>
  <c r="U2502" i="2"/>
  <c r="F1830" i="2"/>
  <c r="W2926" i="2"/>
  <c r="F2989" i="2"/>
  <c r="N2381" i="2"/>
  <c r="S2708" i="2"/>
  <c r="T779" i="2"/>
  <c r="T1163" i="2"/>
  <c r="U3143" i="2"/>
  <c r="V2878" i="2"/>
  <c r="N2840" i="2"/>
  <c r="F2920" i="2"/>
  <c r="F2560" i="2"/>
  <c r="F2258" i="2"/>
  <c r="J652" i="2"/>
  <c r="T2354" i="2"/>
  <c r="R2468" i="2"/>
  <c r="N2484" i="2"/>
  <c r="J2764" i="2"/>
  <c r="U2865" i="2"/>
  <c r="Q77" i="2"/>
  <c r="L2651" i="2"/>
  <c r="J2358" i="2"/>
  <c r="K2581" i="2"/>
  <c r="T3270" i="2"/>
  <c r="Q3131" i="2"/>
  <c r="H2031" i="2"/>
  <c r="G2738" i="2"/>
  <c r="W840" i="2"/>
  <c r="C2828" i="2"/>
  <c r="F3335" i="2"/>
  <c r="T1365" i="2"/>
  <c r="O1773" i="2"/>
  <c r="U1848" i="2"/>
  <c r="M1551" i="2"/>
  <c r="I2794" i="2"/>
  <c r="L601" i="2"/>
  <c r="W1973" i="2"/>
  <c r="V588" i="2"/>
  <c r="F2219" i="2"/>
  <c r="E2913" i="2"/>
  <c r="S1085" i="2"/>
  <c r="J2802" i="2"/>
  <c r="C2338" i="2"/>
  <c r="M2888" i="2"/>
  <c r="W2236" i="2"/>
  <c r="O1335" i="2"/>
  <c r="C949" i="2"/>
  <c r="N2174" i="2"/>
  <c r="Q1287" i="2"/>
  <c r="F559" i="2"/>
  <c r="M2869" i="2"/>
  <c r="G919" i="2"/>
  <c r="U2151" i="2"/>
  <c r="O1157" i="2"/>
  <c r="J2078" i="2"/>
  <c r="J2693" i="2"/>
  <c r="M2654" i="2"/>
  <c r="U3301" i="2"/>
  <c r="N2166" i="2"/>
  <c r="Q518" i="2"/>
  <c r="H371" i="2"/>
  <c r="H1552" i="2"/>
  <c r="D870" i="2"/>
  <c r="C2182" i="2"/>
  <c r="W2364" i="2"/>
  <c r="U1827" i="2"/>
  <c r="W37" i="2"/>
  <c r="R1350" i="2"/>
  <c r="C1016" i="2"/>
  <c r="P1625" i="2"/>
  <c r="R2976" i="2"/>
  <c r="J657" i="2"/>
  <c r="R1863" i="2"/>
  <c r="E1078" i="2"/>
  <c r="W2702" i="2"/>
  <c r="J2361" i="2"/>
  <c r="R2803" i="2"/>
  <c r="T1560" i="2"/>
  <c r="M2248" i="2"/>
  <c r="L1809" i="2"/>
  <c r="E1849" i="2"/>
  <c r="M449" i="2"/>
  <c r="D2487" i="2"/>
  <c r="R1892" i="2"/>
  <c r="T2797" i="2"/>
  <c r="F1801" i="2"/>
  <c r="U307" i="2"/>
  <c r="I742" i="2"/>
  <c r="M2176" i="2"/>
  <c r="I3018" i="2"/>
  <c r="H1003" i="2"/>
  <c r="J2896" i="2"/>
  <c r="L2429" i="2"/>
  <c r="F2386" i="2"/>
  <c r="P3320" i="2"/>
  <c r="S1989" i="2"/>
  <c r="G3246" i="2"/>
  <c r="N2896" i="2"/>
  <c r="F1956" i="2"/>
  <c r="D2924" i="2"/>
  <c r="U2343" i="2"/>
  <c r="J3013" i="2"/>
  <c r="I2652" i="2"/>
  <c r="M1881" i="2"/>
  <c r="T2404" i="2"/>
  <c r="M1814" i="2"/>
  <c r="C2618" i="2"/>
  <c r="T3115" i="2"/>
  <c r="J1543" i="2"/>
  <c r="G2795" i="2"/>
  <c r="T2661" i="2"/>
  <c r="N2677" i="2"/>
  <c r="H2244" i="2"/>
  <c r="E2507" i="2"/>
  <c r="U542" i="2"/>
  <c r="D1604" i="2"/>
  <c r="K1862" i="2"/>
  <c r="P2685" i="2"/>
  <c r="R1409" i="2"/>
  <c r="C2126" i="2"/>
  <c r="D2577" i="2"/>
  <c r="E2900" i="2"/>
  <c r="P2143" i="2"/>
  <c r="V2388" i="2"/>
  <c r="S2766" i="2"/>
  <c r="K1756" i="2"/>
  <c r="H1584" i="2"/>
  <c r="L3005" i="2"/>
  <c r="F3211" i="2"/>
  <c r="V2660" i="2"/>
  <c r="G2569" i="2"/>
  <c r="T3207" i="2"/>
  <c r="U3021" i="2"/>
  <c r="F775" i="2"/>
  <c r="O231" i="2"/>
  <c r="L1233" i="2"/>
  <c r="J167" i="2"/>
  <c r="U2257" i="2"/>
  <c r="F2516" i="2"/>
  <c r="H1947" i="2"/>
  <c r="M1157" i="2"/>
  <c r="M1800" i="2"/>
  <c r="K1962" i="2"/>
  <c r="T818" i="2"/>
  <c r="F3081" i="2"/>
  <c r="R1137" i="2"/>
  <c r="U2495" i="2"/>
  <c r="C1978" i="2"/>
  <c r="S2936" i="2"/>
  <c r="L454" i="2"/>
  <c r="Q649" i="2"/>
  <c r="O1649" i="2"/>
  <c r="W2939" i="2"/>
  <c r="C3389" i="2"/>
  <c r="G1868" i="2"/>
  <c r="M1335" i="2"/>
  <c r="W1996" i="2"/>
  <c r="F2145" i="2"/>
  <c r="K1518" i="2"/>
  <c r="E1668" i="2"/>
  <c r="W1623" i="2"/>
  <c r="R2854" i="2"/>
  <c r="N1683" i="2"/>
  <c r="V2161" i="2"/>
  <c r="L1817" i="2"/>
  <c r="F2005" i="2"/>
  <c r="M2974" i="2"/>
  <c r="I1861" i="2"/>
  <c r="E882" i="2"/>
  <c r="L1281" i="2"/>
  <c r="E2841" i="2"/>
  <c r="I2208" i="2"/>
  <c r="F1419" i="2"/>
  <c r="D2947" i="2"/>
  <c r="G1747" i="2"/>
  <c r="U2434" i="2"/>
  <c r="S2427" i="2"/>
  <c r="E1082" i="2"/>
  <c r="V2662" i="2"/>
  <c r="J1916" i="2"/>
  <c r="O3113" i="2"/>
  <c r="O319" i="2"/>
  <c r="N3096" i="2"/>
  <c r="K2580" i="2"/>
  <c r="R2437" i="2"/>
  <c r="Q3613" i="2"/>
  <c r="K2600" i="2"/>
  <c r="J2863" i="2"/>
  <c r="W2951" i="2"/>
  <c r="L1897" i="2"/>
  <c r="P3608" i="2"/>
  <c r="M2030" i="2"/>
  <c r="H2860" i="2"/>
  <c r="Q785" i="2"/>
  <c r="Q1841" i="2"/>
  <c r="S399" i="2"/>
  <c r="R2231" i="2"/>
  <c r="I2132" i="2"/>
  <c r="P2420" i="2"/>
  <c r="J2146" i="2"/>
  <c r="O2761" i="2"/>
  <c r="R554" i="2"/>
  <c r="S2913" i="2"/>
  <c r="R1686" i="2"/>
  <c r="P1336" i="2"/>
  <c r="I1340" i="2"/>
  <c r="W2988" i="2"/>
  <c r="R1439" i="2"/>
  <c r="P2708" i="2"/>
  <c r="R3018" i="2"/>
  <c r="C1590" i="2"/>
  <c r="O2233" i="2"/>
  <c r="T1820" i="2"/>
  <c r="T2651" i="2"/>
  <c r="H2290" i="2"/>
  <c r="Q1825" i="2"/>
  <c r="E1957" i="2"/>
  <c r="K974" i="2"/>
  <c r="I1578" i="2"/>
  <c r="E1568" i="2"/>
  <c r="E100" i="2"/>
  <c r="Q3519" i="2"/>
  <c r="N341" i="2"/>
  <c r="C1763" i="2"/>
  <c r="T990" i="2"/>
  <c r="T1880" i="2"/>
  <c r="M1846" i="2"/>
  <c r="V2193" i="2"/>
  <c r="J1834" i="2"/>
  <c r="T2095" i="2"/>
  <c r="M1482" i="2"/>
  <c r="G1605" i="2"/>
  <c r="V2726" i="2"/>
  <c r="N3210" i="2"/>
  <c r="L3184" i="2"/>
  <c r="F3062" i="2"/>
  <c r="H2751" i="2"/>
  <c r="R3038" i="2"/>
  <c r="S237" i="2"/>
  <c r="W2755" i="2"/>
  <c r="N1330" i="2"/>
  <c r="L2915" i="2"/>
  <c r="K739" i="2"/>
  <c r="I1998" i="2"/>
  <c r="J3072" i="2"/>
  <c r="M134" i="2"/>
  <c r="Q341" i="2"/>
  <c r="C1620" i="2"/>
  <c r="O2722" i="2"/>
  <c r="C2296" i="2"/>
  <c r="H2617" i="2"/>
  <c r="T2624" i="2"/>
  <c r="F2763" i="2"/>
  <c r="Q474" i="2"/>
  <c r="R2583" i="2"/>
  <c r="Q1373" i="2"/>
  <c r="W2871" i="2"/>
  <c r="T1766" i="2"/>
  <c r="H3014" i="2"/>
  <c r="O1168" i="2"/>
  <c r="T1726" i="2"/>
  <c r="U268" i="2"/>
  <c r="P1053" i="2"/>
  <c r="P151" i="2"/>
  <c r="I327" i="2"/>
  <c r="G2826" i="2"/>
  <c r="U3121" i="2"/>
  <c r="D1802" i="2"/>
  <c r="V1477" i="2"/>
  <c r="T778" i="2"/>
  <c r="U2075" i="2"/>
  <c r="V878" i="2"/>
  <c r="K2627" i="2"/>
  <c r="I2094" i="2"/>
  <c r="U1166" i="2"/>
  <c r="J1811" i="2"/>
  <c r="F2700" i="2"/>
  <c r="C474" i="2"/>
  <c r="K522" i="2"/>
  <c r="V2073" i="2"/>
  <c r="I1411" i="2"/>
  <c r="S1547" i="2"/>
  <c r="I3027" i="2"/>
  <c r="G3166" i="2"/>
  <c r="U911" i="2"/>
  <c r="F1922" i="2"/>
  <c r="O1877" i="2"/>
  <c r="Q208" i="2"/>
  <c r="H772" i="2"/>
  <c r="L3291" i="2"/>
  <c r="H2131" i="2"/>
  <c r="Q3279" i="2"/>
  <c r="S2398" i="2"/>
  <c r="K316" i="2"/>
  <c r="U2918" i="2"/>
  <c r="W2440" i="2"/>
  <c r="T2145" i="2"/>
  <c r="W2910" i="2"/>
  <c r="P2841" i="2"/>
  <c r="Q2663" i="2"/>
  <c r="S2063" i="2"/>
  <c r="R2522" i="2"/>
  <c r="S1048" i="2"/>
  <c r="G3059" i="2"/>
  <c r="J2657" i="2"/>
  <c r="V1699" i="2"/>
  <c r="L327" i="2"/>
  <c r="E2512" i="2"/>
  <c r="G2880" i="2"/>
  <c r="O3170" i="2"/>
  <c r="N687" i="2"/>
  <c r="U932" i="2"/>
  <c r="L1657" i="2"/>
  <c r="W1956" i="2"/>
  <c r="O2394" i="2"/>
  <c r="N2774" i="2"/>
  <c r="E2740" i="2"/>
  <c r="W3085" i="2"/>
  <c r="P1635" i="2"/>
  <c r="J2022" i="2"/>
  <c r="W515" i="2"/>
  <c r="S1108" i="2"/>
  <c r="S2146" i="2"/>
  <c r="J2948" i="2"/>
  <c r="L2094" i="2"/>
  <c r="I1749" i="2"/>
  <c r="W3108" i="2"/>
  <c r="I2423" i="2"/>
  <c r="L1955" i="2"/>
  <c r="J1734" i="2"/>
  <c r="L406" i="2"/>
  <c r="I3157" i="2"/>
  <c r="J1877" i="2"/>
  <c r="P3024" i="2"/>
  <c r="K1398" i="2"/>
  <c r="J808" i="2"/>
  <c r="D1656" i="2"/>
  <c r="Q2219" i="2"/>
  <c r="C1610" i="2"/>
  <c r="L2446" i="2"/>
  <c r="I1995" i="2"/>
  <c r="U2016" i="2"/>
  <c r="D2174" i="2"/>
  <c r="O3286" i="2"/>
  <c r="K2708" i="2"/>
  <c r="D1330" i="2"/>
  <c r="V292" i="2"/>
  <c r="E2697" i="2"/>
  <c r="M1939" i="2"/>
  <c r="N1553" i="2"/>
  <c r="L1877" i="2"/>
  <c r="Q1459" i="2"/>
  <c r="T2038" i="2"/>
  <c r="S2329" i="2"/>
  <c r="O3315" i="2"/>
  <c r="H2980" i="2"/>
  <c r="P2788" i="2"/>
  <c r="W2889" i="2"/>
  <c r="G933" i="2"/>
  <c r="Q234" i="2"/>
  <c r="K2625" i="2"/>
  <c r="M1440" i="2"/>
  <c r="L2797" i="2"/>
  <c r="G1107" i="2"/>
  <c r="U752" i="2"/>
  <c r="S276" i="2"/>
  <c r="T3126" i="2"/>
  <c r="T1343" i="2"/>
  <c r="C3302" i="2"/>
  <c r="G2796" i="2"/>
  <c r="I2279" i="2"/>
  <c r="D1757" i="2"/>
  <c r="L3281" i="2"/>
  <c r="U826" i="2"/>
  <c r="R576" i="2"/>
  <c r="M3023" i="2"/>
  <c r="U962" i="2"/>
  <c r="P2234" i="2"/>
  <c r="T2369" i="2"/>
  <c r="H1098" i="2"/>
  <c r="L275" i="2"/>
  <c r="J2299" i="2"/>
  <c r="O2871" i="2"/>
  <c r="I2111" i="2"/>
  <c r="O1614" i="2"/>
  <c r="F2180" i="2"/>
  <c r="N2478" i="2"/>
  <c r="U3257" i="2"/>
  <c r="E2593" i="2"/>
  <c r="J2477" i="2"/>
  <c r="P1264" i="2"/>
  <c r="I3144" i="2"/>
  <c r="S1810" i="2"/>
  <c r="N2672" i="2"/>
  <c r="W1875" i="2"/>
  <c r="O2288" i="2"/>
  <c r="Q2340" i="2"/>
  <c r="C1780" i="2"/>
  <c r="R2093" i="2"/>
  <c r="V2540" i="2"/>
  <c r="F2551" i="2"/>
  <c r="I2020" i="2"/>
  <c r="M2625" i="2"/>
  <c r="R2922" i="2"/>
  <c r="M2715" i="2"/>
  <c r="N3409" i="2"/>
  <c r="G1140" i="2"/>
  <c r="I2063" i="2"/>
  <c r="O1544" i="2"/>
  <c r="M1301" i="2"/>
  <c r="M3353" i="2"/>
  <c r="O2167" i="2"/>
  <c r="J519" i="2"/>
  <c r="Q2616" i="2"/>
  <c r="T2392" i="2"/>
  <c r="O836" i="2"/>
  <c r="Q1934" i="2"/>
  <c r="J343" i="2"/>
  <c r="J2988" i="2"/>
  <c r="R1549" i="2"/>
  <c r="S3489" i="2"/>
  <c r="K2930" i="2"/>
  <c r="E1857" i="2"/>
  <c r="O2555" i="2"/>
  <c r="W3048" i="2"/>
  <c r="M2576" i="2"/>
  <c r="F2687" i="2"/>
  <c r="W294" i="2"/>
  <c r="C1301" i="2"/>
  <c r="T2308" i="2"/>
  <c r="N2764" i="2"/>
  <c r="R2661" i="2"/>
  <c r="J1406" i="2"/>
  <c r="J2001" i="2"/>
  <c r="W1951" i="2"/>
  <c r="T3093" i="2"/>
  <c r="S2797" i="2"/>
  <c r="H2268" i="2"/>
  <c r="N3051" i="2"/>
  <c r="L3019" i="2"/>
  <c r="O3075" i="2"/>
  <c r="C3245" i="2"/>
  <c r="P2136" i="2"/>
  <c r="H1459" i="2"/>
  <c r="R3364" i="2"/>
  <c r="E1118" i="2"/>
  <c r="F923" i="2"/>
  <c r="T3079" i="2"/>
  <c r="U623" i="2"/>
  <c r="G2691" i="2"/>
  <c r="U2674" i="2"/>
  <c r="M410" i="2"/>
  <c r="K2027" i="2"/>
  <c r="G3089" i="2"/>
  <c r="M3316" i="2"/>
  <c r="S2920" i="2"/>
  <c r="F1363" i="2"/>
  <c r="S326" i="2"/>
  <c r="S1571" i="2"/>
  <c r="C1600" i="2"/>
  <c r="G640" i="2"/>
  <c r="L544" i="2"/>
  <c r="P2029" i="2"/>
  <c r="Q2232" i="2"/>
  <c r="V182" i="2"/>
  <c r="G2677" i="2"/>
  <c r="I2281" i="2"/>
  <c r="N1326" i="2"/>
  <c r="D2948" i="2"/>
  <c r="V1420" i="2"/>
  <c r="Q2209" i="2"/>
  <c r="R3183" i="2"/>
  <c r="K955" i="2"/>
  <c r="L2960" i="2"/>
  <c r="U2325" i="2"/>
  <c r="D144" i="2"/>
  <c r="D2238" i="2"/>
  <c r="L2684" i="2"/>
  <c r="S2594" i="2"/>
  <c r="O3271" i="2"/>
  <c r="H634" i="2"/>
  <c r="I1529" i="2"/>
  <c r="T2172" i="2"/>
  <c r="V1219" i="2"/>
  <c r="M3352" i="2"/>
  <c r="E1826" i="2"/>
  <c r="W1637" i="2"/>
  <c r="I3190" i="2"/>
  <c r="P590" i="2"/>
  <c r="E2127" i="2"/>
  <c r="J3487" i="2"/>
  <c r="G2207" i="2"/>
  <c r="K1725" i="2"/>
  <c r="P2605" i="2"/>
  <c r="P1274" i="2"/>
  <c r="L2565" i="2"/>
  <c r="U2359" i="2"/>
  <c r="G1754" i="2"/>
  <c r="C3396" i="2"/>
  <c r="S1787" i="2"/>
  <c r="I1532" i="2"/>
  <c r="T3482" i="2"/>
  <c r="E3121" i="2"/>
  <c r="H3547" i="2"/>
  <c r="I3074" i="2"/>
  <c r="R2851" i="2"/>
  <c r="U1588" i="2"/>
  <c r="O1815" i="2"/>
  <c r="R245" i="2"/>
  <c r="C2308" i="2"/>
  <c r="W949" i="2"/>
  <c r="U2487" i="2"/>
  <c r="Q335" i="2"/>
  <c r="W262" i="2"/>
  <c r="S1898" i="2"/>
  <c r="R1884" i="2"/>
  <c r="D1701" i="2"/>
  <c r="S556" i="2"/>
  <c r="W1500" i="2"/>
  <c r="V3221" i="2"/>
  <c r="N3351" i="2"/>
  <c r="I1974" i="2"/>
  <c r="O2734" i="2"/>
  <c r="G772" i="2"/>
  <c r="L2586" i="2"/>
  <c r="O3061" i="2"/>
  <c r="S1712" i="2"/>
  <c r="W1140" i="2"/>
  <c r="J3281" i="2"/>
  <c r="C281" i="2"/>
  <c r="J330" i="2"/>
  <c r="L2999" i="2"/>
  <c r="S546" i="2"/>
  <c r="G2220" i="2"/>
  <c r="E1342" i="2"/>
  <c r="N2390" i="2"/>
  <c r="J1486" i="2"/>
  <c r="W2894" i="2"/>
  <c r="T2109" i="2"/>
  <c r="O2710" i="2"/>
  <c r="T688" i="2"/>
  <c r="K468" i="2"/>
  <c r="F1371" i="2"/>
  <c r="Q1252" i="2"/>
  <c r="O1749" i="2"/>
  <c r="T1338" i="2"/>
  <c r="V2105" i="2"/>
  <c r="T1564" i="2"/>
  <c r="G1040" i="2"/>
  <c r="U409" i="2"/>
  <c r="I2987" i="2"/>
  <c r="R1481" i="2"/>
  <c r="O3373" i="2"/>
  <c r="R1594" i="2"/>
  <c r="Q2736" i="2"/>
  <c r="F2786" i="2"/>
  <c r="C720" i="2"/>
  <c r="K1560" i="2"/>
  <c r="J2527" i="2"/>
  <c r="T3296" i="2"/>
  <c r="D1797" i="2"/>
  <c r="N2366" i="2"/>
  <c r="O2285" i="2"/>
  <c r="N1227" i="2"/>
  <c r="R1431" i="2"/>
  <c r="K2842" i="2"/>
  <c r="U1400" i="2"/>
  <c r="V1920" i="2"/>
  <c r="J619" i="2"/>
  <c r="C1919" i="2"/>
  <c r="F2530" i="2"/>
  <c r="D937" i="2"/>
  <c r="D2782" i="2"/>
  <c r="O2565" i="2"/>
  <c r="T3087" i="2"/>
  <c r="V2926" i="2"/>
  <c r="E2164" i="2"/>
  <c r="K2768" i="2"/>
  <c r="O1430" i="2"/>
  <c r="J1708" i="2"/>
  <c r="O3217" i="2"/>
  <c r="L1993" i="2"/>
  <c r="J1568" i="2"/>
  <c r="N3253" i="2"/>
  <c r="K2503" i="2"/>
  <c r="I1927" i="2"/>
  <c r="G2545" i="2"/>
  <c r="V2390" i="2"/>
  <c r="D1626" i="2"/>
  <c r="U1744" i="2"/>
  <c r="I2538" i="2"/>
  <c r="S3343" i="2"/>
  <c r="F1476" i="2"/>
  <c r="S2193" i="2"/>
  <c r="D1496" i="2"/>
  <c r="M2273" i="2"/>
  <c r="P2077" i="2"/>
  <c r="S2777" i="2"/>
  <c r="M2189" i="2"/>
  <c r="G2958" i="2"/>
  <c r="J1935" i="2"/>
  <c r="O2940" i="2"/>
  <c r="E2847" i="2"/>
  <c r="S1824" i="2"/>
  <c r="U2083" i="2"/>
  <c r="K3390" i="2"/>
  <c r="R2903" i="2"/>
  <c r="J2291" i="2"/>
  <c r="Q1750" i="2"/>
  <c r="Q2624" i="2"/>
  <c r="J2942" i="2"/>
  <c r="N1477" i="2"/>
  <c r="G2510" i="2"/>
  <c r="W3070" i="2"/>
  <c r="U276" i="2"/>
  <c r="G1005" i="2"/>
  <c r="S1953" i="2"/>
  <c r="V2113" i="2"/>
  <c r="S1799" i="2"/>
  <c r="O3098" i="2"/>
  <c r="J2131" i="2"/>
  <c r="O1976" i="2"/>
  <c r="P2153" i="2"/>
  <c r="P2331" i="2"/>
  <c r="N143" i="2"/>
  <c r="I329" i="2"/>
  <c r="N3262" i="2"/>
  <c r="N2706" i="2"/>
  <c r="F2329" i="2"/>
  <c r="E217" i="2"/>
  <c r="R697" i="2"/>
  <c r="I2460" i="2"/>
  <c r="O2527" i="2"/>
  <c r="U1026" i="2"/>
  <c r="M2676" i="2"/>
  <c r="V1578" i="2"/>
  <c r="W3443" i="2"/>
  <c r="U1714" i="2"/>
  <c r="S1955" i="2"/>
  <c r="I399" i="2"/>
  <c r="F1462" i="2"/>
  <c r="I683" i="2"/>
  <c r="V2396" i="2"/>
  <c r="W2308" i="2"/>
  <c r="M1590" i="2"/>
  <c r="T613" i="2"/>
  <c r="L2326" i="2"/>
  <c r="E2700" i="2"/>
  <c r="P2723" i="2"/>
  <c r="N685" i="2"/>
  <c r="J369" i="2"/>
  <c r="L942" i="2"/>
  <c r="C1923" i="2"/>
  <c r="J1848" i="2"/>
  <c r="M2621" i="2"/>
  <c r="G2326" i="2"/>
  <c r="I2684" i="2"/>
  <c r="C527" i="2"/>
  <c r="Q421" i="2"/>
  <c r="V1225" i="2"/>
  <c r="I766" i="2"/>
  <c r="W421" i="2"/>
  <c r="U1870" i="2"/>
  <c r="U117" i="2"/>
  <c r="W3123" i="2"/>
  <c r="T1828" i="2"/>
  <c r="S1673" i="2"/>
  <c r="F1044" i="2"/>
  <c r="N2131" i="2"/>
  <c r="H1458" i="2"/>
  <c r="Q2594" i="2"/>
  <c r="G1362" i="2"/>
  <c r="G1254" i="2"/>
  <c r="L2505" i="2"/>
  <c r="O1734" i="2"/>
  <c r="W1442" i="2"/>
  <c r="T2272" i="2"/>
  <c r="C510" i="2"/>
  <c r="P2219" i="2"/>
  <c r="S1332" i="2"/>
  <c r="J2303" i="2"/>
  <c r="N1055" i="2"/>
  <c r="C1039" i="2"/>
  <c r="V706" i="2"/>
  <c r="E1192" i="2"/>
  <c r="D2642" i="2"/>
  <c r="W2177" i="2"/>
  <c r="G1354" i="2"/>
  <c r="S3006" i="2"/>
  <c r="W1422" i="2"/>
  <c r="H1052" i="2"/>
  <c r="E14" i="2"/>
  <c r="O1495" i="2"/>
  <c r="S1363" i="2"/>
  <c r="G1990" i="2"/>
  <c r="T2504" i="2"/>
  <c r="M194" i="2"/>
  <c r="C174" i="2"/>
  <c r="V1581" i="2"/>
  <c r="V1858" i="2"/>
  <c r="C1482" i="2"/>
  <c r="J1524" i="2"/>
  <c r="E147" i="2"/>
  <c r="N2418" i="2"/>
  <c r="Q1419" i="2"/>
  <c r="K759" i="2"/>
  <c r="N381" i="2"/>
  <c r="K2020" i="2"/>
  <c r="F3371" i="2"/>
  <c r="N2714" i="2"/>
  <c r="N55" i="2"/>
  <c r="H729" i="2"/>
  <c r="H1143" i="2"/>
  <c r="H451" i="2"/>
  <c r="S1409" i="2"/>
  <c r="I2124" i="2"/>
  <c r="N2810" i="2"/>
  <c r="V1329" i="2"/>
  <c r="F934" i="2"/>
  <c r="I1185" i="2"/>
  <c r="N1848" i="2"/>
  <c r="S2684" i="2"/>
  <c r="T593" i="2"/>
  <c r="I332" i="2"/>
  <c r="Q429" i="2"/>
  <c r="M258" i="2"/>
  <c r="C2011" i="2"/>
  <c r="M647" i="2"/>
  <c r="O188" i="2"/>
  <c r="T1515" i="2"/>
  <c r="N130" i="2"/>
  <c r="V1121" i="2"/>
  <c r="L1045" i="2"/>
  <c r="N2036" i="2"/>
  <c r="O1524" i="2"/>
  <c r="S2209" i="2"/>
  <c r="D1896" i="2"/>
  <c r="D513" i="2"/>
  <c r="S653" i="2"/>
  <c r="E270" i="2"/>
  <c r="I1025" i="2"/>
  <c r="D305" i="2"/>
  <c r="M2787" i="2"/>
  <c r="L1297" i="2"/>
  <c r="I3261" i="2"/>
  <c r="J2597" i="2"/>
  <c r="H3499" i="2"/>
  <c r="W2475" i="2"/>
  <c r="I2712" i="2"/>
  <c r="S2399" i="2"/>
  <c r="G264" i="2"/>
  <c r="W635" i="2"/>
  <c r="D1425" i="2"/>
  <c r="M3326" i="2"/>
  <c r="K2124" i="2"/>
  <c r="U3056" i="2"/>
  <c r="V391" i="2"/>
  <c r="V2537" i="2"/>
  <c r="K449" i="2"/>
  <c r="W1497" i="2"/>
  <c r="O3099" i="2"/>
  <c r="S1412" i="2"/>
  <c r="R1403" i="2"/>
  <c r="V1416" i="2"/>
  <c r="G2257" i="2"/>
  <c r="F1528" i="2"/>
  <c r="R2640" i="2"/>
  <c r="D2754" i="2"/>
  <c r="V1938" i="2"/>
  <c r="S1609" i="2"/>
  <c r="D1774" i="2"/>
  <c r="E2577" i="2"/>
  <c r="Q2662" i="2"/>
  <c r="W558" i="2"/>
  <c r="P2139" i="2"/>
  <c r="J2447" i="2"/>
  <c r="H1249" i="2"/>
  <c r="D753" i="2"/>
  <c r="J2520" i="2"/>
  <c r="T751" i="2"/>
  <c r="K3386" i="2"/>
  <c r="N576" i="2"/>
  <c r="P1281" i="2"/>
  <c r="U2053" i="2"/>
  <c r="U1488" i="2"/>
  <c r="D2328" i="2"/>
  <c r="K627" i="2"/>
  <c r="O911" i="2"/>
  <c r="P2391" i="2"/>
  <c r="R1040" i="2"/>
  <c r="O1115" i="2"/>
  <c r="W3393" i="2"/>
  <c r="U2729" i="2"/>
  <c r="I1384" i="2"/>
  <c r="M2223" i="2"/>
  <c r="I2066" i="2"/>
  <c r="L1074" i="2"/>
  <c r="L1215" i="2"/>
  <c r="G168" i="2"/>
  <c r="O2290" i="2"/>
  <c r="R1871" i="2"/>
  <c r="F668" i="2"/>
  <c r="Q1952" i="2"/>
  <c r="N3286" i="2"/>
  <c r="Q1489" i="2"/>
  <c r="F2656" i="2"/>
  <c r="Q2313" i="2"/>
  <c r="S2938" i="2"/>
  <c r="V2063" i="2"/>
  <c r="K2959" i="2"/>
  <c r="F1952" i="2"/>
  <c r="G3046" i="2"/>
  <c r="Q1937" i="2"/>
  <c r="I446" i="2"/>
  <c r="Q1985" i="2"/>
  <c r="L1551" i="2"/>
  <c r="K3113" i="2"/>
  <c r="J2665" i="2"/>
  <c r="P2244" i="2"/>
  <c r="O1985" i="2"/>
  <c r="T1131" i="2"/>
  <c r="V517" i="2"/>
  <c r="I3290" i="2"/>
  <c r="D2827" i="2"/>
  <c r="G2536" i="2"/>
  <c r="R315" i="2"/>
  <c r="F3121" i="2"/>
  <c r="I2378" i="2"/>
  <c r="E2617" i="2"/>
  <c r="C2109" i="2"/>
  <c r="P2547" i="2"/>
  <c r="T1724" i="2"/>
  <c r="I3040" i="2"/>
  <c r="H3240" i="2"/>
  <c r="T1294" i="2"/>
  <c r="N1313" i="2"/>
  <c r="C2845" i="2"/>
  <c r="K2316" i="2"/>
  <c r="H2435" i="2"/>
  <c r="M2628" i="2"/>
  <c r="V163" i="2"/>
  <c r="O1951" i="2"/>
  <c r="L1895" i="2"/>
  <c r="F565" i="2"/>
  <c r="D1005" i="2"/>
  <c r="O2848" i="2"/>
  <c r="D2777" i="2"/>
  <c r="Q2963" i="2"/>
  <c r="T2207" i="2"/>
  <c r="F3261" i="2"/>
  <c r="E1382" i="2"/>
  <c r="I3294" i="2"/>
  <c r="O2850" i="2"/>
  <c r="C2152" i="2"/>
  <c r="V2311" i="2"/>
  <c r="V2981" i="2"/>
  <c r="U2067" i="2"/>
  <c r="M1774" i="2"/>
  <c r="T1341" i="2"/>
  <c r="Q270" i="2"/>
  <c r="G1412" i="2"/>
  <c r="I3066" i="2"/>
  <c r="C1856" i="2"/>
  <c r="V1518" i="2"/>
  <c r="K2324" i="2"/>
  <c r="I990" i="2"/>
  <c r="S1057" i="2"/>
  <c r="W180" i="2"/>
  <c r="R2115" i="2"/>
  <c r="I957" i="2"/>
  <c r="N3148" i="2"/>
  <c r="T2265" i="2"/>
  <c r="V1846" i="2"/>
  <c r="N3145" i="2"/>
  <c r="V742" i="2"/>
  <c r="F2311" i="2"/>
  <c r="U2540" i="2"/>
  <c r="G1624" i="2"/>
  <c r="W340" i="2"/>
  <c r="J479" i="2"/>
  <c r="M1422" i="2"/>
  <c r="V1215" i="2"/>
  <c r="H1986" i="2"/>
  <c r="Q535" i="2"/>
  <c r="W586" i="2"/>
  <c r="L278" i="2"/>
  <c r="E2621" i="2"/>
  <c r="P1422" i="2"/>
  <c r="K2629" i="2"/>
  <c r="T2496" i="2"/>
  <c r="F1422" i="2"/>
  <c r="C364" i="2"/>
  <c r="I1732" i="2"/>
  <c r="E1577" i="2"/>
  <c r="C1159" i="2"/>
  <c r="P1936" i="2"/>
  <c r="K2060" i="2"/>
  <c r="U1865" i="2"/>
  <c r="S1058" i="2"/>
  <c r="U2923" i="2"/>
  <c r="H1554" i="2"/>
  <c r="I848" i="2"/>
  <c r="T1308" i="2"/>
  <c r="F2743" i="2"/>
  <c r="S1797" i="2"/>
  <c r="N1409" i="2"/>
  <c r="F2304" i="2"/>
  <c r="P2212" i="2"/>
  <c r="K3558" i="2"/>
  <c r="C2348" i="2"/>
  <c r="O1228" i="2"/>
  <c r="S1590" i="2"/>
  <c r="W2324" i="2"/>
  <c r="F2586" i="2"/>
  <c r="Q19" i="2"/>
  <c r="E2561" i="2"/>
  <c r="V551" i="2"/>
  <c r="F1820" i="2"/>
  <c r="K1311" i="2"/>
  <c r="D2524" i="2"/>
  <c r="H55" i="2"/>
  <c r="L575" i="2"/>
  <c r="L570" i="2"/>
  <c r="L636" i="2"/>
  <c r="V1998" i="2"/>
  <c r="E2376" i="2"/>
  <c r="G2686" i="2"/>
  <c r="Q1211" i="2"/>
  <c r="O864" i="2"/>
  <c r="S2410" i="2"/>
  <c r="E1289" i="2"/>
  <c r="T223" i="2"/>
  <c r="C857" i="2"/>
  <c r="K2550" i="2"/>
  <c r="P240" i="2"/>
  <c r="N645" i="2"/>
  <c r="U494" i="2"/>
  <c r="R1275" i="2"/>
  <c r="F2011" i="2"/>
  <c r="G985" i="2"/>
  <c r="G3243" i="2"/>
  <c r="Q2012" i="2"/>
  <c r="T3066" i="2"/>
  <c r="H1342" i="2"/>
  <c r="V2754" i="2"/>
  <c r="O931" i="2"/>
  <c r="L578" i="2"/>
  <c r="N512" i="2"/>
  <c r="O1761" i="2"/>
  <c r="M1865" i="2"/>
  <c r="Q1080" i="2"/>
  <c r="N976" i="2"/>
  <c r="J6" i="2"/>
  <c r="U465" i="2"/>
  <c r="I1290" i="2"/>
  <c r="E2549" i="2"/>
  <c r="C209" i="2"/>
  <c r="V128" i="2"/>
  <c r="E1632" i="2"/>
  <c r="U2475" i="2"/>
  <c r="N966" i="2"/>
  <c r="L1612" i="2"/>
  <c r="S1482" i="2"/>
  <c r="E2236" i="2"/>
  <c r="U113" i="2"/>
  <c r="V1490" i="2"/>
  <c r="G1555" i="2"/>
  <c r="U2924" i="2"/>
  <c r="F718" i="2"/>
  <c r="L1402" i="2"/>
  <c r="O1437" i="2"/>
  <c r="T2111" i="2"/>
  <c r="Q1282" i="2"/>
  <c r="K138" i="2"/>
  <c r="L1918" i="2"/>
  <c r="T163" i="2"/>
  <c r="H1835" i="2"/>
  <c r="E360" i="2"/>
  <c r="N607" i="2"/>
  <c r="O1500" i="2"/>
  <c r="H2888" i="2"/>
  <c r="R1058" i="2"/>
  <c r="L778" i="2"/>
  <c r="C839" i="2"/>
  <c r="U807" i="2"/>
  <c r="C502" i="2"/>
  <c r="Q816" i="2"/>
  <c r="N539" i="2"/>
  <c r="F2314" i="2"/>
  <c r="O1557" i="2"/>
  <c r="P2854" i="2"/>
  <c r="P2927" i="2"/>
  <c r="M2385" i="2"/>
  <c r="L1709" i="2"/>
  <c r="L10" i="2"/>
  <c r="E1077" i="2"/>
  <c r="U1767" i="2"/>
  <c r="P630" i="2"/>
  <c r="I1075" i="2"/>
  <c r="R2837" i="2"/>
  <c r="O1253" i="2"/>
  <c r="I2195" i="2"/>
  <c r="C1492" i="2"/>
  <c r="W986" i="2"/>
  <c r="L671" i="2"/>
  <c r="Q3178" i="2"/>
  <c r="C1302" i="2"/>
  <c r="G1590" i="2"/>
  <c r="U861" i="2"/>
  <c r="G1184" i="2"/>
  <c r="J2229" i="2"/>
  <c r="S2389" i="2"/>
  <c r="O1586" i="2"/>
  <c r="O2085" i="2"/>
  <c r="L48" i="2"/>
  <c r="J3079" i="2"/>
  <c r="O76" i="2"/>
  <c r="G1037" i="2"/>
  <c r="C814" i="2"/>
  <c r="T1965" i="2"/>
  <c r="F1646" i="2"/>
  <c r="W2760" i="2"/>
  <c r="R2466" i="2"/>
  <c r="E2218" i="2"/>
  <c r="S2613" i="2"/>
  <c r="N1353" i="2"/>
  <c r="H2653" i="2"/>
  <c r="J2145" i="2"/>
  <c r="N2276" i="2"/>
  <c r="P486" i="2"/>
  <c r="E461" i="2"/>
  <c r="J1725" i="2"/>
  <c r="K3020" i="2"/>
  <c r="I1958" i="2"/>
  <c r="O1612" i="2"/>
  <c r="N2431" i="2"/>
  <c r="H243" i="2"/>
  <c r="T3245" i="2"/>
  <c r="E1789" i="2"/>
  <c r="S2872" i="2"/>
  <c r="P2401" i="2"/>
  <c r="C1131" i="2"/>
  <c r="L3030" i="2"/>
  <c r="J2880" i="2"/>
  <c r="U2058" i="2"/>
  <c r="G3032" i="2"/>
  <c r="H3222" i="2"/>
  <c r="J2252" i="2"/>
  <c r="I1542" i="2"/>
  <c r="V2547" i="2"/>
  <c r="W683" i="2"/>
  <c r="D577" i="2"/>
  <c r="J1951" i="2"/>
  <c r="C952" i="2"/>
  <c r="O2009" i="2"/>
  <c r="V2110" i="2"/>
  <c r="J2607" i="2"/>
  <c r="L1429" i="2"/>
  <c r="Q2026" i="2"/>
  <c r="L1093" i="2"/>
  <c r="D2474" i="2"/>
  <c r="E911" i="2"/>
  <c r="U2474" i="2"/>
  <c r="E1575" i="2"/>
  <c r="U2398" i="2"/>
  <c r="S3251" i="2"/>
  <c r="I1637" i="2"/>
  <c r="P2252" i="2"/>
  <c r="L3004" i="2"/>
  <c r="U3142" i="2"/>
  <c r="T2684" i="2"/>
  <c r="C1484" i="2"/>
  <c r="D2107" i="2"/>
  <c r="G2649" i="2"/>
  <c r="V1125" i="2"/>
  <c r="P3167" i="2"/>
  <c r="J1535" i="2"/>
  <c r="R3234" i="2"/>
  <c r="C651" i="2"/>
  <c r="H2152" i="2"/>
  <c r="P1812" i="2"/>
  <c r="H2509" i="2"/>
  <c r="W2574" i="2"/>
  <c r="D2459" i="2"/>
  <c r="E3237" i="2"/>
  <c r="H2002" i="2"/>
  <c r="Q595" i="2"/>
  <c r="J2159" i="2"/>
  <c r="U1628" i="2"/>
  <c r="E2053" i="2"/>
  <c r="L1783" i="2"/>
  <c r="J467" i="2"/>
  <c r="C1108" i="2"/>
  <c r="U3333" i="2"/>
  <c r="E907" i="2"/>
  <c r="I393" i="2"/>
  <c r="Q1670" i="2"/>
  <c r="N1614" i="2"/>
  <c r="O1319" i="2"/>
  <c r="Q832" i="2"/>
  <c r="W3252" i="2"/>
  <c r="E2615" i="2"/>
  <c r="H1570" i="2"/>
  <c r="H1908" i="2"/>
  <c r="P2707" i="2"/>
  <c r="D1671" i="2"/>
  <c r="N2061" i="2"/>
  <c r="R1450" i="2"/>
  <c r="D2959" i="2"/>
  <c r="W2381" i="2"/>
  <c r="S1683" i="2"/>
  <c r="V1923" i="2"/>
  <c r="H598" i="2"/>
  <c r="J833" i="2"/>
  <c r="N2749" i="2"/>
  <c r="K1998" i="2"/>
  <c r="W1990" i="2"/>
  <c r="L2153" i="2"/>
  <c r="J2695" i="2"/>
  <c r="S2196" i="2"/>
  <c r="U2721" i="2"/>
  <c r="T2148" i="2"/>
  <c r="D205" i="2"/>
  <c r="T1290" i="2"/>
  <c r="R1519" i="2"/>
  <c r="P788" i="2"/>
  <c r="K1466" i="2"/>
  <c r="D1826" i="2"/>
  <c r="R3233" i="2"/>
  <c r="J2456" i="2"/>
  <c r="L3160" i="2"/>
  <c r="S2922" i="2"/>
  <c r="V1532" i="2"/>
  <c r="K340" i="2"/>
  <c r="O572" i="2"/>
  <c r="M1154" i="2"/>
  <c r="L833" i="2"/>
  <c r="T2683" i="2"/>
  <c r="E559" i="2"/>
  <c r="P1390" i="2"/>
  <c r="P1140" i="2"/>
  <c r="U1397" i="2"/>
  <c r="U1622" i="2"/>
  <c r="J537" i="2"/>
  <c r="T2367" i="2"/>
  <c r="L1840" i="2"/>
  <c r="Q1259" i="2"/>
  <c r="E1447" i="2"/>
  <c r="V2488" i="2"/>
  <c r="T2558" i="2"/>
  <c r="L1858" i="2"/>
  <c r="K1347" i="2"/>
  <c r="V55" i="2"/>
  <c r="P1574" i="2"/>
  <c r="O432" i="2"/>
  <c r="C555" i="2"/>
  <c r="G562" i="2"/>
  <c r="F2275" i="2"/>
  <c r="U3379" i="2"/>
  <c r="F2156" i="2"/>
  <c r="K1205" i="2"/>
  <c r="T502" i="2"/>
  <c r="U248" i="2"/>
  <c r="H2932" i="2"/>
  <c r="S1603" i="2"/>
  <c r="D2712" i="2"/>
  <c r="V2393" i="2"/>
  <c r="C2467" i="2"/>
  <c r="I789" i="2"/>
  <c r="P2541" i="2"/>
  <c r="I2018" i="2"/>
  <c r="F1022" i="2"/>
  <c r="P1243" i="2"/>
  <c r="T1627" i="2"/>
  <c r="H274" i="2"/>
  <c r="S426" i="2"/>
  <c r="P700" i="2"/>
  <c r="U3393" i="2"/>
  <c r="W1537" i="2"/>
  <c r="S3423" i="2"/>
  <c r="V2270" i="2"/>
  <c r="N3079" i="2"/>
  <c r="Q2674" i="2"/>
  <c r="N1169" i="2"/>
  <c r="O1502" i="2"/>
  <c r="M2664" i="2"/>
  <c r="I1161" i="2"/>
  <c r="J2376" i="2"/>
  <c r="P1168" i="2"/>
  <c r="R373" i="2"/>
  <c r="J1890" i="2"/>
  <c r="O1195" i="2"/>
  <c r="I2300" i="2"/>
  <c r="C2079" i="2"/>
  <c r="W1513" i="2"/>
  <c r="N2636" i="2"/>
  <c r="D2126" i="2"/>
  <c r="K2212" i="2"/>
  <c r="J2958" i="2"/>
  <c r="E889" i="2"/>
  <c r="U3111" i="2"/>
  <c r="U3276" i="2"/>
  <c r="M2773" i="2"/>
  <c r="G2699" i="2"/>
  <c r="N2051" i="2"/>
  <c r="P278" i="2"/>
  <c r="Q244" i="2"/>
  <c r="N1155" i="2"/>
  <c r="K1625" i="2"/>
  <c r="S218" i="2"/>
  <c r="K733" i="2"/>
  <c r="D194" i="2"/>
  <c r="P1971" i="2"/>
  <c r="L2181" i="2"/>
  <c r="D2258" i="2"/>
  <c r="O1534" i="2"/>
  <c r="J2760" i="2"/>
  <c r="K1199" i="2"/>
  <c r="P842" i="2"/>
  <c r="V1343" i="2"/>
  <c r="C793" i="2"/>
  <c r="E593" i="2"/>
  <c r="H658" i="2"/>
  <c r="G2724" i="2"/>
  <c r="N1003" i="2"/>
  <c r="O1493" i="2"/>
  <c r="T2537" i="2"/>
  <c r="M3096" i="2"/>
  <c r="L1277" i="2"/>
  <c r="N1754" i="2"/>
  <c r="W1264" i="2"/>
  <c r="E1265" i="2"/>
  <c r="K3162" i="2"/>
  <c r="H862" i="2"/>
  <c r="V584" i="2"/>
  <c r="R2816" i="2"/>
  <c r="P2439" i="2"/>
  <c r="K497" i="2"/>
  <c r="V593" i="2"/>
  <c r="C1947" i="2"/>
  <c r="E346" i="2"/>
  <c r="W1006" i="2"/>
  <c r="G1364" i="2"/>
  <c r="T2397" i="2"/>
  <c r="K1629" i="2"/>
  <c r="L2880" i="2"/>
  <c r="I2968" i="2"/>
  <c r="U1388" i="2"/>
  <c r="J267" i="2"/>
  <c r="J493" i="2"/>
  <c r="K156" i="2"/>
  <c r="W1199" i="2"/>
  <c r="N951" i="2"/>
  <c r="E1643" i="2"/>
  <c r="K2655" i="2"/>
  <c r="Q533" i="2"/>
  <c r="R2768" i="2"/>
  <c r="S3544" i="2"/>
  <c r="R1528" i="2"/>
  <c r="O2505" i="2"/>
  <c r="C2038" i="2"/>
  <c r="J2844" i="2"/>
  <c r="C1252" i="2"/>
  <c r="U1319" i="2"/>
  <c r="G2198" i="2"/>
  <c r="F2296" i="2"/>
  <c r="N2002" i="2"/>
  <c r="U3013" i="2"/>
  <c r="J765" i="2"/>
  <c r="U3203" i="2"/>
  <c r="O734" i="2"/>
  <c r="G2573" i="2"/>
  <c r="H2487" i="2"/>
  <c r="J1946" i="2"/>
  <c r="Q2763" i="2"/>
  <c r="K2587" i="2"/>
  <c r="N1921" i="2"/>
  <c r="G1933" i="2"/>
  <c r="H802" i="2"/>
  <c r="O1706" i="2"/>
  <c r="Q2843" i="2"/>
  <c r="W2620" i="2"/>
  <c r="E1488" i="2"/>
  <c r="N2861" i="2"/>
  <c r="I2510" i="2"/>
  <c r="P749" i="2"/>
  <c r="K240" i="2"/>
  <c r="T3320" i="2"/>
  <c r="N1861" i="2"/>
  <c r="L584" i="2"/>
  <c r="O1105" i="2"/>
  <c r="I757" i="2"/>
  <c r="G1133" i="2"/>
  <c r="P1647" i="2"/>
  <c r="R1681" i="2"/>
  <c r="M1023" i="2"/>
  <c r="I1531" i="2"/>
  <c r="V605" i="2"/>
  <c r="E2384" i="2"/>
  <c r="R2330" i="2"/>
  <c r="R2887" i="2"/>
  <c r="Q2398" i="2"/>
  <c r="W2433" i="2"/>
  <c r="L631" i="2"/>
  <c r="K3261" i="2"/>
  <c r="V1843" i="2"/>
  <c r="J951" i="2"/>
  <c r="M1113" i="2"/>
  <c r="C1699" i="2"/>
  <c r="D338" i="2"/>
  <c r="V880" i="2"/>
  <c r="K102" i="2"/>
  <c r="U1906" i="2"/>
  <c r="V545" i="2"/>
  <c r="T2729" i="2"/>
  <c r="N105" i="2"/>
  <c r="G953" i="2"/>
  <c r="P1564" i="2"/>
  <c r="G2851" i="2"/>
  <c r="G1466" i="2"/>
  <c r="E893" i="2"/>
  <c r="Q2059" i="2"/>
  <c r="I2003" i="2"/>
  <c r="E1146" i="2"/>
  <c r="K2465" i="2"/>
  <c r="U810" i="2"/>
  <c r="E1254" i="2"/>
  <c r="T877" i="2"/>
  <c r="Q1171" i="2"/>
  <c r="C1690" i="2"/>
  <c r="Q2671" i="2"/>
  <c r="W710" i="2"/>
  <c r="M173" i="2"/>
  <c r="U652" i="2"/>
  <c r="D2147" i="2"/>
  <c r="S1186" i="2"/>
  <c r="Q2817" i="2"/>
  <c r="K2276" i="2"/>
  <c r="N963" i="2"/>
  <c r="E1947" i="2"/>
  <c r="Q1354" i="2"/>
  <c r="M3150" i="2"/>
  <c r="F2326" i="2"/>
  <c r="I234" i="2"/>
  <c r="K2980" i="2"/>
  <c r="M3258" i="2"/>
  <c r="L3397" i="2"/>
  <c r="F2375" i="2"/>
  <c r="L3193" i="2"/>
  <c r="Q3403" i="2"/>
  <c r="N439" i="2"/>
  <c r="E497" i="2"/>
  <c r="T105" i="2"/>
  <c r="J2713" i="2"/>
  <c r="H2472" i="2"/>
  <c r="G972" i="2"/>
  <c r="M1757" i="2"/>
  <c r="H762" i="2"/>
  <c r="V505" i="2"/>
  <c r="E445" i="2"/>
  <c r="C1022" i="2"/>
  <c r="G1036" i="2"/>
  <c r="Q2334" i="2"/>
  <c r="W941" i="2"/>
  <c r="I2325" i="2"/>
  <c r="V2214" i="2"/>
  <c r="Q2084" i="2"/>
  <c r="M1143" i="2"/>
  <c r="F560" i="2"/>
  <c r="G279" i="2"/>
  <c r="U988" i="2"/>
  <c r="S277" i="2"/>
  <c r="D1998" i="2"/>
  <c r="Q1578" i="2"/>
  <c r="I350" i="2"/>
  <c r="L321" i="2"/>
  <c r="T1590" i="2"/>
  <c r="E82" i="2"/>
  <c r="T861" i="2"/>
  <c r="L2702" i="2"/>
  <c r="C2540" i="2"/>
  <c r="N3171" i="2"/>
  <c r="O1215" i="2"/>
  <c r="S2566" i="2"/>
  <c r="R634" i="2"/>
  <c r="V1043" i="2"/>
  <c r="U275" i="2"/>
  <c r="C2130" i="2"/>
  <c r="R1862" i="2"/>
  <c r="Q1288" i="2"/>
  <c r="F1828" i="2"/>
  <c r="H2085" i="2"/>
  <c r="T1236" i="2"/>
  <c r="D1326" i="2"/>
  <c r="E764" i="2"/>
  <c r="P626" i="2"/>
  <c r="I485" i="2"/>
  <c r="O2214" i="2"/>
  <c r="V1038" i="2"/>
  <c r="N1156" i="2"/>
  <c r="Q948" i="2"/>
  <c r="E1402" i="2"/>
  <c r="P356" i="2"/>
  <c r="M256" i="2"/>
  <c r="R1954" i="2"/>
  <c r="J1720" i="2"/>
  <c r="W1674" i="2"/>
  <c r="C978" i="2"/>
  <c r="O1366" i="2"/>
  <c r="L2213" i="2"/>
  <c r="W219" i="2"/>
  <c r="N672" i="2"/>
  <c r="S192" i="2"/>
  <c r="Q1713" i="2"/>
  <c r="L3403" i="2"/>
  <c r="W810" i="2"/>
  <c r="T680" i="2"/>
  <c r="Q1323" i="2"/>
  <c r="D1854" i="2"/>
  <c r="F1615" i="2"/>
  <c r="F1041" i="2"/>
  <c r="R146" i="2"/>
  <c r="N1524" i="2"/>
  <c r="F766" i="2"/>
  <c r="M877" i="2"/>
  <c r="N2064" i="2"/>
  <c r="M3131" i="2"/>
  <c r="Q1355" i="2"/>
  <c r="C2712" i="2"/>
  <c r="I1761" i="2"/>
  <c r="N1949" i="2"/>
  <c r="E1954" i="2"/>
  <c r="K24" i="2"/>
  <c r="W404" i="2"/>
  <c r="H2491" i="2"/>
  <c r="D484" i="2"/>
  <c r="H385" i="2"/>
  <c r="J253" i="2"/>
  <c r="D1967" i="2"/>
  <c r="E2748" i="2"/>
  <c r="K1308" i="2"/>
  <c r="G2804" i="2"/>
  <c r="Q2097" i="2"/>
  <c r="L718" i="2"/>
  <c r="Q1022" i="2"/>
  <c r="N113" i="2"/>
  <c r="T2094" i="2"/>
  <c r="S445" i="2"/>
  <c r="S2941" i="2"/>
  <c r="T477" i="2"/>
  <c r="M968" i="2"/>
  <c r="L2569" i="2"/>
  <c r="G612" i="2"/>
  <c r="K1938" i="2"/>
  <c r="H1998" i="2"/>
  <c r="D3322" i="2"/>
  <c r="J3144" i="2"/>
  <c r="O184" i="2"/>
  <c r="N3301" i="2"/>
  <c r="T1670" i="2"/>
  <c r="O2769" i="2"/>
  <c r="R3021" i="2"/>
  <c r="O106" i="2"/>
  <c r="E2083" i="2"/>
  <c r="V2684" i="2"/>
  <c r="C3261" i="2"/>
  <c r="I1926" i="2"/>
  <c r="J791" i="2"/>
  <c r="O2127" i="2"/>
  <c r="T951" i="2"/>
  <c r="E1163" i="2"/>
  <c r="V1264" i="2"/>
  <c r="C2438" i="2"/>
  <c r="L111" i="2"/>
  <c r="R2645" i="2"/>
  <c r="U2446" i="2"/>
  <c r="Q2444" i="2"/>
  <c r="T2332" i="2"/>
  <c r="K381" i="2"/>
  <c r="C3065" i="2"/>
  <c r="W1590" i="2"/>
  <c r="D2552" i="2"/>
  <c r="O2182" i="2"/>
  <c r="U2510" i="2"/>
  <c r="D2054" i="2"/>
  <c r="K57" i="2"/>
  <c r="J2270" i="2"/>
  <c r="L75" i="2"/>
  <c r="E2650" i="2"/>
  <c r="N1449" i="2"/>
  <c r="H3126" i="2"/>
  <c r="V2813" i="2"/>
  <c r="R727" i="2"/>
  <c r="F1314" i="2"/>
  <c r="C118" i="2"/>
  <c r="K3063" i="2"/>
  <c r="H1587" i="2"/>
  <c r="M1602" i="2"/>
  <c r="H1807" i="2"/>
  <c r="P3602" i="2"/>
  <c r="K3297" i="2"/>
  <c r="K2639" i="2"/>
  <c r="M2635" i="2"/>
  <c r="U2435" i="2"/>
  <c r="G2938" i="2"/>
  <c r="V2733" i="2"/>
  <c r="J438" i="2"/>
  <c r="U313" i="2"/>
  <c r="S2503" i="2"/>
  <c r="F2734" i="2"/>
  <c r="N2202" i="2"/>
  <c r="O1288" i="2"/>
  <c r="P1772" i="2"/>
  <c r="S1492" i="2"/>
  <c r="R2158" i="2"/>
  <c r="O2191" i="2"/>
  <c r="P1831" i="2"/>
  <c r="I1961" i="2"/>
  <c r="R184" i="2"/>
  <c r="I1446" i="2"/>
  <c r="S2564" i="2"/>
  <c r="W761" i="2"/>
  <c r="K1867" i="2"/>
  <c r="D2304" i="2"/>
  <c r="W2752" i="2"/>
  <c r="I2379" i="2"/>
  <c r="D1808" i="2"/>
  <c r="O1254" i="2"/>
  <c r="U2726" i="2"/>
  <c r="J64" i="2"/>
  <c r="G484" i="2"/>
  <c r="G2589" i="2"/>
  <c r="K3241" i="2"/>
  <c r="J1154" i="2"/>
  <c r="S340" i="2"/>
  <c r="M2495" i="2"/>
  <c r="W2244" i="2"/>
  <c r="S142" i="2"/>
  <c r="R123" i="2"/>
  <c r="K1873" i="2"/>
  <c r="H3324" i="2"/>
  <c r="P2169" i="2"/>
  <c r="D2117" i="2"/>
  <c r="S2016" i="2"/>
  <c r="E2342" i="2"/>
  <c r="G2616" i="2"/>
  <c r="F1157" i="2"/>
  <c r="O1991" i="2"/>
  <c r="T2593" i="2"/>
  <c r="E2676" i="2"/>
  <c r="W67" i="2"/>
  <c r="L1740" i="2"/>
  <c r="P1413" i="2"/>
  <c r="V660" i="2"/>
  <c r="C1522" i="2"/>
  <c r="L2267" i="2"/>
  <c r="C1650" i="2"/>
  <c r="T2114" i="2"/>
  <c r="E91" i="2"/>
  <c r="L408" i="2"/>
  <c r="F1466" i="2"/>
  <c r="S729" i="2"/>
  <c r="G900" i="2"/>
  <c r="U3422" i="2"/>
  <c r="T1950" i="2"/>
  <c r="M1381" i="2"/>
  <c r="S496" i="2"/>
  <c r="Q1540" i="2"/>
  <c r="U919" i="2"/>
  <c r="W769" i="2"/>
  <c r="Q2373" i="2"/>
  <c r="V713" i="2"/>
  <c r="S2006" i="2"/>
  <c r="E256" i="2"/>
  <c r="V737" i="2"/>
  <c r="N974" i="2"/>
  <c r="Q2217" i="2"/>
  <c r="F2885" i="2"/>
  <c r="M1039" i="2"/>
  <c r="E2008" i="2"/>
  <c r="P1230" i="2"/>
  <c r="E2255" i="2"/>
  <c r="G2585" i="2"/>
  <c r="T2263" i="2"/>
  <c r="G2947" i="2"/>
  <c r="F1269" i="2"/>
  <c r="I510" i="2"/>
  <c r="L803" i="2"/>
  <c r="T1210" i="2"/>
  <c r="V1309" i="2"/>
  <c r="I737" i="2"/>
  <c r="J317" i="2"/>
  <c r="K512" i="2"/>
  <c r="H612" i="2"/>
  <c r="I2811" i="2"/>
  <c r="C2240" i="2"/>
  <c r="Q1866" i="2"/>
  <c r="M30" i="2"/>
  <c r="C1309" i="2"/>
  <c r="L2592" i="2"/>
  <c r="I2286" i="2"/>
  <c r="I238" i="2"/>
  <c r="O388" i="2"/>
  <c r="H851" i="2"/>
  <c r="D2030" i="2"/>
  <c r="M259" i="2"/>
  <c r="K1720" i="2"/>
  <c r="K2071" i="2"/>
  <c r="Q1955" i="2"/>
  <c r="I10" i="2"/>
  <c r="L1274" i="2"/>
  <c r="D2382" i="2"/>
  <c r="O1067" i="2"/>
  <c r="G2455" i="2"/>
  <c r="H615" i="2"/>
  <c r="U1948" i="2"/>
  <c r="W1040" i="2"/>
  <c r="E675" i="2"/>
  <c r="T1082" i="2"/>
  <c r="H2912" i="2"/>
  <c r="Q1741" i="2"/>
  <c r="O1144" i="2"/>
  <c r="M753" i="2"/>
  <c r="G61" i="2"/>
  <c r="V1429" i="2"/>
  <c r="G2124" i="2"/>
  <c r="S870" i="2"/>
  <c r="E490" i="2"/>
  <c r="V2810" i="2"/>
  <c r="W739" i="2"/>
  <c r="K982" i="2"/>
  <c r="V711" i="2"/>
  <c r="W780" i="2"/>
  <c r="N550" i="2"/>
  <c r="V2162" i="2"/>
  <c r="G1696" i="2"/>
  <c r="Q3215" i="2"/>
  <c r="Q2267" i="2"/>
  <c r="E1511" i="2"/>
  <c r="L1722" i="2"/>
  <c r="I465" i="2"/>
  <c r="P1685" i="2"/>
  <c r="N773" i="2"/>
  <c r="H1770" i="2"/>
  <c r="J483" i="2"/>
  <c r="F505" i="2"/>
  <c r="J574" i="2"/>
  <c r="M1314" i="2"/>
  <c r="L870" i="2"/>
  <c r="Q692" i="2"/>
  <c r="F637" i="2"/>
  <c r="O389" i="2"/>
  <c r="T3107" i="2"/>
  <c r="E942" i="2"/>
  <c r="C2561" i="2"/>
  <c r="V930" i="2"/>
  <c r="J337" i="2"/>
  <c r="J2048" i="2"/>
  <c r="T993" i="2"/>
  <c r="V1650" i="2"/>
  <c r="J2378" i="2"/>
  <c r="C2245" i="2"/>
  <c r="F2942" i="2"/>
  <c r="G1636" i="2"/>
  <c r="D354" i="2"/>
  <c r="S1947" i="2"/>
  <c r="K2195" i="2"/>
  <c r="S1259" i="2"/>
  <c r="W1182" i="2"/>
  <c r="U958" i="2"/>
  <c r="U1824" i="2"/>
  <c r="V1925" i="2"/>
  <c r="K75" i="2"/>
  <c r="W74" i="2"/>
  <c r="N2334" i="2"/>
  <c r="K1561" i="2"/>
  <c r="S1152" i="2"/>
  <c r="Q2566" i="2"/>
  <c r="R948" i="2"/>
  <c r="S2730" i="2"/>
  <c r="C1328" i="2"/>
  <c r="P1221" i="2"/>
  <c r="U1612" i="2"/>
  <c r="S2151" i="2"/>
  <c r="R1320" i="2"/>
  <c r="V103" i="2"/>
  <c r="C1501" i="2"/>
  <c r="W2979" i="2"/>
  <c r="U2827" i="2"/>
  <c r="E2240" i="2"/>
  <c r="F573" i="2"/>
  <c r="S2216" i="2"/>
  <c r="J1247" i="2"/>
  <c r="V569" i="2"/>
  <c r="N222" i="2"/>
  <c r="N1543" i="2"/>
  <c r="P1896" i="2"/>
  <c r="G490" i="2"/>
  <c r="V254" i="2"/>
  <c r="L949" i="2"/>
  <c r="Q2886" i="2"/>
  <c r="P2018" i="2"/>
  <c r="H3065" i="2"/>
  <c r="G1883" i="2"/>
  <c r="R1033" i="2"/>
  <c r="U2871" i="2"/>
  <c r="N1995" i="2"/>
  <c r="I1583" i="2"/>
  <c r="R1544" i="2"/>
  <c r="F2647" i="2"/>
  <c r="E919" i="2"/>
  <c r="M2571" i="2"/>
  <c r="C2655" i="2"/>
  <c r="U96" i="2"/>
  <c r="S1204" i="2"/>
  <c r="O3034" i="2"/>
  <c r="I2522" i="2"/>
  <c r="E3153" i="2"/>
  <c r="L463" i="2"/>
  <c r="S1830" i="2"/>
  <c r="P2996" i="2"/>
  <c r="U3382" i="2"/>
  <c r="W605" i="2"/>
  <c r="L1087" i="2"/>
  <c r="D2144" i="2"/>
  <c r="C2880" i="2"/>
  <c r="L993" i="2"/>
  <c r="R1683" i="2"/>
  <c r="L2993" i="2"/>
  <c r="L1645" i="2"/>
  <c r="I1394" i="2"/>
  <c r="U2107" i="2"/>
  <c r="E2648" i="2"/>
  <c r="C3198" i="2"/>
  <c r="G2347" i="2"/>
  <c r="L3028" i="2"/>
  <c r="J429" i="2"/>
  <c r="Q2708" i="2"/>
  <c r="W1695" i="2"/>
  <c r="E862" i="2"/>
  <c r="C467" i="2"/>
  <c r="N2475" i="2"/>
  <c r="R1737" i="2"/>
  <c r="J1145" i="2"/>
  <c r="N2916" i="2"/>
  <c r="E1258" i="2"/>
  <c r="W2050" i="2"/>
  <c r="U2405" i="2"/>
  <c r="L1013" i="2"/>
  <c r="O1518" i="2"/>
  <c r="D2259" i="2"/>
  <c r="R2910" i="2"/>
  <c r="F2109" i="2"/>
  <c r="U1340" i="2"/>
  <c r="U1472" i="2"/>
  <c r="P719" i="2"/>
  <c r="W3113" i="2"/>
  <c r="V2239" i="2"/>
  <c r="I3265" i="2"/>
  <c r="T2822" i="2"/>
  <c r="H1861" i="2"/>
  <c r="N1966" i="2"/>
  <c r="H2639" i="2"/>
  <c r="F1296" i="2"/>
  <c r="R1398" i="2"/>
  <c r="T1976" i="2"/>
  <c r="F2891" i="2"/>
  <c r="N1490" i="2"/>
  <c r="S2098" i="2"/>
  <c r="T1764" i="2"/>
  <c r="N667" i="2"/>
  <c r="E1372" i="2"/>
  <c r="O3437" i="2"/>
  <c r="R3379" i="2"/>
  <c r="O2256" i="2"/>
  <c r="S2027" i="2"/>
  <c r="I3196" i="2"/>
  <c r="M2200" i="2"/>
  <c r="C767" i="2"/>
  <c r="Q781" i="2"/>
  <c r="U2203" i="2"/>
  <c r="E255" i="2"/>
  <c r="U514" i="2"/>
  <c r="P2974" i="2"/>
  <c r="K1920" i="2"/>
  <c r="J2180" i="2"/>
  <c r="V969" i="2"/>
  <c r="U1753" i="2"/>
  <c r="R3533" i="2"/>
  <c r="T2465" i="2"/>
  <c r="H2231" i="2"/>
  <c r="N1010" i="2"/>
  <c r="P2172" i="2"/>
  <c r="H1579" i="2"/>
  <c r="I2025" i="2"/>
  <c r="G1002" i="2"/>
  <c r="C379" i="2"/>
  <c r="J374" i="2"/>
  <c r="Q2090" i="2"/>
  <c r="I1167" i="2"/>
  <c r="U2498" i="2"/>
  <c r="T96" i="2"/>
  <c r="I2026" i="2"/>
  <c r="R2707" i="2"/>
  <c r="O2532" i="2"/>
  <c r="C642" i="2"/>
  <c r="P3181" i="2"/>
  <c r="C1842" i="2"/>
  <c r="Q95" i="2"/>
  <c r="I2311" i="2"/>
  <c r="K217" i="2"/>
  <c r="I2310" i="2"/>
  <c r="L983" i="2"/>
  <c r="K2222" i="2"/>
  <c r="F2136" i="2"/>
  <c r="W18" i="2"/>
  <c r="I1352" i="2"/>
  <c r="H673" i="2"/>
  <c r="S507" i="2"/>
  <c r="P1673" i="2"/>
  <c r="U89" i="2"/>
  <c r="O1439" i="2"/>
  <c r="D2050" i="2"/>
  <c r="R274" i="2"/>
  <c r="L1064" i="2"/>
  <c r="L2018" i="2"/>
  <c r="Q28" i="2"/>
  <c r="N2757" i="2"/>
  <c r="R1708" i="2"/>
  <c r="D1856" i="2"/>
  <c r="I2512" i="2"/>
  <c r="M1863" i="2"/>
  <c r="P2984" i="2"/>
  <c r="R2232" i="2"/>
  <c r="O1589" i="2"/>
  <c r="D382" i="2"/>
  <c r="C471" i="2"/>
  <c r="Q1390" i="2"/>
  <c r="P2637" i="2"/>
  <c r="P1231" i="2"/>
  <c r="H2468" i="2"/>
  <c r="T3336" i="2"/>
  <c r="P3061" i="2"/>
  <c r="U2894" i="2"/>
  <c r="R1280" i="2"/>
  <c r="C409" i="2"/>
  <c r="D2163" i="2"/>
  <c r="P1237" i="2"/>
  <c r="D925" i="2"/>
  <c r="O1908" i="2"/>
  <c r="F3456" i="2"/>
  <c r="V2225" i="2"/>
  <c r="H1071" i="2"/>
  <c r="V1512" i="2"/>
  <c r="O1622" i="2"/>
  <c r="J1489" i="2"/>
  <c r="L2095" i="2"/>
  <c r="S2793" i="2"/>
  <c r="F115" i="2"/>
  <c r="N2713" i="2"/>
  <c r="U2805" i="2"/>
  <c r="E680" i="2"/>
  <c r="O1010" i="2"/>
  <c r="T1051" i="2"/>
  <c r="U1058" i="2"/>
  <c r="W815" i="2"/>
  <c r="J1225" i="2"/>
  <c r="M585" i="2"/>
  <c r="V3177" i="2"/>
  <c r="O3086" i="2"/>
  <c r="U2601" i="2"/>
  <c r="E2495" i="2"/>
  <c r="D2895" i="2"/>
  <c r="F3085" i="2"/>
  <c r="K1306" i="2"/>
  <c r="V136" i="2"/>
  <c r="R630" i="2"/>
  <c r="S1203" i="2"/>
  <c r="P659" i="2"/>
  <c r="G1437" i="2"/>
  <c r="R2058" i="2"/>
  <c r="C2564" i="2"/>
  <c r="J771" i="2"/>
  <c r="L1380" i="2"/>
  <c r="E2917" i="2"/>
  <c r="F2392" i="2"/>
  <c r="H973" i="2"/>
  <c r="K969" i="2"/>
  <c r="D990" i="2"/>
  <c r="U2476" i="2"/>
  <c r="L1980" i="2"/>
  <c r="U1552" i="2"/>
  <c r="G2490" i="2"/>
  <c r="I1744" i="2"/>
  <c r="S969" i="2"/>
  <c r="J1652" i="2"/>
  <c r="F1138" i="2"/>
  <c r="T2342" i="2"/>
  <c r="J1964" i="2"/>
  <c r="J2327" i="2"/>
  <c r="Q2897" i="2"/>
  <c r="F2128" i="2"/>
  <c r="J2468" i="2"/>
  <c r="O1411" i="2"/>
  <c r="R1425" i="2"/>
  <c r="O1080" i="2"/>
  <c r="N349" i="2"/>
  <c r="K1983" i="2"/>
  <c r="V1455" i="2"/>
  <c r="H2938" i="2"/>
  <c r="L2954" i="2"/>
  <c r="E1561" i="2"/>
  <c r="E600" i="2"/>
  <c r="N142" i="2"/>
  <c r="K3244" i="2"/>
  <c r="E3259" i="2"/>
  <c r="Q2152" i="2"/>
  <c r="I1519" i="2"/>
  <c r="I1742" i="2"/>
  <c r="C2519" i="2"/>
  <c r="T201" i="2"/>
  <c r="D617" i="2"/>
  <c r="S1715" i="2"/>
  <c r="O2842" i="2"/>
  <c r="F1089" i="2"/>
  <c r="E2567" i="2"/>
  <c r="N3224" i="2"/>
  <c r="Q1723" i="2"/>
  <c r="T2494" i="2"/>
  <c r="N575" i="2"/>
  <c r="L3110" i="2"/>
  <c r="E1903" i="2"/>
  <c r="C453" i="2"/>
  <c r="W2276" i="2"/>
  <c r="S1306" i="2"/>
  <c r="O1172" i="2"/>
  <c r="V858" i="2"/>
  <c r="D698" i="2"/>
  <c r="K2138" i="2"/>
  <c r="D2194" i="2"/>
  <c r="C301" i="2"/>
  <c r="G3476" i="2"/>
  <c r="T3493" i="2"/>
  <c r="W1709" i="2"/>
  <c r="G381" i="2"/>
  <c r="W2494" i="2"/>
  <c r="N3421" i="2"/>
  <c r="T2253" i="2"/>
  <c r="G1674" i="2"/>
  <c r="T1841" i="2"/>
  <c r="R2577" i="2"/>
  <c r="C428" i="2"/>
  <c r="G96" i="2"/>
  <c r="F1156" i="2"/>
  <c r="O1984" i="2"/>
  <c r="T1953" i="2"/>
  <c r="N1480" i="2"/>
  <c r="G2492" i="2"/>
  <c r="I3187" i="2"/>
  <c r="H2296" i="2"/>
  <c r="N2351" i="2"/>
  <c r="L1779" i="2"/>
  <c r="K1926" i="2"/>
  <c r="V1903" i="2"/>
  <c r="U530" i="2"/>
  <c r="P1368" i="2"/>
  <c r="U379" i="2"/>
  <c r="R2769" i="2"/>
  <c r="E1872" i="2"/>
  <c r="H25" i="2"/>
  <c r="I1491" i="2"/>
  <c r="S2165" i="2"/>
  <c r="S2424" i="2"/>
  <c r="V1426" i="2"/>
  <c r="V3076" i="2"/>
  <c r="O1004" i="2"/>
  <c r="P855" i="2"/>
  <c r="O487" i="2"/>
  <c r="E2397" i="2"/>
  <c r="Q869" i="2"/>
  <c r="M2552" i="2"/>
  <c r="L3179" i="2"/>
  <c r="H2640" i="2"/>
  <c r="H2985" i="2"/>
  <c r="S2636" i="2"/>
  <c r="S1460" i="2"/>
  <c r="O481" i="2"/>
  <c r="K2342" i="2"/>
  <c r="E933" i="2"/>
  <c r="N840" i="2"/>
  <c r="F348" i="2"/>
  <c r="N371" i="2"/>
  <c r="H3052" i="2"/>
  <c r="E2707" i="2"/>
  <c r="N2023" i="2"/>
  <c r="G802" i="2"/>
  <c r="V1570" i="2"/>
  <c r="T523" i="2"/>
  <c r="T2127" i="2"/>
  <c r="S434" i="2"/>
  <c r="D303" i="2"/>
  <c r="O934" i="2"/>
  <c r="J1492" i="2"/>
  <c r="M757" i="2"/>
  <c r="S2416" i="2"/>
  <c r="P906" i="2"/>
  <c r="I1253" i="2"/>
  <c r="J2553" i="2"/>
  <c r="S1311" i="2"/>
  <c r="F2199" i="2"/>
  <c r="Q776" i="2"/>
  <c r="E1512" i="2"/>
  <c r="M518" i="2"/>
  <c r="S980" i="2"/>
  <c r="M1146" i="2"/>
  <c r="L1685" i="2"/>
  <c r="V2010" i="2"/>
  <c r="R1177" i="2"/>
  <c r="P1903" i="2"/>
  <c r="P1331" i="2"/>
  <c r="M1807" i="2"/>
  <c r="C2482" i="2"/>
  <c r="K887" i="2"/>
  <c r="E3241" i="2"/>
  <c r="F7" i="2"/>
  <c r="T2500" i="2"/>
  <c r="M427" i="2"/>
  <c r="P2779" i="2"/>
  <c r="M1561" i="2"/>
  <c r="R506" i="2"/>
  <c r="O504" i="2"/>
  <c r="F1635" i="2"/>
  <c r="M1420" i="2"/>
  <c r="P1464" i="2"/>
  <c r="D1763" i="2"/>
  <c r="S2818" i="2"/>
  <c r="I118" i="2"/>
  <c r="T553" i="2"/>
  <c r="Q1926" i="2"/>
  <c r="D714" i="2"/>
  <c r="V1654" i="2"/>
  <c r="J2395" i="2"/>
  <c r="O2098" i="2"/>
  <c r="W1635" i="2"/>
  <c r="Q2096" i="2"/>
  <c r="L1716" i="2"/>
  <c r="U2509" i="2"/>
  <c r="U2426" i="2"/>
  <c r="F2474" i="2"/>
  <c r="G1663" i="2"/>
  <c r="C1423" i="2"/>
  <c r="V1960" i="2"/>
  <c r="D800" i="2"/>
  <c r="N1847" i="2"/>
  <c r="G57" i="2"/>
  <c r="L334" i="2"/>
  <c r="H1638" i="2"/>
  <c r="Q1185" i="2"/>
  <c r="L1434" i="2"/>
  <c r="V2774" i="2"/>
  <c r="K939" i="2"/>
  <c r="H532" i="2"/>
  <c r="Q2596" i="2"/>
  <c r="N1637" i="2"/>
  <c r="M2561" i="2"/>
  <c r="I739" i="2"/>
  <c r="R1067" i="2"/>
  <c r="U3225" i="2"/>
  <c r="K2585" i="2"/>
  <c r="H724" i="2"/>
  <c r="M2509" i="2"/>
  <c r="U1266" i="2"/>
  <c r="J631" i="2"/>
  <c r="G53" i="2"/>
  <c r="W1190" i="2"/>
  <c r="S57" i="2"/>
  <c r="P200" i="2"/>
  <c r="S956" i="2"/>
  <c r="C347" i="2"/>
  <c r="T1123" i="2"/>
  <c r="K701" i="2"/>
  <c r="W3261" i="2"/>
  <c r="I328" i="2"/>
  <c r="O1506" i="2"/>
  <c r="G1799" i="2"/>
  <c r="K1968" i="2"/>
  <c r="S2597" i="2"/>
  <c r="C390" i="2"/>
  <c r="F640" i="2"/>
  <c r="P1549" i="2"/>
  <c r="S3075" i="2"/>
  <c r="V365" i="2"/>
  <c r="C956" i="2"/>
  <c r="J2707" i="2"/>
  <c r="M1217" i="2"/>
  <c r="O1517" i="2"/>
  <c r="J2759" i="2"/>
  <c r="Q2799" i="2"/>
  <c r="K754" i="2"/>
  <c r="H1522" i="2"/>
  <c r="I1807" i="2"/>
  <c r="L2730" i="2"/>
  <c r="P2643" i="2"/>
  <c r="J2619" i="2"/>
  <c r="K2033" i="2"/>
  <c r="M3344" i="2"/>
  <c r="D923" i="2"/>
  <c r="J2455" i="2"/>
  <c r="W2940" i="2"/>
  <c r="G1423" i="2"/>
  <c r="C3015" i="2"/>
  <c r="G1061" i="2"/>
  <c r="F981" i="2"/>
  <c r="T1751" i="2"/>
  <c r="O3281" i="2"/>
  <c r="T1167" i="2"/>
  <c r="D1758" i="2"/>
  <c r="W2192" i="2"/>
  <c r="W567" i="2"/>
  <c r="S1592" i="2"/>
  <c r="T1405" i="2"/>
  <c r="O2638" i="2"/>
  <c r="E2493" i="2"/>
  <c r="P1272" i="2"/>
  <c r="Q941" i="2"/>
  <c r="K1115" i="2"/>
  <c r="F3323" i="2"/>
  <c r="T1565" i="2"/>
  <c r="S208" i="2"/>
  <c r="L2184" i="2"/>
  <c r="R1224" i="2"/>
  <c r="G3421" i="2"/>
  <c r="U1806" i="2"/>
  <c r="S2374" i="2"/>
  <c r="W1829" i="2"/>
  <c r="U1868" i="2"/>
  <c r="C1412" i="2"/>
  <c r="N2911" i="2"/>
  <c r="R2242" i="2"/>
  <c r="W2716" i="2"/>
  <c r="V2904" i="2"/>
  <c r="J2559" i="2"/>
  <c r="R77" i="2"/>
  <c r="I2963" i="2"/>
  <c r="O2825" i="2"/>
  <c r="O3003" i="2"/>
  <c r="C1851" i="2"/>
  <c r="C1656" i="2"/>
  <c r="H1745" i="2"/>
  <c r="T2120" i="2"/>
  <c r="M2796" i="2"/>
  <c r="N1401" i="2"/>
  <c r="P1095" i="2"/>
  <c r="Q3063" i="2"/>
  <c r="K1213" i="2"/>
  <c r="H1915" i="2"/>
  <c r="K2562" i="2"/>
  <c r="M2183" i="2"/>
  <c r="F358" i="2"/>
  <c r="R2218" i="2"/>
  <c r="I2408" i="2"/>
  <c r="E2145" i="2"/>
  <c r="L2958" i="2"/>
  <c r="H1023" i="2"/>
  <c r="H966" i="2"/>
  <c r="C107" i="2"/>
  <c r="H2046" i="2"/>
  <c r="U872" i="2"/>
  <c r="O3169" i="2"/>
  <c r="K1728" i="2"/>
  <c r="O282" i="2"/>
  <c r="Q2341" i="2"/>
  <c r="Q741" i="2"/>
  <c r="M1241" i="2"/>
  <c r="L2322" i="2"/>
  <c r="H2314" i="2"/>
  <c r="C57" i="2"/>
  <c r="R784" i="2"/>
  <c r="E2339" i="2"/>
  <c r="N468" i="2"/>
  <c r="M1688" i="2"/>
  <c r="N1394" i="2"/>
  <c r="M2485" i="2"/>
  <c r="K2426" i="2"/>
  <c r="E2356" i="2"/>
  <c r="O1563" i="2"/>
  <c r="R2758" i="2"/>
  <c r="I2076" i="2"/>
  <c r="M39" i="2"/>
  <c r="F1341" i="2"/>
  <c r="R3334" i="2"/>
  <c r="D2650" i="2"/>
  <c r="E2467" i="2"/>
  <c r="R2268" i="2"/>
  <c r="K2162" i="2"/>
  <c r="T3273" i="2"/>
  <c r="G2522" i="2"/>
  <c r="S2221" i="2"/>
  <c r="I2304" i="2"/>
  <c r="O2393" i="2"/>
  <c r="S3253" i="2"/>
  <c r="F2182" i="2"/>
  <c r="M2497" i="2"/>
  <c r="T2064" i="2"/>
  <c r="H2527" i="2"/>
  <c r="N438" i="2"/>
  <c r="J795" i="2"/>
  <c r="P2982" i="2"/>
  <c r="U3347" i="2"/>
  <c r="T2903" i="2"/>
  <c r="L1285" i="2"/>
  <c r="F829" i="2"/>
  <c r="C3127" i="2"/>
  <c r="S1387" i="2"/>
  <c r="L1754" i="2"/>
  <c r="W137" i="2"/>
  <c r="W1633" i="2"/>
  <c r="D2240" i="2"/>
  <c r="N2398" i="2"/>
  <c r="W2481" i="2"/>
  <c r="M1378" i="2"/>
  <c r="K371" i="2"/>
  <c r="L1167" i="2"/>
  <c r="N2791" i="2"/>
  <c r="F2093" i="2"/>
  <c r="I3238" i="2"/>
  <c r="G2820" i="2"/>
  <c r="G1593" i="2"/>
  <c r="M1267" i="2"/>
  <c r="N525" i="2"/>
  <c r="V1659" i="2"/>
  <c r="O2743" i="2"/>
  <c r="E1412" i="2"/>
  <c r="Q2438" i="2"/>
  <c r="C2459" i="2"/>
  <c r="I2880" i="2"/>
  <c r="M2508" i="2"/>
  <c r="K1331" i="2"/>
  <c r="G1855" i="2"/>
  <c r="H2851" i="2"/>
  <c r="D2799" i="2"/>
  <c r="P2952" i="2"/>
  <c r="I2985" i="2"/>
  <c r="L2635" i="2"/>
  <c r="S2168" i="2"/>
  <c r="I1717" i="2"/>
  <c r="R1592" i="2"/>
  <c r="H1386" i="2"/>
  <c r="I736" i="2"/>
  <c r="W2514" i="2"/>
  <c r="F2716" i="2"/>
  <c r="N3396" i="2"/>
  <c r="J3238" i="2"/>
  <c r="V2592" i="2"/>
  <c r="M2173" i="2"/>
  <c r="D2427" i="2"/>
  <c r="M2543" i="2"/>
  <c r="I2788" i="2"/>
  <c r="N2445" i="2"/>
  <c r="F2606" i="2"/>
  <c r="R3075" i="2"/>
  <c r="H1975" i="2"/>
  <c r="F2239" i="2"/>
  <c r="Q2519" i="2"/>
  <c r="C8" i="2"/>
  <c r="N1810" i="2"/>
  <c r="Q3017" i="2"/>
  <c r="T687" i="2"/>
  <c r="H1889" i="2"/>
  <c r="I821" i="2"/>
  <c r="W2278" i="2"/>
  <c r="L2085" i="2"/>
  <c r="Q473" i="2"/>
  <c r="Q639" i="2"/>
  <c r="G1640" i="2"/>
  <c r="I2571" i="2"/>
  <c r="T1756" i="2"/>
  <c r="C1684" i="2"/>
  <c r="K2483" i="2"/>
  <c r="G689" i="2"/>
  <c r="F1355" i="2"/>
  <c r="I1522" i="2"/>
  <c r="H1665" i="2"/>
  <c r="W2877" i="2"/>
  <c r="O2247" i="2"/>
  <c r="H2576" i="2"/>
  <c r="E1232" i="2"/>
  <c r="G439" i="2"/>
  <c r="V998" i="2"/>
  <c r="D373" i="2"/>
  <c r="F2002" i="2"/>
  <c r="P1830" i="2"/>
  <c r="O2630" i="2"/>
  <c r="E2606" i="2"/>
  <c r="H1901" i="2"/>
  <c r="I3002" i="2"/>
  <c r="I2360" i="2"/>
  <c r="D2218" i="2"/>
  <c r="H2084" i="2"/>
  <c r="J2219" i="2"/>
  <c r="C1179" i="2"/>
  <c r="H1792" i="2"/>
  <c r="S1604" i="2"/>
  <c r="O1882" i="2"/>
  <c r="F3050" i="2"/>
  <c r="Q2019" i="2"/>
  <c r="H1215" i="2"/>
  <c r="F2400" i="2"/>
  <c r="U2296" i="2"/>
  <c r="W735" i="2"/>
  <c r="R1212" i="2"/>
  <c r="I1773" i="2"/>
  <c r="R2891" i="2"/>
  <c r="R1152" i="2"/>
  <c r="W2643" i="2"/>
  <c r="I3270" i="2"/>
  <c r="S2826" i="2"/>
  <c r="F92" i="2"/>
  <c r="M519" i="2"/>
  <c r="L2198" i="2"/>
  <c r="S2614" i="2"/>
  <c r="P1434" i="2"/>
  <c r="E558" i="2"/>
  <c r="K1526" i="2"/>
  <c r="M2536" i="2"/>
  <c r="J1745" i="2"/>
  <c r="O2172" i="2"/>
  <c r="H2471" i="2"/>
  <c r="T3388" i="2"/>
  <c r="G3362" i="2"/>
  <c r="I2469" i="2"/>
  <c r="M2178" i="2"/>
  <c r="S2943" i="2"/>
  <c r="K2789" i="2"/>
  <c r="V661" i="2"/>
  <c r="O1905" i="2"/>
  <c r="Q1533" i="2"/>
  <c r="S3404" i="2"/>
  <c r="E2560" i="2"/>
  <c r="Q2187" i="2"/>
  <c r="K2880" i="2"/>
  <c r="K178" i="2"/>
  <c r="R2276" i="2"/>
  <c r="C1586" i="2"/>
  <c r="U1776" i="2"/>
  <c r="D1233" i="2"/>
  <c r="O714" i="2"/>
  <c r="O3297" i="2"/>
  <c r="V2352" i="2"/>
  <c r="J2884" i="2"/>
  <c r="S643" i="2"/>
  <c r="L1684" i="2"/>
  <c r="O1404" i="2"/>
  <c r="I2934" i="2"/>
  <c r="F3123" i="2"/>
  <c r="C2856" i="2"/>
  <c r="Q3139" i="2"/>
  <c r="C2881" i="2"/>
  <c r="N1065" i="2"/>
  <c r="C1465" i="2"/>
  <c r="F911" i="2"/>
  <c r="K2059" i="2"/>
  <c r="L3087" i="2"/>
  <c r="S1656" i="2"/>
  <c r="L2090" i="2"/>
  <c r="H1498" i="2"/>
  <c r="K1751" i="2"/>
  <c r="R690" i="2"/>
  <c r="I2891" i="2"/>
  <c r="J2859" i="2"/>
  <c r="G2052" i="2"/>
  <c r="V2610" i="2"/>
  <c r="J2576" i="2"/>
  <c r="F557" i="2"/>
  <c r="E53" i="2"/>
  <c r="J1363" i="2"/>
  <c r="F2003" i="2"/>
  <c r="L3266" i="2"/>
  <c r="R1216" i="2"/>
  <c r="Q1793" i="2"/>
  <c r="K2540" i="2"/>
  <c r="I2714" i="2"/>
  <c r="F331" i="2"/>
  <c r="S301" i="2"/>
  <c r="M2863" i="2"/>
  <c r="E1092" i="2"/>
  <c r="K2773" i="2"/>
  <c r="P2773" i="2"/>
  <c r="J3192" i="2"/>
  <c r="W2124" i="2"/>
  <c r="U3066" i="2"/>
  <c r="Q1011" i="2"/>
  <c r="G2902" i="2"/>
  <c r="W1764" i="2"/>
  <c r="S2524" i="2"/>
  <c r="H2650" i="2"/>
  <c r="M3456" i="2"/>
  <c r="M2587" i="2"/>
  <c r="T2982" i="2"/>
  <c r="I2540" i="2"/>
  <c r="F1660" i="2"/>
  <c r="Q857" i="2"/>
  <c r="R2651" i="2"/>
  <c r="E3002" i="2"/>
  <c r="I1683" i="2"/>
  <c r="P2805" i="2"/>
  <c r="F837" i="2"/>
  <c r="W2082" i="2"/>
  <c r="S771" i="2"/>
  <c r="K844" i="2"/>
  <c r="Q949" i="2"/>
  <c r="G1262" i="2"/>
  <c r="W2108" i="2"/>
  <c r="S1447" i="2"/>
  <c r="J2746" i="2"/>
  <c r="I1499" i="2"/>
  <c r="Q3182" i="2"/>
  <c r="H1100" i="2"/>
  <c r="P1071" i="2"/>
  <c r="F1917" i="2"/>
  <c r="P1675" i="2"/>
  <c r="D1252" i="2"/>
  <c r="P3071" i="2"/>
  <c r="K2186" i="2"/>
  <c r="C1121" i="2"/>
  <c r="W1581" i="2"/>
  <c r="L3093" i="2"/>
  <c r="K2268" i="2"/>
  <c r="K2011" i="2"/>
  <c r="H620" i="2"/>
  <c r="S510" i="2"/>
  <c r="W664" i="2"/>
  <c r="N1891" i="2"/>
  <c r="I2566" i="2"/>
  <c r="T2613" i="2"/>
  <c r="I1267" i="2"/>
  <c r="F3142" i="2"/>
  <c r="N820" i="2"/>
  <c r="L2548" i="2"/>
  <c r="E1688" i="2"/>
  <c r="O468" i="2"/>
  <c r="C1082" i="2"/>
  <c r="P3202" i="2"/>
  <c r="V1373" i="2"/>
  <c r="O2947" i="2"/>
  <c r="S2131" i="2"/>
  <c r="L2670" i="2"/>
  <c r="J2044" i="2"/>
  <c r="S2759" i="2"/>
  <c r="F2654" i="2"/>
  <c r="V1155" i="2"/>
  <c r="T3344" i="2"/>
  <c r="P554" i="2"/>
  <c r="N2892" i="2"/>
  <c r="S1881" i="2"/>
  <c r="J2293" i="2"/>
  <c r="U2859" i="2"/>
  <c r="M1635" i="2"/>
  <c r="O2906" i="2"/>
  <c r="Q2386" i="2"/>
  <c r="T2047" i="2"/>
  <c r="K2135" i="2"/>
  <c r="D2535" i="2"/>
  <c r="V1035" i="2"/>
  <c r="P1953" i="2"/>
  <c r="E3181" i="2"/>
  <c r="O2889" i="2"/>
  <c r="T1020" i="2"/>
  <c r="P3214" i="2"/>
  <c r="G2637" i="2"/>
  <c r="L3117" i="2"/>
  <c r="U2290" i="2"/>
  <c r="H2722" i="2"/>
  <c r="S2314" i="2"/>
  <c r="K1989" i="2"/>
  <c r="K1891" i="2"/>
  <c r="Q2401" i="2"/>
  <c r="I1599" i="2"/>
  <c r="Q974" i="2"/>
  <c r="F2641" i="2"/>
  <c r="H3212" i="2"/>
  <c r="G1845" i="2"/>
  <c r="V3526" i="2"/>
  <c r="H2289" i="2"/>
  <c r="K2899" i="2"/>
  <c r="C1649" i="2"/>
  <c r="G890" i="2"/>
  <c r="S511" i="2"/>
  <c r="G2751" i="2"/>
  <c r="S1891" i="2"/>
  <c r="G1228" i="2"/>
  <c r="E1979" i="2"/>
  <c r="H2440" i="2"/>
  <c r="J516" i="2"/>
  <c r="P1985" i="2"/>
  <c r="D1697" i="2"/>
  <c r="P3011" i="2"/>
  <c r="F1900" i="2"/>
  <c r="P385" i="2"/>
  <c r="N1548" i="2"/>
  <c r="D3057" i="2"/>
  <c r="P2175" i="2"/>
  <c r="C859" i="2"/>
  <c r="V2901" i="2"/>
  <c r="C1626" i="2"/>
  <c r="G268" i="2"/>
  <c r="C3124" i="2"/>
  <c r="L2844" i="2"/>
  <c r="F2827" i="2"/>
  <c r="M581" i="2"/>
  <c r="R1885" i="2"/>
  <c r="P2821" i="2"/>
  <c r="F2123" i="2"/>
  <c r="S1999" i="2"/>
  <c r="R485" i="2"/>
  <c r="R3178" i="2"/>
  <c r="H844" i="2"/>
  <c r="K2160" i="2"/>
  <c r="T2784" i="2"/>
  <c r="J3209" i="2"/>
  <c r="C1204" i="2"/>
  <c r="I1888" i="2"/>
  <c r="E353" i="2"/>
  <c r="F2336" i="2"/>
  <c r="E565" i="2"/>
  <c r="F866" i="2"/>
  <c r="O1560" i="2"/>
  <c r="R1767" i="2"/>
  <c r="K1838" i="2"/>
  <c r="S1258" i="2"/>
  <c r="K12" i="2"/>
  <c r="N1108" i="2"/>
  <c r="W2097" i="2"/>
  <c r="C699" i="2"/>
  <c r="H2356" i="2"/>
  <c r="M2011" i="2"/>
  <c r="I3044" i="2"/>
  <c r="P1323" i="2"/>
  <c r="J2536" i="2"/>
  <c r="H896" i="2"/>
  <c r="I935" i="2"/>
  <c r="M2298" i="2"/>
  <c r="E3037" i="2"/>
  <c r="P2287" i="2"/>
  <c r="P1167" i="2"/>
  <c r="D1179" i="2"/>
  <c r="U2076" i="2"/>
  <c r="W2950" i="2"/>
  <c r="I2015" i="2"/>
  <c r="N312" i="2"/>
  <c r="J2817" i="2"/>
  <c r="V1663" i="2"/>
  <c r="S2197" i="2"/>
  <c r="S1770" i="2"/>
  <c r="N2817" i="2"/>
  <c r="S867" i="2"/>
  <c r="O2315" i="2"/>
  <c r="H2346" i="2"/>
  <c r="V1535" i="2"/>
  <c r="G592" i="2"/>
  <c r="W2554" i="2"/>
  <c r="J1870" i="2"/>
  <c r="M1893" i="2"/>
  <c r="T1148" i="2"/>
  <c r="W3310" i="2"/>
  <c r="I3153" i="2"/>
  <c r="P2686" i="2"/>
  <c r="Q1301" i="2"/>
  <c r="F1854" i="2"/>
  <c r="D1321" i="2"/>
  <c r="P3275" i="2"/>
  <c r="D1275" i="2"/>
  <c r="W2335" i="2"/>
  <c r="V2679" i="2"/>
  <c r="R737" i="2"/>
  <c r="N2037" i="2"/>
  <c r="J1799" i="2"/>
  <c r="M1533" i="2"/>
  <c r="W407" i="2"/>
  <c r="T2155" i="2"/>
  <c r="S2630" i="2"/>
  <c r="K2439" i="2"/>
  <c r="J2618" i="2"/>
  <c r="K2652" i="2"/>
  <c r="W1156" i="2"/>
  <c r="U2930" i="2"/>
  <c r="H633" i="2"/>
  <c r="G2591" i="2"/>
  <c r="P2004" i="2"/>
  <c r="M1149" i="2"/>
  <c r="F2418" i="2"/>
  <c r="D1352" i="2"/>
  <c r="N23" i="2"/>
  <c r="O2269" i="2"/>
  <c r="W2029" i="2"/>
  <c r="T1955" i="2"/>
  <c r="T814" i="2"/>
  <c r="J1544" i="2"/>
  <c r="J1453" i="2"/>
  <c r="S395" i="2"/>
  <c r="T1995" i="2"/>
  <c r="W2886" i="2"/>
  <c r="J2214" i="2"/>
  <c r="C2714" i="2"/>
  <c r="T2131" i="2"/>
  <c r="C2813" i="2"/>
  <c r="R3005" i="2"/>
  <c r="N223" i="2"/>
  <c r="I3287" i="2"/>
  <c r="Q2522" i="2"/>
  <c r="C1012" i="2"/>
  <c r="S2436" i="2"/>
  <c r="W1316" i="2"/>
  <c r="E701" i="2"/>
  <c r="S750" i="2"/>
  <c r="F2388" i="2"/>
  <c r="V2164" i="2"/>
  <c r="H1563" i="2"/>
  <c r="D3611" i="2"/>
  <c r="C2420" i="2"/>
  <c r="D1883" i="2"/>
  <c r="N2306" i="2"/>
  <c r="V1787" i="2"/>
  <c r="M2445" i="2"/>
  <c r="U2696" i="2"/>
  <c r="S1566" i="2"/>
  <c r="T2260" i="2"/>
  <c r="L2236" i="2"/>
  <c r="I1899" i="2"/>
  <c r="K2920" i="2"/>
  <c r="T2629" i="2"/>
  <c r="O1433" i="2"/>
  <c r="C404" i="2"/>
  <c r="T264" i="2"/>
  <c r="D1284" i="2"/>
  <c r="W885" i="2"/>
  <c r="H3310" i="2"/>
  <c r="H503" i="2"/>
  <c r="D2068" i="2"/>
  <c r="C964" i="2"/>
  <c r="T1791" i="2"/>
  <c r="T2420" i="2"/>
  <c r="S1772" i="2"/>
  <c r="P1910" i="2"/>
  <c r="I2503" i="2"/>
  <c r="L1452" i="2"/>
  <c r="S1875" i="2"/>
  <c r="L223" i="2"/>
  <c r="G784" i="2"/>
  <c r="G93" i="2"/>
  <c r="H1931" i="2"/>
  <c r="W1439" i="2"/>
  <c r="R2052" i="2"/>
  <c r="V1034" i="2"/>
  <c r="N2860" i="2"/>
  <c r="O698" i="2"/>
  <c r="H1715" i="2"/>
  <c r="U1582" i="2"/>
  <c r="H2528" i="2"/>
  <c r="L1235" i="2"/>
  <c r="F702" i="2"/>
  <c r="Q2604" i="2"/>
  <c r="L3150" i="2"/>
  <c r="M2219" i="2"/>
  <c r="R2979" i="2"/>
  <c r="T1676" i="2"/>
  <c r="K828" i="2"/>
  <c r="H2271" i="2"/>
  <c r="M338" i="2"/>
  <c r="I542" i="2"/>
  <c r="S2372" i="2"/>
  <c r="C1972" i="2"/>
  <c r="J2405" i="2"/>
  <c r="L2921" i="2"/>
  <c r="S2502" i="2"/>
  <c r="I1402" i="2"/>
  <c r="R2727" i="2"/>
  <c r="J1987" i="2"/>
  <c r="S383" i="2"/>
  <c r="L1708" i="2"/>
  <c r="K2468" i="2"/>
  <c r="I2560" i="2"/>
  <c r="P1507" i="2"/>
  <c r="I2432" i="2"/>
  <c r="T2451" i="2"/>
  <c r="D1955" i="2"/>
  <c r="O1577" i="2"/>
  <c r="P2220" i="2"/>
  <c r="D1786" i="2"/>
  <c r="V1667" i="2"/>
  <c r="U2524" i="2"/>
  <c r="S2401" i="2"/>
  <c r="J2687" i="2"/>
  <c r="T1003" i="2"/>
  <c r="N304" i="2"/>
  <c r="F489" i="2"/>
  <c r="D289" i="2"/>
  <c r="I1705" i="2"/>
  <c r="Q580" i="2"/>
  <c r="W2949" i="2"/>
  <c r="D2386" i="2"/>
  <c r="T2252" i="2"/>
  <c r="K2096" i="2"/>
  <c r="S2892" i="2"/>
  <c r="K1612" i="2"/>
  <c r="D428" i="2"/>
  <c r="E1263" i="2"/>
  <c r="T1363" i="2"/>
  <c r="Q2024" i="2"/>
  <c r="R2137" i="2"/>
  <c r="O1153" i="2"/>
  <c r="G1597" i="2"/>
  <c r="T675" i="2"/>
  <c r="O1159" i="2"/>
  <c r="C1631" i="2"/>
  <c r="H2067" i="2"/>
  <c r="F645" i="2"/>
  <c r="R2157" i="2"/>
  <c r="L2907" i="2"/>
  <c r="J2304" i="2"/>
  <c r="N1589" i="2"/>
  <c r="I3404" i="2"/>
  <c r="N925" i="2"/>
  <c r="G2242" i="2"/>
  <c r="S2002" i="2"/>
  <c r="U999" i="2"/>
  <c r="I2057" i="2"/>
  <c r="R678" i="2"/>
  <c r="W290" i="2"/>
  <c r="M717" i="2"/>
  <c r="R2664" i="2"/>
  <c r="C2042" i="2"/>
  <c r="E2922" i="2"/>
  <c r="O1120" i="2"/>
  <c r="P1933" i="2"/>
  <c r="M725" i="2"/>
  <c r="L1023" i="2"/>
  <c r="V1697" i="2"/>
  <c r="M2240" i="2"/>
  <c r="I2389" i="2"/>
  <c r="J2200" i="2"/>
  <c r="R979" i="2"/>
  <c r="P1251" i="2"/>
  <c r="U2040" i="2"/>
  <c r="H1566" i="2"/>
  <c r="V1934" i="2"/>
  <c r="R61" i="2"/>
  <c r="D564" i="2"/>
  <c r="Q1814" i="2"/>
  <c r="R79" i="2"/>
  <c r="U2271" i="2"/>
  <c r="R58" i="2"/>
  <c r="K2404" i="2"/>
  <c r="S2276" i="2"/>
  <c r="Q654" i="2"/>
  <c r="M1426" i="2"/>
  <c r="K667" i="2"/>
  <c r="O1680" i="2"/>
  <c r="I1019" i="2"/>
  <c r="W2084" i="2"/>
  <c r="R1693" i="2"/>
  <c r="D2167" i="2"/>
  <c r="H783" i="2"/>
  <c r="O2476" i="2"/>
  <c r="P3120" i="2"/>
  <c r="R987" i="2"/>
  <c r="N1841" i="2"/>
  <c r="V712" i="2"/>
  <c r="L2032" i="2"/>
  <c r="O2278" i="2"/>
  <c r="N453" i="2"/>
  <c r="T1517" i="2"/>
  <c r="U1757" i="2"/>
  <c r="M215" i="2"/>
  <c r="S440" i="2"/>
  <c r="M790" i="2"/>
  <c r="S390" i="2"/>
  <c r="W1283" i="2"/>
  <c r="R755" i="2"/>
  <c r="R549" i="2"/>
  <c r="C2070" i="2"/>
  <c r="M2334" i="2"/>
  <c r="M2648" i="2"/>
  <c r="C2634" i="2"/>
  <c r="W916" i="2"/>
  <c r="U1766" i="2"/>
  <c r="K2364" i="2"/>
  <c r="P2226" i="2"/>
  <c r="I2290" i="2"/>
  <c r="M1438" i="2"/>
  <c r="M703" i="2"/>
  <c r="J3106" i="2"/>
  <c r="Q2396" i="2"/>
  <c r="O2782" i="2"/>
  <c r="D3109" i="2"/>
  <c r="E668" i="2"/>
  <c r="L2866" i="2"/>
  <c r="C2987" i="2"/>
  <c r="P2893" i="2"/>
  <c r="V1982" i="2"/>
  <c r="N2148" i="2"/>
  <c r="U2516" i="2"/>
  <c r="O1219" i="2"/>
  <c r="J1241" i="2"/>
  <c r="M2596" i="2"/>
  <c r="J1495" i="2"/>
  <c r="W2068" i="2"/>
  <c r="U1885" i="2"/>
  <c r="P1034" i="2"/>
  <c r="L127" i="2"/>
  <c r="V1054" i="2"/>
  <c r="U2179" i="2"/>
  <c r="F3205" i="2"/>
  <c r="U1936" i="2"/>
  <c r="J304" i="2"/>
  <c r="H2800" i="2"/>
  <c r="U2021" i="2"/>
  <c r="M1282" i="2"/>
  <c r="P1143" i="2"/>
  <c r="O2787" i="2"/>
  <c r="J1608" i="2"/>
  <c r="L546" i="2"/>
  <c r="T1404" i="2"/>
  <c r="O826" i="2"/>
  <c r="W2521" i="2"/>
  <c r="F1168" i="2"/>
  <c r="Q233" i="2"/>
  <c r="K2577" i="2"/>
  <c r="K2927" i="2"/>
  <c r="E2803" i="2"/>
  <c r="S2546" i="2"/>
  <c r="Q2393" i="2"/>
  <c r="Q2757" i="2"/>
  <c r="M1781" i="2"/>
  <c r="W1416" i="2"/>
  <c r="E2539" i="2"/>
  <c r="H1434" i="2"/>
  <c r="S2582" i="2"/>
  <c r="U1688" i="2"/>
  <c r="Q2335" i="2"/>
  <c r="L1425" i="2"/>
  <c r="I574" i="2"/>
  <c r="E365" i="2"/>
  <c r="L1028" i="2"/>
  <c r="N3497" i="2"/>
  <c r="G1527" i="2"/>
  <c r="Q2368" i="2"/>
  <c r="J1300" i="2"/>
  <c r="S1877" i="2"/>
  <c r="C1681" i="2"/>
  <c r="J2719" i="2"/>
  <c r="V2302" i="2"/>
  <c r="G533" i="2"/>
  <c r="K3166" i="2"/>
  <c r="W2932" i="2"/>
  <c r="C1220" i="2"/>
  <c r="V3053" i="2"/>
  <c r="Q3015" i="2"/>
  <c r="R865" i="2"/>
  <c r="N2249" i="2"/>
  <c r="S3248" i="2"/>
  <c r="I1116" i="2"/>
  <c r="I1184" i="2"/>
  <c r="N2530" i="2"/>
  <c r="P2557" i="2"/>
  <c r="R1334" i="2"/>
  <c r="V556" i="2"/>
  <c r="U2857" i="2"/>
  <c r="R2380" i="2"/>
  <c r="U2925" i="2"/>
  <c r="H1925" i="2"/>
  <c r="H2229" i="2"/>
  <c r="L1338" i="2"/>
  <c r="T911" i="2"/>
  <c r="T2310" i="2"/>
  <c r="E2665" i="2"/>
  <c r="Q2095" i="2"/>
  <c r="R2163" i="2"/>
  <c r="F507" i="2"/>
  <c r="C833" i="2"/>
  <c r="L2130" i="2"/>
  <c r="J2813" i="2"/>
  <c r="G2091" i="2"/>
  <c r="G1877" i="2"/>
  <c r="U649" i="2"/>
  <c r="C2301" i="2"/>
  <c r="O1906" i="2"/>
  <c r="U1540" i="2"/>
  <c r="G1389" i="2"/>
  <c r="C1330" i="2"/>
  <c r="M2476" i="2"/>
  <c r="D535" i="2"/>
  <c r="N1116" i="2"/>
  <c r="C1074" i="2"/>
  <c r="V2576" i="2"/>
  <c r="D3092" i="2"/>
  <c r="P2922" i="2"/>
  <c r="V2092" i="2"/>
  <c r="U2635" i="2"/>
  <c r="V1883" i="2"/>
  <c r="H453" i="2"/>
  <c r="I2642" i="2"/>
  <c r="P2083" i="2"/>
  <c r="W988" i="2"/>
  <c r="O1343" i="2"/>
  <c r="R2148" i="2"/>
  <c r="O2697" i="2"/>
  <c r="H2602" i="2"/>
  <c r="F3000" i="2"/>
  <c r="L2874" i="2"/>
  <c r="N3115" i="2"/>
  <c r="P2623" i="2"/>
  <c r="E224" i="2"/>
  <c r="J1809" i="2"/>
  <c r="V1671" i="2"/>
  <c r="V1872" i="2"/>
  <c r="W2459" i="2"/>
  <c r="I774" i="2"/>
  <c r="F797" i="2"/>
  <c r="N878" i="2"/>
  <c r="N2245" i="2"/>
  <c r="H2457" i="2"/>
  <c r="E1883" i="2"/>
  <c r="M538" i="2"/>
  <c r="P2836" i="2"/>
  <c r="T2311" i="2"/>
  <c r="L2257" i="2"/>
  <c r="P1471" i="2"/>
  <c r="F1781" i="2"/>
  <c r="K2134" i="2"/>
  <c r="V942" i="2"/>
  <c r="K1479" i="2"/>
  <c r="H675" i="2"/>
  <c r="F1106" i="2"/>
  <c r="W1857" i="2"/>
  <c r="N1378" i="2"/>
  <c r="O1397" i="2"/>
  <c r="O3154" i="2"/>
  <c r="K1267" i="2"/>
  <c r="M2164" i="2"/>
  <c r="Q2418" i="2"/>
  <c r="W3047" i="2"/>
  <c r="Q269" i="2"/>
  <c r="R1807" i="2"/>
  <c r="W2316" i="2"/>
  <c r="S266" i="2"/>
  <c r="T2205" i="2"/>
  <c r="G1311" i="2"/>
  <c r="S2534" i="2"/>
  <c r="S710" i="2"/>
  <c r="D2383" i="2"/>
  <c r="G1112" i="2"/>
  <c r="I341" i="2"/>
  <c r="I1092" i="2"/>
  <c r="P1069" i="2"/>
  <c r="M2750" i="2"/>
  <c r="Q1506" i="2"/>
  <c r="K1357" i="2"/>
  <c r="I2586" i="2"/>
  <c r="I3036" i="2"/>
  <c r="G1025" i="2"/>
  <c r="V2042" i="2"/>
  <c r="R2790" i="2"/>
  <c r="G1046" i="2"/>
  <c r="J2166" i="2"/>
  <c r="J403" i="2"/>
  <c r="Q1299" i="2"/>
  <c r="N328" i="2"/>
  <c r="U2001" i="2"/>
  <c r="R812" i="2"/>
  <c r="T1104" i="2"/>
  <c r="S2376" i="2"/>
  <c r="J2367" i="2"/>
  <c r="H2142" i="2"/>
  <c r="Q1745" i="2"/>
  <c r="E2327" i="2"/>
  <c r="V369" i="2"/>
  <c r="O2910" i="2"/>
  <c r="W712" i="2"/>
  <c r="N2747" i="2"/>
  <c r="V815" i="2"/>
  <c r="E1797" i="2"/>
  <c r="T1197" i="2"/>
  <c r="O2293" i="2"/>
  <c r="P415" i="2"/>
  <c r="E1278" i="2"/>
  <c r="L1521" i="2"/>
  <c r="D3430" i="2"/>
  <c r="U345" i="2"/>
  <c r="O527" i="2"/>
  <c r="M1237" i="2"/>
  <c r="D926" i="2"/>
  <c r="P2734" i="2"/>
  <c r="P825" i="2"/>
  <c r="U1011" i="2"/>
  <c r="I1497" i="2"/>
  <c r="W960" i="2"/>
  <c r="L1899" i="2"/>
  <c r="K367" i="2"/>
  <c r="S998" i="2"/>
  <c r="F2064" i="2"/>
  <c r="D719" i="2"/>
  <c r="G1820" i="2"/>
  <c r="R1564" i="2"/>
  <c r="E2774" i="2"/>
  <c r="D1146" i="2"/>
  <c r="M696" i="2"/>
  <c r="J2518" i="2"/>
  <c r="P2654" i="2"/>
  <c r="H2342" i="2"/>
  <c r="N1628" i="2"/>
  <c r="M573" i="2"/>
  <c r="W1432" i="2"/>
  <c r="R906" i="2"/>
  <c r="P2627" i="2"/>
  <c r="I1374" i="2"/>
  <c r="F2882" i="2"/>
  <c r="C1458" i="2"/>
  <c r="T373" i="2"/>
  <c r="O2721" i="2"/>
  <c r="K1691" i="2"/>
  <c r="S1066" i="2"/>
  <c r="N719" i="2"/>
  <c r="W1016" i="2"/>
  <c r="R298" i="2"/>
  <c r="S756" i="2"/>
  <c r="M1711" i="2"/>
  <c r="K123" i="2"/>
  <c r="L356" i="2"/>
  <c r="R1410" i="2"/>
  <c r="L264" i="2"/>
  <c r="F2527" i="2"/>
  <c r="K1030" i="2"/>
  <c r="R922" i="2"/>
  <c r="U231" i="2"/>
  <c r="W2186" i="2"/>
  <c r="H3460" i="2"/>
  <c r="V1556" i="2"/>
  <c r="D710" i="2"/>
  <c r="P2400" i="2"/>
  <c r="Q427" i="2"/>
  <c r="T129" i="2"/>
  <c r="C580" i="2"/>
  <c r="Q3077" i="2"/>
  <c r="W1397" i="2"/>
  <c r="I3305" i="2"/>
  <c r="L1601" i="2"/>
  <c r="R2734" i="2"/>
  <c r="F3079" i="2"/>
  <c r="L2615" i="2"/>
  <c r="E1610" i="2"/>
  <c r="R2780" i="2"/>
  <c r="L2437" i="2"/>
  <c r="J768" i="2"/>
  <c r="K2675" i="2"/>
  <c r="P2729" i="2"/>
  <c r="D657" i="2"/>
  <c r="J2579" i="2"/>
  <c r="S102" i="2"/>
  <c r="F2026" i="2"/>
  <c r="L2177" i="2"/>
  <c r="F1736" i="2"/>
  <c r="T2483" i="2"/>
  <c r="L2101" i="2"/>
  <c r="J1001" i="2"/>
  <c r="D91" i="2"/>
  <c r="H1938" i="2"/>
  <c r="O560" i="2"/>
  <c r="W1753" i="2"/>
  <c r="H2340" i="2"/>
  <c r="T1204" i="2"/>
  <c r="U2506" i="2"/>
  <c r="U2670" i="2"/>
  <c r="H1152" i="2"/>
  <c r="L44" i="2"/>
  <c r="N346" i="2"/>
  <c r="V2176" i="2"/>
  <c r="C1142" i="2"/>
  <c r="M240" i="2"/>
  <c r="Q428" i="2"/>
  <c r="J2335" i="2"/>
  <c r="P1609" i="2"/>
  <c r="L1731" i="2"/>
  <c r="G1557" i="2"/>
  <c r="O2832" i="2"/>
  <c r="J2512" i="2"/>
  <c r="V1528" i="2"/>
  <c r="I2024" i="2"/>
  <c r="C12" i="2"/>
  <c r="C2018" i="2"/>
  <c r="G570" i="2"/>
  <c r="S1741" i="2"/>
  <c r="N3067" i="2"/>
  <c r="T2341" i="2"/>
  <c r="O534" i="2"/>
  <c r="V540" i="2"/>
  <c r="W2057" i="2"/>
  <c r="F2176" i="2"/>
  <c r="D2322" i="2"/>
  <c r="J3112" i="2"/>
  <c r="R722" i="2"/>
  <c r="H1191" i="2"/>
  <c r="T1975" i="2"/>
  <c r="M263" i="2"/>
  <c r="D683" i="2"/>
  <c r="T1693" i="2"/>
  <c r="R10" i="2"/>
  <c r="S2944" i="2"/>
  <c r="G877" i="2"/>
  <c r="O2881" i="2"/>
  <c r="S2579" i="2"/>
  <c r="L1650" i="2"/>
  <c r="Q1435" i="2"/>
  <c r="S2713" i="2"/>
  <c r="G2209" i="2"/>
  <c r="K1823" i="2"/>
  <c r="W1517" i="2"/>
  <c r="I2250" i="2"/>
  <c r="Q2726" i="2"/>
  <c r="D2500" i="2"/>
  <c r="R3338" i="2"/>
  <c r="C2457" i="2"/>
  <c r="T1742" i="2"/>
  <c r="H1961" i="2"/>
  <c r="L1763" i="2"/>
  <c r="T1904" i="2"/>
  <c r="O2353" i="2"/>
  <c r="N2296" i="2"/>
  <c r="T1653" i="2"/>
  <c r="N1722" i="2"/>
  <c r="S2578" i="2"/>
  <c r="G2201" i="2"/>
  <c r="P2695" i="2"/>
  <c r="Q3093" i="2"/>
  <c r="T1542" i="2"/>
  <c r="O1535" i="2"/>
  <c r="C1440" i="2"/>
  <c r="M1522" i="2"/>
  <c r="T1409" i="2"/>
  <c r="Q1198" i="2"/>
  <c r="E2651" i="2"/>
  <c r="E3123" i="2"/>
  <c r="U1530" i="2"/>
  <c r="O791" i="2"/>
  <c r="P1776" i="2"/>
  <c r="L346" i="2"/>
  <c r="H173" i="2"/>
  <c r="W2793" i="2"/>
  <c r="R1461" i="2"/>
  <c r="C1104" i="2"/>
  <c r="I1957" i="2"/>
  <c r="Q2973" i="2"/>
  <c r="M2125" i="2"/>
  <c r="O1290" i="2"/>
  <c r="S1565" i="2"/>
  <c r="V823" i="2"/>
  <c r="O1769" i="2"/>
  <c r="C1700" i="2"/>
  <c r="N2153" i="2"/>
  <c r="S1697" i="2"/>
  <c r="O1873" i="2"/>
  <c r="C2966" i="2"/>
  <c r="L3351" i="2"/>
  <c r="Q3088" i="2"/>
  <c r="T3243" i="2"/>
  <c r="T1668" i="2"/>
  <c r="K2906" i="2"/>
  <c r="W2456" i="2"/>
  <c r="U1016" i="2"/>
  <c r="W77" i="2"/>
  <c r="F2146" i="2"/>
  <c r="Q2321" i="2"/>
  <c r="I1915" i="2"/>
  <c r="N2298" i="2"/>
  <c r="P3242" i="2"/>
  <c r="T2388" i="2"/>
  <c r="W2416" i="2"/>
  <c r="O832" i="2"/>
  <c r="V2692" i="2"/>
  <c r="E1336" i="2"/>
  <c r="T2196" i="2"/>
  <c r="K1834" i="2"/>
  <c r="G2010" i="2"/>
  <c r="N27" i="2"/>
  <c r="N2852" i="2"/>
  <c r="L1490" i="2"/>
  <c r="T1562" i="2"/>
  <c r="V2006" i="2"/>
  <c r="N1053" i="2"/>
  <c r="V2398" i="2"/>
  <c r="D796" i="2"/>
  <c r="F1092" i="2"/>
  <c r="L1916" i="2"/>
  <c r="T1325" i="2"/>
  <c r="D3244" i="2"/>
  <c r="F2277" i="2"/>
  <c r="N1274" i="2"/>
  <c r="M2048" i="2"/>
  <c r="W2217" i="2"/>
  <c r="M2097" i="2"/>
  <c r="R1775" i="2"/>
  <c r="H1325" i="2"/>
  <c r="O2642" i="2"/>
  <c r="F391" i="2"/>
  <c r="G1014" i="2"/>
  <c r="C48" i="2"/>
  <c r="I1237" i="2"/>
  <c r="F868" i="2"/>
  <c r="H2227" i="2"/>
  <c r="V299" i="2"/>
  <c r="E722" i="2"/>
  <c r="F629" i="2"/>
  <c r="J18" i="2"/>
  <c r="M1500" i="2"/>
  <c r="N3238" i="2"/>
  <c r="I1298" i="2"/>
  <c r="O1635" i="2"/>
  <c r="Q1609" i="2"/>
  <c r="F2698" i="2"/>
  <c r="N218" i="2"/>
  <c r="E2817" i="2"/>
  <c r="K1141" i="2"/>
  <c r="R1133" i="2"/>
  <c r="Q1456" i="2"/>
  <c r="U600" i="2"/>
  <c r="J366" i="2"/>
  <c r="J2227" i="2"/>
  <c r="P1536" i="2"/>
  <c r="M1429" i="2"/>
  <c r="C1515" i="2"/>
  <c r="R2201" i="2"/>
  <c r="H342" i="2"/>
  <c r="D498" i="2"/>
  <c r="G1930" i="2"/>
  <c r="U1677" i="2"/>
  <c r="O1503" i="2"/>
  <c r="J1297" i="2"/>
  <c r="K61" i="2"/>
  <c r="K2825" i="2"/>
  <c r="P3285" i="2"/>
  <c r="H1808" i="2"/>
  <c r="D775" i="2"/>
  <c r="V1049" i="2"/>
  <c r="G1488" i="2"/>
  <c r="S3047" i="2"/>
  <c r="K3184" i="2"/>
  <c r="I3217" i="2"/>
  <c r="M2228" i="2"/>
  <c r="D2483" i="2"/>
  <c r="Q2457" i="2"/>
  <c r="H599" i="2"/>
  <c r="C4" i="2"/>
  <c r="S2028" i="2"/>
  <c r="R1469" i="2"/>
  <c r="L2466" i="2"/>
  <c r="V1607" i="2"/>
  <c r="U2161" i="2"/>
  <c r="U2697" i="2"/>
  <c r="E1685" i="2"/>
  <c r="O2971" i="2"/>
  <c r="M2866" i="2"/>
  <c r="P2943" i="2"/>
  <c r="W3106" i="2"/>
  <c r="V1082" i="2"/>
  <c r="W1724" i="2"/>
  <c r="N714" i="2"/>
  <c r="O2348" i="2"/>
  <c r="L1390" i="2"/>
  <c r="Q1158" i="2"/>
  <c r="I2748" i="2"/>
  <c r="T2493" i="2"/>
  <c r="M2245" i="2"/>
  <c r="N518" i="2"/>
  <c r="T2607" i="2"/>
  <c r="H155" i="2"/>
  <c r="M2546" i="2"/>
  <c r="R2233" i="2"/>
  <c r="H1525" i="2"/>
  <c r="F1412" i="2"/>
  <c r="R1837" i="2"/>
  <c r="N1029" i="2"/>
  <c r="W2267" i="2"/>
  <c r="N782" i="2"/>
  <c r="S2457" i="2"/>
  <c r="R1172" i="2"/>
  <c r="L628" i="2"/>
  <c r="S1304" i="2"/>
  <c r="H720" i="2"/>
  <c r="C2155" i="2"/>
  <c r="R2104" i="2"/>
  <c r="F2376" i="2"/>
  <c r="U2242" i="2"/>
  <c r="P1600" i="2"/>
  <c r="N559" i="2"/>
  <c r="W2706" i="2"/>
  <c r="P1219" i="2"/>
  <c r="C2175" i="2"/>
  <c r="L273" i="2"/>
  <c r="C451" i="2"/>
  <c r="F1822" i="2"/>
  <c r="D1115" i="2"/>
  <c r="O2583" i="2"/>
  <c r="F3154" i="2"/>
  <c r="V2250" i="2"/>
  <c r="J3242" i="2"/>
  <c r="L2487" i="2"/>
  <c r="M1167" i="2"/>
  <c r="Q2589" i="2"/>
  <c r="W2893" i="2"/>
  <c r="W1605" i="2"/>
  <c r="S3159" i="2"/>
  <c r="K1395" i="2"/>
  <c r="K1287" i="2"/>
  <c r="W3397" i="2"/>
  <c r="I2614" i="2"/>
  <c r="E1345" i="2"/>
  <c r="D2198" i="2"/>
  <c r="T2596" i="2"/>
  <c r="K2221" i="2"/>
  <c r="R42" i="2"/>
  <c r="G2368" i="2"/>
  <c r="S1676" i="2"/>
  <c r="L2152" i="2"/>
  <c r="P1137" i="2"/>
  <c r="J670" i="2"/>
  <c r="R1977" i="2"/>
  <c r="N2211" i="2"/>
  <c r="I2751" i="2"/>
  <c r="T1455" i="2"/>
  <c r="C1820" i="2"/>
  <c r="C2192" i="2"/>
  <c r="Q2327" i="2"/>
  <c r="E87" i="2"/>
  <c r="V2200" i="2"/>
  <c r="T1160" i="2"/>
  <c r="O631" i="2"/>
  <c r="Q2889" i="2"/>
  <c r="E2627" i="2"/>
  <c r="I2646" i="2"/>
  <c r="R2944" i="2"/>
  <c r="F2951" i="2"/>
  <c r="P3000" i="2"/>
  <c r="N1837" i="2"/>
  <c r="U1851" i="2"/>
  <c r="M2040" i="2"/>
  <c r="H3448" i="2"/>
  <c r="Q450" i="2"/>
  <c r="Q1711" i="2"/>
  <c r="Q2275" i="2"/>
  <c r="G1866" i="2"/>
  <c r="T2752" i="2"/>
  <c r="U3183" i="2"/>
  <c r="Q1491" i="2"/>
  <c r="G787" i="2"/>
  <c r="V2385" i="2"/>
  <c r="S2815" i="2"/>
  <c r="P2265" i="2"/>
  <c r="S1696" i="2"/>
  <c r="R2861" i="2"/>
  <c r="D2954" i="2"/>
  <c r="L2914" i="2"/>
  <c r="T854" i="2"/>
  <c r="E1851" i="2"/>
  <c r="C246" i="2"/>
  <c r="V3471" i="2"/>
  <c r="K2042" i="2"/>
  <c r="L2080" i="2"/>
  <c r="J329" i="2"/>
  <c r="F2085" i="2"/>
  <c r="V1776" i="2"/>
  <c r="I519" i="2"/>
  <c r="V75" i="2"/>
  <c r="U1925" i="2"/>
  <c r="K2350" i="2"/>
  <c r="W26" i="2"/>
  <c r="H287" i="2"/>
  <c r="F1693" i="2"/>
  <c r="L1758" i="2"/>
  <c r="W315" i="2"/>
  <c r="D1755" i="2"/>
  <c r="J2271" i="2"/>
  <c r="L1346" i="2"/>
  <c r="S1341" i="2"/>
  <c r="N11" i="2"/>
  <c r="D1663" i="2"/>
  <c r="D703" i="2"/>
  <c r="H2858" i="2"/>
  <c r="Q79" i="2"/>
  <c r="M2595" i="2"/>
  <c r="R1191" i="2"/>
  <c r="O391" i="2"/>
  <c r="O672" i="2"/>
  <c r="H2405" i="2"/>
  <c r="P3239" i="2"/>
  <c r="M2617" i="2"/>
  <c r="O187" i="2"/>
  <c r="C1335" i="2"/>
  <c r="V3239" i="2"/>
  <c r="S2911" i="2"/>
  <c r="T909" i="2"/>
  <c r="F257" i="2"/>
  <c r="J2500" i="2"/>
  <c r="E1098" i="2"/>
  <c r="L422" i="2"/>
  <c r="T1168" i="2"/>
  <c r="T881" i="2"/>
  <c r="D2453" i="2"/>
  <c r="S1668" i="2"/>
  <c r="O1266" i="2"/>
  <c r="J2024" i="2"/>
  <c r="K2849" i="2"/>
  <c r="J1580" i="2"/>
  <c r="E1755" i="2"/>
  <c r="P1902" i="2"/>
  <c r="C1246" i="2"/>
  <c r="G336" i="2"/>
  <c r="O2539" i="2"/>
  <c r="C2151" i="2"/>
  <c r="I1203" i="2"/>
  <c r="C1751" i="2"/>
  <c r="O1235" i="2"/>
  <c r="I1674" i="2"/>
  <c r="W2759" i="2"/>
  <c r="P1692" i="2"/>
  <c r="I1435" i="2"/>
  <c r="P394" i="2"/>
  <c r="D2278" i="2"/>
  <c r="D271" i="2"/>
  <c r="D200" i="2"/>
  <c r="F3299" i="2"/>
  <c r="T1865" i="2"/>
  <c r="P2388" i="2"/>
  <c r="W2656" i="2"/>
  <c r="W2227" i="2"/>
  <c r="T1289" i="2"/>
  <c r="M481" i="2"/>
  <c r="P2384" i="2"/>
  <c r="G2097" i="2"/>
  <c r="H2037" i="2"/>
  <c r="M381" i="2"/>
  <c r="H1084" i="2"/>
  <c r="D511" i="2"/>
  <c r="K2197" i="2"/>
  <c r="T1073" i="2"/>
  <c r="K689" i="2"/>
  <c r="F1758" i="2"/>
  <c r="G1053" i="2"/>
  <c r="J3062" i="2"/>
  <c r="C1813" i="2"/>
  <c r="K1007" i="2"/>
  <c r="T1774" i="2"/>
  <c r="S1644" i="2"/>
  <c r="H1108" i="2"/>
  <c r="V1877" i="2"/>
  <c r="O2032" i="2"/>
  <c r="F2265" i="2"/>
  <c r="D917" i="2"/>
  <c r="F2581" i="2"/>
  <c r="Q2688" i="2"/>
  <c r="N1615" i="2"/>
  <c r="M421" i="2"/>
  <c r="O1662" i="2"/>
  <c r="K1859" i="2"/>
  <c r="P671" i="2"/>
  <c r="N2150" i="2"/>
  <c r="I3080" i="2"/>
  <c r="E761" i="2"/>
  <c r="T221" i="2"/>
  <c r="T80" i="2"/>
  <c r="Q2336" i="2"/>
  <c r="H2212" i="2"/>
  <c r="G384" i="2"/>
  <c r="I203" i="2"/>
  <c r="T2028" i="2"/>
  <c r="E2713" i="2"/>
  <c r="L2764" i="2"/>
  <c r="G3012" i="2"/>
  <c r="V1321" i="2"/>
  <c r="V3023" i="2"/>
  <c r="U114" i="2"/>
  <c r="I2220" i="2"/>
  <c r="L2027" i="2"/>
  <c r="U1604" i="2"/>
  <c r="D3159" i="2"/>
  <c r="E1210" i="2"/>
  <c r="R2931" i="2"/>
  <c r="U3119" i="2"/>
  <c r="O3107" i="2"/>
  <c r="R2760" i="2"/>
  <c r="T2594" i="2"/>
  <c r="Q3068" i="2"/>
  <c r="W2689" i="2"/>
  <c r="N1730" i="2"/>
  <c r="N2690" i="2"/>
  <c r="Q2452" i="2"/>
  <c r="N3221" i="2"/>
  <c r="O43" i="2"/>
  <c r="I2299" i="2"/>
  <c r="G442" i="2"/>
  <c r="K557" i="2"/>
  <c r="T1692" i="2"/>
  <c r="D1270" i="2"/>
  <c r="U974" i="2"/>
  <c r="M3432" i="2"/>
  <c r="Q1815" i="2"/>
  <c r="W2591" i="2"/>
  <c r="D1974" i="2"/>
  <c r="I3507" i="2"/>
  <c r="D1653" i="2"/>
  <c r="P3047" i="2"/>
  <c r="R2321" i="2"/>
  <c r="D1346" i="2"/>
  <c r="I2611" i="2"/>
  <c r="P1640" i="2"/>
  <c r="G2370" i="2"/>
  <c r="L1417" i="2"/>
  <c r="I2295" i="2"/>
  <c r="V1709" i="2"/>
  <c r="J2824" i="2"/>
  <c r="K1000" i="2"/>
  <c r="S1884" i="2"/>
  <c r="R2915" i="2"/>
  <c r="J2832" i="2"/>
  <c r="M2263" i="2"/>
  <c r="E1718" i="2"/>
  <c r="O2816" i="2"/>
  <c r="S2853" i="2"/>
  <c r="G648" i="2"/>
  <c r="U2038" i="2"/>
  <c r="P76" i="2"/>
  <c r="R1603" i="2"/>
  <c r="L970" i="2"/>
  <c r="R2404" i="2"/>
  <c r="P2135" i="2"/>
  <c r="U1632" i="2"/>
  <c r="P739" i="2"/>
  <c r="P1690" i="2"/>
  <c r="F2854" i="2"/>
  <c r="K1506" i="2"/>
  <c r="M2494" i="2"/>
  <c r="U246" i="2"/>
  <c r="M2111" i="2"/>
  <c r="P3305" i="2"/>
  <c r="O2478" i="2"/>
  <c r="W1506" i="2"/>
  <c r="Q2150" i="2"/>
  <c r="D2886" i="2"/>
  <c r="O1654" i="2"/>
  <c r="I3215" i="2"/>
  <c r="K2852" i="2"/>
  <c r="J1922" i="2"/>
  <c r="S68" i="2"/>
  <c r="G2866" i="2"/>
  <c r="I2552" i="2"/>
  <c r="J1645" i="2"/>
  <c r="J2128" i="2"/>
  <c r="W643" i="2"/>
  <c r="I1348" i="2"/>
  <c r="G228" i="2"/>
  <c r="J1830" i="2"/>
  <c r="M549" i="2"/>
  <c r="I3129" i="2"/>
  <c r="U2004" i="2"/>
  <c r="E3189" i="2"/>
  <c r="K2523" i="2"/>
  <c r="O2065" i="2"/>
  <c r="U1039" i="2"/>
  <c r="Q2498" i="2"/>
  <c r="F2648" i="2"/>
  <c r="S1643" i="2"/>
  <c r="H418" i="2"/>
  <c r="N650" i="2"/>
  <c r="F30" i="2"/>
  <c r="G2924" i="2"/>
  <c r="D2109" i="2"/>
  <c r="L2235" i="2"/>
  <c r="I3188" i="2"/>
  <c r="D2636" i="2"/>
  <c r="T2121" i="2"/>
  <c r="W3517" i="2"/>
  <c r="M2437" i="2"/>
  <c r="H1890" i="2"/>
  <c r="S1843" i="2"/>
  <c r="H2208" i="2"/>
  <c r="N2210" i="2"/>
  <c r="K2023" i="2"/>
  <c r="Q2958" i="2"/>
  <c r="Q23" i="2"/>
  <c r="Q2208" i="2"/>
  <c r="J2240" i="2"/>
  <c r="N2582" i="2"/>
  <c r="Q953" i="2"/>
  <c r="H2962" i="2"/>
  <c r="K3259" i="2"/>
  <c r="L2029" i="2"/>
  <c r="G2303" i="2"/>
  <c r="Q2516" i="2"/>
  <c r="G3019" i="2"/>
  <c r="R2248" i="2"/>
  <c r="Q925" i="2"/>
  <c r="I2207" i="2"/>
  <c r="W3157" i="2"/>
  <c r="F3277" i="2"/>
  <c r="H769" i="2"/>
  <c r="W2780" i="2"/>
  <c r="I1667" i="2"/>
  <c r="G854" i="2"/>
  <c r="T1992" i="2"/>
  <c r="D1031" i="2"/>
  <c r="R2679" i="2"/>
  <c r="K2878" i="2"/>
  <c r="J2600" i="2"/>
  <c r="E1585" i="2"/>
  <c r="V1327" i="2"/>
  <c r="T2229" i="2"/>
  <c r="R661" i="2"/>
  <c r="K758" i="2"/>
  <c r="Q632" i="2"/>
  <c r="C2068" i="2"/>
  <c r="E1562" i="2"/>
  <c r="K1056" i="2"/>
  <c r="K282" i="2"/>
  <c r="E3491" i="2"/>
  <c r="K2458" i="2"/>
  <c r="G660" i="2"/>
  <c r="C1244" i="2"/>
  <c r="O1558" i="2"/>
  <c r="E2825" i="2"/>
  <c r="E30" i="2"/>
  <c r="J769" i="2"/>
  <c r="U2079" i="2"/>
  <c r="I267" i="2"/>
  <c r="J2421" i="2"/>
  <c r="P1944" i="2"/>
  <c r="Q566" i="2"/>
  <c r="G1774" i="2"/>
  <c r="O2224" i="2"/>
  <c r="S2306" i="2"/>
  <c r="I2470" i="2"/>
  <c r="E293" i="2"/>
  <c r="O1959" i="2"/>
  <c r="N2173" i="2"/>
  <c r="E3008" i="2"/>
  <c r="E1554" i="2"/>
  <c r="E1041" i="2"/>
  <c r="L2611" i="2"/>
  <c r="S127" i="2"/>
  <c r="I1630" i="2"/>
  <c r="I507" i="2"/>
  <c r="T165" i="2"/>
  <c r="V665" i="2"/>
  <c r="M362" i="2"/>
  <c r="H834" i="2"/>
  <c r="G1852" i="2"/>
  <c r="U2169" i="2"/>
  <c r="T982" i="2"/>
  <c r="L288" i="2"/>
  <c r="G1006" i="2"/>
  <c r="P543" i="2"/>
  <c r="H2235" i="2"/>
  <c r="G2815" i="2"/>
  <c r="W1452" i="2"/>
  <c r="S908" i="2"/>
  <c r="J1937" i="2"/>
  <c r="L2989" i="2"/>
  <c r="G2011" i="2"/>
  <c r="U2515" i="2"/>
  <c r="P1538" i="2"/>
  <c r="P2087" i="2"/>
  <c r="T48" i="2"/>
  <c r="E2270" i="2"/>
  <c r="P2645" i="2"/>
  <c r="L884" i="2"/>
  <c r="R179" i="2"/>
  <c r="R915" i="2"/>
  <c r="N746" i="2"/>
  <c r="K1108" i="2"/>
  <c r="K1948" i="2"/>
  <c r="C210" i="2"/>
  <c r="S1200" i="2"/>
  <c r="F432" i="2"/>
  <c r="H2075" i="2"/>
  <c r="P2556" i="2"/>
  <c r="D545" i="2"/>
  <c r="G174" i="2"/>
  <c r="T1916" i="2"/>
  <c r="L2288" i="2"/>
  <c r="L1415" i="2"/>
  <c r="T2076" i="2"/>
  <c r="C2026" i="2"/>
  <c r="D2140" i="2"/>
  <c r="R963" i="2"/>
  <c r="S711" i="2"/>
  <c r="S1047" i="2"/>
  <c r="F809" i="2"/>
  <c r="H797" i="2"/>
  <c r="J2" i="2"/>
  <c r="R1059" i="2"/>
  <c r="U523" i="2"/>
  <c r="K28" i="2"/>
  <c r="M2133" i="2"/>
  <c r="U1510" i="2"/>
  <c r="S137" i="2"/>
  <c r="D134" i="2"/>
  <c r="T2209" i="2"/>
  <c r="K2686" i="2"/>
  <c r="S1552" i="2"/>
  <c r="R1596" i="2"/>
  <c r="O2985" i="2"/>
  <c r="K3217" i="2"/>
  <c r="D2269" i="2"/>
  <c r="J2937" i="2"/>
  <c r="R37" i="2"/>
  <c r="U636" i="2"/>
  <c r="T470" i="2"/>
  <c r="E1747" i="2"/>
  <c r="P950" i="2"/>
  <c r="I1240" i="2"/>
  <c r="J823" i="2"/>
  <c r="E2416" i="2"/>
  <c r="S1012" i="2"/>
  <c r="U1312" i="2"/>
  <c r="R2011" i="2"/>
  <c r="D1118" i="2"/>
  <c r="N520" i="2"/>
  <c r="D778" i="2"/>
  <c r="L1700" i="2"/>
  <c r="H32" i="2"/>
  <c r="T718" i="2"/>
  <c r="S1342" i="2"/>
  <c r="L63" i="2"/>
  <c r="V838" i="2"/>
  <c r="W971" i="2"/>
  <c r="S2637" i="2"/>
  <c r="S2840" i="2"/>
  <c r="N2895" i="2"/>
  <c r="C1384" i="2"/>
  <c r="E2738" i="2"/>
  <c r="D76" i="2"/>
  <c r="G2013" i="2"/>
  <c r="L916" i="2"/>
  <c r="Q143" i="2"/>
  <c r="P973" i="2"/>
  <c r="P2201" i="2"/>
  <c r="U945" i="2"/>
  <c r="G1063" i="2"/>
  <c r="C214" i="2"/>
  <c r="S150" i="2"/>
  <c r="R2476" i="2"/>
  <c r="E2061" i="2"/>
  <c r="H522" i="2"/>
  <c r="E2440" i="2"/>
  <c r="N1193" i="2"/>
  <c r="M2012" i="2"/>
  <c r="O163" i="2"/>
  <c r="V1908" i="2"/>
  <c r="L7" i="2"/>
  <c r="P1956" i="2"/>
  <c r="D668" i="2"/>
  <c r="E2453" i="2"/>
  <c r="I874" i="2"/>
  <c r="M848" i="2"/>
  <c r="G1603" i="2"/>
  <c r="Q602" i="2"/>
  <c r="O2606" i="2"/>
  <c r="R1545" i="2"/>
  <c r="Q2342" i="2"/>
  <c r="G157" i="2"/>
  <c r="Q381" i="2"/>
  <c r="N2835" i="2"/>
  <c r="S1747" i="2"/>
  <c r="N2019" i="2"/>
  <c r="V2800" i="2"/>
  <c r="G2008" i="2"/>
  <c r="T849" i="2"/>
  <c r="L2973" i="2"/>
  <c r="U2100" i="2"/>
  <c r="D567" i="2"/>
  <c r="Q618" i="2"/>
  <c r="P3134" i="2"/>
  <c r="N1651" i="2"/>
  <c r="Q564" i="2"/>
  <c r="I1986" i="2"/>
  <c r="V738" i="2"/>
  <c r="S1638" i="2"/>
  <c r="M3186" i="2"/>
  <c r="T1643" i="2"/>
  <c r="W2117" i="2"/>
  <c r="E2721" i="2"/>
  <c r="R1312" i="2"/>
  <c r="R487" i="2"/>
  <c r="U2878" i="2"/>
  <c r="C1553" i="2"/>
  <c r="W462" i="2"/>
  <c r="U2568" i="2"/>
  <c r="W1326" i="2"/>
  <c r="E1994" i="2"/>
  <c r="C545" i="2"/>
  <c r="V2477" i="2"/>
  <c r="I2042" i="2"/>
  <c r="U3288" i="2"/>
  <c r="L2798" i="2"/>
  <c r="L423" i="2"/>
  <c r="G720" i="2"/>
  <c r="D2502" i="2"/>
  <c r="M2287" i="2"/>
  <c r="U1108" i="2"/>
  <c r="S1177" i="2"/>
  <c r="G904" i="2"/>
  <c r="I645" i="2"/>
  <c r="H998" i="2"/>
  <c r="H2327" i="2"/>
  <c r="U2911" i="2"/>
  <c r="S2238" i="2"/>
  <c r="J1640" i="2"/>
  <c r="F120" i="2"/>
  <c r="O3398" i="2"/>
  <c r="T218" i="2"/>
  <c r="U175" i="2"/>
  <c r="N2628" i="2"/>
  <c r="C3253" i="2"/>
  <c r="I2486" i="2"/>
  <c r="H2421" i="2"/>
  <c r="G1701" i="2"/>
  <c r="F2859" i="2"/>
  <c r="H2298" i="2"/>
  <c r="J1670" i="2"/>
  <c r="K1218" i="2"/>
  <c r="L2097" i="2"/>
  <c r="L2395" i="2"/>
  <c r="R2299" i="2"/>
  <c r="C393" i="2"/>
  <c r="S2783" i="2"/>
  <c r="M1922" i="2"/>
  <c r="H591" i="2"/>
  <c r="S2645" i="2"/>
  <c r="N1271" i="2"/>
  <c r="D277" i="2"/>
  <c r="L2416" i="2"/>
  <c r="C1013" i="2"/>
  <c r="P3188" i="2"/>
  <c r="O1039" i="2"/>
  <c r="G1078" i="2"/>
  <c r="C2015" i="2"/>
  <c r="L1340" i="2"/>
  <c r="J1190" i="2"/>
  <c r="T2469" i="2"/>
  <c r="M1962" i="2"/>
  <c r="G763" i="2"/>
  <c r="U1372" i="2"/>
  <c r="H964" i="2"/>
  <c r="M431" i="2"/>
  <c r="G1417" i="2"/>
  <c r="Q2309" i="2"/>
  <c r="P2878" i="2"/>
  <c r="U1860" i="2"/>
  <c r="D746" i="2"/>
  <c r="I1234" i="2"/>
  <c r="I1895" i="2"/>
  <c r="W536" i="2"/>
  <c r="O3240" i="2"/>
  <c r="K1211" i="2"/>
  <c r="E92" i="2"/>
  <c r="L567" i="2"/>
  <c r="P2847" i="2"/>
  <c r="H1782" i="2"/>
  <c r="H3032" i="2"/>
  <c r="Q1972" i="2"/>
  <c r="I2052" i="2"/>
  <c r="D2041" i="2"/>
  <c r="T518" i="2"/>
  <c r="U884" i="2"/>
  <c r="E2566" i="2"/>
  <c r="M2560" i="2"/>
  <c r="H2443" i="2"/>
  <c r="Q1565" i="2"/>
  <c r="S1195" i="2"/>
  <c r="U1820" i="2"/>
  <c r="J767" i="2"/>
  <c r="M1243" i="2"/>
  <c r="R2600" i="2"/>
  <c r="P1670" i="2"/>
  <c r="U1033" i="2"/>
  <c r="L2582" i="2"/>
  <c r="R2214" i="2"/>
  <c r="V560" i="2"/>
  <c r="K2734" i="2"/>
  <c r="H1919" i="2"/>
  <c r="Q1607" i="2"/>
  <c r="M1018" i="2"/>
  <c r="M2692" i="2"/>
  <c r="T873" i="2"/>
  <c r="N1833" i="2"/>
  <c r="P597" i="2"/>
  <c r="H1577" i="2"/>
  <c r="V1204" i="2"/>
  <c r="U2253" i="2"/>
  <c r="E2691" i="2"/>
  <c r="P2007" i="2"/>
  <c r="H2695" i="2"/>
  <c r="N1153" i="2"/>
  <c r="S2005" i="2"/>
  <c r="J2403" i="2"/>
  <c r="G2410" i="2"/>
  <c r="U1571" i="2"/>
  <c r="K966" i="2"/>
  <c r="O2506" i="2"/>
  <c r="H2201" i="2"/>
  <c r="W252" i="2"/>
  <c r="U1667" i="2"/>
  <c r="J297" i="2"/>
  <c r="I447" i="2"/>
  <c r="W2785" i="2"/>
  <c r="J2244" i="2"/>
  <c r="M1320" i="2"/>
  <c r="S2657" i="2"/>
  <c r="J127" i="2"/>
  <c r="E1806" i="2"/>
  <c r="I1754" i="2"/>
  <c r="T1372" i="2"/>
  <c r="S3088" i="2"/>
  <c r="H1177" i="2"/>
  <c r="R2745" i="2"/>
  <c r="T2486" i="2"/>
  <c r="O1035" i="2"/>
  <c r="U900" i="2"/>
  <c r="U598" i="2"/>
  <c r="M922" i="2"/>
  <c r="L2278" i="2"/>
  <c r="R1919" i="2"/>
  <c r="M984" i="2"/>
  <c r="Q1729" i="2"/>
  <c r="F2852" i="2"/>
  <c r="C797" i="2"/>
  <c r="E850" i="2"/>
  <c r="P1082" i="2"/>
  <c r="P1054" i="2"/>
  <c r="W1609" i="2"/>
  <c r="G28" i="2"/>
  <c r="U3404" i="2"/>
  <c r="H1776" i="2"/>
  <c r="T1952" i="2"/>
  <c r="N413" i="2"/>
  <c r="P60" i="2"/>
  <c r="D904" i="2"/>
  <c r="L1138" i="2"/>
  <c r="Q1457" i="2"/>
  <c r="H3074" i="2"/>
  <c r="U647" i="2"/>
  <c r="K1404" i="2"/>
  <c r="P347" i="2"/>
  <c r="D2654" i="2"/>
  <c r="U1446" i="2"/>
  <c r="E1909" i="2"/>
  <c r="R3624" i="2"/>
  <c r="E2174" i="2"/>
  <c r="E2069" i="2"/>
  <c r="S2890" i="2"/>
  <c r="J1237" i="2"/>
  <c r="W863" i="2"/>
  <c r="J3244" i="2"/>
  <c r="O1130" i="2"/>
  <c r="Q1484" i="2"/>
  <c r="M718" i="2"/>
  <c r="I282" i="2"/>
  <c r="N1048" i="2"/>
  <c r="P80" i="2"/>
  <c r="P2650" i="2"/>
  <c r="O707" i="2"/>
  <c r="P459" i="2"/>
  <c r="T2412" i="2"/>
  <c r="D1009" i="2"/>
  <c r="Q2834" i="2"/>
  <c r="V2861" i="2"/>
  <c r="R2038" i="2"/>
  <c r="C3186" i="2"/>
  <c r="J1728" i="2"/>
  <c r="R1160" i="2"/>
  <c r="M2935" i="2"/>
  <c r="E1465" i="2"/>
  <c r="D2832" i="2"/>
  <c r="H886" i="2"/>
  <c r="P1720" i="2"/>
  <c r="T2866" i="2"/>
  <c r="O557" i="2"/>
  <c r="N309" i="2"/>
  <c r="L244" i="2"/>
  <c r="Q1846" i="2"/>
  <c r="K1951" i="2"/>
  <c r="O3375" i="2"/>
  <c r="I1539" i="2"/>
  <c r="H1174" i="2"/>
  <c r="J1490" i="2"/>
  <c r="D3267" i="2"/>
  <c r="L3127" i="2"/>
  <c r="L2587" i="2"/>
  <c r="D3146" i="2"/>
  <c r="S1532" i="2"/>
  <c r="I1060" i="2"/>
  <c r="Q1910" i="2"/>
  <c r="M1872" i="2"/>
  <c r="F1517" i="2"/>
  <c r="C2233" i="2"/>
  <c r="J367" i="2"/>
  <c r="O1741" i="2"/>
  <c r="O1661" i="2"/>
  <c r="Q2568" i="2"/>
  <c r="Q718" i="2"/>
  <c r="L536" i="2"/>
  <c r="W2042" i="2"/>
  <c r="T2929" i="2"/>
  <c r="C2115" i="2"/>
  <c r="P3123" i="2"/>
  <c r="T745" i="2"/>
  <c r="R2303" i="2"/>
  <c r="V1522" i="2"/>
  <c r="C1035" i="2"/>
  <c r="F443" i="2"/>
  <c r="K1970" i="2"/>
  <c r="O909" i="2"/>
  <c r="I3195" i="2"/>
  <c r="S2953" i="2"/>
  <c r="J2590" i="2"/>
  <c r="V465" i="2"/>
  <c r="Q1853" i="2"/>
  <c r="S1446" i="2"/>
  <c r="S2317" i="2"/>
  <c r="N2763" i="2"/>
  <c r="F2061" i="2"/>
  <c r="F2365" i="2"/>
  <c r="W2164" i="2"/>
  <c r="L1341" i="2"/>
  <c r="U1784" i="2"/>
  <c r="E2647" i="2"/>
  <c r="F2640" i="2"/>
  <c r="N2588" i="2"/>
  <c r="S1042" i="2"/>
  <c r="R3134" i="2"/>
  <c r="E2870" i="2"/>
  <c r="K2579" i="2"/>
  <c r="R712" i="2"/>
  <c r="S339" i="2"/>
  <c r="I2516" i="2"/>
  <c r="R1014" i="2"/>
  <c r="L1773" i="2"/>
  <c r="W2350" i="2"/>
  <c r="P1735" i="2"/>
  <c r="R960" i="2"/>
  <c r="Q2296" i="2"/>
  <c r="J290" i="2"/>
  <c r="P1300" i="2"/>
  <c r="O1748" i="2"/>
  <c r="Q1898" i="2"/>
  <c r="H928" i="2"/>
  <c r="L342" i="2"/>
  <c r="N1892" i="2"/>
  <c r="N1166" i="2"/>
  <c r="J2598" i="2"/>
  <c r="D1492" i="2"/>
  <c r="S781" i="2"/>
  <c r="J2052" i="2"/>
  <c r="E483" i="2"/>
  <c r="N2722" i="2"/>
  <c r="I563" i="2"/>
  <c r="V2084" i="2"/>
  <c r="P2394" i="2"/>
  <c r="J1003" i="2"/>
  <c r="F1614" i="2"/>
  <c r="S1208" i="2"/>
  <c r="K1168" i="2"/>
  <c r="V3277" i="2"/>
  <c r="G2342" i="2"/>
  <c r="S41" i="2"/>
  <c r="T2893" i="2"/>
  <c r="D322" i="2"/>
  <c r="H2817" i="2"/>
  <c r="T1220" i="2"/>
  <c r="Q1130" i="2"/>
  <c r="M2003" i="2"/>
  <c r="Q1654" i="2"/>
  <c r="R1924" i="2"/>
  <c r="C1457" i="2"/>
  <c r="C1086" i="2"/>
  <c r="G2228" i="2"/>
  <c r="U1053" i="2"/>
  <c r="W1226" i="2"/>
  <c r="U2374" i="2"/>
  <c r="P2149" i="2"/>
  <c r="T828" i="2"/>
  <c r="J239" i="2"/>
  <c r="D705" i="2"/>
  <c r="T2719" i="2"/>
  <c r="C663" i="2"/>
  <c r="W2819" i="2"/>
  <c r="H2853" i="2"/>
  <c r="H968" i="2"/>
  <c r="L958" i="2"/>
  <c r="U3124" i="2"/>
  <c r="F423" i="2"/>
  <c r="E3350" i="2"/>
  <c r="U1914" i="2"/>
  <c r="K1552" i="2"/>
  <c r="Q1772" i="2"/>
  <c r="K875" i="2"/>
  <c r="V1180" i="2"/>
  <c r="O1449" i="2"/>
  <c r="I1406" i="2"/>
  <c r="H864" i="2"/>
  <c r="T2294" i="2"/>
  <c r="U631" i="2"/>
  <c r="K1630" i="2"/>
  <c r="D3275" i="2"/>
  <c r="J534" i="2"/>
  <c r="H1666" i="2"/>
  <c r="K911" i="2"/>
  <c r="T3153" i="2"/>
  <c r="P150" i="2"/>
  <c r="R2391" i="2"/>
  <c r="M2568" i="2"/>
  <c r="S2601" i="2"/>
  <c r="W1380" i="2"/>
  <c r="K86" i="2"/>
  <c r="J1642" i="2"/>
  <c r="S2475" i="2"/>
  <c r="L2413" i="2"/>
  <c r="D2125" i="2"/>
  <c r="E333" i="2"/>
  <c r="C219" i="2"/>
  <c r="J70" i="2"/>
  <c r="J1287" i="2"/>
  <c r="U466" i="2"/>
  <c r="P657" i="2"/>
  <c r="N2367" i="2"/>
  <c r="E1266" i="2"/>
  <c r="J55" i="2"/>
  <c r="S1305" i="2"/>
  <c r="V2454" i="2"/>
  <c r="V602" i="2"/>
  <c r="D581" i="2"/>
  <c r="K30" i="2"/>
  <c r="G2462" i="2"/>
  <c r="S429" i="2"/>
  <c r="H388" i="2"/>
  <c r="L500" i="2"/>
  <c r="V2211" i="2"/>
  <c r="R1041" i="2"/>
  <c r="P2948" i="2"/>
  <c r="M1348" i="2"/>
  <c r="K3143" i="2"/>
  <c r="H1129" i="2"/>
  <c r="D433" i="2"/>
  <c r="Q547" i="2"/>
  <c r="S254" i="2"/>
  <c r="I2075" i="2"/>
  <c r="U3400" i="2"/>
  <c r="K272" i="2"/>
  <c r="Q2529" i="2"/>
  <c r="S1702" i="2"/>
  <c r="N1329" i="2"/>
  <c r="O360" i="2"/>
  <c r="I1417" i="2"/>
  <c r="I1577" i="2"/>
  <c r="M1734" i="2"/>
  <c r="O1394" i="2"/>
  <c r="W44" i="2"/>
  <c r="J2944" i="2"/>
  <c r="G2035" i="2"/>
  <c r="H129" i="2"/>
  <c r="S2559" i="2"/>
  <c r="N912" i="2"/>
  <c r="F2347" i="2"/>
  <c r="H2431" i="2"/>
  <c r="V2369" i="2"/>
  <c r="P2365" i="2"/>
  <c r="M1479" i="2"/>
  <c r="Q2194" i="2"/>
  <c r="J2753" i="2"/>
  <c r="N1802" i="2"/>
  <c r="E825" i="2"/>
  <c r="M1798" i="2"/>
  <c r="I603" i="2"/>
  <c r="E1143" i="2"/>
  <c r="N84" i="2"/>
  <c r="J235" i="2"/>
  <c r="U3080" i="2"/>
  <c r="P1973" i="2"/>
  <c r="R2605" i="2"/>
  <c r="O1944" i="2"/>
  <c r="V1840" i="2"/>
  <c r="S3177" i="2"/>
  <c r="Q1677" i="2"/>
  <c r="L2276" i="2"/>
  <c r="E2791" i="2"/>
  <c r="M1632" i="2"/>
  <c r="F2498" i="2"/>
  <c r="H2718" i="2"/>
  <c r="Q1959" i="2"/>
  <c r="S3200" i="2"/>
  <c r="E3131" i="2"/>
  <c r="Q2106" i="2"/>
  <c r="R2495" i="2"/>
  <c r="J1768" i="2"/>
  <c r="L2200" i="2"/>
  <c r="S2841" i="2"/>
  <c r="V2990" i="2"/>
  <c r="U1295" i="2"/>
  <c r="Q2657" i="2"/>
  <c r="I2812" i="2"/>
  <c r="U2027" i="2"/>
  <c r="R460" i="2"/>
  <c r="F1160" i="2"/>
  <c r="I2268" i="2"/>
  <c r="L358" i="2"/>
  <c r="D760" i="2"/>
  <c r="F377" i="2"/>
  <c r="H1755" i="2"/>
  <c r="S1616" i="2"/>
  <c r="P2618" i="2"/>
  <c r="Q1015" i="2"/>
  <c r="N1620" i="2"/>
  <c r="J3272" i="2"/>
  <c r="L2079" i="2"/>
  <c r="T3071" i="2"/>
  <c r="S1700" i="2"/>
  <c r="E633" i="2"/>
  <c r="P2325" i="2"/>
  <c r="D1996" i="2"/>
  <c r="M2350" i="2"/>
  <c r="P2597" i="2"/>
  <c r="U2065" i="2"/>
  <c r="Q403" i="2"/>
  <c r="J2002" i="2"/>
  <c r="U2612" i="2"/>
  <c r="D1515" i="2"/>
  <c r="F896" i="2"/>
  <c r="N2805" i="2"/>
  <c r="Q242" i="2"/>
  <c r="U355" i="2"/>
  <c r="V3094" i="2"/>
  <c r="L3169" i="2"/>
  <c r="K2193" i="2"/>
  <c r="G2157" i="2"/>
  <c r="W766" i="2"/>
  <c r="Q1899" i="2"/>
  <c r="R2382" i="2"/>
  <c r="T972" i="2"/>
  <c r="M2465" i="2"/>
  <c r="Q2841" i="2"/>
  <c r="D3204" i="2"/>
  <c r="T1421" i="2"/>
  <c r="J2018" i="2"/>
  <c r="H2815" i="2"/>
  <c r="R2487" i="2"/>
  <c r="E2829" i="2"/>
  <c r="I1238" i="2"/>
  <c r="I3311" i="2"/>
  <c r="E2995" i="2"/>
  <c r="L1329" i="2"/>
  <c r="E2582" i="2"/>
  <c r="S1033" i="2"/>
  <c r="E1288" i="2"/>
  <c r="H1326" i="2"/>
  <c r="P2430" i="2"/>
  <c r="S2038" i="2"/>
  <c r="H2795" i="2"/>
  <c r="S1413" i="2"/>
  <c r="I1772" i="2"/>
  <c r="F2049" i="2"/>
  <c r="E101" i="2"/>
  <c r="O2245" i="2"/>
  <c r="C2756" i="2"/>
  <c r="H2228" i="2"/>
  <c r="W2899" i="2"/>
  <c r="M2460" i="2"/>
  <c r="G2931" i="2"/>
  <c r="M3347" i="2"/>
  <c r="L2218" i="2"/>
  <c r="S1386" i="2"/>
  <c r="W2827" i="2"/>
  <c r="D3184" i="2"/>
  <c r="J2680" i="2"/>
  <c r="C3296" i="2"/>
  <c r="S1914" i="2"/>
  <c r="G1752" i="2"/>
  <c r="K1924" i="2"/>
  <c r="W2341" i="2"/>
  <c r="G1518" i="2"/>
  <c r="E2705" i="2"/>
  <c r="I1524" i="2"/>
  <c r="Q2896" i="2"/>
  <c r="S2094" i="2"/>
  <c r="T3173" i="2"/>
  <c r="N2950" i="2"/>
  <c r="V2415" i="2"/>
  <c r="U2274" i="2"/>
  <c r="T1891" i="2"/>
  <c r="G2761" i="2"/>
  <c r="S3399" i="2"/>
  <c r="F882" i="2"/>
  <c r="O2342" i="2"/>
  <c r="F2487" i="2"/>
  <c r="E2207" i="2"/>
  <c r="E1855" i="2"/>
  <c r="G3182" i="2"/>
  <c r="O2063" i="2"/>
  <c r="E3136" i="2"/>
  <c r="Q3206" i="2"/>
  <c r="J2671" i="2"/>
  <c r="O1372" i="2"/>
  <c r="K2862" i="2"/>
  <c r="U2507" i="2"/>
  <c r="G2048" i="2"/>
  <c r="C2932" i="2"/>
  <c r="R2267" i="2"/>
  <c r="H2461" i="2"/>
  <c r="O3209" i="2"/>
  <c r="R2298" i="2"/>
  <c r="H2950" i="2"/>
  <c r="D2072" i="2"/>
  <c r="S2383" i="2"/>
  <c r="O2651" i="2"/>
  <c r="L3036" i="2"/>
  <c r="S3044" i="2"/>
  <c r="W1916" i="2"/>
  <c r="U2279" i="2"/>
  <c r="C1210" i="2"/>
  <c r="I2694" i="2"/>
  <c r="D2649" i="2"/>
  <c r="P2537" i="2"/>
  <c r="U2168" i="2"/>
  <c r="T3143" i="2"/>
  <c r="P1819" i="2"/>
  <c r="I2330" i="2"/>
  <c r="V44" i="2"/>
  <c r="W1868" i="2"/>
  <c r="L3265" i="2"/>
  <c r="E1945" i="2"/>
  <c r="F877" i="2"/>
  <c r="N560" i="2"/>
  <c r="O25" i="2"/>
  <c r="T2081" i="2"/>
  <c r="I2903" i="2"/>
  <c r="L2013" i="2"/>
  <c r="S1665" i="2"/>
  <c r="V2578" i="2"/>
  <c r="H1855" i="2"/>
  <c r="J1017" i="2"/>
  <c r="M914" i="2"/>
  <c r="P1248" i="2"/>
  <c r="Q756" i="2"/>
  <c r="E3169" i="2"/>
  <c r="F2399" i="2"/>
  <c r="P3346" i="2"/>
  <c r="I2374" i="2"/>
  <c r="T3049" i="2"/>
  <c r="I1980" i="2"/>
  <c r="E1870" i="2"/>
  <c r="N1701" i="2"/>
  <c r="K3068" i="2"/>
  <c r="D1851" i="2"/>
  <c r="E1938" i="2"/>
  <c r="I2752" i="2"/>
  <c r="K2348" i="2"/>
  <c r="U2381" i="2"/>
  <c r="K1588" i="2"/>
  <c r="F267" i="2"/>
  <c r="F2924" i="2"/>
  <c r="E2325" i="2"/>
  <c r="K2805" i="2"/>
  <c r="H1527" i="2"/>
  <c r="P2768" i="2"/>
  <c r="N3048" i="2"/>
  <c r="C1088" i="2"/>
  <c r="V2632" i="2"/>
  <c r="P3328" i="2"/>
  <c r="G2834" i="2"/>
  <c r="D1938" i="2"/>
  <c r="R1963" i="2"/>
  <c r="Q1619" i="2"/>
  <c r="J2129" i="2"/>
  <c r="M2348" i="2"/>
  <c r="G2092" i="2"/>
  <c r="K2657" i="2"/>
  <c r="C1933" i="2"/>
  <c r="K1551" i="2"/>
  <c r="G1950" i="2"/>
  <c r="K2352" i="2"/>
  <c r="T1321" i="2"/>
  <c r="I1907" i="2"/>
  <c r="P1442" i="2"/>
  <c r="K1019" i="2"/>
  <c r="T3432" i="2"/>
  <c r="P3199" i="2"/>
  <c r="R1662" i="2"/>
  <c r="U1411" i="2"/>
  <c r="U1363" i="2"/>
  <c r="G2249" i="2"/>
  <c r="D2893" i="2"/>
  <c r="C3243" i="2"/>
  <c r="V1857" i="2"/>
  <c r="Q2508" i="2"/>
  <c r="F1741" i="2"/>
  <c r="H3259" i="2"/>
  <c r="F1305" i="2"/>
  <c r="Q2765" i="2"/>
  <c r="G964" i="2"/>
  <c r="W2543" i="2"/>
  <c r="Q2297" i="2"/>
  <c r="L2601" i="2"/>
  <c r="S1336" i="2"/>
  <c r="U3227" i="2"/>
  <c r="R3040" i="2"/>
  <c r="N2115" i="2"/>
  <c r="F801" i="2"/>
  <c r="N215" i="2"/>
  <c r="J2197" i="2"/>
  <c r="P48" i="2"/>
  <c r="G1543" i="2"/>
  <c r="M2160" i="2"/>
  <c r="Q1873" i="2"/>
  <c r="J2947" i="2"/>
  <c r="F12" i="2"/>
  <c r="M2145" i="2"/>
  <c r="J815" i="2"/>
  <c r="T2168" i="2"/>
  <c r="P3503" i="2"/>
  <c r="M2227" i="2"/>
  <c r="T1925" i="2"/>
  <c r="L3560" i="2"/>
  <c r="E234" i="2"/>
  <c r="K1604" i="2"/>
  <c r="K2361" i="2"/>
  <c r="M2241" i="2"/>
  <c r="Q2887" i="2"/>
  <c r="T1320" i="2"/>
  <c r="R3063" i="2"/>
  <c r="D2632" i="2"/>
  <c r="O1802" i="2"/>
  <c r="P2951" i="2"/>
  <c r="M2441" i="2"/>
  <c r="V1077" i="2"/>
  <c r="E3172" i="2"/>
  <c r="M2093" i="2"/>
  <c r="V3050" i="2"/>
  <c r="G3402" i="2"/>
  <c r="U1464" i="2"/>
  <c r="T2721" i="2"/>
  <c r="C3081" i="2"/>
  <c r="P547" i="2"/>
  <c r="L1292" i="2"/>
  <c r="U52" i="2"/>
  <c r="W1509" i="2"/>
  <c r="O336" i="2"/>
  <c r="H858" i="2"/>
  <c r="O1737" i="2"/>
  <c r="T2409" i="2"/>
  <c r="R1317" i="2"/>
  <c r="L583" i="2"/>
  <c r="W2665" i="2"/>
  <c r="P2351" i="2"/>
  <c r="N2220" i="2"/>
  <c r="K3258" i="2"/>
  <c r="I1317" i="2"/>
  <c r="J1269" i="2"/>
  <c r="F2272" i="2"/>
  <c r="L2479" i="2"/>
  <c r="E2957" i="2"/>
  <c r="T2243" i="2"/>
  <c r="F3128" i="2"/>
  <c r="F476" i="2"/>
  <c r="H2285" i="2"/>
  <c r="N2247" i="2"/>
  <c r="L3347" i="2"/>
  <c r="M2161" i="2"/>
  <c r="N2647" i="2"/>
  <c r="I2682" i="2"/>
  <c r="S2812" i="2"/>
  <c r="P2571" i="2"/>
  <c r="S105" i="2"/>
  <c r="G2903" i="2"/>
  <c r="O1309" i="2"/>
  <c r="H2716" i="2"/>
  <c r="N1066" i="2"/>
  <c r="F1718" i="2"/>
  <c r="L2711" i="2"/>
  <c r="E2702" i="2"/>
  <c r="H3120" i="2"/>
  <c r="M2225" i="2"/>
  <c r="M2119" i="2"/>
  <c r="L1433" i="2"/>
  <c r="J2513" i="2"/>
  <c r="W3246" i="2"/>
  <c r="V1115" i="2"/>
  <c r="U2251" i="2"/>
  <c r="O3280" i="2"/>
  <c r="P341" i="2"/>
  <c r="L2376" i="2"/>
  <c r="G2673" i="2"/>
  <c r="H3111" i="2"/>
  <c r="N2936" i="2"/>
  <c r="D57" i="2"/>
  <c r="O1950" i="2"/>
  <c r="S822" i="2"/>
  <c r="P1225" i="2"/>
  <c r="E779" i="2"/>
  <c r="S786" i="2"/>
  <c r="I1117" i="2"/>
  <c r="D2329" i="2"/>
  <c r="O1068" i="2"/>
  <c r="P517" i="2"/>
  <c r="F500" i="2"/>
  <c r="D120" i="2"/>
  <c r="I2828" i="2"/>
  <c r="R1277" i="2"/>
  <c r="R1953" i="2"/>
  <c r="R2952" i="2"/>
  <c r="F1610" i="2"/>
  <c r="M2449" i="2"/>
  <c r="V1651" i="2"/>
  <c r="H2925" i="2"/>
  <c r="D2256" i="2"/>
  <c r="K2252" i="2"/>
  <c r="V3178" i="2"/>
  <c r="V2849" i="2"/>
  <c r="P2032" i="2"/>
  <c r="D1349" i="2"/>
  <c r="V1708" i="2"/>
  <c r="G293" i="2"/>
  <c r="L3123" i="2"/>
  <c r="P2275" i="2"/>
  <c r="V2581" i="2"/>
  <c r="J2534" i="2"/>
  <c r="S2157" i="2"/>
  <c r="C3553" i="2"/>
  <c r="O3279" i="2"/>
  <c r="O3015" i="2"/>
  <c r="E2764" i="2"/>
  <c r="C1724" i="2"/>
  <c r="E1238" i="2"/>
  <c r="U1626" i="2"/>
  <c r="V2628" i="2"/>
  <c r="M119" i="2"/>
  <c r="N3187" i="2"/>
  <c r="L2291" i="2"/>
  <c r="D1366" i="2"/>
  <c r="F231" i="2"/>
  <c r="K3308" i="2"/>
  <c r="K3201" i="2"/>
  <c r="P2794" i="2"/>
  <c r="V1694" i="2"/>
  <c r="K787" i="2"/>
  <c r="P1357" i="2"/>
  <c r="M2980" i="2"/>
  <c r="H2335" i="2"/>
  <c r="N2887" i="2"/>
  <c r="L3338" i="2"/>
  <c r="G1190" i="2"/>
  <c r="K1359" i="2"/>
  <c r="C2139" i="2"/>
  <c r="K2345" i="2"/>
  <c r="L3045" i="2"/>
  <c r="L172" i="2"/>
  <c r="O1345" i="2"/>
  <c r="D3270" i="2"/>
  <c r="F2082" i="2"/>
  <c r="N3083" i="2"/>
  <c r="T2462" i="2"/>
  <c r="R1790" i="2"/>
  <c r="M345" i="2"/>
  <c r="N3009" i="2"/>
  <c r="C2498" i="2"/>
  <c r="S2479" i="2"/>
  <c r="R1856" i="2"/>
  <c r="N1257" i="2"/>
  <c r="T1111" i="2"/>
  <c r="E2259" i="2"/>
  <c r="V1947" i="2"/>
  <c r="L882" i="2"/>
  <c r="R981" i="2"/>
  <c r="D3310" i="2"/>
  <c r="K1202" i="2"/>
  <c r="L3252" i="2"/>
  <c r="N1400" i="2"/>
  <c r="J2747" i="2"/>
  <c r="Q2867" i="2"/>
  <c r="R3197" i="2"/>
  <c r="P2047" i="2"/>
  <c r="M2477" i="2"/>
  <c r="E2185" i="2"/>
  <c r="F2477" i="2"/>
  <c r="F1140" i="2"/>
  <c r="J2673" i="2"/>
  <c r="I2133" i="2"/>
  <c r="I1559" i="2"/>
  <c r="S2183" i="2"/>
  <c r="S446" i="2"/>
  <c r="H2287" i="2"/>
  <c r="W1391" i="2"/>
  <c r="H1073" i="2"/>
  <c r="S2414" i="2"/>
  <c r="R3264" i="2"/>
  <c r="R696" i="2"/>
  <c r="M2016" i="2"/>
  <c r="E136" i="2"/>
  <c r="K1459" i="2"/>
  <c r="V252" i="2"/>
  <c r="N635" i="2"/>
  <c r="F2339" i="2"/>
  <c r="P986" i="2"/>
  <c r="S3028" i="2"/>
  <c r="F513" i="2"/>
  <c r="C2035" i="2"/>
  <c r="Q3286" i="2"/>
  <c r="R1449" i="2"/>
  <c r="G2426" i="2"/>
  <c r="L3120" i="2"/>
  <c r="K3061" i="2"/>
  <c r="Q1337" i="2"/>
  <c r="M1464" i="2"/>
  <c r="H1122" i="2"/>
  <c r="P2010" i="2"/>
  <c r="E2360" i="2"/>
  <c r="G1263" i="2"/>
  <c r="D1782" i="2"/>
  <c r="L487" i="2"/>
  <c r="W2242" i="2"/>
  <c r="T1450" i="2"/>
  <c r="N1446" i="2"/>
  <c r="E2655" i="2"/>
  <c r="D3050" i="2"/>
  <c r="Q1174" i="2"/>
  <c r="H1464" i="2"/>
  <c r="K1666" i="2"/>
  <c r="M2452" i="2"/>
  <c r="G2366" i="2"/>
  <c r="M2102" i="2"/>
  <c r="U2005" i="2"/>
  <c r="U3118" i="2"/>
  <c r="F2143" i="2"/>
  <c r="T1906" i="2"/>
  <c r="H3380" i="2"/>
  <c r="J2458" i="2"/>
  <c r="O3382" i="2"/>
  <c r="N2031" i="2"/>
  <c r="T845" i="2"/>
  <c r="V2238" i="2"/>
  <c r="C2807" i="2"/>
  <c r="R2771" i="2"/>
  <c r="K1587" i="2"/>
  <c r="P2670" i="2"/>
  <c r="V2094" i="2"/>
  <c r="H1979" i="2"/>
  <c r="S2742" i="2"/>
  <c r="O2820" i="2"/>
  <c r="P2816" i="2"/>
  <c r="H2184" i="2"/>
  <c r="N2346" i="2"/>
  <c r="R2453" i="2"/>
  <c r="T622" i="2"/>
  <c r="K3211" i="2"/>
  <c r="E470" i="2"/>
  <c r="W3093" i="2"/>
  <c r="H2374" i="2"/>
  <c r="R2674" i="2"/>
  <c r="R185" i="2"/>
  <c r="P928" i="2"/>
  <c r="K699" i="2"/>
  <c r="K1858" i="2"/>
  <c r="N2602" i="2"/>
  <c r="C540" i="2"/>
  <c r="W2844" i="2"/>
  <c r="M2001" i="2"/>
  <c r="D2478" i="2"/>
  <c r="C1144" i="2"/>
  <c r="J3039" i="2"/>
  <c r="H1996" i="2"/>
  <c r="L2051" i="2"/>
  <c r="M1421" i="2"/>
  <c r="I357" i="2"/>
  <c r="G3443" i="2"/>
  <c r="R2063" i="2"/>
  <c r="S76" i="2"/>
  <c r="G233" i="2"/>
  <c r="M2357" i="2"/>
  <c r="O2452" i="2"/>
  <c r="R2036" i="2"/>
  <c r="W1760" i="2"/>
  <c r="Q3216" i="2"/>
  <c r="Q1751" i="2"/>
  <c r="U1490" i="2"/>
  <c r="F2658" i="2"/>
  <c r="T654" i="2"/>
  <c r="F1872" i="2"/>
  <c r="L2016" i="2"/>
  <c r="C971" i="2"/>
  <c r="P1080" i="2"/>
  <c r="K2190" i="2"/>
  <c r="O2718" i="2"/>
  <c r="J2521" i="2"/>
  <c r="M2700" i="2"/>
  <c r="V3122" i="2"/>
  <c r="G1570" i="2"/>
  <c r="I3169" i="2"/>
  <c r="L888" i="2"/>
  <c r="J2676" i="2"/>
  <c r="R2516" i="2"/>
  <c r="M3049" i="2"/>
  <c r="P3038" i="2"/>
  <c r="N2721" i="2"/>
  <c r="P1854" i="2"/>
  <c r="W2229" i="2"/>
  <c r="P2102" i="2"/>
  <c r="D3363" i="2"/>
  <c r="D3311" i="2"/>
  <c r="N1829" i="2"/>
  <c r="M1812" i="2"/>
  <c r="O433" i="2"/>
  <c r="R2611" i="2"/>
  <c r="J2750" i="2"/>
  <c r="O1982" i="2"/>
  <c r="C2622" i="2"/>
  <c r="Q1774" i="2"/>
  <c r="W2000" i="2"/>
  <c r="W2467" i="2"/>
  <c r="P1739" i="2"/>
  <c r="U1987" i="2"/>
  <c r="U1199" i="2"/>
  <c r="F1436" i="2"/>
  <c r="W1323" i="2"/>
  <c r="L3178" i="2"/>
  <c r="K3116" i="2"/>
  <c r="C1300" i="2"/>
  <c r="C2662" i="2"/>
  <c r="J1541" i="2"/>
  <c r="H2071" i="2"/>
  <c r="V596" i="2"/>
  <c r="F1737" i="2"/>
  <c r="O1842" i="2"/>
  <c r="V2665" i="2"/>
  <c r="N1695" i="2"/>
  <c r="D24" i="2"/>
  <c r="C1438" i="2"/>
  <c r="R427" i="2"/>
  <c r="T1293" i="2"/>
  <c r="T19" i="2"/>
  <c r="R1458" i="2"/>
  <c r="L2919" i="2"/>
  <c r="G3038" i="2"/>
  <c r="G2951" i="2"/>
  <c r="E1523" i="2"/>
  <c r="M2905" i="2"/>
  <c r="D1736" i="2"/>
  <c r="D446" i="2"/>
  <c r="P2327" i="2"/>
  <c r="R1573" i="2"/>
  <c r="O1901" i="2"/>
  <c r="K2676" i="2"/>
  <c r="M2146" i="2"/>
  <c r="U1589" i="2"/>
  <c r="P647" i="2"/>
  <c r="C166" i="2"/>
  <c r="L3305" i="2"/>
  <c r="M2630" i="2"/>
  <c r="K2260" i="2"/>
  <c r="P1397" i="2"/>
  <c r="K363" i="2"/>
  <c r="D334" i="2"/>
  <c r="W1079" i="2"/>
  <c r="V905" i="2"/>
  <c r="L1204" i="2"/>
  <c r="L2262" i="2"/>
  <c r="S2728" i="2"/>
  <c r="S304" i="2"/>
  <c r="L2421" i="2"/>
  <c r="F741" i="2"/>
  <c r="F1579" i="2"/>
  <c r="D377" i="2"/>
  <c r="P2151" i="2"/>
  <c r="H3250" i="2"/>
  <c r="W2837" i="2"/>
  <c r="O1124" i="2"/>
  <c r="L2653" i="2"/>
  <c r="V420" i="2"/>
  <c r="I265" i="2"/>
  <c r="P2063" i="2"/>
  <c r="W2602" i="2"/>
  <c r="W2590" i="2"/>
  <c r="I2168" i="2"/>
  <c r="F2548" i="2"/>
  <c r="M1231" i="2"/>
  <c r="C1219" i="2"/>
  <c r="N1037" i="2"/>
  <c r="V315" i="2"/>
  <c r="F2035" i="2"/>
  <c r="I2283" i="2"/>
  <c r="U1795" i="2"/>
  <c r="Q1771" i="2"/>
  <c r="T3102" i="2"/>
  <c r="T331" i="2"/>
  <c r="O2326" i="2"/>
  <c r="U2595" i="2"/>
  <c r="Q1082" i="2"/>
  <c r="J1532" i="2"/>
  <c r="D2690" i="2"/>
  <c r="K601" i="2"/>
  <c r="T2174" i="2"/>
  <c r="R318" i="2"/>
  <c r="K1401" i="2"/>
  <c r="K2058" i="2"/>
  <c r="V2065" i="2"/>
  <c r="F1727" i="2"/>
  <c r="O2880" i="2"/>
  <c r="H1580" i="2"/>
  <c r="M1340" i="2"/>
  <c r="Q1592" i="2"/>
  <c r="V165" i="2"/>
  <c r="I1224" i="2"/>
  <c r="T154" i="2"/>
  <c r="R2733" i="2"/>
  <c r="M731" i="2"/>
  <c r="E1759" i="2"/>
  <c r="D1446" i="2"/>
  <c r="N566" i="2"/>
  <c r="E2964" i="2"/>
  <c r="O910" i="2"/>
  <c r="I1959" i="2"/>
  <c r="G2716" i="2"/>
  <c r="E2076" i="2"/>
  <c r="P2324" i="2"/>
  <c r="K1217" i="2"/>
  <c r="G3503" i="2"/>
  <c r="R774" i="2"/>
  <c r="Q2213" i="2"/>
  <c r="S2692" i="2"/>
  <c r="O2263" i="2"/>
  <c r="E2792" i="2"/>
  <c r="M467" i="2"/>
  <c r="V2230" i="2"/>
  <c r="P2921" i="2"/>
  <c r="D1842" i="2"/>
  <c r="L2366" i="2"/>
  <c r="M1718" i="2"/>
  <c r="U3146" i="2"/>
  <c r="O2020" i="2"/>
  <c r="Q1306" i="2"/>
  <c r="H2182" i="2"/>
  <c r="D1222" i="2"/>
  <c r="D1995" i="2"/>
  <c r="J1255" i="2"/>
  <c r="D2724" i="2"/>
  <c r="W889" i="2"/>
  <c r="U1545" i="2"/>
  <c r="U1165" i="2"/>
  <c r="J3241" i="2"/>
  <c r="W1139" i="2"/>
  <c r="C2693" i="2"/>
  <c r="G1100" i="2"/>
  <c r="T46" i="2"/>
  <c r="P3250" i="2"/>
  <c r="P778" i="2"/>
  <c r="R2919" i="2"/>
  <c r="S3007" i="2"/>
  <c r="V2289" i="2"/>
  <c r="H2863" i="2"/>
  <c r="F2116" i="2"/>
  <c r="Q1492" i="2"/>
  <c r="N697" i="2"/>
  <c r="U2642" i="2"/>
  <c r="C1552" i="2"/>
  <c r="G2682" i="2"/>
  <c r="R473" i="2"/>
  <c r="N972" i="2"/>
  <c r="R2230" i="2"/>
  <c r="N415" i="2"/>
  <c r="S931" i="2"/>
  <c r="E2686" i="2"/>
  <c r="I3006" i="2"/>
  <c r="N1431" i="2"/>
  <c r="J855" i="2"/>
  <c r="I3007" i="2"/>
  <c r="C2156" i="2"/>
  <c r="M2939" i="2"/>
  <c r="I2342" i="2"/>
  <c r="E2108" i="2"/>
  <c r="C2635" i="2"/>
  <c r="H2079" i="2"/>
  <c r="J3315" i="2"/>
  <c r="M3242" i="2"/>
  <c r="N924" i="2"/>
  <c r="O455" i="2"/>
  <c r="C911" i="2"/>
  <c r="D2688" i="2"/>
  <c r="Q3211" i="2"/>
  <c r="F2950" i="2"/>
  <c r="E2557" i="2"/>
  <c r="H2375" i="2"/>
  <c r="T1759" i="2"/>
  <c r="I112" i="2"/>
  <c r="W954" i="2"/>
  <c r="C2313" i="2"/>
  <c r="V6" i="2"/>
  <c r="C2507" i="2"/>
  <c r="T1134" i="2"/>
  <c r="H1474" i="2"/>
  <c r="I2084" i="2"/>
  <c r="D1476" i="2"/>
  <c r="W2545" i="2"/>
  <c r="U1658" i="2"/>
  <c r="O584" i="2"/>
  <c r="K2051" i="2"/>
  <c r="C2917" i="2"/>
  <c r="Q2585" i="2"/>
  <c r="D1560" i="2"/>
  <c r="H2118" i="2"/>
  <c r="S374" i="2"/>
  <c r="G2756" i="2"/>
  <c r="G14" i="2"/>
  <c r="N2511" i="2"/>
  <c r="O1943" i="2"/>
  <c r="L2223" i="2"/>
  <c r="I3194" i="2"/>
  <c r="J3011" i="2"/>
  <c r="Q3287" i="2"/>
  <c r="U1170" i="2"/>
  <c r="S2959" i="2"/>
  <c r="N1515" i="2"/>
  <c r="G541" i="2"/>
  <c r="W1203" i="2"/>
  <c r="I2634" i="2"/>
  <c r="W2080" i="2"/>
  <c r="P2358" i="2"/>
  <c r="W1893" i="2"/>
  <c r="L2379" i="2"/>
  <c r="S2688" i="2"/>
  <c r="V901" i="2"/>
  <c r="O3091" i="2"/>
  <c r="E478" i="2"/>
  <c r="H1450" i="2"/>
  <c r="J2609" i="2"/>
  <c r="G532" i="2"/>
  <c r="J3233" i="2"/>
  <c r="Q2370" i="2"/>
  <c r="U1717" i="2"/>
  <c r="U2125" i="2"/>
  <c r="O2924" i="2"/>
  <c r="W273" i="2"/>
  <c r="F2214" i="2"/>
  <c r="D1634" i="2"/>
  <c r="K2002" i="2"/>
  <c r="L2803" i="2"/>
  <c r="O1617" i="2"/>
  <c r="C111" i="2"/>
  <c r="H656" i="2"/>
  <c r="D1554" i="2"/>
  <c r="O1875" i="2"/>
  <c r="P3066" i="2"/>
  <c r="I2278" i="2"/>
  <c r="P1108" i="2"/>
  <c r="J2171" i="2"/>
  <c r="N627" i="2"/>
  <c r="H1842" i="2"/>
  <c r="C2944" i="2"/>
  <c r="U2452" i="2"/>
  <c r="E1674" i="2"/>
  <c r="G26" i="2"/>
  <c r="C477" i="2"/>
  <c r="R2879" i="2"/>
  <c r="K2331" i="2"/>
  <c r="P2564" i="2"/>
  <c r="J2481" i="2"/>
  <c r="V2937" i="2"/>
  <c r="V2370" i="2"/>
  <c r="E3069" i="2"/>
  <c r="Q430" i="2"/>
  <c r="C1019" i="2"/>
  <c r="T2861" i="2"/>
  <c r="N1118" i="2"/>
  <c r="K2700" i="2"/>
  <c r="T2444" i="2"/>
  <c r="I578" i="2"/>
  <c r="O2475" i="2"/>
  <c r="N1458" i="2"/>
  <c r="C186" i="2"/>
  <c r="G2100" i="2"/>
  <c r="Q2058" i="2"/>
  <c r="I1369" i="2"/>
  <c r="L3044" i="2"/>
  <c r="C2264" i="2"/>
  <c r="G2076" i="2"/>
  <c r="S1651" i="2"/>
  <c r="D2442" i="2"/>
  <c r="K333" i="2"/>
  <c r="N2659" i="2"/>
  <c r="C669" i="2"/>
  <c r="V412" i="2"/>
  <c r="R1939" i="2"/>
  <c r="W1940" i="2"/>
  <c r="C2548" i="2"/>
  <c r="L1680" i="2"/>
  <c r="O1704" i="2"/>
  <c r="N1961" i="2"/>
  <c r="O1200" i="2"/>
  <c r="K2820" i="2"/>
  <c r="I926" i="2"/>
  <c r="I1331" i="2"/>
  <c r="H2113" i="2"/>
  <c r="S795" i="2"/>
  <c r="S3066" i="2"/>
  <c r="T1654" i="2"/>
  <c r="S566" i="2"/>
  <c r="M1412" i="2"/>
  <c r="T414" i="2"/>
  <c r="E3182" i="2"/>
  <c r="C23" i="2"/>
  <c r="H1887" i="2"/>
  <c r="I2484" i="2"/>
  <c r="K3272" i="2"/>
  <c r="Q2465" i="2"/>
  <c r="R2742" i="2"/>
  <c r="R2258" i="2"/>
  <c r="I1506" i="2"/>
  <c r="D1932" i="2"/>
  <c r="F3398" i="2"/>
  <c r="O2310" i="2"/>
  <c r="W2669" i="2"/>
  <c r="U169" i="2"/>
  <c r="H134" i="2"/>
  <c r="Q2207" i="2"/>
  <c r="I2058" i="2"/>
  <c r="W2485" i="2"/>
  <c r="S2300" i="2"/>
  <c r="H359" i="2"/>
  <c r="I2217" i="2"/>
  <c r="V3223" i="2"/>
  <c r="F2385" i="2"/>
  <c r="P17" i="2"/>
  <c r="N2239" i="2"/>
  <c r="J1986" i="2"/>
  <c r="M1762" i="2"/>
  <c r="H2688" i="2"/>
  <c r="F2796" i="2"/>
  <c r="H2427" i="2"/>
  <c r="H2332" i="2"/>
  <c r="U395" i="2"/>
  <c r="S898" i="2"/>
  <c r="G2244" i="2"/>
  <c r="T2006" i="2"/>
  <c r="F2352" i="2"/>
  <c r="O1073" i="2"/>
  <c r="O2844" i="2"/>
  <c r="O18" i="2"/>
  <c r="L522" i="2"/>
  <c r="F2459" i="2"/>
  <c r="P2745" i="2"/>
  <c r="T2654" i="2"/>
  <c r="I1326" i="2"/>
  <c r="I2184" i="2"/>
  <c r="L1453" i="2"/>
  <c r="W1929" i="2"/>
  <c r="M2963" i="2"/>
  <c r="W1572" i="2"/>
  <c r="C538" i="2"/>
  <c r="G399" i="2"/>
  <c r="M672" i="2"/>
  <c r="G194" i="2"/>
  <c r="G3100" i="2"/>
  <c r="Q230" i="2"/>
  <c r="O2137" i="2"/>
  <c r="W1639" i="2"/>
  <c r="T595" i="2"/>
  <c r="Q2678" i="2"/>
  <c r="M3426" i="2"/>
  <c r="U1725" i="2"/>
  <c r="O1715" i="2"/>
  <c r="I1226" i="2"/>
  <c r="E3440" i="2"/>
  <c r="I325" i="2"/>
  <c r="W616" i="2"/>
  <c r="U1663" i="2"/>
  <c r="L1220" i="2"/>
  <c r="D2315" i="2"/>
  <c r="O2557" i="2"/>
  <c r="V3236" i="2"/>
  <c r="N962" i="2"/>
  <c r="F1910" i="2"/>
  <c r="M1538" i="2"/>
  <c r="V208" i="2"/>
  <c r="K390" i="2"/>
  <c r="I1199" i="2"/>
  <c r="K1380" i="2"/>
  <c r="P507" i="2"/>
  <c r="U447" i="2"/>
  <c r="D982" i="2"/>
  <c r="T2147" i="2"/>
  <c r="M3425" i="2"/>
  <c r="K3220" i="2"/>
  <c r="J3307" i="2"/>
  <c r="K2624" i="2"/>
  <c r="D1525" i="2"/>
  <c r="F1832" i="2"/>
  <c r="W610" i="2"/>
  <c r="K1543" i="2"/>
  <c r="K1292" i="2"/>
  <c r="C2620" i="2"/>
  <c r="T2713" i="2"/>
  <c r="N2694" i="2"/>
  <c r="U3259" i="2"/>
  <c r="K3152" i="2"/>
  <c r="E3310" i="2"/>
  <c r="R2138" i="2"/>
  <c r="H2803" i="2"/>
  <c r="C692" i="2"/>
  <c r="G712" i="2"/>
  <c r="M2379" i="2"/>
  <c r="K2448" i="2"/>
  <c r="E3370" i="2"/>
  <c r="J1696" i="2"/>
  <c r="Q1597" i="2"/>
  <c r="G3169" i="2"/>
  <c r="K2665" i="2"/>
  <c r="G1143" i="2"/>
  <c r="N911" i="2"/>
  <c r="L3134" i="2"/>
  <c r="W1892" i="2"/>
  <c r="J1399" i="2"/>
  <c r="D2058" i="2"/>
  <c r="T1503" i="2"/>
  <c r="P2484" i="2"/>
  <c r="D375" i="2"/>
  <c r="M168" i="2"/>
  <c r="F2383" i="2"/>
  <c r="R1773" i="2"/>
  <c r="S860" i="2"/>
  <c r="H1955" i="2"/>
  <c r="N1474" i="2"/>
  <c r="N1356" i="2"/>
  <c r="K1488" i="2"/>
  <c r="O976" i="2"/>
  <c r="P1765" i="2"/>
  <c r="F2811" i="2"/>
  <c r="T3050" i="2"/>
  <c r="D2908" i="2"/>
  <c r="L1880" i="2"/>
  <c r="E2353" i="2"/>
  <c r="S1139" i="2"/>
  <c r="C2873" i="2"/>
  <c r="P2511" i="2"/>
  <c r="O775" i="2"/>
  <c r="W2786" i="2"/>
  <c r="I1123" i="2"/>
  <c r="I3010" i="2"/>
  <c r="C488" i="2"/>
  <c r="Q1875" i="2"/>
  <c r="G1880" i="2"/>
  <c r="I3207" i="2"/>
  <c r="G510" i="2"/>
  <c r="O3342" i="2"/>
  <c r="U881" i="2"/>
  <c r="V3325" i="2"/>
  <c r="U1850" i="2"/>
  <c r="I1661" i="2"/>
  <c r="H2792" i="2"/>
  <c r="U2480" i="2"/>
  <c r="T2925" i="2"/>
  <c r="V2321" i="2"/>
  <c r="K780" i="2"/>
  <c r="T2104" i="2"/>
  <c r="N2343" i="2"/>
  <c r="F2092" i="2"/>
  <c r="C2169" i="2"/>
  <c r="F2690" i="2"/>
  <c r="F2710" i="2"/>
  <c r="C2477" i="2"/>
  <c r="H2343" i="2"/>
  <c r="N1552" i="2"/>
  <c r="D1053" i="2"/>
  <c r="L2202" i="2"/>
  <c r="I1556" i="2"/>
  <c r="D2991" i="2"/>
  <c r="S2923" i="2"/>
  <c r="V1408" i="2"/>
  <c r="I2444" i="2"/>
  <c r="T3065" i="2"/>
  <c r="S3194" i="2"/>
  <c r="L2650" i="2"/>
  <c r="M1490" i="2"/>
  <c r="W2652" i="2"/>
  <c r="O2568" i="2"/>
  <c r="G1253" i="2"/>
  <c r="L3066" i="2"/>
  <c r="W2231" i="2"/>
  <c r="S2325" i="2"/>
  <c r="J1152" i="2"/>
  <c r="M1166" i="2"/>
  <c r="E1246" i="2"/>
  <c r="E769" i="2"/>
  <c r="P1343" i="2"/>
  <c r="O2676" i="2"/>
  <c r="W2609" i="2"/>
  <c r="S2356" i="2"/>
  <c r="W3247" i="2"/>
  <c r="M2352" i="2"/>
  <c r="L1714" i="2"/>
  <c r="C1593" i="2"/>
  <c r="W2125" i="2"/>
  <c r="D1399" i="2"/>
  <c r="M1475" i="2"/>
  <c r="R2852" i="2"/>
  <c r="S503" i="2"/>
  <c r="G623" i="2"/>
  <c r="N699" i="2"/>
  <c r="F3158" i="2"/>
  <c r="J349" i="2"/>
  <c r="D853" i="2"/>
  <c r="P1784" i="2"/>
  <c r="K716" i="2"/>
  <c r="H2713" i="2"/>
  <c r="T1271" i="2"/>
  <c r="W2423" i="2"/>
  <c r="K937" i="2"/>
  <c r="K2638" i="2"/>
  <c r="U1952" i="2"/>
  <c r="H2430" i="2"/>
  <c r="D1355" i="2"/>
  <c r="Q3444" i="2"/>
  <c r="S1170" i="2"/>
  <c r="I3406" i="2"/>
  <c r="I2000" i="2"/>
  <c r="Q1755" i="2"/>
  <c r="K2572" i="2"/>
  <c r="I3043" i="2"/>
  <c r="C1698" i="2"/>
  <c r="O2122" i="2"/>
  <c r="I2091" i="2"/>
  <c r="S939" i="2"/>
  <c r="F2301" i="2"/>
  <c r="D2859" i="2"/>
  <c r="O564" i="2"/>
  <c r="P2137" i="2"/>
  <c r="C1888" i="2"/>
  <c r="N3522" i="2"/>
  <c r="P2106" i="2"/>
  <c r="K1235" i="2"/>
  <c r="W2867" i="2"/>
  <c r="E705" i="2"/>
  <c r="H3058" i="2"/>
  <c r="U1134" i="2"/>
  <c r="U916" i="2"/>
  <c r="F2624" i="2"/>
  <c r="L2115" i="2"/>
  <c r="U2101" i="2"/>
  <c r="P1555" i="2"/>
  <c r="C1909" i="2"/>
  <c r="U767" i="2"/>
  <c r="M1933" i="2"/>
  <c r="L1073" i="2"/>
  <c r="K3117" i="2"/>
  <c r="E2380" i="2"/>
  <c r="M2875" i="2"/>
  <c r="R2886" i="2"/>
  <c r="F2830" i="2"/>
  <c r="R2946" i="2"/>
  <c r="N842" i="2"/>
  <c r="J905" i="2"/>
  <c r="Q1817" i="2"/>
  <c r="S2600" i="2"/>
  <c r="K384" i="2"/>
  <c r="M2435" i="2"/>
  <c r="V2656" i="2"/>
  <c r="F1428" i="2"/>
  <c r="W2812" i="2"/>
  <c r="F1651" i="2"/>
  <c r="U3244" i="2"/>
  <c r="Q3214" i="2"/>
  <c r="Q2937" i="2"/>
  <c r="K2536" i="2"/>
  <c r="R2537" i="2"/>
  <c r="F2727" i="2"/>
  <c r="R749" i="2"/>
  <c r="C1647" i="2"/>
  <c r="J104" i="2"/>
  <c r="J3008" i="2"/>
  <c r="G1750" i="2"/>
  <c r="L2021" i="2"/>
  <c r="O375" i="2"/>
  <c r="L410" i="2"/>
  <c r="G1252" i="2"/>
  <c r="G2604" i="2"/>
  <c r="D3158" i="2"/>
  <c r="J2868" i="2"/>
  <c r="S2132" i="2"/>
  <c r="P2094" i="2"/>
  <c r="S3122" i="2"/>
  <c r="L2417" i="2"/>
  <c r="P2262" i="2"/>
  <c r="F2302" i="2"/>
  <c r="H985" i="2"/>
  <c r="T889" i="2"/>
  <c r="D1421" i="2"/>
  <c r="I1287" i="2"/>
  <c r="H674" i="2"/>
  <c r="W3142" i="2"/>
  <c r="Q2017" i="2"/>
  <c r="P936" i="2"/>
  <c r="K2271" i="2"/>
  <c r="G2763" i="2"/>
  <c r="L3246" i="2"/>
  <c r="C2392" i="2"/>
  <c r="H2871" i="2"/>
  <c r="Q1756" i="2"/>
  <c r="E1071" i="2"/>
  <c r="U2085" i="2"/>
  <c r="I558" i="2"/>
  <c r="D2243" i="2"/>
  <c r="H2611" i="2"/>
  <c r="S2171" i="2"/>
  <c r="J1463" i="2"/>
  <c r="P860" i="2"/>
  <c r="U2348" i="2"/>
  <c r="H1797" i="2"/>
  <c r="S1155" i="2"/>
  <c r="O1676" i="2"/>
  <c r="R2506" i="2"/>
  <c r="E551" i="2"/>
  <c r="I885" i="2"/>
  <c r="Q175" i="2"/>
  <c r="D2025" i="2"/>
  <c r="U178" i="2"/>
  <c r="P681" i="2"/>
  <c r="R174" i="2"/>
  <c r="H1673" i="2"/>
  <c r="F339" i="2"/>
  <c r="D242" i="2"/>
  <c r="C146" i="2"/>
  <c r="I2353" i="2"/>
  <c r="L911" i="2"/>
  <c r="P712" i="2"/>
  <c r="O1054" i="2"/>
  <c r="J2179" i="2"/>
  <c r="I2332" i="2"/>
  <c r="I1483" i="2"/>
  <c r="M2987" i="2"/>
  <c r="W186" i="2"/>
  <c r="O269" i="2"/>
  <c r="E1369" i="2"/>
  <c r="U2810" i="2"/>
  <c r="E2836" i="2"/>
  <c r="U2337" i="2"/>
  <c r="S1084" i="2"/>
  <c r="C1918" i="2"/>
  <c r="T2825" i="2"/>
  <c r="M1790" i="2"/>
  <c r="G2213" i="2"/>
  <c r="M314" i="2"/>
  <c r="F2264" i="2"/>
  <c r="U678" i="2"/>
  <c r="P2301" i="2"/>
  <c r="K1344" i="2"/>
  <c r="N1813" i="2"/>
  <c r="W2228" i="2"/>
  <c r="K2064" i="2"/>
  <c r="V1486" i="2"/>
  <c r="I2698" i="2"/>
  <c r="F552" i="2"/>
  <c r="N2122" i="2"/>
  <c r="M3029" i="2"/>
  <c r="J552" i="2"/>
  <c r="N1719" i="2"/>
  <c r="C2963" i="2"/>
  <c r="T3295" i="2"/>
  <c r="W2826" i="2"/>
  <c r="V836" i="2"/>
  <c r="G2528" i="2"/>
  <c r="F2732" i="2"/>
  <c r="S647" i="2"/>
  <c r="H1610" i="2"/>
  <c r="C1498" i="2"/>
  <c r="I1156" i="2"/>
  <c r="O657" i="2"/>
  <c r="R1593" i="2"/>
  <c r="S963" i="2"/>
  <c r="S1729" i="2"/>
  <c r="C20" i="2"/>
  <c r="H2900" i="2"/>
  <c r="S547" i="2"/>
  <c r="R2464" i="2"/>
  <c r="C2546" i="2"/>
  <c r="D1299" i="2"/>
  <c r="R2894" i="2"/>
  <c r="Q835" i="2"/>
  <c r="Q3044" i="2"/>
  <c r="W979" i="2"/>
  <c r="D2511" i="2"/>
  <c r="V2256" i="2"/>
  <c r="Q180" i="2"/>
  <c r="V2519" i="2"/>
  <c r="V3234" i="2"/>
  <c r="E3098" i="2"/>
  <c r="L2289" i="2"/>
  <c r="R2718" i="2"/>
  <c r="S1162" i="2"/>
  <c r="O394" i="2"/>
  <c r="L2499" i="2"/>
  <c r="M3024" i="2"/>
  <c r="K3018" i="2"/>
  <c r="K415" i="2"/>
  <c r="E248" i="2"/>
  <c r="P2869" i="2"/>
  <c r="R1537" i="2"/>
  <c r="I443" i="2"/>
  <c r="S934" i="2"/>
  <c r="U2357" i="2"/>
  <c r="K2187" i="2"/>
  <c r="C180" i="2"/>
  <c r="O1504" i="2"/>
  <c r="O3310" i="2"/>
  <c r="S2598" i="2"/>
  <c r="U1605" i="2"/>
  <c r="L171" i="2"/>
  <c r="C130" i="2"/>
  <c r="O366" i="2"/>
  <c r="F291" i="2"/>
  <c r="F2409" i="2"/>
  <c r="C2912" i="2"/>
  <c r="M1709" i="2"/>
  <c r="N1497" i="2"/>
  <c r="P1975" i="2"/>
  <c r="T3052" i="2"/>
  <c r="O2219" i="2"/>
  <c r="O1494" i="2"/>
  <c r="H2304" i="2"/>
  <c r="O1421" i="2"/>
  <c r="G1822" i="2"/>
  <c r="G946" i="2"/>
  <c r="J897" i="2"/>
  <c r="T1687" i="2"/>
  <c r="S564" i="2"/>
  <c r="I720" i="2"/>
  <c r="F894" i="2"/>
  <c r="T2015" i="2"/>
  <c r="H3002" i="2"/>
  <c r="Q1173" i="2"/>
  <c r="K2886" i="2"/>
  <c r="V2359" i="2"/>
  <c r="H2876" i="2"/>
  <c r="M1232" i="2"/>
  <c r="C2793" i="2"/>
  <c r="P161" i="2"/>
  <c r="O2514" i="2"/>
  <c r="Q2737" i="2"/>
  <c r="K1367" i="2"/>
  <c r="I1069" i="2"/>
  <c r="V1563" i="2"/>
  <c r="L1532" i="2"/>
  <c r="Q1869" i="2"/>
  <c r="W1773" i="2"/>
  <c r="J1161" i="2"/>
  <c r="U1759" i="2"/>
  <c r="V2925" i="2"/>
  <c r="Q2203" i="2"/>
  <c r="E2519" i="2"/>
  <c r="P2385" i="2"/>
  <c r="G449" i="2"/>
  <c r="T606" i="2"/>
  <c r="V2863" i="2"/>
  <c r="T565" i="2"/>
  <c r="M442" i="2"/>
  <c r="C2191" i="2"/>
  <c r="L1676" i="2"/>
  <c r="R2126" i="2"/>
  <c r="H2094" i="2"/>
  <c r="T1899" i="2"/>
  <c r="P2543" i="2"/>
  <c r="E3335" i="2"/>
  <c r="V3459" i="2"/>
  <c r="C1604" i="2"/>
  <c r="C2067" i="2"/>
  <c r="T1611" i="2"/>
  <c r="S1933" i="2"/>
  <c r="K1675" i="2"/>
  <c r="S1573" i="2"/>
  <c r="H2462" i="2"/>
  <c r="V1558" i="2"/>
  <c r="M1066" i="2"/>
  <c r="J1325" i="2"/>
  <c r="M1773" i="2"/>
  <c r="S947" i="2"/>
  <c r="D2860" i="2"/>
  <c r="W914" i="2"/>
  <c r="N1565" i="2"/>
  <c r="O2686" i="2"/>
  <c r="G3288" i="2"/>
  <c r="E105" i="2"/>
  <c r="H1786" i="2"/>
  <c r="D927" i="2"/>
  <c r="S417" i="2"/>
  <c r="J2899" i="2"/>
  <c r="U1234" i="2"/>
  <c r="H2408" i="2"/>
  <c r="O1686" i="2"/>
  <c r="C1226" i="2"/>
  <c r="T702" i="2"/>
  <c r="T1802" i="2"/>
  <c r="P724" i="2"/>
  <c r="P3259" i="2"/>
  <c r="T1095" i="2"/>
  <c r="J252" i="2"/>
  <c r="W2596" i="2"/>
  <c r="F875" i="2"/>
  <c r="P2716" i="2"/>
  <c r="P63" i="2"/>
  <c r="N428" i="2"/>
  <c r="K2505" i="2"/>
  <c r="M2769" i="2"/>
  <c r="S979" i="2"/>
  <c r="E2579" i="2"/>
  <c r="J1455" i="2"/>
  <c r="D2800" i="2"/>
  <c r="H1237" i="2"/>
  <c r="H1155" i="2"/>
  <c r="J3346" i="2"/>
  <c r="Q1892" i="2"/>
  <c r="C1799" i="2"/>
  <c r="W1188" i="2"/>
  <c r="F427" i="2"/>
  <c r="T229" i="2"/>
  <c r="F2453" i="2"/>
  <c r="S529" i="2"/>
  <c r="G85" i="2"/>
  <c r="W2571" i="2"/>
  <c r="T1379" i="2"/>
  <c r="D2260" i="2"/>
  <c r="S2517" i="2"/>
  <c r="I3014" i="2"/>
  <c r="M2130" i="2"/>
  <c r="F2121" i="2"/>
  <c r="C2055" i="2"/>
  <c r="R1861" i="2"/>
  <c r="F2370" i="2"/>
  <c r="N1217" i="2"/>
  <c r="N786" i="2"/>
  <c r="R2912" i="2"/>
  <c r="C249" i="2"/>
  <c r="I1552" i="2"/>
  <c r="K1116" i="2"/>
  <c r="I2816" i="2"/>
  <c r="F1365" i="2"/>
  <c r="U2045" i="2"/>
  <c r="O234" i="2"/>
  <c r="E522" i="2"/>
  <c r="N709" i="2"/>
  <c r="O1299" i="2"/>
  <c r="C2116" i="2"/>
  <c r="M2662" i="2"/>
  <c r="T3410" i="2"/>
  <c r="E1423" i="2"/>
  <c r="U1600" i="2"/>
  <c r="D2138" i="2"/>
  <c r="W66" i="2"/>
  <c r="H72" i="2"/>
  <c r="I2591" i="2"/>
  <c r="I1420" i="2"/>
  <c r="L510" i="2"/>
  <c r="V2736" i="2"/>
  <c r="S1146" i="2"/>
  <c r="D2435" i="2"/>
  <c r="T957" i="2"/>
  <c r="F3082" i="2"/>
  <c r="C2656" i="2"/>
  <c r="I3185" i="2"/>
  <c r="P1947" i="2"/>
  <c r="I2035" i="2"/>
  <c r="S1594" i="2"/>
  <c r="W1776" i="2"/>
  <c r="F1125" i="2"/>
  <c r="D580" i="2"/>
  <c r="M1565" i="2"/>
  <c r="D1416" i="2"/>
  <c r="W458" i="2"/>
  <c r="J672" i="2"/>
  <c r="D2343" i="2"/>
  <c r="M915" i="2"/>
  <c r="F2883" i="2"/>
  <c r="W2474" i="2"/>
  <c r="E2115" i="2"/>
  <c r="E1787" i="2"/>
  <c r="C1200" i="2"/>
  <c r="U2391" i="2"/>
  <c r="G3037" i="2"/>
  <c r="Q2135" i="2"/>
  <c r="U2553" i="2"/>
  <c r="G1396" i="2"/>
  <c r="P2859" i="2"/>
  <c r="O2706" i="2"/>
  <c r="P1330" i="2"/>
  <c r="K1215" i="2"/>
  <c r="E533" i="2"/>
  <c r="T730" i="2"/>
  <c r="H2348" i="2"/>
  <c r="L311" i="2"/>
  <c r="G1749" i="2"/>
  <c r="S2652" i="2"/>
  <c r="L2112" i="2"/>
  <c r="O780" i="2"/>
  <c r="I2708" i="2"/>
  <c r="G1544" i="2"/>
  <c r="M2" i="2"/>
  <c r="T546" i="2"/>
  <c r="E3355" i="2"/>
  <c r="T1849" i="2"/>
  <c r="Q374" i="2"/>
  <c r="Q1754" i="2"/>
  <c r="C1469" i="2"/>
  <c r="E1194" i="2"/>
  <c r="R1138" i="2"/>
  <c r="Q431" i="2"/>
  <c r="Q3106" i="2"/>
  <c r="D1341" i="2"/>
  <c r="U746" i="2"/>
  <c r="R1069" i="2"/>
  <c r="W1945" i="2"/>
  <c r="U3088" i="2"/>
  <c r="M233" i="2"/>
  <c r="M2239" i="2"/>
  <c r="N2532" i="2"/>
  <c r="V1799" i="2"/>
  <c r="K2511" i="2"/>
  <c r="R782" i="2"/>
  <c r="J2720" i="2"/>
  <c r="Q514" i="2"/>
  <c r="Q2390" i="2"/>
  <c r="C2790" i="2"/>
  <c r="J1345" i="2"/>
  <c r="R2845" i="2"/>
  <c r="P2602" i="2"/>
  <c r="J509" i="2"/>
  <c r="V1377" i="2"/>
  <c r="S2119" i="2"/>
  <c r="F1525" i="2"/>
  <c r="I1653" i="2"/>
  <c r="D2894" i="2"/>
  <c r="I2331" i="2"/>
  <c r="F1691" i="2"/>
  <c r="H540" i="2"/>
  <c r="D988" i="2"/>
  <c r="V2783" i="2"/>
  <c r="T1018" i="2"/>
  <c r="N1127" i="2"/>
  <c r="F2726" i="2"/>
  <c r="N1826" i="2"/>
  <c r="U2652" i="2"/>
  <c r="P1327" i="2"/>
  <c r="T653" i="2"/>
  <c r="P999" i="2"/>
  <c r="I607" i="2"/>
  <c r="Q2329" i="2"/>
  <c r="P3197" i="2"/>
  <c r="H667" i="2"/>
  <c r="M1600" i="2"/>
  <c r="K1343" i="2"/>
  <c r="R2440" i="2"/>
  <c r="Q1294" i="2"/>
  <c r="T1023" i="2"/>
  <c r="H1131" i="2"/>
  <c r="L1865" i="2"/>
  <c r="Q1827" i="2"/>
  <c r="S1410" i="2"/>
  <c r="E66" i="2"/>
  <c r="E847" i="2"/>
  <c r="O3244" i="2"/>
  <c r="L1549" i="2"/>
  <c r="L2521" i="2"/>
  <c r="F574" i="2"/>
  <c r="E2775" i="2"/>
  <c r="N1776" i="2"/>
  <c r="K3524" i="2"/>
  <c r="G3185" i="2"/>
  <c r="C2044" i="2"/>
  <c r="L865" i="2"/>
  <c r="U2086" i="2"/>
  <c r="S2885" i="2"/>
  <c r="L1162" i="2"/>
  <c r="V1491" i="2"/>
  <c r="H89" i="2"/>
  <c r="S784" i="2"/>
  <c r="J1060" i="2"/>
  <c r="Q1530" i="2"/>
  <c r="S318" i="2"/>
  <c r="T1690" i="2"/>
  <c r="F2245" i="2"/>
  <c r="V2968" i="2"/>
  <c r="R1266" i="2"/>
  <c r="O211" i="2"/>
  <c r="E165" i="2"/>
  <c r="I735" i="2"/>
  <c r="T1122" i="2"/>
  <c r="V1575" i="2"/>
  <c r="T773" i="2"/>
  <c r="K1403" i="2"/>
  <c r="L943" i="2"/>
  <c r="G1269" i="2"/>
  <c r="H963" i="2"/>
  <c r="O1143" i="2"/>
  <c r="C374" i="2"/>
  <c r="W2429" i="2"/>
  <c r="E1601" i="2"/>
  <c r="R2631" i="2"/>
  <c r="G1966" i="2"/>
  <c r="Q2913" i="2"/>
  <c r="M2259" i="2"/>
  <c r="K2762" i="2"/>
  <c r="G1776" i="2"/>
  <c r="M1367" i="2"/>
  <c r="V2366" i="2"/>
  <c r="F2278" i="2"/>
  <c r="N1468" i="2"/>
  <c r="V1243" i="2"/>
  <c r="D212" i="2"/>
  <c r="O2313" i="2"/>
  <c r="U1958" i="2"/>
  <c r="M684" i="2"/>
  <c r="V801" i="2"/>
  <c r="E3214" i="2"/>
  <c r="O2459" i="2"/>
  <c r="S1959" i="2"/>
  <c r="O131" i="2"/>
  <c r="P506" i="2"/>
  <c r="N2396" i="2"/>
  <c r="Q1188" i="2"/>
  <c r="H2784" i="2"/>
  <c r="U2751" i="2"/>
  <c r="M1238" i="2"/>
  <c r="V2067" i="2"/>
  <c r="U417" i="2"/>
  <c r="E1186" i="2"/>
  <c r="S1720" i="2"/>
  <c r="N1622" i="2"/>
  <c r="O1368" i="2"/>
  <c r="K1399" i="2"/>
  <c r="G1857" i="2"/>
  <c r="N2185" i="2"/>
  <c r="U341" i="2"/>
  <c r="E780" i="2"/>
  <c r="O1257" i="2"/>
  <c r="G1071" i="2"/>
  <c r="L386" i="2"/>
  <c r="O1342" i="2"/>
  <c r="C1371" i="2"/>
  <c r="J1530" i="2"/>
  <c r="G1122" i="2"/>
  <c r="D585" i="2"/>
  <c r="V2182" i="2"/>
  <c r="M2690" i="2"/>
  <c r="F1293" i="2"/>
  <c r="E1898" i="2"/>
  <c r="J2478" i="2"/>
  <c r="L1409" i="2"/>
  <c r="O1149" i="2"/>
  <c r="N1111" i="2"/>
  <c r="C1167" i="2"/>
  <c r="T1057" i="2"/>
  <c r="O2828" i="2"/>
  <c r="C2700" i="2"/>
  <c r="K1582" i="2"/>
  <c r="R692" i="2"/>
  <c r="P731" i="2"/>
  <c r="I2341" i="2"/>
  <c r="E1318" i="2"/>
  <c r="C1477" i="2"/>
  <c r="R935" i="2"/>
  <c r="Q163" i="2"/>
  <c r="D519" i="2"/>
  <c r="E2326" i="2"/>
  <c r="I776" i="2"/>
  <c r="N571" i="2"/>
  <c r="F164" i="2"/>
  <c r="L1933" i="2"/>
  <c r="M841" i="2"/>
  <c r="T1301" i="2"/>
  <c r="H322" i="2"/>
  <c r="J2635" i="2"/>
  <c r="D1251" i="2"/>
  <c r="G2554" i="2"/>
  <c r="Q1627" i="2"/>
  <c r="R1873" i="2"/>
  <c r="W2732" i="2"/>
  <c r="J2656" i="2"/>
  <c r="S1950" i="2"/>
  <c r="K675" i="2"/>
  <c r="R977" i="2"/>
  <c r="G690" i="2"/>
  <c r="D1530" i="2"/>
  <c r="M619" i="2"/>
  <c r="I976" i="2"/>
  <c r="Q1106" i="2"/>
  <c r="F2172" i="2"/>
  <c r="D569" i="2"/>
  <c r="M1839" i="2"/>
  <c r="W1228" i="2"/>
  <c r="H1373" i="2"/>
  <c r="K2952" i="2"/>
  <c r="I1225" i="2"/>
  <c r="R2484" i="2"/>
  <c r="D1970" i="2"/>
  <c r="P610" i="2"/>
  <c r="S534" i="2"/>
  <c r="S3244" i="2"/>
  <c r="Q315" i="2"/>
  <c r="E451" i="2"/>
  <c r="M2364" i="2"/>
  <c r="T833" i="2"/>
  <c r="M2920" i="2"/>
  <c r="L1882" i="2"/>
  <c r="C1116" i="2"/>
  <c r="K2619" i="2"/>
  <c r="T2443" i="2"/>
  <c r="V1919" i="2"/>
  <c r="H699" i="2"/>
  <c r="W2230" i="2"/>
  <c r="D1198" i="2"/>
  <c r="C615" i="2"/>
  <c r="W757" i="2"/>
  <c r="Q2511" i="2"/>
  <c r="V2558" i="2"/>
  <c r="D1117" i="2"/>
  <c r="H2156" i="2"/>
  <c r="P2015" i="2"/>
  <c r="E2726" i="2"/>
  <c r="R851" i="2"/>
  <c r="H2994" i="2"/>
  <c r="O463" i="2"/>
  <c r="U2896" i="2"/>
  <c r="M798" i="2"/>
  <c r="H1729" i="2"/>
  <c r="G2689" i="2"/>
  <c r="V1796" i="2"/>
  <c r="R1183" i="2"/>
  <c r="E354" i="2"/>
  <c r="U1553" i="2"/>
  <c r="Q2462" i="2"/>
  <c r="N821" i="2"/>
  <c r="C2166" i="2"/>
  <c r="P1099" i="2"/>
  <c r="I952" i="2"/>
  <c r="I1962" i="2"/>
  <c r="O2916" i="2"/>
  <c r="L2878" i="2"/>
  <c r="U2824" i="2"/>
  <c r="G723" i="2"/>
  <c r="W497" i="2"/>
  <c r="D2758" i="2"/>
  <c r="H2770" i="2"/>
  <c r="G2042" i="2"/>
  <c r="E3205" i="2"/>
  <c r="W1914" i="2"/>
  <c r="H2380" i="2"/>
  <c r="I1345" i="2"/>
  <c r="T3111" i="2"/>
  <c r="E3531" i="2"/>
  <c r="P880" i="2"/>
  <c r="O1891" i="2"/>
  <c r="O973" i="2"/>
  <c r="T1085" i="2"/>
  <c r="L279" i="2"/>
  <c r="W2625" i="2"/>
  <c r="U358" i="2"/>
  <c r="D2503" i="2"/>
  <c r="O521" i="2"/>
  <c r="G2600" i="2"/>
  <c r="L1485" i="2"/>
  <c r="H1063" i="2"/>
  <c r="L1119" i="2"/>
  <c r="N1653" i="2"/>
  <c r="H3190" i="2"/>
  <c r="W3448" i="2"/>
  <c r="U731" i="2"/>
  <c r="N1938" i="2"/>
  <c r="U931" i="2"/>
  <c r="C1818" i="2"/>
  <c r="J524" i="2"/>
  <c r="O2497" i="2"/>
  <c r="K346" i="2"/>
  <c r="Q582" i="2"/>
  <c r="J525" i="2"/>
  <c r="Q454" i="2"/>
  <c r="W2711" i="2"/>
  <c r="E40" i="2"/>
  <c r="D3348" i="2"/>
  <c r="D2716" i="2"/>
  <c r="J1752" i="2"/>
  <c r="T3041" i="2"/>
  <c r="C342" i="2"/>
  <c r="N1663" i="2"/>
  <c r="R150" i="2"/>
  <c r="R190" i="2"/>
  <c r="R710" i="2"/>
  <c r="Q3264" i="2"/>
  <c r="E2939" i="2"/>
  <c r="P1915" i="2"/>
  <c r="T1593" i="2"/>
  <c r="P499" i="2"/>
  <c r="W2770" i="2"/>
  <c r="J2345" i="2"/>
  <c r="E1798" i="2"/>
  <c r="L1199" i="2"/>
  <c r="N2408" i="2"/>
  <c r="I319" i="2"/>
  <c r="M3031" i="2"/>
  <c r="N1936" i="2"/>
  <c r="L1149" i="2"/>
  <c r="T1554" i="2"/>
  <c r="P1645" i="2"/>
  <c r="J1992" i="2"/>
  <c r="N1889" i="2"/>
  <c r="G3042" i="2"/>
  <c r="J2119" i="2"/>
  <c r="R1146" i="2"/>
  <c r="O892" i="2"/>
  <c r="S720" i="2"/>
  <c r="K1985" i="2"/>
  <c r="K462" i="2"/>
  <c r="C2171" i="2"/>
  <c r="F660" i="2"/>
  <c r="E1920" i="2"/>
  <c r="N339" i="2"/>
  <c r="W412" i="2"/>
  <c r="L368" i="2"/>
  <c r="G1020" i="2"/>
  <c r="O2042" i="2"/>
  <c r="V1184" i="2"/>
  <c r="V1904" i="2"/>
  <c r="E2019" i="2"/>
  <c r="P687" i="2"/>
  <c r="U1855" i="2"/>
  <c r="R761" i="2"/>
  <c r="W3095" i="2"/>
  <c r="W373" i="2"/>
  <c r="R1692" i="2"/>
  <c r="D452" i="2"/>
  <c r="W1971" i="2"/>
  <c r="U1728" i="2"/>
  <c r="J2703" i="2"/>
  <c r="C1397" i="2"/>
  <c r="I2216" i="2"/>
  <c r="V3275" i="2"/>
  <c r="G2476" i="2"/>
  <c r="F1518" i="2"/>
  <c r="U1130" i="2"/>
  <c r="F2738" i="2"/>
  <c r="O112" i="2"/>
  <c r="T1857" i="2"/>
  <c r="I1544" i="2"/>
  <c r="P1805" i="2"/>
  <c r="I1545" i="2"/>
  <c r="C2886" i="2"/>
  <c r="I514" i="2"/>
  <c r="L2853" i="2"/>
  <c r="L565" i="2"/>
  <c r="S2022" i="2"/>
  <c r="K1203" i="2"/>
  <c r="M2152" i="2"/>
  <c r="N1737" i="2"/>
  <c r="V1123" i="2"/>
  <c r="D3138" i="2"/>
  <c r="O2948" i="2"/>
  <c r="F1836" i="2"/>
  <c r="Q1541" i="2"/>
  <c r="K3551" i="2"/>
  <c r="N2905" i="2"/>
  <c r="J2820" i="2"/>
  <c r="C1958" i="2"/>
  <c r="W2766" i="2"/>
  <c r="T2590" i="2"/>
  <c r="V2083" i="2"/>
  <c r="J1710" i="2"/>
  <c r="L105" i="2"/>
  <c r="E2347" i="2"/>
  <c r="Q489" i="2"/>
  <c r="D2534" i="2"/>
  <c r="P2039" i="2"/>
  <c r="D2310" i="2"/>
  <c r="V2232" i="2"/>
  <c r="W3110" i="2"/>
  <c r="E2583" i="2"/>
  <c r="N2462" i="2"/>
  <c r="P2454" i="2"/>
  <c r="J3266" i="2"/>
  <c r="U2980" i="2"/>
  <c r="S515" i="2"/>
  <c r="K127" i="2"/>
  <c r="V1572" i="2"/>
  <c r="P2279" i="2"/>
  <c r="R1181" i="2"/>
  <c r="T200" i="2"/>
  <c r="V3250" i="2"/>
  <c r="U3262" i="2"/>
  <c r="U1890" i="2"/>
  <c r="F824" i="2"/>
  <c r="F3114" i="2"/>
  <c r="G2592" i="2"/>
  <c r="H3461" i="2"/>
  <c r="K2693" i="2"/>
  <c r="S2969" i="2"/>
  <c r="V2544" i="2"/>
  <c r="N2904" i="2"/>
  <c r="J925" i="2"/>
  <c r="O2355" i="2"/>
  <c r="P2746" i="2"/>
  <c r="H2193" i="2"/>
  <c r="S2453" i="2"/>
  <c r="V2199" i="2"/>
  <c r="Q1915" i="2"/>
  <c r="H2732" i="2"/>
  <c r="L2920" i="2"/>
  <c r="I1676" i="2"/>
  <c r="M641" i="2"/>
  <c r="R2095" i="2"/>
  <c r="V1721" i="2"/>
  <c r="F839" i="2"/>
  <c r="W1844" i="2"/>
  <c r="N1213" i="2"/>
  <c r="M943" i="2"/>
  <c r="P101" i="2"/>
  <c r="V2518" i="2"/>
  <c r="Q2911" i="2"/>
  <c r="M1946" i="2"/>
  <c r="W1589" i="2"/>
  <c r="U2975" i="2"/>
  <c r="R1808" i="2"/>
  <c r="Q634" i="2"/>
  <c r="I1129" i="2"/>
  <c r="D2091" i="2"/>
  <c r="K1360" i="2"/>
  <c r="V2723" i="2"/>
  <c r="C2480" i="2"/>
  <c r="V1662" i="2"/>
  <c r="M2459" i="2"/>
  <c r="J1498" i="2"/>
  <c r="G645" i="2"/>
  <c r="K820" i="2"/>
  <c r="Q853" i="2"/>
  <c r="H1281" i="2"/>
  <c r="G210" i="2"/>
  <c r="T2938" i="2"/>
  <c r="C2083" i="2"/>
  <c r="T2082" i="2"/>
  <c r="L1718" i="2"/>
  <c r="G2879" i="2"/>
  <c r="N2683" i="2"/>
  <c r="N629" i="2"/>
  <c r="N682" i="2"/>
  <c r="J3126" i="2"/>
  <c r="Q84" i="2"/>
  <c r="D2241" i="2"/>
  <c r="M1094" i="2"/>
  <c r="N2792" i="2"/>
  <c r="S1011" i="2"/>
  <c r="H1446" i="2"/>
  <c r="U2155" i="2"/>
  <c r="J1671" i="2"/>
  <c r="J2685" i="2"/>
  <c r="C1409" i="2"/>
  <c r="W135" i="2"/>
  <c r="W1399" i="2"/>
  <c r="K2103" i="2"/>
  <c r="U2287" i="2"/>
  <c r="N2639" i="2"/>
  <c r="D2293" i="2"/>
  <c r="I2173" i="2"/>
  <c r="P603" i="2"/>
  <c r="W1504" i="2"/>
  <c r="O2681" i="2"/>
  <c r="P1605" i="2"/>
  <c r="I2984" i="2"/>
  <c r="P2572" i="2"/>
  <c r="H1870" i="2"/>
  <c r="H805" i="2"/>
  <c r="D3280" i="2"/>
  <c r="N424" i="2"/>
  <c r="K115" i="2"/>
  <c r="V1926" i="2"/>
  <c r="W1373" i="2"/>
  <c r="F1674" i="2"/>
  <c r="D1413" i="2"/>
  <c r="O3394" i="2"/>
  <c r="H2709" i="2"/>
  <c r="M1908" i="2"/>
  <c r="R1514" i="2"/>
  <c r="O1613" i="2"/>
  <c r="D766" i="2"/>
  <c r="U809" i="2"/>
  <c r="Q443" i="2"/>
  <c r="E1716" i="2"/>
  <c r="M1891" i="2"/>
  <c r="P1059" i="2"/>
  <c r="K1797" i="2"/>
  <c r="R793" i="2"/>
  <c r="H1573" i="2"/>
  <c r="C913" i="2"/>
  <c r="G2695" i="2"/>
  <c r="T2860" i="2"/>
  <c r="H1020" i="2"/>
  <c r="F236" i="2"/>
  <c r="M1416" i="2"/>
  <c r="D1635" i="2"/>
  <c r="W1596" i="2"/>
  <c r="D2703" i="2"/>
  <c r="V1812" i="2"/>
  <c r="G1715" i="2"/>
  <c r="E2023" i="2"/>
  <c r="D2844" i="2"/>
  <c r="D1487" i="2"/>
  <c r="E131" i="2"/>
  <c r="I765" i="2"/>
  <c r="R1798" i="2"/>
  <c r="R2676" i="2"/>
  <c r="O2946" i="2"/>
  <c r="P1592" i="2"/>
  <c r="E1228" i="2"/>
  <c r="D658" i="2"/>
  <c r="O1279" i="2"/>
  <c r="K2018" i="2"/>
  <c r="D1612" i="2"/>
  <c r="C26" i="2"/>
  <c r="J1610" i="2"/>
  <c r="K1390" i="2"/>
  <c r="U1455" i="2"/>
  <c r="G391" i="2"/>
  <c r="M2724" i="2"/>
  <c r="O1297" i="2"/>
  <c r="R1385" i="2"/>
  <c r="T3439" i="2"/>
  <c r="H1676" i="2"/>
  <c r="Q1887" i="2"/>
  <c r="P616" i="2"/>
  <c r="O485" i="2"/>
  <c r="Q66" i="2"/>
  <c r="V960" i="2"/>
  <c r="V1391" i="2"/>
  <c r="E973" i="2"/>
  <c r="Q1700" i="2"/>
  <c r="T3085" i="2"/>
  <c r="C2533" i="2"/>
  <c r="H1390" i="2"/>
  <c r="F220" i="2"/>
  <c r="P1345" i="2"/>
  <c r="Q1842" i="2"/>
  <c r="W1428" i="2"/>
  <c r="K818" i="2"/>
  <c r="F610" i="2"/>
  <c r="O529" i="2"/>
  <c r="N2573" i="2"/>
  <c r="C1589" i="2"/>
  <c r="F2052" i="2"/>
  <c r="O1588" i="2"/>
  <c r="Q2916" i="2"/>
  <c r="N475" i="2"/>
  <c r="K840" i="2"/>
  <c r="J770" i="2"/>
  <c r="T1597" i="2"/>
  <c r="I152" i="2"/>
  <c r="R358" i="2"/>
  <c r="G1070" i="2"/>
  <c r="E2723" i="2"/>
  <c r="D2953" i="2"/>
  <c r="Q1909" i="2"/>
  <c r="T1041" i="2"/>
  <c r="G886" i="2"/>
  <c r="G2219" i="2"/>
  <c r="D1432" i="2"/>
  <c r="K538" i="2"/>
  <c r="D713" i="2"/>
  <c r="I632" i="2"/>
  <c r="P960" i="2"/>
  <c r="P177" i="2"/>
  <c r="W717" i="2"/>
  <c r="N1981" i="2"/>
  <c r="O2002" i="2"/>
  <c r="F666" i="2"/>
  <c r="O677" i="2"/>
  <c r="I431" i="2"/>
  <c r="C1080" i="2"/>
  <c r="R778" i="2"/>
  <c r="R543" i="2"/>
  <c r="Q573" i="2"/>
  <c r="N1135" i="2"/>
  <c r="G641" i="2"/>
  <c r="I5" i="2"/>
  <c r="N738" i="2"/>
  <c r="P2305" i="2"/>
  <c r="N2463" i="2"/>
  <c r="N2684" i="2"/>
  <c r="C2145" i="2"/>
  <c r="O1940" i="2"/>
  <c r="K1334" i="2"/>
  <c r="I3559" i="2"/>
  <c r="M1052" i="2"/>
  <c r="S3106" i="2"/>
  <c r="D346" i="2"/>
  <c r="D361" i="2"/>
  <c r="T1596" i="2"/>
  <c r="V189" i="2"/>
  <c r="W243" i="2"/>
  <c r="O1729" i="2"/>
  <c r="T366" i="2"/>
  <c r="P50" i="2"/>
  <c r="K750" i="2"/>
  <c r="S134" i="2"/>
  <c r="O1429" i="2"/>
  <c r="I222" i="2"/>
  <c r="K110" i="2"/>
  <c r="Q1193" i="2"/>
  <c r="T2529" i="2"/>
  <c r="T2340" i="2"/>
  <c r="R1260" i="2"/>
  <c r="J61" i="2"/>
  <c r="K2648" i="2"/>
  <c r="G571" i="2"/>
  <c r="U3277" i="2"/>
  <c r="S3155" i="2"/>
  <c r="J2902" i="2"/>
  <c r="I2834" i="2"/>
  <c r="M438" i="2"/>
  <c r="R1806" i="2"/>
  <c r="L1942" i="2"/>
  <c r="D1557" i="2"/>
  <c r="V2508" i="2"/>
  <c r="T1813" i="2"/>
  <c r="Q3343" i="2"/>
  <c r="K1942" i="2"/>
  <c r="C1992" i="2"/>
  <c r="S2693" i="2"/>
  <c r="J2552" i="2"/>
  <c r="E1367" i="2"/>
  <c r="M3097" i="2"/>
  <c r="U694" i="2"/>
  <c r="I86" i="2"/>
  <c r="R2396" i="2"/>
  <c r="V2252" i="2"/>
  <c r="P1859" i="2"/>
  <c r="S2265" i="2"/>
  <c r="C2431" i="2"/>
  <c r="T1939" i="2"/>
  <c r="K595" i="2"/>
  <c r="T1441" i="2"/>
  <c r="G3026" i="2"/>
  <c r="J1462" i="2"/>
  <c r="L2662" i="2"/>
  <c r="P2417" i="2"/>
  <c r="Q2700" i="2"/>
  <c r="G2848" i="2"/>
  <c r="P1562" i="2"/>
  <c r="L332" i="2"/>
  <c r="W1849" i="2"/>
  <c r="D2793" i="2"/>
  <c r="U2759" i="2"/>
  <c r="G2774" i="2"/>
  <c r="G520" i="2"/>
  <c r="C2214" i="2"/>
  <c r="L2632" i="2"/>
  <c r="E1386" i="2"/>
  <c r="F3348" i="2"/>
  <c r="S1136" i="2"/>
  <c r="H2911" i="2"/>
  <c r="H2922" i="2"/>
  <c r="M437" i="2"/>
  <c r="T2327" i="2"/>
  <c r="O1966" i="2"/>
  <c r="M3165" i="2"/>
  <c r="K951" i="2"/>
  <c r="N1710" i="2"/>
  <c r="G2882" i="2"/>
  <c r="O1766" i="2"/>
  <c r="G741" i="2"/>
  <c r="C2280" i="2"/>
  <c r="T3117" i="2"/>
  <c r="V2059" i="2"/>
  <c r="V3369" i="2"/>
  <c r="D2445" i="2"/>
  <c r="J2601" i="2"/>
  <c r="U1142" i="2"/>
  <c r="L3245" i="2"/>
  <c r="J2503" i="2"/>
  <c r="R326" i="2"/>
  <c r="S1425" i="2"/>
  <c r="Q2442" i="2"/>
  <c r="L1959" i="2"/>
  <c r="Q2654" i="2"/>
  <c r="T1917" i="2"/>
  <c r="H1269" i="2"/>
  <c r="Q2374" i="2"/>
  <c r="S1834" i="2"/>
  <c r="D3423" i="2"/>
  <c r="D2186" i="2"/>
  <c r="W2351" i="2"/>
  <c r="M2024" i="2"/>
  <c r="S812" i="2"/>
  <c r="O1835" i="2"/>
  <c r="T1454" i="2"/>
  <c r="D825" i="2"/>
  <c r="D3510" i="2"/>
  <c r="G807" i="2"/>
  <c r="Q950" i="2"/>
  <c r="V2833" i="2"/>
  <c r="U1385" i="2"/>
  <c r="T2934" i="2"/>
  <c r="U1100" i="2"/>
  <c r="C3007" i="2"/>
  <c r="U1959" i="2"/>
  <c r="U2681" i="2"/>
  <c r="O2544" i="2"/>
  <c r="M2295" i="2"/>
  <c r="Q2965" i="2"/>
  <c r="U2163" i="2"/>
  <c r="P1672" i="2"/>
  <c r="S258" i="2"/>
  <c r="C2358" i="2"/>
  <c r="M649" i="2"/>
  <c r="M1836" i="2"/>
  <c r="W2091" i="2"/>
  <c r="K3046" i="2"/>
  <c r="R754" i="2"/>
  <c r="M2535" i="2"/>
  <c r="K476" i="2"/>
  <c r="F2536" i="2"/>
  <c r="N833" i="2"/>
  <c r="C2600" i="2"/>
  <c r="M2741" i="2"/>
  <c r="C2968" i="2"/>
  <c r="M2705" i="2"/>
  <c r="C1572" i="2"/>
  <c r="F1881" i="2"/>
  <c r="N1692" i="2"/>
  <c r="E2864" i="2"/>
  <c r="W3626" i="2"/>
  <c r="J1607" i="2"/>
  <c r="O3181" i="2"/>
  <c r="G1735" i="2"/>
  <c r="S516" i="2"/>
  <c r="E2605" i="2"/>
  <c r="I2715" i="2"/>
  <c r="G1120" i="2"/>
  <c r="L955" i="2"/>
  <c r="D2190" i="2"/>
  <c r="R1624" i="2"/>
  <c r="O3190" i="2"/>
  <c r="V3283" i="2"/>
  <c r="G2009" i="2"/>
  <c r="F2731" i="2"/>
  <c r="R448" i="2"/>
  <c r="P2533" i="2"/>
  <c r="S2462" i="2"/>
  <c r="R1841" i="2"/>
  <c r="K2632" i="2"/>
  <c r="H2270" i="2"/>
  <c r="O675" i="2"/>
  <c r="H2893" i="2"/>
  <c r="S1227" i="2"/>
  <c r="N1763" i="2"/>
  <c r="I1516" i="2"/>
  <c r="G2251" i="2"/>
  <c r="N2838" i="2"/>
  <c r="R2401" i="2"/>
  <c r="Q2848" i="2"/>
  <c r="C35" i="2"/>
  <c r="H1402" i="2"/>
  <c r="D616" i="2"/>
  <c r="O1256" i="2"/>
  <c r="E1831" i="2"/>
  <c r="Q2102" i="2"/>
  <c r="J3293" i="2"/>
  <c r="O2790" i="2"/>
  <c r="G2126" i="2"/>
  <c r="R573" i="2"/>
  <c r="D1751" i="2"/>
  <c r="T381" i="2"/>
  <c r="R1975" i="2"/>
  <c r="M908" i="2"/>
  <c r="L1824" i="2"/>
  <c r="I2792" i="2"/>
  <c r="K361" i="2"/>
  <c r="P2655" i="2"/>
  <c r="S1966" i="2"/>
  <c r="L860" i="2"/>
  <c r="W2281" i="2"/>
  <c r="M1300" i="2"/>
  <c r="M975" i="2"/>
  <c r="D1201" i="2"/>
  <c r="T347" i="2"/>
  <c r="D2766" i="2"/>
  <c r="T2257" i="2"/>
  <c r="C806" i="2"/>
  <c r="Q2466" i="2"/>
  <c r="J2233" i="2"/>
  <c r="D2465" i="2"/>
  <c r="V1418" i="2"/>
  <c r="W808" i="2"/>
  <c r="K3167" i="2"/>
  <c r="R2266" i="2"/>
  <c r="N1499" i="2"/>
  <c r="T2567" i="2"/>
  <c r="M2307" i="2"/>
  <c r="L3070" i="2"/>
  <c r="R412" i="2"/>
  <c r="J2238" i="2"/>
  <c r="P2988" i="2"/>
  <c r="S2130" i="2"/>
  <c r="J2400" i="2"/>
  <c r="K2498" i="2"/>
  <c r="G2739" i="2"/>
  <c r="R2090" i="2"/>
  <c r="V1940" i="2"/>
  <c r="W1435" i="2"/>
  <c r="R2877" i="2"/>
  <c r="G2792" i="2"/>
  <c r="L2254" i="2"/>
  <c r="S2074" i="2"/>
  <c r="M1806" i="2"/>
  <c r="K2602" i="2"/>
  <c r="L1247" i="2"/>
  <c r="W1096" i="2"/>
  <c r="W2916" i="2"/>
  <c r="F2741" i="2"/>
  <c r="I3456" i="2"/>
  <c r="S2397" i="2"/>
  <c r="F823" i="2"/>
  <c r="U2231" i="2"/>
  <c r="G3021" i="2"/>
  <c r="I1760" i="2"/>
  <c r="J3513" i="2"/>
  <c r="K2867" i="2"/>
  <c r="Q1440" i="2"/>
  <c r="T3016" i="2"/>
  <c r="P754" i="2"/>
  <c r="O1954" i="2"/>
  <c r="Q610" i="2"/>
  <c r="M2341" i="2"/>
  <c r="G2791" i="2"/>
  <c r="Q501" i="2"/>
  <c r="N1609" i="2"/>
  <c r="F762" i="2"/>
  <c r="I2526" i="2"/>
  <c r="K2982" i="2"/>
  <c r="R2352" i="2"/>
  <c r="K3055" i="2"/>
  <c r="W2638" i="2"/>
  <c r="V2373" i="2"/>
  <c r="K1871" i="2"/>
  <c r="M474" i="2"/>
  <c r="K1264" i="2"/>
  <c r="J1804" i="2"/>
  <c r="V2875" i="2"/>
  <c r="H2008" i="2"/>
  <c r="U2387" i="2"/>
  <c r="E2576" i="2"/>
  <c r="G2222" i="2"/>
  <c r="K1846" i="2"/>
  <c r="S747" i="2"/>
  <c r="S2972" i="2"/>
  <c r="N2991" i="2"/>
  <c r="G2267" i="2"/>
  <c r="M2397" i="2"/>
  <c r="O3153" i="2"/>
  <c r="O1221" i="2"/>
  <c r="H2920" i="2"/>
  <c r="C2246" i="2"/>
  <c r="F2601" i="2"/>
  <c r="K1482" i="2"/>
  <c r="W1931" i="2"/>
  <c r="C2052" i="2"/>
  <c r="K2586" i="2"/>
  <c r="K1572" i="2"/>
  <c r="C3337" i="2"/>
  <c r="R2755" i="2"/>
  <c r="V2527" i="2"/>
  <c r="F3421" i="2"/>
  <c r="M1006" i="2"/>
  <c r="F3078" i="2"/>
  <c r="L1502" i="2"/>
  <c r="S1814" i="2"/>
  <c r="V1731" i="2"/>
  <c r="C1197" i="2"/>
  <c r="P1234" i="2"/>
  <c r="K2674" i="2"/>
  <c r="N716" i="2"/>
  <c r="E2919" i="2"/>
  <c r="G2766" i="2"/>
  <c r="R3104" i="2"/>
  <c r="W1910" i="2"/>
  <c r="R2403" i="2"/>
  <c r="I2121" i="2"/>
  <c r="M633" i="2"/>
  <c r="J714" i="2"/>
  <c r="U3430" i="2"/>
  <c r="I2495" i="2"/>
  <c r="R3087" i="2"/>
  <c r="S2798" i="2"/>
  <c r="H2566" i="2"/>
  <c r="P231" i="2"/>
  <c r="E2373" i="2"/>
  <c r="C1145" i="2"/>
  <c r="R1697" i="2"/>
  <c r="R1646" i="2"/>
  <c r="K1863" i="2"/>
  <c r="G3407" i="2"/>
  <c r="P2531" i="2"/>
  <c r="C2934" i="2"/>
  <c r="V912" i="2"/>
  <c r="F1013" i="2"/>
  <c r="F1647" i="2"/>
  <c r="Q2858" i="2"/>
  <c r="R2767" i="2"/>
  <c r="C3018" i="2"/>
  <c r="I1197" i="2"/>
  <c r="L2952" i="2"/>
  <c r="F2862" i="2"/>
  <c r="M3189" i="2"/>
  <c r="C2256" i="2"/>
  <c r="S2610" i="2"/>
  <c r="R824" i="2"/>
  <c r="L2735" i="2"/>
  <c r="K2374" i="2"/>
  <c r="D3332" i="2"/>
  <c r="Q207" i="2"/>
  <c r="O1609" i="2"/>
  <c r="J1278" i="2"/>
  <c r="U1902" i="2"/>
  <c r="R1778" i="2"/>
  <c r="G1455" i="2"/>
  <c r="G3305" i="2"/>
  <c r="U3207" i="2"/>
  <c r="N2447" i="2"/>
  <c r="M1288" i="2"/>
  <c r="V2520" i="2"/>
  <c r="W2136" i="2"/>
  <c r="L703" i="2"/>
  <c r="O1351" i="2"/>
  <c r="D2308" i="2"/>
  <c r="C1068" i="2"/>
  <c r="O2942" i="2"/>
  <c r="C1860" i="2"/>
  <c r="Q2898" i="2"/>
  <c r="I701" i="2"/>
  <c r="S1897" i="2"/>
  <c r="K2174" i="2"/>
  <c r="M1330" i="2"/>
  <c r="G3114" i="2"/>
  <c r="W823" i="2"/>
  <c r="H2276" i="2"/>
  <c r="J3017" i="2"/>
  <c r="S1756" i="2"/>
  <c r="F3162" i="2"/>
  <c r="F3196" i="2"/>
  <c r="D2430" i="2"/>
  <c r="E1250" i="2"/>
  <c r="T2461" i="2"/>
  <c r="O1559" i="2"/>
  <c r="J1534" i="2"/>
  <c r="J2985" i="2"/>
  <c r="R1376" i="2"/>
  <c r="D1469" i="2"/>
  <c r="I718" i="2"/>
  <c r="I3045" i="2"/>
  <c r="J2769" i="2"/>
  <c r="P1703" i="2"/>
  <c r="D1836" i="2"/>
  <c r="P2887" i="2"/>
  <c r="S2779" i="2"/>
  <c r="P1660" i="2"/>
  <c r="R2574" i="2"/>
  <c r="N2387" i="2"/>
  <c r="G1554" i="2"/>
  <c r="T1970" i="2"/>
  <c r="E2411" i="2"/>
  <c r="I2335" i="2"/>
  <c r="U1349" i="2"/>
  <c r="G2538" i="2"/>
  <c r="V2880" i="2"/>
  <c r="K1736" i="2"/>
  <c r="K2656" i="2"/>
  <c r="I6" i="2"/>
  <c r="S1408" i="2"/>
  <c r="S1083" i="2"/>
  <c r="C3083" i="2"/>
  <c r="V301" i="2"/>
  <c r="D1495" i="2"/>
  <c r="I2545" i="2"/>
  <c r="R2749" i="2"/>
  <c r="J3274" i="2"/>
  <c r="N1934" i="2"/>
  <c r="R616" i="2"/>
  <c r="T996" i="2"/>
  <c r="O1804" i="2"/>
  <c r="I2065" i="2"/>
  <c r="C1788" i="2"/>
  <c r="V2917" i="2"/>
  <c r="E515" i="2"/>
  <c r="G2364" i="2"/>
  <c r="O1852" i="2"/>
  <c r="D812" i="2"/>
  <c r="O1745" i="2"/>
  <c r="T1700" i="2"/>
  <c r="W3201" i="2"/>
  <c r="N3326" i="2"/>
  <c r="J773" i="2"/>
  <c r="L2196" i="2"/>
  <c r="C757" i="2"/>
  <c r="G1833" i="2"/>
  <c r="D1682" i="2"/>
  <c r="M2306" i="2"/>
  <c r="T1252" i="2"/>
  <c r="P2052" i="2"/>
  <c r="O2133" i="2"/>
  <c r="Q1513" i="2"/>
  <c r="C1675" i="2"/>
  <c r="V1381" i="2"/>
  <c r="M2280" i="2"/>
  <c r="I1370" i="2"/>
  <c r="I2580" i="2"/>
  <c r="E303" i="2"/>
  <c r="I2533" i="2"/>
  <c r="O578" i="2"/>
  <c r="L1311" i="2"/>
  <c r="J1189" i="2"/>
  <c r="M2074" i="2"/>
  <c r="G2099" i="2"/>
  <c r="U2746" i="2"/>
  <c r="V2559" i="2"/>
  <c r="U2858" i="2"/>
  <c r="F1901" i="2"/>
  <c r="C643" i="2"/>
  <c r="V1501" i="2"/>
  <c r="C812" i="2"/>
  <c r="U820" i="2"/>
  <c r="J919" i="2"/>
  <c r="R674" i="2"/>
  <c r="N988" i="2"/>
  <c r="H849" i="2"/>
  <c r="I2909" i="2"/>
  <c r="G1503" i="2"/>
  <c r="L1574" i="2"/>
  <c r="O2934" i="2"/>
  <c r="G3482" i="2"/>
  <c r="L471" i="2"/>
  <c r="Q2788" i="2"/>
  <c r="D1565" i="2"/>
  <c r="D1076" i="2"/>
  <c r="O1212" i="2"/>
  <c r="J2333" i="2"/>
  <c r="G2749" i="2"/>
  <c r="T3346" i="2"/>
  <c r="S2269" i="2"/>
  <c r="R1491" i="2"/>
  <c r="O212" i="2"/>
  <c r="R2270" i="2"/>
  <c r="T2779" i="2"/>
  <c r="L3503" i="2"/>
  <c r="L1439" i="2"/>
  <c r="E1985" i="2"/>
  <c r="P1160" i="2"/>
  <c r="V2946" i="2"/>
  <c r="J2448" i="2"/>
  <c r="F820" i="2"/>
  <c r="K1362" i="2"/>
  <c r="S1527" i="2"/>
  <c r="T2830" i="2"/>
  <c r="T1310" i="2"/>
  <c r="H73" i="2"/>
  <c r="G2297" i="2"/>
  <c r="H1611" i="2"/>
  <c r="W2195" i="2"/>
  <c r="H1039" i="2"/>
  <c r="D565" i="2"/>
  <c r="I1829" i="2"/>
  <c r="M3322" i="2"/>
  <c r="O3092" i="2"/>
  <c r="D2152" i="2"/>
  <c r="J910" i="2"/>
  <c r="O1647" i="2"/>
  <c r="W3013" i="2"/>
  <c r="M952" i="2"/>
  <c r="O400" i="2"/>
  <c r="Q3267" i="2"/>
  <c r="D674" i="2"/>
  <c r="U2444" i="2"/>
  <c r="G1642" i="2"/>
  <c r="H730" i="2"/>
  <c r="W1158" i="2"/>
  <c r="G630" i="2"/>
  <c r="W261" i="2"/>
  <c r="T1245" i="2"/>
  <c r="C1128" i="2"/>
  <c r="S2160" i="2"/>
  <c r="H2569" i="2"/>
  <c r="C926" i="2"/>
  <c r="G1909" i="2"/>
  <c r="H502" i="2"/>
  <c r="C656" i="2"/>
  <c r="P1284" i="2"/>
  <c r="U1279" i="2"/>
  <c r="M2983" i="2"/>
  <c r="V2354" i="2"/>
  <c r="G1835" i="2"/>
  <c r="C2290" i="2"/>
  <c r="O3068" i="2"/>
  <c r="K874" i="2"/>
  <c r="V2603" i="2"/>
  <c r="U930" i="2"/>
  <c r="O2775" i="2"/>
  <c r="R536" i="2"/>
  <c r="U80" i="2"/>
  <c r="W1881" i="2"/>
  <c r="Q888" i="2"/>
  <c r="L1600" i="2"/>
  <c r="H1926" i="2"/>
  <c r="V2951" i="2"/>
  <c r="P3021" i="2"/>
  <c r="U2190" i="2"/>
  <c r="F2572" i="2"/>
  <c r="O2192" i="2"/>
  <c r="J2725" i="2"/>
  <c r="F1897" i="2"/>
  <c r="P2563" i="2"/>
  <c r="I1883" i="2"/>
  <c r="D3077" i="2"/>
  <c r="S3127" i="2"/>
  <c r="W2664" i="2"/>
  <c r="L726" i="2"/>
  <c r="D1936" i="2"/>
  <c r="L2984" i="2"/>
  <c r="T1615" i="2"/>
  <c r="D2056" i="2"/>
  <c r="T2055" i="2"/>
  <c r="O2737" i="2"/>
  <c r="K598" i="2"/>
  <c r="D3011" i="2"/>
  <c r="Q41" i="2"/>
  <c r="U2932" i="2"/>
  <c r="D3308" i="2"/>
  <c r="H2308" i="2"/>
  <c r="E1262" i="2"/>
  <c r="S2724" i="2"/>
  <c r="R2865" i="2"/>
  <c r="G1914" i="2"/>
  <c r="M203" i="2"/>
  <c r="Q1714" i="2"/>
  <c r="T1132" i="2"/>
  <c r="I2840" i="2"/>
  <c r="E1448" i="2"/>
  <c r="G2129" i="2"/>
  <c r="K2332" i="2"/>
  <c r="H583" i="2"/>
  <c r="P1340" i="2"/>
  <c r="R3509" i="2"/>
  <c r="I144" i="2"/>
  <c r="R354" i="2"/>
  <c r="T2490" i="2"/>
  <c r="C1577" i="2"/>
  <c r="V2305" i="2"/>
  <c r="P2066" i="2"/>
  <c r="I2370" i="2"/>
  <c r="M1980" i="2"/>
  <c r="C1823" i="2"/>
  <c r="W6" i="2"/>
  <c r="G1102" i="2"/>
  <c r="U1900" i="2"/>
  <c r="M1934" i="2"/>
  <c r="C1781" i="2"/>
  <c r="D2181" i="2"/>
  <c r="R1633" i="2"/>
  <c r="R1255" i="2"/>
  <c r="K1791" i="2"/>
  <c r="O2031" i="2"/>
  <c r="L818" i="2"/>
  <c r="S1827" i="2"/>
  <c r="C1070" i="2"/>
  <c r="L1456" i="2"/>
  <c r="L1637" i="2"/>
  <c r="P1517" i="2"/>
  <c r="C1764" i="2"/>
  <c r="O3185" i="2"/>
  <c r="O3317" i="2"/>
  <c r="G1168" i="2"/>
  <c r="C1295" i="2"/>
  <c r="J1229" i="2"/>
  <c r="D1552" i="2"/>
  <c r="I1104" i="2"/>
  <c r="Q1164" i="2"/>
  <c r="T1818" i="2"/>
  <c r="Q3312" i="2"/>
  <c r="S2107" i="2"/>
  <c r="U1934" i="2"/>
  <c r="K2486" i="2"/>
  <c r="F1075" i="2"/>
  <c r="M138" i="2"/>
  <c r="F878" i="2"/>
  <c r="R1090" i="2"/>
  <c r="U3232" i="2"/>
  <c r="L2155" i="2"/>
  <c r="N2231" i="2"/>
  <c r="W1937" i="2"/>
  <c r="H3422" i="2"/>
  <c r="J3060" i="2"/>
  <c r="Q2010" i="2"/>
  <c r="R1581" i="2"/>
  <c r="Q784" i="2"/>
  <c r="M2834" i="2"/>
  <c r="O1581" i="2"/>
  <c r="J2474" i="2"/>
  <c r="U1502" i="2"/>
  <c r="O2764" i="2"/>
  <c r="T2908" i="2"/>
  <c r="T2407" i="2"/>
  <c r="T1241" i="2"/>
  <c r="L1797" i="2"/>
  <c r="E1804" i="2"/>
  <c r="K1099" i="2"/>
  <c r="G2442" i="2"/>
  <c r="G1526" i="2"/>
  <c r="D2267" i="2"/>
  <c r="S1486" i="2"/>
  <c r="C3370" i="2"/>
  <c r="O1757" i="2"/>
  <c r="G1334" i="2"/>
  <c r="N634" i="2"/>
  <c r="P2044" i="2"/>
  <c r="C1009" i="2"/>
  <c r="K1142" i="2"/>
  <c r="V2345" i="2"/>
  <c r="D1314" i="2"/>
  <c r="M2105" i="2"/>
  <c r="E2123" i="2"/>
  <c r="C1196" i="2"/>
  <c r="C1172" i="2"/>
  <c r="O1863" i="2"/>
  <c r="D326" i="2"/>
  <c r="H1667" i="2"/>
  <c r="U1696" i="2"/>
  <c r="O1894" i="2"/>
  <c r="J507" i="2"/>
  <c r="H2249" i="2"/>
  <c r="D510" i="2"/>
  <c r="M2694" i="2"/>
  <c r="I331" i="2"/>
  <c r="D1749" i="2"/>
  <c r="H1210" i="2"/>
  <c r="H1512" i="2"/>
  <c r="L1843" i="2"/>
  <c r="N2637" i="2"/>
  <c r="E2153" i="2"/>
  <c r="P1804" i="2"/>
  <c r="R2690" i="2"/>
  <c r="M2514" i="2"/>
  <c r="C2114" i="2"/>
  <c r="U908" i="2"/>
  <c r="T450" i="2"/>
  <c r="Q393" i="2"/>
  <c r="T2113" i="2"/>
  <c r="F1334" i="2"/>
  <c r="U2389" i="2"/>
  <c r="G1613" i="2"/>
  <c r="P684" i="2"/>
  <c r="D3179" i="2"/>
  <c r="I745" i="2"/>
  <c r="O962" i="2"/>
  <c r="H2236" i="2"/>
  <c r="E1102" i="2"/>
  <c r="W422" i="2"/>
  <c r="S2670" i="2"/>
  <c r="H301" i="2"/>
  <c r="R939" i="2"/>
  <c r="T713" i="2"/>
  <c r="E699" i="2"/>
  <c r="E2891" i="2"/>
  <c r="G1062" i="2"/>
  <c r="L299" i="2"/>
  <c r="Q837" i="2"/>
  <c r="S2676" i="2"/>
  <c r="R1254" i="2"/>
  <c r="I1804" i="2"/>
  <c r="N476" i="2"/>
  <c r="P600" i="2"/>
  <c r="Q1356" i="2"/>
  <c r="T412" i="2"/>
  <c r="O663" i="2"/>
  <c r="V2051" i="2"/>
  <c r="Q17" i="2"/>
  <c r="P1851" i="2"/>
  <c r="F2344" i="2"/>
  <c r="V509" i="2"/>
  <c r="C1564" i="2"/>
  <c r="O671" i="2"/>
  <c r="O1346" i="2"/>
  <c r="Q141" i="2"/>
  <c r="S1135" i="2"/>
  <c r="W2857" i="2"/>
  <c r="U2159" i="2"/>
  <c r="S2667" i="2"/>
  <c r="I284" i="2"/>
  <c r="L1735" i="2"/>
  <c r="O2843" i="2"/>
  <c r="C334" i="2"/>
  <c r="W1394" i="2"/>
  <c r="N529" i="2"/>
  <c r="T2009" i="2"/>
  <c r="G2310" i="2"/>
  <c r="K3381" i="2"/>
  <c r="H3345" i="2"/>
  <c r="G2467" i="2"/>
  <c r="K2007" i="2"/>
  <c r="O574" i="2"/>
  <c r="O1238" i="2"/>
  <c r="J78" i="2"/>
  <c r="G499" i="2"/>
  <c r="O863" i="2"/>
  <c r="N1158" i="2"/>
  <c r="T2747" i="2"/>
  <c r="R2594" i="2"/>
  <c r="O2281" i="2"/>
  <c r="W1913" i="2"/>
  <c r="I1194" i="2"/>
  <c r="K1555" i="2"/>
  <c r="V2614" i="2"/>
  <c r="I919" i="2"/>
  <c r="T2305" i="2"/>
  <c r="O2402" i="2"/>
  <c r="R1258" i="2"/>
  <c r="T2916" i="2"/>
  <c r="U2277" i="2"/>
  <c r="S1432" i="2"/>
  <c r="M2643" i="2"/>
  <c r="L1904" i="2"/>
  <c r="G2995" i="2"/>
  <c r="J1978" i="2"/>
  <c r="E2035" i="2"/>
  <c r="M1327" i="2"/>
  <c r="F3295" i="2"/>
  <c r="W2142" i="2"/>
  <c r="P1161" i="2"/>
  <c r="L1604" i="2"/>
  <c r="V1720" i="2"/>
  <c r="V185" i="2"/>
  <c r="C1794" i="2"/>
  <c r="S469" i="2"/>
  <c r="T2570" i="2"/>
  <c r="C598" i="2"/>
  <c r="S1176" i="2"/>
  <c r="I675" i="2"/>
  <c r="Q2592" i="2"/>
  <c r="N2041" i="2"/>
  <c r="U2469" i="2"/>
  <c r="V2467" i="2"/>
  <c r="W2603" i="2"/>
  <c r="I1306" i="2"/>
  <c r="V2173" i="2"/>
  <c r="U1405" i="2"/>
  <c r="S522" i="2"/>
  <c r="J2743" i="2"/>
  <c r="M2337" i="2"/>
  <c r="S1601" i="2"/>
  <c r="M3461" i="2"/>
  <c r="O1192" i="2"/>
  <c r="C73" i="2"/>
  <c r="W1780" i="2"/>
  <c r="J1024" i="2"/>
  <c r="Q1553" i="2"/>
  <c r="S1724" i="2"/>
  <c r="O2930" i="2"/>
  <c r="C1377" i="2"/>
  <c r="J1755" i="2"/>
  <c r="G1924" i="2"/>
  <c r="U1491" i="2"/>
  <c r="R107" i="2"/>
  <c r="V1350" i="2"/>
  <c r="P1386" i="2"/>
  <c r="V1475" i="2"/>
  <c r="V2669" i="2"/>
  <c r="J1633" i="2"/>
  <c r="M2251" i="2"/>
  <c r="U730" i="2"/>
  <c r="P673" i="2"/>
  <c r="L317" i="2"/>
  <c r="N2125" i="2"/>
  <c r="I2932" i="2"/>
  <c r="K1716" i="2"/>
  <c r="J1090" i="2"/>
  <c r="O2598" i="2"/>
  <c r="H158" i="2"/>
  <c r="J2063" i="2"/>
  <c r="I623" i="2"/>
  <c r="E2032" i="2"/>
  <c r="G582" i="2"/>
  <c r="P2544" i="2"/>
  <c r="D2443" i="2"/>
  <c r="J2216" i="2"/>
  <c r="D1311" i="2"/>
  <c r="Q1921" i="2"/>
  <c r="K1409" i="2"/>
  <c r="P2187" i="2"/>
  <c r="M2156" i="2"/>
  <c r="M1403" i="2"/>
  <c r="L1332" i="2"/>
  <c r="P1520" i="2"/>
  <c r="E1156" i="2"/>
  <c r="U1311" i="2"/>
  <c r="H2790" i="2"/>
  <c r="O2193" i="2"/>
  <c r="H2935" i="2"/>
  <c r="H2845" i="2"/>
  <c r="O1451" i="2"/>
  <c r="S1704" i="2"/>
  <c r="L1599" i="2"/>
  <c r="K1448" i="2"/>
  <c r="N361" i="2"/>
  <c r="O2774" i="2"/>
  <c r="Q3094" i="2"/>
  <c r="U1745" i="2"/>
  <c r="W1545" i="2"/>
  <c r="O893" i="2"/>
  <c r="I1119" i="2"/>
  <c r="E2250" i="2"/>
  <c r="T175" i="2"/>
  <c r="O614" i="2"/>
  <c r="U3164" i="2"/>
  <c r="S1506" i="2"/>
  <c r="S1415" i="2"/>
  <c r="V2484" i="2"/>
  <c r="R2116" i="2"/>
  <c r="K2298" i="2"/>
  <c r="C2804" i="2"/>
  <c r="G2948" i="2"/>
  <c r="T3092" i="2"/>
  <c r="T2108" i="2"/>
  <c r="C1891" i="2"/>
  <c r="F2073" i="2"/>
  <c r="E2714" i="2"/>
  <c r="J1118" i="2"/>
  <c r="O2064" i="2"/>
  <c r="N943" i="2"/>
  <c r="P1841" i="2"/>
  <c r="E788" i="2"/>
  <c r="H1145" i="2"/>
  <c r="H2707" i="2"/>
  <c r="L1839" i="2"/>
  <c r="I920" i="2"/>
  <c r="D572" i="2"/>
  <c r="K1539" i="2"/>
  <c r="O2537" i="2"/>
  <c r="O653" i="2"/>
  <c r="S2161" i="2"/>
  <c r="U2033" i="2"/>
  <c r="O841" i="2"/>
  <c r="K1909" i="2"/>
  <c r="U2846" i="2"/>
  <c r="I456" i="2"/>
  <c r="Q791" i="2"/>
  <c r="H2998" i="2"/>
  <c r="T1117" i="2"/>
  <c r="K793" i="2"/>
  <c r="O1638" i="2"/>
  <c r="N1114" i="2"/>
  <c r="Q536" i="2"/>
  <c r="Q214" i="2"/>
  <c r="Q721" i="2"/>
  <c r="L106" i="2"/>
  <c r="V3108" i="2"/>
  <c r="R2006" i="2"/>
  <c r="N2118" i="2"/>
  <c r="M1082" i="2"/>
  <c r="W636" i="2"/>
  <c r="C896" i="2"/>
  <c r="R2176" i="2"/>
  <c r="I1513" i="2"/>
  <c r="N1149" i="2"/>
  <c r="V1760" i="2"/>
  <c r="C979" i="2"/>
  <c r="O1603" i="2"/>
  <c r="G3415" i="2"/>
  <c r="C1152" i="2"/>
  <c r="J744" i="2"/>
  <c r="N331" i="2"/>
  <c r="I1856" i="2"/>
  <c r="Q40" i="2"/>
  <c r="Q1120" i="2"/>
  <c r="F2230" i="2"/>
  <c r="J117" i="2"/>
  <c r="P10" i="2"/>
  <c r="G595" i="2"/>
  <c r="Q384" i="2"/>
  <c r="T803" i="2"/>
  <c r="Q2645" i="2"/>
  <c r="S1358" i="2"/>
  <c r="H1107" i="2"/>
  <c r="L1139" i="2"/>
  <c r="L2649" i="2"/>
  <c r="T2669" i="2"/>
  <c r="J1310" i="2"/>
  <c r="C1546" i="2"/>
  <c r="F1869" i="2"/>
  <c r="O157" i="2"/>
  <c r="V2806" i="2"/>
  <c r="O399" i="2"/>
  <c r="I905" i="2"/>
  <c r="K463" i="2"/>
  <c r="D1225" i="2"/>
  <c r="H1954" i="2"/>
  <c r="I2180" i="2"/>
  <c r="E2281" i="2"/>
  <c r="H2012" i="2"/>
  <c r="M2110" i="2"/>
  <c r="H2620" i="2"/>
  <c r="N1325" i="2"/>
  <c r="U840" i="2"/>
  <c r="Q2679" i="2"/>
  <c r="T1000" i="2"/>
  <c r="T2542" i="2"/>
  <c r="H2592" i="2"/>
  <c r="E557" i="2"/>
  <c r="J2786" i="2"/>
  <c r="H719" i="2"/>
  <c r="D784" i="2"/>
  <c r="J1824" i="2"/>
  <c r="J2309" i="2"/>
  <c r="V877" i="2"/>
  <c r="H809" i="2"/>
  <c r="U1735" i="2"/>
  <c r="T1612" i="2"/>
  <c r="M3342" i="2"/>
  <c r="I2110" i="2"/>
  <c r="L320" i="2"/>
  <c r="P1862" i="2"/>
  <c r="P2882" i="2"/>
  <c r="I1777" i="2"/>
  <c r="T2021" i="2"/>
  <c r="W1049" i="2"/>
  <c r="C3180" i="2"/>
  <c r="N1895" i="2"/>
  <c r="N42" i="2"/>
  <c r="U1068" i="2"/>
  <c r="I359" i="2"/>
  <c r="H2761" i="2"/>
  <c r="S2830" i="2"/>
  <c r="H3090" i="2"/>
  <c r="O1255" i="2"/>
  <c r="E1521" i="2"/>
  <c r="J678" i="2"/>
  <c r="E3036" i="2"/>
  <c r="Q2333" i="2"/>
  <c r="M1592" i="2"/>
  <c r="J820" i="2"/>
  <c r="U107" i="2"/>
  <c r="R1120" i="2"/>
  <c r="L2463" i="2"/>
  <c r="C2449" i="2"/>
  <c r="H1040" i="2"/>
  <c r="P1445" i="2"/>
  <c r="D2423" i="2"/>
  <c r="K2699" i="2"/>
  <c r="E2555" i="2"/>
  <c r="N1957" i="2"/>
  <c r="R1613" i="2"/>
  <c r="I2502" i="2"/>
  <c r="T1179" i="2"/>
  <c r="D2002" i="2"/>
  <c r="T642" i="2"/>
  <c r="U2263" i="2"/>
  <c r="G2887" i="2"/>
  <c r="S1733" i="2"/>
  <c r="O1853" i="2"/>
  <c r="M1337" i="2"/>
  <c r="Q2285" i="2"/>
  <c r="T334" i="2"/>
  <c r="U2306" i="2"/>
  <c r="K2446" i="2"/>
  <c r="J1099" i="2"/>
  <c r="R2606" i="2"/>
  <c r="O396" i="2"/>
  <c r="L1874" i="2"/>
  <c r="T1350" i="2"/>
  <c r="I1264" i="2"/>
  <c r="S2035" i="2"/>
  <c r="P1629" i="2"/>
  <c r="P1755" i="2"/>
  <c r="S1932" i="2"/>
  <c r="N2769" i="2"/>
  <c r="L1086" i="2"/>
  <c r="I2825" i="2"/>
  <c r="T86" i="2"/>
  <c r="J2697" i="2"/>
  <c r="T1636" i="2"/>
  <c r="L3126" i="2"/>
  <c r="U2385" i="2"/>
  <c r="K841" i="2"/>
  <c r="V725" i="2"/>
  <c r="H636" i="2"/>
  <c r="E1713" i="2"/>
  <c r="N2333" i="2"/>
  <c r="M2761" i="2"/>
  <c r="H2121" i="2"/>
  <c r="Q3153" i="2"/>
  <c r="E2645" i="2"/>
  <c r="D2789" i="2"/>
  <c r="S3011" i="2"/>
  <c r="Q1924" i="2"/>
  <c r="T3119" i="2"/>
  <c r="O2981" i="2"/>
  <c r="K1721" i="2"/>
  <c r="I2848" i="2"/>
  <c r="U2882" i="2"/>
  <c r="W1018" i="2"/>
  <c r="E402" i="2"/>
  <c r="Q159" i="2"/>
  <c r="D2296" i="2"/>
  <c r="Q114" i="2"/>
  <c r="G1512" i="2"/>
  <c r="C3371" i="2"/>
  <c r="U2625" i="2"/>
  <c r="H2644" i="2"/>
  <c r="K3158" i="2"/>
  <c r="Q2986" i="2"/>
  <c r="N1977" i="2"/>
  <c r="D2446" i="2"/>
  <c r="P2924" i="2"/>
  <c r="J1861" i="2"/>
  <c r="K1014" i="2"/>
  <c r="I2210" i="2"/>
  <c r="R699" i="2"/>
  <c r="R861" i="2"/>
  <c r="T2223" i="2"/>
  <c r="H2403" i="2"/>
  <c r="N1885" i="2"/>
  <c r="L2571" i="2"/>
  <c r="M1964" i="2"/>
  <c r="D767" i="2"/>
  <c r="G1388" i="2"/>
  <c r="P2589" i="2"/>
  <c r="I1702" i="2"/>
  <c r="J2775" i="2"/>
  <c r="I1929" i="2"/>
  <c r="L2868" i="2"/>
  <c r="F1589" i="2"/>
  <c r="I906" i="2"/>
  <c r="R1818" i="2"/>
  <c r="L1976" i="2"/>
  <c r="M1229" i="2"/>
  <c r="D743" i="2"/>
  <c r="U2165" i="2"/>
  <c r="O1681" i="2"/>
  <c r="G1306" i="2"/>
  <c r="N34" i="2"/>
  <c r="S1793" i="2"/>
  <c r="R1893" i="2"/>
  <c r="P2048" i="2"/>
  <c r="E2029" i="2"/>
  <c r="P2866" i="2"/>
  <c r="R1109" i="2"/>
  <c r="T2837" i="2"/>
  <c r="Q2510" i="2"/>
  <c r="U2238" i="2"/>
  <c r="D2810" i="2"/>
  <c r="C521" i="2"/>
  <c r="W2198" i="2"/>
  <c r="L1221" i="2"/>
  <c r="Q1705" i="2"/>
  <c r="O1364" i="2"/>
  <c r="Q765" i="2"/>
  <c r="O702" i="2"/>
  <c r="S1907" i="2"/>
  <c r="K811" i="2"/>
  <c r="Q2066" i="2"/>
  <c r="G1041" i="2"/>
  <c r="H2302" i="2"/>
  <c r="O2549" i="2"/>
  <c r="H1144" i="2"/>
  <c r="S92" i="2"/>
  <c r="D840" i="2"/>
  <c r="C2" i="2"/>
  <c r="D1393" i="2"/>
  <c r="S760" i="2"/>
  <c r="U1791" i="2"/>
  <c r="J2224" i="2"/>
  <c r="R1754" i="2"/>
  <c r="D2274" i="2"/>
  <c r="K2716" i="2"/>
  <c r="V1000" i="2"/>
  <c r="V1245" i="2"/>
  <c r="D605" i="2"/>
  <c r="C1844" i="2"/>
  <c r="T1527" i="2"/>
  <c r="F708" i="2"/>
  <c r="S2049" i="2"/>
  <c r="H306" i="2"/>
  <c r="I2615" i="2"/>
  <c r="R1969" i="2"/>
  <c r="T2636" i="2"/>
  <c r="N1631" i="2"/>
  <c r="J124" i="2"/>
  <c r="S2066" i="2"/>
  <c r="J1770" i="2"/>
  <c r="L1702" i="2"/>
  <c r="U2299" i="2"/>
  <c r="J2256" i="2"/>
  <c r="U2545" i="2"/>
  <c r="W1542" i="2"/>
  <c r="H1948" i="2"/>
  <c r="S2065" i="2"/>
  <c r="N980" i="2"/>
  <c r="R2034" i="2"/>
  <c r="V2034" i="2"/>
  <c r="C1115" i="2"/>
  <c r="W2750" i="2"/>
  <c r="W2501" i="2"/>
  <c r="C363" i="2"/>
  <c r="D1532" i="2"/>
  <c r="Q352" i="2"/>
  <c r="G229" i="2"/>
  <c r="C750" i="2"/>
  <c r="O3508" i="2"/>
  <c r="E1966" i="2"/>
  <c r="F41" i="2"/>
  <c r="J464" i="2"/>
  <c r="F1500" i="2"/>
  <c r="P2853" i="2"/>
  <c r="O3128" i="2"/>
  <c r="F1199" i="2"/>
  <c r="W1999" i="2"/>
  <c r="M3385" i="2"/>
  <c r="O1816" i="2"/>
  <c r="N204" i="2"/>
  <c r="S1629" i="2"/>
  <c r="I1672" i="2"/>
  <c r="W992" i="2"/>
  <c r="F1248" i="2"/>
  <c r="Q668" i="2"/>
  <c r="M977" i="2"/>
  <c r="H875" i="2"/>
  <c r="C2481" i="2"/>
  <c r="Q711" i="2"/>
  <c r="V2382" i="2"/>
  <c r="K191" i="2"/>
  <c r="W604" i="2"/>
  <c r="L2806" i="2"/>
  <c r="K2461" i="2"/>
  <c r="U2715" i="2"/>
  <c r="N1762" i="2"/>
  <c r="N1757" i="2"/>
  <c r="R2546" i="2"/>
  <c r="U2174" i="2"/>
  <c r="Q1147" i="2"/>
  <c r="S498" i="2"/>
  <c r="H163" i="2"/>
  <c r="O1029" i="2"/>
  <c r="L842" i="2"/>
  <c r="M1452" i="2"/>
  <c r="D2440" i="2"/>
  <c r="R3177" i="2"/>
  <c r="L975" i="2"/>
  <c r="I1247" i="2"/>
  <c r="S890" i="2"/>
  <c r="W409" i="2"/>
  <c r="C1821" i="2"/>
  <c r="R978" i="2"/>
  <c r="I887" i="2"/>
  <c r="W1303" i="2"/>
  <c r="C1792" i="2"/>
  <c r="V586" i="2"/>
  <c r="N2056" i="2"/>
  <c r="S77" i="2"/>
  <c r="W621" i="2"/>
  <c r="N1835" i="2"/>
  <c r="J2037" i="2"/>
  <c r="W1546" i="2"/>
  <c r="K987" i="2"/>
  <c r="M1651" i="2"/>
  <c r="U832" i="2"/>
  <c r="H329" i="2"/>
  <c r="N1618" i="2"/>
  <c r="E1664" i="2"/>
  <c r="T1106" i="2"/>
  <c r="U1050" i="2"/>
  <c r="G2758" i="2"/>
  <c r="D1358" i="2"/>
  <c r="W674" i="2"/>
  <c r="N2691" i="2"/>
  <c r="H92" i="2"/>
  <c r="C2854" i="2"/>
  <c r="G1320" i="2"/>
  <c r="W493" i="2"/>
  <c r="I2398" i="2"/>
  <c r="P201" i="2"/>
  <c r="K404" i="2"/>
  <c r="S2271" i="2"/>
  <c r="M386" i="2"/>
  <c r="T2211" i="2"/>
  <c r="J1065" i="2"/>
  <c r="C2351" i="2"/>
  <c r="Q886" i="2"/>
  <c r="N2054" i="2"/>
  <c r="W1950" i="2"/>
  <c r="H530" i="2"/>
  <c r="F1078" i="2"/>
  <c r="H1969" i="2"/>
  <c r="R2309" i="2"/>
  <c r="T2371" i="2"/>
  <c r="P1123" i="2"/>
  <c r="H363" i="2"/>
  <c r="O1840" i="2"/>
  <c r="N961" i="2"/>
  <c r="G851" i="2"/>
  <c r="M2507" i="2"/>
  <c r="P1399" i="2"/>
  <c r="U214" i="2"/>
  <c r="M2678" i="2"/>
  <c r="T2359" i="2"/>
  <c r="H360" i="2"/>
  <c r="O1385" i="2"/>
  <c r="R2311" i="2"/>
  <c r="S1605" i="2"/>
  <c r="J101" i="2"/>
  <c r="M1633" i="2"/>
  <c r="N247" i="2"/>
  <c r="K1013" i="2"/>
  <c r="L1683" i="2"/>
  <c r="J246" i="2"/>
  <c r="U1403" i="2"/>
  <c r="R1003" i="2"/>
  <c r="M507" i="2"/>
  <c r="N1151" i="2"/>
  <c r="V720" i="2"/>
  <c r="M2168" i="2"/>
  <c r="I57" i="2"/>
  <c r="W316" i="2"/>
  <c r="F2086" i="2"/>
  <c r="H2694" i="2"/>
  <c r="W3237" i="2"/>
  <c r="I3230" i="2"/>
  <c r="N656" i="2"/>
  <c r="O190" i="2"/>
  <c r="P1587" i="2"/>
  <c r="E570" i="2"/>
  <c r="J565" i="2"/>
  <c r="L834" i="2"/>
  <c r="W2458" i="2"/>
  <c r="E243" i="2"/>
  <c r="G1622" i="2"/>
  <c r="S2548" i="2"/>
  <c r="S722" i="2"/>
  <c r="N1744" i="2"/>
  <c r="T2586" i="2"/>
  <c r="U1398" i="2"/>
  <c r="G938" i="2"/>
  <c r="O1898" i="2"/>
  <c r="J1994" i="2"/>
  <c r="I2159" i="2"/>
  <c r="Q2423" i="2"/>
  <c r="G2371" i="2"/>
  <c r="H2188" i="2"/>
  <c r="C3196" i="2"/>
  <c r="D1134" i="2"/>
  <c r="O1939" i="2"/>
  <c r="F2200" i="2"/>
  <c r="G2608" i="2"/>
  <c r="U1961" i="2"/>
  <c r="S1560" i="2"/>
  <c r="U1904" i="2"/>
  <c r="F1923" i="2"/>
  <c r="T410" i="2"/>
  <c r="I3102" i="2"/>
  <c r="F2501" i="2"/>
  <c r="L3297" i="2"/>
  <c r="J1009" i="2"/>
  <c r="G1247" i="2"/>
  <c r="N3362" i="2"/>
  <c r="G2975" i="2"/>
  <c r="N1516" i="2"/>
  <c r="M3000" i="2"/>
  <c r="C2236" i="2"/>
  <c r="W311" i="2"/>
  <c r="F2717" i="2"/>
  <c r="O2967" i="2"/>
  <c r="I2471" i="2"/>
  <c r="J809" i="2"/>
  <c r="U3094" i="2"/>
  <c r="D3061" i="2"/>
  <c r="H2143" i="2"/>
  <c r="T2184" i="2"/>
  <c r="N689" i="2"/>
  <c r="E1456" i="2"/>
  <c r="O2826" i="2"/>
  <c r="E2956" i="2"/>
  <c r="E592" i="2"/>
  <c r="Q722" i="2"/>
  <c r="V1452" i="2"/>
  <c r="T3249" i="2"/>
  <c r="U2504" i="2"/>
  <c r="S1829" i="2"/>
  <c r="P991" i="2"/>
  <c r="W3362" i="2"/>
  <c r="E2517" i="2"/>
  <c r="W1718" i="2"/>
  <c r="N2375" i="2"/>
  <c r="C2982" i="2"/>
  <c r="G2708" i="2"/>
  <c r="Q1587" i="2"/>
  <c r="J2654" i="2"/>
  <c r="G2225" i="2"/>
  <c r="P873" i="2"/>
  <c r="V1604" i="2"/>
  <c r="J1656" i="2"/>
  <c r="D2251" i="2"/>
  <c r="O2316" i="2"/>
  <c r="L360" i="2"/>
  <c r="G125" i="2"/>
  <c r="O111" i="2"/>
  <c r="F2103" i="2"/>
  <c r="G1948" i="2"/>
  <c r="I1017" i="2"/>
  <c r="O3023" i="2"/>
  <c r="W2942" i="2"/>
  <c r="C1241" i="2"/>
  <c r="W470" i="2"/>
  <c r="T2166" i="2"/>
  <c r="P2390" i="2"/>
  <c r="F595" i="2"/>
  <c r="H1339" i="2"/>
  <c r="D1407" i="2"/>
  <c r="O2586" i="2"/>
  <c r="P2599" i="2"/>
  <c r="F2723" i="2"/>
  <c r="K2688" i="2"/>
  <c r="T2580" i="2"/>
  <c r="F2986" i="2"/>
  <c r="C1160" i="2"/>
  <c r="K1883" i="2"/>
  <c r="U1854" i="2"/>
  <c r="M2359" i="2"/>
  <c r="F1520" i="2"/>
  <c r="W2722" i="2"/>
  <c r="G2314" i="2"/>
  <c r="I2079" i="2"/>
  <c r="D1253" i="2"/>
  <c r="N1203" i="2"/>
  <c r="P1398" i="2"/>
  <c r="T2116" i="2"/>
  <c r="D2787" i="2"/>
  <c r="C2228" i="2"/>
  <c r="M2858" i="2"/>
  <c r="E1751" i="2"/>
  <c r="I2351" i="2"/>
  <c r="W2586" i="2"/>
  <c r="O240" i="2"/>
  <c r="G1797" i="2"/>
  <c r="J2571" i="2"/>
  <c r="K2249" i="2"/>
  <c r="F1859" i="2"/>
  <c r="W471" i="2"/>
  <c r="M2293" i="2"/>
  <c r="F1260" i="2"/>
  <c r="V1566" i="2"/>
  <c r="K2514" i="2"/>
  <c r="C1995" i="2"/>
  <c r="P1513" i="2"/>
  <c r="U671" i="2"/>
  <c r="S1836" i="2"/>
  <c r="K2455" i="2"/>
  <c r="U1381" i="2"/>
  <c r="T2808" i="2"/>
  <c r="P831" i="2"/>
  <c r="S154" i="2"/>
  <c r="Q766" i="2"/>
  <c r="V2137" i="2"/>
  <c r="I1383" i="2"/>
  <c r="M70" i="2"/>
  <c r="C1619" i="2"/>
  <c r="I1987" i="2"/>
  <c r="L1196" i="2"/>
  <c r="R1267" i="2"/>
  <c r="V1239" i="2"/>
  <c r="T1036" i="2"/>
  <c r="K2013" i="2"/>
  <c r="R1322" i="2"/>
  <c r="G2897" i="2"/>
  <c r="V1315" i="2"/>
  <c r="P3200" i="2"/>
  <c r="V3346" i="2"/>
  <c r="K2653" i="2"/>
  <c r="N1044" i="2"/>
  <c r="P527" i="2"/>
  <c r="U1512" i="2"/>
  <c r="M1719" i="2"/>
  <c r="D3143" i="2"/>
  <c r="F2688" i="2"/>
  <c r="F2817" i="2"/>
  <c r="R3043" i="2"/>
  <c r="I1811" i="2"/>
  <c r="P1744" i="2"/>
  <c r="F1346" i="2"/>
  <c r="H2359" i="2"/>
  <c r="Q2188" i="2"/>
  <c r="Q1782" i="2"/>
  <c r="Q2493" i="2"/>
  <c r="R2458" i="2"/>
  <c r="D2088" i="2"/>
  <c r="C3119" i="2"/>
  <c r="F3293" i="2"/>
  <c r="T942" i="2"/>
  <c r="E778" i="2"/>
  <c r="I2890" i="2"/>
  <c r="V1956" i="2"/>
  <c r="J2502" i="2"/>
  <c r="N1421" i="2"/>
  <c r="G1836" i="2"/>
  <c r="M826" i="2"/>
  <c r="D2517" i="2"/>
  <c r="C2633" i="2"/>
  <c r="P1892" i="2"/>
  <c r="W1725" i="2"/>
  <c r="U2748" i="2"/>
  <c r="W1197" i="2"/>
  <c r="L2796" i="2"/>
  <c r="D3206" i="2"/>
  <c r="I3235" i="2"/>
  <c r="W1360" i="2"/>
  <c r="U2013" i="2"/>
  <c r="J2740" i="2"/>
  <c r="G2811" i="2"/>
  <c r="V3281" i="2"/>
  <c r="W2323" i="2"/>
  <c r="R112" i="2"/>
  <c r="O2698" i="2"/>
  <c r="F1835" i="2"/>
  <c r="J2777" i="2"/>
  <c r="N2397" i="2"/>
  <c r="L2956" i="2"/>
  <c r="S2628" i="2"/>
  <c r="W2274" i="2"/>
  <c r="K2360" i="2"/>
  <c r="Q2496" i="2"/>
  <c r="L2486" i="2"/>
  <c r="U176" i="2"/>
  <c r="U290" i="2"/>
  <c r="U2971" i="2"/>
  <c r="O2209" i="2"/>
  <c r="K1847" i="2"/>
  <c r="G2782" i="2"/>
  <c r="Q3079" i="2"/>
  <c r="H1640" i="2"/>
  <c r="M2046" i="2"/>
  <c r="H463" i="2"/>
  <c r="I2681" i="2"/>
  <c r="D1978" i="2"/>
  <c r="N2930" i="2"/>
  <c r="T104" i="2"/>
  <c r="O727" i="2"/>
  <c r="F2621" i="2"/>
  <c r="N1662" i="2"/>
  <c r="U2270" i="2"/>
  <c r="T2453" i="2"/>
  <c r="I180" i="2"/>
  <c r="U790" i="2"/>
  <c r="D2797" i="2"/>
  <c r="C1863" i="2"/>
  <c r="O635" i="2"/>
  <c r="F208" i="2"/>
  <c r="P1502" i="2"/>
  <c r="T2467" i="2"/>
  <c r="F2134" i="2"/>
  <c r="S1060" i="2"/>
  <c r="O582" i="2"/>
  <c r="H2041" i="2"/>
  <c r="C2460" i="2"/>
  <c r="O2152" i="2"/>
  <c r="O643" i="2"/>
  <c r="C2574" i="2"/>
  <c r="O2332" i="2"/>
  <c r="I2953" i="2"/>
  <c r="K2453" i="2"/>
  <c r="Q2048" i="2"/>
  <c r="R3470" i="2"/>
  <c r="E2354" i="2"/>
  <c r="U1687" i="2"/>
  <c r="Q2000" i="2"/>
  <c r="P1459" i="2"/>
  <c r="H1477" i="2"/>
  <c r="P1594" i="2"/>
  <c r="D2779" i="2"/>
  <c r="K1946" i="2"/>
  <c r="Q530" i="2"/>
  <c r="K1932" i="2"/>
  <c r="P2872" i="2"/>
  <c r="F3093" i="2"/>
  <c r="G2381" i="2"/>
  <c r="F3183" i="2"/>
  <c r="L1414" i="2"/>
  <c r="E733" i="2"/>
  <c r="N2711" i="2"/>
  <c r="C2205" i="2"/>
  <c r="R2427" i="2"/>
  <c r="P2521" i="2"/>
  <c r="M1813" i="2"/>
  <c r="P662" i="2"/>
  <c r="U3481" i="2"/>
  <c r="S2769" i="2"/>
  <c r="M2555" i="2"/>
  <c r="H396" i="2"/>
  <c r="S2832" i="2"/>
  <c r="I1289" i="2"/>
  <c r="R2096" i="2"/>
  <c r="L693" i="2"/>
  <c r="C3556" i="2"/>
  <c r="H995" i="2"/>
  <c r="I32" i="2"/>
  <c r="S1975" i="2"/>
  <c r="J580" i="2"/>
  <c r="F420" i="2"/>
  <c r="T2334" i="2"/>
  <c r="Q2800" i="2"/>
  <c r="W1404" i="2"/>
  <c r="H554" i="2"/>
  <c r="V1397" i="2"/>
  <c r="P912" i="2"/>
  <c r="O2334" i="2"/>
  <c r="W1565" i="2"/>
  <c r="L2584" i="2"/>
  <c r="T2139" i="2"/>
  <c r="O2194" i="2"/>
  <c r="S1993" i="2"/>
  <c r="C624" i="2"/>
  <c r="D240" i="2"/>
  <c r="J1939" i="2"/>
  <c r="U2362" i="2"/>
  <c r="G2765" i="2"/>
  <c r="U1746" i="2"/>
  <c r="O488" i="2"/>
  <c r="K2456" i="2"/>
  <c r="Q2554" i="2"/>
  <c r="F1405" i="2"/>
  <c r="O441" i="2"/>
  <c r="M292" i="2"/>
  <c r="W2273" i="2"/>
  <c r="D219" i="2"/>
  <c r="N3029" i="2"/>
  <c r="D2364" i="2"/>
  <c r="K3054" i="2"/>
  <c r="P1522" i="2"/>
  <c r="J2498" i="2"/>
  <c r="N2724" i="2"/>
  <c r="I1507" i="2"/>
  <c r="Q742" i="2"/>
  <c r="V3036" i="2"/>
  <c r="M2597" i="2"/>
  <c r="O1183" i="2"/>
  <c r="N995" i="2"/>
  <c r="G3440" i="2"/>
  <c r="C2826" i="2"/>
  <c r="S1399" i="2"/>
  <c r="I2804" i="2"/>
  <c r="R2306" i="2"/>
  <c r="D1596" i="2"/>
  <c r="T3299" i="2"/>
  <c r="N1087" i="2"/>
  <c r="R1153" i="2"/>
  <c r="H2280" i="2"/>
  <c r="M2333" i="2"/>
  <c r="C1274" i="2"/>
  <c r="C1376" i="2"/>
  <c r="U1191" i="2"/>
  <c r="D1847" i="2"/>
  <c r="I232" i="2"/>
  <c r="Q1596" i="2"/>
  <c r="I2404" i="2"/>
  <c r="S346" i="2"/>
  <c r="M1721" i="2"/>
  <c r="C2735" i="2"/>
  <c r="U2891" i="2"/>
  <c r="V435" i="2"/>
  <c r="F1578" i="2"/>
  <c r="T2577" i="2"/>
  <c r="L710" i="2"/>
  <c r="N1660" i="2"/>
  <c r="L328" i="2"/>
  <c r="W1747" i="2"/>
  <c r="E2102" i="2"/>
  <c r="K2999" i="2"/>
  <c r="M2895" i="2"/>
  <c r="G2597" i="2"/>
  <c r="M2264" i="2"/>
  <c r="N1032" i="2"/>
  <c r="V1338" i="2"/>
  <c r="R2934" i="2"/>
  <c r="D592" i="2"/>
  <c r="Q1093" i="2"/>
  <c r="J2684" i="2"/>
  <c r="L2433" i="2"/>
  <c r="R1664" i="2"/>
  <c r="K1538" i="2"/>
  <c r="S1226" i="2"/>
  <c r="W3530" i="2"/>
  <c r="U1132" i="2"/>
  <c r="W704" i="2"/>
  <c r="C2122" i="2"/>
  <c r="S1274" i="2"/>
  <c r="N2437" i="2"/>
  <c r="H1687" i="2"/>
  <c r="P2005" i="2"/>
  <c r="D2451" i="2"/>
  <c r="O306" i="2"/>
  <c r="C391" i="2"/>
  <c r="F388" i="2"/>
  <c r="K257" i="2"/>
  <c r="O552" i="2"/>
  <c r="N1267" i="2"/>
  <c r="T2697" i="2"/>
  <c r="H2786" i="2"/>
  <c r="M1877" i="2"/>
  <c r="V3552" i="2"/>
  <c r="P1058" i="2"/>
  <c r="M1914" i="2"/>
  <c r="F3484" i="2"/>
  <c r="U2908" i="2"/>
  <c r="S806" i="2"/>
  <c r="U9" i="2"/>
  <c r="Q2434" i="2"/>
  <c r="J2034" i="2"/>
  <c r="R903" i="2"/>
  <c r="V1345" i="2"/>
  <c r="T2573" i="2"/>
  <c r="Q1622" i="2"/>
  <c r="U403" i="2"/>
  <c r="W1233" i="2"/>
  <c r="D1602" i="2"/>
  <c r="E2338" i="2"/>
  <c r="C346" i="2"/>
  <c r="T2579" i="2"/>
  <c r="H3087" i="2"/>
  <c r="L2398" i="2"/>
  <c r="D2585" i="2"/>
  <c r="U429" i="2"/>
  <c r="M2455" i="2"/>
  <c r="G1583" i="2"/>
  <c r="K747" i="2"/>
  <c r="F739" i="2"/>
  <c r="R2394" i="2"/>
  <c r="K2076" i="2"/>
  <c r="T726" i="2"/>
  <c r="F2293" i="2"/>
  <c r="N1355" i="2"/>
  <c r="S3559" i="2"/>
  <c r="N1308" i="2"/>
  <c r="U2285" i="2"/>
  <c r="J1957" i="2"/>
  <c r="C206" i="2"/>
  <c r="M2493" i="2"/>
  <c r="L2109" i="2"/>
  <c r="C1890" i="2"/>
  <c r="G188" i="2"/>
  <c r="Q1998" i="2"/>
  <c r="T1278" i="2"/>
  <c r="C82" i="2"/>
  <c r="F3254" i="2"/>
  <c r="E324" i="2"/>
  <c r="R2658" i="2"/>
  <c r="K1670" i="2"/>
  <c r="W2034" i="2"/>
  <c r="R1365" i="2"/>
  <c r="G1921" i="2"/>
  <c r="I554" i="2"/>
  <c r="T2304" i="2"/>
  <c r="T1022" i="2"/>
  <c r="W1420" i="2"/>
  <c r="F1884" i="2"/>
  <c r="P1919" i="2"/>
  <c r="D1863" i="2"/>
  <c r="E2546" i="2"/>
  <c r="K1554" i="2"/>
  <c r="M2231" i="2"/>
  <c r="S2870" i="2"/>
  <c r="R2037" i="2"/>
  <c r="S1295" i="2"/>
  <c r="T1688" i="2"/>
  <c r="N2697" i="2"/>
  <c r="N1658" i="2"/>
  <c r="M2886" i="2"/>
  <c r="W2530" i="2"/>
  <c r="H1004" i="2"/>
  <c r="L1270" i="2"/>
  <c r="H2042" i="2"/>
  <c r="C195" i="2"/>
  <c r="V562" i="2"/>
  <c r="W3203" i="2"/>
  <c r="G714" i="2"/>
  <c r="K1270" i="2"/>
  <c r="L2269" i="2"/>
  <c r="U1302" i="2"/>
  <c r="H1864" i="2"/>
  <c r="H2474" i="2"/>
  <c r="J3191" i="2"/>
  <c r="D231" i="2"/>
  <c r="C1999" i="2"/>
  <c r="V2879" i="2"/>
  <c r="H2849" i="2"/>
  <c r="R1902" i="2"/>
  <c r="H2536" i="2"/>
  <c r="W2715" i="2"/>
  <c r="P2396" i="2"/>
  <c r="O1599" i="2"/>
  <c r="S1685" i="2"/>
  <c r="T2439" i="2"/>
  <c r="U3084" i="2"/>
  <c r="H2312" i="2"/>
  <c r="K3359" i="2"/>
  <c r="W1924" i="2"/>
  <c r="L3195" i="2"/>
  <c r="D67" i="2"/>
  <c r="S1148" i="2"/>
  <c r="G494" i="2"/>
  <c r="H1102" i="2"/>
  <c r="I1868" i="2"/>
  <c r="O3235" i="2"/>
  <c r="R3096" i="2"/>
  <c r="K1881" i="2"/>
  <c r="R197" i="2"/>
  <c r="W3503" i="2"/>
  <c r="L2359" i="2"/>
  <c r="O1679" i="2"/>
  <c r="Q719" i="2"/>
  <c r="S2689" i="2"/>
  <c r="Q1154" i="2"/>
  <c r="D1531" i="2"/>
  <c r="N1432" i="2"/>
  <c r="K543" i="2"/>
  <c r="R670" i="2"/>
  <c r="C718" i="2"/>
  <c r="G1074" i="2"/>
  <c r="V2441" i="2"/>
  <c r="J1687" i="2"/>
  <c r="F1130" i="2"/>
  <c r="I497" i="2"/>
  <c r="R2839" i="2"/>
  <c r="M1343" i="2"/>
  <c r="S3339" i="2"/>
  <c r="U2736" i="2"/>
  <c r="G2421" i="2"/>
  <c r="L1288" i="2"/>
  <c r="K2896" i="2"/>
  <c r="D955" i="2"/>
  <c r="C2094" i="2"/>
  <c r="G42" i="2"/>
  <c r="H35" i="2"/>
  <c r="K991" i="2"/>
  <c r="J2020" i="2"/>
  <c r="P1643" i="2"/>
  <c r="C2831" i="2"/>
  <c r="N2415" i="2"/>
  <c r="S2455" i="2"/>
  <c r="V2150" i="2"/>
  <c r="N1328" i="2"/>
  <c r="F97" i="2"/>
  <c r="H317" i="2"/>
  <c r="P1986" i="2"/>
  <c r="W1310" i="2"/>
  <c r="M2492" i="2"/>
  <c r="K2607" i="2"/>
  <c r="V1251" i="2"/>
  <c r="Q334" i="2"/>
  <c r="N1425" i="2"/>
  <c r="S2486" i="2"/>
  <c r="N2060" i="2"/>
  <c r="H1164" i="2"/>
  <c r="R305" i="2"/>
  <c r="D139" i="2"/>
  <c r="E2538" i="2"/>
  <c r="E2239" i="2"/>
  <c r="O2190" i="2"/>
  <c r="D1506" i="2"/>
  <c r="I196" i="2"/>
  <c r="C2765" i="2"/>
  <c r="I1892" i="2"/>
  <c r="L1829" i="2"/>
  <c r="E1780" i="2"/>
  <c r="L2126" i="2"/>
  <c r="R2456" i="2"/>
  <c r="D896" i="2"/>
  <c r="M1822" i="2"/>
  <c r="G1225" i="2"/>
  <c r="W2676" i="2"/>
  <c r="G2540" i="2"/>
  <c r="F1817" i="2"/>
  <c r="M92" i="2"/>
  <c r="V1294" i="2"/>
  <c r="O160" i="2"/>
  <c r="O3242" i="2"/>
  <c r="D2814" i="2"/>
  <c r="K1566" i="2"/>
  <c r="I2122" i="2"/>
  <c r="G548" i="2"/>
  <c r="W377" i="2"/>
  <c r="U784" i="2"/>
  <c r="D501" i="2"/>
  <c r="H1899" i="2"/>
  <c r="T2152" i="2"/>
  <c r="O2520" i="2"/>
  <c r="F2980" i="2"/>
  <c r="C1895" i="2"/>
  <c r="S2126" i="2"/>
  <c r="M2702" i="2"/>
  <c r="Q640" i="2"/>
  <c r="I599" i="2"/>
  <c r="V143" i="2"/>
  <c r="I3262" i="2"/>
  <c r="S233" i="2"/>
  <c r="E2535" i="2"/>
  <c r="S138" i="2"/>
  <c r="F2080" i="2"/>
  <c r="C355" i="2"/>
  <c r="P2514" i="2"/>
  <c r="L1147" i="2"/>
  <c r="V1332" i="2"/>
  <c r="R821" i="2"/>
  <c r="L2591" i="2"/>
  <c r="L154" i="2"/>
  <c r="O2552" i="2"/>
  <c r="V2356" i="2"/>
  <c r="N211" i="2"/>
  <c r="S229" i="2"/>
  <c r="L1180" i="2"/>
  <c r="L2537" i="2"/>
  <c r="F1676" i="2"/>
  <c r="C3046" i="2"/>
  <c r="W2047" i="2"/>
  <c r="U943" i="2"/>
  <c r="P353" i="2"/>
  <c r="Q504" i="2"/>
  <c r="P572" i="2"/>
  <c r="U1928" i="2"/>
  <c r="W2014" i="2"/>
  <c r="M2140" i="2"/>
  <c r="Q2543" i="2"/>
  <c r="V2245" i="2"/>
  <c r="R2332" i="2"/>
  <c r="U1713" i="2"/>
  <c r="Q2255" i="2"/>
  <c r="P435" i="2"/>
  <c r="D3103" i="2"/>
  <c r="C119" i="2"/>
  <c r="F2889" i="2"/>
  <c r="L2458" i="2"/>
  <c r="M2856" i="2"/>
  <c r="S1288" i="2"/>
  <c r="P1715" i="2"/>
  <c r="F563" i="2"/>
  <c r="O2225" i="2"/>
  <c r="E914" i="2"/>
  <c r="W1632" i="2"/>
  <c r="V2686" i="2"/>
  <c r="O2840" i="2"/>
  <c r="W633" i="2"/>
  <c r="K227" i="2"/>
  <c r="I3210" i="2"/>
  <c r="E2172" i="2"/>
  <c r="V2485" i="2"/>
  <c r="N1070" i="2"/>
  <c r="J2996" i="2"/>
  <c r="G2813" i="2"/>
  <c r="J618" i="2"/>
  <c r="R3120" i="2"/>
  <c r="N815" i="2"/>
  <c r="U1780" i="2"/>
  <c r="V2116" i="2"/>
  <c r="E2223" i="2"/>
  <c r="Q2995" i="2"/>
  <c r="U2303" i="2"/>
  <c r="P1665" i="2"/>
  <c r="L667" i="2"/>
  <c r="F3245" i="2"/>
  <c r="K2515" i="2"/>
  <c r="O891" i="2"/>
  <c r="L499" i="2"/>
  <c r="Q1680" i="2"/>
  <c r="O991" i="2"/>
  <c r="P1596" i="2"/>
  <c r="E2845" i="2"/>
  <c r="V1451" i="2"/>
  <c r="P1700" i="2"/>
  <c r="H2697" i="2"/>
  <c r="R820" i="2"/>
  <c r="F1780" i="2"/>
  <c r="C1034" i="2"/>
  <c r="R2399" i="2"/>
  <c r="K450" i="2"/>
  <c r="L1782" i="2"/>
  <c r="W1938" i="2"/>
  <c r="T1815" i="2"/>
  <c r="T2901" i="2"/>
  <c r="T820" i="2"/>
  <c r="V45" i="2"/>
  <c r="N2432" i="2"/>
  <c r="P2679" i="2"/>
  <c r="S2200" i="2"/>
  <c r="C2314" i="2"/>
  <c r="F1658" i="2"/>
  <c r="M625" i="2"/>
  <c r="F1634" i="2"/>
  <c r="C2690" i="2"/>
  <c r="L2358" i="2"/>
  <c r="V221" i="2"/>
  <c r="V2902" i="2"/>
  <c r="N646" i="2"/>
  <c r="V2471" i="2"/>
  <c r="W946" i="2"/>
  <c r="M697" i="2"/>
  <c r="L781" i="2"/>
  <c r="T1339" i="2"/>
  <c r="P2528" i="2"/>
  <c r="H2635" i="2"/>
  <c r="L992" i="2"/>
  <c r="N1046" i="2"/>
  <c r="O1529" i="2"/>
  <c r="O2345" i="2"/>
  <c r="J2399" i="2"/>
  <c r="W123" i="2"/>
  <c r="V993" i="2"/>
  <c r="Q2914" i="2"/>
  <c r="U1518" i="2"/>
  <c r="R952" i="2"/>
  <c r="C278" i="2"/>
  <c r="I333" i="2"/>
  <c r="I2795" i="2"/>
  <c r="R2008" i="2"/>
  <c r="N446" i="2"/>
  <c r="N1699" i="2"/>
  <c r="U2912" i="2"/>
  <c r="S1557" i="2"/>
  <c r="D2081" i="2"/>
  <c r="M2566" i="2"/>
  <c r="G2026" i="2"/>
  <c r="R967" i="2"/>
  <c r="L431" i="2"/>
  <c r="F3328" i="2"/>
  <c r="U3062" i="2"/>
  <c r="S2533" i="2"/>
  <c r="P3070" i="2"/>
  <c r="P2344" i="2"/>
  <c r="G1775" i="2"/>
  <c r="V179" i="2"/>
  <c r="J2077" i="2"/>
  <c r="E3052" i="2"/>
  <c r="K3112" i="2"/>
  <c r="Q2579" i="2"/>
  <c r="P2459" i="2"/>
  <c r="G882" i="2"/>
  <c r="F2292" i="2"/>
  <c r="W2622" i="2"/>
  <c r="K1394" i="2"/>
  <c r="L1315" i="2"/>
  <c r="J1893" i="2"/>
  <c r="S348" i="2"/>
  <c r="C3321" i="2"/>
  <c r="T3025" i="2"/>
  <c r="L3011" i="2"/>
  <c r="I2437" i="2"/>
  <c r="S1483" i="2"/>
  <c r="I2167" i="2"/>
  <c r="C1807" i="2"/>
  <c r="K2804" i="2"/>
  <c r="V834" i="2"/>
  <c r="Q2073" i="2"/>
  <c r="G1906" i="2"/>
  <c r="V2571" i="2"/>
  <c r="Q2552" i="2"/>
  <c r="M1921" i="2"/>
  <c r="F2114" i="2"/>
  <c r="W2359" i="2"/>
  <c r="Q1819" i="2"/>
  <c r="T2345" i="2"/>
  <c r="I1005" i="2"/>
  <c r="W1560" i="2"/>
  <c r="M2857" i="2"/>
  <c r="F2313" i="2"/>
  <c r="S3094" i="2"/>
  <c r="H2060" i="2"/>
  <c r="T1775" i="2"/>
  <c r="F1196" i="2"/>
  <c r="I2045" i="2"/>
  <c r="J2545" i="2"/>
  <c r="P2376" i="2"/>
  <c r="V1652" i="2"/>
  <c r="L2150" i="2"/>
  <c r="W821" i="2"/>
  <c r="C865" i="2"/>
  <c r="C2991" i="2"/>
  <c r="C2502" i="2"/>
  <c r="J2292" i="2"/>
  <c r="U2113" i="2"/>
  <c r="O536" i="2"/>
  <c r="U2309" i="2"/>
  <c r="I1781" i="2"/>
  <c r="L2264" i="2"/>
  <c r="I1333" i="2"/>
  <c r="O2765" i="2"/>
  <c r="G728" i="2"/>
  <c r="N2686" i="2"/>
  <c r="J1516" i="2"/>
  <c r="Q681" i="2"/>
  <c r="G515" i="2"/>
  <c r="V2689" i="2"/>
  <c r="C1831" i="2"/>
  <c r="L694" i="2"/>
  <c r="W2473" i="2"/>
  <c r="P2955" i="2"/>
  <c r="J2752" i="2"/>
  <c r="F192" i="2"/>
  <c r="F1974" i="2"/>
  <c r="I3092" i="2"/>
  <c r="J1139" i="2"/>
  <c r="U1239" i="2"/>
  <c r="W981" i="2"/>
  <c r="S1383" i="2"/>
  <c r="N2163" i="2"/>
  <c r="D2432" i="2"/>
  <c r="Q2414" i="2"/>
  <c r="E482" i="2"/>
  <c r="I2103" i="2"/>
  <c r="L1559" i="2"/>
  <c r="D2363" i="2"/>
  <c r="M824" i="2"/>
  <c r="P1448" i="2"/>
  <c r="F2425" i="2"/>
  <c r="W1165" i="2"/>
  <c r="L382" i="2"/>
  <c r="W2650" i="2"/>
  <c r="W1653" i="2"/>
  <c r="L2750" i="2"/>
  <c r="Q675" i="2"/>
  <c r="S1510" i="2"/>
  <c r="T3223" i="2"/>
  <c r="N1953" i="2"/>
  <c r="H1600" i="2"/>
  <c r="W2775" i="2"/>
  <c r="E2264" i="2"/>
  <c r="I1912" i="2"/>
  <c r="N2033" i="2"/>
  <c r="P2008" i="2"/>
  <c r="F218" i="2"/>
  <c r="W839" i="2"/>
  <c r="M670" i="2"/>
  <c r="O2151" i="2"/>
  <c r="M2584" i="2"/>
  <c r="H1207" i="2"/>
  <c r="S341" i="2"/>
  <c r="V1478" i="2"/>
  <c r="U2059" i="2"/>
  <c r="F1158" i="2"/>
  <c r="D2885" i="2"/>
  <c r="N1484" i="2"/>
  <c r="S620" i="2"/>
  <c r="O1953" i="2"/>
  <c r="G20" i="2"/>
  <c r="G2016" i="2"/>
  <c r="T2173" i="2"/>
  <c r="C2158" i="2"/>
  <c r="J812" i="2"/>
  <c r="I2409" i="2"/>
  <c r="P2217" i="2"/>
  <c r="P2171" i="2"/>
  <c r="R2870" i="2"/>
  <c r="E2902" i="2"/>
  <c r="W2460" i="2"/>
  <c r="E1036" i="2"/>
  <c r="J2620" i="2"/>
  <c r="K996" i="2"/>
  <c r="Q2449" i="2"/>
  <c r="S1179" i="2"/>
  <c r="G2723" i="2"/>
  <c r="L2335" i="2"/>
  <c r="D291" i="2"/>
  <c r="T1617" i="2"/>
  <c r="K1884" i="2"/>
  <c r="K963" i="2"/>
  <c r="G2424" i="2"/>
  <c r="L1416" i="2"/>
  <c r="L2545" i="2"/>
  <c r="M2812" i="2"/>
  <c r="F2014" i="2"/>
  <c r="S2054" i="2"/>
  <c r="K1880" i="2"/>
  <c r="F2431" i="2"/>
  <c r="T2853" i="2"/>
  <c r="V972" i="2"/>
  <c r="H820" i="2"/>
  <c r="W2694" i="2"/>
  <c r="M2384" i="2"/>
  <c r="G751" i="2"/>
  <c r="F47" i="2"/>
  <c r="V42" i="2"/>
  <c r="W1210" i="2"/>
  <c r="T3064" i="2"/>
  <c r="W339" i="2"/>
  <c r="K782" i="2"/>
  <c r="U2305" i="2"/>
  <c r="S1570" i="2"/>
  <c r="H1575" i="2"/>
  <c r="R2791" i="2"/>
  <c r="L1826" i="2"/>
  <c r="Q1726" i="2"/>
  <c r="Q85" i="2"/>
  <c r="H1456" i="2"/>
  <c r="V2009" i="2"/>
  <c r="M1127" i="2"/>
  <c r="G276" i="2"/>
  <c r="O260" i="2"/>
  <c r="R3500" i="2"/>
  <c r="N2138" i="2"/>
  <c r="W2695" i="2"/>
  <c r="E2834" i="2"/>
  <c r="T672" i="2"/>
  <c r="Q2118" i="2"/>
  <c r="G1758" i="2"/>
  <c r="J3169" i="2"/>
  <c r="Q2469" i="2"/>
  <c r="R352" i="2"/>
  <c r="L2334" i="2"/>
  <c r="C1135" i="2"/>
  <c r="F566" i="2"/>
  <c r="J1328" i="2"/>
  <c r="U1921" i="2"/>
  <c r="S2588" i="2"/>
  <c r="E148" i="2"/>
  <c r="Q2748" i="2"/>
  <c r="R1358" i="2"/>
  <c r="C1676" i="2"/>
  <c r="G2351" i="2"/>
  <c r="V430" i="2"/>
  <c r="H513" i="2"/>
  <c r="P1075" i="2"/>
  <c r="T71" i="2"/>
  <c r="W2765" i="2"/>
  <c r="I1180" i="2"/>
  <c r="H200" i="2"/>
  <c r="L1706" i="2"/>
  <c r="J901" i="2"/>
  <c r="J1186" i="2"/>
  <c r="W849" i="2"/>
  <c r="Q1593" i="2"/>
  <c r="M2180" i="2"/>
  <c r="E963" i="2"/>
  <c r="W2295" i="2"/>
  <c r="H1568" i="2"/>
  <c r="C1537" i="2"/>
  <c r="M1684" i="2"/>
  <c r="H393" i="2"/>
  <c r="D1499" i="2"/>
  <c r="M49" i="2"/>
  <c r="M265" i="2"/>
  <c r="V717" i="2"/>
  <c r="O3008" i="2"/>
  <c r="L1555" i="2"/>
  <c r="S734" i="2"/>
  <c r="D1583" i="2"/>
  <c r="K1125" i="2"/>
  <c r="T1263" i="2"/>
  <c r="F274" i="2"/>
  <c r="R1638" i="2"/>
  <c r="O1208" i="2"/>
  <c r="S1457" i="2"/>
  <c r="P2098" i="2"/>
  <c r="F2266" i="2"/>
  <c r="J409" i="2"/>
  <c r="I1967" i="2"/>
  <c r="W397" i="2"/>
  <c r="E207" i="2"/>
  <c r="P3053" i="2"/>
  <c r="P2760" i="2"/>
  <c r="R2809" i="2"/>
  <c r="J1836" i="2"/>
  <c r="E946" i="2"/>
  <c r="N1456" i="2"/>
  <c r="W2116" i="2"/>
  <c r="R2002" i="2"/>
  <c r="V321" i="2"/>
  <c r="N1372" i="2"/>
  <c r="S371" i="2"/>
  <c r="S824" i="2"/>
  <c r="U3584" i="2"/>
  <c r="T346" i="2"/>
  <c r="S403" i="2"/>
  <c r="I250" i="2"/>
  <c r="F2471" i="2"/>
  <c r="I2199" i="2"/>
  <c r="D1628" i="2"/>
  <c r="O1941" i="2"/>
  <c r="V1809" i="2"/>
  <c r="K1089" i="2"/>
  <c r="P2435" i="2"/>
  <c r="F2242" i="2"/>
  <c r="E1615" i="2"/>
  <c r="W1202" i="2"/>
  <c r="V214" i="2"/>
  <c r="V446" i="2"/>
  <c r="D2576" i="2"/>
  <c r="S29" i="2"/>
  <c r="L1344" i="2"/>
  <c r="F713" i="2"/>
  <c r="V2066" i="2"/>
  <c r="O3202" i="2"/>
  <c r="T1246" i="2"/>
  <c r="W1102" i="2"/>
  <c r="Q1047" i="2"/>
  <c r="G2093" i="2"/>
  <c r="L1267" i="2"/>
  <c r="U984" i="2"/>
  <c r="G1032" i="2"/>
  <c r="P1049" i="2"/>
  <c r="E848" i="2"/>
  <c r="G709" i="2"/>
  <c r="Q2346" i="2"/>
  <c r="J3214" i="2"/>
  <c r="R402" i="2"/>
  <c r="G516" i="2"/>
  <c r="P2246" i="2"/>
  <c r="J1592" i="2"/>
  <c r="G2069" i="2"/>
  <c r="E2402" i="2"/>
  <c r="C2681" i="2"/>
  <c r="R333" i="2"/>
  <c r="T1789" i="2"/>
  <c r="E1588" i="2"/>
  <c r="L867" i="2"/>
  <c r="S2839" i="2"/>
  <c r="C1020" i="2"/>
  <c r="V368" i="2"/>
  <c r="H372" i="2"/>
  <c r="N543" i="2"/>
  <c r="D773" i="2"/>
  <c r="H2107" i="2"/>
  <c r="V1232" i="2"/>
  <c r="Q3149" i="2"/>
  <c r="D1876" i="2"/>
  <c r="P1694" i="2"/>
  <c r="D1726" i="2"/>
  <c r="M990" i="2"/>
  <c r="Q1372" i="2"/>
  <c r="S918" i="2"/>
  <c r="D2083" i="2"/>
  <c r="E1066" i="2"/>
  <c r="E1180" i="2"/>
  <c r="M1444" i="2"/>
  <c r="H237" i="2"/>
  <c r="I1729" i="2"/>
  <c r="R3388" i="2"/>
  <c r="D1576" i="2"/>
  <c r="K2901" i="2"/>
  <c r="K878" i="2"/>
  <c r="I3116" i="2"/>
  <c r="G1915" i="2"/>
  <c r="E640" i="2"/>
  <c r="I3054" i="2"/>
  <c r="E1350" i="2"/>
  <c r="J240" i="2"/>
  <c r="L2205" i="2"/>
  <c r="C1979" i="2"/>
  <c r="O1755" i="2"/>
  <c r="P2009" i="2"/>
  <c r="U13" i="2"/>
  <c r="O1925" i="2"/>
  <c r="R1188" i="2"/>
  <c r="H2562" i="2"/>
  <c r="N9" i="2"/>
  <c r="Q1976" i="2"/>
  <c r="F2209" i="2"/>
  <c r="D171" i="2"/>
  <c r="K1388" i="2"/>
  <c r="K264" i="2"/>
  <c r="V1002" i="2"/>
  <c r="U2092" i="2"/>
  <c r="G390" i="2"/>
  <c r="T1944" i="2"/>
  <c r="T2749" i="2"/>
  <c r="I290" i="2"/>
  <c r="J1000" i="2"/>
  <c r="J784" i="2"/>
  <c r="L858" i="2"/>
  <c r="V2910" i="2"/>
  <c r="T247" i="2"/>
  <c r="W911" i="2"/>
  <c r="V335" i="2"/>
  <c r="H1264" i="2"/>
  <c r="V2479" i="2"/>
  <c r="R1500" i="2"/>
  <c r="R1922" i="2"/>
  <c r="L1759" i="2"/>
  <c r="P1349" i="2"/>
  <c r="C1143" i="2"/>
  <c r="I2943" i="2"/>
  <c r="S1535" i="2"/>
  <c r="L615" i="2"/>
  <c r="M59" i="2"/>
  <c r="O1155" i="2"/>
  <c r="D639" i="2"/>
  <c r="L1717" i="2"/>
  <c r="L1582" i="2"/>
  <c r="N1814" i="2"/>
  <c r="N2593" i="2"/>
  <c r="J1772" i="2"/>
  <c r="I1322" i="2"/>
  <c r="J3118" i="2"/>
  <c r="J2602" i="2"/>
  <c r="G2483" i="2"/>
  <c r="J1246" i="2"/>
  <c r="R3270" i="2"/>
  <c r="F2785" i="2"/>
  <c r="U2987" i="2"/>
  <c r="E1745" i="2"/>
  <c r="K3474" i="2"/>
  <c r="J1792" i="2"/>
  <c r="G3450" i="2"/>
  <c r="N2867" i="2"/>
  <c r="H2040" i="2"/>
  <c r="V2236" i="2"/>
  <c r="T1030" i="2"/>
  <c r="T2502" i="2"/>
  <c r="Q2677" i="2"/>
  <c r="H331" i="2"/>
  <c r="U2143" i="2"/>
  <c r="G2309" i="2"/>
  <c r="L2305" i="2"/>
  <c r="K1473" i="2"/>
  <c r="M2840" i="2"/>
  <c r="U2626" i="2"/>
  <c r="L2230" i="2"/>
  <c r="T2530" i="2"/>
  <c r="R195" i="2"/>
  <c r="F926" i="2"/>
  <c r="J3286" i="2"/>
  <c r="P2237" i="2"/>
  <c r="J88" i="2"/>
  <c r="K212" i="2"/>
  <c r="V2778" i="2"/>
  <c r="P2586" i="2"/>
  <c r="J2989" i="2"/>
  <c r="M1061" i="2"/>
  <c r="K2691" i="2"/>
  <c r="M1401" i="2"/>
  <c r="I658" i="2"/>
  <c r="O1243" i="2"/>
  <c r="G2857" i="2"/>
  <c r="P807" i="2"/>
  <c r="I147" i="2"/>
  <c r="D3148" i="2"/>
  <c r="C1635" i="2"/>
  <c r="Q2151" i="2"/>
  <c r="T3128" i="2"/>
  <c r="M1954" i="2"/>
  <c r="M3505" i="2"/>
  <c r="M2803" i="2"/>
  <c r="Q1449" i="2"/>
  <c r="R1174" i="2"/>
  <c r="F1837" i="2"/>
  <c r="O2294" i="2"/>
  <c r="J1611" i="2"/>
  <c r="F1732" i="2"/>
  <c r="Q1946" i="2"/>
  <c r="G2574" i="2"/>
  <c r="N2941" i="2"/>
  <c r="H1772" i="2"/>
  <c r="F2055" i="2"/>
  <c r="R186" i="2"/>
  <c r="I2884" i="2"/>
  <c r="D2028" i="2"/>
  <c r="H1775" i="2"/>
  <c r="R1961" i="2"/>
  <c r="E884" i="2"/>
  <c r="U385" i="2"/>
  <c r="S53" i="2"/>
  <c r="L2879" i="2"/>
  <c r="T2520" i="2"/>
  <c r="F1714" i="2"/>
  <c r="J560" i="2"/>
  <c r="F1132" i="2"/>
  <c r="V2180" i="2"/>
  <c r="P964" i="2"/>
  <c r="Q851" i="2"/>
  <c r="O1590" i="2"/>
  <c r="M2668" i="2"/>
  <c r="J2138" i="2"/>
  <c r="M27" i="2"/>
  <c r="N140" i="2"/>
  <c r="Q1461" i="2"/>
  <c r="R382" i="2"/>
  <c r="O1869" i="2"/>
  <c r="T2738" i="2"/>
  <c r="N1732" i="2"/>
  <c r="U718" i="2"/>
  <c r="O2344" i="2"/>
  <c r="L1606" i="2"/>
  <c r="G1149" i="2"/>
  <c r="V2798" i="2"/>
  <c r="U2232" i="2"/>
  <c r="E1886" i="2"/>
  <c r="P3086" i="2"/>
  <c r="V3344" i="2"/>
  <c r="P1500" i="2"/>
  <c r="E755" i="2"/>
  <c r="G2353" i="2"/>
  <c r="L952" i="2"/>
  <c r="D2325" i="2"/>
  <c r="D3324" i="2"/>
  <c r="K1724" i="2"/>
  <c r="T1299" i="2"/>
  <c r="M2865" i="2"/>
  <c r="K1186" i="2"/>
  <c r="K2228" i="2"/>
  <c r="Q3109" i="2"/>
  <c r="O132" i="2"/>
  <c r="T2849" i="2"/>
  <c r="F2427" i="2"/>
  <c r="G1825" i="2"/>
  <c r="E2179" i="2"/>
  <c r="O2000" i="2"/>
  <c r="P2604" i="2"/>
  <c r="U1480" i="2"/>
  <c r="P2485" i="2"/>
  <c r="P2649" i="2"/>
  <c r="G1972" i="2"/>
  <c r="H1874" i="2"/>
  <c r="N2784" i="2"/>
  <c r="D2201" i="2"/>
  <c r="O1491" i="2"/>
  <c r="J2186" i="2"/>
  <c r="R1935" i="2"/>
  <c r="O2004" i="2"/>
  <c r="F1719" i="2"/>
  <c r="U2372" i="2"/>
  <c r="T251" i="2"/>
  <c r="C1430" i="2"/>
  <c r="L1410" i="2"/>
  <c r="H3055" i="2"/>
  <c r="R1506" i="2"/>
  <c r="N1878" i="2"/>
  <c r="H747" i="2"/>
  <c r="W3022" i="2"/>
  <c r="W1116" i="2"/>
  <c r="K2127" i="2"/>
  <c r="I2115" i="2"/>
  <c r="V2326" i="2"/>
  <c r="K2356" i="2"/>
  <c r="H2945" i="2"/>
  <c r="S1759" i="2"/>
  <c r="O3228" i="2"/>
  <c r="M2501" i="2"/>
  <c r="J2593" i="2"/>
  <c r="Q2590" i="2"/>
  <c r="P3265" i="2"/>
  <c r="S2990" i="2"/>
  <c r="R2558" i="2"/>
  <c r="Q1535" i="2"/>
  <c r="P3288" i="2"/>
  <c r="R2985" i="2"/>
  <c r="D2424" i="2"/>
  <c r="I362" i="2"/>
  <c r="R1446" i="2"/>
  <c r="U2017" i="2"/>
  <c r="F1350" i="2"/>
  <c r="O540" i="2"/>
  <c r="Q2391" i="2"/>
  <c r="L1219" i="2"/>
  <c r="D1882" i="2"/>
  <c r="H1737" i="2"/>
  <c r="Q2189" i="2"/>
  <c r="J320" i="2"/>
  <c r="H395" i="2"/>
  <c r="N1804" i="2"/>
  <c r="U1679" i="2"/>
  <c r="Q2879" i="2"/>
  <c r="O311" i="2"/>
  <c r="Q2939" i="2"/>
  <c r="R3263" i="2"/>
  <c r="M473" i="2"/>
  <c r="E2406" i="2"/>
  <c r="Q1822" i="2"/>
  <c r="K852" i="2"/>
  <c r="W1998" i="2"/>
  <c r="R2849" i="2"/>
  <c r="H1691" i="2"/>
  <c r="S1455" i="2"/>
  <c r="L140" i="2"/>
  <c r="G921" i="2"/>
  <c r="V2421" i="2"/>
  <c r="U2640" i="2"/>
  <c r="P219" i="2"/>
  <c r="W1968" i="2"/>
  <c r="Q2895" i="2"/>
  <c r="O1252" i="2"/>
  <c r="D948" i="2"/>
  <c r="T2787" i="2"/>
  <c r="G1087" i="2"/>
  <c r="K1430" i="2"/>
  <c r="N3143" i="2"/>
  <c r="G1962" i="2"/>
  <c r="G1237" i="2"/>
  <c r="M2639" i="2"/>
  <c r="E1719" i="2"/>
  <c r="S942" i="2"/>
  <c r="H193" i="2"/>
  <c r="W2183" i="2"/>
  <c r="M2405" i="2"/>
  <c r="P2677" i="2"/>
  <c r="G1572" i="2"/>
  <c r="J880" i="2"/>
  <c r="K2682" i="2"/>
  <c r="R1606" i="2"/>
  <c r="F3129" i="2"/>
  <c r="K3008" i="2"/>
  <c r="M2954" i="2"/>
  <c r="O2147" i="2"/>
  <c r="I1931" i="2"/>
  <c r="H3332" i="2"/>
  <c r="R2415" i="2"/>
  <c r="I1968" i="2"/>
  <c r="D2600" i="2"/>
  <c r="C3197" i="2"/>
  <c r="Q2687" i="2"/>
  <c r="J1873" i="2"/>
  <c r="K2155" i="2"/>
  <c r="I3108" i="2"/>
  <c r="R2439" i="2"/>
  <c r="S1441" i="2"/>
  <c r="F1331" i="2"/>
  <c r="R2807" i="2"/>
  <c r="K1533" i="2"/>
  <c r="M109" i="2"/>
  <c r="O926" i="2"/>
  <c r="O2236" i="2"/>
  <c r="M3177" i="2"/>
  <c r="L1644" i="2"/>
  <c r="G1428" i="2"/>
  <c r="W2947" i="2"/>
  <c r="K3271" i="2"/>
  <c r="V1587" i="2"/>
  <c r="Q1295" i="2"/>
  <c r="N1295" i="2"/>
  <c r="U1030" i="2"/>
  <c r="L103" i="2"/>
  <c r="S1431" i="2"/>
  <c r="P1277" i="2"/>
  <c r="M1963" i="2"/>
  <c r="I202" i="2"/>
  <c r="R424" i="2"/>
  <c r="E459" i="2"/>
  <c r="G970" i="2"/>
  <c r="D1406" i="2"/>
  <c r="T2413" i="2"/>
  <c r="W744" i="2"/>
  <c r="G1694" i="2"/>
  <c r="N2271" i="2"/>
  <c r="P1506" i="2"/>
  <c r="N2539" i="2"/>
  <c r="C2707" i="2"/>
  <c r="N1527" i="2"/>
  <c r="N1929" i="2"/>
  <c r="S1528" i="2"/>
  <c r="W2994" i="2"/>
  <c r="M965" i="2"/>
  <c r="G3084" i="2"/>
  <c r="E2935" i="2"/>
  <c r="F691" i="2"/>
  <c r="N1109" i="2"/>
  <c r="V1479" i="2"/>
  <c r="F3198" i="2"/>
  <c r="G1507" i="2"/>
  <c r="E3206" i="2"/>
  <c r="D1931" i="2"/>
  <c r="H2479" i="2"/>
  <c r="K2528" i="2"/>
  <c r="F2205" i="2"/>
  <c r="H2679" i="2"/>
  <c r="D1891" i="2"/>
  <c r="T1556" i="2"/>
  <c r="C1625" i="2"/>
  <c r="L862" i="2"/>
  <c r="I2944" i="2"/>
  <c r="L2133" i="2"/>
  <c r="P1325" i="2"/>
  <c r="T1507" i="2"/>
  <c r="N2703" i="2"/>
  <c r="H1136" i="2"/>
  <c r="C1256" i="2"/>
  <c r="V1138" i="2"/>
  <c r="M621" i="2"/>
  <c r="N2825" i="2"/>
  <c r="P1114" i="2"/>
  <c r="L2934" i="2"/>
  <c r="I2317" i="2"/>
  <c r="H1198" i="2"/>
  <c r="T396" i="2"/>
  <c r="K1121" i="2"/>
  <c r="K2617" i="2"/>
  <c r="V400" i="2"/>
  <c r="G489" i="2"/>
  <c r="P2050" i="2"/>
  <c r="E1634" i="2"/>
  <c r="N711" i="2"/>
  <c r="S1251" i="2"/>
  <c r="J2142" i="2"/>
  <c r="J1835" i="2"/>
  <c r="W1242" i="2"/>
  <c r="Q525" i="2"/>
  <c r="N1080" i="2"/>
  <c r="W1451" i="2"/>
  <c r="F1211" i="2"/>
  <c r="R2420" i="2"/>
  <c r="U1334" i="2"/>
  <c r="S2370" i="2"/>
  <c r="D278" i="2"/>
  <c r="L716" i="2"/>
  <c r="E815" i="2"/>
  <c r="Q1849" i="2"/>
  <c r="C3405" i="2"/>
  <c r="R1910" i="2"/>
  <c r="I1694" i="2"/>
  <c r="R2191" i="2"/>
  <c r="W2070" i="2"/>
  <c r="J1088" i="2"/>
  <c r="L1012" i="2"/>
  <c r="V2175" i="2"/>
  <c r="I91" i="2"/>
  <c r="W2756" i="2"/>
  <c r="L2812" i="2"/>
  <c r="J2473" i="2"/>
  <c r="T1980" i="2"/>
  <c r="M2108" i="2"/>
  <c r="M2827" i="2"/>
  <c r="K366" i="2"/>
  <c r="F387" i="2"/>
  <c r="E252" i="2"/>
  <c r="T1819" i="2"/>
  <c r="L1261" i="2"/>
  <c r="S2273" i="2"/>
  <c r="T275" i="2"/>
  <c r="D1815" i="2"/>
  <c r="C698" i="2"/>
  <c r="D783" i="2"/>
  <c r="F1562" i="2"/>
  <c r="U688" i="2"/>
  <c r="D249" i="2"/>
  <c r="E257" i="2"/>
  <c r="T1648" i="2"/>
  <c r="W539" i="2"/>
  <c r="N45" i="2"/>
  <c r="F1864" i="2"/>
  <c r="V1430" i="2"/>
  <c r="V413" i="2"/>
  <c r="N3215" i="2"/>
  <c r="S151" i="2"/>
  <c r="S2706" i="2"/>
  <c r="P1603" i="2"/>
  <c r="I1812" i="2"/>
  <c r="N949" i="2"/>
  <c r="J62" i="2"/>
  <c r="R93" i="2"/>
  <c r="M417" i="2"/>
  <c r="G761" i="2"/>
  <c r="R2197" i="2"/>
  <c r="P2180" i="2"/>
  <c r="T3108" i="2"/>
  <c r="C1739" i="2"/>
  <c r="G323" i="2"/>
  <c r="G1793" i="2"/>
  <c r="V1099" i="2"/>
  <c r="D436" i="2"/>
  <c r="L2249" i="2"/>
  <c r="W1048" i="2"/>
  <c r="S504" i="2"/>
  <c r="H929" i="2"/>
  <c r="C2355" i="2"/>
  <c r="I956" i="2"/>
  <c r="R446" i="2"/>
  <c r="U646" i="2"/>
  <c r="L51" i="2"/>
  <c r="W2968" i="2"/>
  <c r="K857" i="2"/>
  <c r="H2991" i="2"/>
  <c r="E1045" i="2"/>
  <c r="W2541" i="2"/>
  <c r="O2835" i="2"/>
  <c r="G575" i="2"/>
  <c r="D584" i="2"/>
  <c r="V1692" i="2"/>
  <c r="R3115" i="2"/>
  <c r="U735" i="2"/>
  <c r="H2352" i="2"/>
  <c r="G2437" i="2"/>
  <c r="I1771" i="2"/>
  <c r="E526" i="2"/>
  <c r="E1464" i="2"/>
  <c r="K226" i="2"/>
  <c r="F571" i="2"/>
  <c r="S1956" i="2"/>
  <c r="R1706" i="2"/>
  <c r="M2036" i="2"/>
  <c r="N919" i="2"/>
  <c r="E1275" i="2"/>
  <c r="W1933" i="2"/>
  <c r="O1805" i="2"/>
  <c r="S1054" i="2"/>
  <c r="F2019" i="2"/>
  <c r="I475" i="2"/>
  <c r="R170" i="2"/>
  <c r="S1718" i="2"/>
  <c r="C1652" i="2"/>
  <c r="E1242" i="2"/>
  <c r="J1685" i="2"/>
  <c r="J2062" i="2"/>
  <c r="E98" i="2"/>
  <c r="W59" i="2"/>
  <c r="M698" i="2"/>
  <c r="C556" i="2"/>
  <c r="W3037" i="2"/>
  <c r="I192" i="2"/>
  <c r="J862" i="2"/>
  <c r="S3276" i="2"/>
  <c r="V1933" i="2"/>
  <c r="V2752" i="2"/>
  <c r="D2748" i="2"/>
  <c r="R1847" i="2"/>
  <c r="O471" i="2"/>
  <c r="E870" i="2"/>
  <c r="D2318" i="2"/>
  <c r="K1510" i="2"/>
  <c r="T715" i="2"/>
  <c r="E2569" i="2"/>
  <c r="E2558" i="2"/>
  <c r="N3040" i="2"/>
  <c r="I3038" i="2"/>
  <c r="O2575" i="2"/>
  <c r="N2879" i="2"/>
  <c r="R1159" i="2"/>
  <c r="W895" i="2"/>
  <c r="G1644" i="2"/>
  <c r="N3161" i="2"/>
  <c r="J1647" i="2"/>
  <c r="M987" i="2"/>
  <c r="J2042" i="2"/>
  <c r="T2167" i="2"/>
  <c r="N2177" i="2"/>
  <c r="O1023" i="2"/>
  <c r="Q2023" i="2"/>
  <c r="D1143" i="2"/>
  <c r="R1853" i="2"/>
  <c r="G2518" i="2"/>
  <c r="G2205" i="2"/>
  <c r="F2105" i="2"/>
  <c r="S1542" i="2"/>
  <c r="J1938" i="2"/>
  <c r="I1195" i="2"/>
  <c r="M1468" i="2"/>
  <c r="Q3175" i="2"/>
  <c r="G1947" i="2"/>
  <c r="F655" i="2"/>
  <c r="K1250" i="2"/>
  <c r="U40" i="2"/>
  <c r="G346" i="2"/>
  <c r="S180" i="2"/>
  <c r="M12" i="2"/>
  <c r="M2839" i="2"/>
  <c r="M1138" i="2"/>
  <c r="K990" i="2"/>
  <c r="G2803" i="2"/>
  <c r="G3301" i="2"/>
  <c r="Q2956" i="2"/>
  <c r="C1759" i="2"/>
  <c r="W923" i="2"/>
  <c r="O2913" i="2"/>
  <c r="T575" i="2"/>
  <c r="W1530" i="2"/>
  <c r="J1949" i="2"/>
  <c r="Q2664" i="2"/>
  <c r="P2518" i="2"/>
  <c r="M1509" i="2"/>
  <c r="R819" i="2"/>
  <c r="N3118" i="2"/>
  <c r="F3326" i="2"/>
  <c r="C3496" i="2"/>
  <c r="R310" i="2"/>
  <c r="N1756" i="2"/>
  <c r="J392" i="2"/>
  <c r="I3164" i="2"/>
  <c r="E2550" i="2"/>
  <c r="M485" i="2"/>
  <c r="U1131" i="2"/>
  <c r="H2580" i="2"/>
  <c r="P2971" i="2"/>
  <c r="J1514" i="2"/>
  <c r="U2843" i="2"/>
  <c r="C3009" i="2"/>
  <c r="F2191" i="2"/>
  <c r="P1319" i="2"/>
  <c r="R400" i="2"/>
  <c r="L2814" i="2"/>
  <c r="R3109" i="2"/>
  <c r="L1268" i="2"/>
  <c r="R2051" i="2"/>
  <c r="T710" i="2"/>
  <c r="D2752" i="2"/>
  <c r="E72" i="2"/>
  <c r="U2548" i="2"/>
  <c r="G2982" i="2"/>
  <c r="U1644" i="2"/>
  <c r="I764" i="2"/>
  <c r="H1708" i="2"/>
  <c r="J1878" i="2"/>
  <c r="G3344" i="2"/>
  <c r="F2510" i="2"/>
  <c r="I2644" i="2"/>
  <c r="T1723" i="2"/>
  <c r="R2178" i="2"/>
  <c r="F2582" i="2"/>
  <c r="H1032" i="2"/>
  <c r="O3101" i="2"/>
  <c r="V1379" i="2"/>
  <c r="R2312" i="2"/>
  <c r="U376" i="2"/>
  <c r="T2025" i="2"/>
  <c r="K1788" i="2"/>
  <c r="U2828" i="2"/>
  <c r="K2173" i="2"/>
  <c r="D2291" i="2"/>
  <c r="F2354" i="2"/>
  <c r="C2904" i="2"/>
  <c r="P3374" i="2"/>
  <c r="T774" i="2"/>
  <c r="N1907" i="2"/>
  <c r="R1580" i="2"/>
  <c r="W474" i="2"/>
  <c r="T1215" i="2"/>
  <c r="F252" i="2"/>
  <c r="O2922" i="2"/>
  <c r="I1591" i="2"/>
  <c r="J417" i="2"/>
  <c r="M2669" i="2"/>
  <c r="P1210" i="2"/>
  <c r="L1279" i="2"/>
  <c r="Q1532" i="2"/>
  <c r="R1995" i="2"/>
  <c r="U1894" i="2"/>
  <c r="F736" i="2"/>
  <c r="E878" i="2"/>
  <c r="U2739" i="2"/>
  <c r="H3260" i="2"/>
  <c r="S2634" i="2"/>
  <c r="H1406" i="2"/>
  <c r="I3082" i="2"/>
  <c r="E3221" i="2"/>
  <c r="H1379" i="2"/>
  <c r="W884" i="2"/>
  <c r="O214" i="2"/>
  <c r="U1272" i="2"/>
  <c r="O2760" i="2"/>
  <c r="H380" i="2"/>
  <c r="T807" i="2"/>
  <c r="O2708" i="2"/>
  <c r="R2840" i="2"/>
  <c r="P1535" i="2"/>
  <c r="J742" i="2"/>
  <c r="P1490" i="2"/>
  <c r="Q1791" i="2"/>
  <c r="E1094" i="2"/>
  <c r="T2987" i="2"/>
  <c r="S2485" i="2"/>
  <c r="O616" i="2"/>
  <c r="E71" i="2"/>
  <c r="F731" i="2"/>
  <c r="C3121" i="2"/>
  <c r="T1538" i="2"/>
  <c r="H2571" i="2"/>
  <c r="E116" i="2"/>
  <c r="P1138" i="2"/>
  <c r="T1438" i="2"/>
  <c r="E2161" i="2"/>
  <c r="W2139" i="2"/>
  <c r="P1311" i="2"/>
  <c r="N3013" i="2"/>
  <c r="V1220" i="2"/>
  <c r="L729" i="2"/>
  <c r="Q560" i="2"/>
  <c r="E2946" i="2"/>
  <c r="S1722" i="2"/>
  <c r="O546" i="2"/>
  <c r="J1985" i="2"/>
  <c r="L449" i="2"/>
  <c r="N1941" i="2"/>
  <c r="P1839" i="2"/>
  <c r="H465" i="2"/>
  <c r="W3073" i="2"/>
  <c r="O2161" i="2"/>
  <c r="E1673" i="2"/>
  <c r="W1141" i="2"/>
  <c r="E2112" i="2"/>
  <c r="U1845" i="2"/>
  <c r="W432" i="2"/>
  <c r="O89" i="2"/>
  <c r="S2894" i="2"/>
  <c r="P283" i="2"/>
  <c r="J129" i="2"/>
  <c r="T2008" i="2"/>
  <c r="P1290" i="2"/>
  <c r="C2244" i="2"/>
  <c r="E745" i="2"/>
  <c r="V2008" i="2"/>
  <c r="N2859" i="2"/>
  <c r="N1796" i="2"/>
  <c r="S280" i="2"/>
  <c r="J1721" i="2"/>
  <c r="C2433" i="2"/>
  <c r="I1081" i="2"/>
  <c r="G893" i="2"/>
  <c r="W2355" i="2"/>
  <c r="H1743" i="2"/>
  <c r="N2219" i="2"/>
  <c r="N440" i="2"/>
  <c r="R2477" i="2"/>
  <c r="M1097" i="2"/>
  <c r="O1166" i="2"/>
  <c r="L2320" i="2"/>
  <c r="N1726" i="2"/>
  <c r="I888" i="2"/>
  <c r="D2298" i="2"/>
  <c r="E254" i="2"/>
  <c r="H3056" i="2"/>
  <c r="I2385" i="2"/>
  <c r="E993" i="2"/>
  <c r="T2743" i="2"/>
  <c r="G1158" i="2"/>
  <c r="G1330" i="2"/>
  <c r="N2057" i="2"/>
  <c r="S1013" i="2"/>
  <c r="F1471" i="2"/>
  <c r="V53" i="2"/>
  <c r="K2454" i="2"/>
  <c r="D1104" i="2"/>
  <c r="S2025" i="2"/>
  <c r="G1901" i="2"/>
  <c r="H1404" i="2"/>
  <c r="N2062" i="2"/>
  <c r="Q1708" i="2"/>
  <c r="N1643" i="2"/>
  <c r="R2521" i="2"/>
  <c r="D270" i="2"/>
  <c r="W1909" i="2"/>
  <c r="W1824" i="2"/>
  <c r="M2748" i="2"/>
  <c r="K2522" i="2"/>
  <c r="J595" i="2"/>
  <c r="N1766" i="2"/>
  <c r="C627" i="2"/>
  <c r="F1630" i="2"/>
  <c r="Q1968" i="2"/>
  <c r="U2755" i="2"/>
  <c r="Q2240" i="2"/>
  <c r="H450" i="2"/>
  <c r="U2485" i="2"/>
  <c r="O636" i="2"/>
  <c r="O1271" i="2"/>
  <c r="W818" i="2"/>
  <c r="N1299" i="2"/>
  <c r="T313" i="2"/>
  <c r="E2941" i="2"/>
  <c r="H529" i="2"/>
  <c r="C1350" i="2"/>
  <c r="J3182" i="2"/>
  <c r="W1552" i="2"/>
  <c r="S2663" i="2"/>
  <c r="P2917" i="2"/>
  <c r="K2376" i="2"/>
  <c r="D3374" i="2"/>
  <c r="O1725" i="2"/>
  <c r="I1561" i="2"/>
  <c r="F3242" i="2"/>
  <c r="N1075" i="2"/>
  <c r="C2447" i="2"/>
  <c r="L2497" i="2"/>
  <c r="O179" i="2"/>
  <c r="C1913" i="2"/>
  <c r="K908" i="2"/>
  <c r="D2540" i="2"/>
  <c r="U769" i="2"/>
  <c r="H2511" i="2"/>
  <c r="L1102" i="2"/>
  <c r="J806" i="2"/>
  <c r="U2951" i="2"/>
  <c r="N2891" i="2"/>
  <c r="K2945" i="2"/>
  <c r="P1927" i="2"/>
  <c r="T2515" i="2"/>
  <c r="G1111" i="2"/>
  <c r="G2632" i="2"/>
  <c r="F2234" i="2"/>
  <c r="O514" i="2"/>
  <c r="G2393" i="2"/>
  <c r="H827" i="2"/>
  <c r="E1171" i="2"/>
  <c r="E1047" i="2"/>
  <c r="Q1580" i="2"/>
  <c r="E1746" i="2"/>
  <c r="J2114" i="2"/>
  <c r="C1847" i="2"/>
  <c r="V1354" i="2"/>
  <c r="I1741" i="2"/>
  <c r="C3114" i="2"/>
  <c r="T2312" i="2"/>
  <c r="S2159" i="2"/>
  <c r="E2882" i="2"/>
  <c r="E980" i="2"/>
  <c r="L1181" i="2"/>
  <c r="T1395" i="2"/>
  <c r="Q3135" i="2"/>
  <c r="K3295" i="2"/>
  <c r="U6" i="2"/>
  <c r="U2077" i="2"/>
  <c r="J1416" i="2"/>
  <c r="G1881" i="2"/>
  <c r="E2630" i="2"/>
  <c r="S1971" i="2"/>
  <c r="K2287" i="2"/>
  <c r="S1031" i="2"/>
  <c r="G1810" i="2"/>
  <c r="O1556" i="2"/>
  <c r="N3106" i="2"/>
  <c r="P2660" i="2"/>
  <c r="W205" i="2"/>
  <c r="G1653" i="2"/>
  <c r="M1791" i="2"/>
  <c r="U1241" i="2"/>
  <c r="L1766" i="2"/>
  <c r="O2618" i="2"/>
  <c r="J958" i="2"/>
  <c r="P2568" i="2"/>
  <c r="N2336" i="2"/>
  <c r="T3003" i="2"/>
  <c r="O1849" i="2"/>
  <c r="G2945" i="2"/>
  <c r="V1588" i="2"/>
  <c r="O1489" i="2"/>
  <c r="F1996" i="2"/>
  <c r="J328" i="2"/>
  <c r="T3277" i="2"/>
  <c r="V2681" i="2"/>
  <c r="G2454" i="2"/>
  <c r="J2310" i="2"/>
  <c r="N2266" i="2"/>
  <c r="V1252" i="2"/>
  <c r="W1038" i="2"/>
  <c r="W962" i="2"/>
  <c r="O2073" i="2"/>
  <c r="P2939" i="2"/>
  <c r="M3231" i="2"/>
  <c r="L505" i="2"/>
  <c r="Q1549" i="2"/>
  <c r="O2164" i="2"/>
  <c r="K1991" i="2"/>
  <c r="W2865" i="2"/>
  <c r="H2451" i="2"/>
  <c r="I1646" i="2"/>
  <c r="I2164" i="2"/>
  <c r="M1775" i="2"/>
  <c r="I3125" i="2"/>
  <c r="D1727" i="2"/>
  <c r="S1371" i="2"/>
  <c r="C1418" i="2"/>
  <c r="H1224" i="2"/>
  <c r="E1540" i="2"/>
  <c r="W1143" i="2"/>
  <c r="J442" i="2"/>
  <c r="J1732" i="2"/>
  <c r="N1240" i="2"/>
  <c r="U648" i="2"/>
  <c r="J1141" i="2"/>
  <c r="W2083" i="2"/>
  <c r="W1384" i="2"/>
  <c r="L2020" i="2"/>
  <c r="D2411" i="2"/>
  <c r="Q1393" i="2"/>
  <c r="G3106" i="2"/>
  <c r="U1709" i="2"/>
  <c r="L3069" i="2"/>
  <c r="M1704" i="2"/>
  <c r="R2643" i="2"/>
  <c r="J1882" i="2"/>
  <c r="L787" i="2"/>
  <c r="F954" i="2"/>
  <c r="W1236" i="2"/>
  <c r="W1363" i="2"/>
  <c r="L651" i="2"/>
  <c r="W2369" i="2"/>
  <c r="I1228" i="2"/>
  <c r="C1017" i="2"/>
  <c r="W1448" i="2"/>
  <c r="S2213" i="2"/>
  <c r="C1912" i="2"/>
  <c r="O1148" i="2"/>
  <c r="D2017" i="2"/>
  <c r="W649" i="2"/>
  <c r="E2253" i="2"/>
  <c r="S1396" i="2"/>
  <c r="O1642" i="2"/>
  <c r="D337" i="2"/>
  <c r="E2724" i="2"/>
  <c r="O2411" i="2"/>
  <c r="O3016" i="2"/>
  <c r="P1582" i="2"/>
  <c r="U81" i="2"/>
  <c r="R2777" i="2"/>
  <c r="S2367" i="2"/>
  <c r="N2626" i="2"/>
  <c r="E2238" i="2"/>
  <c r="F93" i="2"/>
  <c r="P2093" i="2"/>
  <c r="F780" i="2"/>
  <c r="W2675" i="2"/>
  <c r="S1650" i="2"/>
  <c r="N2165" i="2"/>
  <c r="U663" i="2"/>
  <c r="J1256" i="2"/>
  <c r="Q2526" i="2"/>
  <c r="V2296" i="2"/>
  <c r="S262" i="2"/>
  <c r="Q1594" i="2"/>
  <c r="N2395" i="2"/>
  <c r="D146" i="2"/>
  <c r="M286" i="2"/>
  <c r="D406" i="2"/>
  <c r="K104" i="2"/>
  <c r="W317" i="2"/>
  <c r="H197" i="2"/>
  <c r="K298" i="2"/>
  <c r="D1054" i="2"/>
  <c r="P414" i="2"/>
  <c r="R148" i="2"/>
  <c r="N1291" i="2"/>
  <c r="C828" i="2"/>
  <c r="W187" i="2"/>
  <c r="M2300" i="2"/>
  <c r="R1561" i="2"/>
  <c r="I1857" i="2"/>
  <c r="T2487" i="2"/>
  <c r="V1438" i="2"/>
  <c r="J2254" i="2"/>
  <c r="Q944" i="2"/>
  <c r="R2993" i="2"/>
  <c r="L3114" i="2"/>
  <c r="L1593" i="2"/>
  <c r="W1159" i="2"/>
  <c r="S2320" i="2"/>
  <c r="E409" i="2"/>
  <c r="N2229" i="2"/>
  <c r="R2460" i="2"/>
  <c r="I1449" i="2"/>
  <c r="I1494" i="2"/>
  <c r="G1373" i="2"/>
  <c r="W1069" i="2"/>
  <c r="L990" i="2"/>
  <c r="D2080" i="2"/>
  <c r="Q231" i="2"/>
  <c r="U2835" i="2"/>
  <c r="R1240" i="2"/>
  <c r="J2847" i="2"/>
  <c r="H2367" i="2"/>
  <c r="N708" i="2"/>
  <c r="M174" i="2"/>
  <c r="I1595" i="2"/>
  <c r="P905" i="2"/>
  <c r="M236" i="2"/>
  <c r="W1424" i="2"/>
  <c r="J2174" i="2"/>
  <c r="P919" i="2"/>
  <c r="C2135" i="2"/>
  <c r="J532" i="2"/>
  <c r="Q1241" i="2"/>
  <c r="U2072" i="2"/>
  <c r="S2057" i="2"/>
  <c r="E2966" i="2"/>
  <c r="N1465" i="2"/>
  <c r="J1810" i="2"/>
  <c r="Q1653" i="2"/>
  <c r="O3055" i="2"/>
  <c r="C1848" i="2"/>
  <c r="V1624" i="2"/>
  <c r="F2533" i="2"/>
  <c r="F2671" i="2"/>
  <c r="E2168" i="2"/>
  <c r="K727" i="2"/>
  <c r="U788" i="2"/>
  <c r="V158" i="2"/>
  <c r="D2280" i="2"/>
  <c r="O953" i="2"/>
  <c r="G1367" i="2"/>
  <c r="R1637" i="2"/>
  <c r="M1787" i="2"/>
  <c r="N624" i="2"/>
  <c r="W1683" i="2"/>
  <c r="J1664" i="2"/>
  <c r="S1582" i="2"/>
  <c r="W1774" i="2"/>
  <c r="G425" i="2"/>
  <c r="L582" i="2"/>
  <c r="I3028" i="2"/>
  <c r="U3306" i="2"/>
  <c r="R269" i="2"/>
  <c r="J385" i="2"/>
  <c r="S454" i="2"/>
  <c r="W1645" i="2"/>
  <c r="N356" i="2"/>
  <c r="R1114" i="2"/>
  <c r="Q317" i="2"/>
  <c r="R2568" i="2"/>
  <c r="K741" i="2"/>
  <c r="W350" i="2"/>
  <c r="R1756" i="2"/>
  <c r="C940" i="2"/>
  <c r="W211" i="2"/>
  <c r="C1753" i="2"/>
  <c r="U2454" i="2"/>
  <c r="S1497" i="2"/>
  <c r="L1704" i="2"/>
  <c r="L2355" i="2"/>
  <c r="F1755" i="2"/>
  <c r="O1207" i="2"/>
  <c r="E1467" i="2"/>
  <c r="N1182" i="2"/>
  <c r="M706" i="2"/>
  <c r="S629" i="2"/>
  <c r="V677" i="2"/>
  <c r="W3253" i="2"/>
  <c r="N2230" i="2"/>
  <c r="V442" i="2"/>
  <c r="V3575" i="2"/>
  <c r="N619" i="2"/>
  <c r="W518" i="2"/>
  <c r="N208" i="2"/>
  <c r="H2944" i="2"/>
  <c r="S901" i="2"/>
  <c r="Q943" i="2"/>
  <c r="E2024" i="2"/>
  <c r="F3553" i="2"/>
  <c r="J2272" i="2"/>
  <c r="M770" i="2"/>
  <c r="C783" i="2"/>
  <c r="J2207" i="2"/>
  <c r="J816" i="2"/>
  <c r="P2141" i="2"/>
  <c r="J1776" i="2"/>
  <c r="T1083" i="2"/>
  <c r="I322" i="2"/>
  <c r="M2901" i="2"/>
  <c r="N942" i="2"/>
  <c r="H1692" i="2"/>
  <c r="O1455" i="2"/>
  <c r="U271" i="2"/>
  <c r="G986" i="2"/>
  <c r="T1120" i="2"/>
  <c r="L2171" i="2"/>
  <c r="D18" i="2"/>
  <c r="V1936" i="2"/>
  <c r="W903" i="2"/>
  <c r="T152" i="2"/>
  <c r="M83" i="2"/>
  <c r="K1314" i="2"/>
  <c r="E2141" i="2"/>
  <c r="F1233" i="2"/>
  <c r="S943" i="2"/>
  <c r="J1564" i="2"/>
  <c r="H916" i="2"/>
  <c r="J1641" i="2"/>
  <c r="S2089" i="2"/>
  <c r="S2175" i="2"/>
  <c r="E3378" i="2"/>
  <c r="W2283" i="2"/>
  <c r="L883" i="2"/>
  <c r="K392" i="2"/>
  <c r="J2004" i="2"/>
  <c r="W1952" i="2"/>
  <c r="V2965" i="2"/>
  <c r="M1835" i="2"/>
  <c r="M2816" i="2"/>
  <c r="Q2779" i="2"/>
  <c r="P1560" i="2"/>
  <c r="K1063" i="2"/>
  <c r="S2964" i="2"/>
  <c r="M1347" i="2"/>
  <c r="L2002" i="2"/>
  <c r="O2255" i="2"/>
  <c r="S242" i="2"/>
  <c r="F831" i="2"/>
  <c r="W2546" i="2"/>
  <c r="N2194" i="2"/>
  <c r="N2279" i="2"/>
  <c r="J1478" i="2"/>
  <c r="Q993" i="2"/>
  <c r="C2872" i="2"/>
  <c r="E2346" i="2"/>
  <c r="K3087" i="2"/>
  <c r="J34" i="2"/>
  <c r="V639" i="2"/>
  <c r="H2997" i="2"/>
  <c r="W2241" i="2"/>
  <c r="Q3322" i="2"/>
  <c r="W98" i="2"/>
  <c r="O2107" i="2"/>
  <c r="H1011" i="2"/>
  <c r="T3035" i="2"/>
  <c r="Q217" i="2"/>
  <c r="O486" i="2"/>
  <c r="G1739" i="2"/>
  <c r="U2537" i="2"/>
  <c r="Q295" i="2"/>
  <c r="V2973" i="2"/>
  <c r="W1219" i="2"/>
  <c r="O2956" i="2"/>
  <c r="S691" i="2"/>
  <c r="L2243" i="2"/>
  <c r="L1264" i="2"/>
  <c r="F1612" i="2"/>
  <c r="T2947" i="2"/>
  <c r="S2477" i="2"/>
  <c r="M1200" i="2"/>
  <c r="F2554" i="2"/>
  <c r="V881" i="2"/>
  <c r="L1081" i="2"/>
  <c r="M412" i="2"/>
  <c r="U1248" i="2"/>
  <c r="L1951" i="2"/>
  <c r="U1715" i="2"/>
  <c r="U1504" i="2"/>
  <c r="N2208" i="2"/>
  <c r="S2883" i="2"/>
  <c r="M2255" i="2"/>
  <c r="J1275" i="2"/>
  <c r="T1936" i="2"/>
  <c r="L1151" i="2"/>
  <c r="C1540" i="2"/>
  <c r="L2703" i="2"/>
  <c r="U3027" i="2"/>
  <c r="Q1645" i="2"/>
  <c r="P2499" i="2"/>
  <c r="E2743" i="2"/>
  <c r="N1539" i="2"/>
  <c r="I3113" i="2"/>
  <c r="S1855" i="2"/>
  <c r="C3123" i="2"/>
  <c r="D1980" i="2"/>
  <c r="G3141" i="2"/>
  <c r="R2260" i="2"/>
  <c r="H3029" i="2"/>
  <c r="C1025" i="2"/>
  <c r="U1823" i="2"/>
  <c r="H2048" i="2"/>
  <c r="Q960" i="2"/>
  <c r="O2030" i="2"/>
  <c r="G2210" i="2"/>
  <c r="F585" i="2"/>
  <c r="T2262" i="2"/>
  <c r="F1171" i="2"/>
  <c r="V662" i="2"/>
  <c r="P69" i="2"/>
  <c r="Q2053" i="2"/>
  <c r="E70" i="2"/>
  <c r="W363" i="2"/>
  <c r="R2667" i="2"/>
  <c r="L2681" i="2"/>
  <c r="P2194" i="2"/>
  <c r="F1093" i="2"/>
  <c r="P1432" i="2"/>
  <c r="P676" i="2"/>
  <c r="V1684" i="2"/>
  <c r="L1460" i="2"/>
  <c r="H101" i="2"/>
  <c r="H1044" i="2"/>
  <c r="J2529" i="2"/>
  <c r="S1608" i="2"/>
  <c r="Q2436" i="2"/>
  <c r="I653" i="2"/>
  <c r="W1207" i="2"/>
  <c r="H2632" i="2"/>
  <c r="O1526" i="2"/>
  <c r="L1469" i="2"/>
  <c r="R1229" i="2"/>
  <c r="F1162" i="2"/>
  <c r="W634" i="2"/>
  <c r="G3104" i="2"/>
  <c r="J1358" i="2"/>
  <c r="G3111" i="2"/>
  <c r="M1198" i="2"/>
  <c r="C2440" i="2"/>
  <c r="V1666" i="2"/>
  <c r="P3306" i="2"/>
  <c r="C1472" i="2"/>
  <c r="L2338" i="2"/>
  <c r="I472" i="2"/>
  <c r="S2108" i="2"/>
  <c r="Q1458" i="2"/>
  <c r="J1096" i="2"/>
  <c r="T1207" i="2"/>
  <c r="U463" i="2"/>
  <c r="P2633" i="2"/>
  <c r="T3021" i="2"/>
  <c r="O2936" i="2"/>
  <c r="P3173" i="2"/>
  <c r="S3204" i="2"/>
  <c r="G1872" i="2"/>
  <c r="H2291" i="2"/>
  <c r="R1262" i="2"/>
  <c r="K196" i="2"/>
  <c r="O1498" i="2"/>
  <c r="D250" i="2"/>
  <c r="C2619" i="2"/>
  <c r="V708" i="2"/>
  <c r="U1120" i="2"/>
  <c r="F1383" i="2"/>
  <c r="E384" i="2"/>
  <c r="E1525" i="2"/>
  <c r="R2459" i="2"/>
  <c r="C2985" i="2"/>
  <c r="L1616" i="2"/>
  <c r="M2573" i="2"/>
  <c r="M2580" i="2"/>
  <c r="H2951" i="2"/>
  <c r="I2817" i="2"/>
  <c r="L2449" i="2"/>
  <c r="O1169" i="2"/>
  <c r="I1445" i="2"/>
  <c r="J608" i="2"/>
  <c r="K1810" i="2"/>
  <c r="N2236" i="2"/>
  <c r="I1474" i="2"/>
  <c r="C3077" i="2"/>
  <c r="M2928" i="2"/>
  <c r="D2506" i="2"/>
  <c r="M486" i="2"/>
  <c r="J122" i="2"/>
  <c r="W2401" i="2"/>
  <c r="K2086" i="2"/>
  <c r="V2192" i="2"/>
  <c r="N2581" i="2"/>
  <c r="S467" i="2"/>
  <c r="M2321" i="2"/>
  <c r="H2676" i="2"/>
  <c r="M2155" i="2"/>
  <c r="R1843" i="2"/>
  <c r="L1454" i="2"/>
  <c r="R320" i="2"/>
  <c r="R3412" i="2"/>
  <c r="S3308" i="2"/>
  <c r="C2680" i="2"/>
  <c r="N1988" i="2"/>
  <c r="K307" i="2"/>
  <c r="Q3228" i="2"/>
  <c r="E1723" i="2"/>
  <c r="K2861" i="2"/>
  <c r="G2658" i="2"/>
  <c r="O2060" i="2"/>
  <c r="J2797" i="2"/>
  <c r="C2332" i="2"/>
  <c r="M3330" i="2"/>
  <c r="L424" i="2"/>
  <c r="G1418" i="2"/>
  <c r="H2234" i="2"/>
  <c r="Q1499" i="2"/>
  <c r="U2967" i="2"/>
  <c r="R1460" i="2"/>
  <c r="J2543" i="2"/>
  <c r="O813" i="2"/>
  <c r="H703" i="2"/>
  <c r="V1050" i="2"/>
  <c r="O1179" i="2"/>
  <c r="I3120" i="2"/>
  <c r="Q2851" i="2"/>
  <c r="K484" i="2"/>
  <c r="C2424" i="2"/>
  <c r="U1294" i="2"/>
  <c r="U870" i="2"/>
  <c r="G3074" i="2"/>
  <c r="L2086" i="2"/>
  <c r="H1160" i="2"/>
  <c r="M2929" i="2"/>
  <c r="P1993" i="2"/>
  <c r="Q2837" i="2"/>
  <c r="K1574" i="2"/>
  <c r="O2387" i="2"/>
  <c r="C1975" i="2"/>
  <c r="M3205" i="2"/>
  <c r="M1758" i="2"/>
  <c r="P2100" i="2"/>
  <c r="G775" i="2"/>
  <c r="N1211" i="2"/>
  <c r="D2416" i="2"/>
  <c r="V2360" i="2"/>
  <c r="H3101" i="2"/>
  <c r="F2542" i="2"/>
  <c r="G1721" i="2"/>
  <c r="C1194" i="2"/>
  <c r="K2988" i="2"/>
  <c r="J2891" i="2"/>
  <c r="H1345" i="2"/>
  <c r="T829" i="2"/>
  <c r="I1138" i="2"/>
  <c r="G1208" i="2"/>
  <c r="W1797" i="2"/>
  <c r="T29" i="2"/>
  <c r="P3137" i="2"/>
  <c r="M1004" i="2"/>
  <c r="E2011" i="2"/>
  <c r="W94" i="2"/>
  <c r="W651" i="2"/>
  <c r="G383" i="2"/>
  <c r="S2096" i="2"/>
  <c r="V1894" i="2"/>
  <c r="U2250" i="2"/>
  <c r="T2396" i="2"/>
  <c r="Q486" i="2"/>
  <c r="J571" i="2"/>
  <c r="Q3217" i="2"/>
  <c r="E1395" i="2"/>
  <c r="G1307" i="2"/>
  <c r="G2772" i="2"/>
  <c r="E2603" i="2"/>
  <c r="L2979" i="2"/>
  <c r="I1293" i="2"/>
  <c r="N419" i="2"/>
  <c r="E2950" i="2"/>
  <c r="O1845" i="2"/>
  <c r="W2182" i="2"/>
  <c r="P1185" i="2"/>
  <c r="Q3045" i="2"/>
  <c r="V1281" i="2"/>
  <c r="P1863" i="2"/>
  <c r="M3039" i="2"/>
  <c r="F2721" i="2"/>
  <c r="T1129" i="2"/>
  <c r="H1978" i="2"/>
  <c r="H3248" i="2"/>
  <c r="Q2421" i="2"/>
  <c r="W3058" i="2"/>
  <c r="E1168" i="2"/>
  <c r="Q3096" i="2"/>
  <c r="E2741" i="2"/>
  <c r="R2426" i="2"/>
  <c r="J822" i="2"/>
  <c r="K1722" i="2"/>
  <c r="R617" i="2"/>
  <c r="I2501" i="2"/>
  <c r="F3132" i="2"/>
  <c r="G2494" i="2"/>
  <c r="S2050" i="2"/>
  <c r="K3342" i="2"/>
  <c r="H1359" i="2"/>
  <c r="J3099" i="2"/>
  <c r="F802" i="2"/>
  <c r="F2679" i="2"/>
  <c r="V2482" i="2"/>
  <c r="C2975" i="2"/>
  <c r="U2680" i="2"/>
  <c r="J1542" i="2"/>
  <c r="O868" i="2"/>
  <c r="N484" i="2"/>
  <c r="M1102" i="2"/>
  <c r="U1494" i="2"/>
  <c r="S1134" i="2"/>
  <c r="P1674" i="2"/>
  <c r="S2874" i="2"/>
  <c r="P1733" i="2"/>
  <c r="C201" i="2"/>
  <c r="J1284" i="2"/>
  <c r="I2515" i="2"/>
  <c r="I503" i="2"/>
  <c r="U2032" i="2"/>
  <c r="O2371" i="2"/>
  <c r="W1458" i="2"/>
  <c r="V120" i="2"/>
  <c r="S2373" i="2"/>
  <c r="S1291" i="2"/>
  <c r="K2578" i="2"/>
  <c r="L730" i="2"/>
  <c r="J844" i="2"/>
  <c r="J2737" i="2"/>
  <c r="Q2704" i="2"/>
  <c r="G202" i="2"/>
  <c r="O1379" i="2"/>
  <c r="M1249" i="2"/>
  <c r="C2585" i="2"/>
  <c r="I1849" i="2"/>
  <c r="H1746" i="2"/>
  <c r="M308" i="2"/>
  <c r="Q2362" i="2"/>
  <c r="P1697" i="2"/>
  <c r="L1225" i="2"/>
  <c r="C3272" i="2"/>
  <c r="D2817" i="2"/>
  <c r="R1386" i="2"/>
  <c r="F2231" i="2"/>
  <c r="H588" i="2"/>
  <c r="M3516" i="2"/>
  <c r="M1345" i="2"/>
  <c r="Q2461" i="2"/>
  <c r="G1454" i="2"/>
  <c r="L831" i="2"/>
  <c r="W1120" i="2"/>
  <c r="U1931" i="2"/>
  <c r="R3280" i="2"/>
  <c r="V2739" i="2"/>
  <c r="L3083" i="2"/>
  <c r="D2496" i="2"/>
  <c r="W1339" i="2"/>
  <c r="F2745" i="2"/>
  <c r="Q1107" i="2"/>
  <c r="U2412" i="2"/>
  <c r="D2913" i="2"/>
  <c r="C2784" i="2"/>
  <c r="U2363" i="2"/>
  <c r="R1130" i="2"/>
  <c r="U2445" i="2"/>
  <c r="P2925" i="2"/>
  <c r="L1159" i="2"/>
  <c r="R775" i="2"/>
  <c r="R1233" i="2"/>
  <c r="P280" i="2"/>
  <c r="D2166" i="2"/>
  <c r="T1823" i="2"/>
  <c r="K1680" i="2"/>
  <c r="F1750" i="2"/>
  <c r="L1816" i="2"/>
  <c r="Q512" i="2"/>
  <c r="J486" i="2"/>
  <c r="L361" i="2"/>
  <c r="N456" i="2"/>
  <c r="K1739" i="2"/>
  <c r="M2270" i="2"/>
  <c r="V1237" i="2"/>
  <c r="H2464" i="2"/>
  <c r="G136" i="2"/>
  <c r="M2696" i="2"/>
  <c r="O2595" i="2"/>
  <c r="P798" i="2"/>
  <c r="S47" i="2"/>
  <c r="P708" i="2"/>
  <c r="T923" i="2"/>
  <c r="R486" i="2"/>
  <c r="Q772" i="2"/>
  <c r="F2912" i="2"/>
  <c r="E1225" i="2"/>
  <c r="N1578" i="2"/>
  <c r="I3077" i="2"/>
  <c r="V1595" i="2"/>
  <c r="S2591" i="2"/>
  <c r="J1999" i="2"/>
  <c r="E375" i="2"/>
  <c r="C1506" i="2"/>
  <c r="M1943" i="2"/>
  <c r="S34" i="2"/>
  <c r="F2981" i="2"/>
  <c r="W873" i="2"/>
  <c r="C2959" i="2"/>
  <c r="L1528" i="2"/>
  <c r="E2329" i="2"/>
  <c r="L1798" i="2"/>
  <c r="U2944" i="2"/>
  <c r="G1450" i="2"/>
  <c r="D2809" i="2"/>
  <c r="E1270" i="2"/>
  <c r="P127" i="2"/>
  <c r="Q614" i="2"/>
  <c r="G2305" i="2"/>
  <c r="L1126" i="2"/>
  <c r="T2543" i="2"/>
  <c r="H2715" i="2"/>
  <c r="W463" i="2"/>
  <c r="S1004" i="2"/>
  <c r="N1020" i="2"/>
  <c r="P2078" i="2"/>
  <c r="M2250" i="2"/>
  <c r="O2691" i="2"/>
  <c r="W276" i="2"/>
  <c r="F3271" i="2"/>
  <c r="M1892" i="2"/>
  <c r="T2712" i="2"/>
  <c r="S2012" i="2"/>
  <c r="G208" i="2"/>
  <c r="R3" i="2"/>
  <c r="R383" i="2"/>
  <c r="L1562" i="2"/>
  <c r="J1087" i="2"/>
  <c r="E711" i="2"/>
  <c r="N1358" i="2"/>
  <c r="T442" i="2"/>
  <c r="U3033" i="2"/>
  <c r="G1996" i="2"/>
  <c r="F898" i="2"/>
  <c r="K3127" i="2"/>
  <c r="W2085" i="2"/>
  <c r="T618" i="2"/>
  <c r="L791" i="2"/>
  <c r="C1746" i="2"/>
  <c r="Q755" i="2"/>
  <c r="E2305" i="2"/>
  <c r="I1779" i="2"/>
  <c r="R2143" i="2"/>
  <c r="V2980" i="2"/>
  <c r="I2802" i="2"/>
  <c r="J3001" i="2"/>
  <c r="V1473" i="2"/>
  <c r="L1163" i="2"/>
  <c r="N981" i="2"/>
  <c r="N861" i="2"/>
  <c r="R2003" i="2"/>
  <c r="G646" i="2"/>
  <c r="U1164" i="2"/>
  <c r="H1907" i="2"/>
  <c r="K2953" i="2"/>
  <c r="W1358" i="2"/>
  <c r="P997" i="2"/>
  <c r="N1133" i="2"/>
  <c r="U2659" i="2"/>
  <c r="D591" i="2"/>
  <c r="P1926" i="2"/>
  <c r="W2133" i="2"/>
  <c r="S1867" i="2"/>
  <c r="C1636" i="2"/>
  <c r="Q848" i="2"/>
  <c r="I544" i="2"/>
  <c r="G2849" i="2"/>
  <c r="W1825" i="2"/>
  <c r="E1838" i="2"/>
  <c r="O960" i="2"/>
  <c r="M3289" i="2"/>
  <c r="S568" i="2"/>
  <c r="F1045" i="2"/>
  <c r="G2884" i="2"/>
  <c r="I2282" i="2"/>
  <c r="H1701" i="2"/>
  <c r="F899" i="2"/>
  <c r="R49" i="2"/>
  <c r="P867" i="2"/>
  <c r="F1754" i="2"/>
  <c r="L2144" i="2"/>
  <c r="M1584" i="2"/>
  <c r="M1447" i="2"/>
  <c r="R1577" i="2"/>
  <c r="K1840" i="2"/>
  <c r="I2047" i="2"/>
  <c r="J468" i="2"/>
  <c r="J2709" i="2"/>
  <c r="E2181" i="2"/>
  <c r="F3031" i="2"/>
  <c r="M2673" i="2"/>
  <c r="Q821" i="2"/>
  <c r="F1234" i="2"/>
  <c r="U389" i="2"/>
  <c r="V841" i="2"/>
  <c r="C446" i="2"/>
  <c r="U918" i="2"/>
  <c r="D1059" i="2"/>
  <c r="L1820" i="2"/>
  <c r="D1853" i="2"/>
  <c r="N2562" i="2"/>
  <c r="I1662" i="2"/>
  <c r="V1655" i="2"/>
  <c r="P1918" i="2"/>
  <c r="O1790" i="2"/>
  <c r="P1838" i="2"/>
  <c r="J3451" i="2"/>
  <c r="U1913" i="2"/>
  <c r="V813" i="2"/>
  <c r="R1117" i="2"/>
  <c r="C2360" i="2"/>
  <c r="W2024" i="2"/>
  <c r="J1672" i="2"/>
  <c r="O2659" i="2"/>
  <c r="M2520" i="2"/>
  <c r="Q285" i="2"/>
  <c r="N917" i="2"/>
  <c r="P804" i="2"/>
  <c r="V3136" i="2"/>
  <c r="D678" i="2"/>
  <c r="P1925" i="2"/>
  <c r="S2227" i="2"/>
  <c r="D2717" i="2"/>
  <c r="W1232" i="2"/>
  <c r="P2303" i="2"/>
  <c r="G2002" i="2"/>
  <c r="T1826" i="2"/>
  <c r="H2239" i="2"/>
  <c r="N1132" i="2"/>
  <c r="W1757" i="2"/>
  <c r="H1317" i="2"/>
  <c r="N1306" i="2"/>
  <c r="S1541" i="2"/>
  <c r="D894" i="2"/>
  <c r="T2331" i="2"/>
  <c r="V488" i="2"/>
  <c r="U2057" i="2"/>
  <c r="E2522" i="2"/>
  <c r="Q1854" i="2"/>
  <c r="N533" i="2"/>
  <c r="W1803" i="2"/>
  <c r="J1250" i="2"/>
  <c r="C2336" i="2"/>
  <c r="J2324" i="2"/>
  <c r="V2996" i="2"/>
  <c r="E1361" i="2"/>
  <c r="W2407" i="2"/>
  <c r="U1539" i="2"/>
  <c r="R3287" i="2"/>
  <c r="E2119" i="2"/>
  <c r="D2353" i="2"/>
  <c r="Q1735" i="2"/>
  <c r="F1880" i="2"/>
  <c r="L2493" i="2"/>
  <c r="G1699" i="2"/>
  <c r="G2238" i="2"/>
  <c r="W2176" i="2"/>
  <c r="S1500" i="2"/>
  <c r="L854" i="2"/>
  <c r="P1598" i="2"/>
  <c r="H2899" i="2"/>
  <c r="L1780" i="2"/>
  <c r="U1175" i="2"/>
  <c r="D32" i="2"/>
  <c r="P1793" i="2"/>
  <c r="L1764" i="2"/>
  <c r="U2901" i="2"/>
  <c r="Q2424" i="2"/>
  <c r="H2325" i="2"/>
  <c r="T1836" i="2"/>
  <c r="K339" i="2"/>
  <c r="U286" i="2"/>
  <c r="L1212" i="2"/>
  <c r="I1640" i="2"/>
  <c r="D2594" i="2"/>
  <c r="G2660" i="2"/>
  <c r="N2765" i="2"/>
  <c r="M2655" i="2"/>
  <c r="C1749" i="2"/>
  <c r="F1961" i="2"/>
  <c r="I2612" i="2"/>
  <c r="H1891" i="2"/>
  <c r="D1301" i="2"/>
  <c r="L3451" i="2"/>
  <c r="E1678" i="2"/>
  <c r="F2502" i="2"/>
  <c r="C2926" i="2"/>
  <c r="N228" i="2"/>
  <c r="K207" i="2"/>
  <c r="H94" i="2"/>
  <c r="R2405" i="2"/>
  <c r="L2705" i="2"/>
  <c r="E1983" i="2"/>
  <c r="D685" i="2"/>
  <c r="Q1769" i="2"/>
  <c r="E1067" i="2"/>
  <c r="N970" i="2"/>
  <c r="Q999" i="2"/>
  <c r="P1808" i="2"/>
  <c r="C1878" i="2"/>
  <c r="N2182" i="2"/>
  <c r="O1013" i="2"/>
  <c r="G146" i="2"/>
  <c r="I2142" i="2"/>
  <c r="H2360" i="2"/>
  <c r="M1645" i="2"/>
  <c r="P108" i="2"/>
  <c r="F1733" i="2"/>
  <c r="T1084" i="2"/>
  <c r="M3038" i="2"/>
  <c r="K2546" i="2"/>
  <c r="Q1333" i="2"/>
  <c r="P3384" i="2"/>
  <c r="J2432" i="2"/>
  <c r="O1767" i="2"/>
  <c r="J1739" i="2"/>
  <c r="D2013" i="2"/>
  <c r="V2895" i="2"/>
  <c r="O1565" i="2"/>
  <c r="P125" i="2"/>
  <c r="Q2277" i="2"/>
  <c r="Q1695" i="2"/>
  <c r="R2291" i="2"/>
  <c r="L3369" i="2"/>
  <c r="C1712" i="2"/>
  <c r="U450" i="2"/>
  <c r="R1474" i="2"/>
  <c r="H1749" i="2"/>
  <c r="G624" i="2"/>
  <c r="L2480" i="2"/>
  <c r="M2019" i="2"/>
  <c r="D2051" i="2"/>
  <c r="M2652" i="2"/>
  <c r="Q2814" i="2"/>
  <c r="I3301" i="2"/>
  <c r="L1263" i="2"/>
  <c r="H2704" i="2"/>
  <c r="H1884" i="2"/>
  <c r="J2390" i="2"/>
  <c r="D786" i="2"/>
  <c r="P2935" i="2"/>
  <c r="R2817" i="2"/>
  <c r="H2820" i="2"/>
  <c r="K1087" i="2"/>
  <c r="J2008" i="2"/>
  <c r="J521" i="2"/>
  <c r="C3087" i="2"/>
  <c r="I3259" i="2"/>
  <c r="L3131" i="2"/>
  <c r="E1884" i="2"/>
  <c r="Q517" i="2"/>
  <c r="I3037" i="2"/>
  <c r="R857" i="2"/>
  <c r="I2899" i="2"/>
  <c r="L1963" i="2"/>
  <c r="F1484" i="2"/>
  <c r="L727" i="2"/>
  <c r="I145" i="2"/>
  <c r="U2436" i="2"/>
  <c r="S736" i="2"/>
  <c r="F24" i="2"/>
  <c r="D1794" i="2"/>
  <c r="R3241" i="2"/>
  <c r="P2621" i="2"/>
  <c r="F2795" i="2"/>
  <c r="K2423" i="2"/>
  <c r="W2211" i="2"/>
  <c r="F3043" i="2"/>
  <c r="I2623" i="2"/>
  <c r="R1047" i="2"/>
  <c r="G975" i="2"/>
  <c r="R2212" i="2"/>
  <c r="F796" i="2"/>
  <c r="O2014" i="2"/>
  <c r="U1705" i="2"/>
  <c r="J656" i="2"/>
  <c r="T1748" i="2"/>
  <c r="P375" i="2"/>
  <c r="W1827" i="2"/>
  <c r="E610" i="2"/>
  <c r="G1790" i="2"/>
  <c r="T1910" i="2"/>
  <c r="R1509" i="2"/>
  <c r="V1236" i="2"/>
  <c r="Q1428" i="2"/>
  <c r="L151" i="2"/>
  <c r="V954" i="2"/>
  <c r="J1439" i="2"/>
  <c r="H2123" i="2"/>
  <c r="V162" i="2"/>
  <c r="L1787" i="2"/>
  <c r="G1011" i="2"/>
  <c r="D3123" i="2"/>
  <c r="R2351" i="2"/>
  <c r="P1909" i="2"/>
  <c r="E1343" i="2"/>
  <c r="U1620" i="2"/>
  <c r="V2897" i="2"/>
  <c r="S811" i="2"/>
  <c r="E3003" i="2"/>
  <c r="K575" i="2"/>
  <c r="U2080" i="2"/>
  <c r="R769" i="2"/>
  <c r="M2727" i="2"/>
  <c r="P1662" i="2"/>
  <c r="V2315" i="2"/>
  <c r="S929" i="2"/>
  <c r="F1258" i="2"/>
  <c r="D611" i="2"/>
  <c r="L2015" i="2"/>
  <c r="V1410" i="2"/>
  <c r="P1408" i="2"/>
  <c r="Q422" i="2"/>
  <c r="D921" i="2"/>
  <c r="U255" i="2"/>
  <c r="T958" i="2"/>
  <c r="G12" i="2"/>
  <c r="C25" i="2"/>
  <c r="N25" i="2"/>
  <c r="O498" i="2"/>
  <c r="H1428" i="2"/>
  <c r="S225" i="2"/>
  <c r="R490" i="2"/>
  <c r="Q1229" i="2"/>
  <c r="P1551" i="2"/>
  <c r="P1669" i="2"/>
  <c r="L2091" i="2"/>
  <c r="D2708" i="2"/>
  <c r="U2336" i="2"/>
  <c r="V1421" i="2"/>
  <c r="H1451" i="2"/>
  <c r="U1710" i="2"/>
  <c r="Q333" i="2"/>
  <c r="D1135" i="2"/>
  <c r="G779" i="2"/>
  <c r="T2217" i="2"/>
  <c r="V1194" i="2"/>
  <c r="I2329" i="2"/>
  <c r="E1662" i="2"/>
  <c r="N2818" i="2"/>
  <c r="R2279" i="2"/>
  <c r="O1247" i="2"/>
  <c r="J3538" i="2"/>
  <c r="C1559" i="2"/>
  <c r="I1669" i="2"/>
  <c r="I3155" i="2"/>
  <c r="D63" i="2"/>
  <c r="Q1999" i="2"/>
  <c r="E1953" i="2"/>
  <c r="I2641" i="2"/>
  <c r="O2341" i="2"/>
  <c r="F2470" i="2"/>
  <c r="W1328" i="2"/>
  <c r="S2184" i="2"/>
  <c r="Q2363" i="2"/>
  <c r="R1980" i="2"/>
  <c r="W906" i="2"/>
  <c r="M2808" i="2"/>
  <c r="O3100" i="2"/>
  <c r="G3194" i="2"/>
  <c r="J3441" i="2"/>
  <c r="F2878" i="2"/>
  <c r="T810" i="2"/>
  <c r="C3039" i="2"/>
  <c r="Q2322" i="2"/>
  <c r="I2692" i="2"/>
  <c r="P534" i="2"/>
  <c r="S2522" i="2"/>
  <c r="R601" i="2"/>
  <c r="L548" i="2"/>
  <c r="V1198" i="2"/>
  <c r="P1405" i="2"/>
  <c r="J805" i="2"/>
  <c r="C1106" i="2"/>
  <c r="T1076" i="2"/>
  <c r="Q2703" i="2"/>
  <c r="G1547" i="2"/>
  <c r="T1221" i="2"/>
  <c r="F2151" i="2"/>
  <c r="M3252" i="2"/>
  <c r="Q2846" i="2"/>
  <c r="S2099" i="2"/>
  <c r="G311" i="2"/>
  <c r="L2468" i="2"/>
  <c r="I1644" i="2"/>
  <c r="Q1256" i="2"/>
  <c r="Q1271" i="2"/>
  <c r="W2007" i="2"/>
  <c r="M1611" i="2"/>
  <c r="Q969" i="2"/>
  <c r="K1352" i="2"/>
  <c r="P2680" i="2"/>
  <c r="W2223" i="2"/>
  <c r="N281" i="2"/>
  <c r="V1347" i="2"/>
  <c r="U322" i="2"/>
  <c r="J3376" i="2"/>
  <c r="V2687" i="2"/>
  <c r="Q309" i="2"/>
  <c r="O3425" i="2"/>
  <c r="R2722" i="2"/>
  <c r="S563" i="2"/>
  <c r="W599" i="2"/>
  <c r="L2997" i="2"/>
  <c r="M2446" i="2"/>
  <c r="W1180" i="2"/>
  <c r="F1384" i="2"/>
  <c r="P640" i="2"/>
  <c r="M3120" i="2"/>
  <c r="N1547" i="2"/>
  <c r="F1127" i="2"/>
  <c r="R3203" i="2"/>
  <c r="E2226" i="2"/>
  <c r="E357" i="2"/>
  <c r="S1377" i="2"/>
  <c r="W2531" i="2"/>
  <c r="H2882" i="2"/>
  <c r="O1727" i="2"/>
  <c r="C2372" i="2"/>
  <c r="J287" i="2"/>
  <c r="M1713" i="2"/>
  <c r="K418" i="2"/>
  <c r="G950" i="2"/>
  <c r="V427" i="2"/>
  <c r="E1329" i="2"/>
  <c r="D2252" i="2"/>
  <c r="N1910" i="2"/>
  <c r="T998" i="2"/>
  <c r="R2292" i="2"/>
  <c r="K1775" i="2"/>
  <c r="I2274" i="2"/>
  <c r="K3114" i="2"/>
  <c r="P1216" i="2"/>
  <c r="F2523" i="2"/>
  <c r="P489" i="2"/>
  <c r="E1711" i="2"/>
  <c r="Q2405" i="2"/>
  <c r="I1099" i="2"/>
  <c r="P1070" i="2"/>
  <c r="V2751" i="2"/>
  <c r="Q2611" i="2"/>
  <c r="H91" i="2"/>
  <c r="E2217" i="2"/>
  <c r="R1354" i="2"/>
  <c r="U272" i="2"/>
  <c r="V1167" i="2"/>
  <c r="H1683" i="2"/>
  <c r="E1590" i="2"/>
  <c r="K1593" i="2"/>
  <c r="W2705" i="2"/>
  <c r="V2107" i="2"/>
  <c r="D1161" i="2"/>
  <c r="I126" i="2"/>
  <c r="Q1783" i="2"/>
  <c r="C3203" i="2"/>
  <c r="E1579" i="2"/>
  <c r="L1079" i="2"/>
  <c r="L596" i="2"/>
  <c r="S1681" i="2"/>
  <c r="R1416" i="2"/>
  <c r="E2262" i="2"/>
  <c r="H1093" i="2"/>
  <c r="K2395" i="2"/>
  <c r="Q2839" i="2"/>
  <c r="I2731" i="2"/>
  <c r="C2272" i="2"/>
  <c r="L2076" i="2"/>
  <c r="M170" i="2"/>
  <c r="O1002" i="2"/>
  <c r="K1474" i="2"/>
  <c r="T3105" i="2"/>
  <c r="O2304" i="2"/>
  <c r="O2804" i="2"/>
  <c r="U3343" i="2"/>
  <c r="T624" i="2"/>
  <c r="C2288" i="2"/>
  <c r="E1417" i="2"/>
  <c r="I130" i="2"/>
  <c r="I2388" i="2"/>
  <c r="U2692" i="2"/>
  <c r="O1592" i="2"/>
  <c r="O1839" i="2"/>
  <c r="Q379" i="2"/>
  <c r="H550" i="2"/>
  <c r="R455" i="2"/>
  <c r="R3056" i="2"/>
  <c r="M3070" i="2"/>
  <c r="S428" i="2"/>
  <c r="G265" i="2"/>
  <c r="V2763" i="2"/>
  <c r="P1617" i="2"/>
  <c r="G173" i="2"/>
  <c r="J1366" i="2"/>
  <c r="V259" i="2"/>
  <c r="P2577" i="2"/>
  <c r="L512" i="2"/>
  <c r="P1051" i="2"/>
  <c r="C1367" i="2"/>
  <c r="J1369" i="2"/>
  <c r="N395" i="2"/>
  <c r="U54" i="2"/>
  <c r="C286" i="2"/>
  <c r="G1879" i="2"/>
  <c r="R188" i="2"/>
  <c r="N992" i="2"/>
  <c r="W2246" i="2"/>
  <c r="V1095" i="2"/>
  <c r="M2332" i="2"/>
  <c r="R884" i="2"/>
  <c r="G1318" i="2"/>
  <c r="M342" i="2"/>
  <c r="K2584" i="2"/>
  <c r="F2021" i="2"/>
  <c r="F1530" i="2"/>
  <c r="R3147" i="2"/>
  <c r="S2877" i="2"/>
  <c r="O740" i="2"/>
  <c r="W1607" i="2"/>
  <c r="M2392" i="2"/>
  <c r="D3065" i="2"/>
  <c r="Q1091" i="2"/>
  <c r="E2747" i="2"/>
  <c r="T2783" i="2"/>
  <c r="D376" i="2"/>
  <c r="M1570" i="2"/>
  <c r="S1235" i="2"/>
  <c r="R341" i="2"/>
  <c r="S1885" i="2"/>
  <c r="V931" i="2"/>
  <c r="U3452" i="2"/>
  <c r="G371" i="2"/>
  <c r="V1754" i="2"/>
  <c r="U1762" i="2"/>
  <c r="U2745" i="2"/>
  <c r="J1944" i="2"/>
  <c r="E960" i="2"/>
  <c r="H2454" i="2"/>
  <c r="J65" i="2"/>
  <c r="T1477" i="2"/>
  <c r="V617" i="2"/>
  <c r="G993" i="2"/>
  <c r="M2104" i="2"/>
  <c r="C2379" i="2"/>
  <c r="U1774" i="2"/>
  <c r="S1774" i="2"/>
  <c r="Q926" i="2"/>
  <c r="U1809" i="2"/>
  <c r="J2053" i="2"/>
  <c r="N386" i="2"/>
  <c r="G1965" i="2"/>
  <c r="M1918" i="2"/>
  <c r="D843" i="2"/>
  <c r="J874" i="2"/>
  <c r="W975" i="2"/>
  <c r="F2207" i="2"/>
  <c r="U1406" i="2"/>
  <c r="J258" i="2"/>
  <c r="I495" i="2"/>
  <c r="J2199" i="2"/>
  <c r="U2244" i="2"/>
  <c r="S1739" i="2"/>
  <c r="C429" i="2"/>
  <c r="G998" i="2"/>
  <c r="E1998" i="2"/>
  <c r="N233" i="2"/>
  <c r="T1033" i="2"/>
  <c r="J313" i="2"/>
  <c r="C1980" i="2"/>
  <c r="W1554" i="2"/>
  <c r="I1874" i="2"/>
  <c r="I2376" i="2"/>
  <c r="M2363" i="2"/>
  <c r="Q94" i="2"/>
  <c r="P1000" i="2"/>
  <c r="F2456" i="2"/>
  <c r="M1455" i="2"/>
  <c r="S1468" i="2"/>
  <c r="M2540" i="2"/>
  <c r="P1847" i="2"/>
  <c r="V2577" i="2"/>
  <c r="I2175" i="2"/>
  <c r="L1309" i="2"/>
  <c r="K1973" i="2"/>
  <c r="O50" i="2"/>
  <c r="C1386" i="2"/>
  <c r="T2757" i="2"/>
  <c r="T905" i="2"/>
  <c r="P2620" i="2"/>
  <c r="O621" i="2"/>
  <c r="O3141" i="2"/>
  <c r="U2720" i="2"/>
  <c r="F1012" i="2"/>
  <c r="D2093" i="2"/>
  <c r="C323" i="2"/>
  <c r="L2166" i="2"/>
  <c r="U468" i="2"/>
  <c r="G2755" i="2"/>
  <c r="I625" i="2"/>
  <c r="M2660" i="2"/>
  <c r="W1347" i="2"/>
  <c r="C1892" i="2"/>
  <c r="S1763" i="2"/>
  <c r="J1263" i="2"/>
  <c r="U3278" i="2"/>
  <c r="L486" i="2"/>
  <c r="K2224" i="2"/>
  <c r="I272" i="2"/>
  <c r="U2571" i="2"/>
  <c r="N873" i="2"/>
  <c r="M527" i="2"/>
  <c r="E1766" i="2"/>
  <c r="I3204" i="2"/>
  <c r="E418" i="2"/>
  <c r="D1206" i="2"/>
  <c r="O1473" i="2"/>
  <c r="L2415" i="2"/>
  <c r="I1425" i="2"/>
  <c r="O2731" i="2"/>
  <c r="W762" i="2"/>
  <c r="T3281" i="2"/>
  <c r="F1631" i="2"/>
  <c r="F1495" i="2"/>
  <c r="Q2245" i="2"/>
  <c r="D2377" i="2"/>
  <c r="D2159" i="2"/>
  <c r="V2755" i="2"/>
  <c r="W908" i="2"/>
  <c r="J563" i="2"/>
  <c r="G113" i="2"/>
  <c r="U2565" i="2"/>
  <c r="V1132" i="2"/>
  <c r="H2387" i="2"/>
  <c r="R874" i="2"/>
  <c r="C397" i="2"/>
  <c r="C2266" i="2"/>
  <c r="O309" i="2"/>
  <c r="N2984" i="2"/>
  <c r="H1897" i="2"/>
  <c r="R681" i="2"/>
  <c r="R247" i="2"/>
  <c r="N941" i="2"/>
  <c r="F1090" i="2"/>
  <c r="V2957" i="2"/>
  <c r="M2285" i="2"/>
  <c r="K1465" i="2"/>
  <c r="J445" i="2"/>
  <c r="D1806" i="2"/>
  <c r="N1268" i="2"/>
  <c r="T2356" i="2"/>
  <c r="F1395" i="2"/>
  <c r="W30" i="2"/>
  <c r="M1297" i="2"/>
  <c r="T1283" i="2"/>
  <c r="R1038" i="2"/>
  <c r="S1175" i="2"/>
  <c r="P2977" i="2"/>
  <c r="R2250" i="2"/>
  <c r="Q2028" i="2"/>
  <c r="O308" i="2"/>
  <c r="R1170" i="2"/>
  <c r="U1822" i="2"/>
  <c r="S1121" i="2"/>
  <c r="Q590" i="2"/>
  <c r="R1024" i="2"/>
  <c r="S291" i="2"/>
  <c r="K994" i="2"/>
  <c r="J292" i="2"/>
  <c r="V2779" i="2"/>
  <c r="V2328" i="2"/>
  <c r="S2518" i="2"/>
  <c r="C1283" i="2"/>
  <c r="F631" i="2"/>
  <c r="Q1055" i="2"/>
  <c r="V2117" i="2"/>
  <c r="P564" i="2"/>
  <c r="L1857" i="2"/>
  <c r="V1244" i="2"/>
  <c r="K469" i="2"/>
  <c r="W930" i="2"/>
  <c r="K652" i="2"/>
  <c r="L637" i="2"/>
  <c r="O1531" i="2"/>
  <c r="K1273" i="2"/>
  <c r="G1218" i="2"/>
  <c r="T658" i="2"/>
  <c r="C562" i="2"/>
  <c r="C3440" i="2"/>
  <c r="P978" i="2"/>
  <c r="Q1656" i="2"/>
  <c r="V451" i="2"/>
  <c r="I1769" i="2"/>
  <c r="O2022" i="2"/>
  <c r="U260" i="2"/>
  <c r="Q1108" i="2"/>
  <c r="E261" i="2"/>
  <c r="W1427" i="2"/>
  <c r="K1608" i="2"/>
  <c r="U621" i="2"/>
  <c r="D2079" i="2"/>
  <c r="J318" i="2"/>
  <c r="T619" i="2"/>
  <c r="E1074" i="2"/>
  <c r="H1377" i="2"/>
  <c r="S593" i="2"/>
  <c r="F202" i="2"/>
  <c r="E468" i="2"/>
  <c r="E3023" i="2"/>
  <c r="U2801" i="2"/>
  <c r="V2389" i="2"/>
  <c r="T497" i="2"/>
  <c r="U2489" i="2"/>
  <c r="J1936" i="2"/>
  <c r="C3010" i="2"/>
  <c r="I1442" i="2"/>
  <c r="I3064" i="2"/>
  <c r="N1219" i="2"/>
  <c r="K2751" i="2"/>
  <c r="T3168" i="2"/>
  <c r="O2591" i="2"/>
  <c r="G2127" i="2"/>
  <c r="I1266" i="2"/>
  <c r="L2693" i="2"/>
  <c r="Q2629" i="2"/>
  <c r="I690" i="2"/>
  <c r="W1992" i="2"/>
  <c r="Q1012" i="2"/>
  <c r="G2776" i="2"/>
  <c r="N2277" i="2"/>
  <c r="Q523" i="2"/>
  <c r="C3049" i="2"/>
  <c r="K1449" i="2"/>
  <c r="N1371" i="2"/>
  <c r="U2301" i="2"/>
  <c r="D1437" i="2"/>
  <c r="I2386" i="2"/>
  <c r="N1661" i="2"/>
  <c r="O1546" i="2"/>
  <c r="N2858" i="2"/>
  <c r="R3508" i="2"/>
  <c r="J2023" i="2"/>
  <c r="S1663" i="2"/>
  <c r="J1058" i="2"/>
  <c r="H234" i="2"/>
  <c r="I1708" i="2"/>
  <c r="T339" i="2"/>
  <c r="W151" i="2"/>
  <c r="R1297" i="2"/>
  <c r="S1913" i="2"/>
  <c r="N352" i="2"/>
  <c r="O2629" i="2"/>
  <c r="N2071" i="2"/>
  <c r="K2389" i="2"/>
  <c r="N1316" i="2"/>
  <c r="K1564" i="2"/>
  <c r="G1978" i="2"/>
  <c r="E2848" i="2"/>
  <c r="U1118" i="2"/>
  <c r="J2669" i="2"/>
  <c r="W2815" i="2"/>
  <c r="F3203" i="2"/>
  <c r="N2772" i="2"/>
  <c r="V1484" i="2"/>
  <c r="L181" i="2"/>
  <c r="P698" i="2"/>
  <c r="M1054" i="2"/>
  <c r="O959" i="2"/>
  <c r="D594" i="2"/>
  <c r="O2109" i="2"/>
  <c r="P1303" i="2"/>
  <c r="D1214" i="2"/>
  <c r="T1335" i="2"/>
  <c r="H2183" i="2"/>
  <c r="T2687" i="2"/>
  <c r="L2491" i="2"/>
  <c r="C3312" i="2"/>
  <c r="S933" i="2"/>
  <c r="S3102" i="2"/>
  <c r="K2206" i="2"/>
  <c r="E1625" i="2"/>
  <c r="S2230" i="2"/>
  <c r="S2086" i="2"/>
  <c r="U1035" i="2"/>
  <c r="D2044" i="2"/>
  <c r="D2289" i="2"/>
  <c r="G1832" i="2"/>
  <c r="T1461" i="2"/>
  <c r="E2377" i="2"/>
  <c r="G1081" i="2"/>
  <c r="Q1045" i="2"/>
  <c r="S2893" i="2"/>
  <c r="L1091" i="2"/>
  <c r="T1738" i="2"/>
  <c r="I1085" i="2"/>
  <c r="O988" i="2"/>
  <c r="U1177" i="2"/>
  <c r="W2224" i="2"/>
  <c r="C68" i="2"/>
  <c r="H1401" i="2"/>
  <c r="V2515" i="2"/>
  <c r="U645" i="2"/>
  <c r="W708" i="2"/>
  <c r="G1862" i="2"/>
  <c r="V1771" i="2"/>
  <c r="N1173" i="2"/>
  <c r="I2171" i="2"/>
  <c r="O1445" i="2"/>
  <c r="H1254" i="2"/>
  <c r="Q2901" i="2"/>
  <c r="N21" i="2"/>
  <c r="O1825" i="2"/>
  <c r="M849" i="2"/>
  <c r="E2918" i="2"/>
  <c r="V2701" i="2"/>
  <c r="E1046" i="2"/>
  <c r="C2490" i="2"/>
  <c r="T1046" i="2"/>
  <c r="H500" i="2"/>
  <c r="O2779" i="2"/>
  <c r="W291" i="2"/>
  <c r="T3288" i="2"/>
  <c r="P1710" i="2"/>
  <c r="H2453" i="2"/>
  <c r="S1682" i="2"/>
  <c r="G2789" i="2"/>
  <c r="V3134" i="2"/>
  <c r="O1731" i="2"/>
  <c r="R1948" i="2"/>
  <c r="G2321" i="2"/>
  <c r="U2888" i="2"/>
  <c r="D1439" i="2"/>
  <c r="V1896" i="2"/>
  <c r="H736" i="2"/>
  <c r="Q1230" i="2"/>
  <c r="V2696" i="2"/>
  <c r="W277" i="2"/>
  <c r="H739" i="2"/>
  <c r="H994" i="2"/>
  <c r="S3116" i="2"/>
  <c r="G2132" i="2"/>
  <c r="D113" i="2"/>
  <c r="G1968" i="2"/>
  <c r="F1306" i="2"/>
  <c r="T28" i="2"/>
  <c r="U1761" i="2"/>
  <c r="K1624" i="2"/>
  <c r="M2406" i="2"/>
  <c r="V2350" i="2"/>
  <c r="E2872" i="2"/>
  <c r="F1706" i="2"/>
  <c r="W1976" i="2"/>
  <c r="C3090" i="2"/>
  <c r="T1228" i="2"/>
  <c r="E1644" i="2"/>
  <c r="Q3003" i="2"/>
  <c r="M761" i="2"/>
  <c r="H2043" i="2"/>
  <c r="S2996" i="2"/>
  <c r="L2943" i="2"/>
  <c r="P402" i="2"/>
  <c r="H2157" i="2"/>
  <c r="P1226" i="2"/>
  <c r="G1440" i="2"/>
  <c r="T327" i="2"/>
  <c r="J205" i="2"/>
  <c r="T1015" i="2"/>
  <c r="E164" i="2"/>
  <c r="U2482" i="2"/>
  <c r="O2252" i="2"/>
  <c r="V1360" i="2"/>
  <c r="R767" i="2"/>
  <c r="J52" i="2"/>
  <c r="C472" i="2"/>
  <c r="Q2314" i="2"/>
  <c r="V1542" i="2"/>
  <c r="O1217" i="2"/>
  <c r="R2215" i="2"/>
  <c r="G1342" i="2"/>
  <c r="K2137" i="2"/>
  <c r="H1117" i="2"/>
  <c r="W910" i="2"/>
  <c r="D697" i="2"/>
  <c r="G2082" i="2"/>
  <c r="O3354" i="2"/>
  <c r="J172" i="2"/>
  <c r="O266" i="2"/>
  <c r="D607" i="2"/>
  <c r="O2136" i="2"/>
  <c r="Q97" i="2"/>
  <c r="G703" i="2"/>
  <c r="J154" i="2"/>
  <c r="T2417" i="2"/>
  <c r="W2059" i="2"/>
  <c r="L191" i="2"/>
  <c r="T1452" i="2"/>
  <c r="N1269" i="2"/>
  <c r="R1743" i="2"/>
  <c r="F354" i="2"/>
  <c r="T2681" i="2"/>
  <c r="S717" i="2"/>
  <c r="E2177" i="2"/>
  <c r="Q1387" i="2"/>
  <c r="U1259" i="2"/>
  <c r="I2307" i="2"/>
  <c r="D2444" i="2"/>
  <c r="W3069" i="2"/>
  <c r="D351" i="2"/>
  <c r="D2912" i="2"/>
  <c r="G1008" i="2"/>
  <c r="I2547" i="2"/>
  <c r="S2962" i="2"/>
  <c r="E3007" i="2"/>
  <c r="S2267" i="2"/>
  <c r="Q477" i="2"/>
  <c r="D102" i="2"/>
  <c r="N1436" i="2"/>
  <c r="H965" i="2"/>
  <c r="Q461" i="2"/>
  <c r="P1661" i="2"/>
  <c r="R2414" i="2"/>
  <c r="G2653" i="2"/>
  <c r="V771" i="2"/>
  <c r="T2583" i="2"/>
  <c r="U2049" i="2"/>
  <c r="H205" i="2"/>
  <c r="L366" i="2"/>
  <c r="E1413" i="2"/>
  <c r="S334" i="2"/>
  <c r="U1288" i="2"/>
  <c r="O2108" i="2"/>
  <c r="C1078" i="2"/>
  <c r="L1689" i="2"/>
  <c r="I2030" i="2"/>
  <c r="T2755" i="2"/>
  <c r="S271" i="2"/>
  <c r="J943" i="2"/>
  <c r="R2202" i="2"/>
  <c r="J401" i="2"/>
  <c r="M2798" i="2"/>
  <c r="Q1643" i="2"/>
  <c r="Q1396" i="2"/>
  <c r="R2029" i="2"/>
  <c r="F794" i="2"/>
  <c r="R810" i="2"/>
  <c r="T256" i="2"/>
  <c r="D1734" i="2"/>
  <c r="F1147" i="2"/>
  <c r="C252" i="2"/>
  <c r="V2246" i="2"/>
  <c r="P336" i="2"/>
  <c r="C2319" i="2"/>
  <c r="T936" i="2"/>
  <c r="L177" i="2"/>
  <c r="C128" i="2"/>
  <c r="L2839" i="2"/>
  <c r="F1984" i="2"/>
  <c r="S2565" i="2"/>
  <c r="E367" i="2"/>
  <c r="T3165" i="2"/>
  <c r="J1274" i="2"/>
  <c r="D3042" i="2"/>
  <c r="R958" i="2"/>
  <c r="E3130" i="2"/>
  <c r="P420" i="2"/>
  <c r="L1229" i="2"/>
  <c r="F726" i="2"/>
  <c r="F54" i="2"/>
  <c r="L576" i="2"/>
  <c r="J1249" i="2"/>
  <c r="C1449" i="2"/>
  <c r="P1967" i="2"/>
  <c r="J2705" i="2"/>
  <c r="L1232" i="2"/>
  <c r="W1523" i="2"/>
  <c r="L1444" i="2"/>
  <c r="D1789" i="2"/>
  <c r="N722" i="2"/>
  <c r="D221" i="2"/>
  <c r="H2338" i="2"/>
  <c r="H3344" i="2"/>
  <c r="M1560" i="2"/>
  <c r="S2876" i="2"/>
  <c r="J350" i="2"/>
  <c r="W1308" i="2"/>
  <c r="J1515" i="2"/>
  <c r="N1339" i="2"/>
  <c r="T910" i="2"/>
  <c r="S2382" i="2"/>
  <c r="J3003" i="2"/>
  <c r="S1886" i="2"/>
  <c r="N608" i="2"/>
  <c r="P832" i="2"/>
  <c r="E274" i="2"/>
  <c r="H1329" i="2"/>
  <c r="H1960" i="2"/>
  <c r="D1703" i="2"/>
  <c r="S3104" i="2"/>
  <c r="I1201" i="2"/>
  <c r="L2553" i="2"/>
  <c r="L2215" i="2"/>
  <c r="M2957" i="2"/>
  <c r="J2346" i="2"/>
  <c r="P164" i="2"/>
  <c r="D2120" i="2"/>
  <c r="O1376" i="2"/>
  <c r="P188" i="2"/>
  <c r="M2725" i="2"/>
  <c r="P1036" i="2"/>
  <c r="W1405" i="2"/>
  <c r="G172" i="2"/>
  <c r="S525" i="2"/>
  <c r="F1559" i="2"/>
  <c r="D1466" i="2"/>
  <c r="F200" i="2"/>
  <c r="G817" i="2"/>
  <c r="Q265" i="2"/>
  <c r="Q553" i="2"/>
  <c r="H1223" i="2"/>
  <c r="U2068" i="2"/>
  <c r="E706" i="2"/>
  <c r="L76" i="2"/>
  <c r="O1419" i="2"/>
  <c r="V478" i="2"/>
  <c r="O2153" i="2"/>
  <c r="H596" i="2"/>
  <c r="D978" i="2"/>
  <c r="W508" i="2"/>
  <c r="V645" i="2"/>
  <c r="F1711" i="2"/>
  <c r="E2034" i="2"/>
  <c r="D1392" i="2"/>
  <c r="I2746" i="2"/>
  <c r="S111" i="2"/>
  <c r="R1879" i="2"/>
  <c r="V1837" i="2"/>
  <c r="M1988" i="2"/>
  <c r="T2270" i="2"/>
  <c r="P2328" i="2"/>
  <c r="O2546" i="2"/>
  <c r="S619" i="2"/>
  <c r="S1496" i="2"/>
  <c r="H1042" i="2"/>
  <c r="V609" i="2"/>
  <c r="F469" i="2"/>
  <c r="J950" i="2"/>
  <c r="R3053" i="2"/>
  <c r="F1494" i="2"/>
  <c r="Q797" i="2"/>
  <c r="Q1310" i="2"/>
  <c r="M591" i="2"/>
  <c r="O1550" i="2"/>
  <c r="W1378" i="2"/>
  <c r="M156" i="2"/>
  <c r="C158" i="2"/>
  <c r="N2291" i="2"/>
  <c r="D1709" i="2"/>
  <c r="D524" i="2"/>
  <c r="J2531" i="2"/>
  <c r="W2293" i="2"/>
  <c r="U2176" i="2"/>
  <c r="M861" i="2"/>
  <c r="V1041" i="2"/>
  <c r="T1428" i="2"/>
  <c r="F1966" i="2"/>
  <c r="M2034" i="2"/>
  <c r="T2136" i="2"/>
  <c r="O297" i="2"/>
  <c r="U611" i="2"/>
  <c r="F1987" i="2"/>
  <c r="O373" i="2"/>
  <c r="S695" i="2"/>
  <c r="I682" i="2"/>
  <c r="H166" i="2"/>
  <c r="F1469" i="2"/>
  <c r="M2288" i="2"/>
  <c r="V561" i="2"/>
  <c r="Q2544" i="2"/>
  <c r="H1357" i="2"/>
  <c r="U2599" i="2"/>
  <c r="V2379" i="2"/>
  <c r="U2367" i="2"/>
  <c r="E130" i="2"/>
  <c r="H777" i="2"/>
  <c r="J1709" i="2"/>
  <c r="T1741" i="2"/>
  <c r="J1006" i="2"/>
  <c r="C1444" i="2"/>
  <c r="M2600" i="2"/>
  <c r="I1043" i="2"/>
  <c r="I2011" i="2"/>
  <c r="R971" i="2"/>
  <c r="I899" i="2"/>
  <c r="P1307" i="2"/>
  <c r="C752" i="2"/>
  <c r="L1537" i="2"/>
  <c r="I864" i="2"/>
  <c r="Q302" i="2"/>
  <c r="T433" i="2"/>
  <c r="I971" i="2"/>
  <c r="T516" i="2"/>
  <c r="T1314" i="2"/>
  <c r="F2788" i="2"/>
  <c r="D2009" i="2"/>
  <c r="O320" i="2"/>
  <c r="G2590" i="2"/>
  <c r="J1876" i="2"/>
  <c r="V66" i="2"/>
  <c r="J1108" i="2"/>
  <c r="J1518" i="2"/>
  <c r="Q273" i="2"/>
  <c r="R1324" i="2"/>
  <c r="D627" i="2"/>
  <c r="D258" i="2"/>
  <c r="N52" i="2"/>
  <c r="M1612" i="2"/>
  <c r="L899" i="2"/>
  <c r="U737" i="2"/>
  <c r="R2491" i="2"/>
  <c r="H1430" i="2"/>
  <c r="D848" i="2"/>
  <c r="N1696" i="2"/>
  <c r="J470" i="2"/>
  <c r="I1884" i="2"/>
  <c r="M1879" i="2"/>
  <c r="I631" i="2"/>
  <c r="V1136" i="2"/>
  <c r="K2128" i="2"/>
  <c r="L3453" i="2"/>
  <c r="N2203" i="2"/>
  <c r="P451" i="2"/>
  <c r="T2419" i="2"/>
  <c r="G1643" i="2"/>
  <c r="K2513" i="2"/>
  <c r="O1048" i="2"/>
  <c r="C221" i="2"/>
  <c r="E611" i="2"/>
  <c r="M1647" i="2"/>
  <c r="V62" i="2"/>
  <c r="C1140" i="2"/>
  <c r="M2175" i="2"/>
  <c r="N2253" i="2"/>
  <c r="V482" i="2"/>
  <c r="E767" i="2"/>
  <c r="O2677" i="2"/>
  <c r="C753" i="2"/>
  <c r="I2169" i="2"/>
  <c r="D618" i="2"/>
  <c r="M1501" i="2"/>
  <c r="L2141" i="2"/>
  <c r="P1788" i="2"/>
  <c r="N847" i="2"/>
  <c r="H613" i="2"/>
  <c r="C3223" i="2"/>
  <c r="J3082" i="2"/>
  <c r="I2749" i="2"/>
  <c r="D2665" i="2"/>
  <c r="U2210" i="2"/>
  <c r="M1961" i="2"/>
  <c r="Q2882" i="2"/>
  <c r="G2409" i="2"/>
  <c r="C2628" i="2"/>
  <c r="G1295" i="2"/>
  <c r="H1967" i="2"/>
  <c r="V1188" i="2"/>
  <c r="S1049" i="2"/>
  <c r="P1097" i="2"/>
  <c r="Q129" i="2"/>
  <c r="U1154" i="2"/>
  <c r="G1902" i="2"/>
  <c r="O348" i="2"/>
  <c r="N187" i="2"/>
  <c r="G2580" i="2"/>
  <c r="P20" i="2"/>
  <c r="V2522" i="2"/>
  <c r="R264" i="2"/>
  <c r="F25" i="2"/>
  <c r="S1411" i="2"/>
  <c r="K1644" i="2"/>
  <c r="S2114" i="2"/>
  <c r="I1827" i="2"/>
  <c r="D2131" i="2"/>
  <c r="H756" i="2"/>
  <c r="S1154" i="2"/>
  <c r="D2331" i="2"/>
  <c r="H2747" i="2"/>
  <c r="N739" i="2"/>
  <c r="U729" i="2"/>
  <c r="M1895" i="2"/>
  <c r="R2149" i="2"/>
  <c r="H2309" i="2"/>
  <c r="P2732" i="2"/>
  <c r="R389" i="2"/>
  <c r="F2249" i="2"/>
  <c r="J2442" i="2"/>
  <c r="S957" i="2"/>
  <c r="H1440" i="2"/>
  <c r="U1421" i="2"/>
  <c r="L2904" i="2"/>
  <c r="D149" i="2"/>
  <c r="G1379" i="2"/>
  <c r="E185" i="2"/>
  <c r="S545" i="2"/>
  <c r="L1978" i="2"/>
  <c r="G1309" i="2"/>
  <c r="C1535" i="2"/>
  <c r="P2791" i="2"/>
  <c r="N1226" i="2"/>
  <c r="S615" i="2"/>
  <c r="E2500" i="2"/>
  <c r="Q89" i="2"/>
  <c r="P1314" i="2"/>
  <c r="O2045" i="2"/>
  <c r="Q96" i="2"/>
  <c r="K2547" i="2"/>
  <c r="D837" i="2"/>
  <c r="E728" i="2"/>
  <c r="S826" i="2"/>
  <c r="L2483" i="2"/>
  <c r="U750" i="2"/>
  <c r="G1052" i="2"/>
  <c r="M2158" i="2"/>
  <c r="V2930" i="2"/>
  <c r="K1415" i="2"/>
  <c r="F191" i="2"/>
  <c r="S3281" i="2"/>
  <c r="U1122" i="2"/>
  <c r="W2560" i="2"/>
  <c r="V2621" i="2"/>
  <c r="H321" i="2"/>
  <c r="W2028" i="2"/>
  <c r="C2443" i="2"/>
  <c r="P2064" i="2"/>
  <c r="C704" i="2"/>
  <c r="E173" i="2"/>
  <c r="J93" i="2"/>
  <c r="J86" i="2"/>
  <c r="K304" i="2"/>
  <c r="C1417" i="2"/>
  <c r="M1809" i="2"/>
  <c r="G2680" i="2"/>
  <c r="E68" i="2"/>
  <c r="I659" i="2"/>
  <c r="D642" i="2"/>
  <c r="T2302" i="2"/>
  <c r="K2334" i="2"/>
  <c r="F2396" i="2"/>
  <c r="U851" i="2"/>
  <c r="T1049" i="2"/>
  <c r="Q936" i="2"/>
  <c r="E782" i="2"/>
  <c r="P1297" i="2"/>
  <c r="N1381" i="2"/>
  <c r="F995" i="2"/>
  <c r="S2473" i="2"/>
  <c r="R827" i="2"/>
  <c r="I193" i="2"/>
  <c r="G3540" i="2"/>
  <c r="G1743" i="2"/>
  <c r="T140" i="2"/>
  <c r="K1776" i="2"/>
  <c r="I695" i="2"/>
  <c r="N1715" i="2"/>
  <c r="N1500" i="2"/>
  <c r="H1972" i="2"/>
  <c r="H1616" i="2"/>
  <c r="K854" i="2"/>
  <c r="P1787" i="2"/>
  <c r="U2298" i="2"/>
  <c r="J1206" i="2"/>
  <c r="G729" i="2"/>
  <c r="I2267" i="2"/>
  <c r="D1081" i="2"/>
  <c r="V750" i="2"/>
  <c r="U1412" i="2"/>
  <c r="G2687" i="2"/>
  <c r="F264" i="2"/>
  <c r="C2098" i="2"/>
  <c r="R2627" i="2"/>
  <c r="F1404" i="2"/>
  <c r="K1088" i="2"/>
  <c r="J937" i="2"/>
  <c r="D2226" i="2"/>
  <c r="U1093" i="2"/>
  <c r="O2968" i="2"/>
  <c r="V2249" i="2"/>
  <c r="P2463" i="2"/>
  <c r="P791" i="2"/>
  <c r="L2668" i="2"/>
  <c r="P3475" i="2"/>
  <c r="M2975" i="2"/>
  <c r="W2103" i="2"/>
  <c r="J2173" i="2"/>
  <c r="S725" i="2"/>
  <c r="L592" i="2"/>
  <c r="S2100" i="2"/>
  <c r="O3114" i="2"/>
  <c r="K95" i="2"/>
  <c r="L1020" i="2"/>
  <c r="H2631" i="2"/>
  <c r="W2141" i="2"/>
  <c r="K211" i="2"/>
  <c r="V2134" i="2"/>
  <c r="U1752" i="2"/>
  <c r="C609" i="2"/>
  <c r="M1044" i="2"/>
  <c r="L1174" i="2"/>
  <c r="L1881" i="2"/>
  <c r="C680" i="2"/>
  <c r="N2460" i="2"/>
  <c r="N59" i="2"/>
  <c r="U2399" i="2"/>
  <c r="E2419" i="2"/>
  <c r="P3056" i="2"/>
  <c r="V1864" i="2"/>
  <c r="P2161" i="2"/>
  <c r="K607" i="2"/>
  <c r="G987" i="2"/>
  <c r="V1664" i="2"/>
  <c r="F124" i="2"/>
  <c r="V2453" i="2"/>
  <c r="J1380" i="2"/>
  <c r="U1586" i="2"/>
  <c r="R917" i="2"/>
  <c r="N2878" i="2"/>
  <c r="E1049" i="2"/>
  <c r="I660" i="2"/>
  <c r="J2415" i="2"/>
  <c r="H3122" i="2"/>
  <c r="Q3155" i="2"/>
  <c r="Q1678" i="2"/>
  <c r="R2297" i="2"/>
  <c r="V3153" i="2"/>
  <c r="G2548" i="2"/>
  <c r="N674" i="2"/>
  <c r="J1131" i="2"/>
  <c r="V1986" i="2"/>
  <c r="G454" i="2"/>
  <c r="S2786" i="2"/>
  <c r="O1075" i="2"/>
  <c r="S84" i="2"/>
  <c r="V1222" i="2"/>
  <c r="N2146" i="2"/>
  <c r="I1190" i="2"/>
  <c r="Q124" i="2"/>
  <c r="N2586" i="2"/>
  <c r="I1894" i="2"/>
  <c r="F400" i="2"/>
  <c r="K155" i="2"/>
  <c r="P1195" i="2"/>
  <c r="W2677" i="2"/>
  <c r="D1069" i="2"/>
  <c r="K928" i="2"/>
  <c r="J2636" i="2"/>
  <c r="C2774" i="2"/>
  <c r="C1748" i="2"/>
  <c r="G619" i="2"/>
  <c r="S431" i="2"/>
  <c r="J1187" i="2"/>
  <c r="R2039" i="2"/>
  <c r="S3459" i="2"/>
  <c r="O829" i="2"/>
  <c r="L13" i="2"/>
  <c r="I838" i="2"/>
  <c r="H2402" i="2"/>
  <c r="C1557" i="2"/>
  <c r="W434" i="2"/>
  <c r="R1423" i="2"/>
  <c r="H1408" i="2"/>
  <c r="U2563" i="2"/>
  <c r="F2463" i="2"/>
  <c r="F70" i="2"/>
  <c r="O421" i="2"/>
  <c r="S3409" i="2"/>
  <c r="D2360" i="2"/>
  <c r="K2358" i="2"/>
  <c r="W948" i="2"/>
  <c r="C1824" i="2"/>
  <c r="J1913" i="2"/>
  <c r="P2115" i="2"/>
  <c r="K1655" i="2"/>
  <c r="H2848" i="2"/>
  <c r="P1751" i="2"/>
  <c r="H516" i="2"/>
  <c r="U519" i="2"/>
  <c r="O790" i="2"/>
  <c r="W1269" i="2"/>
  <c r="V370" i="2"/>
  <c r="D153" i="2"/>
  <c r="R673" i="2"/>
  <c r="F3056" i="2"/>
  <c r="Q2670" i="2"/>
  <c r="W868" i="2"/>
  <c r="U2863" i="2"/>
  <c r="L1910" i="2"/>
  <c r="U193" i="2"/>
  <c r="L2566" i="2"/>
  <c r="H534" i="2"/>
  <c r="C1156" i="2"/>
  <c r="C2378" i="2"/>
  <c r="I2080" i="2"/>
  <c r="L395" i="2"/>
  <c r="M2844" i="2"/>
  <c r="G2529" i="2"/>
  <c r="T667" i="2"/>
  <c r="M2500" i="2"/>
  <c r="T1958" i="2"/>
  <c r="R2338" i="2"/>
  <c r="T2222" i="2"/>
  <c r="U2544" i="2"/>
  <c r="K1658" i="2"/>
  <c r="E1150" i="2"/>
  <c r="C2582" i="2"/>
  <c r="O1201" i="2"/>
  <c r="H1087" i="2"/>
  <c r="K101" i="2"/>
  <c r="S809" i="2"/>
  <c r="Q2197" i="2"/>
  <c r="I2862" i="2"/>
  <c r="F1219" i="2"/>
  <c r="O142" i="2"/>
  <c r="Q751" i="2"/>
  <c r="K277" i="2"/>
  <c r="H624" i="2"/>
  <c r="H2180" i="2"/>
  <c r="Q332" i="2"/>
  <c r="E1637" i="2"/>
  <c r="Q3179" i="2"/>
  <c r="M1901" i="2"/>
  <c r="S1444" i="2"/>
  <c r="N826" i="2"/>
  <c r="D855" i="2"/>
  <c r="M2166" i="2"/>
  <c r="U378" i="2"/>
  <c r="R381" i="2"/>
  <c r="N334" i="2"/>
  <c r="L3159" i="2"/>
  <c r="L2148" i="2"/>
  <c r="K1559" i="2"/>
  <c r="O2104" i="2"/>
  <c r="U41" i="2"/>
  <c r="I1616" i="2"/>
  <c r="W2277" i="2"/>
  <c r="S669" i="2"/>
  <c r="L28" i="2"/>
  <c r="Q328" i="2"/>
  <c r="K442" i="2"/>
  <c r="G2838" i="2"/>
  <c r="U2104" i="2"/>
  <c r="I3004" i="2"/>
  <c r="K1517" i="2"/>
  <c r="H3049" i="2"/>
  <c r="C788" i="2"/>
  <c r="O2335" i="2"/>
  <c r="L2147" i="2"/>
  <c r="C2511" i="2"/>
  <c r="P3090" i="2"/>
  <c r="Q1418" i="2"/>
  <c r="N189" i="2"/>
  <c r="F1304" i="2"/>
  <c r="H2324" i="2"/>
  <c r="F1079" i="2"/>
  <c r="O1051" i="2"/>
  <c r="G1698" i="2"/>
  <c r="W1105" i="2"/>
  <c r="C1584" i="2"/>
  <c r="H1294" i="2"/>
  <c r="P2689" i="2"/>
  <c r="H863" i="2"/>
  <c r="N1619" i="2"/>
  <c r="D2545" i="2"/>
  <c r="M1107" i="2"/>
  <c r="O568" i="2"/>
  <c r="F2037" i="2"/>
  <c r="C3325" i="2"/>
  <c r="F1762" i="2"/>
  <c r="W2099" i="2"/>
  <c r="F2031" i="2"/>
  <c r="Q63" i="2"/>
  <c r="E3298" i="2"/>
  <c r="V2572" i="2"/>
  <c r="E2018" i="2"/>
  <c r="W983" i="2"/>
  <c r="T369" i="2"/>
  <c r="R1094" i="2"/>
  <c r="C2463" i="2"/>
  <c r="R1572" i="2"/>
  <c r="Q1269" i="2"/>
  <c r="C1861" i="2"/>
  <c r="C2451" i="2"/>
  <c r="D2757" i="2"/>
  <c r="M2025" i="2"/>
  <c r="K96" i="2"/>
  <c r="D2822" i="2"/>
  <c r="U3091" i="2"/>
  <c r="E1260" i="2"/>
  <c r="M1745" i="2"/>
  <c r="E2131" i="2"/>
  <c r="K1496" i="2"/>
  <c r="G1693" i="2"/>
  <c r="T441" i="2"/>
  <c r="E1393" i="2"/>
  <c r="H2284" i="2"/>
  <c r="H1928" i="2"/>
  <c r="C421" i="2"/>
  <c r="C1761" i="2"/>
  <c r="J2191" i="2"/>
  <c r="Q2675" i="2"/>
  <c r="T848" i="2"/>
  <c r="S406" i="2"/>
  <c r="S764" i="2"/>
  <c r="C1846" i="2"/>
  <c r="T1957" i="2"/>
  <c r="T2216" i="2"/>
  <c r="H2957" i="2"/>
  <c r="R577" i="2"/>
  <c r="Q928" i="2"/>
  <c r="V1351" i="2"/>
  <c r="L2046" i="2"/>
  <c r="E721" i="2"/>
  <c r="R551" i="2"/>
  <c r="W2548" i="2"/>
  <c r="G2547" i="2"/>
  <c r="R646" i="2"/>
  <c r="F2964" i="2"/>
  <c r="W411" i="2"/>
  <c r="R1026" i="2"/>
  <c r="H498" i="2"/>
  <c r="P513" i="2"/>
  <c r="H2744" i="2"/>
  <c r="D2376" i="2"/>
  <c r="I2402" i="2"/>
  <c r="C2849" i="2"/>
  <c r="L2608" i="2"/>
  <c r="W1134" i="2"/>
  <c r="G1185" i="2"/>
  <c r="V906" i="2"/>
  <c r="S2115" i="2"/>
  <c r="E3018" i="2"/>
  <c r="K3155" i="2"/>
  <c r="N151" i="2"/>
  <c r="E2884" i="2"/>
  <c r="L545" i="2"/>
  <c r="L429" i="2"/>
  <c r="R2501" i="2"/>
  <c r="K3030" i="2"/>
  <c r="F733" i="2"/>
  <c r="U402" i="2"/>
  <c r="P2419" i="2"/>
  <c r="T2057" i="2"/>
  <c r="U2173" i="2"/>
  <c r="L2574" i="2"/>
  <c r="W2567" i="2"/>
  <c r="U629" i="2"/>
  <c r="F1883" i="2"/>
  <c r="P7" i="2"/>
  <c r="W199" i="2"/>
  <c r="T1539" i="2"/>
  <c r="T2376" i="2"/>
  <c r="T1447" i="2"/>
  <c r="G922" i="2"/>
  <c r="S1286" i="2"/>
  <c r="N577" i="2"/>
  <c r="O493" i="2"/>
  <c r="L1254" i="2"/>
  <c r="C1315" i="2"/>
  <c r="E405" i="2"/>
  <c r="T1879" i="2"/>
  <c r="P864" i="2"/>
  <c r="U969" i="2"/>
  <c r="F732" i="2"/>
  <c r="I451" i="2"/>
  <c r="C1103" i="2"/>
  <c r="R2787" i="2"/>
  <c r="S3035" i="2"/>
  <c r="W72" i="2"/>
  <c r="P1353" i="2"/>
  <c r="T816" i="2"/>
  <c r="K2344" i="2"/>
  <c r="Q418" i="2"/>
  <c r="L2233" i="2"/>
  <c r="I1078" i="2"/>
  <c r="G2203" i="2"/>
  <c r="J2688" i="2"/>
  <c r="K915" i="2"/>
  <c r="Q2116" i="2"/>
  <c r="I260" i="2"/>
  <c r="K2637" i="2"/>
  <c r="P2109" i="2"/>
  <c r="N767" i="2"/>
  <c r="I2791" i="2"/>
  <c r="G1796" i="2"/>
  <c r="T1923" i="2"/>
  <c r="C1223" i="2"/>
  <c r="K1977" i="2"/>
  <c r="I1654" i="2"/>
  <c r="S1518" i="2"/>
  <c r="T770" i="2"/>
  <c r="O78" i="2"/>
  <c r="U453" i="2"/>
  <c r="E2067" i="2"/>
  <c r="N1491" i="2"/>
  <c r="T2343" i="2"/>
  <c r="M2181" i="2"/>
  <c r="W1784" i="2"/>
  <c r="W776" i="2"/>
  <c r="G3086" i="2"/>
  <c r="R2185" i="2"/>
  <c r="C1161" i="2"/>
  <c r="R1626" i="2"/>
  <c r="E1700" i="2"/>
  <c r="W2754" i="2"/>
  <c r="R65" i="2"/>
  <c r="I1826" i="2"/>
  <c r="S1063" i="2"/>
  <c r="E3012" i="2"/>
  <c r="S3020" i="2"/>
  <c r="S1509" i="2"/>
  <c r="I881" i="2"/>
  <c r="G545" i="2"/>
  <c r="Q728" i="2"/>
  <c r="K294" i="2"/>
  <c r="G476" i="2"/>
  <c r="N3061" i="2"/>
  <c r="U1224" i="2"/>
  <c r="N1590" i="2"/>
  <c r="Q115" i="2"/>
  <c r="R538" i="2"/>
  <c r="C3047" i="2"/>
  <c r="S1512" i="2"/>
  <c r="P2312" i="2"/>
  <c r="N1742" i="2"/>
  <c r="R415" i="2"/>
  <c r="U3161" i="2"/>
  <c r="T2427" i="2"/>
  <c r="O2272" i="2"/>
  <c r="O2827" i="2"/>
  <c r="P2421" i="2"/>
  <c r="O2123" i="2"/>
  <c r="O599" i="2"/>
  <c r="K801" i="2"/>
  <c r="N813" i="2"/>
  <c r="Q1163" i="2"/>
  <c r="J605" i="2"/>
  <c r="E1313" i="2"/>
  <c r="W523" i="2"/>
  <c r="K697" i="2"/>
  <c r="T2339" i="2"/>
  <c r="H374" i="2"/>
  <c r="O2264" i="2"/>
  <c r="Q1402" i="2"/>
  <c r="G1500" i="2"/>
  <c r="W1689" i="2"/>
  <c r="C2663" i="2"/>
  <c r="F717" i="2"/>
  <c r="S1887" i="2"/>
  <c r="F2010" i="2"/>
  <c r="P181" i="2"/>
  <c r="H537" i="2"/>
  <c r="N1915" i="2"/>
  <c r="J3048" i="2"/>
  <c r="C2208" i="2"/>
  <c r="H384" i="2"/>
  <c r="F2071" i="2"/>
  <c r="W3601" i="2"/>
  <c r="G1598" i="2"/>
  <c r="O1441" i="2"/>
  <c r="V770" i="2"/>
  <c r="S3138" i="2"/>
  <c r="P1171" i="2"/>
  <c r="P850" i="2"/>
  <c r="I694" i="2"/>
  <c r="C3003" i="2"/>
  <c r="O2184" i="2"/>
  <c r="U1940" i="2"/>
  <c r="Q1318" i="2"/>
  <c r="M2899" i="2"/>
  <c r="U2020" i="2"/>
  <c r="L804" i="2"/>
  <c r="J1351" i="2"/>
  <c r="L1193" i="2"/>
  <c r="I506" i="2"/>
  <c r="C1098" i="2"/>
  <c r="U1169" i="2"/>
  <c r="F2208" i="2"/>
  <c r="K1949" i="2"/>
  <c r="E1351" i="2"/>
  <c r="Q1145" i="2"/>
  <c r="T1918" i="2"/>
  <c r="T1924" i="2"/>
  <c r="J2787" i="2"/>
  <c r="F1320" i="2"/>
  <c r="P1117" i="2"/>
  <c r="U1967" i="2"/>
  <c r="V3225" i="2"/>
  <c r="Q256" i="2"/>
  <c r="J647" i="2"/>
  <c r="R262" i="2"/>
  <c r="D1246" i="2"/>
  <c r="I2691" i="2"/>
  <c r="I2727" i="2"/>
  <c r="V3043" i="2"/>
  <c r="I3352" i="2"/>
  <c r="V2683" i="2"/>
  <c r="S1515" i="2"/>
  <c r="Q2315" i="2"/>
  <c r="F521" i="2"/>
  <c r="S462" i="2"/>
  <c r="N2159" i="2"/>
  <c r="Q1666" i="2"/>
  <c r="L2139" i="2"/>
  <c r="D1614" i="2"/>
  <c r="F376" i="2"/>
  <c r="G1766" i="2"/>
  <c r="V1369" i="2"/>
  <c r="W2594" i="2"/>
  <c r="D1165" i="2"/>
  <c r="G335" i="2"/>
  <c r="V891" i="2"/>
  <c r="I1996" i="2"/>
  <c r="W924" i="2"/>
  <c r="D989" i="2"/>
  <c r="T2364" i="2"/>
  <c r="K1889" i="2"/>
  <c r="D46" i="2"/>
  <c r="D1598" i="2"/>
  <c r="H753" i="2"/>
  <c r="C1735" i="2"/>
  <c r="I594" i="2"/>
  <c r="O809" i="2"/>
  <c r="R3363" i="2"/>
  <c r="J551" i="2"/>
  <c r="G2961" i="2"/>
  <c r="R385" i="2"/>
  <c r="K1710" i="2"/>
  <c r="L69" i="2"/>
  <c r="L1707" i="2"/>
  <c r="U3136" i="2"/>
  <c r="M2058" i="2"/>
  <c r="R2687" i="2"/>
  <c r="G3075" i="2"/>
  <c r="I1606" i="2"/>
  <c r="G3391" i="2"/>
  <c r="K2931" i="2"/>
  <c r="C2059" i="2"/>
  <c r="E1106" i="2"/>
  <c r="G1685" i="2"/>
  <c r="K1410" i="2"/>
  <c r="M2993" i="2"/>
  <c r="W27" i="2"/>
  <c r="Q2131" i="2"/>
  <c r="D578" i="2"/>
  <c r="U2420" i="2"/>
  <c r="R1715" i="2"/>
  <c r="W2739" i="2"/>
  <c r="M153" i="2"/>
  <c r="C2950" i="2"/>
  <c r="Q1150" i="2"/>
  <c r="R2082" i="2"/>
  <c r="P2222" i="2"/>
  <c r="V1081" i="2"/>
  <c r="F1638" i="2"/>
  <c r="I2391" i="2"/>
  <c r="U3294" i="2"/>
  <c r="D1934" i="2"/>
  <c r="U2019" i="2"/>
  <c r="P1649" i="2"/>
  <c r="T1973" i="2"/>
  <c r="H491" i="2"/>
  <c r="I877" i="2"/>
  <c r="G1838" i="2"/>
  <c r="D302" i="2"/>
  <c r="M514" i="2"/>
  <c r="K2890" i="2"/>
  <c r="J1408" i="2"/>
  <c r="D2928" i="2"/>
  <c r="K202" i="2"/>
  <c r="E3316" i="2"/>
  <c r="H1490" i="2"/>
  <c r="D2063" i="2"/>
  <c r="F1083" i="2"/>
  <c r="P154" i="2"/>
  <c r="I2507" i="2"/>
  <c r="G1109" i="2"/>
  <c r="W1314" i="2"/>
  <c r="I3026" i="2"/>
  <c r="O1440" i="2"/>
  <c r="G31" i="2"/>
  <c r="H2481" i="2"/>
  <c r="P2114" i="2"/>
  <c r="H1397" i="2"/>
  <c r="P3050" i="2"/>
  <c r="O1992" i="2"/>
  <c r="I56" i="2"/>
  <c r="V1870" i="2"/>
  <c r="D2062" i="2"/>
  <c r="P1954" i="2"/>
  <c r="G426" i="2"/>
  <c r="E2072" i="2"/>
  <c r="Q627" i="2"/>
  <c r="H2074" i="2"/>
  <c r="M1017" i="2"/>
  <c r="L3208" i="2"/>
  <c r="L2732" i="2"/>
  <c r="D1112" i="2"/>
  <c r="N877" i="2"/>
  <c r="E437" i="2"/>
  <c r="V192" i="2"/>
  <c r="C497" i="2"/>
  <c r="R731" i="2"/>
  <c r="H1730" i="2"/>
  <c r="W2061" i="2"/>
  <c r="S804" i="2"/>
  <c r="C1357" i="2"/>
  <c r="K1848" i="2"/>
  <c r="J2556" i="2"/>
  <c r="S1498" i="2"/>
  <c r="G1634" i="2"/>
  <c r="M1165" i="2"/>
  <c r="R1632" i="2"/>
  <c r="O3547" i="2"/>
  <c r="M1661" i="2"/>
  <c r="M615" i="2"/>
  <c r="Q2501" i="2"/>
  <c r="U1358" i="2"/>
  <c r="U421" i="2"/>
  <c r="Q455" i="2"/>
  <c r="D849" i="2"/>
  <c r="E710" i="2"/>
  <c r="I1797" i="2"/>
  <c r="T1238" i="2"/>
  <c r="S1219" i="2"/>
  <c r="Q1275" i="2"/>
  <c r="F2310" i="2"/>
  <c r="Q690" i="2"/>
  <c r="S2292" i="2"/>
  <c r="L3025" i="2"/>
  <c r="T2068" i="2"/>
  <c r="U1478" i="2"/>
  <c r="K507" i="2"/>
  <c r="S644" i="2"/>
  <c r="I1318" i="2"/>
  <c r="I2481" i="2"/>
  <c r="K1713" i="2"/>
  <c r="R2589" i="2"/>
  <c r="O1691" i="2"/>
  <c r="D949" i="2"/>
  <c r="W2585" i="2"/>
  <c r="G2821" i="2"/>
  <c r="S666" i="2"/>
  <c r="I1758" i="2"/>
  <c r="N2608" i="2"/>
  <c r="D1522" i="2"/>
  <c r="U1317" i="2"/>
  <c r="W2684" i="2"/>
  <c r="E2267" i="2"/>
  <c r="K1986" i="2"/>
  <c r="C1419" i="2"/>
  <c r="K3290" i="2"/>
  <c r="H2652" i="2"/>
  <c r="Q1566" i="2"/>
  <c r="I2821" i="2"/>
  <c r="M3357" i="2"/>
  <c r="M1177" i="2"/>
  <c r="I1564" i="2"/>
  <c r="C740" i="2"/>
  <c r="W2526" i="2"/>
  <c r="I2989" i="2"/>
  <c r="M2823" i="2"/>
  <c r="L1142" i="2"/>
  <c r="R2748" i="2"/>
  <c r="T2516" i="2"/>
  <c r="N1244" i="2"/>
  <c r="G2965" i="2"/>
  <c r="T1114" i="2"/>
  <c r="I2554" i="2"/>
  <c r="P2269" i="2"/>
  <c r="N1546" i="2"/>
  <c r="D2682" i="2"/>
  <c r="C169" i="2"/>
  <c r="F879" i="2"/>
  <c r="C2285" i="2"/>
  <c r="U3364" i="2"/>
  <c r="V2950" i="2"/>
  <c r="O853" i="2"/>
  <c r="I2415" i="2"/>
  <c r="W1335" i="2"/>
  <c r="I504" i="2"/>
  <c r="T2781" i="2"/>
  <c r="S2547" i="2"/>
  <c r="Q3084" i="2"/>
  <c r="F2779" i="2"/>
  <c r="F283" i="2"/>
  <c r="C1312" i="2"/>
  <c r="P570" i="2"/>
  <c r="P490" i="2"/>
  <c r="R2451" i="2"/>
  <c r="W1710" i="2"/>
  <c r="W1383" i="2"/>
  <c r="G2397" i="2"/>
  <c r="J626" i="2"/>
  <c r="G2064" i="2"/>
  <c r="N257" i="2"/>
  <c r="U267" i="2"/>
  <c r="V856" i="2"/>
  <c r="U549" i="2"/>
  <c r="G2614" i="2"/>
  <c r="V1534" i="2"/>
  <c r="P2179" i="2"/>
  <c r="I826" i="2"/>
  <c r="O2877" i="2"/>
  <c r="S2341" i="2"/>
  <c r="P2611" i="2"/>
  <c r="O371" i="2"/>
  <c r="V401" i="2"/>
  <c r="E242" i="2"/>
  <c r="D520" i="2"/>
  <c r="W1723" i="2"/>
  <c r="G745" i="2"/>
  <c r="G150" i="2"/>
  <c r="M113" i="2"/>
  <c r="U2255" i="2"/>
  <c r="E2843" i="2"/>
  <c r="G1887" i="2"/>
  <c r="K2026" i="2"/>
  <c r="G2556" i="2"/>
  <c r="H240" i="2"/>
  <c r="T296" i="2"/>
  <c r="S347" i="2"/>
  <c r="V656" i="2"/>
  <c r="F1964" i="2"/>
  <c r="U223" i="2"/>
  <c r="W1482" i="2"/>
  <c r="V389" i="2"/>
  <c r="O1904" i="2"/>
  <c r="M2137" i="2"/>
  <c r="K1945" i="2"/>
  <c r="W1654" i="2"/>
  <c r="O2075" i="2"/>
  <c r="Q2709" i="2"/>
  <c r="F2256" i="2"/>
  <c r="C2184" i="2"/>
  <c r="S1472" i="2"/>
  <c r="E1430" i="2"/>
  <c r="P1433" i="2"/>
  <c r="E2044" i="2"/>
  <c r="E1795" i="2"/>
  <c r="Q2927" i="2"/>
  <c r="H611" i="2"/>
  <c r="Q2384" i="2"/>
  <c r="M1392" i="2"/>
  <c r="V463" i="2"/>
  <c r="K909" i="2"/>
  <c r="G213" i="2"/>
  <c r="U1370" i="2"/>
  <c r="P2954" i="2"/>
  <c r="Q34" i="2"/>
  <c r="G1620" i="2"/>
  <c r="L2837" i="2"/>
  <c r="P1254" i="2"/>
  <c r="U1618" i="2"/>
  <c r="N1336" i="2"/>
  <c r="K1631" i="2"/>
  <c r="F2592" i="2"/>
  <c r="H2582" i="2"/>
  <c r="K490" i="2"/>
  <c r="S2061" i="2"/>
  <c r="C588" i="2"/>
  <c r="D1022" i="2"/>
  <c r="L23" i="2"/>
  <c r="O1097" i="2"/>
  <c r="J2748" i="2"/>
  <c r="K980" i="2"/>
  <c r="K2725" i="2"/>
  <c r="M2375" i="2"/>
  <c r="C367" i="2"/>
  <c r="V354" i="2"/>
  <c r="Q426" i="2"/>
  <c r="T1855" i="2"/>
  <c r="M1894" i="2"/>
  <c r="N425" i="2"/>
  <c r="C1897" i="2"/>
  <c r="E3101" i="2"/>
  <c r="O942" i="2"/>
  <c r="M42" i="2"/>
  <c r="J232" i="2"/>
  <c r="C1468" i="2"/>
  <c r="J944" i="2"/>
  <c r="D1643" i="2"/>
  <c r="S748" i="2"/>
  <c r="R3009" i="2"/>
  <c r="N1272" i="2"/>
  <c r="V666" i="2"/>
  <c r="C207" i="2"/>
  <c r="R1631" i="2"/>
  <c r="W2673" i="2"/>
  <c r="M1247" i="2"/>
  <c r="J2136" i="2"/>
  <c r="K2214" i="2"/>
  <c r="L1907" i="2"/>
  <c r="E1768" i="2"/>
  <c r="L2965" i="2"/>
  <c r="K137" i="2"/>
  <c r="E674" i="2"/>
  <c r="D345" i="2"/>
  <c r="N1374" i="2"/>
  <c r="U2449" i="2"/>
  <c r="F858" i="2"/>
  <c r="W1703" i="2"/>
  <c r="E801" i="2"/>
  <c r="P203" i="2"/>
  <c r="N3422" i="2"/>
  <c r="F976" i="2"/>
  <c r="M1929" i="2"/>
  <c r="P2089" i="2"/>
  <c r="G2964" i="2"/>
  <c r="O2701" i="2"/>
  <c r="R1247" i="2"/>
  <c r="S1059" i="2"/>
  <c r="M1215" i="2"/>
  <c r="U1489" i="2"/>
  <c r="S1192" i="2"/>
  <c r="U642" i="2"/>
  <c r="N1688" i="2"/>
  <c r="T2405" i="2"/>
  <c r="F1932" i="2"/>
  <c r="H123" i="2"/>
  <c r="D1582" i="2"/>
  <c r="M1078" i="2"/>
  <c r="I1538" i="2"/>
  <c r="K1315" i="2"/>
  <c r="H354" i="2"/>
  <c r="N2225" i="2"/>
  <c r="D321" i="2"/>
  <c r="S1503" i="2"/>
  <c r="N254" i="2"/>
  <c r="U312" i="2"/>
  <c r="G2236" i="2"/>
  <c r="T1045" i="2"/>
  <c r="O3006" i="2"/>
  <c r="H918" i="2"/>
  <c r="D3043" i="2"/>
  <c r="C658" i="2"/>
  <c r="R2675" i="2"/>
  <c r="M175" i="2"/>
  <c r="U2522" i="2"/>
  <c r="M1853" i="2"/>
  <c r="C522" i="2"/>
  <c r="V1431" i="2"/>
  <c r="Q2513" i="2"/>
  <c r="E3185" i="2"/>
  <c r="H2099" i="2"/>
  <c r="L1190" i="2"/>
  <c r="O1995" i="2"/>
  <c r="G3265" i="2"/>
  <c r="C2559" i="2"/>
  <c r="G2639" i="2"/>
  <c r="J674" i="2"/>
  <c r="R1629" i="2"/>
  <c r="F3362" i="2"/>
  <c r="P2510" i="2"/>
  <c r="D1866" i="2"/>
  <c r="P1894" i="2"/>
  <c r="F543" i="2"/>
  <c r="D1535" i="2"/>
  <c r="T2201" i="2"/>
  <c r="Q1328" i="2"/>
  <c r="H2619" i="2"/>
  <c r="I2824" i="2"/>
  <c r="N1123" i="2"/>
  <c r="H2441" i="2"/>
  <c r="T2426" i="2"/>
  <c r="K2296" i="2"/>
  <c r="G3252" i="2"/>
  <c r="E347" i="2"/>
  <c r="G1350" i="2"/>
  <c r="K135" i="2"/>
  <c r="K1556" i="2"/>
  <c r="T1470" i="2"/>
  <c r="P346" i="2"/>
  <c r="V1458" i="2"/>
  <c r="S684" i="2"/>
  <c r="F1353" i="2"/>
  <c r="C310" i="2"/>
  <c r="I2039" i="2"/>
  <c r="D2934" i="2"/>
  <c r="U1306" i="2"/>
  <c r="I2983" i="2"/>
  <c r="P3155" i="2"/>
  <c r="Q1019" i="2"/>
  <c r="H3059" i="2"/>
  <c r="J1385" i="2"/>
  <c r="R2637" i="2"/>
  <c r="R325" i="2"/>
  <c r="V414" i="2"/>
  <c r="E1209" i="2"/>
  <c r="O928" i="2"/>
  <c r="K1006" i="2"/>
  <c r="N1825" i="2"/>
  <c r="N2839" i="2"/>
  <c r="M754" i="2"/>
  <c r="F21" i="2"/>
  <c r="M948" i="2"/>
  <c r="R1414" i="2"/>
  <c r="D228" i="2"/>
  <c r="W1331" i="2"/>
  <c r="R879" i="2"/>
  <c r="T2835" i="2"/>
  <c r="U897" i="2"/>
  <c r="S1029" i="2"/>
  <c r="H352" i="2"/>
  <c r="U2634" i="2"/>
  <c r="C440" i="2"/>
  <c r="I1755" i="2"/>
  <c r="S2482" i="2"/>
  <c r="N2922" i="2"/>
  <c r="P2947" i="2"/>
  <c r="C2167" i="2"/>
  <c r="V251" i="2"/>
  <c r="W806" i="2"/>
  <c r="G288" i="2"/>
  <c r="K494" i="2"/>
  <c r="U1269" i="2"/>
  <c r="S30" i="2"/>
  <c r="Q174" i="2"/>
  <c r="Q2271" i="2"/>
  <c r="D1287" i="2"/>
  <c r="C2649" i="2"/>
  <c r="W1260" i="2"/>
  <c r="W143" i="2"/>
  <c r="V2112" i="2"/>
  <c r="P1449" i="2"/>
  <c r="P3555" i="2"/>
  <c r="K1767" i="2"/>
  <c r="L42" i="2"/>
  <c r="U1794" i="2"/>
  <c r="R1928" i="2"/>
  <c r="C498" i="2"/>
  <c r="F2820" i="2"/>
  <c r="U2447" i="2"/>
  <c r="J1271" i="2"/>
  <c r="G2193" i="2"/>
  <c r="T1675" i="2"/>
  <c r="O2082" i="2"/>
  <c r="G2868" i="2"/>
  <c r="K1172" i="2"/>
  <c r="D1807" i="2"/>
  <c r="S707" i="2"/>
  <c r="F3311" i="2"/>
  <c r="D913" i="2"/>
  <c r="V1891" i="2"/>
  <c r="V2989" i="2"/>
  <c r="L2149" i="2"/>
  <c r="P2185" i="2"/>
  <c r="V2525" i="2"/>
  <c r="J1316" i="2"/>
  <c r="I1379" i="2"/>
  <c r="H1476" i="2"/>
  <c r="N459" i="2"/>
  <c r="I619" i="2"/>
  <c r="G1346" i="2"/>
  <c r="C2186" i="2"/>
  <c r="E462" i="2"/>
  <c r="U953" i="2"/>
  <c r="P2751" i="2"/>
  <c r="M664" i="2"/>
  <c r="R1373" i="2"/>
  <c r="T862" i="2"/>
  <c r="J1063" i="2"/>
  <c r="S2550" i="2"/>
  <c r="U3010" i="2"/>
  <c r="M2565" i="2"/>
  <c r="V2651" i="2"/>
  <c r="T2235" i="2"/>
  <c r="U825" i="2"/>
  <c r="M3061" i="2"/>
  <c r="W2696" i="2"/>
  <c r="O808" i="2"/>
  <c r="V1728" i="2"/>
  <c r="D1959" i="2"/>
  <c r="S2319" i="2"/>
  <c r="R3343" i="2"/>
  <c r="H1723" i="2"/>
  <c r="K88" i="2"/>
  <c r="R1319" i="2"/>
  <c r="P2845" i="2"/>
  <c r="V2877" i="2"/>
  <c r="D2958" i="2"/>
  <c r="T1509" i="2"/>
  <c r="G1473" i="2"/>
  <c r="M3272" i="2"/>
  <c r="N2855" i="2"/>
  <c r="N817" i="2"/>
  <c r="U1256" i="2"/>
  <c r="N374" i="2"/>
  <c r="P1475" i="2"/>
  <c r="S923" i="2"/>
  <c r="W2378" i="2"/>
  <c r="N2156" i="2"/>
  <c r="W3094" i="2"/>
  <c r="C2454" i="2"/>
  <c r="R469" i="2"/>
  <c r="H2277" i="2"/>
  <c r="F2053" i="2"/>
  <c r="D689" i="2"/>
  <c r="H1569" i="2"/>
  <c r="E1214" i="2"/>
  <c r="L2677" i="2"/>
  <c r="C1090" i="2"/>
  <c r="L3101" i="2"/>
  <c r="G2549" i="2"/>
  <c r="G305" i="2"/>
  <c r="V768" i="2"/>
  <c r="E2445" i="2"/>
  <c r="C2921" i="2"/>
  <c r="E2372" i="2"/>
  <c r="R2545" i="2"/>
  <c r="P1346" i="2"/>
  <c r="O1049" i="2"/>
  <c r="V358" i="2"/>
  <c r="K906" i="2"/>
  <c r="H2525" i="2"/>
  <c r="W1436" i="2"/>
  <c r="K477" i="2"/>
  <c r="Q1206" i="2"/>
  <c r="M2525" i="2"/>
  <c r="H2186" i="2"/>
  <c r="I1866" i="2"/>
  <c r="K2972" i="2"/>
  <c r="Q1254" i="2"/>
  <c r="M1669" i="2"/>
  <c r="V46" i="2"/>
  <c r="S642" i="2"/>
  <c r="R1116" i="2"/>
  <c r="H2754" i="2"/>
  <c r="T932" i="2"/>
  <c r="K216" i="2"/>
  <c r="E42" i="2"/>
  <c r="L193" i="2"/>
  <c r="T999" i="2"/>
  <c r="L202" i="2"/>
  <c r="L96" i="2"/>
  <c r="V3388" i="2"/>
  <c r="W2667" i="2"/>
  <c r="T1685" i="2"/>
  <c r="K412" i="2"/>
  <c r="T2648" i="2"/>
  <c r="R236" i="2"/>
  <c r="T2301" i="2"/>
  <c r="C2639" i="2"/>
  <c r="E2679" i="2"/>
  <c r="T2829" i="2"/>
  <c r="T2202" i="2"/>
  <c r="D1688" i="2"/>
  <c r="S2357" i="2"/>
  <c r="R2743" i="2"/>
  <c r="P911" i="2"/>
  <c r="J3383" i="2"/>
  <c r="Q2762" i="2"/>
  <c r="O828" i="2"/>
  <c r="D2448" i="2"/>
  <c r="W1142" i="2"/>
  <c r="V88" i="2"/>
  <c r="K362" i="2"/>
  <c r="T783" i="2"/>
  <c r="G762" i="2"/>
  <c r="F1109" i="2"/>
  <c r="O1103" i="2"/>
  <c r="C1536" i="2"/>
  <c r="C994" i="2"/>
  <c r="L1095" i="2"/>
  <c r="E2873" i="2"/>
  <c r="R585" i="2"/>
  <c r="Q1331" i="2"/>
  <c r="P3251" i="2"/>
  <c r="M3072" i="2"/>
  <c r="M1662" i="2"/>
  <c r="R296" i="2"/>
  <c r="G1708" i="2"/>
  <c r="K1719" i="2"/>
  <c r="E2488" i="2"/>
  <c r="G493" i="2"/>
  <c r="H575" i="2"/>
  <c r="I781" i="2"/>
  <c r="H1550" i="2"/>
  <c r="F39" i="2"/>
  <c r="D1988" i="2"/>
  <c r="L319" i="2"/>
  <c r="N93" i="2"/>
  <c r="W1769" i="2"/>
  <c r="W699" i="2"/>
  <c r="M359" i="2"/>
  <c r="N1538" i="2"/>
  <c r="W42" i="2"/>
  <c r="Q676" i="2"/>
  <c r="O1448" i="2"/>
  <c r="R973" i="2"/>
  <c r="I2603" i="2"/>
  <c r="W1864" i="2"/>
  <c r="L2959" i="2"/>
  <c r="I1422" i="2"/>
  <c r="O435" i="2"/>
  <c r="K624" i="2"/>
  <c r="M1323" i="2"/>
  <c r="T2535" i="2"/>
  <c r="G2311" i="2"/>
  <c r="H1586" i="2"/>
  <c r="R450" i="2"/>
  <c r="P2085" i="2"/>
  <c r="G881" i="2"/>
  <c r="L389" i="2"/>
  <c r="N496" i="2"/>
  <c r="M963" i="2"/>
  <c r="N1745" i="2"/>
  <c r="J1410" i="2"/>
  <c r="P2347" i="2"/>
  <c r="C2340" i="2"/>
  <c r="J171" i="2"/>
  <c r="N1597" i="2"/>
  <c r="T445" i="2"/>
  <c r="E1460" i="2"/>
  <c r="R1203" i="2"/>
  <c r="J1121" i="2"/>
  <c r="K2460" i="2"/>
  <c r="O2372" i="2"/>
  <c r="W2864" i="2"/>
  <c r="N622" i="2"/>
  <c r="H991" i="2"/>
  <c r="E1335" i="2"/>
  <c r="J1430" i="2"/>
  <c r="C1478" i="2"/>
  <c r="K814" i="2"/>
  <c r="V2663" i="2"/>
  <c r="K1793" i="2"/>
  <c r="V364" i="2"/>
  <c r="Q786" i="2"/>
  <c r="I1001" i="2"/>
  <c r="H3304" i="2"/>
  <c r="F243" i="2"/>
  <c r="N1980" i="2"/>
  <c r="O154" i="2"/>
  <c r="H687" i="2"/>
  <c r="D2075" i="2"/>
  <c r="N276" i="2"/>
  <c r="M2418" i="2"/>
  <c r="C2605" i="2"/>
  <c r="E1671" i="2"/>
  <c r="W2388" i="2"/>
  <c r="W3014" i="2"/>
  <c r="W3115" i="2"/>
  <c r="R1788" i="2"/>
  <c r="I2322" i="2"/>
  <c r="D236" i="2"/>
  <c r="J2668" i="2"/>
  <c r="P3068" i="2"/>
  <c r="R1997" i="2"/>
  <c r="E298" i="2"/>
  <c r="U591" i="2"/>
  <c r="I2666" i="2"/>
  <c r="V2418" i="2"/>
  <c r="R2124" i="2"/>
  <c r="O3065" i="2"/>
  <c r="Q2044" i="2"/>
  <c r="I1427" i="2"/>
  <c r="G3035" i="2"/>
  <c r="U1832" i="2"/>
  <c r="M2296" i="2"/>
  <c r="D2807" i="2"/>
  <c r="H1941" i="2"/>
  <c r="L318" i="2"/>
  <c r="I541" i="2"/>
  <c r="P330" i="2"/>
  <c r="S2144" i="2"/>
  <c r="N117" i="2"/>
  <c r="P727" i="2"/>
  <c r="O711" i="2"/>
  <c r="T1444" i="2"/>
  <c r="H970" i="2"/>
  <c r="F1807" i="2"/>
  <c r="T3101" i="2"/>
  <c r="U1617" i="2"/>
  <c r="S1234" i="2"/>
  <c r="L1656" i="2"/>
  <c r="R2607" i="2"/>
  <c r="V1802" i="2"/>
  <c r="H2081" i="2"/>
  <c r="K83" i="2"/>
  <c r="F1357" i="2"/>
  <c r="J1234" i="2"/>
  <c r="P1045" i="2"/>
  <c r="D2207" i="2"/>
  <c r="H144" i="2"/>
  <c r="L2953" i="2"/>
  <c r="C1225" i="2"/>
  <c r="F716" i="2"/>
  <c r="V265" i="2"/>
  <c r="V1441" i="2"/>
  <c r="O2858" i="2"/>
  <c r="R1824" i="2"/>
  <c r="W307" i="2"/>
  <c r="C1424" i="2"/>
  <c r="V279" i="2"/>
  <c r="O869" i="2"/>
  <c r="O1276" i="2"/>
  <c r="C1679" i="2"/>
  <c r="T3006" i="2"/>
  <c r="R2634" i="2"/>
  <c r="W2282" i="2"/>
  <c r="T1367" i="2"/>
  <c r="E2796" i="2"/>
  <c r="F1916" i="2"/>
  <c r="J1668" i="2"/>
  <c r="S861" i="2"/>
  <c r="W1505" i="2"/>
  <c r="J2647" i="2"/>
  <c r="D341" i="2"/>
  <c r="I2007" i="2"/>
  <c r="U1838" i="2"/>
  <c r="M2538" i="2"/>
  <c r="K1165" i="2"/>
  <c r="H1565" i="2"/>
  <c r="J1972" i="2"/>
  <c r="D1829" i="2"/>
  <c r="F2628" i="2"/>
  <c r="U305" i="2"/>
  <c r="U960" i="2"/>
  <c r="T1237" i="2"/>
  <c r="P2017" i="2"/>
  <c r="D217" i="2"/>
  <c r="L1140" i="2"/>
  <c r="Q236" i="2"/>
  <c r="T479" i="2"/>
  <c r="W2204" i="2"/>
  <c r="N1332" i="2"/>
  <c r="T3" i="2"/>
  <c r="Q2104" i="2"/>
  <c r="M1351" i="2"/>
  <c r="R2168" i="2"/>
  <c r="D245" i="2"/>
  <c r="J746" i="2"/>
  <c r="U2078" i="2"/>
  <c r="D2747" i="2"/>
  <c r="W3164" i="2"/>
  <c r="T1253" i="2"/>
  <c r="Q1508" i="2"/>
  <c r="U2470" i="2"/>
  <c r="J612" i="2"/>
  <c r="Q2078" i="2"/>
  <c r="E2497" i="2"/>
  <c r="W1191" i="2"/>
  <c r="Q1863" i="2"/>
  <c r="J1100" i="2"/>
  <c r="N1664" i="2"/>
  <c r="C1719" i="2"/>
  <c r="C655" i="2"/>
  <c r="L1648" i="2"/>
  <c r="D1527" i="2"/>
  <c r="S379" i="2"/>
  <c r="M1396" i="2"/>
  <c r="Q2850" i="2"/>
  <c r="N2454" i="2"/>
  <c r="R1213" i="2"/>
  <c r="I2070" i="2"/>
  <c r="N2162" i="2"/>
  <c r="E1383" i="2"/>
  <c r="G2561" i="2"/>
  <c r="R1242" i="2"/>
  <c r="L1230" i="2"/>
  <c r="Q2915" i="2"/>
  <c r="M1920" i="2"/>
  <c r="D1291" i="2"/>
  <c r="Q2707" i="2"/>
  <c r="H738" i="2"/>
  <c r="T1533" i="2"/>
  <c r="V2220" i="2"/>
  <c r="R43" i="2"/>
  <c r="J3094" i="2"/>
  <c r="O2596" i="2"/>
  <c r="L1132" i="2"/>
  <c r="C626" i="2"/>
  <c r="P2431" i="2"/>
  <c r="M1354" i="2"/>
  <c r="R1498" i="2"/>
  <c r="W2349" i="2"/>
  <c r="W1131" i="2"/>
  <c r="D2762" i="2"/>
  <c r="E2573" i="2"/>
  <c r="U140" i="2"/>
  <c r="D956" i="2"/>
  <c r="I2696" i="2"/>
  <c r="D606" i="2"/>
  <c r="I1329" i="2"/>
  <c r="U1231" i="2"/>
  <c r="N844" i="2"/>
  <c r="L365" i="2"/>
  <c r="N797" i="2"/>
  <c r="H1378" i="2"/>
  <c r="J179" i="2"/>
  <c r="R1121" i="2"/>
  <c r="F1288" i="2"/>
  <c r="K1618" i="2"/>
  <c r="J1864" i="2"/>
  <c r="D945" i="2"/>
  <c r="T399" i="2"/>
  <c r="P1056" i="2"/>
  <c r="Q1481" i="2"/>
  <c r="L2455" i="2"/>
  <c r="P3067" i="2"/>
  <c r="N2028" i="2"/>
  <c r="L918" i="2"/>
  <c r="G1177" i="2"/>
  <c r="H1815" i="2"/>
  <c r="E1344" i="2"/>
  <c r="F1104" i="2"/>
  <c r="W1346" i="2"/>
  <c r="M1029" i="2"/>
  <c r="O1591" i="2"/>
  <c r="R938" i="2"/>
  <c r="F748" i="2"/>
  <c r="P656" i="2"/>
  <c r="L1662" i="2"/>
  <c r="P627" i="2"/>
  <c r="U1695" i="2"/>
  <c r="E296" i="2"/>
  <c r="Q1330" i="2"/>
  <c r="G1499" i="2"/>
  <c r="R390" i="2"/>
  <c r="H1985" i="2"/>
  <c r="D1319" i="2"/>
  <c r="I394" i="2"/>
  <c r="V1066" i="2"/>
  <c r="G2621" i="2"/>
  <c r="I474" i="2"/>
  <c r="K77" i="2"/>
  <c r="D1147" i="2"/>
  <c r="L6" i="2"/>
  <c r="G2240" i="2"/>
  <c r="T954" i="2"/>
  <c r="E2278" i="2"/>
  <c r="R1330" i="2"/>
  <c r="O1189" i="2"/>
  <c r="I666" i="2"/>
  <c r="S2640" i="2"/>
  <c r="E2459" i="2"/>
  <c r="F61" i="2"/>
  <c r="K2258" i="2"/>
  <c r="Q255" i="2"/>
  <c r="P214" i="2"/>
  <c r="L1094" i="2"/>
  <c r="M2144" i="2"/>
  <c r="C279" i="2"/>
  <c r="U64" i="2"/>
  <c r="W934" i="2"/>
  <c r="M1593" i="2"/>
  <c r="G2607" i="2"/>
  <c r="C2952" i="2"/>
  <c r="I2667" i="2"/>
  <c r="L2503" i="2"/>
  <c r="J1343" i="2"/>
  <c r="W2944" i="2"/>
  <c r="L926" i="2"/>
  <c r="C2550" i="2"/>
  <c r="S3062" i="2"/>
  <c r="W2816" i="2"/>
  <c r="C2670" i="2"/>
  <c r="J2833" i="2"/>
  <c r="Q1321" i="2"/>
  <c r="S2848" i="2"/>
  <c r="G1351" i="2"/>
  <c r="S1499" i="2"/>
  <c r="J2150" i="2"/>
  <c r="U560" i="2"/>
  <c r="J764" i="2"/>
  <c r="Q275" i="2"/>
  <c r="S726" i="2"/>
  <c r="L2159" i="2"/>
  <c r="K1080" i="2"/>
  <c r="T1785" i="2"/>
  <c r="L1923" i="2"/>
  <c r="R1437" i="2"/>
  <c r="I39" i="2"/>
  <c r="M1478" i="2"/>
  <c r="S1213" i="2"/>
  <c r="W2757" i="2"/>
  <c r="P1384" i="2"/>
  <c r="N2951" i="2"/>
  <c r="I1285" i="2"/>
  <c r="K1594" i="2"/>
  <c r="P558" i="2"/>
  <c r="P3057" i="2"/>
  <c r="E2215" i="2"/>
  <c r="J56" i="2"/>
  <c r="L1749" i="2"/>
  <c r="H3024" i="2"/>
  <c r="J1678" i="2"/>
  <c r="I343" i="2"/>
  <c r="G359" i="2"/>
  <c r="U1315" i="2"/>
  <c r="N892" i="2"/>
  <c r="V3051" i="2"/>
  <c r="R1271" i="2"/>
  <c r="H546" i="2"/>
  <c r="H1593" i="2"/>
  <c r="S930" i="2"/>
  <c r="R2329" i="2"/>
  <c r="K2497" i="2"/>
  <c r="G1956" i="2"/>
  <c r="L1436" i="2"/>
  <c r="J2097" i="2"/>
  <c r="E2101" i="2"/>
  <c r="H470" i="2"/>
  <c r="C2111" i="2"/>
  <c r="L1509" i="2"/>
  <c r="V1964" i="2"/>
  <c r="O2639" i="2"/>
  <c r="R1342" i="2"/>
  <c r="U230" i="2"/>
  <c r="V826" i="2"/>
  <c r="P1727" i="2"/>
  <c r="S2631" i="2"/>
  <c r="M544" i="2"/>
  <c r="T1967" i="2"/>
  <c r="T967" i="2"/>
  <c r="N2594" i="2"/>
  <c r="R615" i="2"/>
  <c r="Q820" i="2"/>
  <c r="G2281" i="2"/>
  <c r="H1528" i="2"/>
  <c r="D2890" i="2"/>
  <c r="K1067" i="2"/>
  <c r="D1266" i="2"/>
  <c r="C2404" i="2"/>
  <c r="D196" i="2"/>
  <c r="M1949" i="2"/>
  <c r="I2123" i="2"/>
  <c r="I1678" i="2"/>
  <c r="F2353" i="2"/>
  <c r="I2092" i="2"/>
  <c r="O899" i="2"/>
  <c r="N2147" i="2"/>
  <c r="D16" i="2"/>
  <c r="F378" i="2"/>
  <c r="V502" i="2"/>
  <c r="P2736" i="2"/>
  <c r="J629" i="2"/>
  <c r="Q16" i="2"/>
  <c r="S457" i="2"/>
  <c r="R1694" i="2"/>
  <c r="U1486" i="2"/>
  <c r="W1231" i="2"/>
  <c r="R2784" i="2"/>
  <c r="M3358" i="2"/>
  <c r="F16" i="2"/>
  <c r="G770" i="2"/>
  <c r="O2672" i="2"/>
  <c r="D1071" i="2"/>
  <c r="Q3449" i="2"/>
  <c r="L1475" i="2"/>
  <c r="E606" i="2"/>
  <c r="H1286" i="2"/>
  <c r="E491" i="2"/>
  <c r="G2516" i="2"/>
  <c r="K2838" i="2"/>
  <c r="C1702" i="2"/>
  <c r="F2573" i="2"/>
  <c r="T1472" i="2"/>
  <c r="H7" i="2"/>
  <c r="W1043" i="2"/>
  <c r="E2646" i="2"/>
  <c r="Q2250" i="2"/>
  <c r="S1726" i="2"/>
  <c r="C458" i="2"/>
  <c r="H116" i="2"/>
  <c r="K2672" i="2"/>
  <c r="R288" i="2"/>
  <c r="O963" i="2"/>
  <c r="T1903" i="2"/>
  <c r="Q1192" i="2"/>
  <c r="U1829" i="2"/>
  <c r="K761" i="2"/>
  <c r="U1453" i="2"/>
  <c r="N301" i="2"/>
  <c r="O619" i="2"/>
  <c r="V209" i="2"/>
  <c r="D1105" i="2"/>
  <c r="D1501" i="2"/>
  <c r="T2795" i="2"/>
  <c r="K2756" i="2"/>
  <c r="W1779" i="2"/>
  <c r="E864" i="2"/>
  <c r="I2622" i="2"/>
  <c r="V1162" i="2"/>
  <c r="G2888" i="2"/>
  <c r="O1823" i="2"/>
  <c r="L2559" i="2"/>
  <c r="W2215" i="2"/>
  <c r="I2497" i="2"/>
  <c r="S37" i="2"/>
  <c r="F3096" i="2"/>
  <c r="S1761" i="2"/>
  <c r="U147" i="2"/>
  <c r="K1740" i="2"/>
  <c r="U1876" i="2"/>
  <c r="N1131" i="2"/>
  <c r="U2996" i="2"/>
  <c r="U2588" i="2"/>
  <c r="O252" i="2"/>
  <c r="W2205" i="2"/>
  <c r="Q2378" i="2"/>
  <c r="E1738" i="2"/>
  <c r="N2091" i="2"/>
  <c r="V671" i="2"/>
  <c r="F1375" i="2"/>
  <c r="R660" i="2"/>
  <c r="D1385" i="2"/>
  <c r="L2252" i="2"/>
  <c r="C883" i="2"/>
  <c r="N1955" i="2"/>
  <c r="P1427" i="2"/>
  <c r="T2129" i="2"/>
  <c r="C85" i="2"/>
  <c r="E371" i="2"/>
  <c r="D1194" i="2"/>
  <c r="D2657" i="2"/>
  <c r="K65" i="2"/>
  <c r="E1390" i="2"/>
  <c r="I90" i="2"/>
  <c r="O520" i="2"/>
  <c r="L980" i="2"/>
  <c r="Q1529" i="2"/>
  <c r="K1009" i="2"/>
  <c r="K157" i="2"/>
  <c r="L704" i="2"/>
  <c r="G2655" i="2"/>
  <c r="M2017" i="2"/>
  <c r="E1243" i="2"/>
  <c r="M452" i="2"/>
  <c r="D203" i="2"/>
  <c r="Q923" i="2"/>
  <c r="K637" i="2"/>
  <c r="R2132" i="2"/>
  <c r="M2129" i="2"/>
  <c r="M546" i="2"/>
  <c r="T1087" i="2"/>
  <c r="O878" i="2"/>
  <c r="N800" i="2"/>
  <c r="D2509" i="2"/>
  <c r="E1715" i="2"/>
  <c r="L964" i="2"/>
  <c r="C544" i="2"/>
  <c r="M1409" i="2"/>
  <c r="H2937" i="2"/>
  <c r="S618" i="2"/>
  <c r="D1950" i="2"/>
  <c r="V340" i="2"/>
  <c r="O1487" i="2"/>
  <c r="L412" i="2"/>
  <c r="K2354" i="2"/>
  <c r="G2940" i="2"/>
  <c r="E1767" i="2"/>
  <c r="T39" i="2"/>
  <c r="G1403" i="2"/>
  <c r="S1346" i="2"/>
  <c r="I1477" i="2"/>
  <c r="F1767" i="2"/>
  <c r="C870" i="2"/>
  <c r="G429" i="2"/>
  <c r="S3290" i="2"/>
  <c r="L206" i="2"/>
  <c r="L1664" i="2"/>
  <c r="E2388" i="2"/>
  <c r="O1657" i="2"/>
  <c r="M884" i="2"/>
  <c r="L1014" i="2"/>
  <c r="D2558" i="2"/>
  <c r="R91" i="2"/>
  <c r="W223" i="2"/>
  <c r="R758" i="2"/>
  <c r="P407" i="2"/>
  <c r="S2902" i="2"/>
  <c r="T838" i="2"/>
  <c r="M1280" i="2"/>
  <c r="L559" i="2"/>
  <c r="S551" i="2"/>
  <c r="R763" i="2"/>
  <c r="C576" i="2"/>
  <c r="U967" i="2"/>
  <c r="T2170" i="2"/>
  <c r="S2751" i="2"/>
  <c r="L1628" i="2"/>
  <c r="L1496" i="2"/>
  <c r="F276" i="2"/>
  <c r="S985" i="2"/>
  <c r="T576" i="2"/>
  <c r="P466" i="2"/>
  <c r="E97" i="2"/>
  <c r="S842" i="2"/>
  <c r="I385" i="2"/>
  <c r="K2274" i="2"/>
  <c r="P3154" i="2"/>
  <c r="W144" i="2"/>
  <c r="S1675" i="2"/>
  <c r="U725" i="2"/>
  <c r="W1066" i="2"/>
  <c r="T1800" i="2"/>
  <c r="R1305" i="2"/>
  <c r="F1689" i="2"/>
  <c r="E1287" i="2"/>
  <c r="N724" i="2"/>
  <c r="J2243" i="2"/>
  <c r="R2173" i="2"/>
  <c r="T1878" i="2"/>
  <c r="R1182" i="2"/>
  <c r="J2315" i="2"/>
  <c r="U1858" i="2"/>
  <c r="P339" i="2"/>
  <c r="C42" i="2"/>
  <c r="Q2235" i="2"/>
  <c r="U1113" i="2"/>
  <c r="H429" i="2"/>
  <c r="K1992" i="2"/>
  <c r="L101" i="2"/>
  <c r="G505" i="2"/>
  <c r="T808" i="2"/>
  <c r="I2333" i="2"/>
  <c r="I1740" i="2"/>
  <c r="U803" i="2"/>
  <c r="K3191" i="2"/>
  <c r="T2286" i="2"/>
  <c r="D814" i="2"/>
  <c r="F501" i="2"/>
  <c r="H448" i="2"/>
  <c r="L1018" i="2"/>
  <c r="I1846" i="2"/>
  <c r="Q1176" i="2"/>
  <c r="U971" i="2"/>
  <c r="H1009" i="2"/>
  <c r="G1874" i="2"/>
  <c r="D1376" i="2"/>
  <c r="C1487" i="2"/>
  <c r="F1152" i="2"/>
  <c r="T1780" i="2"/>
  <c r="N825" i="2"/>
  <c r="P2140" i="2"/>
  <c r="I1426" i="2"/>
  <c r="K2362" i="2"/>
  <c r="J1736" i="2"/>
  <c r="V280" i="2"/>
  <c r="Q2030" i="2"/>
  <c r="M994" i="2"/>
  <c r="K1043" i="2"/>
  <c r="W2304" i="2"/>
  <c r="E727" i="2"/>
  <c r="K62" i="2"/>
  <c r="E1960" i="2"/>
  <c r="L2220" i="2"/>
  <c r="F368" i="2"/>
  <c r="K1875" i="2"/>
  <c r="C1627" i="2"/>
  <c r="N1233" i="2"/>
  <c r="V2531" i="2"/>
  <c r="L1355" i="2"/>
  <c r="D2962" i="2"/>
  <c r="E785" i="2"/>
  <c r="F3360" i="2"/>
  <c r="O2805" i="2"/>
  <c r="W2758" i="2"/>
  <c r="J2123" i="2"/>
  <c r="T3523" i="2"/>
  <c r="H1000" i="2"/>
  <c r="P1984" i="2"/>
  <c r="N2489" i="2"/>
  <c r="D2569" i="2"/>
  <c r="N937" i="2"/>
  <c r="G2168" i="2"/>
  <c r="M2542" i="2"/>
  <c r="R3066" i="2"/>
  <c r="C3032" i="2"/>
  <c r="P2091" i="2"/>
  <c r="K916" i="2"/>
  <c r="H1622" i="2"/>
  <c r="S899" i="2"/>
  <c r="K2516" i="2"/>
  <c r="K2722" i="2"/>
  <c r="Q2899" i="2"/>
  <c r="G903" i="2"/>
  <c r="Q1143" i="2"/>
  <c r="S2243" i="2"/>
  <c r="H910" i="2"/>
  <c r="F1430" i="2"/>
  <c r="L401" i="2"/>
  <c r="E1444" i="2"/>
  <c r="K2323" i="2"/>
  <c r="V536" i="2"/>
  <c r="Q1691" i="2"/>
  <c r="T2754" i="2"/>
  <c r="W2373" i="2"/>
  <c r="H2445" i="2"/>
  <c r="H1033" i="2"/>
  <c r="M2903" i="2"/>
  <c r="N1803" i="2"/>
  <c r="T2007" i="2"/>
  <c r="W1114" i="2"/>
  <c r="R3084" i="2"/>
  <c r="W1985" i="2"/>
  <c r="N1937" i="2"/>
  <c r="J540" i="2"/>
  <c r="U482" i="2"/>
  <c r="D942" i="2"/>
  <c r="S2112" i="2"/>
  <c r="K1519" i="2"/>
  <c r="T1426" i="2"/>
  <c r="N2519" i="2"/>
  <c r="K1323" i="2"/>
  <c r="D2676" i="2"/>
  <c r="L1988" i="2"/>
  <c r="W1574" i="2"/>
  <c r="S954" i="2"/>
  <c r="L2807" i="2"/>
  <c r="G1565" i="2"/>
  <c r="U758" i="2"/>
  <c r="K2965" i="2"/>
  <c r="S2191" i="2"/>
  <c r="W1254" i="2"/>
  <c r="D2049" i="2"/>
  <c r="N1327" i="2"/>
  <c r="C1250" i="2"/>
  <c r="U829" i="2"/>
  <c r="O1050" i="2"/>
  <c r="I1193" i="2"/>
  <c r="D38" i="2"/>
  <c r="W282" i="2"/>
  <c r="M911" i="2"/>
  <c r="N1687" i="2"/>
  <c r="K1389" i="2"/>
  <c r="Q2355" i="2"/>
  <c r="I796" i="2"/>
  <c r="J1826" i="2"/>
  <c r="J1667" i="2"/>
  <c r="S1869" i="2"/>
  <c r="O2418" i="2"/>
  <c r="M1909" i="2"/>
  <c r="Q687" i="2"/>
  <c r="J2167" i="2"/>
  <c r="V112" i="2"/>
  <c r="E2474" i="2"/>
  <c r="L3527" i="2"/>
  <c r="H1222" i="2"/>
  <c r="P2111" i="2"/>
  <c r="L1576" i="2"/>
  <c r="S255" i="2"/>
  <c r="H702" i="2"/>
  <c r="E2128" i="2"/>
  <c r="K738" i="2"/>
  <c r="Q3239" i="2"/>
  <c r="G2340" i="2"/>
  <c r="O2622" i="2"/>
  <c r="L2924" i="2"/>
  <c r="D3150" i="2"/>
  <c r="U441" i="2"/>
  <c r="C2598" i="2"/>
  <c r="S100" i="2"/>
  <c r="P2318" i="2"/>
  <c r="R3023" i="2"/>
  <c r="I64" i="2"/>
  <c r="U103" i="2"/>
  <c r="O243" i="2"/>
  <c r="P2416" i="2"/>
  <c r="T1332" i="2"/>
  <c r="E1889" i="2"/>
  <c r="N3138" i="2"/>
  <c r="T40" i="2"/>
  <c r="R998" i="2"/>
  <c r="K1541" i="2"/>
  <c r="V1435" i="2"/>
  <c r="C2049" i="2"/>
  <c r="O2509" i="2"/>
  <c r="I744" i="2"/>
  <c r="C1389" i="2"/>
  <c r="O1224" i="2"/>
  <c r="U1985" i="2"/>
  <c r="D561" i="2"/>
  <c r="V2740" i="2"/>
  <c r="G2101" i="2"/>
  <c r="J797" i="2"/>
  <c r="U1341" i="2"/>
  <c r="K2012" i="2"/>
  <c r="G965" i="2"/>
  <c r="U1508" i="2"/>
  <c r="S2003" i="2"/>
  <c r="P828" i="2"/>
  <c r="P2937" i="2"/>
  <c r="Q760" i="2"/>
  <c r="E938" i="2"/>
  <c r="V2106" i="2"/>
  <c r="W1852" i="2"/>
  <c r="F2783" i="2"/>
  <c r="G1159" i="2"/>
  <c r="M3214" i="2"/>
  <c r="U2014" i="2"/>
  <c r="F1300" i="2"/>
  <c r="R1570" i="2"/>
  <c r="E692" i="2"/>
  <c r="I819" i="2"/>
  <c r="L2689" i="2"/>
  <c r="V2075" i="2"/>
  <c r="M746" i="2"/>
  <c r="E807" i="2"/>
  <c r="P2754" i="2"/>
  <c r="N1333" i="2"/>
  <c r="D2677" i="2"/>
  <c r="T1987" i="2"/>
  <c r="L1920" i="2"/>
  <c r="P1514" i="2"/>
  <c r="J1288" i="2"/>
  <c r="I1460" i="2"/>
  <c r="N1204" i="2"/>
  <c r="F130" i="2"/>
  <c r="R367" i="2"/>
  <c r="Q313" i="2"/>
  <c r="U1188" i="2"/>
  <c r="W337" i="2"/>
  <c r="M2887" i="2"/>
  <c r="J1872" i="2"/>
  <c r="W560" i="2"/>
  <c r="K2125" i="2"/>
  <c r="Q1521" i="2"/>
  <c r="P806" i="2"/>
  <c r="L2513" i="2"/>
  <c r="D497" i="2"/>
  <c r="O2295" i="2"/>
  <c r="O377" i="2"/>
  <c r="H2549" i="2"/>
  <c r="M2646" i="2"/>
  <c r="V1389" i="2"/>
  <c r="D2168" i="2"/>
  <c r="V3039" i="2"/>
  <c r="R953" i="2"/>
  <c r="S1826" i="2"/>
  <c r="Q471" i="2"/>
  <c r="S1652" i="2"/>
  <c r="M3019" i="2"/>
  <c r="T3394" i="2"/>
  <c r="T871" i="2"/>
  <c r="L2275" i="2"/>
  <c r="Q2721" i="2"/>
  <c r="W256" i="2"/>
  <c r="S2134" i="2"/>
  <c r="F2576" i="2"/>
  <c r="P130" i="2"/>
  <c r="V1793" i="2"/>
  <c r="S1097" i="2"/>
  <c r="L52" i="2"/>
  <c r="C123" i="2"/>
  <c r="G812" i="2"/>
  <c r="H1246" i="2"/>
  <c r="P485" i="2"/>
  <c r="J2314" i="2"/>
  <c r="H1302" i="2"/>
  <c r="J2071" i="2"/>
  <c r="T168" i="2"/>
  <c r="M1226" i="2"/>
  <c r="M187" i="2"/>
  <c r="C1639" i="2"/>
  <c r="S302" i="2"/>
  <c r="Q3168" i="2"/>
  <c r="M1862" i="2"/>
  <c r="C2858" i="2"/>
  <c r="R202" i="2"/>
  <c r="L2884" i="2"/>
  <c r="V1971" i="2"/>
  <c r="F2058" i="2"/>
  <c r="H2693" i="2"/>
  <c r="H3043" i="2"/>
  <c r="E922" i="2"/>
  <c r="M789" i="2"/>
  <c r="G1173" i="2"/>
  <c r="M2479" i="2"/>
  <c r="F931" i="2"/>
  <c r="U2119" i="2"/>
  <c r="U1454" i="2"/>
  <c r="S2223" i="2"/>
  <c r="Q2997" i="2"/>
  <c r="V1980" i="2"/>
  <c r="V1892" i="2"/>
  <c r="F2678" i="2"/>
  <c r="K553" i="2"/>
  <c r="Q2412" i="2"/>
  <c r="K1673" i="2"/>
  <c r="S139" i="2"/>
  <c r="S1906" i="2"/>
  <c r="C1198" i="2"/>
  <c r="D2321" i="2"/>
  <c r="W444" i="2"/>
  <c r="V1196" i="2"/>
  <c r="R1758" i="2"/>
  <c r="G2701" i="2"/>
  <c r="Q1136" i="2"/>
  <c r="W747" i="2"/>
  <c r="M2419" i="2"/>
  <c r="L139" i="2"/>
  <c r="D222" i="2"/>
  <c r="S1888" i="2"/>
  <c r="G2088" i="2"/>
  <c r="R2782" i="2"/>
  <c r="W1098" i="2"/>
  <c r="S1028" i="2"/>
  <c r="G1678" i="2"/>
  <c r="R252" i="2"/>
  <c r="H792" i="2"/>
  <c r="F1129" i="2"/>
  <c r="D2090" i="2"/>
  <c r="V2812" i="2"/>
  <c r="U32" i="2"/>
  <c r="P2726" i="2"/>
  <c r="T728" i="2"/>
  <c r="H1002" i="2"/>
  <c r="Q2990" i="2"/>
  <c r="O858" i="2"/>
  <c r="C1268" i="2"/>
  <c r="P870" i="2"/>
  <c r="H414" i="2"/>
  <c r="S713" i="2"/>
  <c r="S267" i="2"/>
  <c r="T1392" i="2"/>
  <c r="U67" i="2"/>
  <c r="J941" i="2"/>
  <c r="P436" i="2"/>
  <c r="Q398" i="2"/>
  <c r="H65" i="2"/>
  <c r="V329" i="2"/>
  <c r="G1918" i="2"/>
  <c r="S1220" i="2"/>
  <c r="D69" i="2"/>
  <c r="H1101" i="2"/>
  <c r="M1888" i="2"/>
  <c r="S1430" i="2"/>
  <c r="M1371" i="2"/>
  <c r="I3003" i="2"/>
  <c r="F3219" i="2"/>
  <c r="J3445" i="2"/>
  <c r="R2066" i="2"/>
  <c r="F1667" i="2"/>
  <c r="K119" i="2"/>
  <c r="N82" i="2"/>
  <c r="W1118" i="2"/>
  <c r="N1642" i="2"/>
  <c r="T265" i="2"/>
  <c r="C1071" i="2"/>
  <c r="O166" i="2"/>
  <c r="G1355" i="2"/>
  <c r="F1944" i="2"/>
  <c r="U1139" i="2"/>
  <c r="H2674" i="2"/>
  <c r="K1181" i="2"/>
  <c r="K147" i="2"/>
  <c r="S1116" i="2"/>
  <c r="F2215" i="2"/>
  <c r="G2130" i="2"/>
  <c r="P1556" i="2"/>
  <c r="C7" i="2"/>
  <c r="C649" i="2"/>
  <c r="M931" i="2"/>
  <c r="R840" i="2"/>
  <c r="S433" i="2"/>
  <c r="O1123" i="2"/>
  <c r="N837" i="2"/>
  <c r="K1419" i="2"/>
  <c r="T292" i="2"/>
  <c r="T1740" i="2"/>
  <c r="S3361" i="2"/>
  <c r="U1186" i="2"/>
  <c r="N864" i="2"/>
  <c r="G1522" i="2"/>
  <c r="D208" i="2"/>
  <c r="K1212" i="2"/>
  <c r="O738" i="2"/>
  <c r="G1931" i="2"/>
  <c r="C381" i="2"/>
  <c r="L3481" i="2"/>
  <c r="F1107" i="2"/>
  <c r="Q2702" i="2"/>
  <c r="Q2564" i="2"/>
  <c r="L2660" i="2"/>
  <c r="V1828" i="2"/>
  <c r="G2512" i="2"/>
  <c r="E2056" i="2"/>
  <c r="T508" i="2"/>
  <c r="K1101" i="2"/>
  <c r="M1043" i="2"/>
  <c r="C765" i="2"/>
  <c r="Q1359" i="2"/>
  <c r="I2416" i="2"/>
  <c r="W2073" i="2"/>
  <c r="P2994" i="2"/>
  <c r="K945" i="2"/>
  <c r="L2742" i="2"/>
  <c r="G73" i="2"/>
  <c r="K899" i="2"/>
  <c r="O302" i="2"/>
  <c r="G1215" i="2"/>
  <c r="J400" i="2"/>
  <c r="R2107" i="2"/>
  <c r="K3135" i="2"/>
  <c r="C1877" i="2"/>
  <c r="N1554" i="2"/>
  <c r="W944" i="2"/>
  <c r="P169" i="2"/>
  <c r="F2228" i="2"/>
  <c r="D1711" i="2"/>
  <c r="S2639" i="2"/>
  <c r="W1522" i="2"/>
  <c r="V3083" i="2"/>
  <c r="W2130" i="2"/>
  <c r="G3237" i="2"/>
  <c r="G2968" i="2"/>
  <c r="R1834" i="2"/>
  <c r="G963" i="2"/>
  <c r="C2688" i="2"/>
  <c r="I809" i="2"/>
  <c r="E481" i="2"/>
  <c r="F564" i="2"/>
  <c r="R3098" i="2"/>
  <c r="E192" i="2"/>
  <c r="H56" i="2"/>
  <c r="Q2740" i="2"/>
  <c r="J2825" i="2"/>
  <c r="I21" i="2"/>
  <c r="I2578" i="2"/>
  <c r="Q1250" i="2"/>
  <c r="N2926" i="2"/>
  <c r="P1018" i="2"/>
  <c r="R2504" i="2"/>
  <c r="N1563" i="2"/>
  <c r="I2462" i="2"/>
  <c r="M1185" i="2"/>
  <c r="D163" i="2"/>
  <c r="K660" i="2"/>
  <c r="N2985" i="2"/>
  <c r="V1269" i="2"/>
  <c r="G1138" i="2"/>
  <c r="Q795" i="2"/>
  <c r="W2592" i="2"/>
  <c r="F846" i="2"/>
  <c r="L1133" i="2"/>
  <c r="F531" i="2"/>
  <c r="Q1561" i="2"/>
  <c r="M1951" i="2"/>
  <c r="E1095" i="2"/>
  <c r="R55" i="2"/>
  <c r="O881" i="2"/>
  <c r="R2383" i="2"/>
  <c r="G1856" i="2"/>
  <c r="U935" i="2"/>
  <c r="W436" i="2"/>
  <c r="C1784" i="2"/>
  <c r="C3257" i="2"/>
  <c r="V196" i="2"/>
  <c r="H308" i="2"/>
  <c r="Q539" i="2"/>
  <c r="P2762" i="2"/>
  <c r="M1240" i="2"/>
  <c r="P733" i="2"/>
  <c r="Q7" i="2"/>
  <c r="F2410" i="2"/>
  <c r="T819" i="2"/>
  <c r="D2597" i="2"/>
  <c r="R2371" i="2"/>
  <c r="N234" i="2"/>
  <c r="R1994" i="2"/>
  <c r="L1822" i="2"/>
  <c r="L2323" i="2"/>
  <c r="E1687" i="2"/>
  <c r="F2987" i="2"/>
  <c r="I361" i="2"/>
  <c r="U2370" i="2"/>
  <c r="C732" i="2"/>
  <c r="N2662" i="2"/>
  <c r="T360" i="2"/>
  <c r="V2753" i="2"/>
  <c r="G1171" i="2"/>
  <c r="Q509" i="2"/>
  <c r="P352" i="2"/>
  <c r="U1887" i="2"/>
  <c r="C2321" i="2"/>
  <c r="G1267" i="2"/>
  <c r="O165" i="2"/>
  <c r="P1695" i="2"/>
  <c r="P287" i="2"/>
  <c r="V1227" i="2"/>
  <c r="O499" i="2"/>
  <c r="I1056" i="2"/>
  <c r="J1126" i="2"/>
  <c r="P1540" i="2"/>
  <c r="P1391" i="2"/>
  <c r="Q587" i="2"/>
  <c r="J2176" i="2"/>
  <c r="T460" i="2"/>
  <c r="W2817" i="2"/>
  <c r="N1686" i="2"/>
  <c r="C2398" i="2"/>
  <c r="P1988" i="2"/>
  <c r="Q2094" i="2"/>
  <c r="S2737" i="2"/>
  <c r="V2194" i="2"/>
  <c r="J558" i="2"/>
  <c r="E743" i="2"/>
  <c r="R50" i="2"/>
  <c r="C570" i="2"/>
  <c r="M1407" i="2"/>
  <c r="L740" i="2"/>
  <c r="L1860" i="2"/>
  <c r="S542" i="2"/>
  <c r="C1446" i="2"/>
  <c r="K2694" i="2"/>
  <c r="K979" i="2"/>
  <c r="R1466" i="2"/>
  <c r="D2035" i="2"/>
  <c r="R1742" i="2"/>
  <c r="F1446" i="2"/>
  <c r="J2178" i="2"/>
  <c r="W3091" i="2"/>
  <c r="H2773" i="2"/>
  <c r="K1076" i="2"/>
  <c r="U2589" i="2"/>
  <c r="G1675" i="2"/>
  <c r="Q2661" i="2"/>
  <c r="K81" i="2"/>
  <c r="K1028" i="2"/>
  <c r="S949" i="2"/>
  <c r="U2927" i="2"/>
  <c r="W1007" i="2"/>
  <c r="P1725" i="2"/>
  <c r="K111" i="2"/>
  <c r="J3139" i="2"/>
  <c r="U707" i="2"/>
  <c r="P2357" i="2"/>
  <c r="J662" i="2"/>
  <c r="P2307" i="2"/>
  <c r="O1154" i="2"/>
  <c r="D961" i="2"/>
  <c r="E1167" i="2"/>
  <c r="M979" i="2"/>
  <c r="E1184" i="2"/>
  <c r="D1213" i="2"/>
  <c r="K3048" i="2"/>
  <c r="H1885" i="2"/>
  <c r="P746" i="2"/>
  <c r="T1225" i="2"/>
  <c r="C243" i="2"/>
  <c r="J1447" i="2"/>
  <c r="J103" i="2"/>
  <c r="H2891" i="2"/>
  <c r="T3341" i="2"/>
  <c r="N2739" i="2"/>
  <c r="U3106" i="2"/>
  <c r="V1089" i="2"/>
  <c r="Q980" i="2"/>
  <c r="C909" i="2"/>
  <c r="D2272" i="2"/>
  <c r="O2040" i="2"/>
  <c r="G2916" i="2"/>
  <c r="S44" i="2"/>
  <c r="N2766" i="2"/>
  <c r="O1834" i="2"/>
  <c r="I2445" i="2"/>
  <c r="U1771" i="2"/>
  <c r="M1223" i="2"/>
  <c r="R2372" i="2"/>
  <c r="H2725" i="2"/>
  <c r="K1374" i="2"/>
  <c r="N2865" i="2"/>
  <c r="L2040" i="2"/>
  <c r="Q1951" i="2"/>
  <c r="O1624" i="2"/>
  <c r="J276" i="2"/>
  <c r="L2753" i="2"/>
  <c r="F2927" i="2"/>
  <c r="S3086" i="2"/>
  <c r="V678" i="2"/>
  <c r="L734" i="2"/>
  <c r="R2452" i="2"/>
  <c r="L1956" i="2"/>
  <c r="W1257" i="2"/>
  <c r="M1876" i="2"/>
  <c r="N389" i="2"/>
  <c r="J3004" i="2"/>
  <c r="K1219" i="2"/>
  <c r="L2613" i="2"/>
  <c r="N1184" i="2"/>
  <c r="P2281" i="2"/>
  <c r="P611" i="2"/>
  <c r="H2164" i="2"/>
  <c r="K2664" i="2"/>
  <c r="R3246" i="2"/>
  <c r="R2042" i="2"/>
  <c r="L2253" i="2"/>
  <c r="F177" i="2"/>
  <c r="L1810" i="2"/>
  <c r="M1536" i="2"/>
  <c r="H2217" i="2"/>
  <c r="M898" i="2"/>
  <c r="E3163" i="2"/>
  <c r="H489" i="2"/>
  <c r="I1908" i="2"/>
  <c r="D557" i="2"/>
  <c r="N2350" i="2"/>
  <c r="E1450" i="2"/>
  <c r="N1392" i="2"/>
  <c r="K1214" i="2"/>
  <c r="L1655" i="2"/>
  <c r="M2930" i="2"/>
  <c r="H2014" i="2"/>
  <c r="S476" i="2"/>
  <c r="H3133" i="2"/>
  <c r="N2499" i="2"/>
  <c r="R103" i="2"/>
  <c r="J336" i="2"/>
  <c r="M1748" i="2"/>
  <c r="C1032" i="2"/>
  <c r="F266" i="2"/>
  <c r="O1415" i="2"/>
  <c r="G1687" i="2"/>
  <c r="T1432" i="2"/>
  <c r="D1972" i="2"/>
  <c r="O2358" i="2"/>
  <c r="Q184" i="2"/>
  <c r="T1205" i="2"/>
  <c r="V1212" i="2"/>
  <c r="E500" i="2"/>
  <c r="T1673" i="2"/>
  <c r="C1840" i="2"/>
  <c r="I886" i="2"/>
  <c r="P2583" i="2"/>
  <c r="I1782" i="2"/>
  <c r="P2144" i="2"/>
  <c r="M390" i="2"/>
  <c r="S2801" i="2"/>
  <c r="N2564" i="2"/>
  <c r="E642" i="2"/>
  <c r="G1616" i="2"/>
  <c r="G910" i="2"/>
  <c r="N3358" i="2"/>
  <c r="E314" i="2"/>
  <c r="C837" i="2"/>
  <c r="S234" i="2"/>
  <c r="G1795" i="2"/>
  <c r="P2963" i="2"/>
  <c r="V63" i="2"/>
  <c r="F3283" i="2"/>
  <c r="J2595" i="2"/>
  <c r="G2690" i="2"/>
  <c r="G2279" i="2"/>
  <c r="P718" i="2"/>
  <c r="D1010" i="2"/>
  <c r="O1389" i="2"/>
  <c r="E140" i="2"/>
  <c r="E781" i="2"/>
  <c r="O2319" i="2"/>
  <c r="F356" i="2"/>
  <c r="V2185" i="2"/>
  <c r="J2487" i="2"/>
  <c r="K2192" i="2"/>
  <c r="N1018" i="2"/>
  <c r="G835" i="2"/>
  <c r="M2401" i="2"/>
  <c r="N669" i="2"/>
  <c r="L2767" i="2"/>
  <c r="V3060" i="2"/>
  <c r="T1012" i="2"/>
  <c r="K1070" i="2"/>
  <c r="J1801" i="2"/>
  <c r="E2578" i="2"/>
  <c r="I1219" i="2"/>
  <c r="O3162" i="2"/>
  <c r="W2441" i="2"/>
  <c r="L2407" i="2"/>
  <c r="D64" i="2"/>
  <c r="N2748" i="2"/>
  <c r="U1308" i="2"/>
  <c r="S487" i="2"/>
  <c r="I2176" i="2"/>
  <c r="K552" i="2"/>
  <c r="Q1266" i="2"/>
  <c r="K265" i="2"/>
  <c r="J30" i="2"/>
  <c r="O1883" i="2"/>
  <c r="W489" i="2"/>
  <c r="Q1650" i="2"/>
  <c r="C515" i="2"/>
  <c r="D2320" i="2"/>
  <c r="N482" i="2"/>
  <c r="T1265" i="2"/>
  <c r="S1819" i="2"/>
  <c r="N1120" i="2"/>
  <c r="H2476" i="2"/>
  <c r="E2341" i="2"/>
  <c r="J3128" i="2"/>
  <c r="L903" i="2"/>
  <c r="O1968" i="2"/>
  <c r="L1255" i="2"/>
  <c r="R547" i="2"/>
  <c r="M136" i="2"/>
  <c r="V1914" i="2"/>
  <c r="D2909" i="2"/>
  <c r="R636" i="2"/>
  <c r="L253" i="2"/>
  <c r="L2128" i="2"/>
  <c r="E124" i="2"/>
  <c r="F1113" i="2"/>
  <c r="H672" i="2"/>
  <c r="V1706" i="2"/>
  <c r="I389" i="2"/>
  <c r="R2575" i="2"/>
  <c r="G365" i="2"/>
  <c r="F1809" i="2"/>
  <c r="M1159" i="2"/>
  <c r="W2728" i="2"/>
  <c r="W1051" i="2"/>
  <c r="Q2072" i="2"/>
  <c r="T2164" i="2"/>
  <c r="J938" i="2"/>
  <c r="J3005" i="2"/>
  <c r="J2861" i="2"/>
  <c r="S2498" i="2"/>
  <c r="G1380" i="2"/>
  <c r="E3257" i="2"/>
  <c r="K2166" i="2"/>
  <c r="R1253" i="2"/>
  <c r="R78" i="2"/>
  <c r="R1690" i="2"/>
  <c r="W1756" i="2"/>
  <c r="W1125" i="2"/>
  <c r="K855" i="2"/>
  <c r="F1397" i="2"/>
  <c r="P3073" i="2"/>
  <c r="H1416" i="2"/>
  <c r="K426" i="2"/>
  <c r="R2473" i="2"/>
  <c r="G838" i="2"/>
  <c r="H147" i="2"/>
  <c r="M847" i="2"/>
  <c r="M2680" i="2"/>
  <c r="N1736" i="2"/>
  <c r="P377" i="2"/>
  <c r="W1072" i="2"/>
  <c r="U143" i="2"/>
  <c r="F258" i="2"/>
  <c r="Q2648" i="2"/>
  <c r="D448" i="2"/>
  <c r="D968" i="2"/>
  <c r="J698" i="2"/>
  <c r="L1427" i="2"/>
  <c r="Q576" i="2"/>
  <c r="F2538" i="2"/>
  <c r="H1892" i="2"/>
  <c r="E1040" i="2"/>
  <c r="P591" i="2"/>
  <c r="C1069" i="2"/>
  <c r="M897" i="2"/>
  <c r="F2118" i="2"/>
  <c r="Q182" i="2"/>
  <c r="O1287" i="2"/>
  <c r="E205" i="2"/>
  <c r="D1260" i="2"/>
  <c r="G65" i="2"/>
  <c r="V2383" i="2"/>
  <c r="W1714" i="2"/>
  <c r="H1247" i="2"/>
  <c r="O2902" i="2"/>
  <c r="F2448" i="2"/>
  <c r="E2431" i="2"/>
  <c r="S2026" i="2"/>
  <c r="M1199" i="2"/>
  <c r="H479" i="2"/>
  <c r="V1830" i="2"/>
  <c r="V1449" i="2"/>
  <c r="D2461" i="2"/>
  <c r="E1824" i="2"/>
  <c r="O1090" i="2"/>
  <c r="K2552" i="2"/>
  <c r="D244" i="2"/>
  <c r="N2059" i="2"/>
  <c r="S3074" i="2"/>
  <c r="Q2636" i="2"/>
  <c r="T130" i="2"/>
  <c r="W366" i="2"/>
  <c r="N2234" i="2"/>
  <c r="D3345" i="2"/>
  <c r="H2371" i="2"/>
  <c r="I2443" i="2"/>
  <c r="T1306" i="2"/>
  <c r="T3228" i="2"/>
  <c r="G2211" i="2"/>
  <c r="C1687" i="2"/>
  <c r="F1381" i="2"/>
  <c r="J1969" i="2"/>
  <c r="M2711" i="2"/>
  <c r="N2658" i="2"/>
  <c r="P1736" i="2"/>
  <c r="N1192" i="2"/>
  <c r="O2632" i="2"/>
  <c r="P1270" i="2"/>
  <c r="P1891" i="2"/>
  <c r="K1475" i="2"/>
  <c r="Q1685" i="2"/>
  <c r="P1415" i="2"/>
  <c r="F1028" i="2"/>
  <c r="Q513" i="2"/>
  <c r="I1112" i="2"/>
  <c r="C3117" i="2"/>
  <c r="W281" i="2"/>
  <c r="N1853" i="2"/>
  <c r="J2265" i="2"/>
  <c r="W399" i="2"/>
  <c r="S658" i="2"/>
  <c r="R2632" i="2"/>
  <c r="P959" i="2"/>
  <c r="D2111" i="2"/>
  <c r="Q154" i="2"/>
  <c r="Q324" i="2"/>
  <c r="I869" i="2"/>
  <c r="G1287" i="2"/>
  <c r="G2480" i="2"/>
  <c r="P2578" i="2"/>
  <c r="C903" i="2"/>
  <c r="C1040" i="2"/>
  <c r="C3230" i="2"/>
  <c r="I22" i="2"/>
  <c r="L1178" i="2"/>
  <c r="P1537" i="2"/>
  <c r="M2100" i="2"/>
  <c r="M2020" i="2"/>
  <c r="F99" i="2"/>
  <c r="P1548" i="2"/>
  <c r="C1311" i="2"/>
  <c r="P641" i="2"/>
  <c r="C758" i="2"/>
  <c r="U138" i="2"/>
  <c r="K864" i="2"/>
  <c r="G368" i="2"/>
  <c r="V2437" i="2"/>
  <c r="V212" i="2"/>
  <c r="C1916" i="2"/>
  <c r="Q354" i="2"/>
  <c r="K443" i="2"/>
  <c r="H2886" i="2"/>
  <c r="O608" i="2"/>
  <c r="O768" i="2"/>
  <c r="T77" i="2"/>
  <c r="G1680" i="2"/>
  <c r="R3465" i="2"/>
  <c r="E2078" i="2"/>
  <c r="C3428" i="2"/>
  <c r="S2935" i="2"/>
  <c r="O1677" i="2"/>
  <c r="E546" i="2"/>
  <c r="O2675" i="2"/>
  <c r="O992" i="2"/>
  <c r="C2161" i="2"/>
  <c r="W2768" i="2"/>
  <c r="I1338" i="2"/>
  <c r="L192" i="2"/>
  <c r="W1364" i="2"/>
  <c r="O2928" i="2"/>
  <c r="K790" i="2"/>
  <c r="G1430" i="2"/>
  <c r="G755" i="2"/>
  <c r="N836" i="2"/>
  <c r="F818" i="2"/>
  <c r="V527" i="2"/>
  <c r="N3081" i="2"/>
  <c r="H2196" i="2"/>
  <c r="O381" i="2"/>
  <c r="D1798" i="2"/>
  <c r="S1625" i="2"/>
  <c r="P1218" i="2"/>
  <c r="E581" i="2"/>
  <c r="M2197" i="2"/>
  <c r="S2076" i="2"/>
  <c r="S766" i="2"/>
  <c r="E940" i="2"/>
  <c r="J2429" i="2"/>
  <c r="V3243" i="2"/>
  <c r="M2932" i="2"/>
  <c r="O1876" i="2"/>
  <c r="L2256" i="2"/>
  <c r="G792" i="2"/>
  <c r="G1419" i="2"/>
  <c r="F2366" i="2"/>
  <c r="O218" i="2"/>
  <c r="U265" i="2"/>
  <c r="H1080" i="2"/>
  <c r="M1925" i="2"/>
  <c r="J2585" i="2"/>
  <c r="T1061" i="2"/>
  <c r="U1564" i="2"/>
  <c r="V50" i="2"/>
  <c r="I1047" i="2"/>
  <c r="H1161" i="2"/>
  <c r="I2488" i="2"/>
  <c r="O208" i="2"/>
  <c r="U2158" i="2"/>
  <c r="M769" i="2"/>
  <c r="I137" i="2"/>
  <c r="K2264" i="2"/>
  <c r="L2000" i="2"/>
  <c r="D3086" i="2"/>
  <c r="W519" i="2"/>
  <c r="F1057" i="2"/>
  <c r="O191" i="2"/>
  <c r="F754" i="2"/>
  <c r="K2034" i="2"/>
  <c r="T1580" i="2"/>
  <c r="H2598" i="2"/>
  <c r="P1250" i="2"/>
  <c r="M1291" i="2"/>
  <c r="I1557" i="2"/>
  <c r="J1323" i="2"/>
  <c r="K2754" i="2"/>
  <c r="M568" i="2"/>
  <c r="M1284" i="2"/>
  <c r="K1890" i="2"/>
  <c r="O1575" i="2"/>
  <c r="N2368" i="2"/>
  <c r="R1591" i="2"/>
  <c r="U2796" i="2"/>
  <c r="F2362" i="2"/>
  <c r="J2408" i="2"/>
  <c r="N804" i="2"/>
  <c r="K1120" i="2"/>
  <c r="H1750" i="2"/>
  <c r="O958" i="2"/>
  <c r="V1031" i="2"/>
  <c r="S532" i="2"/>
  <c r="O3193" i="2"/>
  <c r="R514" i="2"/>
  <c r="I1436" i="2"/>
  <c r="K310" i="2"/>
  <c r="I2232" i="2"/>
  <c r="M907" i="2"/>
  <c r="N1389" i="2"/>
  <c r="R1677" i="2"/>
  <c r="U251" i="2"/>
  <c r="V2627" i="2"/>
  <c r="U1587" i="2"/>
  <c r="E266" i="2"/>
  <c r="P1450" i="2"/>
  <c r="J1267" i="2"/>
  <c r="S3461" i="2"/>
  <c r="L2740" i="2"/>
  <c r="H3249" i="2"/>
  <c r="I910" i="2"/>
  <c r="E1272" i="2"/>
  <c r="S2180" i="2"/>
  <c r="H1180" i="2"/>
  <c r="V372" i="2"/>
  <c r="C1333" i="2"/>
  <c r="D2937" i="2"/>
  <c r="W39" i="2"/>
  <c r="U1000" i="2"/>
  <c r="U2105" i="2"/>
  <c r="J2887" i="2"/>
  <c r="F808" i="2"/>
  <c r="O458" i="2"/>
  <c r="I1305" i="2"/>
  <c r="U2776" i="2"/>
  <c r="R844" i="2"/>
  <c r="K685" i="2"/>
  <c r="M2578" i="2"/>
  <c r="E1397" i="2"/>
  <c r="T3412" i="2"/>
  <c r="E880" i="2"/>
  <c r="Q921" i="2"/>
  <c r="F2561" i="2"/>
  <c r="W1551" i="2"/>
  <c r="V417" i="2"/>
  <c r="W445" i="2"/>
  <c r="C3014" i="2"/>
  <c r="O924" i="2"/>
  <c r="F1121" i="2"/>
  <c r="J2445" i="2"/>
  <c r="J1119" i="2"/>
  <c r="C3469" i="2"/>
  <c r="R444" i="2"/>
  <c r="G1733" i="2"/>
  <c r="W2536" i="2"/>
  <c r="T1473" i="2"/>
  <c r="R1898" i="2"/>
  <c r="E2158" i="2"/>
  <c r="G2341" i="2"/>
  <c r="I1478" i="2"/>
  <c r="O1071" i="2"/>
  <c r="M548" i="2"/>
  <c r="S754" i="2"/>
  <c r="F3087" i="2"/>
  <c r="T2" i="2"/>
  <c r="R2337" i="2"/>
  <c r="P195" i="2"/>
  <c r="W2455" i="2"/>
  <c r="V1185" i="2"/>
  <c r="V567" i="2"/>
  <c r="U2465" i="2"/>
  <c r="O327" i="2"/>
  <c r="I1710" i="2"/>
  <c r="J649" i="2"/>
  <c r="L934" i="2"/>
  <c r="D2473" i="2"/>
  <c r="Q2431" i="2"/>
  <c r="W70" i="2"/>
  <c r="E1699" i="2"/>
  <c r="M1698" i="2"/>
  <c r="I1310" i="2"/>
  <c r="I1889" i="2"/>
  <c r="V804" i="2"/>
  <c r="N2518" i="2"/>
  <c r="T530" i="2"/>
  <c r="W250" i="2"/>
  <c r="F2067" i="2"/>
  <c r="T1141" i="2"/>
  <c r="J147" i="2"/>
  <c r="L763" i="2"/>
  <c r="D179" i="2"/>
  <c r="S190" i="2"/>
  <c r="W2510" i="2"/>
  <c r="Q82" i="2"/>
  <c r="C777" i="2"/>
  <c r="Q176" i="2"/>
  <c r="E410" i="2"/>
  <c r="U972" i="2"/>
  <c r="N1677" i="2"/>
  <c r="V2493" i="2"/>
  <c r="C1105" i="2"/>
  <c r="I2911" i="2"/>
  <c r="N1621" i="2"/>
  <c r="G2212" i="2"/>
  <c r="N429" i="2"/>
  <c r="M2649" i="2"/>
  <c r="E1841" i="2"/>
  <c r="T2005" i="2"/>
  <c r="H2414" i="2"/>
  <c r="U2417" i="2"/>
  <c r="T2459" i="2"/>
  <c r="O1329" i="2"/>
  <c r="L1472" i="2"/>
  <c r="D19" i="2"/>
  <c r="U2660" i="2"/>
  <c r="N1078" i="2"/>
  <c r="H2025" i="2"/>
  <c r="C2569" i="2"/>
  <c r="C640" i="2"/>
  <c r="V1179" i="2"/>
  <c r="P2112" i="2"/>
  <c r="F1570" i="2"/>
  <c r="C625" i="2"/>
  <c r="T288" i="2"/>
  <c r="P1317" i="2"/>
  <c r="W1067" i="2"/>
  <c r="W2237" i="2"/>
  <c r="N1460" i="2"/>
  <c r="J1747" i="2"/>
  <c r="G1049" i="2"/>
  <c r="Q1813" i="2"/>
  <c r="C675" i="2"/>
  <c r="N2193" i="2"/>
  <c r="G1327" i="2"/>
  <c r="D1452" i="2"/>
  <c r="K1372" i="2"/>
  <c r="O1358" i="2"/>
  <c r="D1420" i="2"/>
  <c r="L2274" i="2"/>
  <c r="L88" i="2"/>
  <c r="K1674" i="2"/>
  <c r="K2492" i="2"/>
  <c r="L3272" i="2"/>
  <c r="P241" i="2"/>
  <c r="I138" i="2"/>
  <c r="N340" i="2"/>
  <c r="L2777" i="2"/>
  <c r="H506" i="2"/>
  <c r="I1954" i="2"/>
  <c r="N1496" i="2"/>
  <c r="Q1009" i="2"/>
  <c r="W2763" i="2"/>
  <c r="C1738" i="2"/>
  <c r="P1552" i="2"/>
  <c r="T1435" i="2"/>
  <c r="Q875" i="2"/>
  <c r="F2799" i="2"/>
  <c r="N858" i="2"/>
  <c r="K1659" i="2"/>
  <c r="O480" i="2"/>
  <c r="R2447" i="2"/>
  <c r="F2034" i="2"/>
  <c r="E883" i="2"/>
  <c r="V2217" i="2"/>
  <c r="I1988" i="2"/>
  <c r="T3285" i="2"/>
  <c r="K2889" i="2"/>
  <c r="R893" i="2"/>
  <c r="F2224" i="2"/>
  <c r="J2463" i="2"/>
  <c r="L1449" i="2"/>
  <c r="L2656" i="2"/>
  <c r="J1901" i="2"/>
  <c r="T1415" i="2"/>
  <c r="O2227" i="2"/>
  <c r="G2714" i="2"/>
  <c r="P2590" i="2"/>
  <c r="V659" i="2"/>
  <c r="S2440" i="2"/>
  <c r="T2914" i="2"/>
  <c r="V2874" i="2"/>
  <c r="H3071" i="2"/>
  <c r="N2121" i="2"/>
  <c r="L3109" i="2"/>
  <c r="I3106" i="2"/>
  <c r="S2297" i="2"/>
  <c r="T1035" i="2"/>
  <c r="S3324" i="2"/>
  <c r="S56" i="2"/>
  <c r="K1148" i="2"/>
  <c r="G2079" i="2"/>
  <c r="V1187" i="2"/>
  <c r="K219" i="2"/>
  <c r="Q2227" i="2"/>
  <c r="W3177" i="2"/>
  <c r="M1358" i="2"/>
  <c r="K3089" i="2"/>
  <c r="S2211" i="2"/>
  <c r="S1433" i="2"/>
  <c r="M1715" i="2"/>
  <c r="P2183" i="2"/>
  <c r="C2558" i="2"/>
  <c r="V521" i="2"/>
  <c r="H2323" i="2"/>
  <c r="H837" i="2"/>
  <c r="F126" i="2"/>
  <c r="U756" i="2"/>
  <c r="T1326" i="2"/>
  <c r="W1224" i="2"/>
  <c r="W2680" i="2"/>
  <c r="Q1615" i="2"/>
  <c r="H457" i="2"/>
  <c r="W1227" i="2"/>
  <c r="N2553" i="2"/>
  <c r="Q964" i="2"/>
  <c r="U2546" i="2"/>
  <c r="Q2399" i="2"/>
  <c r="N908" i="2"/>
  <c r="F2534" i="2"/>
  <c r="O305" i="2"/>
  <c r="R508" i="2"/>
  <c r="D1173" i="2"/>
  <c r="E588" i="2"/>
  <c r="V2704" i="2"/>
  <c r="H665" i="2"/>
  <c r="C356" i="2"/>
  <c r="O128" i="2"/>
  <c r="T945" i="2"/>
  <c r="R3337" i="2"/>
  <c r="K1854" i="2"/>
  <c r="W2226" i="2"/>
  <c r="W858" i="2"/>
  <c r="E1269" i="2"/>
  <c r="U950" i="2"/>
  <c r="V1738" i="2"/>
  <c r="M1917" i="2"/>
  <c r="G2379" i="2"/>
  <c r="S148" i="2"/>
  <c r="L2372" i="2"/>
  <c r="W1212" i="2"/>
  <c r="H551" i="2"/>
  <c r="C705" i="2"/>
  <c r="K337" i="2"/>
  <c r="T512" i="2"/>
  <c r="G1511" i="2"/>
  <c r="U2687" i="2"/>
  <c r="F616" i="2"/>
  <c r="I955" i="2"/>
  <c r="Q2143" i="2"/>
  <c r="L1668" i="2"/>
  <c r="W701" i="2"/>
  <c r="Q110" i="2"/>
  <c r="F2804" i="2"/>
  <c r="T141" i="2"/>
  <c r="K492" i="2"/>
  <c r="U1425" i="2"/>
  <c r="N2773" i="2"/>
  <c r="H1169" i="2"/>
  <c r="H558" i="2"/>
  <c r="S1699" i="2"/>
  <c r="E823" i="2"/>
  <c r="H3103" i="2"/>
  <c r="V2218" i="2"/>
  <c r="Q1495" i="2"/>
  <c r="K2431" i="2"/>
  <c r="Q1278" i="2"/>
  <c r="K2200" i="2"/>
  <c r="H745" i="2"/>
  <c r="N3018" i="2"/>
  <c r="N585" i="2"/>
  <c r="H774" i="2"/>
  <c r="K3075" i="2"/>
  <c r="E2809" i="2"/>
  <c r="R868" i="2"/>
  <c r="W1977" i="2"/>
  <c r="J2311" i="2"/>
  <c r="H2108" i="2"/>
  <c r="E1611" i="2"/>
  <c r="C2794" i="2"/>
  <c r="L2808" i="2"/>
  <c r="E538" i="2"/>
  <c r="D403" i="2"/>
  <c r="P925" i="2"/>
  <c r="C2173" i="2"/>
  <c r="I2518" i="2"/>
  <c r="P2073" i="2"/>
  <c r="V116" i="2"/>
  <c r="O1497" i="2"/>
  <c r="L2819" i="2"/>
  <c r="W1651" i="2"/>
  <c r="C2665" i="2"/>
  <c r="U493" i="2"/>
  <c r="O482" i="2"/>
  <c r="H1461" i="2"/>
  <c r="P2545" i="2"/>
  <c r="T1505" i="2"/>
  <c r="G1673" i="2"/>
  <c r="C1239" i="2"/>
  <c r="M1080" i="2"/>
  <c r="O221" i="2"/>
  <c r="W2158" i="2"/>
  <c r="S2129" i="2"/>
  <c r="V2706" i="2"/>
  <c r="G2530" i="2"/>
  <c r="P291" i="2"/>
  <c r="N1893" i="2"/>
  <c r="W58" i="2"/>
  <c r="N1101" i="2"/>
  <c r="N176" i="2"/>
  <c r="W2496" i="2"/>
  <c r="E1764" i="2"/>
  <c r="U2234" i="2"/>
  <c r="N1882" i="2"/>
  <c r="R167" i="2"/>
  <c r="M373" i="2"/>
  <c r="Q3235" i="2"/>
  <c r="M2703" i="2"/>
  <c r="C2648" i="2"/>
  <c r="S1670" i="2"/>
  <c r="F2285" i="2"/>
  <c r="N269" i="2"/>
  <c r="O53" i="2"/>
  <c r="O1102" i="2"/>
  <c r="S808" i="2"/>
  <c r="D466" i="2"/>
  <c r="V2503" i="2"/>
  <c r="W2197" i="2"/>
  <c r="J1867" i="2"/>
  <c r="K1005" i="2"/>
  <c r="S816" i="2"/>
  <c r="S557" i="2"/>
  <c r="G1259" i="2"/>
  <c r="N337" i="2"/>
  <c r="T734" i="2"/>
  <c r="J2562" i="2"/>
  <c r="P1043" i="2"/>
  <c r="F2488" i="2"/>
  <c r="K1745" i="2"/>
  <c r="F901" i="2"/>
  <c r="N1461" i="2"/>
  <c r="L2496" i="2"/>
  <c r="F1452" i="2"/>
  <c r="U284" i="2"/>
  <c r="M1467" i="2"/>
  <c r="G145" i="2"/>
  <c r="C1173" i="2"/>
  <c r="R1590" i="2"/>
  <c r="U83" i="2"/>
  <c r="Q104" i="2"/>
  <c r="R488" i="2"/>
  <c r="P524" i="2"/>
  <c r="D478" i="2"/>
  <c r="S1504" i="2"/>
  <c r="M1558" i="2"/>
  <c r="N693" i="2"/>
  <c r="P116" i="2"/>
  <c r="T772" i="2"/>
  <c r="P816" i="2"/>
  <c r="E2521" i="2"/>
  <c r="K2687" i="2"/>
  <c r="V491" i="2"/>
  <c r="R1746" i="2"/>
  <c r="L2581" i="2"/>
  <c r="R2969" i="2"/>
  <c r="L2344" i="2"/>
  <c r="C982" i="2"/>
  <c r="C1607" i="2"/>
  <c r="F921" i="2"/>
  <c r="Q1632" i="2"/>
  <c r="J1881" i="2"/>
  <c r="P961" i="2"/>
  <c r="Q739" i="2"/>
  <c r="E2366" i="2"/>
  <c r="H1828" i="2"/>
  <c r="F664" i="2"/>
  <c r="C1175" i="2"/>
  <c r="C2937" i="2"/>
  <c r="S2252" i="2"/>
  <c r="L2058" i="2"/>
  <c r="I1833" i="2"/>
  <c r="K1454" i="2"/>
  <c r="D647" i="2"/>
  <c r="V842" i="2"/>
  <c r="I1198" i="2"/>
  <c r="R805" i="2"/>
  <c r="C2715" i="2"/>
  <c r="D421" i="2"/>
  <c r="V670" i="2"/>
  <c r="M1210" i="2"/>
  <c r="O817" i="2"/>
  <c r="I1276" i="2"/>
  <c r="U1477" i="2"/>
  <c r="V2400" i="2"/>
  <c r="J1822" i="2"/>
  <c r="I453" i="2"/>
  <c r="U1747" i="2"/>
  <c r="V473" i="2"/>
  <c r="T1603" i="2"/>
  <c r="V2070" i="2"/>
  <c r="H2983" i="2"/>
  <c r="T1934" i="2"/>
  <c r="S2544" i="2"/>
  <c r="V612" i="2"/>
  <c r="R1820" i="2"/>
  <c r="O888" i="2"/>
  <c r="H99" i="2"/>
  <c r="V1602" i="2"/>
  <c r="D667" i="2"/>
  <c r="S2918" i="2"/>
  <c r="M2528" i="2"/>
  <c r="H2729" i="2"/>
  <c r="C1775" i="2"/>
  <c r="U1069" i="2"/>
  <c r="L1511" i="2"/>
  <c r="E2756" i="2"/>
  <c r="N2243" i="2"/>
  <c r="Q248" i="2"/>
  <c r="J1794" i="2"/>
  <c r="M122" i="2"/>
  <c r="S2723" i="2"/>
  <c r="R1810" i="2"/>
  <c r="V1506" i="2"/>
  <c r="V654" i="2"/>
  <c r="E2166" i="2"/>
  <c r="D121" i="2"/>
  <c r="L2324" i="2"/>
  <c r="O989" i="2"/>
  <c r="E1682" i="2"/>
  <c r="E2363" i="2"/>
  <c r="I2850" i="2"/>
  <c r="V2777" i="2"/>
  <c r="L3007" i="2"/>
  <c r="S1705" i="2"/>
  <c r="O1231" i="2"/>
  <c r="L297" i="2"/>
  <c r="C3176" i="2"/>
  <c r="G2710" i="2"/>
  <c r="F3048" i="2"/>
  <c r="G2365" i="2"/>
  <c r="K2263" i="2"/>
  <c r="Q1036" i="2"/>
  <c r="P623" i="2"/>
  <c r="P128" i="2"/>
  <c r="D2297" i="2"/>
  <c r="L1185" i="2"/>
  <c r="R1363" i="2"/>
  <c r="U1267" i="2"/>
  <c r="N1117" i="2"/>
  <c r="T1264" i="2"/>
  <c r="Q1394" i="2"/>
  <c r="O1241" i="2"/>
  <c r="S972" i="2"/>
  <c r="L752" i="2"/>
  <c r="P1706" i="2"/>
  <c r="V2202" i="2"/>
  <c r="V965" i="2"/>
  <c r="I2929" i="2"/>
  <c r="I3419" i="2"/>
  <c r="O2627" i="2"/>
  <c r="L2245" i="2"/>
  <c r="P1871" i="2"/>
  <c r="Q460" i="2"/>
  <c r="U261" i="2"/>
  <c r="S1719" i="2"/>
  <c r="W1147" i="2"/>
  <c r="O870" i="2"/>
  <c r="H3009" i="2"/>
  <c r="J1342" i="2"/>
  <c r="T1439" i="2"/>
  <c r="T1488" i="2"/>
  <c r="G1577" i="2"/>
  <c r="H83" i="2"/>
  <c r="E1296" i="2"/>
  <c r="L1989" i="2"/>
  <c r="C1524" i="2"/>
  <c r="S1075" i="2"/>
  <c r="N333" i="2"/>
  <c r="D745" i="2"/>
  <c r="J2317" i="2"/>
  <c r="W3279" i="2"/>
  <c r="I1072" i="2"/>
  <c r="R499" i="2"/>
  <c r="O339" i="2"/>
  <c r="W1021" i="2"/>
  <c r="G1459" i="2"/>
  <c r="R2614" i="2"/>
  <c r="T1270" i="2"/>
  <c r="M2089" i="2"/>
  <c r="J1780" i="2"/>
  <c r="O1069" i="2"/>
  <c r="E2155" i="2"/>
  <c r="G2605" i="2"/>
  <c r="L1027" i="2"/>
  <c r="L293" i="2"/>
  <c r="S1725" i="2"/>
  <c r="L3152" i="2"/>
  <c r="Q3056" i="2"/>
  <c r="M1935" i="2"/>
  <c r="F1891" i="2"/>
  <c r="H2242" i="2"/>
  <c r="T341" i="2"/>
  <c r="F3120" i="2"/>
  <c r="R2443" i="2"/>
  <c r="H2211" i="2"/>
  <c r="P1423" i="2"/>
  <c r="I464" i="2"/>
  <c r="R524" i="2"/>
  <c r="P1763" i="2"/>
  <c r="F1459" i="2"/>
  <c r="W1917" i="2"/>
  <c r="U2414" i="2"/>
  <c r="V590" i="2"/>
  <c r="O1889" i="2"/>
  <c r="K1865" i="2"/>
  <c r="W1244" i="2"/>
  <c r="V2303" i="2"/>
  <c r="R1029" i="2"/>
  <c r="Q1309" i="2"/>
  <c r="W2421" i="2"/>
  <c r="E287" i="2"/>
  <c r="M1073" i="2"/>
  <c r="N2441" i="2"/>
  <c r="U2327" i="2"/>
  <c r="W49" i="2"/>
  <c r="L947" i="2"/>
  <c r="L2643" i="2"/>
  <c r="U1578" i="2"/>
  <c r="G1925" i="2"/>
  <c r="G1615" i="2"/>
  <c r="K3360" i="2"/>
  <c r="V1586" i="2"/>
  <c r="H2926" i="2"/>
  <c r="I1819" i="2"/>
  <c r="M2505" i="2"/>
  <c r="L1029" i="2"/>
  <c r="N2970" i="2"/>
  <c r="L1921" i="2"/>
  <c r="E1995" i="2"/>
  <c r="T2773" i="2"/>
  <c r="W308" i="2"/>
  <c r="V231" i="2"/>
  <c r="R2000" i="2"/>
  <c r="T2557" i="2"/>
  <c r="J1675" i="2"/>
  <c r="I1977" i="2"/>
  <c r="E634" i="2"/>
  <c r="C1155" i="2"/>
  <c r="C1177" i="2"/>
  <c r="O153" i="2"/>
  <c r="G694" i="2"/>
  <c r="F2992" i="2"/>
  <c r="P2263" i="2"/>
  <c r="S837" i="2"/>
  <c r="Q279" i="2"/>
  <c r="V626" i="2"/>
  <c r="C1031" i="2"/>
  <c r="R215" i="2"/>
  <c r="C1254" i="2"/>
  <c r="O1980" i="2"/>
  <c r="F2870" i="2"/>
  <c r="S1276" i="2"/>
  <c r="M2757" i="2"/>
  <c r="Q881" i="2"/>
  <c r="J1528" i="2"/>
  <c r="P430" i="2"/>
  <c r="W2533" i="2"/>
  <c r="M1720" i="2"/>
  <c r="W1963" i="2"/>
  <c r="T1928" i="2"/>
  <c r="V701" i="2"/>
  <c r="L17" i="2"/>
  <c r="Q1369" i="2"/>
  <c r="L2361" i="2"/>
  <c r="I2016" i="2"/>
  <c r="W232" i="2"/>
  <c r="E2361" i="2"/>
  <c r="V2353" i="2"/>
  <c r="V2536" i="2"/>
  <c r="S227" i="2"/>
  <c r="L1032" i="2"/>
  <c r="M1307" i="2"/>
  <c r="D1148" i="2"/>
  <c r="L271" i="2"/>
  <c r="V439" i="2"/>
  <c r="C1392" i="2"/>
  <c r="E1331" i="2"/>
  <c r="L885" i="2"/>
  <c r="G2241" i="2"/>
  <c r="V2428" i="2"/>
  <c r="R944" i="2"/>
  <c r="U159" i="2"/>
  <c r="E1591" i="2"/>
  <c r="D1086" i="2"/>
  <c r="G879" i="2"/>
  <c r="F3248" i="2"/>
  <c r="V2920" i="2"/>
  <c r="N2738" i="2"/>
  <c r="D1710" i="2"/>
  <c r="Q2728" i="2"/>
  <c r="H660" i="2"/>
  <c r="D2773" i="2"/>
  <c r="S1491" i="2"/>
  <c r="M2393" i="2"/>
  <c r="F1216" i="2"/>
  <c r="H979" i="2"/>
  <c r="D2477" i="2"/>
  <c r="J697" i="2"/>
  <c r="J732" i="2"/>
  <c r="U2226" i="2"/>
  <c r="E2480" i="2"/>
  <c r="H273" i="2"/>
  <c r="M856" i="2"/>
  <c r="T2193" i="2"/>
  <c r="S2335" i="2"/>
  <c r="R1878" i="2"/>
  <c r="G212" i="2"/>
  <c r="C2494" i="2"/>
  <c r="N278" i="2"/>
  <c r="G2352" i="2"/>
  <c r="D811" i="2"/>
  <c r="L2969" i="2"/>
  <c r="I221" i="2"/>
  <c r="V207" i="2"/>
  <c r="N1068" i="2"/>
  <c r="N168" i="2"/>
  <c r="M671" i="2"/>
  <c r="E120" i="2"/>
  <c r="J163" i="2"/>
  <c r="F156" i="2"/>
  <c r="P1083" i="2"/>
  <c r="Q497" i="2"/>
  <c r="N1586" i="2"/>
  <c r="T762" i="2"/>
  <c r="E73" i="2"/>
  <c r="L816" i="2"/>
  <c r="H124" i="2"/>
  <c r="T898" i="2"/>
  <c r="J2809" i="2"/>
  <c r="C1485" i="2"/>
  <c r="D2697" i="2"/>
  <c r="S601" i="2"/>
  <c r="N978" i="2"/>
  <c r="F389" i="2"/>
  <c r="U724" i="2"/>
  <c r="C2461" i="2"/>
  <c r="D129" i="2"/>
  <c r="U2154" i="2"/>
  <c r="H1468" i="2"/>
  <c r="F793" i="2"/>
  <c r="P923" i="2"/>
  <c r="W2725" i="2"/>
  <c r="H816" i="2"/>
  <c r="O2707" i="2"/>
  <c r="H761" i="2"/>
  <c r="C2364" i="2"/>
  <c r="I1468" i="2"/>
  <c r="D218" i="2"/>
  <c r="O1216" i="2"/>
  <c r="F1512" i="2"/>
  <c r="G944" i="2"/>
  <c r="P1293" i="2"/>
  <c r="V2177" i="2"/>
  <c r="V2446" i="2"/>
  <c r="W1759" i="2"/>
  <c r="T1398" i="2"/>
  <c r="R732" i="2"/>
  <c r="O2663" i="2"/>
  <c r="W2031" i="2"/>
  <c r="W1949" i="2"/>
  <c r="D1020" i="2"/>
  <c r="G2991" i="2"/>
  <c r="I1122" i="2"/>
  <c r="L1778" i="2"/>
  <c r="T572" i="2"/>
  <c r="M2004" i="2"/>
  <c r="H746" i="2"/>
  <c r="J1214" i="2"/>
  <c r="P3449" i="2"/>
  <c r="M2456" i="2"/>
  <c r="I1623" i="2"/>
  <c r="V2131" i="2"/>
  <c r="K2429" i="2"/>
  <c r="U325" i="2"/>
  <c r="U2530" i="2"/>
  <c r="P2506" i="2"/>
  <c r="U2619" i="2"/>
  <c r="G1229" i="2"/>
  <c r="R1608" i="2"/>
  <c r="U1988" i="2"/>
  <c r="U2892" i="2"/>
  <c r="N1588" i="2"/>
  <c r="M3325" i="2"/>
  <c r="O2382" i="2"/>
  <c r="H2167" i="2"/>
  <c r="R3279" i="2"/>
  <c r="S741" i="2"/>
  <c r="E1791" i="2"/>
  <c r="W2064" i="2"/>
  <c r="S3164" i="2"/>
  <c r="N1512" i="2"/>
  <c r="K1326" i="2"/>
  <c r="M736" i="2"/>
  <c r="L2251" i="2"/>
  <c r="M3125" i="2"/>
  <c r="V758" i="2"/>
  <c r="N705" i="2"/>
  <c r="S2359" i="2"/>
  <c r="V1042" i="2"/>
  <c r="M3160" i="2"/>
  <c r="O2536" i="2"/>
  <c r="E2752" i="2"/>
  <c r="M1373" i="2"/>
  <c r="U2512" i="2"/>
  <c r="G1923" i="2"/>
  <c r="L1512" i="2"/>
  <c r="H1787" i="2"/>
  <c r="C396" i="2"/>
  <c r="T3227" i="2"/>
  <c r="P1085" i="2"/>
  <c r="U361" i="2"/>
  <c r="W716" i="2"/>
  <c r="V2348" i="2"/>
  <c r="M2067" i="2"/>
  <c r="T2425" i="2"/>
  <c r="H664" i="2"/>
  <c r="Q1134" i="2"/>
  <c r="L725" i="2"/>
  <c r="N898" i="2"/>
  <c r="W1464" i="2"/>
  <c r="J556" i="2"/>
  <c r="E867" i="2"/>
  <c r="J840" i="2"/>
  <c r="Q1003" i="2"/>
  <c r="U934" i="2"/>
  <c r="R2867" i="2"/>
  <c r="N1531" i="2"/>
  <c r="G825" i="2"/>
  <c r="U2074" i="2"/>
  <c r="E2993" i="2"/>
  <c r="N2929" i="2"/>
  <c r="J2385" i="2"/>
  <c r="D2740" i="2"/>
  <c r="F1398" i="2"/>
  <c r="H2310" i="2"/>
  <c r="W2518" i="2"/>
  <c r="G1384" i="2"/>
  <c r="M1760" i="2"/>
  <c r="E310" i="2"/>
  <c r="E2438" i="2"/>
  <c r="M118" i="2"/>
  <c r="E1341" i="2"/>
  <c r="P2480" i="2"/>
  <c r="D2171" i="2"/>
  <c r="C1555" i="2"/>
  <c r="Q2623" i="2"/>
  <c r="S765" i="2"/>
  <c r="V1658" i="2"/>
  <c r="W856" i="2"/>
  <c r="E1815" i="2"/>
  <c r="N1748" i="2"/>
  <c r="O947" i="2"/>
  <c r="R928" i="2"/>
  <c r="C2365" i="2"/>
  <c r="N2732" i="2"/>
  <c r="J2373" i="2"/>
  <c r="J1927" i="2"/>
  <c r="N2612" i="2"/>
  <c r="G2974" i="2"/>
  <c r="V1166" i="2"/>
  <c r="V2672" i="2"/>
  <c r="E1097" i="2"/>
  <c r="D623" i="2"/>
  <c r="V3091" i="2"/>
  <c r="N1296" i="2"/>
  <c r="P3380" i="2"/>
  <c r="H1181" i="2"/>
  <c r="M1899" i="2"/>
  <c r="O2217" i="2"/>
  <c r="W1750" i="2"/>
  <c r="J781" i="2"/>
  <c r="H2307" i="2"/>
  <c r="Q2565" i="2"/>
  <c r="O969" i="2"/>
  <c r="P585" i="2"/>
  <c r="S412" i="2"/>
  <c r="E562" i="2"/>
  <c r="V1280" i="2"/>
  <c r="C2933" i="2"/>
  <c r="I898" i="2"/>
  <c r="W3107" i="2"/>
  <c r="C577" i="2"/>
  <c r="S2007" i="2"/>
  <c r="F1488" i="2"/>
  <c r="K1058" i="2"/>
  <c r="C2710" i="2"/>
  <c r="I813" i="2"/>
  <c r="D1550" i="2"/>
  <c r="K1817" i="2"/>
  <c r="F371" i="2"/>
  <c r="F422" i="2"/>
  <c r="C2556" i="2"/>
  <c r="L1627" i="2"/>
  <c r="H2758" i="2"/>
  <c r="O1318" i="2"/>
  <c r="O1808" i="2"/>
  <c r="V1339" i="2"/>
  <c r="C10" i="2"/>
  <c r="J1232" i="2"/>
  <c r="E167" i="2"/>
  <c r="V1719" i="2"/>
  <c r="F1348" i="2"/>
  <c r="C1130" i="2"/>
  <c r="F2321" i="2"/>
  <c r="H1535" i="2"/>
  <c r="V2168" i="2"/>
  <c r="H1149" i="2"/>
  <c r="G483" i="2"/>
  <c r="E102" i="2"/>
  <c r="I2073" i="2"/>
  <c r="C1127" i="2"/>
  <c r="J576" i="2"/>
  <c r="N2201" i="2"/>
  <c r="T350" i="2"/>
  <c r="I1993" i="2"/>
  <c r="O1295" i="2"/>
  <c r="J547" i="2"/>
  <c r="M2286" i="2"/>
  <c r="S2488" i="2"/>
  <c r="I198" i="2"/>
  <c r="F1195" i="2"/>
  <c r="Q667" i="2"/>
  <c r="N1315" i="2"/>
  <c r="W572" i="2"/>
  <c r="O1101" i="2"/>
  <c r="W752" i="2"/>
  <c r="P2131" i="2"/>
  <c r="G663" i="2"/>
  <c r="G1983" i="2"/>
  <c r="S61" i="2"/>
  <c r="L3229" i="2"/>
  <c r="Q2489" i="2"/>
  <c r="L1914" i="2"/>
  <c r="R495" i="2"/>
  <c r="N2598" i="2"/>
  <c r="N1408" i="2"/>
  <c r="J884" i="2"/>
  <c r="D2403" i="2"/>
  <c r="P2975" i="2"/>
  <c r="F1874" i="2"/>
  <c r="U1457" i="2"/>
  <c r="G2745" i="2"/>
  <c r="M741" i="2"/>
  <c r="O3475" i="2"/>
  <c r="L333" i="2"/>
  <c r="D587" i="2"/>
  <c r="C416" i="2"/>
  <c r="P1702" i="2"/>
  <c r="C1396" i="2"/>
  <c r="W271" i="2"/>
  <c r="D2633" i="2"/>
  <c r="H812" i="2"/>
  <c r="N2894" i="2"/>
  <c r="R59" i="2"/>
  <c r="J264" i="2"/>
  <c r="H2609" i="2"/>
  <c r="K2036" i="2"/>
  <c r="O2600" i="2"/>
  <c r="W594" i="2"/>
  <c r="Q1423" i="2"/>
  <c r="F1046" i="2"/>
  <c r="M1531" i="2"/>
  <c r="I2542" i="2"/>
  <c r="E2811" i="2"/>
  <c r="T1566" i="2"/>
  <c r="I441" i="2"/>
  <c r="P2838" i="2"/>
  <c r="R1710" i="2"/>
  <c r="Q2098" i="2"/>
  <c r="N3423" i="2"/>
  <c r="G754" i="2"/>
  <c r="C2612" i="2"/>
  <c r="W2761" i="2"/>
  <c r="V2786" i="2"/>
  <c r="J2072" i="2"/>
  <c r="I1409" i="2"/>
  <c r="K1257" i="2"/>
  <c r="J996" i="2"/>
  <c r="Q1668" i="2"/>
  <c r="I2174" i="2"/>
  <c r="N1452" i="2"/>
  <c r="P1525" i="2"/>
  <c r="F1567" i="2"/>
  <c r="L2573" i="2"/>
  <c r="G178" i="2"/>
  <c r="R2065" i="2"/>
  <c r="C1089" i="2"/>
  <c r="M1944" i="2"/>
  <c r="F1632" i="2"/>
  <c r="O384" i="2"/>
  <c r="J1053" i="2"/>
  <c r="K364" i="2"/>
  <c r="I985" i="2"/>
  <c r="P308" i="2"/>
  <c r="O2254" i="2"/>
  <c r="Q2557" i="2"/>
  <c r="W1251" i="2"/>
  <c r="M1471" i="2"/>
  <c r="N2067" i="2"/>
  <c r="I36" i="2"/>
  <c r="T177" i="2"/>
  <c r="N2013" i="2"/>
  <c r="D158" i="2"/>
  <c r="H3372" i="2"/>
  <c r="J2155" i="2"/>
  <c r="O1030" i="2"/>
  <c r="J29" i="2"/>
  <c r="R2434" i="2"/>
  <c r="K1137" i="2"/>
  <c r="D1599" i="2"/>
  <c r="T1779" i="2"/>
  <c r="K1471" i="2"/>
  <c r="U504" i="2"/>
  <c r="O1163" i="2"/>
  <c r="J1390" i="2"/>
  <c r="L260" i="2"/>
  <c r="S560" i="2"/>
  <c r="F989" i="2"/>
  <c r="U2920" i="2"/>
  <c r="W2647" i="2"/>
  <c r="W2129" i="2"/>
  <c r="R2209" i="2"/>
  <c r="V2655" i="2"/>
  <c r="P2075" i="2"/>
  <c r="U405" i="2"/>
  <c r="N517" i="2"/>
  <c r="O2785" i="2"/>
  <c r="M835" i="2"/>
  <c r="T430" i="2"/>
  <c r="Q1406" i="2"/>
  <c r="W2746" i="2"/>
  <c r="N138" i="2"/>
  <c r="G3057" i="2"/>
  <c r="J1852" i="2"/>
  <c r="I3191" i="2"/>
  <c r="V2506" i="2"/>
  <c r="S1007" i="2"/>
  <c r="P1351" i="2"/>
  <c r="I1863" i="2"/>
  <c r="L78" i="2"/>
  <c r="F2991" i="2"/>
  <c r="W356" i="2"/>
  <c r="J989" i="2"/>
  <c r="Q1550" i="2"/>
  <c r="V24" i="2"/>
  <c r="R334" i="2"/>
  <c r="J1883" i="2"/>
  <c r="F2615" i="2"/>
  <c r="K194" i="2"/>
  <c r="R2855" i="2"/>
  <c r="T1940" i="2"/>
  <c r="T616" i="2"/>
  <c r="G457" i="2"/>
  <c r="P238" i="2"/>
  <c r="K731" i="2"/>
  <c r="S1451" i="2"/>
  <c r="N1984" i="2"/>
  <c r="P799" i="2"/>
  <c r="O2566" i="2"/>
  <c r="S1015" i="2"/>
  <c r="C888" i="2"/>
  <c r="L214" i="2"/>
  <c r="L1866" i="2"/>
  <c r="N2568" i="2"/>
  <c r="R2662" i="2"/>
  <c r="O1636" i="2"/>
  <c r="N588" i="2"/>
  <c r="H808" i="2"/>
  <c r="O1492" i="2"/>
  <c r="E2010" i="2"/>
  <c r="C1427" i="2"/>
  <c r="G2230" i="2"/>
  <c r="O541" i="2"/>
  <c r="G1596" i="2"/>
  <c r="W389" i="2"/>
  <c r="H114" i="2"/>
  <c r="N164" i="2"/>
  <c r="E630" i="2"/>
  <c r="C880" i="2"/>
  <c r="K1152" i="2"/>
  <c r="Q2014" i="2"/>
  <c r="D1300" i="2"/>
  <c r="V341" i="2"/>
  <c r="U1459" i="2"/>
  <c r="J1396" i="2"/>
  <c r="G1946" i="2"/>
  <c r="T464" i="2"/>
  <c r="K186" i="2"/>
  <c r="N770" i="2"/>
  <c r="G1405" i="2"/>
  <c r="F2381" i="2"/>
  <c r="U625" i="2"/>
  <c r="U2395" i="2"/>
  <c r="J1958" i="2"/>
  <c r="G387" i="2"/>
  <c r="N1196" i="2"/>
  <c r="K1435" i="2"/>
  <c r="E1440" i="2"/>
  <c r="K2473" i="2"/>
  <c r="J1384" i="2"/>
  <c r="C2936" i="2"/>
  <c r="T2181" i="2"/>
  <c r="P3121" i="2"/>
  <c r="U1782" i="2"/>
  <c r="O98" i="2"/>
  <c r="F545" i="2"/>
  <c r="P90" i="2"/>
  <c r="Q1222" i="2"/>
  <c r="T106" i="2"/>
  <c r="J2804" i="2"/>
  <c r="R3208" i="2"/>
  <c r="Q395" i="2"/>
  <c r="K504" i="2"/>
  <c r="N1513" i="2"/>
  <c r="F2144" i="2"/>
  <c r="I1214" i="2"/>
  <c r="H1213" i="2"/>
  <c r="M2782" i="2"/>
  <c r="S635" i="2"/>
  <c r="E2853" i="2"/>
  <c r="N1139" i="2"/>
  <c r="N217" i="2"/>
  <c r="F1366" i="2"/>
  <c r="F2616" i="2"/>
  <c r="W784" i="2"/>
  <c r="M1666" i="2"/>
  <c r="S524" i="2"/>
  <c r="R628" i="2"/>
  <c r="T1929" i="2"/>
  <c r="Q787" i="2"/>
  <c r="D590" i="2"/>
  <c r="K2777" i="2"/>
  <c r="M3109" i="2"/>
  <c r="C547" i="2"/>
  <c r="P2434" i="2"/>
  <c r="H487" i="2"/>
  <c r="V2285" i="2"/>
  <c r="P3164" i="2"/>
  <c r="V411" i="2"/>
  <c r="K1700" i="2"/>
  <c r="D960" i="2"/>
  <c r="I1437" i="2"/>
  <c r="F1954" i="2"/>
  <c r="P2429" i="2"/>
  <c r="F151" i="2"/>
  <c r="O1714" i="2"/>
  <c r="S2665" i="2"/>
  <c r="W2710" i="2"/>
  <c r="F871" i="2"/>
  <c r="N2357" i="2"/>
  <c r="J474" i="2"/>
  <c r="V648" i="2"/>
  <c r="N1890" i="2"/>
  <c r="N1478" i="2"/>
  <c r="R110" i="2"/>
  <c r="R2165" i="2"/>
  <c r="R183" i="2"/>
  <c r="L1208" i="2"/>
  <c r="C1257" i="2"/>
  <c r="M648" i="2"/>
  <c r="S3429" i="2"/>
  <c r="G2578" i="2"/>
  <c r="J1221" i="2"/>
  <c r="U2968" i="2"/>
  <c r="Q1974" i="2"/>
  <c r="Q2089" i="2"/>
  <c r="I482" i="2"/>
  <c r="S175" i="2"/>
  <c r="N1640" i="2"/>
  <c r="E1659" i="2"/>
  <c r="L187" i="2"/>
  <c r="J2162" i="2"/>
  <c r="N2782" i="2"/>
  <c r="G111" i="2"/>
  <c r="S275" i="2"/>
  <c r="R2251" i="2"/>
  <c r="K921" i="2"/>
  <c r="V1186" i="2"/>
  <c r="R587" i="2"/>
  <c r="T510" i="2"/>
  <c r="P511" i="2"/>
  <c r="Q103" i="2"/>
  <c r="J858" i="2"/>
  <c r="O725" i="2"/>
  <c r="J1043" i="2"/>
  <c r="V2509" i="2"/>
  <c r="N2687" i="2"/>
  <c r="P2368" i="2"/>
  <c r="M1206" i="2"/>
  <c r="E2245" i="2"/>
  <c r="K984" i="2"/>
  <c r="J1359" i="2"/>
  <c r="W2071" i="2"/>
  <c r="D2463" i="2"/>
  <c r="I1011" i="2"/>
  <c r="L2114" i="2"/>
  <c r="R250" i="2"/>
  <c r="Q3089" i="2"/>
  <c r="R1979" i="2"/>
  <c r="P3209" i="2"/>
  <c r="G2258" i="2"/>
  <c r="L2725" i="2"/>
  <c r="K988" i="2"/>
  <c r="R567" i="2"/>
  <c r="V2611" i="2"/>
  <c r="U221" i="2"/>
  <c r="M1937" i="2"/>
  <c r="Q915" i="2"/>
  <c r="R2797" i="2"/>
  <c r="W1805" i="2"/>
  <c r="W1752" i="2"/>
  <c r="E1630" i="2"/>
  <c r="L2678" i="2"/>
  <c r="Q818" i="2"/>
  <c r="F2469" i="2"/>
  <c r="M3183" i="2"/>
  <c r="M2201" i="2"/>
  <c r="W1426" i="2"/>
  <c r="S679" i="2"/>
  <c r="W2114" i="2"/>
  <c r="P163" i="2"/>
  <c r="H1291" i="2"/>
  <c r="G959" i="2"/>
  <c r="T662" i="2"/>
  <c r="L664" i="2"/>
  <c r="U1813" i="2"/>
  <c r="H1771" i="2"/>
  <c r="K1196" i="2"/>
  <c r="V402" i="2"/>
  <c r="R294" i="2"/>
  <c r="R3384" i="2"/>
  <c r="O2072" i="2"/>
  <c r="C2368" i="2"/>
  <c r="F1031" i="2"/>
  <c r="L1977" i="2"/>
  <c r="V1742" i="2"/>
  <c r="F366" i="2"/>
  <c r="G2051" i="2"/>
  <c r="O374" i="2"/>
  <c r="W2403" i="2"/>
  <c r="J462" i="2"/>
  <c r="S2430" i="2"/>
  <c r="D2491" i="2"/>
  <c r="P132" i="2"/>
  <c r="K1008" i="2"/>
  <c r="E163" i="2"/>
  <c r="E3193" i="2"/>
  <c r="M864" i="2"/>
  <c r="T2071" i="2"/>
  <c r="I190" i="2"/>
  <c r="M112" i="2"/>
  <c r="E1969" i="2"/>
  <c r="L1057" i="2"/>
  <c r="O837" i="2"/>
  <c r="H3068" i="2"/>
  <c r="P1752" i="2"/>
  <c r="G2640" i="2"/>
  <c r="O1173" i="2"/>
  <c r="C1351" i="2"/>
  <c r="L828" i="2"/>
  <c r="W2380" i="2"/>
  <c r="U1811" i="2"/>
  <c r="V2152" i="2"/>
  <c r="D2232" i="2"/>
  <c r="V1582" i="2"/>
  <c r="N2964" i="2"/>
  <c r="D1841" i="2"/>
  <c r="F320" i="2"/>
  <c r="S1800" i="2"/>
  <c r="M434" i="2"/>
  <c r="I1879" i="2"/>
  <c r="O1486" i="2"/>
  <c r="E1374" i="2"/>
  <c r="C376" i="2"/>
  <c r="R3059" i="2"/>
  <c r="H659" i="2"/>
  <c r="S2105" i="2"/>
  <c r="J887" i="2"/>
  <c r="G3500" i="2"/>
  <c r="C2743" i="2"/>
  <c r="T2628" i="2"/>
  <c r="R1595" i="2"/>
  <c r="V1698" i="2"/>
  <c r="U1222" i="2"/>
  <c r="L1793" i="2"/>
  <c r="F2008" i="2"/>
  <c r="D3336" i="2"/>
  <c r="H899" i="2"/>
  <c r="J1208" i="2"/>
  <c r="S2127" i="2"/>
  <c r="L147" i="2"/>
  <c r="U751" i="2"/>
  <c r="Q2367" i="2"/>
  <c r="N3103" i="2"/>
  <c r="N664" i="2"/>
  <c r="T1457" i="2"/>
  <c r="N3066" i="2"/>
  <c r="G1661" i="2"/>
  <c r="T573" i="2"/>
  <c r="V1565" i="2"/>
  <c r="O2115" i="2"/>
  <c r="P1271" i="2"/>
  <c r="J729" i="2"/>
  <c r="N1258" i="2"/>
  <c r="N2199" i="2"/>
  <c r="E2436" i="2"/>
  <c r="W783" i="2"/>
  <c r="H225" i="2"/>
  <c r="W3244" i="2"/>
  <c r="E740" i="2"/>
  <c r="M1419" i="2"/>
  <c r="U1245" i="2"/>
  <c r="P2470" i="2"/>
  <c r="Q1339" i="2"/>
  <c r="T1660" i="2"/>
  <c r="L825" i="2"/>
  <c r="C2554" i="2"/>
  <c r="D2903" i="2"/>
  <c r="P1324" i="2"/>
  <c r="D2702" i="2"/>
  <c r="L1611" i="2"/>
  <c r="M846" i="2"/>
  <c r="L871" i="2"/>
  <c r="J786" i="2"/>
  <c r="R1343" i="2"/>
  <c r="G958" i="2"/>
  <c r="F619" i="2"/>
  <c r="U3180" i="2"/>
  <c r="J800" i="2"/>
  <c r="L1184" i="2"/>
  <c r="R2692" i="2"/>
  <c r="D3104" i="2"/>
  <c r="G1294" i="2"/>
  <c r="D426" i="2"/>
  <c r="W1796" i="2"/>
  <c r="K306" i="2"/>
  <c r="J382" i="2"/>
  <c r="O22" i="2"/>
  <c r="N68" i="2"/>
  <c r="S1210" i="2"/>
  <c r="H209" i="2"/>
  <c r="P2247" i="2"/>
  <c r="H2019" i="2"/>
  <c r="H344" i="2"/>
  <c r="H1016" i="2"/>
  <c r="F3032" i="2"/>
  <c r="P2550" i="2"/>
  <c r="W2796" i="2"/>
  <c r="R671" i="2"/>
  <c r="D124" i="2"/>
  <c r="I2120" i="2"/>
  <c r="L2197" i="2"/>
  <c r="U1613" i="2"/>
  <c r="P1508" i="2"/>
  <c r="U2166" i="2"/>
  <c r="N461" i="2"/>
  <c r="J1658" i="2"/>
  <c r="O1089" i="2"/>
  <c r="C444" i="2"/>
  <c r="D3362" i="2"/>
  <c r="C388" i="2"/>
  <c r="V632" i="2"/>
  <c r="T3097" i="2"/>
  <c r="M578" i="2"/>
  <c r="R29" i="2"/>
  <c r="D1364" i="2"/>
  <c r="U2280" i="2"/>
  <c r="S1361" i="2"/>
  <c r="L2168" i="2"/>
  <c r="F2866" i="2"/>
  <c r="N2864" i="2"/>
  <c r="M1434" i="2"/>
  <c r="W574" i="2"/>
  <c r="J669" i="2"/>
  <c r="W584" i="2"/>
  <c r="G2019" i="2"/>
  <c r="D865" i="2"/>
  <c r="O1356" i="2"/>
  <c r="P1842" i="2"/>
  <c r="V967" i="2"/>
  <c r="F1139" i="2"/>
  <c r="M38" i="2"/>
  <c r="D220" i="2"/>
  <c r="P1601" i="2"/>
  <c r="T749" i="2"/>
  <c r="U108" i="2"/>
  <c r="L2232" i="2"/>
  <c r="W620" i="2"/>
  <c r="H249" i="2"/>
  <c r="E1939" i="2"/>
  <c r="P2472" i="2"/>
  <c r="Q1845" i="2"/>
  <c r="K1349" i="2"/>
  <c r="F959" i="2"/>
  <c r="E1316" i="2"/>
  <c r="S20" i="2"/>
  <c r="K289" i="2"/>
  <c r="M3117" i="2"/>
  <c r="T2035" i="2"/>
  <c r="D1846" i="2"/>
  <c r="C463" i="2"/>
  <c r="I2381" i="2"/>
  <c r="E1495" i="2"/>
  <c r="J2938" i="2"/>
  <c r="K929" i="2"/>
  <c r="C2307" i="2"/>
  <c r="L2219" i="2"/>
  <c r="H108" i="2"/>
  <c r="M33" i="2"/>
  <c r="C1023" i="2"/>
  <c r="E819" i="2"/>
  <c r="E1584" i="2"/>
  <c r="J2582" i="2"/>
  <c r="M1496" i="2"/>
  <c r="N159" i="2"/>
  <c r="J2699" i="2"/>
  <c r="S2246" i="2"/>
  <c r="T1302" i="2"/>
  <c r="N1922" i="2"/>
  <c r="M602" i="2"/>
  <c r="G535" i="2"/>
  <c r="P111" i="2"/>
  <c r="E1941" i="2"/>
  <c r="L2621" i="2"/>
  <c r="E1284" i="2"/>
  <c r="W130" i="2"/>
  <c r="Q3012" i="2"/>
  <c r="H1636" i="2"/>
  <c r="J691" i="2"/>
  <c r="N3158" i="2"/>
  <c r="I2993" i="2"/>
  <c r="G1178" i="2"/>
  <c r="M124" i="2"/>
  <c r="T1933" i="2"/>
  <c r="C1976" i="2"/>
  <c r="W1843" i="2"/>
  <c r="R1112" i="2"/>
  <c r="M1605" i="2"/>
  <c r="M905" i="2"/>
  <c r="O415" i="2"/>
  <c r="G2734" i="2"/>
  <c r="O2336" i="2"/>
  <c r="I1006" i="2"/>
  <c r="W2035" i="2"/>
  <c r="Q2446" i="2"/>
  <c r="K539" i="2"/>
  <c r="F1657" i="2"/>
  <c r="W1175" i="2"/>
  <c r="S3321" i="2"/>
  <c r="O2365" i="2"/>
  <c r="L399" i="2"/>
  <c r="M2429" i="2"/>
  <c r="K2561" i="2"/>
  <c r="Q2157" i="2"/>
  <c r="F263" i="2"/>
  <c r="C1834" i="2"/>
  <c r="U875" i="2"/>
  <c r="I368" i="2"/>
  <c r="I707" i="2"/>
  <c r="F394" i="2"/>
  <c r="D2622" i="2"/>
  <c r="F455" i="2"/>
  <c r="N48" i="2"/>
  <c r="V222" i="2"/>
  <c r="S327" i="2"/>
  <c r="C1281" i="2"/>
  <c r="T743" i="2"/>
  <c r="V1242" i="2"/>
  <c r="E251" i="2"/>
  <c r="W295" i="2"/>
  <c r="C1694" i="2"/>
  <c r="J2838" i="2"/>
  <c r="D2247" i="2"/>
  <c r="N1403" i="2"/>
  <c r="G393" i="2"/>
  <c r="R897" i="2"/>
  <c r="G443" i="2"/>
  <c r="H1959" i="2"/>
  <c r="W1959" i="2"/>
  <c r="E1905" i="2"/>
  <c r="U1084" i="2"/>
  <c r="I2572" i="2"/>
  <c r="P2815" i="2"/>
  <c r="N3" i="2"/>
  <c r="L2216" i="2"/>
  <c r="C1232" i="2"/>
  <c r="F643" i="2"/>
  <c r="E494" i="2"/>
  <c r="D1877" i="2"/>
  <c r="V80" i="2"/>
  <c r="L1640" i="2"/>
  <c r="F2013" i="2"/>
  <c r="R2075" i="2"/>
  <c r="R40" i="2"/>
  <c r="K372" i="2"/>
  <c r="V423" i="2"/>
  <c r="Q293" i="2"/>
  <c r="N1801" i="2"/>
  <c r="Q470" i="2"/>
  <c r="L1687" i="2"/>
  <c r="F1839" i="2"/>
  <c r="D537" i="2"/>
  <c r="W41" i="2"/>
  <c r="T335" i="2"/>
  <c r="R2315" i="2"/>
  <c r="W491" i="2"/>
  <c r="K925" i="2"/>
  <c r="L3234" i="2"/>
  <c r="I20" i="2"/>
  <c r="H2661" i="2"/>
  <c r="H799" i="2"/>
  <c r="N879" i="2"/>
  <c r="K315" i="2"/>
  <c r="K247" i="2"/>
  <c r="N273" i="2"/>
  <c r="H2141" i="2"/>
  <c r="R1839" i="2"/>
  <c r="G1064" i="2"/>
  <c r="T977" i="2"/>
  <c r="F1177" i="2"/>
  <c r="S2229" i="2"/>
  <c r="S1420" i="2"/>
  <c r="V1590" i="2"/>
  <c r="U2428" i="2"/>
  <c r="L165" i="2"/>
  <c r="M271" i="2"/>
  <c r="E824" i="2"/>
  <c r="E2134" i="2"/>
  <c r="J1869" i="2"/>
  <c r="J203" i="2"/>
  <c r="Q1844" i="2"/>
  <c r="F1655" i="2"/>
  <c r="H1642" i="2"/>
  <c r="V2480" i="2"/>
  <c r="K877" i="2"/>
  <c r="R1554" i="2"/>
  <c r="M1768" i="2"/>
  <c r="I2877" i="2"/>
  <c r="P14" i="2"/>
  <c r="C892" i="2"/>
  <c r="R3044" i="2"/>
  <c r="E1703" i="2"/>
  <c r="T2004" i="2"/>
  <c r="U233" i="2"/>
  <c r="V2908" i="2"/>
  <c r="P1663" i="2"/>
  <c r="M2329" i="2"/>
  <c r="K1034" i="2"/>
  <c r="W1936" i="2"/>
  <c r="E2176" i="2"/>
  <c r="J1038" i="2"/>
  <c r="H1381" i="2"/>
  <c r="E2159" i="2"/>
  <c r="M1435" i="2"/>
  <c r="H160" i="2"/>
  <c r="C715" i="2"/>
  <c r="M22" i="2"/>
  <c r="O1967" i="2"/>
  <c r="H830" i="2"/>
  <c r="O209" i="2"/>
  <c r="C1208" i="2"/>
  <c r="L1296" i="2"/>
  <c r="T2248" i="2"/>
  <c r="S2137" i="2"/>
  <c r="H2051" i="2"/>
  <c r="T16" i="2"/>
  <c r="P969" i="2"/>
  <c r="N123" i="2"/>
  <c r="D2366" i="2"/>
  <c r="V349" i="2"/>
  <c r="R846" i="2"/>
  <c r="D1077" i="2"/>
  <c r="V1562" i="2"/>
  <c r="D1553" i="2"/>
  <c r="M283" i="2"/>
  <c r="F960" i="2"/>
  <c r="N2319" i="2"/>
  <c r="W1571" i="2"/>
  <c r="N524" i="2"/>
  <c r="Q371" i="2"/>
  <c r="G204" i="2"/>
  <c r="L3232" i="2"/>
  <c r="E3096" i="2"/>
  <c r="S708" i="2"/>
  <c r="M521" i="2"/>
  <c r="I1504" i="2"/>
  <c r="C2324" i="2"/>
  <c r="R1293" i="2"/>
  <c r="J1758" i="2"/>
  <c r="T1513" i="2"/>
  <c r="T1006" i="2"/>
  <c r="C2833" i="2"/>
  <c r="F1426" i="2"/>
  <c r="Q2450" i="2"/>
  <c r="V2038" i="2"/>
  <c r="S2407" i="2"/>
  <c r="T2620" i="2"/>
  <c r="G678" i="2"/>
  <c r="L485" i="2"/>
  <c r="D2544" i="2"/>
  <c r="V1703" i="2"/>
  <c r="G2152" i="2"/>
  <c r="C1544" i="2"/>
  <c r="I714" i="2"/>
  <c r="P250" i="2"/>
  <c r="M2023" i="2"/>
  <c r="P1091" i="2"/>
  <c r="U1671" i="2"/>
  <c r="E2066" i="2"/>
  <c r="F2246" i="2"/>
  <c r="T1159" i="2"/>
  <c r="T1708" i="2"/>
  <c r="E2244" i="2"/>
  <c r="K1769" i="2"/>
  <c r="V1953" i="2"/>
  <c r="J391" i="2"/>
  <c r="M1968" i="2"/>
  <c r="J536" i="2"/>
  <c r="C493" i="2"/>
  <c r="Q507" i="2"/>
  <c r="J1669" i="2"/>
  <c r="P2473" i="2"/>
  <c r="Q630" i="2"/>
  <c r="G1744" i="2"/>
  <c r="K1412" i="2"/>
  <c r="E269" i="2"/>
  <c r="S2747" i="2"/>
  <c r="H1367" i="2"/>
  <c r="U985" i="2"/>
  <c r="U2627" i="2"/>
  <c r="Q3202" i="2"/>
  <c r="K2733" i="2"/>
  <c r="V3481" i="2"/>
  <c r="H82" i="2"/>
  <c r="G1531" i="2"/>
  <c r="S603" i="2"/>
  <c r="J3056" i="2"/>
  <c r="Q54" i="2"/>
  <c r="H1876" i="2"/>
  <c r="Q3334" i="2"/>
  <c r="N2452" i="2"/>
  <c r="L483" i="2"/>
  <c r="M688" i="2"/>
  <c r="P1768" i="2"/>
  <c r="Q1103" i="2"/>
  <c r="E586" i="2"/>
  <c r="E1498" i="2"/>
  <c r="Q2328" i="2"/>
  <c r="R2647" i="2"/>
  <c r="L1291" i="2"/>
  <c r="L2011" i="2"/>
  <c r="I1698" i="2"/>
  <c r="P1801" i="2"/>
  <c r="S855" i="2"/>
  <c r="V1084" i="2"/>
  <c r="P1583" i="2"/>
  <c r="U2023" i="2"/>
  <c r="P1244" i="2"/>
  <c r="P412" i="2"/>
  <c r="C227" i="2"/>
  <c r="S1583" i="2"/>
  <c r="H1594" i="2"/>
  <c r="I367" i="2"/>
  <c r="R1966" i="2"/>
  <c r="G1080" i="2"/>
  <c r="R2965" i="2"/>
  <c r="W298" i="2"/>
  <c r="T495" i="2"/>
  <c r="U1602" i="2"/>
  <c r="F2802" i="2"/>
  <c r="W1583" i="2"/>
  <c r="J734" i="2"/>
  <c r="J2546" i="2"/>
  <c r="E2680" i="2"/>
  <c r="C2250" i="2"/>
  <c r="S895" i="2"/>
  <c r="H3081" i="2"/>
  <c r="Q1041" i="2"/>
  <c r="O1291" i="2"/>
  <c r="K678" i="2"/>
  <c r="Q2506" i="2"/>
  <c r="D1486" i="2"/>
  <c r="V1932" i="2"/>
  <c r="W588" i="2"/>
  <c r="I734" i="2"/>
  <c r="J2217" i="2"/>
  <c r="S3481" i="2"/>
  <c r="Q86" i="2"/>
  <c r="S485" i="2"/>
  <c r="N39" i="2"/>
  <c r="P617" i="2"/>
  <c r="D1185" i="2"/>
  <c r="V1330" i="2"/>
  <c r="G2066" i="2"/>
  <c r="K1122" i="2"/>
  <c r="K770" i="2"/>
  <c r="Q2865" i="2"/>
  <c r="S2617" i="2"/>
  <c r="L379" i="2"/>
  <c r="T103" i="2"/>
  <c r="L1864" i="2"/>
  <c r="G1206" i="2"/>
  <c r="M2283" i="2"/>
  <c r="L699" i="2"/>
  <c r="T1567" i="2"/>
  <c r="D2824" i="2"/>
  <c r="M1640" i="2"/>
  <c r="M361" i="2"/>
  <c r="N219" i="2"/>
  <c r="R1154" i="2"/>
  <c r="V735" i="2"/>
  <c r="Q684" i="2"/>
  <c r="F1965" i="2"/>
  <c r="F1065" i="2"/>
  <c r="M1365" i="2"/>
  <c r="F1675" i="2"/>
  <c r="O172" i="2"/>
  <c r="L3041" i="2"/>
  <c r="T580" i="2"/>
  <c r="D1247" i="2"/>
  <c r="T538" i="2"/>
  <c r="C3256" i="2"/>
  <c r="C1014" i="2"/>
  <c r="I2144" i="2"/>
  <c r="Q946" i="2"/>
  <c r="J610" i="2"/>
  <c r="I109" i="2"/>
  <c r="S2454" i="2"/>
  <c r="Q2941" i="2"/>
  <c r="H2030" i="2"/>
  <c r="I2019" i="2"/>
  <c r="G1561" i="2"/>
  <c r="M1376" i="2"/>
  <c r="J425" i="2"/>
  <c r="S388" i="2"/>
  <c r="K1796" i="2"/>
  <c r="E977" i="2"/>
  <c r="U1195" i="2"/>
  <c r="K1478" i="2"/>
  <c r="Q1595" i="2"/>
  <c r="U238" i="2"/>
  <c r="C1499" i="2"/>
  <c r="P947" i="2"/>
  <c r="P1542" i="2"/>
  <c r="P265" i="2"/>
  <c r="W78" i="2"/>
  <c r="P1937" i="2"/>
  <c r="D1913" i="2"/>
  <c r="O97" i="2"/>
  <c r="U195" i="2"/>
  <c r="O477" i="2"/>
  <c r="S331" i="2"/>
  <c r="M269" i="2"/>
  <c r="W788" i="2"/>
  <c r="P175" i="2"/>
  <c r="R1642" i="2"/>
  <c r="C1566" i="2"/>
  <c r="E388" i="2"/>
  <c r="V3073" i="2"/>
  <c r="F2770" i="2"/>
  <c r="K2110" i="2"/>
  <c r="M2681" i="2"/>
  <c r="C2869" i="2"/>
  <c r="L1165" i="2"/>
  <c r="O259" i="2"/>
  <c r="G3094" i="2"/>
  <c r="D2182" i="2"/>
  <c r="R3231" i="2"/>
  <c r="J1179" i="2"/>
  <c r="K2531" i="2"/>
  <c r="P218" i="2"/>
  <c r="D588" i="2"/>
  <c r="J1227" i="2"/>
  <c r="T1812" i="2"/>
  <c r="V716" i="2"/>
  <c r="D1132" i="2"/>
  <c r="L1192" i="2"/>
  <c r="I2260" i="2"/>
  <c r="D2575" i="2"/>
  <c r="U3381" i="2"/>
  <c r="G872" i="2"/>
  <c r="O2094" i="2"/>
  <c r="U2809" i="2"/>
  <c r="Q2112" i="2"/>
  <c r="W2043" i="2"/>
  <c r="O1975" i="2"/>
  <c r="O2322" i="2"/>
  <c r="D1632" i="2"/>
  <c r="R1495" i="2"/>
  <c r="E2838" i="2"/>
  <c r="F2360" i="2"/>
  <c r="T2936" i="2"/>
  <c r="G2171" i="2"/>
  <c r="D2023" i="2"/>
  <c r="V1263" i="2"/>
  <c r="I477" i="2"/>
  <c r="I1028" i="2"/>
  <c r="V3162" i="2"/>
  <c r="D1217" i="2"/>
  <c r="N612" i="2"/>
  <c r="J2401" i="2"/>
  <c r="O1740" i="2"/>
  <c r="F144" i="2"/>
  <c r="T1161" i="2"/>
  <c r="G2090" i="2"/>
  <c r="J1560" i="2"/>
  <c r="S78" i="2"/>
  <c r="W2649" i="2"/>
  <c r="I1933" i="2"/>
  <c r="V2313" i="2"/>
  <c r="I66" i="2"/>
  <c r="L504" i="2"/>
  <c r="F2825" i="2"/>
  <c r="N3074" i="2"/>
  <c r="Q2344" i="2"/>
  <c r="R1402" i="2"/>
  <c r="Q551" i="2"/>
  <c r="K659" i="2"/>
  <c r="P477" i="2"/>
  <c r="M429" i="2"/>
  <c r="L2528" i="2"/>
  <c r="S2480" i="2"/>
  <c r="E528" i="2"/>
  <c r="H1257" i="2"/>
  <c r="E1327" i="2"/>
  <c r="E299" i="2"/>
  <c r="S2128" i="2"/>
  <c r="V2835" i="2"/>
  <c r="Q2463" i="2"/>
  <c r="L696" i="2"/>
  <c r="U2292" i="2"/>
  <c r="P502" i="2"/>
  <c r="K2905" i="2"/>
  <c r="R2726" i="2"/>
  <c r="S288" i="2"/>
  <c r="H635" i="2"/>
  <c r="R1388" i="2"/>
  <c r="S852" i="2"/>
  <c r="U1660" i="2"/>
  <c r="H2532" i="2"/>
  <c r="Q2943" i="2"/>
  <c r="D2460" i="2"/>
  <c r="P2552" i="2"/>
  <c r="P2738" i="2"/>
  <c r="M570" i="2"/>
  <c r="E1427" i="2"/>
  <c r="U2240" i="2"/>
  <c r="U2560" i="2"/>
  <c r="G128" i="2"/>
  <c r="V1122" i="2"/>
  <c r="K1916" i="2"/>
  <c r="F865" i="2"/>
  <c r="F340" i="2"/>
  <c r="D191" i="2"/>
  <c r="V2439" i="2"/>
  <c r="K1061" i="2"/>
  <c r="L126" i="2"/>
  <c r="G752" i="2"/>
  <c r="T150" i="2"/>
  <c r="T1201" i="2"/>
  <c r="R1699" i="2"/>
  <c r="I2297" i="2"/>
  <c r="C1092" i="2"/>
  <c r="S2881" i="2"/>
  <c r="K2177" i="2"/>
  <c r="T1947" i="2"/>
  <c r="H822" i="2"/>
  <c r="D75" i="2"/>
  <c r="N2330" i="2"/>
  <c r="H585" i="2"/>
  <c r="J2059" i="2"/>
  <c r="O2286" i="2"/>
  <c r="K322" i="2"/>
  <c r="P1856" i="2"/>
  <c r="J848" i="2"/>
  <c r="T380" i="2"/>
  <c r="H1480" i="2"/>
  <c r="K1686" i="2"/>
  <c r="J1998" i="2"/>
  <c r="C74" i="2"/>
  <c r="M2412" i="2"/>
  <c r="O2170" i="2"/>
  <c r="E2930" i="2"/>
  <c r="N2561" i="2"/>
  <c r="L1118" i="2"/>
  <c r="G1854" i="2"/>
  <c r="T1938" i="2"/>
  <c r="T2981" i="2"/>
  <c r="K2275" i="2"/>
  <c r="I1149" i="2"/>
  <c r="S1113" i="2"/>
  <c r="H1591" i="2"/>
  <c r="V655" i="2"/>
  <c r="S1018" i="2"/>
  <c r="D449" i="2"/>
  <c r="T1212" i="2"/>
  <c r="I2163" i="2"/>
  <c r="J418" i="2"/>
  <c r="U48" i="2"/>
  <c r="F825" i="2"/>
  <c r="T2346" i="2"/>
  <c r="N1398" i="2"/>
  <c r="Q757" i="2"/>
  <c r="W2484" i="2"/>
  <c r="W768" i="2"/>
  <c r="S843" i="2"/>
  <c r="C1064" i="2"/>
  <c r="S1247" i="2"/>
  <c r="N944" i="2"/>
  <c r="L1239" i="2"/>
  <c r="N982" i="2"/>
  <c r="V1678" i="2"/>
  <c r="P886" i="2"/>
  <c r="N3273" i="2"/>
  <c r="C1969" i="2"/>
  <c r="Q1664" i="2"/>
  <c r="S1942" i="2"/>
  <c r="K421" i="2"/>
  <c r="F1887" i="2"/>
  <c r="F1240" i="2"/>
  <c r="H2662" i="2"/>
  <c r="S3031" i="2"/>
  <c r="O2270" i="2"/>
  <c r="J2382" i="2"/>
  <c r="M353" i="2"/>
  <c r="D1657" i="2"/>
  <c r="R955" i="2"/>
  <c r="P1419" i="2"/>
  <c r="F1189" i="2"/>
  <c r="T1804" i="2"/>
  <c r="Q2201" i="2"/>
  <c r="D2680" i="2"/>
  <c r="U1857" i="2"/>
  <c r="L2944" i="2"/>
  <c r="O1378" i="2"/>
  <c r="R1379" i="2"/>
  <c r="M1749" i="2"/>
  <c r="F2420" i="2"/>
  <c r="U3120" i="2"/>
  <c r="R2379" i="2"/>
  <c r="H1660" i="2"/>
  <c r="D1862" i="2"/>
  <c r="K772" i="2"/>
  <c r="I1603" i="2"/>
  <c r="V1559" i="2"/>
  <c r="U2779" i="2"/>
  <c r="P1963" i="2"/>
  <c r="U1873" i="2"/>
  <c r="U1976" i="2"/>
  <c r="E1290" i="2"/>
  <c r="W231" i="2"/>
  <c r="S2491" i="2"/>
  <c r="W14" i="2"/>
  <c r="J739" i="2"/>
  <c r="C2396" i="2"/>
  <c r="S2478" i="2"/>
  <c r="H983" i="2"/>
  <c r="M303" i="2"/>
  <c r="H2197" i="2"/>
  <c r="E88" i="2"/>
  <c r="Q2954" i="2"/>
  <c r="F1726" i="2"/>
  <c r="F2692" i="2"/>
  <c r="S1357" i="2"/>
  <c r="W2504" i="2"/>
  <c r="W2688" i="2"/>
  <c r="P1435" i="2"/>
  <c r="Q310" i="2"/>
  <c r="M253" i="2"/>
  <c r="I338" i="2"/>
  <c r="E2167" i="2"/>
  <c r="U477" i="2"/>
  <c r="E1421" i="2"/>
  <c r="S958" i="2"/>
  <c r="S287" i="2"/>
  <c r="J2627" i="2"/>
  <c r="G10" i="2"/>
  <c r="R157" i="2"/>
  <c r="F1174" i="2"/>
  <c r="P380" i="2"/>
  <c r="Q1053" i="2"/>
  <c r="W1410" i="2"/>
  <c r="H2250" i="2"/>
  <c r="S2895" i="2"/>
  <c r="L60" i="2"/>
  <c r="H439" i="2"/>
  <c r="W800" i="2"/>
  <c r="O2339" i="2"/>
  <c r="F830" i="2"/>
  <c r="L2676" i="2"/>
  <c r="V2442" i="2"/>
  <c r="K919" i="2"/>
  <c r="K2797" i="2"/>
  <c r="R2170" i="2"/>
  <c r="P2894" i="2"/>
  <c r="Q2940" i="2"/>
  <c r="M3163" i="2"/>
  <c r="G982" i="2"/>
  <c r="I749" i="2"/>
  <c r="O2649" i="2"/>
  <c r="D1580" i="2"/>
  <c r="Q1963" i="2"/>
  <c r="W807" i="2"/>
  <c r="H1756" i="2"/>
  <c r="U356" i="2"/>
  <c r="F1982" i="2"/>
  <c r="F1221" i="2"/>
  <c r="N1017" i="2"/>
  <c r="F587" i="2"/>
  <c r="W1882" i="2"/>
  <c r="F1844" i="2"/>
  <c r="U3243" i="2"/>
  <c r="P2784" i="2"/>
  <c r="C1497" i="2"/>
  <c r="J47" i="2"/>
  <c r="C2053" i="2"/>
  <c r="H2361" i="2"/>
  <c r="C585" i="2"/>
  <c r="U2649" i="2"/>
  <c r="G1054" i="2"/>
  <c r="W2575" i="2"/>
  <c r="O334" i="2"/>
  <c r="F856" i="2"/>
  <c r="I419" i="2"/>
  <c r="H770" i="2"/>
  <c r="H1140" i="2"/>
  <c r="K328" i="2"/>
  <c r="M3138" i="2"/>
  <c r="E1137" i="2"/>
  <c r="D2933" i="2"/>
  <c r="I1719" i="2"/>
  <c r="O591" i="2"/>
  <c r="E585" i="2"/>
  <c r="H953" i="2"/>
  <c r="L2209" i="2"/>
  <c r="N1594" i="2"/>
  <c r="L1441" i="2"/>
  <c r="G1251" i="2"/>
  <c r="K459" i="2"/>
  <c r="D2555" i="2"/>
  <c r="D3018" i="2"/>
  <c r="K1176" i="2"/>
  <c r="I2807" i="2"/>
  <c r="E2812" i="2"/>
  <c r="P1269" i="2"/>
  <c r="R2355" i="2"/>
  <c r="G1763" i="2"/>
  <c r="L600" i="2"/>
  <c r="U1520" i="2"/>
  <c r="D1234" i="2"/>
  <c r="R1147" i="2"/>
  <c r="L1273" i="2"/>
  <c r="U1919" i="2"/>
  <c r="U736" i="2"/>
  <c r="T63" i="2"/>
  <c r="V1118" i="2"/>
  <c r="H3095" i="2"/>
  <c r="V2047" i="2"/>
  <c r="P3170" i="2"/>
  <c r="G1647" i="2"/>
  <c r="C2136" i="2"/>
  <c r="N1140" i="2"/>
  <c r="C2466" i="2"/>
  <c r="J299" i="2"/>
  <c r="N920" i="2"/>
  <c r="Q977" i="2"/>
  <c r="T1691" i="2"/>
  <c r="P234" i="2"/>
  <c r="U1701" i="2"/>
  <c r="M3133" i="2"/>
  <c r="U1445" i="2"/>
  <c r="T1086" i="2"/>
  <c r="E2368" i="2"/>
  <c r="O1579" i="2"/>
  <c r="U2884" i="2"/>
  <c r="L1694" i="2"/>
  <c r="W1407" i="2"/>
  <c r="D1521" i="2"/>
  <c r="O779" i="2"/>
  <c r="V1917" i="2"/>
  <c r="U1995" i="2"/>
  <c r="U1350" i="2"/>
  <c r="D1692" i="2"/>
  <c r="H821" i="2"/>
  <c r="C508" i="2"/>
  <c r="S1773" i="2"/>
  <c r="N599" i="2"/>
  <c r="I1671" i="2"/>
  <c r="M802" i="2"/>
  <c r="Q997" i="2"/>
  <c r="K2935" i="2"/>
  <c r="D3075" i="2"/>
  <c r="R2981" i="2"/>
  <c r="U149" i="2"/>
  <c r="D1890" i="2"/>
  <c r="U1641" i="2"/>
  <c r="S1929" i="2"/>
  <c r="O927" i="2"/>
  <c r="H2140" i="2"/>
  <c r="J2339" i="2"/>
  <c r="L1801" i="2"/>
  <c r="H255" i="2"/>
  <c r="F1347" i="2"/>
  <c r="V353" i="2"/>
  <c r="W55" i="2"/>
  <c r="Q440" i="2"/>
  <c r="L99" i="2"/>
  <c r="T2471" i="2"/>
  <c r="T419" i="2"/>
  <c r="F651" i="2"/>
  <c r="W1548" i="2"/>
  <c r="W3066" i="2"/>
  <c r="J1047" i="2"/>
  <c r="G767" i="2"/>
  <c r="T1463" i="2"/>
  <c r="S1523" i="2"/>
  <c r="D1397" i="2"/>
  <c r="I2649" i="2"/>
  <c r="L1171" i="2"/>
  <c r="I1105" i="2"/>
  <c r="I2889" i="2"/>
  <c r="L446" i="2"/>
  <c r="G269" i="2"/>
  <c r="R1035" i="2"/>
  <c r="D1609" i="2"/>
  <c r="C1986" i="2"/>
  <c r="P2418" i="2"/>
  <c r="L959" i="2"/>
  <c r="F2007" i="2"/>
  <c r="T1814" i="2"/>
  <c r="H577" i="2"/>
  <c r="P2145" i="2"/>
  <c r="L230" i="2"/>
  <c r="O2866" i="2"/>
  <c r="P1740" i="2"/>
  <c r="K1758" i="2"/>
  <c r="W2356" i="2"/>
  <c r="I984" i="2"/>
  <c r="R84" i="2"/>
  <c r="U2802" i="2"/>
  <c r="J472" i="2"/>
  <c r="V1961" i="2"/>
  <c r="R2438" i="2"/>
  <c r="I1731" i="2"/>
  <c r="G1289" i="2"/>
  <c r="I1136" i="2"/>
  <c r="C1704" i="2"/>
  <c r="D2592" i="2"/>
  <c r="K657" i="2"/>
  <c r="V3141" i="2"/>
  <c r="N486" i="2"/>
  <c r="M1109" i="2"/>
  <c r="F916" i="2"/>
  <c r="G1238" i="2"/>
  <c r="J1050" i="2"/>
  <c r="J2588" i="2"/>
  <c r="I2583" i="2"/>
  <c r="K176" i="2"/>
  <c r="N1567" i="2"/>
  <c r="U2141" i="2"/>
  <c r="Q1416" i="2"/>
  <c r="C245" i="2"/>
  <c r="I2479" i="2"/>
  <c r="Q2744" i="2"/>
  <c r="M813" i="2"/>
  <c r="P2465" i="2"/>
  <c r="H1613" i="2"/>
  <c r="U184" i="2"/>
  <c r="M2126" i="2"/>
  <c r="N1492" i="2"/>
  <c r="L2642" i="2"/>
  <c r="C1838" i="2"/>
  <c r="D2303" i="2"/>
  <c r="G1558" i="2"/>
  <c r="R2723" i="2"/>
  <c r="R835" i="2"/>
  <c r="K1405" i="2"/>
  <c r="W2128" i="2"/>
  <c r="T1548" i="2"/>
  <c r="D108" i="2"/>
  <c r="L414" i="2"/>
  <c r="O2603" i="2"/>
  <c r="J1990" i="2"/>
  <c r="M2612" i="2"/>
  <c r="K1812" i="2"/>
  <c r="G232" i="2"/>
  <c r="P2800" i="2"/>
  <c r="S575" i="2"/>
  <c r="H2807" i="2"/>
  <c r="F656" i="2"/>
  <c r="M404" i="2"/>
  <c r="D1785" i="2"/>
  <c r="K1167" i="2"/>
  <c r="Q2221" i="2"/>
  <c r="I501" i="2"/>
  <c r="N1083" i="2"/>
  <c r="S3190" i="2"/>
  <c r="H2376" i="2"/>
  <c r="P2494" i="2"/>
  <c r="C988" i="2"/>
  <c r="U381" i="2"/>
  <c r="P549" i="2"/>
  <c r="G370" i="2"/>
  <c r="R2828" i="2"/>
  <c r="I1913" i="2"/>
  <c r="U2268" i="2"/>
  <c r="F2404" i="2"/>
  <c r="P690" i="2"/>
  <c r="Q1319" i="2"/>
  <c r="O2261" i="2"/>
  <c r="K1651" i="2"/>
  <c r="H3079" i="2"/>
  <c r="N2380" i="2"/>
  <c r="I1681" i="2"/>
  <c r="S1831" i="2"/>
  <c r="P1285" i="2"/>
  <c r="E2433" i="2"/>
  <c r="E2148" i="2"/>
  <c r="T3257" i="2"/>
  <c r="F2110" i="2"/>
  <c r="N621" i="2"/>
  <c r="D514" i="2"/>
  <c r="O2510" i="2"/>
  <c r="J119" i="2"/>
  <c r="K1355" i="2"/>
  <c r="V1672" i="2"/>
  <c r="R1345" i="2"/>
  <c r="L811" i="2"/>
  <c r="Q2134" i="2"/>
  <c r="I1441" i="2"/>
  <c r="D226" i="2"/>
  <c r="T3170" i="2"/>
  <c r="C1692" i="2"/>
  <c r="D2141" i="2"/>
  <c r="N106" i="2"/>
  <c r="O855" i="2"/>
  <c r="J2422" i="2"/>
  <c r="M2031" i="2"/>
  <c r="N1943" i="2"/>
  <c r="Q3251" i="2"/>
  <c r="P1334" i="2"/>
  <c r="J2441" i="2"/>
  <c r="Q1068" i="2"/>
  <c r="M780" i="2"/>
  <c r="D2829" i="2"/>
  <c r="K1892" i="2"/>
  <c r="N1698" i="2"/>
  <c r="S990" i="2"/>
  <c r="D92" i="2"/>
  <c r="R1648" i="2"/>
  <c r="E2285" i="2"/>
  <c r="F1941" i="2"/>
  <c r="J283" i="2"/>
  <c r="R2285" i="2"/>
  <c r="V2055" i="2"/>
  <c r="N2113" i="2"/>
  <c r="I723" i="2"/>
  <c r="G3027" i="2"/>
  <c r="W1751" i="2"/>
  <c r="S2487" i="2"/>
  <c r="W1350" i="2"/>
  <c r="D229" i="2"/>
  <c r="D356" i="2"/>
  <c r="H1825" i="2"/>
  <c r="M163" i="2"/>
  <c r="L45" i="2"/>
  <c r="H949" i="2"/>
  <c r="W1057" i="2"/>
  <c r="P388" i="2"/>
  <c r="R834" i="2"/>
  <c r="K1660" i="2"/>
  <c r="C2273" i="2"/>
  <c r="I804" i="2"/>
  <c r="M1567" i="2"/>
  <c r="P1452" i="2"/>
  <c r="J1657" i="2"/>
  <c r="P3106" i="2"/>
  <c r="M72" i="2"/>
  <c r="M2515" i="2"/>
  <c r="J1965" i="2"/>
  <c r="U116" i="2"/>
  <c r="G2272" i="2"/>
  <c r="H2877" i="2"/>
  <c r="Q1086" i="2"/>
  <c r="D1157" i="2"/>
  <c r="E2129" i="2"/>
  <c r="Q2433" i="2"/>
  <c r="K1492" i="2"/>
  <c r="Q2533" i="2"/>
  <c r="C3204" i="2"/>
  <c r="I1991" i="2"/>
  <c r="S1862" i="2"/>
  <c r="N1016" i="2"/>
  <c r="G631" i="2"/>
  <c r="J1989" i="2"/>
  <c r="R2162" i="2"/>
  <c r="V2079" i="2"/>
  <c r="W1890" i="2"/>
  <c r="P2892" i="2"/>
  <c r="N2312" i="2"/>
  <c r="P2214" i="2"/>
  <c r="E2875" i="2"/>
  <c r="V885" i="2"/>
  <c r="C3372" i="2"/>
  <c r="E3281" i="2"/>
  <c r="N1770" i="2"/>
  <c r="H16" i="2"/>
  <c r="K22" i="2"/>
  <c r="C2282" i="2"/>
  <c r="D3319" i="2"/>
  <c r="K1558" i="2"/>
  <c r="G1154" i="2"/>
  <c r="I3246" i="2"/>
  <c r="K2847" i="2"/>
  <c r="M771" i="2"/>
  <c r="H663" i="2"/>
  <c r="W1521" i="2"/>
  <c r="S2305" i="2"/>
  <c r="V1248" i="2"/>
  <c r="S1380" i="2"/>
  <c r="H1823" i="2"/>
  <c r="S1987" i="2"/>
  <c r="R129" i="2"/>
  <c r="O1185" i="2"/>
  <c r="N291" i="2"/>
  <c r="D3369" i="2"/>
  <c r="F127" i="2"/>
  <c r="L1373" i="2"/>
  <c r="M639" i="2"/>
  <c r="V86" i="2"/>
  <c r="P260" i="2"/>
  <c r="P586" i="2"/>
  <c r="C2824" i="2"/>
  <c r="M1803" i="2"/>
  <c r="E2374" i="2"/>
  <c r="P716" i="2"/>
  <c r="F365" i="2"/>
  <c r="R429" i="2"/>
  <c r="L1966" i="2"/>
  <c r="S927" i="2"/>
  <c r="R1108" i="2"/>
  <c r="I1087" i="2"/>
  <c r="V476" i="2"/>
  <c r="J2262" i="2"/>
  <c r="K3262" i="2"/>
  <c r="F1443" i="2"/>
  <c r="R1243" i="2"/>
  <c r="K768" i="2"/>
  <c r="Q1056" i="2"/>
  <c r="U2245" i="2"/>
  <c r="G951" i="2"/>
  <c r="R2189" i="2"/>
  <c r="V1197" i="2"/>
  <c r="J2784" i="2"/>
  <c r="W3288" i="2"/>
  <c r="D311" i="2"/>
  <c r="D958" i="2"/>
  <c r="P102" i="2"/>
  <c r="L2396" i="2"/>
  <c r="F1102" i="2"/>
  <c r="J1434" i="2"/>
  <c r="I730" i="2"/>
  <c r="V829" i="2"/>
  <c r="S1607" i="2"/>
  <c r="W1643" i="2"/>
  <c r="H2286" i="2"/>
  <c r="R308" i="2"/>
  <c r="O2892" i="2"/>
  <c r="E2531" i="2"/>
  <c r="K2107" i="2"/>
  <c r="C604" i="2"/>
  <c r="D976" i="2"/>
  <c r="V1200" i="2"/>
  <c r="F1555" i="2"/>
  <c r="S714" i="2"/>
  <c r="M1136" i="2"/>
  <c r="J1817" i="2"/>
  <c r="Q2607" i="2"/>
  <c r="H1391" i="2"/>
  <c r="H2050" i="2"/>
  <c r="L2296" i="2"/>
  <c r="L163" i="2"/>
  <c r="R3068" i="2"/>
  <c r="O2770" i="2"/>
  <c r="S2347" i="2"/>
  <c r="R115" i="2"/>
  <c r="T540" i="2"/>
  <c r="J451" i="2"/>
  <c r="Q52" i="2"/>
  <c r="M2604" i="2"/>
  <c r="U2137" i="2"/>
  <c r="R2293" i="2"/>
  <c r="C267" i="2"/>
  <c r="G2644" i="2"/>
  <c r="H2560" i="2"/>
  <c r="K98" i="2"/>
  <c r="S2185" i="2"/>
  <c r="P2286" i="2"/>
  <c r="W1666" i="2"/>
  <c r="V1015" i="2"/>
  <c r="C1459" i="2"/>
  <c r="L2886" i="2"/>
  <c r="M2177" i="2"/>
  <c r="L997" i="2"/>
  <c r="O357" i="2"/>
  <c r="C2142" i="2"/>
  <c r="T2003" i="2"/>
  <c r="M255" i="2"/>
  <c r="R807" i="2"/>
  <c r="J693" i="2"/>
  <c r="O2626" i="2"/>
  <c r="T332" i="2"/>
  <c r="H1548" i="2"/>
  <c r="Q1644" i="2"/>
  <c r="S1263" i="2"/>
  <c r="W2017" i="2"/>
  <c r="R1096" i="2"/>
  <c r="K2415" i="2"/>
  <c r="U2191" i="2"/>
  <c r="F1853" i="2"/>
  <c r="J843" i="2"/>
  <c r="N3537" i="2"/>
  <c r="W1501" i="2"/>
  <c r="R2045" i="2"/>
  <c r="J209" i="2"/>
  <c r="D2455" i="2"/>
  <c r="W2063" i="2"/>
  <c r="W2529" i="2"/>
  <c r="W236" i="2"/>
  <c r="W1518" i="2"/>
  <c r="W1185" i="2"/>
  <c r="M58" i="2"/>
  <c r="M465" i="2"/>
  <c r="D1141" i="2"/>
  <c r="F466" i="2"/>
  <c r="M226" i="2"/>
  <c r="J1021" i="2"/>
  <c r="G2273" i="2"/>
  <c r="C1213" i="2"/>
  <c r="F2575" i="2"/>
  <c r="R1296" i="2"/>
  <c r="S1404" i="2"/>
  <c r="V959" i="2"/>
  <c r="D1116" i="2"/>
  <c r="K2418" i="2"/>
  <c r="P340" i="2"/>
  <c r="T3331" i="2"/>
  <c r="V1317" i="2"/>
  <c r="E24" i="2"/>
  <c r="K3165" i="2"/>
  <c r="V1131" i="2"/>
  <c r="W362" i="2"/>
  <c r="L210" i="2"/>
  <c r="M305" i="2"/>
  <c r="J1049" i="2"/>
  <c r="E1968" i="2"/>
  <c r="O637" i="2"/>
  <c r="G1332" i="2"/>
  <c r="T3396" i="2"/>
  <c r="I2901" i="2"/>
  <c r="S2059" i="2"/>
  <c r="G688" i="2"/>
  <c r="E3155" i="2"/>
  <c r="O2092" i="2"/>
  <c r="E2016" i="2"/>
  <c r="J1596" i="2"/>
  <c r="P2428" i="2"/>
  <c r="R1751" i="2"/>
  <c r="V1885" i="2"/>
  <c r="E928" i="2"/>
  <c r="J2735" i="2"/>
  <c r="N831" i="2"/>
  <c r="F408" i="2"/>
  <c r="F2755" i="2"/>
  <c r="D2607" i="2"/>
  <c r="J1479" i="2"/>
  <c r="M1359" i="2"/>
  <c r="G679" i="2"/>
  <c r="R2057" i="2"/>
  <c r="Q2365" i="2"/>
  <c r="K3303" i="2"/>
  <c r="H2088" i="2"/>
  <c r="L2286" i="2"/>
  <c r="N695" i="2"/>
  <c r="W1845" i="2"/>
  <c r="G518" i="2"/>
  <c r="T2819" i="2"/>
  <c r="K131" i="2"/>
  <c r="H2078" i="2"/>
  <c r="D933" i="2"/>
  <c r="D1621" i="2"/>
  <c r="N2580" i="2"/>
  <c r="C359" i="2"/>
  <c r="F1842" i="2"/>
  <c r="K1628" i="2"/>
  <c r="H1777" i="2"/>
  <c r="D2590" i="2"/>
  <c r="U2713" i="2"/>
  <c r="R757" i="2"/>
  <c r="W2632" i="2"/>
  <c r="S1071" i="2"/>
  <c r="P1465" i="2"/>
  <c r="C2748" i="2"/>
  <c r="U2733" i="2"/>
  <c r="P1382" i="2"/>
  <c r="F1684" i="2"/>
  <c r="F2252" i="2"/>
  <c r="H2670" i="2"/>
  <c r="E1504" i="2"/>
  <c r="P827" i="2"/>
  <c r="L2535" i="2"/>
  <c r="M1184" i="2"/>
  <c r="D3364" i="2"/>
  <c r="I547" i="2"/>
  <c r="J2724" i="2"/>
  <c r="V1325" i="2"/>
  <c r="M251" i="2"/>
  <c r="H915" i="2"/>
  <c r="I428" i="2"/>
  <c r="N2352" i="2"/>
  <c r="E325" i="2"/>
  <c r="N1061" i="2"/>
  <c r="H2232" i="2"/>
  <c r="M692" i="2"/>
  <c r="J1425" i="2"/>
  <c r="O2321" i="2"/>
  <c r="S1789" i="2"/>
  <c r="Q2226" i="2"/>
  <c r="P31" i="2"/>
  <c r="E678" i="2"/>
  <c r="H982" i="2"/>
  <c r="U1657" i="2"/>
  <c r="L782" i="2"/>
  <c r="I273" i="2"/>
  <c r="V1990" i="2"/>
  <c r="M2900" i="2"/>
  <c r="L1135" i="2"/>
  <c r="J218" i="2"/>
  <c r="P237" i="2"/>
  <c r="N2806" i="2"/>
  <c r="G1711" i="2"/>
  <c r="L430" i="2"/>
  <c r="Q2658" i="2"/>
  <c r="V2005" i="2"/>
  <c r="T2974" i="2"/>
  <c r="D1960" i="2"/>
  <c r="Q669" i="2"/>
  <c r="O567" i="2"/>
  <c r="V2027" i="2"/>
  <c r="J115" i="2"/>
  <c r="C2071" i="2"/>
  <c r="H1661" i="2"/>
  <c r="M1858" i="2"/>
  <c r="W1321" i="2"/>
  <c r="V819" i="2"/>
  <c r="U2037" i="2"/>
  <c r="G1785" i="2"/>
  <c r="J1475" i="2"/>
  <c r="D178" i="2"/>
  <c r="P24" i="2"/>
  <c r="T2894" i="2"/>
  <c r="R1166" i="2"/>
  <c r="Q585" i="2"/>
  <c r="P1152" i="2"/>
  <c r="S1931" i="2"/>
  <c r="I2620" i="2"/>
  <c r="G225" i="2"/>
  <c r="P789" i="2"/>
  <c r="O3184" i="2"/>
  <c r="J3043" i="2"/>
  <c r="V1992" i="2"/>
  <c r="S2378" i="2"/>
  <c r="N765" i="2"/>
  <c r="N2708" i="2"/>
  <c r="L133" i="2"/>
  <c r="U2409" i="2"/>
  <c r="W2707" i="2"/>
  <c r="P3257" i="2"/>
  <c r="E966" i="2"/>
  <c r="J1106" i="2"/>
  <c r="H569" i="2"/>
  <c r="S2" i="2"/>
  <c r="V1794" i="2"/>
  <c r="Q966" i="2"/>
  <c r="R133" i="2"/>
  <c r="N938" i="2"/>
  <c r="R651" i="2"/>
  <c r="Q1948" i="2"/>
  <c r="O2498" i="2"/>
  <c r="F2947" i="2"/>
  <c r="T93" i="2"/>
  <c r="M2391" i="2"/>
  <c r="U686" i="2"/>
  <c r="O2257" i="2"/>
  <c r="N2224" i="2"/>
  <c r="J1662" i="2"/>
  <c r="Q165" i="2"/>
  <c r="I149" i="2"/>
  <c r="M2366" i="2"/>
  <c r="V1400" i="2"/>
  <c r="F2758" i="2"/>
  <c r="S1687" i="2"/>
  <c r="K958" i="2"/>
  <c r="K1110" i="2"/>
  <c r="O729" i="2"/>
  <c r="I237" i="2"/>
  <c r="P808" i="2"/>
  <c r="G798" i="2"/>
  <c r="P3493" i="2"/>
  <c r="R1851" i="2"/>
  <c r="F1871" i="2"/>
  <c r="P1510" i="2"/>
  <c r="K740" i="2"/>
  <c r="G2140" i="2"/>
  <c r="N1455" i="2"/>
  <c r="I1843" i="2"/>
  <c r="W966" i="2"/>
  <c r="E3288" i="2"/>
  <c r="H880" i="2"/>
  <c r="N1175" i="2"/>
  <c r="D1769" i="2"/>
  <c r="G1301" i="2"/>
  <c r="J1904" i="2"/>
  <c r="W1100" i="2"/>
  <c r="C2388" i="2"/>
  <c r="N903" i="2"/>
  <c r="C2925" i="2"/>
  <c r="J247" i="2"/>
  <c r="G3001" i="2"/>
  <c r="V1409" i="2"/>
  <c r="O1833" i="2"/>
  <c r="M1864" i="2"/>
  <c r="S3312" i="2"/>
  <c r="R2021" i="2"/>
  <c r="V1070" i="2"/>
  <c r="V181" i="2"/>
  <c r="S610" i="2"/>
  <c r="K3227" i="2"/>
  <c r="I1625" i="2"/>
  <c r="F1214" i="2"/>
  <c r="M773" i="2"/>
  <c r="R2681" i="2"/>
  <c r="D2180" i="2"/>
  <c r="H1443" i="2"/>
  <c r="P1877" i="2"/>
  <c r="G2912" i="2"/>
  <c r="L1342" i="2"/>
  <c r="J3120" i="2"/>
  <c r="K830" i="2"/>
  <c r="G1813" i="2"/>
  <c r="U866" i="2"/>
  <c r="S1010" i="2"/>
  <c r="T1831" i="2"/>
  <c r="I1124" i="2"/>
  <c r="U754" i="2"/>
  <c r="K2690" i="2"/>
  <c r="T678" i="2"/>
  <c r="L857" i="2"/>
  <c r="K2355" i="2"/>
  <c r="N2197" i="2"/>
  <c r="K118" i="2"/>
  <c r="H2120" i="2"/>
  <c r="H937" i="2"/>
  <c r="P1511" i="2"/>
  <c r="M2290" i="2"/>
  <c r="I2048" i="2"/>
  <c r="K2732" i="2"/>
  <c r="V3137" i="2"/>
  <c r="M1956" i="2"/>
  <c r="E1038" i="2"/>
  <c r="R2035" i="2"/>
  <c r="I2771" i="2"/>
  <c r="R792" i="2"/>
  <c r="D2989" i="2"/>
  <c r="Q653" i="2"/>
  <c r="C366" i="2"/>
  <c r="T167" i="2"/>
  <c r="W1385" i="2"/>
  <c r="D1700" i="2"/>
  <c r="T325" i="2"/>
  <c r="U137" i="2"/>
  <c r="R1448" i="2"/>
  <c r="J3235" i="2"/>
  <c r="W2345" i="2"/>
  <c r="N602" i="2"/>
  <c r="M1205" i="2"/>
  <c r="O227" i="2"/>
  <c r="U306" i="2"/>
  <c r="H2199" i="2"/>
  <c r="L1395" i="2"/>
  <c r="S982" i="2"/>
  <c r="S132" i="2"/>
  <c r="R500" i="2"/>
  <c r="V275" i="2"/>
  <c r="K2574" i="2"/>
  <c r="J2915" i="2"/>
  <c r="R1965" i="2"/>
  <c r="E1675" i="2"/>
  <c r="U1410" i="2"/>
  <c r="F1116" i="2"/>
  <c r="I1668" i="2"/>
  <c r="W1063" i="2"/>
  <c r="V1177" i="2"/>
  <c r="S856" i="2"/>
  <c r="M2211" i="2"/>
  <c r="D3136" i="2"/>
  <c r="R1978" i="2"/>
  <c r="J2464" i="2"/>
  <c r="W364" i="2"/>
  <c r="D1619" i="2"/>
  <c r="H2254" i="2"/>
  <c r="N2095" i="2"/>
  <c r="J204" i="2"/>
  <c r="Q1536" i="2"/>
  <c r="U2217" i="2"/>
  <c r="G1645" i="2"/>
  <c r="H1318" i="2"/>
  <c r="Q2591" i="2"/>
  <c r="V951" i="2"/>
  <c r="U2055" i="2"/>
  <c r="W527" i="2"/>
  <c r="H434" i="2"/>
  <c r="J2446" i="2"/>
  <c r="U786" i="2"/>
  <c r="H2690" i="2"/>
  <c r="P1013" i="2"/>
  <c r="H313" i="2"/>
  <c r="D3249" i="2"/>
  <c r="I2044" i="2"/>
  <c r="L2107" i="2"/>
  <c r="W65" i="2"/>
  <c r="S829" i="2"/>
  <c r="O1664" i="2"/>
  <c r="H2111" i="2"/>
  <c r="J1537" i="2"/>
  <c r="V51" i="2"/>
  <c r="W498" i="2"/>
  <c r="V732" i="2"/>
  <c r="Q1414" i="2"/>
  <c r="K365" i="2"/>
  <c r="V727" i="2"/>
  <c r="T187" i="2"/>
  <c r="Q2428" i="2"/>
  <c r="L1295" i="2"/>
  <c r="P1060" i="2"/>
  <c r="J679" i="2"/>
  <c r="G475" i="2"/>
  <c r="W1866" i="2"/>
  <c r="W1401" i="2"/>
  <c r="L338" i="2"/>
  <c r="N968" i="2"/>
  <c r="P584" i="2"/>
  <c r="W1456" i="2"/>
  <c r="I2933" i="2"/>
  <c r="I1325" i="2"/>
  <c r="E408" i="2"/>
  <c r="G2797" i="2"/>
  <c r="J1618" i="2"/>
  <c r="N3085" i="2"/>
  <c r="H1751" i="2"/>
  <c r="E3020" i="2"/>
  <c r="P33" i="2"/>
  <c r="D1871" i="2"/>
  <c r="F2075" i="2"/>
  <c r="N777" i="2"/>
  <c r="V2929" i="2"/>
  <c r="G2037" i="2"/>
  <c r="W720" i="2"/>
  <c r="H102" i="2"/>
  <c r="R1086" i="2"/>
  <c r="F2081" i="2"/>
  <c r="J311" i="2"/>
  <c r="C1541" i="2"/>
  <c r="C559" i="2"/>
  <c r="L1388" i="2"/>
  <c r="Q1342" i="2"/>
  <c r="M135" i="2"/>
  <c r="K785" i="2"/>
  <c r="T1175" i="2"/>
  <c r="Q713" i="2"/>
  <c r="V624" i="2"/>
  <c r="Q2797" i="2"/>
  <c r="H1953" i="2"/>
  <c r="J3024" i="2"/>
  <c r="F1948" i="2"/>
  <c r="V2693" i="2"/>
  <c r="E1492" i="2"/>
  <c r="S22" i="2"/>
  <c r="U1878" i="2"/>
  <c r="P349" i="2"/>
  <c r="J1928" i="2"/>
  <c r="W657" i="2"/>
  <c r="K2063" i="2"/>
  <c r="S1533" i="2"/>
  <c r="M1038" i="2"/>
  <c r="H2028" i="2"/>
  <c r="T194" i="2"/>
  <c r="R2836" i="2"/>
  <c r="J2210" i="2"/>
  <c r="M56" i="2"/>
  <c r="C3373" i="2"/>
  <c r="D2216" i="2"/>
  <c r="T1600" i="2"/>
  <c r="D2678" i="2"/>
  <c r="O1653" i="2"/>
  <c r="C1408" i="2"/>
  <c r="C1433" i="2"/>
  <c r="O2267" i="2"/>
  <c r="R2570" i="2"/>
  <c r="D2458" i="2"/>
  <c r="N2497" i="2"/>
  <c r="N2709" i="2"/>
  <c r="I1292" i="2"/>
  <c r="T1830" i="2"/>
  <c r="F1671" i="2"/>
  <c r="L2510" i="2"/>
  <c r="M1905" i="2"/>
  <c r="E2398" i="2"/>
  <c r="G1505" i="2"/>
  <c r="I406" i="2"/>
  <c r="D3174" i="2"/>
  <c r="M1772" i="2"/>
  <c r="D776" i="2"/>
  <c r="G2470" i="2"/>
  <c r="W2509" i="2"/>
  <c r="T1544" i="2"/>
  <c r="O1903" i="2"/>
  <c r="G2067" i="2"/>
  <c r="Q2863" i="2"/>
  <c r="T3008" i="2"/>
  <c r="J754" i="2"/>
  <c r="N232" i="2"/>
  <c r="L647" i="2"/>
  <c r="H110" i="2"/>
  <c r="N2676" i="2"/>
  <c r="U1137" i="2"/>
  <c r="U1649" i="2"/>
  <c r="V1735" i="2"/>
  <c r="I2604" i="2"/>
  <c r="D401" i="2"/>
  <c r="I1480" i="2"/>
  <c r="W706" i="2"/>
  <c r="D78" i="2"/>
  <c r="S1345" i="2"/>
  <c r="N1314" i="2"/>
  <c r="U1325" i="2"/>
  <c r="R368" i="2"/>
  <c r="I1288" i="2"/>
  <c r="F2436" i="2"/>
  <c r="L774" i="2"/>
  <c r="G327" i="2"/>
  <c r="R2234" i="2"/>
  <c r="D2016" i="2"/>
  <c r="F1672" i="2"/>
  <c r="O2044" i="2"/>
  <c r="U2647" i="2"/>
  <c r="H1526" i="2"/>
  <c r="F2608" i="2"/>
  <c r="K853" i="2"/>
  <c r="J2148" i="2"/>
  <c r="F2063" i="2"/>
  <c r="C481" i="2"/>
  <c r="F330" i="2"/>
  <c r="O2786" i="2"/>
  <c r="I49" i="2"/>
  <c r="U1674" i="2"/>
  <c r="M2758" i="2"/>
  <c r="D2116" i="2"/>
  <c r="M2056" i="2"/>
  <c r="C1731" i="2"/>
  <c r="J1319" i="2"/>
  <c r="K172" i="2"/>
  <c r="V691" i="2"/>
  <c r="E348" i="2"/>
  <c r="F942" i="2"/>
  <c r="H2515" i="2"/>
  <c r="K2936" i="2"/>
  <c r="F800" i="2"/>
  <c r="F2821" i="2"/>
  <c r="Q1291" i="2"/>
  <c r="D550" i="2"/>
  <c r="R728" i="2"/>
  <c r="J2010" i="2"/>
  <c r="H1509" i="2"/>
  <c r="K1842" i="2"/>
  <c r="F540" i="2"/>
  <c r="J1155" i="2"/>
  <c r="T649" i="2"/>
  <c r="E277" i="2"/>
  <c r="K2118" i="2"/>
  <c r="D3025" i="2"/>
  <c r="P1826" i="2"/>
  <c r="S359" i="2"/>
  <c r="T539" i="2"/>
  <c r="H1675" i="2"/>
  <c r="K1467" i="2"/>
  <c r="J990" i="2"/>
  <c r="P1268" i="2"/>
  <c r="J2235" i="2"/>
  <c r="C707" i="2"/>
  <c r="D1729" i="2"/>
  <c r="G1000" i="2"/>
  <c r="K2179" i="2"/>
  <c r="O2157" i="2"/>
  <c r="N1121" i="2"/>
  <c r="I2151" i="2"/>
  <c r="N365" i="2"/>
  <c r="M115" i="2"/>
  <c r="K99" i="2"/>
  <c r="R222" i="2"/>
  <c r="E1782" i="2"/>
  <c r="T328" i="2"/>
  <c r="R81" i="2"/>
  <c r="T2415" i="2"/>
  <c r="K278" i="2"/>
  <c r="H1158" i="2"/>
  <c r="J1554" i="2"/>
  <c r="L219" i="2"/>
  <c r="L2" i="2"/>
  <c r="J187" i="2"/>
  <c r="N1216" i="2"/>
  <c r="H192" i="2"/>
  <c r="R730" i="2"/>
  <c r="T647" i="2"/>
  <c r="T2040" i="2"/>
  <c r="W547" i="2"/>
  <c r="P2758" i="2"/>
  <c r="F1926" i="2"/>
  <c r="C2320" i="2"/>
  <c r="L2093" i="2"/>
  <c r="J1357" i="2"/>
  <c r="G2560" i="2"/>
  <c r="C2210" i="2"/>
  <c r="C1865" i="2"/>
  <c r="W1315" i="2"/>
  <c r="G3516" i="2"/>
  <c r="G2575" i="2"/>
  <c r="D1567" i="2"/>
  <c r="V2280" i="2"/>
  <c r="H1037" i="2"/>
  <c r="G547" i="2"/>
  <c r="E1315" i="2"/>
  <c r="H3152" i="2"/>
  <c r="L2589" i="2"/>
  <c r="C2402" i="2"/>
  <c r="E2317" i="2"/>
  <c r="O2486" i="2"/>
  <c r="U995" i="2"/>
  <c r="Q2600" i="2"/>
  <c r="G2501" i="2"/>
  <c r="K3106" i="2"/>
  <c r="F964" i="2"/>
  <c r="N2971" i="2"/>
  <c r="D1520" i="2"/>
  <c r="W1445" i="2"/>
  <c r="K2755" i="2"/>
  <c r="T570" i="2"/>
  <c r="S3119" i="2"/>
  <c r="F2186" i="2"/>
  <c r="S1802" i="2"/>
  <c r="N375" i="2"/>
  <c r="H220" i="2"/>
  <c r="V1615" i="2"/>
  <c r="Q2115" i="2"/>
  <c r="H2766" i="2"/>
  <c r="U1021" i="2"/>
  <c r="R2049" i="2"/>
  <c r="R1616" i="2"/>
  <c r="W1332" i="2"/>
  <c r="H1793" i="2"/>
  <c r="H227" i="2"/>
  <c r="T95" i="2"/>
  <c r="Q1480" i="2"/>
  <c r="K2800" i="2"/>
  <c r="C2164" i="2"/>
  <c r="F1392" i="2"/>
  <c r="J1894" i="2"/>
  <c r="H1067" i="2"/>
  <c r="M722" i="2"/>
  <c r="P1245" i="2"/>
  <c r="D832" i="2"/>
  <c r="P1057" i="2"/>
  <c r="U2753" i="2"/>
  <c r="G2886" i="2"/>
  <c r="C2087" i="2"/>
  <c r="K2614" i="2"/>
  <c r="K3252" i="2"/>
  <c r="J2640" i="2"/>
  <c r="S1691" i="2"/>
  <c r="T390" i="2"/>
  <c r="V1247" i="2"/>
  <c r="G271" i="2"/>
  <c r="R635" i="2"/>
  <c r="S1019" i="2"/>
  <c r="O1499" i="2"/>
  <c r="P1607" i="2"/>
  <c r="N2209" i="2"/>
  <c r="F1696" i="2"/>
  <c r="Q1879" i="2"/>
  <c r="P1436" i="2"/>
  <c r="O2753" i="2"/>
  <c r="F1441" i="2"/>
  <c r="J896" i="2"/>
  <c r="C2557" i="2"/>
  <c r="J2911" i="2"/>
  <c r="L1302" i="2"/>
  <c r="T581" i="2"/>
  <c r="I1386" i="2"/>
  <c r="H1503" i="2"/>
  <c r="T1552" i="2"/>
  <c r="T1681" i="2"/>
  <c r="K52" i="2"/>
  <c r="R464" i="2"/>
  <c r="Q2698" i="2"/>
  <c r="U396" i="2"/>
  <c r="F401" i="2"/>
  <c r="C3004" i="2"/>
  <c r="Q3171" i="2"/>
  <c r="N1021" i="2"/>
  <c r="R1485" i="2"/>
  <c r="F1498" i="2"/>
  <c r="W1621" i="2"/>
  <c r="F1317" i="2"/>
  <c r="C811" i="2"/>
  <c r="W1132" i="2"/>
  <c r="Q3105" i="2"/>
  <c r="F2250" i="2"/>
  <c r="I2040" i="2"/>
  <c r="F2088" i="2"/>
  <c r="T2182" i="2"/>
  <c r="S1099" i="2"/>
  <c r="N1786" i="2"/>
  <c r="O1670" i="2"/>
  <c r="H1095" i="2"/>
  <c r="I1302" i="2"/>
  <c r="C353" i="2"/>
  <c r="I979" i="2"/>
  <c r="O961" i="2"/>
  <c r="P1573" i="2"/>
  <c r="W2346" i="2"/>
  <c r="P796" i="2"/>
  <c r="E1628" i="2"/>
  <c r="J642" i="2"/>
  <c r="L2715" i="2"/>
  <c r="L1643" i="2"/>
  <c r="U848" i="2"/>
  <c r="R2219" i="2"/>
  <c r="T1410" i="2"/>
  <c r="K1904" i="2"/>
  <c r="I1451" i="2"/>
  <c r="F2660" i="2"/>
  <c r="M2091" i="2"/>
  <c r="F2450" i="2"/>
  <c r="D3268" i="2"/>
  <c r="M2068" i="2"/>
  <c r="V1975" i="2"/>
  <c r="O108" i="2"/>
  <c r="Q3382" i="2"/>
  <c r="C316" i="2"/>
  <c r="O2050" i="2"/>
  <c r="C1573" i="2"/>
  <c r="E1109" i="2"/>
  <c r="O2105" i="2"/>
  <c r="D1608" i="2"/>
  <c r="P845" i="2"/>
  <c r="V497" i="2"/>
  <c r="Q3041" i="2"/>
  <c r="O708" i="2"/>
  <c r="W263" i="2"/>
  <c r="Q1727" i="2"/>
  <c r="G1212" i="2"/>
  <c r="N2574" i="2"/>
  <c r="J1764" i="2"/>
  <c r="C531" i="2"/>
  <c r="L1084" i="2"/>
  <c r="D1305" i="2"/>
  <c r="M1131" i="2"/>
  <c r="L1246" i="2"/>
  <c r="M1744" i="2"/>
  <c r="Q3244" i="2"/>
  <c r="D1313" i="2"/>
  <c r="V583" i="2"/>
  <c r="P1512" i="2"/>
  <c r="T1276" i="2"/>
  <c r="C2630" i="2"/>
  <c r="I1395" i="2"/>
  <c r="I2426" i="2"/>
  <c r="R1515" i="2"/>
  <c r="M1613" i="2"/>
  <c r="M2860" i="2"/>
  <c r="N1666" i="2"/>
  <c r="I1372" i="2"/>
  <c r="Q2884" i="2"/>
  <c r="V1011" i="2"/>
  <c r="F343" i="2"/>
  <c r="R1347" i="2"/>
  <c r="F2845" i="2"/>
  <c r="K888" i="2"/>
  <c r="F3174" i="2"/>
  <c r="P1886" i="2"/>
  <c r="M367" i="2"/>
  <c r="R2740" i="2"/>
  <c r="R2080" i="2"/>
  <c r="Q1789" i="2"/>
  <c r="V608" i="2"/>
  <c r="L2077" i="2"/>
  <c r="M2594" i="2"/>
  <c r="N2725" i="2"/>
  <c r="L1248" i="2"/>
  <c r="J1614" i="2"/>
  <c r="T2179" i="2"/>
  <c r="D2975" i="2"/>
  <c r="C1946" i="2"/>
  <c r="P1498" i="2"/>
  <c r="G1995" i="2"/>
  <c r="Q2550" i="2"/>
  <c r="R251" i="2"/>
  <c r="D541" i="2"/>
  <c r="S2254" i="2"/>
  <c r="K879" i="2"/>
  <c r="D2101" i="2"/>
  <c r="H855" i="2"/>
  <c r="T2194" i="2"/>
  <c r="V1584" i="2"/>
  <c r="M1514" i="2"/>
  <c r="H2552" i="2"/>
  <c r="J114" i="2"/>
  <c r="C2033" i="2"/>
  <c r="V180" i="2"/>
  <c r="V745" i="2"/>
  <c r="K1490" i="2"/>
  <c r="V2713" i="2"/>
  <c r="D180" i="2"/>
  <c r="C743" i="2"/>
  <c r="L1534" i="2"/>
  <c r="P1102" i="2"/>
  <c r="W3031" i="2"/>
  <c r="V131" i="2"/>
  <c r="M1174" i="2"/>
  <c r="N1277" i="2"/>
  <c r="T1703" i="2"/>
  <c r="L863" i="2"/>
  <c r="P1628" i="2"/>
  <c r="G2025" i="2"/>
  <c r="F2006" i="2"/>
  <c r="C1772" i="2"/>
  <c r="O1056" i="2"/>
  <c r="N1411" i="2"/>
  <c r="T1370" i="2"/>
  <c r="G1487" i="2"/>
  <c r="C213" i="2"/>
  <c r="J2397" i="2"/>
  <c r="U898" i="2"/>
  <c r="V1109" i="2"/>
  <c r="I630" i="2"/>
  <c r="N932" i="2"/>
  <c r="U682" i="2"/>
  <c r="V1226" i="2"/>
  <c r="N435" i="2"/>
  <c r="P2203" i="2"/>
  <c r="N1115" i="2"/>
  <c r="S2871" i="2"/>
  <c r="J2433" i="2"/>
  <c r="S968" i="2"/>
  <c r="I1550" i="2"/>
  <c r="J859" i="2"/>
  <c r="S2123" i="2"/>
  <c r="J772" i="2"/>
  <c r="E1133" i="2"/>
  <c r="M3007" i="2"/>
  <c r="F2926" i="2"/>
  <c r="H1206" i="2"/>
  <c r="K569" i="2"/>
  <c r="D2215" i="2"/>
  <c r="L1586" i="2"/>
  <c r="V2465" i="2"/>
  <c r="N3027" i="2"/>
  <c r="Q2258" i="2"/>
  <c r="C2258" i="2"/>
  <c r="S2260" i="2"/>
  <c r="H3326" i="2"/>
  <c r="G2322" i="2"/>
  <c r="T860" i="2"/>
  <c r="T2875" i="2"/>
  <c r="L700" i="2"/>
  <c r="M2814" i="2"/>
  <c r="K2104" i="2"/>
  <c r="E123" i="2"/>
  <c r="Q1830" i="2"/>
  <c r="H1486" i="2"/>
  <c r="N1085" i="2"/>
  <c r="N2342" i="2"/>
  <c r="G1824" i="2"/>
  <c r="S663" i="2"/>
  <c r="K2467" i="2"/>
  <c r="M2658" i="2"/>
  <c r="H486" i="2"/>
  <c r="P1930" i="2"/>
  <c r="V1489" i="2"/>
  <c r="V1346" i="2"/>
  <c r="W1675" i="2"/>
  <c r="J1067" i="2"/>
  <c r="D2900" i="2"/>
  <c r="O2621" i="2"/>
  <c r="Q1368" i="2"/>
  <c r="G683" i="2"/>
  <c r="J1138" i="2"/>
  <c r="V2123" i="2"/>
  <c r="E1828" i="2"/>
  <c r="Q1509" i="2"/>
  <c r="K1866" i="2"/>
  <c r="L1748" i="2"/>
  <c r="I2895" i="2"/>
  <c r="I360" i="2"/>
  <c r="I2371" i="2"/>
  <c r="F2119" i="2"/>
  <c r="O1817" i="2"/>
  <c r="C1795" i="2"/>
  <c r="L660" i="2"/>
  <c r="T2973" i="2"/>
  <c r="T3051" i="2"/>
  <c r="F2446" i="2"/>
  <c r="F904" i="2"/>
  <c r="S1970" i="2"/>
  <c r="W1708" i="2"/>
  <c r="F174" i="2"/>
  <c r="R2693" i="2"/>
  <c r="S1746" i="2"/>
  <c r="U1441" i="2"/>
  <c r="V2440" i="2"/>
  <c r="Q1376" i="2"/>
  <c r="R985" i="2"/>
  <c r="P2030" i="2"/>
  <c r="J1762" i="2"/>
  <c r="P1718" i="2"/>
  <c r="E2151" i="2"/>
  <c r="K2817" i="2"/>
  <c r="Q863" i="2"/>
  <c r="Q561" i="2"/>
  <c r="U2663" i="2"/>
  <c r="K1082" i="2"/>
  <c r="I1809" i="2"/>
  <c r="K2537" i="2"/>
  <c r="I1739" i="2"/>
  <c r="J20" i="2"/>
  <c r="D2843" i="2"/>
  <c r="K2308" i="2"/>
  <c r="P183" i="2"/>
  <c r="J2930" i="2"/>
  <c r="H2155" i="2"/>
  <c r="N2611" i="2"/>
  <c r="M2752" i="2"/>
  <c r="F2183" i="2"/>
  <c r="J1538" i="2"/>
  <c r="C1915" i="2"/>
  <c r="R1907" i="2"/>
  <c r="U941" i="2"/>
  <c r="N1250" i="2"/>
  <c r="O2608" i="2"/>
  <c r="M461" i="2"/>
  <c r="M2539" i="2"/>
  <c r="H2591" i="2"/>
  <c r="P2196" i="2"/>
  <c r="K842" i="2"/>
  <c r="L2895" i="2"/>
  <c r="G976" i="2"/>
  <c r="E1297" i="2"/>
  <c r="O2830" i="2"/>
  <c r="V2745" i="2"/>
  <c r="G2563" i="2"/>
  <c r="E1933" i="2"/>
  <c r="V2155" i="2"/>
  <c r="O1053" i="2"/>
  <c r="L2075" i="2"/>
  <c r="O718" i="2"/>
  <c r="P1798" i="2"/>
  <c r="C541" i="2"/>
  <c r="W2389" i="2"/>
  <c r="T1844" i="2"/>
  <c r="I524" i="2"/>
  <c r="E2054" i="2"/>
  <c r="U2766" i="2"/>
  <c r="C2305" i="2"/>
  <c r="R1128" i="2"/>
  <c r="D159" i="2"/>
  <c r="T930" i="2"/>
  <c r="O1463" i="2"/>
  <c r="R3324" i="2"/>
  <c r="F2288" i="2"/>
  <c r="C1931" i="2"/>
  <c r="D2638" i="2"/>
  <c r="V528" i="2"/>
  <c r="J2168" i="2"/>
  <c r="H2812" i="2"/>
  <c r="E2494" i="2"/>
  <c r="S1732" i="2"/>
  <c r="L92" i="2"/>
  <c r="P2640" i="2"/>
  <c r="W1615" i="2"/>
  <c r="G824" i="2"/>
  <c r="T884" i="2"/>
  <c r="P1644" i="2"/>
  <c r="M644" i="2"/>
  <c r="O2511" i="2"/>
  <c r="D879" i="2"/>
  <c r="T2390" i="2"/>
  <c r="S1871" i="2"/>
  <c r="D809" i="2"/>
  <c r="G1753" i="2"/>
  <c r="G2688" i="2"/>
  <c r="L331" i="2"/>
  <c r="V2450" i="2"/>
  <c r="I2777" i="2"/>
  <c r="K1818" i="2"/>
  <c r="M117" i="2"/>
  <c r="P2204" i="2"/>
  <c r="J2639" i="2"/>
  <c r="S1610" i="2"/>
  <c r="G2056" i="2"/>
  <c r="M1290" i="2"/>
  <c r="W1667" i="2"/>
  <c r="C2584" i="2"/>
  <c r="C1212" i="2"/>
  <c r="M1823" i="2"/>
  <c r="F62" i="2"/>
  <c r="C157" i="2"/>
  <c r="I2305" i="2"/>
  <c r="W2685" i="2"/>
  <c r="G1780" i="2"/>
  <c r="W2430" i="2"/>
  <c r="L2065" i="2"/>
  <c r="V1533" i="2"/>
  <c r="O3399" i="2"/>
  <c r="L2467" i="2"/>
  <c r="G984" i="2"/>
  <c r="Q2640" i="2"/>
  <c r="Q1896" i="2"/>
  <c r="F539" i="2"/>
  <c r="Q767" i="2"/>
  <c r="C2651" i="2"/>
  <c r="P2230" i="2"/>
  <c r="F2068" i="2"/>
  <c r="I1775" i="2"/>
  <c r="C1500" i="2"/>
  <c r="W3386" i="2"/>
  <c r="V2387" i="2"/>
  <c r="T297" i="2"/>
  <c r="D183" i="2"/>
  <c r="K2731" i="2"/>
  <c r="R2648" i="2"/>
  <c r="U2149" i="2"/>
  <c r="D1537" i="2"/>
  <c r="S1352" i="2"/>
  <c r="V1152" i="2"/>
  <c r="T533" i="2"/>
  <c r="H2053" i="2"/>
  <c r="G1608" i="2"/>
  <c r="M171" i="2"/>
  <c r="R2956" i="2"/>
  <c r="G2700" i="2"/>
  <c r="F601" i="2"/>
  <c r="H1083" i="2"/>
  <c r="D728" i="2"/>
  <c r="J1722" i="2"/>
  <c r="C38" i="2"/>
  <c r="N890" i="2"/>
  <c r="F1791" i="2"/>
  <c r="C2203" i="2"/>
  <c r="M446" i="2"/>
  <c r="N2392" i="2"/>
  <c r="M1535" i="2"/>
  <c r="R1158" i="2"/>
  <c r="O2471" i="2"/>
  <c r="V2963" i="2"/>
  <c r="G2284" i="2"/>
  <c r="S862" i="2"/>
  <c r="M2788" i="2"/>
  <c r="I1859" i="2"/>
  <c r="T2277" i="2"/>
  <c r="R572" i="2"/>
  <c r="N15" i="2"/>
  <c r="S458" i="2"/>
  <c r="M91" i="2"/>
  <c r="D1177" i="2"/>
  <c r="K798" i="2"/>
  <c r="V1158" i="2"/>
  <c r="N18" i="2"/>
  <c r="F799" i="2"/>
  <c r="H2627" i="2"/>
  <c r="G2809" i="2"/>
  <c r="F2887" i="2"/>
  <c r="G757" i="2"/>
  <c r="C418" i="2"/>
  <c r="U1945" i="2"/>
  <c r="S2225" i="2"/>
  <c r="M2650" i="2"/>
  <c r="O1998" i="2"/>
  <c r="U2471" i="2"/>
  <c r="G1853" i="2"/>
  <c r="W2701" i="2"/>
  <c r="P222" i="2"/>
  <c r="H2530" i="2"/>
  <c r="S357" i="2"/>
  <c r="R1532" i="2"/>
  <c r="O1634" i="2"/>
  <c r="F3002" i="2"/>
  <c r="F3159" i="2"/>
  <c r="G2102" i="2"/>
  <c r="Q452" i="2"/>
  <c r="T2896" i="2"/>
  <c r="S2592" i="2"/>
  <c r="Q11" i="2"/>
  <c r="H904" i="2"/>
  <c r="C1284" i="2"/>
  <c r="O2385" i="2"/>
  <c r="M2956" i="2"/>
  <c r="T2279" i="2"/>
  <c r="W1673" i="2"/>
  <c r="D494" i="2"/>
  <c r="V56" i="2"/>
  <c r="Q383" i="2"/>
  <c r="I2740" i="2"/>
  <c r="S2988" i="2"/>
  <c r="N320" i="2"/>
  <c r="I468" i="2"/>
  <c r="K572" i="2"/>
  <c r="R2216" i="2"/>
  <c r="H2738" i="2"/>
  <c r="G3" i="2"/>
  <c r="C1163" i="2"/>
  <c r="K3149" i="2"/>
  <c r="H1718" i="2"/>
  <c r="G1220" i="2"/>
  <c r="W1576" i="2"/>
  <c r="S2259" i="2"/>
  <c r="J2577" i="2"/>
  <c r="F1265" i="2"/>
  <c r="J1837" i="2"/>
  <c r="R3403" i="2"/>
  <c r="L2685" i="2"/>
  <c r="M1780" i="2"/>
  <c r="U2354" i="2"/>
  <c r="L461" i="2"/>
  <c r="J622" i="2"/>
  <c r="K2213" i="2"/>
  <c r="Q394" i="2"/>
  <c r="F3455" i="2"/>
  <c r="G1762" i="2"/>
  <c r="K2394" i="2"/>
  <c r="L2423" i="2"/>
  <c r="D1337" i="2"/>
  <c r="O122" i="2"/>
  <c r="G1941" i="2"/>
  <c r="O2213" i="2"/>
  <c r="J2175" i="2"/>
  <c r="F1768" i="2"/>
  <c r="L1017" i="2"/>
  <c r="Q2691" i="2"/>
  <c r="I950" i="2"/>
  <c r="Q1415" i="2"/>
  <c r="F2499" i="2"/>
  <c r="W2776" i="2"/>
  <c r="T1043" i="2"/>
  <c r="M3467" i="2"/>
  <c r="O2795" i="2"/>
  <c r="I2637" i="2"/>
  <c r="U804" i="2"/>
  <c r="N2026" i="2"/>
  <c r="S1249" i="2"/>
  <c r="M2022" i="2"/>
  <c r="G209" i="2"/>
  <c r="V2179" i="2"/>
  <c r="L1420" i="2"/>
  <c r="F569" i="2"/>
  <c r="O2503" i="2"/>
  <c r="K1685" i="2"/>
  <c r="O109" i="2"/>
  <c r="E119" i="2"/>
  <c r="L2009" i="2"/>
  <c r="Q308" i="2"/>
  <c r="T2119" i="2"/>
  <c r="G236" i="2"/>
  <c r="S63" i="2"/>
  <c r="W1485" i="2"/>
  <c r="P780" i="2"/>
  <c r="T692" i="2"/>
  <c r="P1895" i="2"/>
  <c r="O709" i="2"/>
  <c r="V2265" i="2"/>
  <c r="J2761" i="2"/>
  <c r="P1355" i="2"/>
  <c r="I253" i="2"/>
  <c r="K1833" i="2"/>
  <c r="E2897" i="2"/>
  <c r="R1659" i="2"/>
  <c r="D2751" i="2"/>
  <c r="W592" i="2"/>
  <c r="O2187" i="2"/>
  <c r="K2902" i="2"/>
  <c r="R1776" i="2"/>
  <c r="M2482" i="2"/>
  <c r="H1867" i="2"/>
  <c r="F2395" i="2"/>
  <c r="E52" i="2"/>
  <c r="O38" i="2"/>
  <c r="U1336" i="2"/>
  <c r="K730" i="2"/>
  <c r="O185" i="2"/>
  <c r="P185" i="2"/>
  <c r="S1190" i="2"/>
  <c r="U3060" i="2"/>
  <c r="J1159" i="2"/>
  <c r="H1888" i="2"/>
  <c r="V2494" i="2"/>
  <c r="T1400" i="2"/>
  <c r="P2529" i="2"/>
  <c r="E2688" i="2"/>
  <c r="G2396" i="2"/>
  <c r="W1052" i="2"/>
  <c r="F2653" i="2"/>
  <c r="S1131" i="2"/>
  <c r="R2805" i="2"/>
  <c r="O2025" i="2"/>
  <c r="N3122" i="2"/>
  <c r="D1973" i="2"/>
  <c r="D273" i="2"/>
  <c r="V224" i="2"/>
  <c r="O2357" i="2"/>
  <c r="R2479" i="2"/>
  <c r="E1665" i="2"/>
  <c r="R1393" i="2"/>
  <c r="I1735" i="2"/>
  <c r="C179" i="2"/>
  <c r="S2307" i="2"/>
  <c r="G1709" i="2"/>
  <c r="W1742" i="2"/>
  <c r="E1160" i="2"/>
  <c r="L209" i="2"/>
  <c r="H908" i="2"/>
  <c r="E90" i="2"/>
  <c r="M912" i="2"/>
  <c r="G997" i="2"/>
  <c r="S652" i="2"/>
  <c r="L1760" i="2"/>
  <c r="D2096" i="2"/>
  <c r="U250" i="2"/>
  <c r="N2681" i="2"/>
  <c r="I2212" i="2"/>
  <c r="T1292" i="2"/>
  <c r="L877" i="2"/>
  <c r="M3093" i="2"/>
  <c r="W492" i="2"/>
  <c r="E403" i="2"/>
  <c r="S846" i="2"/>
  <c r="R1831" i="2"/>
  <c r="M64" i="2"/>
  <c r="R1738" i="2"/>
  <c r="E555" i="2"/>
  <c r="K2208" i="2"/>
  <c r="N808" i="2"/>
  <c r="K182" i="2"/>
  <c r="C1911" i="2"/>
  <c r="W3017" i="2"/>
  <c r="O2052" i="2"/>
  <c r="O3218" i="2"/>
  <c r="Q2659" i="2"/>
  <c r="F118" i="2"/>
  <c r="D1977" i="2"/>
  <c r="V786" i="2"/>
  <c r="L1590" i="2"/>
  <c r="I1569" i="2"/>
  <c r="F2044" i="2"/>
  <c r="T1962" i="2"/>
  <c r="E2143" i="2"/>
  <c r="J1854" i="2"/>
  <c r="W799" i="2"/>
  <c r="G2422" i="2"/>
  <c r="P1922" i="2"/>
  <c r="F201" i="2"/>
  <c r="C3341" i="2"/>
  <c r="Q245" i="2"/>
  <c r="Q658" i="2"/>
  <c r="G1461" i="2"/>
  <c r="P2503" i="2"/>
  <c r="M587" i="2"/>
  <c r="P72" i="2"/>
  <c r="P487" i="2"/>
  <c r="P1376" i="2"/>
  <c r="R781" i="2"/>
  <c r="L634" i="2"/>
  <c r="F609" i="2"/>
  <c r="F1722" i="2"/>
  <c r="W2319" i="2"/>
  <c r="R1552" i="2"/>
  <c r="J487" i="2"/>
  <c r="G2890" i="2"/>
  <c r="K2182" i="2"/>
  <c r="I1258" i="2"/>
  <c r="C1835" i="2"/>
  <c r="W1807" i="2"/>
  <c r="M3142" i="2"/>
  <c r="S2220" i="2"/>
  <c r="I795" i="2"/>
  <c r="K700" i="2"/>
  <c r="L3273" i="2"/>
  <c r="V1529" i="2"/>
  <c r="D1957" i="2"/>
  <c r="J1292" i="2"/>
  <c r="P811" i="2"/>
  <c r="F1668" i="2"/>
  <c r="O465" i="2"/>
  <c r="W682" i="2"/>
  <c r="C149" i="2"/>
  <c r="P2681" i="2"/>
  <c r="C2808" i="2"/>
  <c r="J2419" i="2"/>
  <c r="T260" i="2"/>
  <c r="U2724" i="2"/>
  <c r="H279" i="2"/>
  <c r="U2132" i="2"/>
  <c r="H46" i="2"/>
  <c r="G2165" i="2"/>
  <c r="I163" i="2"/>
  <c r="S2866" i="2"/>
  <c r="J1650" i="2"/>
  <c r="O2013" i="2"/>
  <c r="P2082" i="2"/>
  <c r="J1307" i="2"/>
  <c r="N2045" i="2"/>
  <c r="N1423" i="2"/>
  <c r="Q1138" i="2"/>
  <c r="G1086" i="2"/>
  <c r="D444" i="2"/>
  <c r="C1360" i="2"/>
  <c r="W217" i="2"/>
  <c r="U824" i="2"/>
  <c r="U1420" i="2"/>
  <c r="T944" i="2"/>
  <c r="P839" i="2"/>
  <c r="L966" i="2"/>
  <c r="K325" i="2"/>
  <c r="E2222" i="2"/>
  <c r="K1146" i="2"/>
  <c r="C1289" i="2"/>
  <c r="G322" i="2"/>
  <c r="J2121" i="2"/>
  <c r="N1629" i="2"/>
  <c r="F318" i="2"/>
  <c r="S2618" i="2"/>
  <c r="Q2127" i="2"/>
  <c r="Q1824" i="2"/>
  <c r="I1038" i="2"/>
  <c r="F2177" i="2"/>
  <c r="S2750" i="2"/>
  <c r="V789" i="2"/>
  <c r="T2431" i="2"/>
  <c r="E1473" i="2"/>
  <c r="G1336" i="2"/>
  <c r="P1816" i="2"/>
  <c r="D1911" i="2"/>
  <c r="Q1788" i="2"/>
  <c r="V1691" i="2"/>
  <c r="S366" i="2"/>
  <c r="V2495" i="2"/>
  <c r="Q2682" i="2"/>
  <c r="D3007" i="2"/>
  <c r="W447" i="2"/>
  <c r="F674" i="2"/>
  <c r="I3097" i="2"/>
  <c r="W2861" i="2"/>
  <c r="D2985" i="2"/>
  <c r="H2452" i="2"/>
  <c r="N1275" i="2"/>
  <c r="P131" i="2"/>
  <c r="P1499" i="2"/>
  <c r="V2700" i="2"/>
  <c r="T2524" i="2"/>
  <c r="O2057" i="2"/>
  <c r="I1634" i="2"/>
  <c r="E210" i="2"/>
  <c r="G856" i="2"/>
  <c r="S554" i="2"/>
  <c r="P738" i="2"/>
  <c r="K2475" i="2"/>
  <c r="J151" i="2"/>
  <c r="Q437" i="2"/>
  <c r="C1785" i="2"/>
  <c r="U2943" i="2"/>
  <c r="N216" i="2"/>
  <c r="C1661" i="2"/>
  <c r="E2574" i="2"/>
  <c r="J3146" i="2"/>
  <c r="I927" i="2"/>
  <c r="O769" i="2"/>
  <c r="T748" i="2"/>
  <c r="U2422" i="2"/>
  <c r="W1333" i="2"/>
  <c r="P1302" i="2"/>
  <c r="L2663" i="2"/>
  <c r="D1529" i="2"/>
  <c r="W2101" i="2"/>
  <c r="H169" i="2"/>
  <c r="E1893" i="2"/>
  <c r="W2333" i="2"/>
  <c r="N897" i="2"/>
  <c r="V1886" i="2"/>
  <c r="P2311" i="2"/>
  <c r="N2294" i="2"/>
  <c r="G2775" i="2"/>
  <c r="F1649" i="2"/>
  <c r="H1214" i="2"/>
  <c r="H1337" i="2"/>
  <c r="F1971" i="2"/>
  <c r="H2026" i="2"/>
  <c r="G2227" i="2"/>
  <c r="N1817" i="2"/>
  <c r="V784" i="2"/>
  <c r="V1234" i="2"/>
  <c r="K1066" i="2"/>
  <c r="L3060" i="2"/>
  <c r="J1209" i="2"/>
  <c r="O1625" i="2"/>
  <c r="K2399" i="2"/>
  <c r="F1581" i="2"/>
  <c r="N2755" i="2"/>
  <c r="O681" i="2"/>
  <c r="R1522" i="2"/>
  <c r="L370" i="2"/>
  <c r="N2242" i="2"/>
  <c r="E1208" i="2"/>
  <c r="S2468" i="2"/>
  <c r="R3146" i="2"/>
  <c r="O1470" i="2"/>
  <c r="W1539" i="2"/>
  <c r="T3315" i="2"/>
  <c r="I2729" i="2"/>
  <c r="T2073" i="2"/>
  <c r="P551" i="2"/>
  <c r="R1909" i="2"/>
  <c r="K1620" i="2"/>
  <c r="R1157" i="2"/>
  <c r="O549" i="2"/>
  <c r="O792" i="2"/>
  <c r="D1541" i="2"/>
  <c r="G895" i="2"/>
  <c r="W141" i="2"/>
  <c r="O852" i="2"/>
  <c r="K1149" i="2"/>
  <c r="J924" i="2"/>
  <c r="R1215" i="2"/>
  <c r="L1855" i="2"/>
  <c r="K815" i="2"/>
  <c r="V2758" i="2"/>
  <c r="E1026" i="2"/>
  <c r="M1547" i="2"/>
  <c r="O1554" i="2"/>
  <c r="G597" i="2"/>
  <c r="O2560" i="2"/>
  <c r="V1530" i="2"/>
  <c r="S3181" i="2"/>
  <c r="K274" i="2"/>
  <c r="P3161" i="2"/>
  <c r="I1792" i="2"/>
  <c r="V2938" i="2"/>
  <c r="F46" i="2"/>
  <c r="F2995" i="2"/>
  <c r="T906" i="2"/>
  <c r="R1635" i="2"/>
  <c r="H1171" i="2"/>
  <c r="I1659" i="2"/>
  <c r="C1286" i="2"/>
  <c r="H71" i="2"/>
  <c r="D283" i="2"/>
  <c r="E1021" i="2"/>
  <c r="U2320" i="2"/>
  <c r="M103" i="2"/>
  <c r="W782" i="2"/>
  <c r="W837" i="2"/>
  <c r="W1880" i="2"/>
  <c r="C1701" i="2"/>
  <c r="K64" i="2"/>
  <c r="R520" i="2"/>
  <c r="N414" i="2"/>
  <c r="T1632" i="2"/>
  <c r="N1649" i="2"/>
  <c r="C1643" i="2"/>
  <c r="M301" i="2"/>
  <c r="J449" i="2"/>
  <c r="C2448" i="2"/>
  <c r="W456" i="2"/>
  <c r="M200" i="2"/>
  <c r="G114" i="2"/>
  <c r="H1007" i="2"/>
  <c r="T2377" i="2"/>
  <c r="M71" i="2"/>
  <c r="H156" i="2"/>
  <c r="M3013" i="2"/>
  <c r="N246" i="2"/>
  <c r="G300" i="2"/>
  <c r="L2923" i="2"/>
  <c r="Q1720" i="2"/>
  <c r="H919" i="2"/>
  <c r="R1599" i="2"/>
  <c r="O1878" i="2"/>
  <c r="V515" i="2"/>
  <c r="M1517" i="2"/>
  <c r="T1359" i="2"/>
  <c r="N330" i="2"/>
  <c r="S2163" i="2"/>
  <c r="P3147" i="2"/>
  <c r="O2716" i="2"/>
  <c r="F2908" i="2"/>
  <c r="S215" i="2"/>
  <c r="T2072" i="2"/>
  <c r="V1494" i="2"/>
  <c r="I1008" i="2"/>
  <c r="J1140" i="2"/>
  <c r="U1009" i="2"/>
  <c r="T84" i="2"/>
  <c r="W1077" i="2"/>
  <c r="V2332" i="2"/>
  <c r="S1796" i="2"/>
  <c r="C953" i="2"/>
  <c r="H1970" i="2"/>
  <c r="T1007" i="2"/>
  <c r="F1931" i="2"/>
  <c r="K2285" i="2"/>
  <c r="U1577" i="2"/>
  <c r="E218" i="2"/>
  <c r="K706" i="2"/>
  <c r="N1625" i="2"/>
  <c r="I1299" i="2"/>
  <c r="Q1552" i="2"/>
  <c r="S2154" i="2"/>
  <c r="I1952" i="2"/>
  <c r="R2274" i="2"/>
  <c r="C294" i="2"/>
  <c r="K481" i="2"/>
  <c r="C2380" i="2"/>
  <c r="V2163" i="2"/>
  <c r="M2723" i="2"/>
  <c r="W1033" i="2"/>
  <c r="I1721" i="2"/>
  <c r="D2033" i="2"/>
  <c r="V1140" i="2"/>
  <c r="M1589" i="2"/>
  <c r="V1075" i="2"/>
  <c r="C1137" i="2"/>
  <c r="Q1239" i="2"/>
  <c r="F2849" i="2"/>
  <c r="Q1378" i="2"/>
  <c r="T1493" i="2"/>
  <c r="Q1167" i="2"/>
  <c r="N1362" i="2"/>
  <c r="V3049" i="2"/>
  <c r="I2902" i="2"/>
  <c r="M727" i="2"/>
  <c r="J846" i="2"/>
  <c r="P1624" i="2"/>
  <c r="M1306" i="2"/>
  <c r="I2177" i="2"/>
  <c r="M1178" i="2"/>
  <c r="F983" i="2"/>
  <c r="N670" i="2"/>
  <c r="I1007" i="2"/>
  <c r="V1059" i="2"/>
  <c r="P301" i="2"/>
  <c r="G2819" i="2"/>
  <c r="E2830" i="2"/>
  <c r="K3240" i="2"/>
  <c r="V1962" i="2"/>
  <c r="P2268" i="2"/>
  <c r="D834" i="2"/>
  <c r="I977" i="2"/>
  <c r="U1634" i="2"/>
  <c r="T2878" i="2"/>
  <c r="S1327" i="2"/>
  <c r="T239" i="2"/>
  <c r="R570" i="2"/>
  <c r="S1801" i="2"/>
  <c r="L354" i="2"/>
  <c r="D1778" i="2"/>
  <c r="J2630" i="2"/>
  <c r="I1178" i="2"/>
  <c r="J568" i="2"/>
  <c r="V2237" i="2"/>
  <c r="Q1101" i="2"/>
  <c r="W2077" i="2"/>
  <c r="S2612" i="2"/>
  <c r="T2449" i="2"/>
  <c r="R135" i="2"/>
  <c r="L1294" i="2"/>
  <c r="W301" i="2"/>
  <c r="T2150" i="2"/>
  <c r="V282" i="2"/>
  <c r="G2515" i="2"/>
  <c r="I827" i="2"/>
  <c r="E2443" i="2"/>
  <c r="T844" i="2"/>
  <c r="W1896" i="2"/>
  <c r="W1527" i="2"/>
  <c r="K1770" i="2"/>
  <c r="V73" i="2"/>
  <c r="H52" i="2"/>
  <c r="D378" i="2"/>
  <c r="O1924" i="2"/>
  <c r="U229" i="2"/>
  <c r="C226" i="2"/>
  <c r="H2049" i="2"/>
  <c r="O1344" i="2"/>
  <c r="K683" i="2"/>
  <c r="U2714" i="2"/>
  <c r="Q2668" i="2"/>
  <c r="Q1539" i="2"/>
  <c r="S871" i="2"/>
  <c r="M631" i="2"/>
  <c r="C2650" i="2"/>
  <c r="K2140" i="2"/>
  <c r="K452" i="2"/>
  <c r="O2605" i="2"/>
  <c r="R1723" i="2"/>
  <c r="W1918" i="2"/>
  <c r="H1350" i="2"/>
  <c r="C91" i="2"/>
  <c r="Q3072" i="2"/>
  <c r="U2219" i="2"/>
  <c r="T1619" i="2"/>
  <c r="J277" i="2"/>
  <c r="G2463" i="2"/>
  <c r="K1696" i="2"/>
  <c r="U2010" i="2"/>
  <c r="T1861" i="2"/>
  <c r="G502" i="2"/>
  <c r="F1602" i="2"/>
  <c r="I1655" i="2"/>
  <c r="M126" i="2"/>
  <c r="I400" i="2"/>
  <c r="C480" i="2"/>
  <c r="U1789" i="2"/>
  <c r="J2182" i="2"/>
  <c r="M1777" i="2"/>
  <c r="O811" i="2"/>
  <c r="I2" i="2"/>
  <c r="R676" i="2"/>
  <c r="V2241" i="2"/>
  <c r="F680" i="2"/>
  <c r="D136" i="2"/>
  <c r="E2454" i="2"/>
  <c r="D127" i="2"/>
  <c r="J2418" i="2"/>
  <c r="K2558" i="2"/>
  <c r="U2429" i="2"/>
  <c r="P2343" i="2"/>
  <c r="Q1517" i="2"/>
  <c r="G1803" i="2"/>
  <c r="U3117" i="2"/>
  <c r="L1665" i="2"/>
  <c r="K1987" i="2"/>
  <c r="M1341" i="2"/>
  <c r="E774" i="2"/>
  <c r="V2862" i="2"/>
  <c r="I2256" i="2"/>
  <c r="K1614" i="2"/>
  <c r="W1181" i="2"/>
  <c r="R1337" i="2"/>
  <c r="T1223" i="2"/>
  <c r="T1255" i="2"/>
  <c r="U592" i="2"/>
  <c r="H80" i="2"/>
  <c r="P1206" i="2"/>
  <c r="J853" i="2"/>
  <c r="G677" i="2"/>
  <c r="W198" i="2"/>
  <c r="W820" i="2"/>
  <c r="J648" i="2"/>
  <c r="O1632" i="2"/>
  <c r="H3179" i="2"/>
  <c r="N2391" i="2"/>
  <c r="R2641" i="2"/>
  <c r="Q2994" i="2"/>
  <c r="M1904" i="2"/>
  <c r="O651" i="2"/>
  <c r="O2464" i="2"/>
  <c r="E1144" i="2"/>
  <c r="V2183" i="2"/>
  <c r="M786" i="2"/>
  <c r="Q2606" i="2"/>
  <c r="F1534" i="2"/>
  <c r="P2558" i="2"/>
  <c r="O596" i="2"/>
  <c r="I931" i="2"/>
  <c r="M1488" i="2"/>
  <c r="L672" i="2"/>
  <c r="F1497" i="2"/>
  <c r="F205" i="2"/>
  <c r="K1012" i="2"/>
  <c r="W439" i="2"/>
  <c r="E122" i="2"/>
  <c r="D2617" i="2"/>
  <c r="S181" i="2"/>
  <c r="N274" i="2"/>
  <c r="T659" i="2"/>
  <c r="G45" i="2"/>
  <c r="G463" i="2"/>
  <c r="R171" i="2"/>
  <c r="U297" i="2"/>
  <c r="P498" i="2"/>
  <c r="W1942" i="2"/>
  <c r="K1328" i="2"/>
  <c r="U1471" i="2"/>
  <c r="N268" i="2"/>
  <c r="M2150" i="2"/>
  <c r="D974" i="2"/>
  <c r="G1928" i="2"/>
  <c r="K2981" i="2"/>
  <c r="D411" i="2"/>
  <c r="F480" i="2"/>
  <c r="F2676" i="2"/>
  <c r="M2281" i="2"/>
  <c r="Q69" i="2"/>
  <c r="U148" i="2"/>
  <c r="H2544" i="2"/>
  <c r="S1524" i="2"/>
  <c r="M2464" i="2"/>
  <c r="W2771" i="2"/>
  <c r="I702" i="2"/>
  <c r="J1947" i="2"/>
  <c r="N2055" i="2"/>
  <c r="S82" i="2"/>
  <c r="V895" i="2"/>
  <c r="T1522" i="2"/>
  <c r="H1126" i="2"/>
  <c r="R2585" i="2"/>
  <c r="E571" i="2"/>
  <c r="F446" i="2"/>
  <c r="I2766" i="2"/>
  <c r="W1867" i="2"/>
  <c r="J2266" i="2"/>
  <c r="D1737" i="2"/>
  <c r="J300" i="2"/>
  <c r="U1148" i="2"/>
  <c r="R1985" i="2"/>
  <c r="V2542" i="2"/>
  <c r="T3240" i="2"/>
  <c r="V3082" i="2"/>
  <c r="J2132" i="2"/>
  <c r="R244" i="2"/>
  <c r="E2279" i="2"/>
  <c r="H2437" i="2"/>
  <c r="J208" i="2"/>
  <c r="V1745" i="2"/>
  <c r="K529" i="2"/>
  <c r="U1986" i="2"/>
  <c r="W984" i="2"/>
  <c r="U2483" i="2"/>
  <c r="W2122" i="2"/>
  <c r="G248" i="2"/>
  <c r="U2186" i="2"/>
  <c r="D173" i="2"/>
  <c r="K663" i="2"/>
  <c r="C2608" i="2"/>
  <c r="N1857" i="2"/>
  <c r="E344" i="2"/>
  <c r="S3176" i="2"/>
  <c r="Q2948" i="2"/>
  <c r="J182" i="2"/>
  <c r="E108" i="2"/>
  <c r="O442" i="2"/>
  <c r="H1936" i="2"/>
  <c r="U2561" i="2"/>
  <c r="R1070" i="2"/>
  <c r="O500" i="2"/>
  <c r="I1118" i="2"/>
  <c r="E773" i="2"/>
  <c r="Q1696" i="2"/>
  <c r="P826" i="2"/>
  <c r="V2839" i="2"/>
  <c r="N244" i="2"/>
  <c r="E2974" i="2"/>
  <c r="C1326" i="2"/>
  <c r="F1930" i="2"/>
  <c r="Q1913" i="2"/>
  <c r="E1867" i="2"/>
  <c r="U25" i="2"/>
  <c r="R1607" i="2"/>
  <c r="L218" i="2"/>
  <c r="P1881" i="2"/>
  <c r="T1710" i="2"/>
  <c r="I211" i="2"/>
  <c r="G1435" i="2"/>
  <c r="Q1616" i="2"/>
  <c r="F1710" i="2"/>
  <c r="W235" i="2"/>
  <c r="C31" i="2"/>
  <c r="J1796" i="2"/>
  <c r="S1051" i="2"/>
  <c r="V1406" i="2"/>
  <c r="E2104" i="2"/>
  <c r="H1764" i="2"/>
  <c r="J186" i="2"/>
  <c r="I117" i="2"/>
  <c r="M2537" i="2"/>
  <c r="W2512" i="2"/>
  <c r="C1949" i="2"/>
  <c r="K3088" i="2"/>
  <c r="H3374" i="2"/>
  <c r="T2023" i="2"/>
  <c r="I1692" i="2"/>
  <c r="M1385" i="2"/>
  <c r="V1612" i="2"/>
  <c r="C832" i="2"/>
  <c r="T1754" i="2"/>
  <c r="S1556" i="2"/>
  <c r="J1572" i="2"/>
  <c r="F2202" i="2"/>
  <c r="J2886" i="2"/>
  <c r="I2086" i="2"/>
  <c r="U905" i="2"/>
  <c r="D568" i="2"/>
  <c r="N1816" i="2"/>
  <c r="H85" i="2"/>
  <c r="U1895" i="2"/>
  <c r="R208" i="2"/>
  <c r="P915" i="2"/>
  <c r="H1510" i="2"/>
  <c r="N779" i="2"/>
  <c r="E312" i="2"/>
  <c r="J1740" i="2"/>
  <c r="E2750" i="2"/>
  <c r="N1364" i="2"/>
  <c r="R180" i="2"/>
  <c r="C520" i="2"/>
  <c r="M1936" i="2"/>
  <c r="C1691" i="2"/>
  <c r="V407" i="2"/>
  <c r="Q26" i="2"/>
  <c r="V1402" i="2"/>
  <c r="P460" i="2"/>
  <c r="F1247" i="2"/>
  <c r="N1856" i="2"/>
  <c r="K1265" i="2"/>
  <c r="H2316" i="2"/>
  <c r="G120" i="2"/>
  <c r="O419" i="2"/>
  <c r="S64" i="2"/>
  <c r="H2749" i="2"/>
  <c r="O440" i="2"/>
  <c r="W2452" i="2"/>
  <c r="O1854" i="2"/>
  <c r="J1555" i="2"/>
  <c r="N1954" i="2"/>
  <c r="R1144" i="2"/>
  <c r="L2516" i="2"/>
  <c r="M1152" i="2"/>
  <c r="T961" i="2"/>
  <c r="R393" i="2"/>
  <c r="S500" i="2"/>
  <c r="O1031" i="2"/>
  <c r="P410" i="2"/>
  <c r="Q1438" i="2"/>
  <c r="S1543" i="2"/>
  <c r="K444" i="2"/>
  <c r="N957" i="2"/>
  <c r="T2423" i="2"/>
  <c r="M821" i="2"/>
  <c r="D2010" i="2"/>
  <c r="C200" i="2"/>
  <c r="G2449" i="2"/>
  <c r="E686" i="2"/>
  <c r="M1120" i="2"/>
  <c r="Q2087" i="2"/>
  <c r="Q1960" i="2"/>
  <c r="T2317" i="2"/>
  <c r="M411" i="2"/>
  <c r="Q2582" i="2"/>
  <c r="J2101" i="2"/>
  <c r="L1677" i="2"/>
  <c r="U370" i="2"/>
  <c r="F769" i="2"/>
  <c r="F1548" i="2"/>
  <c r="U2712" i="2"/>
  <c r="G444" i="2"/>
  <c r="F914" i="2"/>
  <c r="F2467" i="2"/>
  <c r="T2920" i="2"/>
  <c r="G1144" i="2"/>
  <c r="M812" i="2"/>
  <c r="M799" i="2"/>
  <c r="E3009" i="2"/>
  <c r="U2130" i="2"/>
  <c r="P1811" i="2"/>
  <c r="E2199" i="2"/>
  <c r="M1255" i="2"/>
  <c r="G190" i="2"/>
  <c r="L2734" i="2"/>
  <c r="K2715" i="2"/>
  <c r="J2718" i="2"/>
  <c r="V274" i="2"/>
  <c r="Q1563" i="2"/>
  <c r="I1508" i="2"/>
  <c r="S976" i="2"/>
  <c r="M967" i="2"/>
  <c r="H683" i="2"/>
  <c r="Q414" i="2"/>
  <c r="U863" i="2"/>
  <c r="U2602" i="2"/>
  <c r="K2113" i="2"/>
  <c r="U1864" i="2"/>
  <c r="N1678" i="2"/>
  <c r="S2156" i="2"/>
  <c r="D392" i="2"/>
  <c r="M3066" i="2"/>
  <c r="K518" i="2"/>
  <c r="S617" i="2"/>
  <c r="J2021" i="2"/>
  <c r="G1084" i="2"/>
  <c r="G8" i="2"/>
  <c r="N2399" i="2"/>
  <c r="R502" i="2"/>
  <c r="G2375" i="2"/>
  <c r="Q400" i="2"/>
  <c r="L266" i="2"/>
  <c r="T766" i="2"/>
  <c r="N2426" i="2"/>
  <c r="J441" i="2"/>
  <c r="E810" i="2"/>
  <c r="N862" i="2"/>
  <c r="N1880" i="2"/>
  <c r="N1989" i="2"/>
  <c r="C558" i="2"/>
  <c r="G1392" i="2"/>
  <c r="K1861" i="2"/>
  <c r="R2561" i="2"/>
  <c r="E2484" i="2"/>
  <c r="I1165" i="2"/>
  <c r="D2484" i="2"/>
  <c r="O1026" i="2"/>
  <c r="W2072" i="2"/>
  <c r="Q2257" i="2"/>
  <c r="D1559" i="2"/>
  <c r="Q1823" i="2"/>
  <c r="G333" i="2"/>
  <c r="I522" i="2"/>
  <c r="T1056" i="2"/>
  <c r="I1012" i="2"/>
  <c r="O703" i="2"/>
  <c r="C1845" i="2"/>
  <c r="Q2099" i="2"/>
  <c r="I2010" i="2"/>
  <c r="K2241" i="2"/>
  <c r="C1407" i="2"/>
  <c r="M388" i="2"/>
  <c r="E2951" i="2"/>
  <c r="G892" i="2"/>
  <c r="N398" i="2"/>
  <c r="D1325" i="2"/>
  <c r="L1620" i="2"/>
  <c r="I527" i="2"/>
  <c r="D1013" i="2"/>
  <c r="H2692" i="2"/>
  <c r="E2116" i="2"/>
  <c r="E2511" i="2"/>
  <c r="D813" i="2"/>
  <c r="Q1768" i="2"/>
  <c r="S2993" i="2"/>
  <c r="P2375" i="2"/>
  <c r="V445" i="2"/>
  <c r="S2393" i="2"/>
  <c r="S179" i="2"/>
  <c r="R2814" i="2"/>
  <c r="W1481" i="2"/>
  <c r="O1848" i="2"/>
  <c r="T64" i="2"/>
  <c r="N857" i="2"/>
  <c r="O1392" i="2"/>
  <c r="C1280" i="2"/>
  <c r="P794" i="2"/>
  <c r="S115" i="2"/>
  <c r="M1443" i="2"/>
  <c r="R1091" i="2"/>
  <c r="V419" i="2"/>
  <c r="F993" i="2"/>
  <c r="S303" i="2"/>
  <c r="P1362" i="2"/>
  <c r="P1139" i="2"/>
  <c r="Q1914" i="2"/>
  <c r="C2868" i="2"/>
  <c r="U218" i="2"/>
  <c r="I1723" i="2"/>
  <c r="F1054" i="2"/>
  <c r="F1920" i="2"/>
  <c r="R2019" i="2"/>
  <c r="J2297" i="2"/>
  <c r="O392" i="2"/>
  <c r="T2366" i="2"/>
  <c r="E57" i="2"/>
  <c r="M501" i="2"/>
  <c r="D2333" i="2"/>
  <c r="K1204" i="2"/>
  <c r="K1207" i="2"/>
  <c r="V2011" i="2"/>
  <c r="J2822" i="2"/>
  <c r="L1903" i="2"/>
  <c r="H716" i="2"/>
  <c r="Q2974" i="2"/>
  <c r="I167" i="2"/>
  <c r="F777" i="2"/>
  <c r="J1133" i="2"/>
  <c r="H2216" i="2"/>
  <c r="M1322" i="2"/>
  <c r="E1758" i="2"/>
  <c r="U665" i="2"/>
  <c r="F2255" i="2"/>
  <c r="C506" i="2"/>
  <c r="W173" i="2"/>
  <c r="C1452" i="2"/>
  <c r="G3294" i="2"/>
  <c r="F3244" i="2"/>
  <c r="C1314" i="2"/>
  <c r="Q2295" i="2"/>
  <c r="T2043" i="2"/>
  <c r="O1867" i="2"/>
  <c r="F2429" i="2"/>
  <c r="D2124" i="2"/>
  <c r="L1413" i="2"/>
  <c r="H1788" i="2"/>
  <c r="D315" i="2"/>
  <c r="H1722" i="2"/>
  <c r="Q623" i="2"/>
  <c r="J1389" i="2"/>
  <c r="O58" i="2"/>
  <c r="E855" i="2"/>
  <c r="Q1629" i="2"/>
  <c r="M3284" i="2"/>
  <c r="W161" i="2"/>
  <c r="L2300" i="2"/>
  <c r="O2134" i="2"/>
  <c r="U1619" i="2"/>
  <c r="O745" i="2"/>
  <c r="Q1759" i="2"/>
  <c r="K1919" i="2"/>
  <c r="I1110" i="2"/>
  <c r="H1689" i="2"/>
  <c r="L274" i="2"/>
  <c r="T2258" i="2"/>
  <c r="D669" i="2"/>
  <c r="I525" i="2"/>
  <c r="N131" i="2"/>
  <c r="P2997" i="2"/>
  <c r="D715" i="2"/>
  <c r="F2169" i="2"/>
  <c r="W2849" i="2"/>
  <c r="C1994" i="2"/>
  <c r="H785" i="2"/>
  <c r="R1962" i="2"/>
  <c r="N3054" i="2"/>
  <c r="O2451" i="2"/>
  <c r="D430" i="2"/>
  <c r="E783" i="2"/>
  <c r="N2335" i="2"/>
  <c r="S1132" i="2"/>
  <c r="I928" i="2"/>
  <c r="G742" i="2"/>
  <c r="R2392" i="2"/>
  <c r="G1189" i="2"/>
  <c r="S113" i="2"/>
  <c r="I1917" i="2"/>
  <c r="K399" i="2"/>
  <c r="P2215" i="2"/>
  <c r="F1142" i="2"/>
  <c r="S964" i="2"/>
  <c r="D2418" i="2"/>
  <c r="F770" i="2"/>
  <c r="U1963" i="2"/>
  <c r="H61" i="2"/>
  <c r="I348" i="2"/>
  <c r="R894" i="2"/>
  <c r="J2525" i="2"/>
  <c r="G1299" i="2"/>
  <c r="U1407" i="2"/>
  <c r="K2990" i="2"/>
  <c r="E2452" i="2"/>
  <c r="F229" i="2"/>
  <c r="N1223" i="2"/>
  <c r="V844" i="2"/>
  <c r="G1508" i="2"/>
  <c r="G2014" i="2"/>
  <c r="R1274" i="2"/>
  <c r="T83" i="2"/>
  <c r="M756" i="2"/>
  <c r="O3155" i="2"/>
  <c r="D566" i="2"/>
  <c r="R1141" i="2"/>
  <c r="N1532" i="2"/>
  <c r="N819" i="2"/>
  <c r="I941" i="2"/>
  <c r="Q1075" i="2"/>
  <c r="L2084" i="2"/>
  <c r="C2591" i="2"/>
  <c r="J14" i="2"/>
  <c r="C1136" i="2"/>
  <c r="K1289" i="2"/>
  <c r="D1380" i="2"/>
  <c r="T865" i="2"/>
  <c r="T1144" i="2"/>
  <c r="J531" i="2"/>
  <c r="D1027" i="2"/>
  <c r="N2274" i="2"/>
  <c r="T2105" i="2"/>
  <c r="J440" i="2"/>
  <c r="J145" i="2"/>
  <c r="K3086" i="2"/>
  <c r="L561" i="2"/>
  <c r="G1614" i="2"/>
  <c r="Q540" i="2"/>
  <c r="F412" i="2"/>
  <c r="O1528" i="2"/>
  <c r="C348" i="2"/>
  <c r="R526" i="2"/>
  <c r="L1092" i="2"/>
  <c r="V2557" i="2"/>
  <c r="M2376" i="2"/>
  <c r="P2720" i="2"/>
  <c r="P2455" i="2"/>
  <c r="U827" i="2"/>
  <c r="F1824" i="2"/>
  <c r="O715" i="2"/>
  <c r="N2661" i="2"/>
  <c r="D1864" i="2"/>
  <c r="L305" i="2"/>
  <c r="M420" i="2"/>
  <c r="L1618" i="2"/>
  <c r="F2280" i="2"/>
  <c r="T2254" i="2"/>
  <c r="K1037" i="2"/>
  <c r="U1160" i="2"/>
  <c r="W2" i="2"/>
  <c r="N63" i="2"/>
  <c r="I2006" i="2"/>
  <c r="F2160" i="2"/>
  <c r="N1000" i="2"/>
  <c r="L444" i="2"/>
  <c r="L314" i="2"/>
  <c r="D1884" i="2"/>
  <c r="K2876" i="2"/>
  <c r="S1456" i="2"/>
  <c r="U79" i="2"/>
  <c r="H2125" i="2"/>
  <c r="U174" i="2"/>
  <c r="C3012" i="2"/>
  <c r="O797" i="2"/>
  <c r="U821" i="2"/>
  <c r="O2039" i="2"/>
  <c r="M1391" i="2"/>
  <c r="R311" i="2"/>
  <c r="V1333" i="2"/>
  <c r="J2156" i="2"/>
  <c r="F2096" i="2"/>
  <c r="Q2091" i="2"/>
  <c r="T2012" i="2"/>
  <c r="Q937" i="2"/>
  <c r="Q2987" i="2"/>
  <c r="E953" i="2"/>
  <c r="J1920" i="2"/>
  <c r="O930" i="2"/>
  <c r="F3108" i="2"/>
  <c r="S1245" i="2"/>
  <c r="E1463" i="2"/>
  <c r="C2939" i="2"/>
  <c r="N3026" i="2"/>
  <c r="K792" i="2"/>
  <c r="R2194" i="2"/>
  <c r="G1549" i="2"/>
  <c r="U1738" i="2"/>
  <c r="K704" i="2"/>
  <c r="K1964" i="2"/>
  <c r="I2347" i="2"/>
  <c r="M1564" i="2"/>
  <c r="O2468" i="2"/>
  <c r="N1285" i="2"/>
  <c r="W802" i="2"/>
  <c r="J237" i="2"/>
  <c r="T57" i="2"/>
  <c r="T2623" i="2"/>
  <c r="S1209" i="2"/>
  <c r="L761" i="2"/>
  <c r="V2952" i="2"/>
  <c r="M607" i="2"/>
  <c r="R2515" i="2"/>
  <c r="J2107" i="2"/>
  <c r="Q1168" i="2"/>
  <c r="E1009" i="2"/>
  <c r="F2433" i="2"/>
  <c r="V2750" i="2"/>
  <c r="J1200" i="2"/>
  <c r="T336" i="2"/>
  <c r="V144" i="2"/>
  <c r="J1398" i="2"/>
  <c r="F1194" i="2"/>
  <c r="H553" i="2"/>
  <c r="N798" i="2"/>
  <c r="Q3266" i="2"/>
  <c r="O1425" i="2"/>
  <c r="S2205" i="2"/>
  <c r="V1103" i="2"/>
  <c r="C2032" i="2"/>
  <c r="I320" i="2"/>
  <c r="V1189" i="2"/>
  <c r="I1191" i="2"/>
  <c r="L1354" i="2"/>
  <c r="T38" i="2"/>
  <c r="W531" i="2"/>
  <c r="G451" i="2"/>
  <c r="P666" i="2"/>
  <c r="M1454" i="2"/>
  <c r="U1012" i="2"/>
  <c r="F1483" i="2"/>
  <c r="O1110" i="2"/>
  <c r="S315" i="2"/>
  <c r="S2288" i="2"/>
  <c r="R2941" i="2"/>
  <c r="M785" i="2"/>
  <c r="S1951" i="2"/>
  <c r="C768" i="2"/>
  <c r="M380" i="2"/>
  <c r="Q2108" i="2"/>
  <c r="H2423" i="2"/>
  <c r="S2318" i="2"/>
  <c r="I1695" i="2"/>
  <c r="W385" i="2"/>
  <c r="Q717" i="2"/>
  <c r="F1210" i="2"/>
  <c r="V485" i="2"/>
  <c r="M2699" i="2"/>
  <c r="S2111" i="2"/>
  <c r="P1198" i="2"/>
  <c r="H481" i="2"/>
  <c r="P2168" i="2"/>
  <c r="Q1855" i="2"/>
  <c r="J448" i="2"/>
  <c r="E339" i="2"/>
  <c r="S1030" i="2"/>
  <c r="N557" i="2"/>
  <c r="P2117" i="2"/>
  <c r="F465" i="2"/>
  <c r="P1949" i="2"/>
  <c r="C706" i="2"/>
  <c r="Q480" i="2"/>
  <c r="H597" i="2"/>
  <c r="W2902" i="2"/>
  <c r="S2740" i="2"/>
  <c r="K1097" i="2"/>
  <c r="G3268" i="2"/>
  <c r="C3228" i="2"/>
  <c r="V3" i="2"/>
  <c r="V1895" i="2"/>
  <c r="F2107" i="2"/>
  <c r="W1927" i="2"/>
  <c r="F1603" i="2"/>
  <c r="P331" i="2"/>
  <c r="R1889" i="2"/>
  <c r="V1372" i="2"/>
  <c r="C1347" i="2"/>
  <c r="M2454" i="2"/>
  <c r="G186" i="2"/>
  <c r="H179" i="2"/>
  <c r="V2060" i="2"/>
  <c r="S1237" i="2"/>
  <c r="J936" i="2"/>
  <c r="J1400" i="2"/>
  <c r="V3169" i="2"/>
  <c r="U167" i="2"/>
  <c r="W554" i="2"/>
  <c r="F1172" i="2"/>
  <c r="H2558" i="2"/>
  <c r="V1712" i="2"/>
  <c r="F22" i="2"/>
  <c r="N1319" i="2"/>
  <c r="H2885" i="2"/>
  <c r="T1993" i="2"/>
  <c r="K1957" i="2"/>
  <c r="G715" i="2"/>
  <c r="J864" i="2"/>
  <c r="T542" i="2"/>
  <c r="L2474" i="2"/>
  <c r="F1786" i="2"/>
  <c r="U1485" i="2"/>
  <c r="O691" i="2"/>
  <c r="C277" i="2"/>
  <c r="C1768" i="2"/>
  <c r="T2863" i="2"/>
  <c r="U2788" i="2"/>
  <c r="L2864" i="2"/>
  <c r="Q257" i="2"/>
  <c r="N620" i="2"/>
  <c r="Q1880" i="2"/>
  <c r="S1105" i="2"/>
  <c r="J1423" i="2"/>
  <c r="V610" i="2"/>
  <c r="S1546" i="2"/>
  <c r="J1112" i="2"/>
  <c r="M3018" i="2"/>
  <c r="G2269" i="2"/>
  <c r="O1587" i="2"/>
  <c r="V619" i="2"/>
  <c r="V37" i="2"/>
  <c r="R53" i="2"/>
  <c r="F1302" i="2"/>
  <c r="U936" i="2"/>
  <c r="V739" i="2"/>
  <c r="Q1736" i="2"/>
  <c r="P1479" i="2"/>
  <c r="E492" i="2"/>
  <c r="Q457" i="2"/>
  <c r="M2230" i="2"/>
  <c r="D2188" i="2"/>
  <c r="E2187" i="2"/>
  <c r="V1979" i="2"/>
  <c r="T876" i="2"/>
  <c r="V2705" i="2"/>
  <c r="Q1551" i="2"/>
  <c r="J1813" i="2"/>
  <c r="M430" i="2"/>
  <c r="D2772" i="2"/>
  <c r="D761" i="2"/>
  <c r="T326" i="2"/>
  <c r="O1762" i="2"/>
  <c r="L2049" i="2"/>
  <c r="W2318" i="2"/>
  <c r="M432" i="2"/>
  <c r="P1591" i="2"/>
  <c r="M2208" i="2"/>
  <c r="M3032" i="2"/>
  <c r="N1417" i="2"/>
  <c r="V1074" i="2"/>
  <c r="J1806" i="2"/>
  <c r="S2342" i="2"/>
  <c r="D794" i="2"/>
  <c r="G1740" i="2"/>
  <c r="E841" i="2"/>
  <c r="V2979" i="2"/>
  <c r="M105" i="2"/>
  <c r="E2559" i="2"/>
  <c r="Q3165" i="2"/>
  <c r="D2349" i="2"/>
  <c r="H1361" i="2"/>
  <c r="O2657" i="2"/>
  <c r="C844" i="2"/>
  <c r="P1115" i="2"/>
  <c r="U1630" i="2"/>
  <c r="Q2417" i="2"/>
  <c r="H394" i="2"/>
  <c r="U2440" i="2"/>
  <c r="E1528" i="2"/>
  <c r="S2291" i="2"/>
  <c r="G512" i="2"/>
  <c r="Q1025" i="2"/>
  <c r="P546" i="2"/>
  <c r="P3092" i="2"/>
  <c r="V1482" i="2"/>
  <c r="E55" i="2"/>
  <c r="H1105" i="2"/>
  <c r="F1502" i="2"/>
  <c r="V40" i="2"/>
  <c r="N1152" i="2"/>
  <c r="F915" i="2"/>
  <c r="F456" i="2"/>
  <c r="M309" i="2"/>
  <c r="S905" i="2"/>
  <c r="D3235" i="2"/>
  <c r="J2381" i="2"/>
  <c r="D1754" i="2"/>
  <c r="K2702" i="2"/>
  <c r="E992" i="2"/>
  <c r="P1532" i="2"/>
  <c r="C2642" i="2"/>
  <c r="P1457" i="2"/>
  <c r="S940" i="2"/>
  <c r="W480" i="2"/>
  <c r="Q813" i="2"/>
  <c r="S661" i="2"/>
  <c r="J224" i="2"/>
  <c r="V167" i="2"/>
  <c r="N359" i="2"/>
  <c r="F2393" i="2"/>
  <c r="V2102" i="2"/>
  <c r="V1804" i="2"/>
  <c r="Q1929" i="2"/>
  <c r="J588" i="2"/>
  <c r="G1200" i="2"/>
  <c r="E1865" i="2"/>
  <c r="G2850" i="2"/>
  <c r="T975" i="2"/>
  <c r="H2425" i="2"/>
  <c r="O16" i="2"/>
  <c r="J2103" i="2"/>
  <c r="H416" i="2"/>
  <c r="N2331" i="2"/>
  <c r="K1155" i="2"/>
  <c r="V1051" i="2"/>
  <c r="W1056" i="2"/>
  <c r="O1126" i="2"/>
  <c r="P1696" i="2"/>
  <c r="S906" i="2"/>
  <c r="F1713" i="2"/>
  <c r="J497" i="2"/>
  <c r="K983" i="2"/>
  <c r="E213" i="2"/>
  <c r="N1982" i="2"/>
  <c r="O2174" i="2"/>
  <c r="Q908" i="2"/>
  <c r="M733" i="2"/>
  <c r="E1093" i="2"/>
  <c r="V2121" i="2"/>
  <c r="G2070" i="2"/>
  <c r="D1220" i="2"/>
  <c r="I1867" i="2"/>
  <c r="L908" i="2"/>
  <c r="Q2953" i="2"/>
  <c r="J1327" i="2"/>
  <c r="D1636" i="2"/>
  <c r="K519" i="2"/>
  <c r="R2429" i="2"/>
  <c r="E1031" i="2"/>
  <c r="O1511" i="2"/>
  <c r="F3337" i="2"/>
  <c r="N623" i="2"/>
  <c r="M288" i="2"/>
  <c r="E1825" i="2"/>
  <c r="R1709" i="2"/>
  <c r="V390" i="2"/>
  <c r="Q365" i="2"/>
  <c r="J272" i="2"/>
  <c r="V1526" i="2"/>
  <c r="D2020" i="2"/>
  <c r="E2257" i="2"/>
  <c r="V223" i="2"/>
  <c r="E664" i="2"/>
  <c r="S2463" i="2"/>
  <c r="Q505" i="2"/>
  <c r="R597" i="2"/>
  <c r="E1539" i="2"/>
  <c r="H2389" i="2"/>
  <c r="M2370" i="2"/>
  <c r="R1540" i="2"/>
  <c r="S3078" i="2"/>
  <c r="N3416" i="2"/>
  <c r="Q1920" i="2"/>
  <c r="M662" i="2"/>
  <c r="M182" i="2"/>
  <c r="E1334" i="2"/>
  <c r="L1950" i="2"/>
  <c r="Q2254" i="2"/>
  <c r="C739" i="2"/>
  <c r="M729" i="2"/>
  <c r="H93" i="2"/>
  <c r="C744" i="2"/>
  <c r="D1074" i="2"/>
  <c r="G2108" i="2"/>
  <c r="K1613" i="2"/>
  <c r="Q1612" i="2"/>
  <c r="W1926" i="2"/>
  <c r="W125" i="2"/>
  <c r="V27" i="2"/>
  <c r="G659" i="2"/>
  <c r="I855" i="2"/>
  <c r="G1129" i="2"/>
  <c r="H305" i="2"/>
  <c r="K72" i="2"/>
  <c r="M131" i="2"/>
  <c r="I2029" i="2"/>
  <c r="J270" i="2"/>
  <c r="P2397" i="2"/>
  <c r="R2161" i="2"/>
  <c r="P1179" i="2"/>
  <c r="H2634" i="2"/>
  <c r="U2281" i="2"/>
  <c r="L2185" i="2"/>
  <c r="C2423" i="2"/>
  <c r="D2876" i="2"/>
  <c r="E1153" i="2"/>
  <c r="G1896" i="2"/>
  <c r="U1898" i="2"/>
  <c r="Q485" i="2"/>
  <c r="C924" i="2"/>
  <c r="P1858" i="2"/>
  <c r="W1606" i="2"/>
  <c r="O141" i="2"/>
  <c r="R908" i="2"/>
  <c r="L285" i="2"/>
  <c r="C216" i="2"/>
  <c r="W723" i="2"/>
  <c r="M1083" i="2"/>
  <c r="L2610" i="2"/>
  <c r="C1672" i="2"/>
  <c r="C936" i="2"/>
  <c r="N2469" i="2"/>
  <c r="O2482" i="2"/>
  <c r="E2296" i="2"/>
  <c r="F1536" i="2"/>
  <c r="F744" i="2"/>
  <c r="H1900" i="2"/>
  <c r="O1475" i="2"/>
  <c r="I3110" i="2"/>
  <c r="Q1493" i="2"/>
  <c r="C225" i="2"/>
  <c r="K892" i="2"/>
  <c r="F2618" i="2"/>
  <c r="H2077" i="2"/>
  <c r="K2148" i="2"/>
  <c r="L1681" i="2"/>
  <c r="U1428" i="2"/>
  <c r="N75" i="2"/>
  <c r="G2296" i="2"/>
  <c r="S1508" i="2"/>
  <c r="S184" i="2"/>
  <c r="U2025" i="2"/>
  <c r="J105" i="2"/>
  <c r="G1242" i="2"/>
  <c r="I404" i="2"/>
  <c r="S701" i="2"/>
  <c r="J931" i="2"/>
  <c r="S67" i="2"/>
  <c r="P1217" i="2"/>
  <c r="Q706" i="2"/>
  <c r="M1012" i="2"/>
  <c r="H311" i="2"/>
  <c r="U528" i="2"/>
  <c r="M1902" i="2"/>
  <c r="S650" i="2"/>
  <c r="N990" i="2"/>
  <c r="Q1042" i="2"/>
  <c r="O735" i="2"/>
  <c r="M1580" i="2"/>
  <c r="K1312" i="2"/>
  <c r="J431" i="2"/>
  <c r="V240" i="2"/>
  <c r="W1677" i="2"/>
  <c r="D2414" i="2"/>
  <c r="L1995" i="2"/>
  <c r="K1274" i="2"/>
  <c r="N242" i="2"/>
  <c r="H362" i="2"/>
  <c r="D795" i="2"/>
  <c r="D2271" i="2"/>
  <c r="H592" i="2"/>
  <c r="N2802" i="2"/>
  <c r="F2236" i="2"/>
  <c r="S3385" i="2"/>
  <c r="H1929" i="2"/>
  <c r="M1817" i="2"/>
  <c r="J2092" i="2"/>
  <c r="I1820" i="2"/>
  <c r="P1367" i="2"/>
  <c r="O41" i="2"/>
  <c r="G2" i="2"/>
  <c r="G424" i="2"/>
  <c r="N2841" i="2"/>
  <c r="O467" i="2"/>
  <c r="T1535" i="2"/>
  <c r="F2549" i="2"/>
  <c r="G3192" i="2"/>
  <c r="F3453" i="2"/>
  <c r="O2504" i="2"/>
  <c r="M929" i="2"/>
  <c r="I1243" i="2"/>
  <c r="U2528" i="2"/>
  <c r="M2234" i="2"/>
  <c r="L1127" i="2"/>
  <c r="F1749" i="2"/>
  <c r="R3370" i="2"/>
  <c r="S2603" i="2"/>
  <c r="R744" i="2"/>
  <c r="O589" i="2"/>
  <c r="O1525" i="2"/>
  <c r="V3164" i="2"/>
  <c r="T918" i="2"/>
  <c r="K912" i="2"/>
  <c r="M3469" i="2"/>
  <c r="D1647" i="2"/>
  <c r="R1563" i="2"/>
  <c r="S2649" i="2"/>
  <c r="K2488" i="2"/>
  <c r="F256" i="2"/>
  <c r="Q415" i="2"/>
  <c r="M2467" i="2"/>
  <c r="C841" i="2"/>
  <c r="Q3050" i="2"/>
  <c r="M1153" i="2"/>
  <c r="T1553" i="2"/>
  <c r="E3016" i="2"/>
  <c r="M901" i="2"/>
  <c r="L930" i="2"/>
  <c r="W1484" i="2"/>
  <c r="N2771" i="2"/>
  <c r="D2986" i="2"/>
  <c r="T122" i="2"/>
  <c r="G2313" i="2"/>
  <c r="E184" i="2"/>
  <c r="R801" i="2"/>
  <c r="E2725" i="2"/>
  <c r="R1284" i="2"/>
  <c r="K2520" i="2"/>
  <c r="V2212" i="2"/>
  <c r="D2409" i="2"/>
  <c r="W1088" i="2"/>
  <c r="F906" i="2"/>
  <c r="H846" i="2"/>
  <c r="G827" i="2"/>
  <c r="O1006" i="2"/>
  <c r="U2455" i="2"/>
  <c r="N141" i="2"/>
  <c r="Q2049" i="2"/>
  <c r="D2279" i="2"/>
  <c r="M407" i="2"/>
  <c r="I681" i="2"/>
  <c r="N2098" i="2"/>
  <c r="P1341" i="2"/>
  <c r="G1304" i="2"/>
  <c r="R621" i="2"/>
  <c r="I1121" i="2"/>
  <c r="P2902" i="2"/>
  <c r="C1736" i="2"/>
  <c r="P840" i="2"/>
  <c r="W1249" i="2"/>
  <c r="S358" i="2"/>
  <c r="Q846" i="2"/>
  <c r="L3053" i="2"/>
  <c r="L2550" i="2"/>
  <c r="Q1806" i="2"/>
  <c r="Q1010" i="2"/>
  <c r="N1470" i="2"/>
  <c r="M1204" i="2"/>
  <c r="G123" i="2"/>
  <c r="E2208" i="2"/>
  <c r="E3006" i="2"/>
  <c r="O402" i="2"/>
  <c r="U1769" i="2"/>
  <c r="H356" i="2"/>
  <c r="S1452" i="2"/>
  <c r="O2684" i="2"/>
  <c r="Q2961" i="2"/>
  <c r="Q1862" i="2"/>
  <c r="V2567" i="2"/>
  <c r="W2033" i="2"/>
  <c r="M2432" i="2"/>
  <c r="E263" i="2"/>
  <c r="R1565" i="2"/>
  <c r="W3104" i="2"/>
  <c r="E1489" i="2"/>
  <c r="T590" i="2"/>
  <c r="M598" i="2"/>
  <c r="N610" i="2"/>
  <c r="T17" i="2"/>
  <c r="K2866" i="2"/>
  <c r="L1392" i="2"/>
  <c r="H45" i="2"/>
  <c r="M1446" i="2"/>
  <c r="H1165" i="2"/>
  <c r="F2162" i="2"/>
  <c r="H741" i="2"/>
  <c r="P1201" i="2"/>
  <c r="E2492" i="2"/>
  <c r="V2916" i="2"/>
  <c r="F2895" i="2"/>
  <c r="E1760" i="2"/>
  <c r="O796" i="2"/>
  <c r="I2754" i="2"/>
  <c r="M1969" i="2"/>
  <c r="I2244" i="2"/>
  <c r="M2033" i="2"/>
  <c r="L923" i="2"/>
  <c r="S450" i="2"/>
  <c r="T3218" i="2"/>
  <c r="V1915" i="2"/>
  <c r="I1172" i="2"/>
  <c r="O2114" i="2"/>
  <c r="L1746" i="2"/>
  <c r="N186" i="2"/>
  <c r="N1107" i="2"/>
  <c r="K352" i="2"/>
  <c r="N79" i="2"/>
  <c r="G529" i="2"/>
  <c r="J2268" i="2"/>
  <c r="Q3128" i="2"/>
  <c r="I1534" i="2"/>
  <c r="S2773" i="2"/>
  <c r="J2480" i="2"/>
  <c r="R936" i="2"/>
  <c r="L436" i="2"/>
  <c r="M1601" i="2"/>
  <c r="K1477" i="2"/>
  <c r="E2883" i="2"/>
  <c r="P1347" i="2"/>
  <c r="C2640" i="2"/>
  <c r="E511" i="2"/>
  <c r="S1658" i="2"/>
  <c r="I2106" i="2"/>
  <c r="M2513" i="2"/>
  <c r="Q1148" i="2"/>
  <c r="F1894" i="2"/>
  <c r="N397" i="2"/>
  <c r="L3197" i="2"/>
  <c r="E2322" i="2"/>
  <c r="L1177" i="2"/>
  <c r="G419" i="2"/>
  <c r="T1275" i="2"/>
  <c r="C1405" i="2"/>
  <c r="E1754" i="2"/>
  <c r="U2415" i="2"/>
  <c r="W2271" i="2"/>
  <c r="I3296" i="2"/>
  <c r="Q506" i="2"/>
  <c r="K1705" i="2"/>
  <c r="V2319" i="2"/>
  <c r="S959" i="2"/>
  <c r="M2795" i="2"/>
  <c r="G1203" i="2"/>
  <c r="M1712" i="2"/>
  <c r="R99" i="2"/>
  <c r="P2825" i="2"/>
  <c r="E1218" i="2"/>
  <c r="P1222" i="2"/>
  <c r="P2495" i="2"/>
  <c r="I235" i="2"/>
  <c r="J1531" i="2"/>
  <c r="H404" i="2"/>
  <c r="T755" i="2"/>
  <c r="O668" i="2"/>
  <c r="L227" i="2"/>
  <c r="I2814" i="2"/>
  <c r="N1568" i="2"/>
  <c r="J728" i="2"/>
  <c r="N2544" i="2"/>
  <c r="C2818" i="2"/>
  <c r="H2135" i="2"/>
  <c r="F2869" i="2"/>
  <c r="L1661" i="2"/>
  <c r="G1273" i="2"/>
  <c r="I1361" i="2"/>
  <c r="M2162" i="2"/>
  <c r="U711" i="2"/>
  <c r="J1268" i="2"/>
  <c r="O1273" i="2"/>
  <c r="C912" i="2"/>
  <c r="E1885" i="2"/>
  <c r="W826" i="2"/>
  <c r="I70" i="2"/>
  <c r="F470" i="2"/>
  <c r="V34" i="2"/>
  <c r="L2207" i="2"/>
  <c r="I223" i="2"/>
  <c r="D1235" i="2"/>
  <c r="Q2725" i="2"/>
  <c r="W2160" i="2"/>
  <c r="F1413" i="2"/>
  <c r="J3166" i="2"/>
  <c r="L33" i="2"/>
  <c r="U1614" i="2"/>
  <c r="G2376" i="2"/>
  <c r="F2405" i="2"/>
  <c r="H194" i="2"/>
  <c r="R1713" i="2"/>
  <c r="Q2946" i="2"/>
  <c r="V2505" i="2"/>
  <c r="I2608" i="2"/>
  <c r="R3165" i="2"/>
  <c r="H2033" i="2"/>
  <c r="H2082" i="2"/>
  <c r="P2458" i="2"/>
  <c r="L1054" i="2"/>
  <c r="C536" i="2"/>
  <c r="W631" i="2"/>
  <c r="P2110" i="2"/>
  <c r="M1145" i="2"/>
  <c r="K2874" i="2"/>
  <c r="D1094" i="2"/>
  <c r="H2706" i="2"/>
  <c r="N1447" i="2"/>
  <c r="T1985" i="2"/>
  <c r="D2830" i="2"/>
  <c r="I2227" i="2"/>
  <c r="W3438" i="2"/>
  <c r="G1293" i="2"/>
  <c r="E689" i="2"/>
  <c r="F2458" i="2"/>
  <c r="Q631" i="2"/>
  <c r="O555" i="2"/>
  <c r="L2004" i="2"/>
  <c r="R2936" i="2"/>
  <c r="Q202" i="2"/>
  <c r="K91" i="2"/>
  <c r="P274" i="2"/>
  <c r="P2901" i="2"/>
  <c r="V1766" i="2"/>
  <c r="U1523" i="2"/>
  <c r="G1586" i="2"/>
  <c r="M3128" i="2"/>
  <c r="E2401" i="2"/>
  <c r="I1177" i="2"/>
  <c r="P1151" i="2"/>
  <c r="P3098" i="2"/>
  <c r="R954" i="2"/>
  <c r="C517" i="2"/>
  <c r="U991" i="2"/>
  <c r="V3185" i="2"/>
  <c r="E1955" i="2"/>
  <c r="R2174" i="2"/>
  <c r="M1924" i="2"/>
  <c r="K1337" i="2"/>
  <c r="H2987" i="2"/>
  <c r="C1362" i="2"/>
  <c r="U1369" i="2"/>
  <c r="Q1279" i="2"/>
  <c r="L1041" i="2"/>
  <c r="M807" i="2"/>
  <c r="D1230" i="2"/>
  <c r="L736" i="2"/>
  <c r="N562" i="2"/>
  <c r="N495" i="2"/>
  <c r="R829" i="2"/>
  <c r="T831" i="2"/>
  <c r="K141" i="2"/>
  <c r="C1206" i="2"/>
  <c r="H1396" i="2"/>
  <c r="L84" i="2"/>
  <c r="W3015" i="2"/>
  <c r="G2707" i="2"/>
  <c r="N2643" i="2"/>
  <c r="O1042" i="2"/>
  <c r="F2484" i="2"/>
  <c r="U1246" i="2"/>
  <c r="I2662" i="2"/>
  <c r="L691" i="2"/>
  <c r="S1693" i="2"/>
  <c r="K2005" i="2"/>
  <c r="L1015" i="2"/>
  <c r="H2767" i="2"/>
  <c r="V787" i="2"/>
  <c r="V808" i="2"/>
  <c r="N2473" i="2"/>
  <c r="C3294" i="2"/>
  <c r="O1340" i="2"/>
  <c r="E1178" i="2"/>
  <c r="W1146" i="2"/>
  <c r="G735" i="2"/>
  <c r="R121" i="2"/>
  <c r="D1175" i="2"/>
  <c r="G1498" i="2"/>
  <c r="I904" i="2"/>
  <c r="G2055" i="2"/>
  <c r="D1916" i="2"/>
  <c r="Q1636" i="2"/>
  <c r="I2390" i="2"/>
  <c r="U476" i="2"/>
  <c r="O1324" i="2"/>
  <c r="O1274" i="2"/>
  <c r="P732" i="2"/>
  <c r="E2879" i="2"/>
  <c r="T1497" i="2"/>
  <c r="Q2191" i="2"/>
  <c r="N1808" i="2"/>
  <c r="L156" i="2"/>
  <c r="F2620" i="2"/>
  <c r="L662" i="2"/>
  <c r="P2980" i="2"/>
  <c r="T1532" i="2"/>
  <c r="S94" i="2"/>
  <c r="C535" i="2"/>
  <c r="I1036" i="2"/>
  <c r="W453" i="2"/>
  <c r="S1393" i="2"/>
  <c r="M2760" i="2"/>
  <c r="M2082" i="2"/>
  <c r="P2261" i="2"/>
  <c r="O965" i="2"/>
  <c r="S247" i="2"/>
  <c r="P678" i="2"/>
  <c r="W945" i="2"/>
  <c r="M1056" i="2"/>
  <c r="E238" i="2"/>
  <c r="G3262" i="2"/>
  <c r="W2486" i="2"/>
  <c r="U1703" i="2"/>
  <c r="L630" i="2"/>
  <c r="U732" i="2"/>
  <c r="D495" i="2"/>
  <c r="F861" i="2"/>
  <c r="H759" i="2"/>
  <c r="M209" i="2"/>
  <c r="W541" i="2"/>
  <c r="Q774" i="2"/>
  <c r="T2110" i="2"/>
  <c r="K998" i="2"/>
  <c r="J273" i="2"/>
  <c r="L2052" i="2"/>
  <c r="P323" i="2"/>
  <c r="R2346" i="2"/>
  <c r="C293" i="2"/>
  <c r="J2058" i="2"/>
  <c r="N2221" i="2"/>
  <c r="C854" i="2"/>
  <c r="J940" i="2"/>
  <c r="L1658" i="2"/>
  <c r="D1642" i="2"/>
  <c r="T1941" i="2"/>
  <c r="W1053" i="2"/>
  <c r="N2856" i="2"/>
  <c r="O1912" i="2"/>
  <c r="V1293" i="2"/>
  <c r="E2289" i="2"/>
  <c r="T1346" i="2"/>
  <c r="D3392" i="2"/>
  <c r="O1018" i="2"/>
  <c r="L21" i="2"/>
  <c r="V2765" i="2"/>
  <c r="G601" i="2"/>
  <c r="I2832" i="2"/>
  <c r="P2546" i="2"/>
  <c r="W1266" i="2"/>
  <c r="V699" i="2"/>
  <c r="P1946" i="2"/>
  <c r="E25" i="2"/>
  <c r="L1227" i="2"/>
  <c r="O239" i="2"/>
  <c r="S2726" i="2"/>
  <c r="W1248" i="2"/>
  <c r="W1899" i="2"/>
  <c r="T908" i="2"/>
  <c r="P2879" i="2"/>
  <c r="W2552" i="2"/>
  <c r="L1510" i="2"/>
  <c r="N1566" i="2"/>
  <c r="S2143" i="2"/>
  <c r="S2194" i="2"/>
  <c r="L2098" i="2"/>
  <c r="H2288" i="2"/>
  <c r="C771" i="2"/>
  <c r="N2021" i="2"/>
  <c r="F2210" i="2"/>
  <c r="M1646" i="2"/>
  <c r="G16" i="2"/>
  <c r="G2293" i="2"/>
  <c r="F611" i="2"/>
  <c r="L1312" i="2"/>
  <c r="U2246" i="2"/>
  <c r="N2751" i="2"/>
  <c r="R1765" i="2"/>
  <c r="O1972" i="2"/>
  <c r="Q1183" i="2"/>
  <c r="L1642" i="2"/>
  <c r="U680" i="2"/>
  <c r="V2048" i="2"/>
  <c r="E1155" i="2"/>
  <c r="Q2141" i="2"/>
  <c r="F1460" i="2"/>
  <c r="V500" i="2"/>
  <c r="O3207" i="2"/>
  <c r="E2562" i="2"/>
  <c r="H2194" i="2"/>
  <c r="F562" i="2"/>
  <c r="Q2074" i="2"/>
  <c r="T1489" i="2"/>
  <c r="V1550" i="2"/>
  <c r="D1402" i="2"/>
  <c r="U423" i="2"/>
  <c r="J242" i="2"/>
  <c r="P643" i="2"/>
  <c r="M2524" i="2"/>
  <c r="G1442" i="2"/>
  <c r="T1842" i="2"/>
  <c r="S640" i="2"/>
  <c r="T1288" i="2"/>
  <c r="I226" i="2"/>
  <c r="U227" i="2"/>
  <c r="C2876" i="2"/>
  <c r="K2237" i="2"/>
  <c r="N870" i="2"/>
  <c r="R1772" i="2"/>
  <c r="O1523" i="2"/>
  <c r="S398" i="2"/>
  <c r="Q1257" i="2"/>
  <c r="H933" i="2"/>
  <c r="G1492" i="2"/>
  <c r="E1034" i="2"/>
  <c r="Q836" i="2"/>
  <c r="J2550" i="2"/>
  <c r="O2229" i="2"/>
  <c r="G1903" i="2"/>
  <c r="D359" i="2"/>
  <c r="U1834" i="2"/>
  <c r="I2912" i="2"/>
  <c r="S108" i="2"/>
  <c r="J2451" i="2"/>
  <c r="M724" i="2"/>
  <c r="W251" i="2"/>
  <c r="L967" i="2"/>
  <c r="Q978" i="2"/>
  <c r="O1040" i="2"/>
  <c r="R2310" i="2"/>
  <c r="P1917" i="2"/>
  <c r="L2484" i="2"/>
  <c r="O2111" i="2"/>
  <c r="S875" i="2"/>
  <c r="O1859" i="2"/>
  <c r="L728" i="2"/>
  <c r="E1653" i="2"/>
  <c r="U1187" i="2"/>
  <c r="O929" i="2"/>
  <c r="G3140" i="2"/>
  <c r="G2733" i="2"/>
  <c r="R1494" i="2"/>
  <c r="J2663" i="2"/>
  <c r="R1801" i="2"/>
  <c r="P42" i="2"/>
  <c r="R89" i="2"/>
  <c r="S973" i="2"/>
  <c r="N458" i="2"/>
  <c r="W556" i="2"/>
  <c r="C1327" i="2"/>
  <c r="U2183" i="2"/>
  <c r="H112" i="2"/>
  <c r="M553" i="2"/>
  <c r="H2497" i="2"/>
  <c r="D2471" i="2"/>
  <c r="I1230" i="2"/>
  <c r="U354" i="2"/>
  <c r="J2049" i="2"/>
  <c r="E1231" i="2"/>
  <c r="V657" i="2"/>
  <c r="K234" i="2"/>
  <c r="T1853" i="2"/>
  <c r="L465" i="2"/>
  <c r="S1347" i="2"/>
  <c r="C3074" i="2"/>
  <c r="I1284" i="2"/>
  <c r="R1717" i="2"/>
  <c r="V1713" i="2"/>
  <c r="C2206" i="2"/>
  <c r="K1697" i="2"/>
  <c r="M1978" i="2"/>
  <c r="Q806" i="2"/>
  <c r="O1000" i="2"/>
  <c r="K1396" i="2"/>
  <c r="K260" i="2"/>
  <c r="H459" i="2"/>
  <c r="T1882" i="2"/>
  <c r="L2154" i="2"/>
  <c r="W2798" i="2"/>
  <c r="K447" i="2"/>
  <c r="E464" i="2"/>
  <c r="I2997" i="2"/>
  <c r="W8" i="2"/>
  <c r="L876" i="2"/>
  <c r="F2378" i="2"/>
  <c r="N2246" i="2"/>
  <c r="E2607" i="2"/>
  <c r="W609" i="2"/>
  <c r="Q1688" i="2"/>
  <c r="C449" i="2"/>
  <c r="H1618" i="2"/>
  <c r="P953" i="2"/>
  <c r="U503" i="2"/>
  <c r="C1565" i="2"/>
  <c r="J2570" i="2"/>
  <c r="N224" i="2"/>
  <c r="F577" i="2"/>
  <c r="N552" i="2"/>
  <c r="T2046" i="2"/>
  <c r="O138" i="2"/>
  <c r="F2158" i="2"/>
  <c r="R1850" i="2"/>
  <c r="R734" i="2"/>
  <c r="M1900" i="2"/>
  <c r="D328" i="2"/>
  <c r="V3018" i="2"/>
  <c r="J2198" i="2"/>
  <c r="D2623" i="2"/>
  <c r="U1802" i="2"/>
  <c r="F3212" i="2"/>
  <c r="J2290" i="2"/>
  <c r="G1315" i="2"/>
  <c r="K1042" i="2"/>
  <c r="O2834" i="2"/>
  <c r="T1594" i="2"/>
  <c r="J1397" i="2"/>
  <c r="C261" i="2"/>
  <c r="K1371" i="2"/>
  <c r="J1451" i="2"/>
  <c r="L2707" i="2"/>
  <c r="N513" i="2"/>
  <c r="E276" i="2"/>
  <c r="F407" i="2"/>
  <c r="I17" i="2"/>
  <c r="N1489" i="2"/>
  <c r="N272" i="2"/>
  <c r="S2506" i="2"/>
  <c r="C1710" i="2"/>
  <c r="N863" i="2"/>
  <c r="R286" i="2"/>
  <c r="H3532" i="2"/>
  <c r="E1788" i="2"/>
  <c r="J1705" i="2"/>
  <c r="I1960" i="2"/>
  <c r="N74" i="2"/>
  <c r="W2532" i="2"/>
  <c r="U375" i="2"/>
  <c r="F2708" i="2"/>
  <c r="K971" i="2"/>
  <c r="O1263" i="2"/>
  <c r="O1398" i="2"/>
  <c r="W241" i="2"/>
  <c r="S678" i="2"/>
  <c r="J611" i="2"/>
  <c r="P2340" i="2"/>
  <c r="S2654" i="2"/>
  <c r="W320" i="2"/>
  <c r="H47" i="2"/>
  <c r="T566" i="2"/>
  <c r="T1067" i="2"/>
  <c r="G414" i="2"/>
  <c r="V1324" i="2"/>
  <c r="W1004" i="2"/>
  <c r="T2175" i="2"/>
  <c r="M2743" i="2"/>
  <c r="R581" i="2"/>
  <c r="R2144" i="2"/>
  <c r="F373" i="2"/>
  <c r="G1719" i="2"/>
  <c r="Q1116" i="2"/>
  <c r="C2799" i="2"/>
  <c r="T1863" i="2"/>
  <c r="I396" i="2"/>
  <c r="C2643" i="2"/>
  <c r="I516" i="2"/>
  <c r="S2029" i="2"/>
  <c r="I1049" i="2"/>
  <c r="K1400" i="2"/>
  <c r="M2353" i="2"/>
  <c r="F819" i="2"/>
  <c r="M344" i="2"/>
  <c r="U1129" i="2"/>
  <c r="L5" i="2"/>
  <c r="T2968" i="2"/>
  <c r="F2781" i="2"/>
  <c r="S448" i="2"/>
  <c r="S2396" i="2"/>
  <c r="E1459" i="2"/>
  <c r="M869" i="2"/>
  <c r="V2337" i="2"/>
  <c r="P2433" i="2"/>
  <c r="R161" i="2"/>
  <c r="H690" i="2"/>
  <c r="I1611" i="2"/>
  <c r="V1229" i="2"/>
  <c r="J757" i="2"/>
  <c r="S1623" i="2"/>
  <c r="P1184" i="2"/>
  <c r="V1798" i="2"/>
  <c r="S158" i="2"/>
  <c r="L2082" i="2"/>
  <c r="W632" i="2"/>
  <c r="O1760" i="2"/>
  <c r="O192" i="2"/>
  <c r="U326" i="2"/>
  <c r="P1878" i="2"/>
  <c r="D747" i="2"/>
  <c r="I611" i="2"/>
  <c r="H291" i="2"/>
  <c r="G682" i="2"/>
  <c r="W607" i="2"/>
  <c r="T3061" i="2"/>
  <c r="J2683" i="2"/>
  <c r="F1777" i="2"/>
  <c r="Q2007" i="2"/>
  <c r="Q1407" i="2"/>
  <c r="J195" i="2"/>
  <c r="W1809" i="2"/>
  <c r="T677" i="2"/>
  <c r="U2375" i="2"/>
  <c r="Q2612" i="2"/>
  <c r="S2449" i="2"/>
  <c r="T249" i="2"/>
  <c r="E1784" i="2"/>
  <c r="U490" i="2"/>
  <c r="M1915" i="2"/>
  <c r="C475" i="2"/>
  <c r="N694" i="2"/>
  <c r="V2483" i="2"/>
  <c r="D810" i="2"/>
  <c r="H2658" i="2"/>
  <c r="L2443" i="2"/>
  <c r="D300" i="2"/>
  <c r="D243" i="2"/>
  <c r="E1753" i="2"/>
  <c r="S1544" i="2"/>
  <c r="K1153" i="2"/>
  <c r="J2147" i="2"/>
  <c r="H956" i="2"/>
  <c r="U2377" i="2"/>
  <c r="C1178" i="2"/>
  <c r="F2746" i="2"/>
  <c r="G1981" i="2"/>
  <c r="E2297" i="2"/>
  <c r="T1977" i="2"/>
  <c r="D1526" i="2"/>
  <c r="R1766" i="2"/>
  <c r="K2420" i="2"/>
  <c r="H2554" i="2"/>
  <c r="C1809" i="2"/>
  <c r="G6" i="2"/>
  <c r="G1602" i="2"/>
  <c r="M1731" i="2"/>
  <c r="L2723" i="2"/>
  <c r="T2060" i="2"/>
  <c r="G1079" i="2"/>
  <c r="J1839" i="2"/>
  <c r="O75" i="2"/>
  <c r="J1967" i="2"/>
  <c r="W714" i="2"/>
  <c r="C2397" i="2"/>
  <c r="P1864" i="2"/>
  <c r="V1676" i="2"/>
  <c r="D379" i="2"/>
  <c r="T740" i="2"/>
  <c r="R2992" i="2"/>
  <c r="N1168" i="2"/>
  <c r="D632" i="2"/>
  <c r="H934" i="2"/>
  <c r="P2615" i="2"/>
  <c r="U677" i="2"/>
  <c r="M1624" i="2"/>
  <c r="F3008" i="2"/>
  <c r="G304" i="2"/>
  <c r="K87" i="2"/>
  <c r="U2600" i="2"/>
  <c r="I2218" i="2"/>
  <c r="I1971" i="2"/>
  <c r="F398" i="2"/>
  <c r="T970" i="2"/>
  <c r="M531" i="2"/>
  <c r="T1386" i="2"/>
  <c r="V308" i="2"/>
  <c r="N1761" i="2"/>
  <c r="H852" i="2"/>
  <c r="L1799" i="2"/>
  <c r="F1619" i="2"/>
  <c r="W628" i="2"/>
  <c r="V1763" i="2"/>
  <c r="I337" i="2"/>
  <c r="L46" i="2"/>
  <c r="M2666" i="2"/>
  <c r="N2382" i="2"/>
  <c r="P1747" i="2"/>
  <c r="M2986" i="2"/>
  <c r="T242" i="2"/>
  <c r="G1976" i="2"/>
  <c r="V1228" i="2"/>
  <c r="E861" i="2"/>
  <c r="F2486" i="2"/>
  <c r="P1441" i="2"/>
  <c r="D881" i="2"/>
  <c r="J1103" i="2"/>
  <c r="N1704" i="2"/>
  <c r="O1952" i="2"/>
  <c r="R2281" i="2"/>
  <c r="R1666" i="2"/>
  <c r="U331" i="2"/>
  <c r="M326" i="2"/>
  <c r="F1876" i="2"/>
  <c r="I2836" i="2"/>
  <c r="H1139" i="2"/>
  <c r="P1416" i="2"/>
  <c r="F760" i="2"/>
  <c r="F1979" i="2"/>
  <c r="L508" i="2"/>
  <c r="V1963" i="2"/>
  <c r="E916" i="2"/>
  <c r="U59" i="2"/>
  <c r="I2535" i="2"/>
  <c r="N1901" i="2"/>
  <c r="T147" i="2"/>
  <c r="H2172" i="2"/>
  <c r="G158" i="2"/>
  <c r="Q2195" i="2"/>
  <c r="W1503" i="2"/>
  <c r="U1368" i="2"/>
  <c r="P2178" i="2"/>
  <c r="K2667" i="2"/>
  <c r="G981" i="2"/>
  <c r="S2733" i="2"/>
  <c r="W737" i="2"/>
  <c r="L1776" i="2"/>
  <c r="V1772" i="2"/>
  <c r="O1646" i="2"/>
  <c r="J414" i="2"/>
  <c r="D104" i="2"/>
  <c r="P2026" i="2"/>
  <c r="N1099" i="2"/>
  <c r="C827" i="2"/>
  <c r="T665" i="2"/>
  <c r="J870" i="2"/>
  <c r="Q1445" i="2"/>
  <c r="M2704" i="2"/>
  <c r="R2183" i="2"/>
  <c r="J913" i="2"/>
  <c r="L945" i="2"/>
  <c r="D2469" i="2"/>
  <c r="W711" i="2"/>
  <c r="S2878" i="2"/>
  <c r="F649" i="2"/>
  <c r="N651" i="2"/>
  <c r="F1618" i="2"/>
  <c r="P32" i="2"/>
  <c r="N1064" i="2"/>
  <c r="K2003" i="2"/>
  <c r="C1456" i="2"/>
  <c r="L460" i="2"/>
  <c r="O692" i="2"/>
  <c r="P2765" i="2"/>
  <c r="O450" i="2"/>
  <c r="V394" i="2"/>
  <c r="W921" i="2"/>
  <c r="F2610" i="2"/>
  <c r="V2080" i="2"/>
  <c r="T511" i="2"/>
  <c r="S365" i="2"/>
  <c r="W861" i="2"/>
  <c r="U2949" i="2"/>
  <c r="C2442" i="2"/>
  <c r="H2015" i="2"/>
  <c r="T1574" i="2"/>
  <c r="T205" i="2"/>
  <c r="H3116" i="2"/>
  <c r="M1387" i="2"/>
  <c r="E258" i="2"/>
  <c r="L2151" i="2"/>
  <c r="V817" i="2"/>
  <c r="K1870" i="2"/>
  <c r="R2728" i="2"/>
  <c r="W266" i="2"/>
  <c r="W1050" i="2"/>
  <c r="H1123" i="2"/>
  <c r="M1940" i="2"/>
  <c r="J1393" i="2"/>
  <c r="C2526" i="2"/>
  <c r="K73" i="2"/>
  <c r="D3135" i="2"/>
  <c r="F1989" i="2"/>
  <c r="I301" i="2"/>
  <c r="G95" i="2"/>
  <c r="T850" i="2"/>
  <c r="V396" i="2"/>
  <c r="H1109" i="2"/>
  <c r="U1399" i="2"/>
  <c r="L1500" i="2"/>
  <c r="R2040" i="2"/>
  <c r="J3068" i="2"/>
  <c r="U2569" i="2"/>
  <c r="K2010" i="2"/>
  <c r="L2609" i="2"/>
  <c r="P931" i="2"/>
  <c r="W1762" i="2"/>
  <c r="F3150" i="2"/>
  <c r="M2057" i="2"/>
  <c r="H818" i="2"/>
  <c r="U1543" i="2"/>
  <c r="W2120" i="2"/>
  <c r="L1587" i="2"/>
  <c r="H1832" i="2"/>
  <c r="C1937" i="2"/>
  <c r="H285" i="2"/>
  <c r="E221" i="2"/>
  <c r="V519" i="2"/>
  <c r="P16" i="2"/>
  <c r="V797" i="2"/>
  <c r="J1023" i="2"/>
  <c r="G2741" i="2"/>
  <c r="W2089" i="2"/>
  <c r="L2217" i="2"/>
  <c r="G1236" i="2"/>
  <c r="M3266" i="2"/>
  <c r="D842" i="2"/>
  <c r="W3040" i="2"/>
  <c r="N1783" i="2"/>
  <c r="P37" i="2"/>
  <c r="D2610" i="2"/>
  <c r="H1048" i="2"/>
  <c r="Q1433" i="2"/>
  <c r="E138" i="2"/>
  <c r="R1895" i="2"/>
  <c r="R1618" i="2"/>
  <c r="L939" i="2"/>
  <c r="Q873" i="2"/>
  <c r="D2813" i="2"/>
  <c r="W1567" i="2"/>
  <c r="K1386" i="2"/>
  <c r="K1548" i="2"/>
  <c r="D2254" i="2"/>
  <c r="P1431" i="2"/>
  <c r="H1863" i="2"/>
  <c r="W520" i="2"/>
  <c r="U1971" i="2"/>
  <c r="T73" i="2"/>
  <c r="U1327" i="2"/>
  <c r="V2201" i="2"/>
  <c r="I1905" i="2"/>
  <c r="S616" i="2"/>
  <c r="R1210" i="2"/>
  <c r="P2389" i="2"/>
  <c r="T567" i="2"/>
  <c r="H692" i="2"/>
  <c r="J2475" i="2"/>
  <c r="G1051" i="2"/>
  <c r="H3295" i="2"/>
  <c r="W1008" i="2"/>
  <c r="W3392" i="2"/>
  <c r="J2922" i="2"/>
  <c r="D1976" i="2"/>
  <c r="R1211" i="2"/>
  <c r="U778" i="2"/>
  <c r="S459" i="2"/>
  <c r="S1022" i="2"/>
  <c r="I1140" i="2"/>
  <c r="N1993" i="2"/>
  <c r="H3113" i="2"/>
  <c r="N2101" i="2"/>
  <c r="U360" i="2"/>
  <c r="O2320" i="2"/>
  <c r="W1368" i="2"/>
  <c r="N704" i="2"/>
  <c r="T1334" i="2"/>
  <c r="C852" i="2"/>
  <c r="P674" i="2"/>
  <c r="M1993" i="2"/>
  <c r="C1290" i="2"/>
  <c r="T1249" i="2"/>
  <c r="Q243" i="2"/>
  <c r="M1735" i="2"/>
  <c r="W69" i="2"/>
  <c r="L289" i="2"/>
  <c r="D1860" i="2"/>
  <c r="K1460" i="2"/>
  <c r="V643" i="2"/>
  <c r="N2515" i="2"/>
  <c r="T2956" i="2"/>
  <c r="W775" i="2"/>
  <c r="Q330" i="2"/>
  <c r="K1281" i="2"/>
  <c r="J1934" i="2"/>
  <c r="D1178" i="2"/>
  <c r="P971" i="2"/>
  <c r="H136" i="2"/>
  <c r="R911" i="2"/>
  <c r="C93" i="2"/>
  <c r="K308" i="2"/>
  <c r="P3382" i="2"/>
  <c r="M1001" i="2"/>
  <c r="D2450" i="2"/>
  <c r="N1753" i="2"/>
  <c r="F724" i="2"/>
  <c r="R2022" i="2"/>
  <c r="I1223" i="2"/>
  <c r="Q1669" i="2"/>
  <c r="I195" i="2"/>
  <c r="S573" i="2"/>
  <c r="M228" i="2"/>
  <c r="V2139" i="2"/>
  <c r="E1170" i="2"/>
  <c r="L1542" i="2"/>
  <c r="F3388" i="2"/>
  <c r="E65" i="2"/>
  <c r="O630" i="2"/>
  <c r="I449" i="2"/>
  <c r="L1964" i="2"/>
  <c r="V2489" i="2"/>
  <c r="M1958" i="2"/>
  <c r="N133" i="2"/>
  <c r="E2468" i="2"/>
  <c r="D1562" i="2"/>
  <c r="V851" i="2"/>
  <c r="W155" i="2"/>
  <c r="K152" i="2"/>
  <c r="W1171" i="2"/>
  <c r="P2581" i="2"/>
  <c r="U2384" i="2"/>
  <c r="Q157" i="2"/>
  <c r="N353" i="2"/>
  <c r="R2113" i="2"/>
  <c r="P1021" i="2"/>
  <c r="S2678" i="2"/>
  <c r="M3047" i="2"/>
  <c r="L2485" i="2"/>
  <c r="D907" i="2"/>
  <c r="M2055" i="2"/>
  <c r="W896" i="2"/>
  <c r="K1808" i="2"/>
  <c r="P1156" i="2"/>
  <c r="C802" i="2"/>
  <c r="I921" i="2"/>
  <c r="Q1049" i="2"/>
  <c r="C1322" i="2"/>
  <c r="R1338" i="2"/>
  <c r="N1858" i="2"/>
  <c r="O1136" i="2"/>
  <c r="S904" i="2"/>
  <c r="Q543" i="2"/>
  <c r="S585" i="2"/>
  <c r="F2083" i="2"/>
  <c r="O2585" i="2"/>
  <c r="F1834" i="2"/>
  <c r="N2394" i="2"/>
  <c r="K2156" i="2"/>
  <c r="T2188" i="2"/>
  <c r="S1791" i="2"/>
  <c r="V1974" i="2"/>
  <c r="K1839" i="2"/>
  <c r="I2866" i="2"/>
  <c r="J475" i="2"/>
  <c r="Q1013" i="2"/>
  <c r="P1276" i="2"/>
  <c r="P759" i="2"/>
  <c r="Q2597" i="2"/>
  <c r="P275" i="2"/>
  <c r="D304" i="2"/>
  <c r="C1285" i="2"/>
  <c r="U2319" i="2"/>
  <c r="F128" i="2"/>
  <c r="S508" i="2"/>
  <c r="H2158" i="2"/>
  <c r="T1378" i="2"/>
  <c r="I2059" i="2"/>
  <c r="O1541" i="2"/>
  <c r="P810" i="2"/>
  <c r="N2827" i="2"/>
  <c r="U1101" i="2"/>
  <c r="T1776" i="2"/>
  <c r="M1493" i="2"/>
  <c r="R614" i="2"/>
  <c r="C786" i="2"/>
  <c r="C2363" i="2"/>
  <c r="V434" i="2"/>
  <c r="K1132" i="2"/>
  <c r="O1900" i="2"/>
  <c r="G1940" i="2"/>
  <c r="L796" i="2"/>
  <c r="G1502" i="2"/>
  <c r="E1879" i="2"/>
  <c r="D2456" i="2"/>
  <c r="T1621" i="2"/>
  <c r="C1906" i="2"/>
  <c r="V1788" i="2"/>
  <c r="O2258" i="2"/>
  <c r="Q592" i="2"/>
  <c r="W1863" i="2"/>
  <c r="M1236" i="2"/>
  <c r="I3065" i="2"/>
  <c r="K2692" i="2"/>
  <c r="R2988" i="2"/>
  <c r="U1882" i="2"/>
  <c r="R2363" i="2"/>
  <c r="S172" i="2"/>
  <c r="O937" i="2"/>
  <c r="P1935" i="2"/>
  <c r="M2014" i="2"/>
  <c r="O2228" i="2"/>
  <c r="H2557" i="2"/>
  <c r="L2885" i="2"/>
  <c r="N922" i="2"/>
  <c r="T1445" i="2"/>
  <c r="U201" i="2"/>
  <c r="O1477" i="2"/>
  <c r="D2037" i="2"/>
  <c r="H1053" i="2"/>
  <c r="G3083" i="2"/>
  <c r="N2982" i="2"/>
  <c r="W827" i="2"/>
  <c r="N1526" i="2"/>
  <c r="Q2578" i="2"/>
  <c r="J1014" i="2"/>
  <c r="K1967" i="2"/>
  <c r="T520" i="2"/>
  <c r="J2532" i="2"/>
  <c r="L2044" i="2"/>
  <c r="D1273" i="2"/>
  <c r="J847" i="2"/>
  <c r="M426" i="2"/>
  <c r="T882" i="2"/>
  <c r="I1064" i="2"/>
  <c r="L269" i="2"/>
  <c r="G3212" i="2"/>
  <c r="F3035" i="2"/>
  <c r="E1387" i="2"/>
  <c r="C829" i="2"/>
  <c r="D263" i="2"/>
  <c r="L1047" i="2"/>
  <c r="F189" i="2"/>
  <c r="O1777" i="2"/>
  <c r="T2140" i="2"/>
  <c r="S250" i="2"/>
  <c r="O1267" i="2"/>
  <c r="V1679" i="2"/>
  <c r="Q929" i="2"/>
  <c r="Q2054" i="2"/>
  <c r="D1742" i="2"/>
  <c r="W2419" i="2"/>
  <c r="W1255" i="2"/>
  <c r="H1913" i="2"/>
  <c r="L1605" i="2"/>
  <c r="C2586" i="2"/>
  <c r="P660" i="2"/>
  <c r="M2246" i="2"/>
  <c r="S1322" i="2"/>
  <c r="S2474" i="2"/>
  <c r="E1892" i="2"/>
  <c r="G1958" i="2"/>
  <c r="M2095" i="2"/>
  <c r="J1467" i="2"/>
  <c r="H1930" i="2"/>
  <c r="E1274" i="2"/>
  <c r="I184" i="2"/>
  <c r="O175" i="2"/>
  <c r="V1605" i="2"/>
  <c r="S624" i="2"/>
  <c r="J1570" i="2"/>
  <c r="K2524" i="2"/>
  <c r="R292" i="2"/>
  <c r="N570" i="2"/>
  <c r="G1681" i="2"/>
  <c r="Q1749" i="2"/>
  <c r="J1123" i="2"/>
  <c r="R1777" i="2"/>
  <c r="O688" i="2"/>
  <c r="K686" i="2"/>
  <c r="Q2369" i="2"/>
  <c r="V864" i="2"/>
  <c r="H1949" i="2"/>
  <c r="T1943" i="2"/>
  <c r="T1487" i="2"/>
  <c r="E964" i="2"/>
  <c r="N3099" i="2"/>
  <c r="S733" i="2"/>
  <c r="P369" i="2"/>
  <c r="P2218" i="2"/>
  <c r="J762" i="2"/>
  <c r="M2738" i="2"/>
  <c r="N2545" i="2"/>
  <c r="S2725" i="2"/>
  <c r="D3063" i="2"/>
  <c r="O1131" i="2"/>
  <c r="F225" i="2"/>
  <c r="H2175" i="2"/>
  <c r="R2579" i="2"/>
  <c r="P1145" i="2"/>
  <c r="O3378" i="2"/>
  <c r="J2495" i="2"/>
  <c r="J1110" i="2"/>
  <c r="D953" i="2"/>
  <c r="M1250" i="2"/>
  <c r="G500" i="2"/>
  <c r="U2638" i="2"/>
  <c r="L921" i="2"/>
  <c r="J2679" i="2"/>
  <c r="H1279" i="2"/>
  <c r="F2345" i="2"/>
  <c r="D1879" i="2"/>
  <c r="M1786" i="2"/>
  <c r="L2028" i="2"/>
  <c r="J80" i="2"/>
  <c r="I967" i="2"/>
  <c r="U2814" i="2"/>
  <c r="M1285" i="2"/>
  <c r="L2259" i="2"/>
  <c r="R833" i="2"/>
  <c r="S1678" i="2"/>
  <c r="E2097" i="2"/>
  <c r="F572" i="2"/>
  <c r="V3081" i="2"/>
  <c r="S2240" i="2"/>
  <c r="C519" i="2"/>
  <c r="T1482" i="2"/>
  <c r="U156" i="2"/>
  <c r="G668" i="2"/>
  <c r="J2628" i="2"/>
  <c r="O472" i="2"/>
  <c r="O299" i="2"/>
  <c r="S3043" i="2"/>
  <c r="H1581" i="2"/>
  <c r="L1526" i="2"/>
  <c r="U2576" i="2"/>
  <c r="M659" i="2"/>
  <c r="V2377" i="2"/>
  <c r="J1379" i="2"/>
  <c r="I299" i="2"/>
  <c r="C779" i="2"/>
  <c r="U1056" i="2"/>
  <c r="E1152" i="2"/>
  <c r="S1709" i="2"/>
  <c r="U1991" i="2"/>
  <c r="P2588" i="2"/>
  <c r="L893" i="2"/>
  <c r="U2208" i="2"/>
  <c r="M2847" i="2"/>
  <c r="R199" i="2"/>
  <c r="N2620" i="2"/>
  <c r="N993" i="2"/>
  <c r="V988" i="2"/>
  <c r="S2249" i="2"/>
  <c r="F2493" i="2"/>
  <c r="Q2287" i="2"/>
  <c r="V356" i="2"/>
  <c r="P2108" i="2"/>
  <c r="G649" i="2"/>
  <c r="R1923" i="2"/>
  <c r="J1072" i="2"/>
  <c r="L226" i="2"/>
  <c r="T676" i="2"/>
  <c r="T1349" i="2"/>
  <c r="V249" i="2"/>
  <c r="N628" i="2"/>
  <c r="W1979" i="2"/>
  <c r="P1757" i="2"/>
  <c r="U1242" i="2"/>
  <c r="T3075" i="2"/>
  <c r="P1320" i="2"/>
  <c r="F122" i="2"/>
  <c r="L843" i="2"/>
  <c r="H1284" i="2"/>
  <c r="D1752" i="2"/>
  <c r="U521" i="2"/>
  <c r="C386" i="2"/>
  <c r="J1711" i="2"/>
  <c r="V1134" i="2"/>
  <c r="O2919" i="2"/>
  <c r="C1442" i="2"/>
  <c r="W387" i="2"/>
  <c r="D332" i="2"/>
  <c r="M1898" i="2"/>
  <c r="O805" i="2"/>
  <c r="T1901" i="2"/>
  <c r="K2292" i="2"/>
  <c r="H2039" i="2"/>
  <c r="I2710" i="2"/>
  <c r="K2713" i="2"/>
  <c r="T1840" i="2"/>
  <c r="O2799" i="2"/>
  <c r="O2427" i="2"/>
  <c r="N998" i="2"/>
  <c r="D1926" i="2"/>
  <c r="O694" i="2"/>
  <c r="L1968" i="2"/>
  <c r="Q738" i="2"/>
  <c r="M1402" i="2"/>
  <c r="K128" i="2"/>
  <c r="D677" i="2"/>
  <c r="L383" i="2"/>
  <c r="J502" i="2"/>
  <c r="M1529" i="2"/>
  <c r="D1820" i="2"/>
  <c r="C2458" i="2"/>
  <c r="J1109" i="2"/>
  <c r="D335" i="2"/>
  <c r="D621" i="2"/>
  <c r="G2420" i="2"/>
  <c r="I219" i="2"/>
  <c r="Q2339" i="2"/>
  <c r="W719" i="2"/>
  <c r="L1789" i="2"/>
  <c r="E2175" i="2"/>
  <c r="R1244" i="2"/>
  <c r="J3140" i="2"/>
  <c r="P765" i="2"/>
  <c r="G580" i="2"/>
  <c r="M954" i="2"/>
  <c r="H877" i="2"/>
  <c r="T690" i="2"/>
  <c r="R2146" i="2"/>
  <c r="U937" i="2"/>
  <c r="N2344" i="2"/>
  <c r="F836" i="2"/>
  <c r="J405" i="2"/>
  <c r="H708" i="2"/>
  <c r="K36" i="2"/>
  <c r="H1631" i="2"/>
  <c r="V1711" i="2"/>
  <c r="N378" i="2"/>
  <c r="G1257" i="2"/>
  <c r="D892" i="2"/>
  <c r="N1402" i="2"/>
  <c r="S523" i="2"/>
  <c r="L68" i="2"/>
  <c r="K2329" i="2"/>
  <c r="M1472" i="2"/>
  <c r="R1401" i="2"/>
  <c r="T354" i="2"/>
  <c r="U2552" i="2"/>
  <c r="W2171" i="2"/>
  <c r="K1150" i="2"/>
  <c r="R605" i="2"/>
  <c r="F395" i="2"/>
  <c r="N1004" i="2"/>
  <c r="N887" i="2"/>
  <c r="J2040" i="2"/>
  <c r="M337" i="2"/>
  <c r="W1969" i="2"/>
  <c r="S51" i="2"/>
  <c r="N1866" i="2"/>
  <c r="G507" i="2"/>
  <c r="J2193" i="2"/>
  <c r="C2235" i="2"/>
  <c r="O2496" i="2"/>
  <c r="M26" i="2"/>
  <c r="L2083" i="2"/>
  <c r="R1973" i="2"/>
  <c r="J1057" i="2"/>
  <c r="E174" i="2"/>
  <c r="I1232" i="2"/>
  <c r="H861" i="2"/>
  <c r="M2096" i="2"/>
  <c r="P2097" i="2"/>
  <c r="U136" i="2"/>
  <c r="R637" i="2"/>
  <c r="K330" i="2"/>
  <c r="O2699" i="2"/>
  <c r="J66" i="2"/>
  <c r="K3123" i="2"/>
  <c r="U253" i="2"/>
  <c r="D696" i="2"/>
  <c r="G2133" i="2"/>
  <c r="C1554" i="2"/>
  <c r="G1542" i="2"/>
  <c r="P756" i="2"/>
  <c r="Q559" i="2"/>
  <c r="E2479" i="2"/>
  <c r="E1783" i="2"/>
  <c r="G840" i="2"/>
  <c r="R2795" i="2"/>
  <c r="V191" i="2"/>
  <c r="H406" i="2"/>
  <c r="I600" i="2"/>
  <c r="J23" i="2"/>
  <c r="W1935" i="2"/>
  <c r="G486" i="2"/>
  <c r="H1028" i="2"/>
  <c r="W1558" i="2"/>
  <c r="P1090" i="2"/>
  <c r="Q771" i="2"/>
  <c r="J1496" i="2"/>
  <c r="O82" i="2"/>
  <c r="J1733" i="2"/>
  <c r="E827" i="2"/>
  <c r="C349" i="2"/>
  <c r="O307" i="2"/>
  <c r="F957" i="2"/>
  <c r="T1734" i="2"/>
  <c r="Q1006" i="2"/>
  <c r="N108" i="2"/>
  <c r="G1900" i="2"/>
  <c r="D523" i="2"/>
  <c r="W1768" i="2"/>
  <c r="N323" i="2"/>
  <c r="K586" i="2"/>
  <c r="R158" i="2"/>
  <c r="I106" i="2"/>
  <c r="H1272" i="2"/>
  <c r="F1554" i="2"/>
  <c r="P1404" i="2"/>
  <c r="C889" i="2"/>
  <c r="U461" i="2"/>
  <c r="V1362" i="2"/>
  <c r="S2019" i="2"/>
  <c r="L2008" i="2"/>
  <c r="K1271" i="2"/>
  <c r="S2201" i="2"/>
  <c r="O2897" i="2"/>
  <c r="D1227" i="2"/>
  <c r="O806" i="2"/>
  <c r="E1302" i="2"/>
  <c r="G2169" i="2"/>
  <c r="K1195" i="2"/>
  <c r="M2185" i="2"/>
  <c r="T377" i="2"/>
  <c r="L856" i="2"/>
  <c r="U1310" i="2"/>
  <c r="P310" i="2"/>
  <c r="O430" i="2"/>
  <c r="C452" i="2"/>
  <c r="E1636" i="2"/>
  <c r="C1806" i="2"/>
  <c r="Q151" i="2"/>
  <c r="J2526" i="2"/>
  <c r="I2188" i="2"/>
  <c r="R2838" i="2"/>
  <c r="S155" i="2"/>
  <c r="R2582" i="2"/>
  <c r="O236" i="2"/>
  <c r="T1064" i="2"/>
  <c r="I1399" i="2"/>
  <c r="R7" i="2"/>
  <c r="K1804" i="2"/>
  <c r="E1012" i="2"/>
  <c r="G1703" i="2"/>
  <c r="W2762" i="2"/>
  <c r="G1729" i="2"/>
  <c r="E2173" i="2"/>
  <c r="E2002" i="2"/>
  <c r="S1067" i="2"/>
  <c r="S1217" i="2"/>
  <c r="K2563" i="2"/>
  <c r="L1252" i="2"/>
  <c r="I828" i="2"/>
  <c r="G161" i="2"/>
  <c r="G1413" i="2"/>
  <c r="S55" i="2"/>
  <c r="U1924" i="2"/>
  <c r="W540" i="2"/>
  <c r="H1981" i="2"/>
  <c r="W172" i="2"/>
  <c r="Q416" i="2"/>
  <c r="C1900" i="2"/>
  <c r="M179" i="2"/>
  <c r="U2497" i="2"/>
  <c r="N432" i="2"/>
  <c r="O3146" i="2"/>
  <c r="I1094" i="2"/>
  <c r="S1473" i="2"/>
  <c r="S410" i="2"/>
  <c r="H2370" i="2"/>
  <c r="V651" i="2"/>
  <c r="C1543" i="2"/>
  <c r="O634" i="2"/>
  <c r="Q2542" i="2"/>
  <c r="R798" i="2"/>
  <c r="T1798" i="2"/>
  <c r="F2343" i="2"/>
  <c r="P613" i="2"/>
  <c r="Q903" i="2"/>
  <c r="L2228" i="2"/>
  <c r="U512" i="2"/>
  <c r="U2689" i="2"/>
  <c r="Q134" i="2"/>
  <c r="Q664" i="2"/>
  <c r="N2508" i="2"/>
  <c r="H1619" i="2"/>
  <c r="U2657" i="2"/>
  <c r="U1754" i="2"/>
  <c r="H2101" i="2"/>
  <c r="P44" i="2"/>
  <c r="W175" i="2"/>
  <c r="F2771" i="2"/>
  <c r="I110" i="2"/>
  <c r="G3334" i="2"/>
  <c r="T1990" i="2"/>
  <c r="R741" i="2"/>
  <c r="T2705" i="2"/>
  <c r="I1572" i="2"/>
  <c r="M3201" i="2"/>
  <c r="V1253" i="2"/>
  <c r="D3149" i="2"/>
  <c r="N2972" i="2"/>
  <c r="U3065" i="2"/>
  <c r="J837" i="2"/>
  <c r="N2811" i="2"/>
  <c r="M1022" i="2"/>
  <c r="U2958" i="2"/>
  <c r="S2811" i="2"/>
  <c r="F633" i="2"/>
  <c r="R1660" i="2"/>
  <c r="H2686" i="2"/>
  <c r="V1824" i="2"/>
  <c r="S1201" i="2"/>
  <c r="C1015" i="2"/>
  <c r="Q749" i="2"/>
  <c r="P1778" i="2"/>
  <c r="M1725" i="2"/>
  <c r="K1094" i="2"/>
  <c r="G101" i="2"/>
  <c r="G3028" i="2"/>
  <c r="M1942" i="2"/>
  <c r="E2209" i="2"/>
  <c r="C1343" i="2"/>
  <c r="O1434" i="2"/>
  <c r="G1490" i="2"/>
  <c r="F575" i="2"/>
  <c r="C1366" i="2"/>
  <c r="C101" i="2"/>
  <c r="T1116" i="2"/>
  <c r="D2389" i="2"/>
  <c r="W483" i="2"/>
  <c r="D785" i="2"/>
  <c r="O1269" i="2"/>
  <c r="M1298" i="2"/>
  <c r="C482" i="2"/>
  <c r="V1995" i="2"/>
  <c r="Q1859" i="2"/>
  <c r="V1966" i="2"/>
  <c r="U163" i="2"/>
  <c r="M656" i="2"/>
  <c r="T980" i="2"/>
  <c r="U3208" i="2"/>
  <c r="N2888" i="2"/>
  <c r="K2753" i="2"/>
  <c r="S2324" i="2"/>
  <c r="R2208" i="2"/>
  <c r="R1355" i="2"/>
  <c r="U1023" i="2"/>
  <c r="C846" i="2"/>
  <c r="O2949" i="2"/>
  <c r="Q61" i="2"/>
  <c r="D589" i="2"/>
  <c r="J1337" i="2"/>
  <c r="E2465" i="2"/>
  <c r="L466" i="2"/>
  <c r="D1281" i="2"/>
  <c r="P1256" i="2"/>
  <c r="I868" i="2"/>
  <c r="U582" i="2"/>
  <c r="E413" i="2"/>
  <c r="S1661" i="2"/>
  <c r="M1873" i="2"/>
  <c r="N122" i="2"/>
  <c r="P1717" i="2"/>
  <c r="S2145" i="2"/>
  <c r="J2524" i="2"/>
  <c r="J1977" i="2"/>
  <c r="R2103" i="2"/>
  <c r="N1610" i="2"/>
  <c r="T190" i="2"/>
  <c r="J1571" i="2"/>
  <c r="I3501" i="2"/>
  <c r="N2778" i="2"/>
  <c r="E1958" i="2"/>
  <c r="L3391" i="2"/>
  <c r="I59" i="2"/>
  <c r="S144" i="2"/>
  <c r="W1089" i="2"/>
  <c r="W322" i="2"/>
  <c r="D2282" i="2"/>
  <c r="G2524" i="2"/>
  <c r="I2654" i="2"/>
  <c r="Q2791" i="2"/>
  <c r="E1704" i="2"/>
  <c r="O1621" i="2"/>
  <c r="G961" i="2"/>
  <c r="E2754" i="2"/>
  <c r="L1893" i="2"/>
  <c r="K2915" i="2"/>
  <c r="U2636" i="2"/>
  <c r="E2415" i="2"/>
  <c r="H734" i="2"/>
  <c r="K2575" i="2"/>
  <c r="Q931" i="2"/>
  <c r="E1083" i="2"/>
  <c r="I2223" i="2"/>
  <c r="M744" i="2"/>
  <c r="K414" i="2"/>
  <c r="D2742" i="2"/>
  <c r="N2218" i="2"/>
  <c r="G1725" i="2"/>
  <c r="L999" i="2"/>
  <c r="W2934" i="2"/>
  <c r="J1737" i="2"/>
  <c r="S636" i="2"/>
  <c r="Q1980" i="2"/>
  <c r="H1511" i="2"/>
  <c r="H750" i="2"/>
  <c r="L1158" i="2"/>
  <c r="J465" i="2"/>
  <c r="D827" i="2"/>
  <c r="E233" i="2"/>
  <c r="S1355" i="2"/>
  <c r="O2758" i="2"/>
  <c r="O2567" i="2"/>
  <c r="U1905" i="2"/>
  <c r="T425" i="2"/>
  <c r="C2796" i="2"/>
  <c r="P1651" i="2"/>
  <c r="F57" i="2"/>
  <c r="N816" i="2"/>
  <c r="E1499" i="2"/>
  <c r="E222" i="2"/>
  <c r="P2285" i="2"/>
  <c r="L2194" i="2"/>
  <c r="S1088" i="2"/>
  <c r="F2896" i="2"/>
  <c r="W272" i="2"/>
  <c r="C1606" i="2"/>
  <c r="N2630" i="2"/>
  <c r="K2130" i="2"/>
  <c r="N2590" i="2"/>
  <c r="T627" i="2"/>
  <c r="S3303" i="2"/>
  <c r="F2836" i="2"/>
  <c r="M1742" i="2"/>
  <c r="Q2060" i="2"/>
  <c r="F302" i="2"/>
  <c r="M2854" i="2"/>
  <c r="C192" i="2"/>
  <c r="T886" i="2"/>
  <c r="F1035" i="2"/>
  <c r="R1050" i="2"/>
  <c r="R2078" i="2"/>
  <c r="D197" i="2"/>
  <c r="H84" i="2"/>
  <c r="R1100" i="2"/>
  <c r="R233" i="2"/>
  <c r="E1683" i="2"/>
  <c r="D2052" i="2"/>
  <c r="V1098" i="2"/>
  <c r="D1964" i="2"/>
  <c r="M2226" i="2"/>
  <c r="T1641" i="2"/>
  <c r="K938" i="2"/>
  <c r="O1410" i="2"/>
  <c r="T1279" i="2"/>
  <c r="K1678" i="2"/>
  <c r="Q839" i="2"/>
  <c r="F1734" i="2"/>
  <c r="T1146" i="2"/>
  <c r="W1329" i="2"/>
  <c r="E379" i="2"/>
  <c r="D2417" i="2"/>
  <c r="Q300" i="2"/>
  <c r="Q1267" i="2"/>
  <c r="C442" i="2"/>
  <c r="T2208" i="2"/>
  <c r="P1893" i="2"/>
  <c r="D2222" i="2"/>
  <c r="C1894" i="2"/>
  <c r="K2044" i="2"/>
  <c r="O678" i="2"/>
  <c r="F1778" i="2"/>
  <c r="E33" i="2"/>
  <c r="U573" i="2"/>
  <c r="K838" i="2"/>
  <c r="U785" i="2"/>
  <c r="V621" i="2"/>
  <c r="J1803" i="2"/>
  <c r="D103" i="2"/>
  <c r="U720" i="2"/>
  <c r="U903" i="2"/>
  <c r="R1420" i="2"/>
  <c r="M1067" i="2"/>
  <c r="V1223" i="2"/>
  <c r="V312" i="2"/>
  <c r="S119" i="2"/>
  <c r="S1197" i="2"/>
  <c r="L1033" i="2"/>
  <c r="R152" i="2"/>
  <c r="K2315" i="2"/>
  <c r="M875" i="2"/>
  <c r="G875" i="2"/>
  <c r="L2179" i="2"/>
  <c r="G2503" i="2"/>
  <c r="T1097" i="2"/>
  <c r="D1927" i="2"/>
  <c r="E1484" i="2"/>
  <c r="T2560" i="2"/>
  <c r="G2894" i="2"/>
  <c r="I865" i="2"/>
  <c r="T1870" i="2"/>
  <c r="Q1639" i="2"/>
  <c r="E2766" i="2"/>
  <c r="F2596" i="2"/>
  <c r="M893" i="2"/>
  <c r="R3103" i="2"/>
  <c r="W1726" i="2"/>
  <c r="V3025" i="2"/>
  <c r="L2951" i="2"/>
  <c r="F869" i="2"/>
  <c r="R1674" i="2"/>
  <c r="L1176" i="2"/>
  <c r="W1608" i="2"/>
  <c r="C2047" i="2"/>
  <c r="Q1848" i="2"/>
  <c r="T1737" i="2"/>
  <c r="H508" i="2"/>
  <c r="C2400" i="2"/>
  <c r="N1090" i="2"/>
  <c r="O956" i="2"/>
  <c r="L739" i="2"/>
  <c r="I1304" i="2"/>
  <c r="W1740" i="2"/>
  <c r="W132" i="2"/>
  <c r="W349" i="2"/>
  <c r="G711" i="2"/>
  <c r="O1561" i="2"/>
  <c r="V1693" i="2"/>
  <c r="P521" i="2"/>
  <c r="D40" i="2"/>
  <c r="U1891" i="2"/>
  <c r="D2612" i="2"/>
  <c r="M880" i="2"/>
  <c r="F624" i="2"/>
  <c r="F1789" i="2"/>
  <c r="F2712" i="2"/>
  <c r="S3089" i="2"/>
  <c r="C2202" i="2"/>
  <c r="K2338" i="2"/>
  <c r="W1624" i="2"/>
  <c r="Q1585" i="2"/>
  <c r="R1516" i="2"/>
  <c r="L1066" i="2"/>
  <c r="G1964" i="2"/>
  <c r="L1387" i="2"/>
  <c r="U291" i="2"/>
  <c r="C108" i="2"/>
  <c r="H2550" i="2"/>
  <c r="K2144" i="2"/>
  <c r="Q2615" i="2"/>
  <c r="F2416" i="2"/>
  <c r="N1711" i="2"/>
  <c r="J2889" i="2"/>
  <c r="C721" i="2"/>
  <c r="F1868" i="2"/>
  <c r="O1352" i="2"/>
  <c r="V1571" i="2"/>
  <c r="K1744" i="2"/>
  <c r="H277" i="2"/>
  <c r="S2091" i="2"/>
  <c r="J988" i="2"/>
  <c r="P642" i="2"/>
  <c r="O277" i="2"/>
  <c r="O1167" i="2"/>
  <c r="N3172" i="2"/>
  <c r="V899" i="2"/>
  <c r="V1635" i="2"/>
  <c r="R2032" i="2"/>
  <c r="R592" i="2"/>
  <c r="W533" i="2"/>
  <c r="T1858" i="2"/>
  <c r="M280" i="2"/>
  <c r="C600" i="2"/>
  <c r="J142" i="2"/>
  <c r="M143" i="2"/>
  <c r="O464" i="2"/>
  <c r="Q907" i="2"/>
  <c r="S1349" i="2"/>
  <c r="V2362" i="2"/>
  <c r="Q679" i="2"/>
  <c r="C1073" i="2"/>
  <c r="I786" i="2"/>
  <c r="S1374" i="2"/>
  <c r="P496" i="2"/>
  <c r="Q2180" i="2"/>
  <c r="K1321" i="2"/>
  <c r="M1469" i="2"/>
  <c r="C2159" i="2"/>
  <c r="I1554" i="2"/>
  <c r="P1855" i="2"/>
  <c r="E1236" i="2"/>
  <c r="P2195" i="2"/>
  <c r="N14" i="2"/>
  <c r="S2302" i="2"/>
  <c r="K252" i="2"/>
  <c r="G1893" i="2"/>
  <c r="S844" i="2"/>
  <c r="D2492" i="2"/>
  <c r="F484" i="2"/>
  <c r="U1255" i="2"/>
  <c r="J700" i="2"/>
  <c r="L2933" i="2"/>
  <c r="N1077" i="2"/>
  <c r="V415" i="2"/>
  <c r="H1441" i="2"/>
  <c r="O2006" i="2"/>
  <c r="J97" i="2"/>
  <c r="S952" i="2"/>
  <c r="L1143" i="2"/>
  <c r="J1546" i="2"/>
  <c r="O1249" i="2"/>
  <c r="G636" i="2"/>
  <c r="D1809" i="2"/>
  <c r="C18" i="2"/>
  <c r="I911" i="2"/>
  <c r="P497" i="2"/>
  <c r="D2431" i="2"/>
  <c r="S1173" i="2"/>
  <c r="F2837" i="2"/>
  <c r="T2811" i="2"/>
  <c r="Q1172" i="2"/>
  <c r="K133" i="2"/>
  <c r="F450" i="2"/>
  <c r="I1206" i="2"/>
  <c r="M2072" i="2"/>
  <c r="V1862" i="2"/>
  <c r="D2129" i="2"/>
  <c r="I2323" i="2"/>
  <c r="O146" i="2"/>
  <c r="W1220" i="2"/>
  <c r="J1136" i="2"/>
  <c r="N2815" i="2"/>
  <c r="G2139" i="2"/>
  <c r="I293" i="2"/>
  <c r="M439" i="2"/>
  <c r="K839" i="2"/>
  <c r="V2962" i="2"/>
  <c r="K775" i="2"/>
  <c r="M104" i="2"/>
  <c r="L2488" i="2"/>
  <c r="H1091" i="2"/>
  <c r="W1046" i="2"/>
  <c r="R1951" i="2"/>
  <c r="T2941" i="2"/>
  <c r="W32" i="2"/>
  <c r="P450" i="2"/>
  <c r="T395" i="2"/>
  <c r="O1268" i="2"/>
  <c r="P784" i="2"/>
  <c r="H1748" i="2"/>
  <c r="F1673" i="2"/>
  <c r="S1114" i="2"/>
  <c r="P1633" i="2"/>
  <c r="N2589" i="2"/>
  <c r="V184" i="2"/>
  <c r="U208" i="2"/>
  <c r="M1219" i="2"/>
  <c r="T617" i="2"/>
  <c r="V1792" i="2"/>
  <c r="D2914" i="2"/>
  <c r="P1948" i="2"/>
  <c r="P562" i="2"/>
  <c r="M316" i="2"/>
  <c r="K1778" i="2"/>
  <c r="F314" i="2"/>
  <c r="S1844" i="2"/>
  <c r="R2069" i="2"/>
  <c r="M1456" i="2"/>
  <c r="O950" i="2"/>
  <c r="G2385" i="2"/>
  <c r="G1378" i="2"/>
  <c r="F1852" i="2"/>
  <c r="V902" i="2"/>
  <c r="U3104" i="2"/>
  <c r="P421" i="2"/>
  <c r="H2365" i="2"/>
  <c r="D2375" i="2"/>
  <c r="I2720" i="2"/>
  <c r="P1509" i="2"/>
  <c r="H2942" i="2"/>
  <c r="S1666" i="2"/>
  <c r="N2074" i="2"/>
  <c r="M186" i="2"/>
  <c r="I25" i="2"/>
  <c r="Q138" i="2"/>
  <c r="R2454" i="2"/>
  <c r="K2299" i="2"/>
  <c r="R1891" i="2"/>
  <c r="T610" i="2"/>
  <c r="L554" i="2"/>
  <c r="I726" i="2"/>
  <c r="R1406" i="2"/>
  <c r="S2218" i="2"/>
  <c r="K2433" i="2"/>
  <c r="G2200" i="2"/>
  <c r="Q526" i="2"/>
  <c r="P179" i="2"/>
  <c r="S307" i="2"/>
  <c r="O246" i="2"/>
  <c r="D570" i="2"/>
  <c r="V1540" i="2"/>
  <c r="V375" i="2"/>
  <c r="W1967" i="2"/>
  <c r="N195" i="2"/>
  <c r="H867" i="2"/>
  <c r="R376" i="2"/>
  <c r="P1503" i="2"/>
  <c r="W729" i="2"/>
  <c r="E2622" i="2"/>
  <c r="U2286" i="2"/>
  <c r="Q225" i="2"/>
  <c r="S1852" i="2"/>
  <c r="W1149" i="2"/>
  <c r="C791" i="2"/>
  <c r="N1812" i="2"/>
  <c r="U2653" i="2"/>
  <c r="T1072" i="2"/>
  <c r="P172" i="2"/>
  <c r="P2993" i="2"/>
  <c r="F1183" i="2"/>
  <c r="V1272" i="2"/>
  <c r="N1960" i="2"/>
  <c r="C1489" i="2"/>
  <c r="W1037" i="2"/>
  <c r="F106" i="2"/>
  <c r="S2602" i="2"/>
  <c r="S1009" i="2"/>
  <c r="N692" i="2"/>
  <c r="J1441" i="2"/>
  <c r="P757" i="2"/>
  <c r="T599" i="2"/>
  <c r="V142" i="2"/>
  <c r="E77" i="2"/>
  <c r="P443" i="2"/>
  <c r="J2827" i="2"/>
  <c r="K1787" i="2"/>
  <c r="D2200" i="2"/>
  <c r="K933" i="2"/>
  <c r="O2370" i="2"/>
  <c r="R720" i="2"/>
  <c r="R177" i="2"/>
  <c r="J1778" i="2"/>
  <c r="O1799" i="2"/>
  <c r="R69" i="2"/>
  <c r="K1325" i="2"/>
  <c r="F721" i="2"/>
  <c r="D626" i="2"/>
  <c r="N1636" i="2"/>
  <c r="F1700" i="2"/>
  <c r="R658" i="2"/>
  <c r="K287" i="2"/>
  <c r="N2262" i="2"/>
  <c r="L571" i="2"/>
  <c r="O2733" i="2"/>
  <c r="F2657" i="2"/>
  <c r="C457" i="2"/>
  <c r="Q1515" i="2"/>
  <c r="M2112" i="2"/>
  <c r="O2989" i="2"/>
  <c r="P2242" i="2"/>
  <c r="N849" i="2"/>
  <c r="D9" i="2"/>
  <c r="F90" i="2"/>
  <c r="E1861" i="2"/>
  <c r="N112" i="2"/>
  <c r="T481" i="2"/>
  <c r="G397" i="2"/>
  <c r="U1083" i="2"/>
  <c r="E1436" i="2"/>
  <c r="Q817" i="2"/>
  <c r="Q571" i="2"/>
  <c r="S1516" i="2"/>
  <c r="Q2199" i="2"/>
  <c r="V326" i="2"/>
  <c r="J900" i="2"/>
  <c r="S1317" i="2"/>
  <c r="C2138" i="2"/>
  <c r="C1774" i="2"/>
  <c r="I1520" i="2"/>
  <c r="I1273" i="2"/>
  <c r="Q1403" i="2"/>
  <c r="G250" i="2"/>
  <c r="C719" i="2"/>
  <c r="S654" i="2"/>
  <c r="N2114" i="2"/>
  <c r="D3246" i="2"/>
  <c r="N2237" i="2"/>
  <c r="C2488" i="2"/>
  <c r="H480" i="2"/>
  <c r="K1052" i="2"/>
  <c r="E2020" i="2"/>
  <c r="W1338" i="2"/>
  <c r="L1879" i="2"/>
  <c r="L16" i="2"/>
  <c r="U1072" i="2"/>
  <c r="D582" i="2"/>
  <c r="O1476" i="2"/>
  <c r="C1276" i="2"/>
  <c r="D2865" i="2"/>
  <c r="E777" i="2"/>
  <c r="M870" i="2"/>
  <c r="G1532" i="2"/>
  <c r="S3099" i="2"/>
  <c r="C1385" i="2"/>
  <c r="N73" i="2"/>
  <c r="T1154" i="2"/>
  <c r="V2899" i="2"/>
  <c r="L1557" i="2"/>
  <c r="H2358" i="2"/>
  <c r="V719" i="2"/>
  <c r="I925" i="2"/>
  <c r="N1081" i="2"/>
  <c r="D898" i="2"/>
  <c r="U1438" i="2"/>
  <c r="R2960" i="2"/>
  <c r="F1227" i="2"/>
  <c r="E32" i="2"/>
  <c r="T2652" i="2"/>
  <c r="J2482" i="2"/>
  <c r="I402" i="2"/>
  <c r="S1158" i="2"/>
  <c r="L830" i="2"/>
  <c r="V1124" i="2"/>
  <c r="D1613" i="2"/>
  <c r="Q155" i="2"/>
  <c r="P1047" i="2"/>
  <c r="C1294" i="2"/>
  <c r="L609" i="2"/>
  <c r="P6" i="2"/>
  <c r="V480" i="2"/>
  <c r="S145" i="2"/>
  <c r="L2631" i="2"/>
  <c r="W106" i="2"/>
  <c r="O1513" i="2"/>
  <c r="V1696" i="2"/>
  <c r="U1115" i="2"/>
  <c r="K884" i="2"/>
  <c r="L416" i="2"/>
  <c r="E1491" i="2"/>
  <c r="C722" i="2"/>
  <c r="Q550" i="2"/>
  <c r="J2073" i="2"/>
  <c r="H1159" i="2"/>
  <c r="L1730" i="2"/>
  <c r="N1859" i="2"/>
  <c r="V1466" i="2"/>
  <c r="D1433" i="2"/>
  <c r="E189" i="2"/>
  <c r="D1339" i="2"/>
  <c r="S1767" i="2"/>
  <c r="L1634" i="2"/>
  <c r="M1186" i="2"/>
  <c r="T2160" i="2"/>
  <c r="F1273" i="2"/>
  <c r="Q1660" i="2"/>
  <c r="W505" i="2"/>
  <c r="S2278" i="2"/>
  <c r="D2221" i="2"/>
  <c r="L873" i="2"/>
  <c r="J2659" i="2"/>
  <c r="T2316" i="2"/>
  <c r="J2370" i="2"/>
  <c r="N1040" i="2"/>
  <c r="H3386" i="2"/>
  <c r="E1076" i="2"/>
  <c r="E2625" i="2"/>
  <c r="G1815" i="2"/>
  <c r="M2417" i="2"/>
  <c r="F2449" i="2"/>
  <c r="N665" i="2"/>
  <c r="Q396" i="2"/>
  <c r="U1519" i="2"/>
  <c r="V1879" i="2"/>
  <c r="M1986" i="2"/>
  <c r="T303" i="2"/>
  <c r="G1917" i="2"/>
  <c r="N528" i="2"/>
  <c r="N3135" i="2"/>
  <c r="W1515" i="2"/>
  <c r="T1966" i="2"/>
  <c r="I1137" i="2"/>
  <c r="D2400" i="2"/>
  <c r="N1573" i="2"/>
  <c r="D556" i="2"/>
  <c r="G1147" i="2"/>
  <c r="O1426" i="2"/>
  <c r="S1478" i="2"/>
  <c r="K1688" i="2"/>
  <c r="I1525" i="2"/>
  <c r="K2588" i="2"/>
  <c r="H1233" i="2"/>
  <c r="Q1704" i="2"/>
  <c r="C1075" i="2"/>
  <c r="W1690" i="2"/>
  <c r="T2353" i="2"/>
  <c r="H707" i="2"/>
  <c r="O648" i="2"/>
  <c r="W725" i="2"/>
  <c r="J646" i="2"/>
  <c r="C1615" i="2"/>
  <c r="I754" i="2"/>
  <c r="S421" i="2"/>
  <c r="M1913" i="2"/>
  <c r="S1850" i="2"/>
  <c r="L240" i="2"/>
  <c r="D2519" i="2"/>
  <c r="O233" i="2"/>
  <c r="T550" i="2"/>
  <c r="L1973" i="2"/>
  <c r="V2922" i="2"/>
  <c r="I2320" i="2"/>
  <c r="Q1043" i="2"/>
  <c r="L102" i="2"/>
  <c r="J3308" i="2"/>
  <c r="K2944" i="2"/>
  <c r="M2709" i="2"/>
  <c r="D847" i="2"/>
  <c r="S2940" i="2"/>
  <c r="T2266" i="2"/>
  <c r="G935" i="2"/>
  <c r="F729" i="2"/>
  <c r="O731" i="2"/>
  <c r="L2471" i="2"/>
  <c r="D224" i="2"/>
  <c r="N1280" i="2"/>
  <c r="J2105" i="2"/>
  <c r="D295" i="2"/>
  <c r="M1982" i="2"/>
  <c r="N384" i="2"/>
  <c r="U349" i="2"/>
  <c r="I47" i="2"/>
  <c r="I1454" i="2"/>
  <c r="J1563" i="2"/>
  <c r="I1691" i="2"/>
  <c r="J2499" i="2"/>
  <c r="G2065" i="2"/>
  <c r="T1182" i="2"/>
  <c r="W2663" i="2"/>
  <c r="T1720" i="2"/>
  <c r="D1411" i="2"/>
  <c r="I2843" i="2"/>
  <c r="L1062" i="2"/>
  <c r="S2327" i="2"/>
  <c r="Q1975" i="2"/>
  <c r="V382" i="2"/>
  <c r="L1885" i="2"/>
  <c r="W2212" i="2"/>
  <c r="O860" i="2"/>
  <c r="H1413" i="2"/>
  <c r="L3353" i="2"/>
  <c r="I1313" i="2"/>
  <c r="R2943" i="2"/>
  <c r="H3207" i="2"/>
  <c r="R169" i="2"/>
  <c r="P371" i="2"/>
  <c r="P956" i="2"/>
  <c r="D344" i="2"/>
  <c r="E2585" i="2"/>
  <c r="N498" i="2"/>
  <c r="J1031" i="2"/>
  <c r="M1724" i="2"/>
  <c r="P9" i="2"/>
  <c r="N2442" i="2"/>
  <c r="H2027" i="2"/>
  <c r="K9" i="2"/>
  <c r="D934" i="2"/>
  <c r="F2713" i="2"/>
  <c r="I2653" i="2"/>
  <c r="R1698" i="2"/>
  <c r="M895" i="2"/>
  <c r="G251" i="2"/>
  <c r="E1259" i="2"/>
  <c r="F1950" i="2"/>
  <c r="D1142" i="2"/>
  <c r="F2225" i="2"/>
  <c r="T1329" i="2"/>
  <c r="S2568" i="2"/>
  <c r="J1606" i="2"/>
  <c r="R413" i="2"/>
  <c r="N1174" i="2"/>
  <c r="V1881" i="2"/>
  <c r="W3063" i="2"/>
  <c r="G497" i="2"/>
  <c r="G878" i="2"/>
  <c r="S494" i="2"/>
  <c r="S2447" i="2"/>
  <c r="W2266" i="2"/>
  <c r="E2210" i="2"/>
  <c r="N2107" i="2"/>
  <c r="K789" i="2"/>
  <c r="Q223" i="2"/>
  <c r="F1959" i="2"/>
  <c r="H1031" i="2"/>
  <c r="O359" i="2"/>
  <c r="M192" i="2"/>
  <c r="C957" i="2"/>
  <c r="P1447" i="2"/>
  <c r="T2322" i="2"/>
  <c r="F984" i="2"/>
  <c r="W2178" i="2"/>
  <c r="O2223" i="2"/>
  <c r="S1275" i="2"/>
  <c r="V946" i="2"/>
  <c r="V1487" i="2"/>
  <c r="F1270" i="2"/>
  <c r="D902" i="2"/>
  <c r="W648" i="2"/>
  <c r="K407" i="2"/>
  <c r="U398" i="2"/>
  <c r="P2727" i="2"/>
  <c r="W2582" i="2"/>
  <c r="M1746" i="2"/>
  <c r="N551" i="2"/>
  <c r="U868" i="2"/>
  <c r="S2764" i="2"/>
  <c r="D1255" i="2"/>
  <c r="F814" i="2"/>
  <c r="S528" i="2"/>
  <c r="G815" i="2"/>
  <c r="U933" i="2"/>
  <c r="T2318" i="2"/>
  <c r="O1459" i="2"/>
  <c r="W147" i="2"/>
  <c r="E2701" i="2"/>
  <c r="Q938" i="2"/>
  <c r="G2670" i="2"/>
  <c r="H1585" i="2"/>
  <c r="V1064" i="2"/>
  <c r="Q287" i="2"/>
  <c r="R1042" i="2"/>
  <c r="P790" i="2"/>
  <c r="D1240" i="2"/>
  <c r="V1897" i="2"/>
  <c r="T10" i="2"/>
  <c r="L428" i="2"/>
  <c r="R1763" i="2"/>
  <c r="F329" i="2"/>
  <c r="Q500" i="2"/>
  <c r="H728" i="2"/>
  <c r="U144" i="2"/>
  <c r="C751" i="2"/>
  <c r="Q2759" i="2"/>
  <c r="F2120" i="2"/>
  <c r="R2983" i="2"/>
  <c r="K1310" i="2"/>
  <c r="T1200" i="2"/>
  <c r="E2330" i="2"/>
  <c r="P1183" i="2"/>
  <c r="D598" i="2"/>
  <c r="P434" i="2"/>
  <c r="T1948" i="2"/>
  <c r="T1192" i="2"/>
  <c r="H248" i="2"/>
  <c r="U1094" i="2"/>
  <c r="F1659" i="2"/>
  <c r="L2060" i="2"/>
  <c r="N296" i="2"/>
  <c r="V84" i="2"/>
  <c r="C2496" i="2"/>
  <c r="I2663" i="2"/>
  <c r="V1250" i="2"/>
  <c r="J1661" i="2"/>
  <c r="P2335" i="2"/>
  <c r="C1047" i="2"/>
  <c r="M3281" i="2"/>
  <c r="I344" i="2"/>
  <c r="G467" i="2"/>
  <c r="P1215" i="2"/>
  <c r="W1604" i="2"/>
  <c r="N1137" i="2"/>
  <c r="O794" i="2"/>
  <c r="H1374" i="2"/>
  <c r="E3203" i="2"/>
  <c r="L2718" i="2"/>
  <c r="M1638" i="2"/>
  <c r="T267" i="2"/>
  <c r="D3016" i="2"/>
  <c r="N2486" i="2"/>
  <c r="G2153" i="2"/>
  <c r="N2407" i="2"/>
  <c r="E1114" i="2"/>
  <c r="Q1388" i="2"/>
  <c r="V36" i="2"/>
  <c r="M332" i="2"/>
  <c r="K1369" i="2"/>
  <c r="T1368" i="2"/>
  <c r="N1086" i="2"/>
  <c r="L824" i="2"/>
  <c r="H912" i="2"/>
  <c r="M1854" i="2"/>
  <c r="P1934" i="2"/>
  <c r="U1062" i="2"/>
  <c r="S1531" i="2"/>
  <c r="D1834" i="2"/>
  <c r="R683" i="2"/>
  <c r="P576" i="2"/>
  <c r="L998" i="2"/>
  <c r="Q1031" i="2"/>
  <c r="T1394" i="2"/>
  <c r="R2307" i="2"/>
  <c r="E467" i="2"/>
  <c r="O1320" i="2"/>
  <c r="S1846" i="2"/>
  <c r="I1724" i="2"/>
  <c r="F1985" i="2"/>
  <c r="V3090" i="2"/>
  <c r="V1133" i="2"/>
  <c r="H1099" i="2"/>
  <c r="N154" i="2"/>
  <c r="C2283" i="2"/>
  <c r="H688" i="2"/>
  <c r="P2202" i="2"/>
  <c r="S168" i="2"/>
  <c r="N2547" i="2"/>
  <c r="T591" i="2"/>
  <c r="L527" i="2"/>
  <c r="K587" i="2"/>
  <c r="K2417" i="2"/>
  <c r="V704" i="2"/>
  <c r="W2450" i="2"/>
  <c r="I1457" i="2"/>
  <c r="H2176" i="2"/>
  <c r="D34" i="2"/>
  <c r="O2349" i="2"/>
  <c r="L169" i="2"/>
  <c r="G2712" i="2"/>
  <c r="L11" i="2"/>
  <c r="P2348" i="2"/>
  <c r="P509" i="2"/>
  <c r="T1001" i="2"/>
  <c r="Q745" i="2"/>
  <c r="R218" i="2"/>
  <c r="S353" i="2"/>
  <c r="H549" i="2"/>
  <c r="O923" i="2"/>
  <c r="O697" i="2"/>
  <c r="K1450" i="2"/>
  <c r="G2922" i="2"/>
  <c r="G1441" i="2"/>
  <c r="C306" i="2"/>
  <c r="N1367" i="2"/>
  <c r="D654" i="2"/>
  <c r="L2784" i="2"/>
  <c r="L2802" i="2"/>
  <c r="K2223" i="2"/>
  <c r="L933" i="2"/>
  <c r="E1877" i="2"/>
  <c r="K499" i="2"/>
  <c r="M357" i="2"/>
  <c r="P2364" i="2"/>
  <c r="M1374" i="2"/>
  <c r="P1786" i="2"/>
  <c r="K400" i="2"/>
  <c r="P537" i="2"/>
  <c r="N1283" i="2"/>
  <c r="U1506" i="2"/>
  <c r="L2140" i="2"/>
  <c r="J72" i="2"/>
  <c r="C1406" i="2"/>
  <c r="M865" i="2"/>
  <c r="Q362" i="2"/>
  <c r="N2207" i="2"/>
  <c r="L1446" i="2"/>
  <c r="P166" i="2"/>
  <c r="F1088" i="2"/>
  <c r="T1453" i="2"/>
  <c r="W865" i="2"/>
  <c r="V378" i="2"/>
  <c r="E225" i="2"/>
  <c r="W2488" i="2"/>
  <c r="K2835" i="2"/>
  <c r="S2829" i="2"/>
  <c r="Q1872" i="2"/>
  <c r="F2792" i="2"/>
  <c r="F1271" i="2"/>
  <c r="T827" i="2"/>
  <c r="E1850" i="2"/>
  <c r="F860" i="2"/>
  <c r="D938" i="2"/>
  <c r="S2562" i="2"/>
  <c r="M606" i="2"/>
  <c r="I2551" i="2"/>
  <c r="F2157" i="2"/>
  <c r="V867" i="2"/>
  <c r="U70" i="2"/>
  <c r="F268" i="2"/>
  <c r="Q6" i="2"/>
  <c r="R1536" i="2"/>
  <c r="E2144" i="2"/>
  <c r="M882" i="2"/>
  <c r="G2963" i="2"/>
  <c r="G2630" i="2"/>
  <c r="R337" i="2"/>
  <c r="P1724" i="2"/>
  <c r="T1886" i="2"/>
  <c r="H504" i="2"/>
  <c r="P266" i="2"/>
  <c r="V2625" i="2"/>
  <c r="E2815" i="2"/>
  <c r="W1382" i="2"/>
  <c r="E618" i="2"/>
  <c r="G2346" i="2"/>
  <c r="K319" i="2"/>
  <c r="L789" i="2"/>
  <c r="V2098" i="2"/>
  <c r="E343" i="2"/>
  <c r="G1971" i="2"/>
  <c r="K2006" i="2"/>
  <c r="R401" i="2"/>
  <c r="D247" i="2"/>
  <c r="E566" i="2"/>
  <c r="U22" i="2"/>
  <c r="G839" i="2"/>
  <c r="R2629" i="2"/>
  <c r="F618" i="2"/>
  <c r="V94" i="2"/>
  <c r="I1924" i="2"/>
  <c r="L788" i="2"/>
  <c r="I2187" i="2"/>
  <c r="V922" i="2"/>
  <c r="N2986" i="2"/>
  <c r="Q448" i="2"/>
  <c r="R332" i="2"/>
  <c r="T866" i="2"/>
  <c r="G39" i="2"/>
  <c r="D2014" i="2"/>
  <c r="V2546" i="2"/>
  <c r="C491" i="2"/>
  <c r="R1352" i="2"/>
  <c r="W727" i="2"/>
  <c r="U605" i="2"/>
  <c r="N35" i="2"/>
  <c r="T2823" i="2"/>
  <c r="R3212" i="2"/>
  <c r="Q823" i="2"/>
  <c r="V2035" i="2"/>
  <c r="V357" i="2"/>
  <c r="L2190" i="2"/>
  <c r="V2364" i="2"/>
  <c r="C1365" i="2"/>
  <c r="O1841" i="2"/>
  <c r="L826" i="2"/>
  <c r="U1355" i="2"/>
  <c r="D227" i="2"/>
  <c r="T1079" i="2"/>
  <c r="C208" i="2"/>
  <c r="S1290" i="2"/>
  <c r="O3353" i="2"/>
  <c r="J2308" i="2"/>
  <c r="G35" i="2"/>
  <c r="K1139" i="2"/>
  <c r="M1417" i="2"/>
  <c r="P2722" i="2"/>
  <c r="Q329" i="2"/>
  <c r="V2843" i="2"/>
  <c r="U1721" i="2"/>
  <c r="N2482" i="2"/>
  <c r="J1574" i="2"/>
  <c r="W396" i="2"/>
  <c r="N678" i="2"/>
  <c r="E1742" i="2"/>
  <c r="L2640" i="2"/>
  <c r="N688" i="2"/>
  <c r="R106" i="2"/>
  <c r="M2564" i="2"/>
  <c r="C1596" i="2"/>
  <c r="N636" i="2"/>
  <c r="R1287" i="2"/>
  <c r="D1945" i="2"/>
  <c r="I1765" i="2"/>
  <c r="Q3054" i="2"/>
  <c r="S1674" i="2"/>
  <c r="P1683" i="2"/>
  <c r="V2659" i="2"/>
  <c r="C2216" i="2"/>
  <c r="H2904" i="2"/>
  <c r="T500" i="2"/>
  <c r="J260" i="2"/>
  <c r="F773" i="2"/>
  <c r="M2149" i="2"/>
  <c r="V404" i="2"/>
  <c r="F425" i="2"/>
  <c r="L298" i="2"/>
  <c r="C1742" i="2"/>
  <c r="S914" i="2"/>
  <c r="J271" i="2"/>
  <c r="N671" i="2"/>
  <c r="D2729" i="2"/>
  <c r="F2669" i="2"/>
  <c r="G2029" i="2"/>
  <c r="F436" i="2"/>
  <c r="C2179" i="2"/>
  <c r="N2555" i="2"/>
  <c r="J1902" i="2"/>
  <c r="O195" i="2"/>
  <c r="E2483" i="2"/>
  <c r="O3452" i="2"/>
  <c r="D2202" i="2"/>
  <c r="K1917" i="2"/>
  <c r="E2432" i="2"/>
  <c r="O603" i="2"/>
  <c r="F1335" i="2"/>
  <c r="V859" i="2"/>
  <c r="U1599" i="2"/>
  <c r="Q3190" i="2"/>
  <c r="H1495" i="2"/>
  <c r="Q2231" i="2"/>
  <c r="M2992" i="2"/>
  <c r="I1618" i="2"/>
  <c r="S1690" i="2"/>
  <c r="W2493" i="2"/>
  <c r="I1387" i="2"/>
  <c r="V2147" i="2"/>
  <c r="N7" i="2"/>
  <c r="R1550" i="2"/>
  <c r="G94" i="2"/>
  <c r="V952" i="2"/>
  <c r="N2325" i="2"/>
  <c r="C1539" i="2"/>
  <c r="G1510" i="2"/>
  <c r="P1288" i="2"/>
  <c r="H890" i="2"/>
  <c r="H400" i="2"/>
  <c r="Q349" i="2"/>
  <c r="K2576" i="2"/>
  <c r="N47" i="2"/>
  <c r="F910" i="2"/>
  <c r="P691" i="2"/>
  <c r="I2263" i="2"/>
  <c r="M2955" i="2"/>
  <c r="Q2117" i="2"/>
  <c r="K2477" i="2"/>
  <c r="Q195" i="2"/>
  <c r="R2612" i="2"/>
  <c r="E1580" i="2"/>
  <c r="K1112" i="2"/>
  <c r="O977" i="2"/>
  <c r="I454" i="2"/>
  <c r="J2767" i="2"/>
  <c r="C2004" i="2"/>
  <c r="S699" i="2"/>
  <c r="R1441" i="2"/>
  <c r="E1182" i="2"/>
  <c r="P2253" i="2"/>
  <c r="V2764" i="2"/>
  <c r="J1825" i="2"/>
  <c r="K2495" i="2"/>
  <c r="H1431" i="2"/>
  <c r="G2645" i="2"/>
  <c r="P178" i="2"/>
  <c r="S807" i="2"/>
  <c r="K347" i="2"/>
  <c r="V2682" i="2"/>
  <c r="M2742" i="2"/>
  <c r="S452" i="2"/>
  <c r="U203" i="2"/>
  <c r="L1009" i="2"/>
  <c r="J598" i="2"/>
  <c r="V119" i="2"/>
  <c r="W1029" i="2"/>
  <c r="T2801" i="2"/>
  <c r="K288" i="2"/>
  <c r="G2215" i="2"/>
  <c r="J1036" i="2"/>
  <c r="E983" i="2"/>
  <c r="V2043" i="2"/>
  <c r="F308" i="2"/>
  <c r="T2696" i="2"/>
  <c r="W79" i="2"/>
  <c r="C3212" i="2"/>
  <c r="D2685" i="2"/>
  <c r="J1781" i="2"/>
  <c r="U3093" i="2"/>
  <c r="F1533" i="2"/>
  <c r="O592" i="2"/>
  <c r="K1888" i="2"/>
  <c r="W1148" i="2"/>
  <c r="O1096" i="2"/>
  <c r="C2121" i="2"/>
  <c r="S1366" i="2"/>
  <c r="P2" i="2"/>
  <c r="J1777" i="2"/>
  <c r="P2199" i="2"/>
  <c r="U166" i="2"/>
  <c r="Q108" i="2"/>
  <c r="E647" i="2"/>
  <c r="R642" i="2"/>
  <c r="F965" i="2"/>
  <c r="V1268" i="2"/>
  <c r="F630" i="2"/>
  <c r="R622" i="2"/>
  <c r="T1153" i="2"/>
  <c r="F1186" i="2"/>
  <c r="L562" i="2"/>
  <c r="P199" i="2"/>
  <c r="R409" i="2"/>
  <c r="R1502" i="2"/>
  <c r="N856" i="2"/>
  <c r="P51" i="2"/>
  <c r="S432" i="2"/>
  <c r="P1462" i="2"/>
  <c r="W103" i="2"/>
  <c r="L1111" i="2"/>
  <c r="L141" i="2"/>
  <c r="K2004" i="2"/>
  <c r="E2178" i="2"/>
  <c r="W1024" i="2"/>
  <c r="U308" i="2"/>
  <c r="U448" i="2"/>
  <c r="T1727" i="2"/>
  <c r="G936" i="2"/>
  <c r="C2576" i="2"/>
  <c r="Q3076" i="2"/>
  <c r="U2024" i="2"/>
  <c r="L393" i="2"/>
  <c r="E972" i="2"/>
  <c r="R1932" i="2"/>
  <c r="N2378" i="2"/>
  <c r="L15" i="2"/>
  <c r="E199" i="2"/>
  <c r="U2559" i="2"/>
  <c r="G579" i="2"/>
  <c r="E1004" i="2"/>
  <c r="E1090" i="2"/>
  <c r="M1369" i="2"/>
  <c r="J2413" i="2"/>
  <c r="R995" i="2"/>
  <c r="M2965" i="2"/>
  <c r="S850" i="2"/>
  <c r="M923" i="2"/>
  <c r="I99" i="2"/>
  <c r="L440" i="2"/>
  <c r="W1988" i="2"/>
  <c r="S912" i="2"/>
  <c r="G1963" i="2"/>
  <c r="Q2468" i="2"/>
  <c r="H2013" i="2"/>
  <c r="V355" i="2"/>
  <c r="T2287" i="2"/>
  <c r="S1017" i="2"/>
  <c r="R620" i="2"/>
  <c r="I1880" i="2"/>
  <c r="U98" i="2"/>
  <c r="M2851" i="2"/>
  <c r="C2039" i="2"/>
  <c r="I896" i="2"/>
  <c r="G1787" i="2"/>
  <c r="K2616" i="2"/>
  <c r="R235" i="2"/>
  <c r="N778" i="2"/>
  <c r="T1387" i="2"/>
  <c r="E879" i="2"/>
  <c r="E262" i="2"/>
  <c r="J31" i="2"/>
  <c r="T2406" i="2"/>
  <c r="S1300" i="2"/>
  <c r="O1114" i="2"/>
  <c r="H1045" i="2"/>
  <c r="F1425" i="2"/>
  <c r="L1653" i="2"/>
  <c r="D2879" i="2"/>
  <c r="L2603" i="2"/>
  <c r="P2317" i="2"/>
  <c r="T2702" i="2"/>
  <c r="H2450" i="2"/>
  <c r="K734" i="2"/>
  <c r="G1734" i="2"/>
  <c r="E175" i="2"/>
  <c r="M360" i="2"/>
  <c r="D1460" i="2"/>
  <c r="T2513" i="2"/>
  <c r="T2708" i="2"/>
  <c r="G78" i="2"/>
  <c r="C969" i="2"/>
  <c r="J1294" i="2"/>
  <c r="V421" i="2"/>
  <c r="N1448" i="2"/>
  <c r="R788" i="2"/>
  <c r="U2233" i="2"/>
  <c r="H725" i="2"/>
  <c r="V1832" i="2"/>
  <c r="M1451" i="2"/>
  <c r="C1766" i="2"/>
  <c r="S1849" i="2"/>
  <c r="P2387" i="2"/>
  <c r="M82" i="2"/>
  <c r="O939" i="2"/>
  <c r="T2539" i="2"/>
  <c r="I716" i="2"/>
  <c r="M16" i="2"/>
  <c r="O1831" i="2"/>
  <c r="O1122" i="2"/>
  <c r="R3071" i="2"/>
  <c r="S2095" i="2"/>
  <c r="U1758" i="2"/>
  <c r="D806" i="2"/>
  <c r="P588" i="2"/>
  <c r="M1270" i="2"/>
  <c r="G1448" i="2"/>
  <c r="D1014" i="2"/>
  <c r="K183" i="2"/>
  <c r="I3085" i="2"/>
  <c r="P3160" i="2"/>
  <c r="G2983" i="2"/>
  <c r="V3079" i="2"/>
  <c r="O1897" i="2"/>
  <c r="Q1332" i="2"/>
  <c r="W1479" i="2"/>
  <c r="Q780" i="2"/>
  <c r="C1148" i="2"/>
  <c r="V873" i="2"/>
  <c r="W1982" i="2"/>
  <c r="R371" i="2"/>
  <c r="U1280" i="2"/>
  <c r="S3250" i="2"/>
  <c r="G1611" i="2"/>
  <c r="J1575" i="2"/>
  <c r="I1709" i="2"/>
  <c r="O1197" i="2"/>
  <c r="P602" i="2"/>
  <c r="R733" i="2"/>
  <c r="O2862" i="2"/>
  <c r="Q2041" i="2"/>
  <c r="W2123" i="2"/>
  <c r="F2670" i="2"/>
  <c r="C1925" i="2"/>
  <c r="N2129" i="2"/>
  <c r="W1239" i="2"/>
  <c r="R1104" i="2"/>
  <c r="M2950" i="2"/>
  <c r="R1036" i="2"/>
  <c r="J175" i="2"/>
  <c r="H1927" i="2"/>
  <c r="D1585" i="2"/>
  <c r="W287" i="2"/>
  <c r="E1020" i="2"/>
  <c r="N545" i="2"/>
  <c r="V1875" i="2"/>
  <c r="R619" i="2"/>
  <c r="G1779" i="2"/>
  <c r="W2037" i="2"/>
  <c r="M149" i="2"/>
  <c r="W1443" i="2"/>
  <c r="J2651" i="2"/>
  <c r="D857" i="2"/>
  <c r="U1778" i="2"/>
  <c r="V1004" i="2"/>
  <c r="Q2683" i="2"/>
  <c r="F206" i="2"/>
  <c r="U1235" i="2"/>
  <c r="O528" i="2"/>
  <c r="M1618" i="2"/>
  <c r="H1674" i="2"/>
  <c r="S767" i="2"/>
  <c r="S1654" i="2"/>
  <c r="P2000" i="2"/>
  <c r="K2841" i="2"/>
  <c r="T2764" i="2"/>
  <c r="U2214" i="2"/>
  <c r="N2808" i="2"/>
  <c r="C1448" i="2"/>
  <c r="P1494" i="2"/>
  <c r="E1162" i="2"/>
  <c r="F681" i="2"/>
  <c r="H1482" i="2"/>
  <c r="H3034" i="2"/>
  <c r="Q2734" i="2"/>
  <c r="G1628" i="2"/>
  <c r="N1494" i="2"/>
  <c r="F2340" i="2"/>
  <c r="L292" i="2"/>
  <c r="O393" i="2"/>
  <c r="M1441" i="2"/>
  <c r="W230" i="2"/>
  <c r="H1195" i="2"/>
  <c r="W987" i="2"/>
  <c r="F1787" i="2"/>
  <c r="M2626" i="2"/>
  <c r="G1625" i="2"/>
  <c r="V1173" i="2"/>
  <c r="F101" i="2"/>
  <c r="G1732" i="2"/>
  <c r="M172" i="2"/>
  <c r="N1416" i="2"/>
  <c r="G577" i="2"/>
  <c r="C36" i="2"/>
  <c r="P1493" i="2"/>
  <c r="W1400" i="2"/>
  <c r="G2411" i="2"/>
  <c r="M1142" i="2"/>
  <c r="E498" i="2"/>
  <c r="S801" i="2"/>
  <c r="Q2085" i="2"/>
  <c r="T2324" i="2"/>
  <c r="R2243" i="2"/>
  <c r="S2710" i="2"/>
  <c r="P2292" i="2"/>
  <c r="U2596" i="2"/>
  <c r="E424" i="2"/>
  <c r="U498" i="2"/>
  <c r="M257" i="2"/>
  <c r="K1730" i="2"/>
  <c r="G1135" i="2"/>
  <c r="I1900" i="2"/>
  <c r="J2221" i="2"/>
  <c r="K1461" i="2"/>
  <c r="T1031" i="2"/>
  <c r="P1760" i="2"/>
  <c r="M86" i="2"/>
  <c r="D1324" i="2"/>
  <c r="O2380" i="2"/>
  <c r="C155" i="2"/>
  <c r="I52" i="2"/>
  <c r="V3175" i="2"/>
  <c r="M368" i="2"/>
  <c r="R2024" i="2"/>
  <c r="S851" i="2"/>
  <c r="P1872" i="2"/>
  <c r="P379" i="2"/>
  <c r="P729" i="2"/>
  <c r="V1093" i="2"/>
  <c r="E3091" i="2"/>
  <c r="L480" i="2"/>
  <c r="S2283" i="2"/>
  <c r="K655" i="2"/>
  <c r="Q2944" i="2"/>
  <c r="I1783" i="2"/>
  <c r="F2962" i="2"/>
  <c r="K1017" i="2"/>
  <c r="K1033" i="2"/>
  <c r="P745" i="2"/>
  <c r="U2356" i="2"/>
  <c r="L1856" i="2"/>
  <c r="F811" i="2"/>
  <c r="J2569" i="2"/>
  <c r="U2484" i="2"/>
  <c r="H33" i="2"/>
  <c r="L1371" i="2"/>
  <c r="E1451" i="2"/>
  <c r="L937" i="2"/>
  <c r="W268" i="2"/>
  <c r="N2734" i="2"/>
  <c r="I1614" i="2"/>
  <c r="E837" i="2"/>
  <c r="U1273" i="2"/>
  <c r="J715" i="2"/>
  <c r="J1301" i="2"/>
  <c r="G1651" i="2"/>
  <c r="M1115" i="2"/>
  <c r="Q1210" i="2"/>
  <c r="U619" i="2"/>
  <c r="G1106" i="2"/>
  <c r="J921" i="2"/>
  <c r="N2488" i="2"/>
  <c r="K748" i="2"/>
  <c r="C638" i="2"/>
  <c r="K942" i="2"/>
  <c r="U1045" i="2"/>
  <c r="U2315" i="2"/>
  <c r="P1135" i="2"/>
  <c r="V613" i="2"/>
  <c r="M107" i="2"/>
  <c r="V1665" i="2"/>
  <c r="R1194" i="2"/>
  <c r="J437" i="2"/>
  <c r="K1145" i="2"/>
  <c r="O55" i="2"/>
  <c r="S1860" i="2"/>
  <c r="G655" i="2"/>
  <c r="R3124" i="2"/>
  <c r="I863" i="2"/>
  <c r="Q64" i="2"/>
  <c r="R1285" i="2"/>
  <c r="U634" i="2"/>
  <c r="S87" i="2"/>
  <c r="P461" i="2"/>
  <c r="S944" i="2"/>
  <c r="V433" i="2"/>
  <c r="V441" i="2"/>
  <c r="S286" i="2"/>
  <c r="E632" i="2"/>
  <c r="K1381" i="2"/>
  <c r="P2383" i="2"/>
  <c r="W2245" i="2"/>
  <c r="S3516" i="2"/>
  <c r="R2584" i="2"/>
  <c r="F969" i="2"/>
  <c r="N2149" i="2"/>
  <c r="W1177" i="2"/>
  <c r="N1529" i="2"/>
  <c r="O875" i="2"/>
  <c r="H2506" i="2"/>
  <c r="G1551" i="2"/>
  <c r="C1190" i="2"/>
  <c r="M218" i="2"/>
  <c r="E2856" i="2"/>
  <c r="H1602" i="2"/>
  <c r="V2730" i="2"/>
  <c r="H2788" i="2"/>
  <c r="G902" i="2"/>
  <c r="I1748" i="2"/>
  <c r="R1611" i="2"/>
  <c r="P2491" i="2"/>
  <c r="U978" i="2"/>
  <c r="Q2148" i="2"/>
  <c r="O1536" i="2"/>
  <c r="I1037" i="2"/>
  <c r="I2896" i="2"/>
  <c r="N1041" i="2"/>
  <c r="U2450" i="2"/>
  <c r="D2065" i="2"/>
  <c r="J2708" i="2"/>
  <c r="Q1640" i="2"/>
  <c r="W638" i="2"/>
  <c r="L2059" i="2"/>
  <c r="J94" i="2"/>
  <c r="O2664" i="2"/>
  <c r="O2099" i="2"/>
  <c r="R2783" i="2"/>
  <c r="Q2567" i="2"/>
  <c r="S240" i="2"/>
  <c r="N100" i="2"/>
  <c r="P23" i="2"/>
  <c r="F382" i="2"/>
  <c r="F396" i="2"/>
  <c r="U1046" i="2"/>
  <c r="F380" i="2"/>
  <c r="S787" i="2"/>
  <c r="O169" i="2"/>
  <c r="N2345" i="2"/>
  <c r="G62" i="2"/>
  <c r="C1705" i="2"/>
  <c r="M1981" i="2"/>
  <c r="V2213" i="2"/>
  <c r="S466" i="2"/>
  <c r="F1014" i="2"/>
  <c r="N2461" i="2"/>
  <c r="E153" i="2"/>
  <c r="R1295" i="2"/>
  <c r="D2229" i="2"/>
  <c r="H2531" i="2"/>
  <c r="I1923" i="2"/>
  <c r="K1254" i="2"/>
  <c r="Q1589" i="2"/>
  <c r="C1629" i="2"/>
  <c r="P1531" i="2"/>
  <c r="K335" i="2"/>
  <c r="M887" i="2"/>
  <c r="U1862" i="2"/>
  <c r="O2248" i="2"/>
  <c r="M1660" i="2"/>
  <c r="N1887" i="2"/>
  <c r="J2125" i="2"/>
  <c r="H2923" i="2"/>
  <c r="Q1992" i="2"/>
  <c r="I1277" i="2"/>
  <c r="D2686" i="2"/>
  <c r="V1816" i="2"/>
  <c r="W2079" i="2"/>
  <c r="F2097" i="2"/>
  <c r="G618" i="2"/>
  <c r="E1352" i="2"/>
  <c r="E1929" i="2"/>
  <c r="G608" i="2"/>
  <c r="J875" i="2"/>
  <c r="E747" i="2"/>
  <c r="R1206" i="2"/>
  <c r="H1547" i="2"/>
  <c r="J2471" i="2"/>
  <c r="V1283" i="2"/>
  <c r="D2695" i="2"/>
  <c r="R505" i="2"/>
  <c r="P1745" i="2"/>
  <c r="S2140" i="2"/>
  <c r="V260" i="2"/>
  <c r="C253" i="2"/>
  <c r="H2520" i="2"/>
  <c r="S657" i="2"/>
  <c r="P1567" i="2"/>
  <c r="P2095" i="2"/>
  <c r="N789" i="2"/>
  <c r="O2809" i="2"/>
  <c r="W1947" i="2"/>
  <c r="Q1716" i="2"/>
  <c r="S2499" i="2"/>
  <c r="I965" i="2"/>
  <c r="J2079" i="2"/>
  <c r="Q945" i="2"/>
  <c r="W319" i="2"/>
  <c r="C2891" i="2"/>
  <c r="G2148" i="2"/>
  <c r="E1204" i="2"/>
  <c r="P2438" i="2"/>
  <c r="U822" i="2"/>
  <c r="W2616" i="2"/>
  <c r="E617" i="2"/>
  <c r="T81" i="2"/>
  <c r="C1745" i="2"/>
  <c r="I867" i="2"/>
  <c r="W446" i="2"/>
  <c r="O1158" i="2"/>
  <c r="Q1430" i="2"/>
  <c r="H283" i="2"/>
  <c r="Q439" i="2"/>
  <c r="E282" i="2"/>
  <c r="I2627" i="2"/>
  <c r="Q1146" i="2"/>
  <c r="Q1263" i="2"/>
  <c r="C121" i="2"/>
  <c r="J1409" i="2"/>
  <c r="R1558" i="2"/>
  <c r="I1475" i="2"/>
  <c r="V2834" i="2"/>
  <c r="W3179" i="2"/>
  <c r="L2163" i="2"/>
  <c r="S583" i="2"/>
  <c r="D1528" i="2"/>
  <c r="C1597" i="2"/>
  <c r="M424" i="2"/>
  <c r="R2217" i="2"/>
  <c r="O890" i="2"/>
  <c r="E1033" i="2"/>
  <c r="R472" i="2"/>
  <c r="H471" i="2"/>
  <c r="Q683" i="2"/>
  <c r="M851" i="2"/>
  <c r="K1332" i="2"/>
  <c r="W2635" i="2"/>
  <c r="D2250" i="2"/>
  <c r="V1262" i="2"/>
  <c r="N1608" i="2"/>
  <c r="R2135" i="2"/>
  <c r="J780" i="2"/>
  <c r="U36" i="2"/>
  <c r="E833" i="2"/>
  <c r="V2184" i="2"/>
  <c r="U727" i="2"/>
  <c r="T1887" i="2"/>
  <c r="K1221" i="2"/>
  <c r="N13" i="2"/>
  <c r="H230" i="2"/>
  <c r="Q484" i="2"/>
  <c r="C2430" i="2"/>
  <c r="N1733" i="2"/>
  <c r="D2270" i="2"/>
  <c r="I2699" i="2"/>
  <c r="C1695" i="2"/>
  <c r="O846" i="2"/>
  <c r="E443" i="2"/>
  <c r="G2787" i="2"/>
  <c r="K2698" i="2"/>
  <c r="Q1285" i="2"/>
  <c r="O2473" i="2"/>
  <c r="L1099" i="2"/>
  <c r="T1098" i="2"/>
  <c r="L2502" i="2"/>
  <c r="G891" i="2"/>
  <c r="C773" i="2"/>
  <c r="F1207" i="2"/>
  <c r="O2373" i="2"/>
  <c r="R993" i="2"/>
  <c r="R1991" i="2"/>
  <c r="M419" i="2"/>
  <c r="N46" i="2"/>
  <c r="D2047" i="2"/>
  <c r="W347" i="2"/>
  <c r="D142" i="2"/>
  <c r="S549" i="2"/>
  <c r="O1265" i="2"/>
  <c r="L116" i="2"/>
  <c r="L1517" i="2"/>
  <c r="C679" i="2"/>
  <c r="R858" i="2"/>
  <c r="J1026" i="2"/>
  <c r="E381" i="2"/>
  <c r="T840" i="2"/>
  <c r="W2002" i="2"/>
  <c r="J731" i="2"/>
  <c r="V2050" i="2"/>
  <c r="E3034" i="2"/>
  <c r="N2006" i="2"/>
  <c r="P664" i="2"/>
  <c r="S2172" i="2"/>
  <c r="F1912" i="2"/>
  <c r="L1737" i="2"/>
  <c r="V2972" i="2"/>
  <c r="K385" i="2"/>
  <c r="R1867" i="2"/>
  <c r="J1624" i="2"/>
  <c r="W2286" i="2"/>
  <c r="Q557" i="2"/>
  <c r="G1671" i="2"/>
  <c r="U1731" i="2"/>
  <c r="M2217" i="2"/>
  <c r="L1191" i="2"/>
  <c r="Q2549" i="2"/>
  <c r="Q789" i="2"/>
  <c r="C2476" i="2"/>
  <c r="T237" i="2"/>
  <c r="I1207" i="2"/>
  <c r="G1370" i="2"/>
  <c r="G1895" i="2"/>
  <c r="I1566" i="2"/>
  <c r="C66" i="2"/>
  <c r="D1814" i="2"/>
  <c r="O1650" i="2"/>
  <c r="F1738" i="2"/>
  <c r="E1649" i="2"/>
  <c r="I810" i="2"/>
  <c r="O2378" i="2"/>
  <c r="W2188" i="2"/>
  <c r="W2789" i="2"/>
  <c r="P1505" i="2"/>
  <c r="M1274" i="2"/>
  <c r="L306" i="2"/>
  <c r="G2087" i="2"/>
  <c r="J282" i="2"/>
  <c r="U1338" i="2"/>
  <c r="R231" i="2"/>
  <c r="U2493" i="2"/>
  <c r="E2299" i="2"/>
  <c r="D2379" i="2"/>
  <c r="J1066" i="2"/>
  <c r="F1198" i="2"/>
  <c r="R1467" i="2"/>
  <c r="U2523" i="2"/>
  <c r="J49" i="2"/>
  <c r="R3226" i="2"/>
  <c r="K1345" i="2"/>
  <c r="E142" i="2"/>
  <c r="V5" i="2"/>
  <c r="M2128" i="2"/>
  <c r="G344" i="2"/>
  <c r="M1948" i="2"/>
  <c r="S1679" i="2"/>
  <c r="L2657" i="2"/>
  <c r="V2208" i="2"/>
  <c r="G1340" i="2"/>
  <c r="Q475" i="2"/>
  <c r="W1778" i="2"/>
  <c r="E3251" i="2"/>
  <c r="G2631" i="2"/>
  <c r="F635" i="2"/>
  <c r="S1273" i="2"/>
  <c r="F2028" i="2"/>
  <c r="U2046" i="2"/>
  <c r="K2133" i="2"/>
  <c r="F1372" i="2"/>
  <c r="E1937" i="2"/>
  <c r="Q370" i="2"/>
  <c r="E2336" i="2"/>
  <c r="D1622" i="2"/>
  <c r="M890" i="2"/>
  <c r="C884" i="2"/>
  <c r="M1462" i="2"/>
  <c r="L207" i="2"/>
  <c r="N1031" i="2"/>
  <c r="U1038" i="2"/>
  <c r="P115" i="2"/>
  <c r="E377" i="2"/>
  <c r="F1344" i="2"/>
  <c r="W2999" i="2"/>
  <c r="E1249" i="2"/>
  <c r="W3240" i="2"/>
  <c r="O2080" i="2"/>
  <c r="P1730" i="2"/>
  <c r="R2615" i="2"/>
  <c r="K2283" i="2"/>
  <c r="R3394" i="2"/>
  <c r="J1318" i="2"/>
  <c r="P1837" i="2"/>
  <c r="R2112" i="2"/>
  <c r="P1621" i="2"/>
  <c r="Q92" i="2"/>
  <c r="S372" i="2"/>
  <c r="S815" i="2"/>
  <c r="R704" i="2"/>
  <c r="D2151" i="2"/>
  <c r="I1403" i="2"/>
  <c r="I1858" i="2"/>
  <c r="I458" i="2"/>
  <c r="L2436" i="2"/>
  <c r="P2207" i="2"/>
  <c r="P2875" i="2"/>
  <c r="W1393" i="2"/>
  <c r="T1705" i="2"/>
  <c r="O2534" i="2"/>
  <c r="M51" i="2"/>
  <c r="F1865" i="2"/>
  <c r="N1056" i="2"/>
  <c r="P1358" i="2"/>
  <c r="H999" i="2"/>
  <c r="E1651" i="2"/>
  <c r="D1216" i="2"/>
  <c r="G446" i="2"/>
  <c r="O1651" i="2"/>
  <c r="S1129" i="2"/>
  <c r="M2060" i="2"/>
  <c r="K2677" i="2"/>
  <c r="H559" i="2"/>
  <c r="T1851" i="2"/>
  <c r="G2103" i="2"/>
  <c r="W2537" i="2"/>
  <c r="J514" i="2"/>
  <c r="U464" i="2"/>
  <c r="U1435" i="2"/>
  <c r="D1236" i="2"/>
  <c r="P1191" i="2"/>
  <c r="E416" i="2"/>
  <c r="S854" i="2"/>
  <c r="I157" i="2"/>
  <c r="O2312" i="2"/>
  <c r="I1700" i="2"/>
  <c r="R1281" i="2"/>
  <c r="K1969" i="2"/>
  <c r="W577" i="2"/>
  <c r="D2031" i="2"/>
  <c r="G1145" i="2"/>
  <c r="R1982" i="2"/>
  <c r="E1922" i="2"/>
  <c r="T301" i="2"/>
  <c r="H1012" i="2"/>
  <c r="R1815" i="2"/>
  <c r="Q1427" i="2"/>
  <c r="D2301" i="2"/>
  <c r="N591" i="2"/>
  <c r="U497" i="2"/>
  <c r="U1179" i="2"/>
  <c r="L1794" i="2"/>
  <c r="J2436" i="2"/>
  <c r="F1229" i="2"/>
  <c r="N756" i="2"/>
  <c r="N2324" i="2"/>
  <c r="G511" i="2"/>
  <c r="C1747" i="2"/>
  <c r="L769" i="2"/>
  <c r="F1003" i="2"/>
  <c r="O1983" i="2"/>
  <c r="K2204" i="2"/>
  <c r="W353" i="2"/>
  <c r="S2262" i="2"/>
  <c r="T2897" i="2"/>
  <c r="S189" i="2"/>
  <c r="S2312" i="2"/>
  <c r="I1647" i="2"/>
  <c r="F1946" i="2"/>
  <c r="O1801" i="2"/>
  <c r="S3351" i="2"/>
  <c r="H1088" i="2"/>
  <c r="V3072" i="2"/>
  <c r="T1686" i="2"/>
  <c r="E749" i="2"/>
  <c r="V1218" i="2"/>
  <c r="M1164" i="2"/>
  <c r="J601" i="2"/>
  <c r="V950" i="2"/>
  <c r="M188" i="2"/>
  <c r="R1993" i="2"/>
  <c r="C2694" i="2"/>
  <c r="C970" i="2"/>
  <c r="S970" i="2"/>
  <c r="M2934" i="2"/>
  <c r="U1261" i="2"/>
  <c r="Q762" i="2"/>
  <c r="U699" i="2"/>
  <c r="L689" i="2"/>
  <c r="T722" i="2"/>
  <c r="W1733" i="2"/>
  <c r="G1827" i="2"/>
  <c r="I45" i="2"/>
  <c r="Q899" i="2"/>
  <c r="S252" i="2"/>
  <c r="M3202" i="2"/>
  <c r="M358" i="2"/>
  <c r="S2402" i="2"/>
  <c r="V1328" i="2"/>
  <c r="I1107" i="2"/>
  <c r="N488" i="2"/>
  <c r="O1057" i="2"/>
  <c r="U2725" i="2"/>
  <c r="E1196" i="2"/>
  <c r="P1785" i="2"/>
  <c r="P3287" i="2"/>
  <c r="P112" i="2"/>
  <c r="R2335" i="2"/>
  <c r="J2355" i="2"/>
  <c r="I1307" i="2"/>
  <c r="R2813" i="2"/>
  <c r="S1250" i="2"/>
  <c r="C1269" i="2"/>
  <c r="D1443" i="2"/>
  <c r="L1863" i="2"/>
  <c r="Q2411" i="2"/>
  <c r="N2823" i="2"/>
  <c r="J1889" i="2"/>
  <c r="M2077" i="2"/>
  <c r="D829" i="2"/>
  <c r="U1262" i="2"/>
  <c r="M1629" i="2"/>
  <c r="C3351" i="2"/>
  <c r="P1076" i="2"/>
  <c r="O2462" i="2"/>
  <c r="W2062" i="2"/>
  <c r="S1892" i="2"/>
  <c r="O2169" i="2"/>
  <c r="N2226" i="2"/>
  <c r="O2861" i="2"/>
  <c r="J45" i="2"/>
  <c r="U118" i="2"/>
  <c r="L2173" i="2"/>
  <c r="T488" i="2"/>
  <c r="T2018" i="2"/>
  <c r="T1930" i="2"/>
  <c r="P1247" i="2"/>
  <c r="H2045" i="2"/>
  <c r="J365" i="2"/>
  <c r="C2361" i="2"/>
  <c r="O2430" i="2"/>
  <c r="W464" i="2"/>
  <c r="V2757" i="2"/>
  <c r="P1496" i="2"/>
  <c r="L773" i="2"/>
  <c r="D1940" i="2"/>
  <c r="N3055" i="2"/>
  <c r="O765" i="2"/>
  <c r="R1250" i="2"/>
  <c r="O2053" i="2"/>
  <c r="F1622" i="2"/>
  <c r="D2971" i="2"/>
  <c r="L1369" i="2"/>
  <c r="M330" i="2"/>
  <c r="O369" i="2"/>
  <c r="C32" i="2"/>
  <c r="M1040" i="2"/>
  <c r="P968" i="2"/>
  <c r="C546" i="2"/>
  <c r="O66" i="2"/>
  <c r="D610" i="2"/>
  <c r="S2644" i="2"/>
  <c r="U197" i="2"/>
  <c r="U1556" i="2"/>
  <c r="F1262" i="2"/>
  <c r="G1119" i="2"/>
  <c r="J2839" i="2"/>
  <c r="K1240" i="2"/>
  <c r="D897" i="2"/>
  <c r="P2158" i="2"/>
  <c r="W585" i="2"/>
  <c r="U531" i="2"/>
  <c r="U2478" i="2"/>
  <c r="V2334" i="2"/>
  <c r="I2448" i="2"/>
  <c r="Q2767" i="2"/>
  <c r="W1229" i="2"/>
  <c r="T1171" i="2"/>
  <c r="L457" i="2"/>
  <c r="N203" i="2"/>
  <c r="N2000" i="2"/>
  <c r="C1938" i="2"/>
  <c r="C2154" i="2"/>
  <c r="T724" i="2"/>
  <c r="S45" i="2"/>
  <c r="R2492" i="2"/>
  <c r="V1273" i="2"/>
  <c r="G2142" i="2"/>
  <c r="K2924" i="2"/>
  <c r="G1626" i="2"/>
  <c r="G2387" i="2"/>
  <c r="D2390" i="2"/>
  <c r="I410" i="2"/>
  <c r="T2909" i="2"/>
  <c r="G2946" i="2"/>
  <c r="C164" i="2"/>
  <c r="O2363" i="2"/>
  <c r="S120" i="2"/>
  <c r="J3186" i="2"/>
  <c r="Q1505" i="2"/>
  <c r="D2115" i="2"/>
  <c r="I3193" i="2"/>
  <c r="G1376" i="2"/>
  <c r="H733" i="2"/>
  <c r="T1234" i="2"/>
  <c r="T2450" i="2"/>
  <c r="U2526" i="2"/>
  <c r="J2102" i="2"/>
  <c r="N2022" i="2"/>
  <c r="D2387" i="2"/>
  <c r="G2020" i="2"/>
  <c r="P702" i="2"/>
  <c r="M513" i="2"/>
  <c r="H1425" i="2"/>
  <c r="P891" i="2"/>
  <c r="G348" i="2"/>
  <c r="S1020" i="2"/>
  <c r="W593" i="2"/>
  <c r="G2083" i="2"/>
  <c r="D2290" i="2"/>
  <c r="R2265" i="2"/>
  <c r="T82" i="2"/>
  <c r="T487" i="2"/>
  <c r="N1503" i="2"/>
  <c r="L2143" i="2"/>
  <c r="F2784" i="2"/>
  <c r="I378" i="2"/>
  <c r="V1008" i="2"/>
  <c r="U363" i="2"/>
  <c r="K2278" i="2"/>
  <c r="V39" i="2"/>
  <c r="F2137" i="2"/>
  <c r="N1511" i="2"/>
  <c r="L956" i="2"/>
  <c r="L2057" i="2"/>
  <c r="U1217" i="2"/>
  <c r="W1340" i="2"/>
  <c r="L339" i="2"/>
  <c r="S562" i="2"/>
  <c r="U2136" i="2"/>
  <c r="V1316" i="2"/>
  <c r="Q1436" i="2"/>
  <c r="P368" i="2"/>
  <c r="D2099" i="2"/>
  <c r="G2355" i="2"/>
  <c r="V2724" i="2"/>
  <c r="R1483" i="2"/>
  <c r="M590" i="2"/>
  <c r="L2048" i="2"/>
  <c r="H803" i="2"/>
  <c r="D1029" i="2"/>
  <c r="V2570" i="2"/>
  <c r="J2841" i="2"/>
  <c r="W429" i="2"/>
  <c r="S1294" i="2"/>
  <c r="P399" i="2"/>
  <c r="K1004" i="2"/>
  <c r="G1057" i="2"/>
  <c r="S627" i="2"/>
  <c r="Q412" i="2"/>
  <c r="N691" i="2"/>
  <c r="E724" i="2"/>
  <c r="S2368" i="2"/>
  <c r="J284" i="2"/>
  <c r="G1865" i="2"/>
  <c r="M191" i="2"/>
  <c r="L2307" i="2"/>
  <c r="K2833" i="2"/>
  <c r="O1914" i="2"/>
  <c r="C189" i="2"/>
  <c r="D1348" i="2"/>
  <c r="I822" i="2"/>
  <c r="J220" i="2"/>
  <c r="W381" i="2"/>
  <c r="S2018" i="2"/>
  <c r="O1830" i="2"/>
  <c r="O810" i="2"/>
  <c r="T2706" i="2"/>
  <c r="O2216" i="2"/>
  <c r="P892" i="2"/>
  <c r="L3122" i="2"/>
  <c r="T984" i="2"/>
  <c r="H1714" i="2"/>
  <c r="J2151" i="2"/>
  <c r="O982" i="2"/>
  <c r="G593" i="2"/>
  <c r="E625" i="2"/>
  <c r="F269" i="2"/>
  <c r="I247" i="2"/>
  <c r="U88" i="2"/>
  <c r="S2081" i="2"/>
  <c r="T2374" i="2"/>
  <c r="V936" i="2"/>
  <c r="M328" i="2"/>
  <c r="C1542" i="2"/>
  <c r="H221" i="2"/>
  <c r="O545" i="2"/>
  <c r="O921" i="2"/>
  <c r="P1111" i="2"/>
  <c r="F1681" i="2"/>
  <c r="Q1996" i="2"/>
  <c r="V1882" i="2"/>
  <c r="T7" i="2"/>
  <c r="R756" i="2"/>
  <c r="U2364" i="2"/>
  <c r="R3198" i="2"/>
  <c r="N1239" i="2"/>
  <c r="O1043" i="2"/>
  <c r="J1068" i="2"/>
  <c r="J164" i="2"/>
  <c r="D861" i="2"/>
  <c r="F698" i="2"/>
  <c r="K3125" i="2"/>
  <c r="P2033" i="2"/>
  <c r="I372" i="2"/>
  <c r="J1198" i="2"/>
  <c r="H1590" i="2"/>
  <c r="E1308" i="2"/>
  <c r="F2693" i="2"/>
  <c r="K1428" i="2"/>
  <c r="S3036" i="2"/>
  <c r="R357" i="2"/>
  <c r="N780" i="2"/>
  <c r="H242" i="2"/>
  <c r="C1072" i="2"/>
  <c r="F132" i="2"/>
  <c r="U1329" i="2"/>
  <c r="P1007" i="2"/>
  <c r="O1606" i="2"/>
  <c r="J932" i="2"/>
  <c r="L2019" i="2"/>
  <c r="V2021" i="2"/>
  <c r="G313" i="2"/>
  <c r="O1893" i="2"/>
  <c r="I2252" i="2"/>
  <c r="M1292" i="2"/>
  <c r="F813" i="2"/>
  <c r="U715" i="2"/>
  <c r="L702" i="2"/>
  <c r="O1339" i="2"/>
  <c r="Q369" i="2"/>
  <c r="M223" i="2"/>
  <c r="C40" i="2"/>
  <c r="S2277" i="2"/>
  <c r="O1843" i="2"/>
  <c r="D818" i="2"/>
  <c r="C2801" i="2"/>
  <c r="Q320" i="2"/>
  <c r="C83" i="2"/>
  <c r="D1057" i="2"/>
  <c r="T164" i="2"/>
  <c r="U3176" i="2"/>
  <c r="P2931" i="2"/>
  <c r="H1221" i="2"/>
  <c r="J894" i="2"/>
  <c r="N1384" i="2"/>
  <c r="O2487" i="2"/>
  <c r="I649" i="2"/>
  <c r="E730" i="2"/>
  <c r="E695" i="2"/>
  <c r="L556" i="2"/>
  <c r="H1116" i="2"/>
  <c r="N1346" i="2"/>
  <c r="W29" i="2"/>
  <c r="W2170" i="2"/>
  <c r="L2388" i="2"/>
  <c r="K1239" i="2"/>
  <c r="L441" i="2"/>
  <c r="C2517" i="2"/>
  <c r="H2857" i="2"/>
  <c r="G1401" i="2"/>
  <c r="M1414" i="2"/>
  <c r="V1143" i="2"/>
  <c r="D2468" i="2"/>
  <c r="H3253" i="2"/>
  <c r="U29" i="2"/>
  <c r="K1387" i="2"/>
  <c r="U1609" i="2"/>
  <c r="T3287" i="2"/>
  <c r="L1996" i="2"/>
  <c r="O1174" i="2"/>
  <c r="D2003" i="2"/>
  <c r="M1619" i="2"/>
  <c r="U438" i="2"/>
  <c r="U2071" i="2"/>
  <c r="R2005" i="2"/>
  <c r="U483" i="2"/>
  <c r="M85" i="2"/>
  <c r="M68" i="2"/>
  <c r="T785" i="2"/>
  <c r="W728" i="2"/>
  <c r="H39" i="2"/>
  <c r="O2199" i="2"/>
  <c r="T1605" i="2"/>
  <c r="Q1927" i="2"/>
  <c r="C849" i="2"/>
  <c r="W862" i="2"/>
  <c r="F223" i="2"/>
  <c r="T1360" i="2"/>
  <c r="J248" i="2"/>
  <c r="I721" i="2"/>
  <c r="E1015" i="2"/>
  <c r="L2056" i="2"/>
  <c r="G350" i="2"/>
  <c r="T2288" i="2"/>
  <c r="T513" i="2"/>
  <c r="J256" i="2"/>
  <c r="F1133" i="2"/>
  <c r="D1735" i="2"/>
  <c r="R2128" i="2"/>
  <c r="T437" i="2"/>
  <c r="I1248" i="2"/>
  <c r="K2009" i="2"/>
  <c r="R1918" i="2"/>
  <c r="I1712" i="2"/>
  <c r="K2783" i="2"/>
  <c r="M2937" i="2"/>
  <c r="U1839" i="2"/>
  <c r="N358" i="2"/>
  <c r="G1224" i="2"/>
  <c r="U2340" i="2"/>
  <c r="F2173" i="2"/>
  <c r="C1338" i="2"/>
  <c r="S1749" i="2"/>
  <c r="I999" i="2"/>
  <c r="F363" i="2"/>
  <c r="H2219" i="2"/>
  <c r="I1743" i="2"/>
  <c r="C2242" i="2"/>
  <c r="K261" i="2"/>
  <c r="J1613" i="2"/>
  <c r="L807" i="2"/>
  <c r="R396" i="2"/>
  <c r="N809" i="2"/>
  <c r="W2641" i="2"/>
  <c r="W3054" i="2"/>
  <c r="P469" i="2"/>
  <c r="P1678" i="2"/>
  <c r="R1426" i="2"/>
  <c r="K1934" i="2"/>
  <c r="O2841" i="2"/>
  <c r="E48" i="2"/>
  <c r="D3309" i="2"/>
  <c r="O594" i="2"/>
  <c r="M892" i="2"/>
  <c r="F2437" i="2"/>
  <c r="H2829" i="2"/>
  <c r="T2125" i="2"/>
  <c r="N1976" i="2"/>
  <c r="Q2524" i="2"/>
  <c r="W283" i="2"/>
  <c r="G2752" i="2"/>
  <c r="K2408" i="2"/>
  <c r="H2666" i="2"/>
  <c r="P342" i="2"/>
  <c r="S1453" i="2"/>
  <c r="T571" i="2"/>
  <c r="E1621" i="2"/>
  <c r="W2751" i="2"/>
  <c r="Q2456" i="2"/>
  <c r="K1069" i="2"/>
  <c r="S1301" i="2"/>
  <c r="E2352" i="2"/>
  <c r="L1609" i="2"/>
  <c r="H37" i="2"/>
  <c r="U112" i="2"/>
  <c r="M443" i="2"/>
  <c r="D2335" i="2"/>
  <c r="M1260" i="2"/>
  <c r="H1424" i="2"/>
  <c r="M1190" i="2"/>
  <c r="J2388" i="2"/>
  <c r="N1948" i="2"/>
  <c r="F1294" i="2"/>
  <c r="M3062" i="2"/>
  <c r="E2364" i="2"/>
  <c r="D612" i="2"/>
  <c r="M2389" i="2"/>
  <c r="D395" i="2"/>
  <c r="J710" i="2"/>
  <c r="O1094" i="2"/>
  <c r="E419" i="2"/>
  <c r="K2116" i="2"/>
  <c r="W2032" i="2"/>
  <c r="W15" i="2"/>
  <c r="F1213" i="2"/>
  <c r="W2525" i="2"/>
  <c r="U2063" i="2"/>
  <c r="U499" i="2"/>
  <c r="W1488" i="2"/>
  <c r="I2883" i="2"/>
  <c r="W2686" i="2"/>
  <c r="U1507" i="2"/>
  <c r="H1551" i="2"/>
  <c r="E330" i="2"/>
  <c r="E1919" i="2"/>
  <c r="P54" i="2"/>
  <c r="O1658" i="2"/>
  <c r="R1452" i="2"/>
  <c r="F806" i="2"/>
  <c r="U3463" i="2"/>
  <c r="G2110" i="2"/>
  <c r="T545" i="2"/>
  <c r="K2163" i="2"/>
  <c r="K1653" i="2"/>
  <c r="W513" i="2"/>
  <c r="Q2155" i="2"/>
  <c r="V941" i="2"/>
  <c r="W267" i="2"/>
  <c r="H557" i="2"/>
  <c r="Q2022" i="2"/>
  <c r="Q2545" i="2"/>
  <c r="L415" i="2"/>
  <c r="W2146" i="2"/>
  <c r="O712" i="2"/>
  <c r="M645" i="2"/>
  <c r="K2347" i="2"/>
  <c r="E2425" i="2"/>
  <c r="K423" i="2"/>
  <c r="M3009" i="2"/>
  <c r="I615" i="2"/>
  <c r="K1339" i="2"/>
  <c r="P1020" i="2"/>
  <c r="I2456" i="2"/>
  <c r="H375" i="2"/>
  <c r="I667" i="2"/>
  <c r="S981" i="2"/>
  <c r="I733" i="2"/>
  <c r="I13" i="2"/>
  <c r="G2173" i="2"/>
  <c r="I974" i="2"/>
  <c r="V674" i="2"/>
  <c r="Q1088" i="2"/>
  <c r="N1410" i="2"/>
  <c r="T1961" i="2"/>
  <c r="W1634" i="2"/>
  <c r="W2098" i="2"/>
  <c r="C2504" i="2"/>
  <c r="F2706" i="2"/>
  <c r="L272" i="2"/>
  <c r="W495" i="2"/>
  <c r="V1869" i="2"/>
  <c r="D3297" i="2"/>
  <c r="K2238" i="2"/>
  <c r="S1622" i="2"/>
  <c r="Q1790" i="2"/>
  <c r="W2858" i="2"/>
  <c r="E1550" i="2"/>
  <c r="U1265" i="2"/>
  <c r="S368" i="2"/>
  <c r="R2951" i="2"/>
  <c r="O1750" i="2"/>
  <c r="L2277" i="2"/>
  <c r="K1190" i="2"/>
  <c r="M2489" i="2"/>
  <c r="C2636" i="2"/>
  <c r="R3426" i="2"/>
  <c r="W2329" i="2"/>
  <c r="E137" i="2"/>
  <c r="G2191" i="2"/>
  <c r="O257" i="2"/>
  <c r="I640" i="2"/>
  <c r="T1762" i="2"/>
  <c r="N2695" i="2"/>
  <c r="D1121" i="2"/>
  <c r="H482" i="2"/>
  <c r="J680" i="2"/>
  <c r="U2288" i="2"/>
  <c r="C1192" i="2"/>
  <c r="O1668" i="2"/>
  <c r="N1026" i="2"/>
  <c r="R1031" i="2"/>
  <c r="N2034" i="2"/>
  <c r="F1073" i="2"/>
  <c r="G952" i="2"/>
  <c r="P1950" i="2"/>
  <c r="G2189" i="2"/>
  <c r="I680" i="2"/>
  <c r="M1779" i="2"/>
  <c r="N1595" i="2"/>
  <c r="L1552" i="2"/>
  <c r="P760" i="2"/>
  <c r="D1577" i="2"/>
  <c r="H2116" i="2"/>
  <c r="E641" i="2"/>
  <c r="E858" i="2"/>
  <c r="J156" i="2"/>
  <c r="J2371" i="2"/>
  <c r="L525" i="2"/>
  <c r="P1196" i="2"/>
  <c r="Q481" i="2"/>
  <c r="R191" i="2"/>
  <c r="E583" i="2"/>
  <c r="N2728" i="2"/>
  <c r="K1995" i="2"/>
  <c r="L2214" i="2"/>
  <c r="S165" i="2"/>
  <c r="N487" i="2"/>
  <c r="R2322" i="2"/>
  <c r="N2974" i="2"/>
  <c r="P1546" i="2"/>
  <c r="W730" i="2"/>
  <c r="N2885" i="2"/>
  <c r="R1636" i="2"/>
  <c r="O2090" i="2"/>
  <c r="J275" i="2"/>
  <c r="T1971" i="2"/>
  <c r="M836" i="2"/>
  <c r="T1982" i="2"/>
  <c r="F2284" i="2"/>
  <c r="Q2872" i="2"/>
  <c r="C2425" i="2"/>
  <c r="Q858" i="2"/>
  <c r="S121" i="2"/>
  <c r="I824" i="2"/>
  <c r="L82" i="2"/>
  <c r="O2377" i="2"/>
  <c r="L2402" i="2"/>
  <c r="T1809" i="2"/>
  <c r="C2419" i="2"/>
  <c r="K1188" i="2"/>
  <c r="P1579" i="2"/>
  <c r="W1153" i="2"/>
  <c r="U3318" i="2"/>
  <c r="P337" i="2"/>
  <c r="I1949" i="2"/>
  <c r="V2661" i="2"/>
  <c r="M638" i="2"/>
  <c r="S376" i="2"/>
  <c r="K890" i="2"/>
  <c r="M1503" i="2"/>
  <c r="V2761" i="2"/>
  <c r="S2232" i="2"/>
  <c r="P2127" i="2"/>
  <c r="J1673" i="2"/>
  <c r="Q807" i="2"/>
  <c r="S2552" i="2"/>
  <c r="P153" i="2"/>
  <c r="F2072" i="2"/>
  <c r="E1328" i="2"/>
  <c r="D2286" i="2"/>
  <c r="E219" i="2"/>
  <c r="P957" i="2"/>
  <c r="D2064" i="2"/>
  <c r="Q1350" i="2"/>
  <c r="V1419" i="2"/>
  <c r="T515" i="2"/>
  <c r="W1438" i="2"/>
  <c r="D718" i="2"/>
  <c r="U2103" i="2"/>
  <c r="I1270" i="2"/>
  <c r="M565" i="2"/>
  <c r="J1481" i="2"/>
  <c r="C939" i="2"/>
  <c r="Q1665" i="2"/>
  <c r="W1012" i="2"/>
  <c r="C187" i="2"/>
  <c r="F2752" i="2"/>
  <c r="C863" i="2"/>
  <c r="C709" i="2"/>
  <c r="P1296" i="2"/>
  <c r="V2154" i="2"/>
  <c r="V647" i="2"/>
  <c r="S2458" i="2"/>
  <c r="O632" i="2"/>
  <c r="T1645" i="2"/>
  <c r="F1766" i="2"/>
  <c r="N541" i="2"/>
  <c r="C2915" i="2"/>
  <c r="W2372" i="2"/>
  <c r="H1399" i="2"/>
  <c r="I1985" i="2"/>
  <c r="K523" i="2"/>
  <c r="D2429" i="2"/>
  <c r="P648" i="2"/>
  <c r="M1134" i="2"/>
  <c r="O604" i="2"/>
  <c r="C1398" i="2"/>
  <c r="P2593" i="2"/>
  <c r="K312" i="2"/>
  <c r="P1473" i="2"/>
  <c r="R1169" i="2"/>
  <c r="E1279" i="2"/>
  <c r="T1582" i="2"/>
  <c r="S2511" i="2"/>
  <c r="Q892" i="2"/>
  <c r="P495" i="2"/>
  <c r="M853" i="2"/>
  <c r="O2112" i="2"/>
  <c r="M686" i="2"/>
  <c r="M1024" i="2"/>
  <c r="K1971" i="2"/>
  <c r="E1868" i="2"/>
  <c r="U575" i="2"/>
  <c r="L2123" i="2"/>
  <c r="O1160" i="2"/>
  <c r="P1387" i="2"/>
  <c r="V3129" i="2"/>
  <c r="I363" i="2"/>
  <c r="Q1399" i="2"/>
  <c r="M1176" i="2"/>
  <c r="O2905" i="2"/>
  <c r="P1576" i="2"/>
  <c r="J1521" i="2"/>
  <c r="N69" i="2"/>
  <c r="W1912" i="2"/>
  <c r="F1024" i="2"/>
  <c r="L1867" i="2"/>
  <c r="U3009" i="2"/>
  <c r="V620" i="2"/>
  <c r="C432" i="2"/>
  <c r="H1226" i="2"/>
  <c r="Q1135" i="2"/>
  <c r="K453" i="2"/>
  <c r="M840" i="2"/>
  <c r="G2045" i="2"/>
  <c r="S2500" i="2"/>
  <c r="M95" i="2"/>
  <c r="O2683" i="2"/>
  <c r="I805" i="2"/>
  <c r="I2490" i="2"/>
  <c r="T1068" i="2"/>
  <c r="F1008" i="2"/>
  <c r="L261" i="2"/>
  <c r="J2549" i="2"/>
  <c r="C1237" i="2"/>
  <c r="P149" i="2"/>
  <c r="N2832" i="2"/>
  <c r="V2111" i="2"/>
  <c r="L3090" i="2"/>
  <c r="S2034" i="2"/>
  <c r="D1172" i="2"/>
  <c r="U51" i="2"/>
  <c r="M392" i="2"/>
  <c r="G203" i="2"/>
  <c r="N275" i="2"/>
  <c r="I2873" i="2"/>
  <c r="G2089" i="2"/>
  <c r="M1859" i="2"/>
  <c r="R404" i="2"/>
  <c r="C1260" i="2"/>
  <c r="N841" i="2"/>
  <c r="V1543" i="2"/>
  <c r="W758" i="2"/>
  <c r="O590" i="2"/>
  <c r="P1126" i="2"/>
  <c r="E3165" i="2"/>
  <c r="G1714" i="2"/>
  <c r="E715" i="2"/>
  <c r="O2846" i="2"/>
  <c r="M145" i="2"/>
  <c r="P2314" i="2"/>
  <c r="L2298" i="2"/>
  <c r="Q296" i="2"/>
  <c r="S1766" i="2"/>
  <c r="F626" i="2"/>
  <c r="G332" i="2"/>
  <c r="G2978" i="2"/>
  <c r="C2037" i="2"/>
  <c r="F1358" i="2"/>
  <c r="S1569" i="2"/>
  <c r="C1812" i="2"/>
  <c r="K251" i="2"/>
  <c r="V974" i="2"/>
  <c r="R2697" i="2"/>
  <c r="Q2724" i="2"/>
  <c r="T554" i="2"/>
  <c r="F2567" i="2"/>
  <c r="J623" i="2"/>
  <c r="O1964" i="2"/>
  <c r="L183" i="2"/>
  <c r="W1446" i="2"/>
  <c r="H421" i="2"/>
  <c r="M737" i="2"/>
  <c r="S1723" i="2"/>
  <c r="P27" i="2"/>
  <c r="D1983" i="2"/>
  <c r="O1483" i="2"/>
  <c r="R1332" i="2"/>
  <c r="Q487" i="2"/>
  <c r="H2629" i="2"/>
  <c r="S1351" i="2"/>
  <c r="N499" i="2"/>
  <c r="D1113" i="2"/>
  <c r="C2551" i="2"/>
  <c r="H2507" i="2"/>
  <c r="O623" i="2"/>
  <c r="J2055" i="2"/>
  <c r="E239" i="2"/>
  <c r="M141" i="2"/>
  <c r="E3104" i="2"/>
  <c r="U1293" i="2"/>
  <c r="W3378" i="2"/>
  <c r="F1588" i="2"/>
  <c r="F210" i="2"/>
  <c r="E2698" i="2"/>
  <c r="E289" i="2"/>
  <c r="K1434" i="2"/>
  <c r="W614" i="2"/>
  <c r="W905" i="2"/>
  <c r="F667" i="2"/>
  <c r="S920" i="2"/>
  <c r="C2541" i="2"/>
  <c r="U204" i="2"/>
  <c r="V747" i="2"/>
  <c r="K2419" i="2"/>
  <c r="N644" i="2"/>
  <c r="M45" i="2"/>
  <c r="G1569" i="2"/>
  <c r="K1455" i="2"/>
  <c r="Q179" i="2"/>
  <c r="F842" i="2"/>
  <c r="L655" i="2"/>
  <c r="P1716" i="2"/>
  <c r="K48" i="2"/>
  <c r="G669" i="2"/>
  <c r="U1257" i="2"/>
  <c r="U467" i="2"/>
  <c r="S1228" i="2"/>
  <c r="S325" i="2"/>
  <c r="D863" i="2"/>
  <c r="S1402" i="2"/>
  <c r="C33" i="2"/>
  <c r="C2506" i="2"/>
  <c r="G2747" i="2"/>
  <c r="G1927" i="2"/>
  <c r="G2337" i="2"/>
  <c r="F706" i="2"/>
  <c r="J1976" i="2"/>
  <c r="H894" i="2"/>
  <c r="F1165" i="2"/>
  <c r="O1718" i="2"/>
  <c r="D2479" i="2"/>
  <c r="G945" i="2"/>
  <c r="U2335" i="2"/>
  <c r="R1454" i="2"/>
  <c r="S1164" i="2"/>
  <c r="M123" i="2"/>
  <c r="Q1989" i="2"/>
  <c r="F734" i="2"/>
  <c r="C2123" i="2"/>
  <c r="W545" i="2"/>
  <c r="Q1928" i="2"/>
  <c r="V1311" i="2"/>
  <c r="V140" i="2"/>
  <c r="S1120" i="2"/>
  <c r="C1454" i="2"/>
  <c r="N712" i="2"/>
  <c r="O1716" i="2"/>
  <c r="U1096" i="2"/>
  <c r="L2597" i="2"/>
  <c r="M2079" i="2"/>
  <c r="F582" i="2"/>
  <c r="P122" i="2"/>
  <c r="J2566" i="2"/>
  <c r="N3049" i="2"/>
  <c r="N493" i="2"/>
  <c r="J2596" i="2"/>
  <c r="U2833" i="2"/>
  <c r="V114" i="2"/>
  <c r="F1565" i="2"/>
  <c r="G2478" i="2"/>
  <c r="I1589" i="2"/>
  <c r="C3098" i="2"/>
  <c r="L1983" i="2"/>
  <c r="G2794" i="2"/>
  <c r="I2314" i="2"/>
  <c r="K2535" i="2"/>
  <c r="F665" i="2"/>
  <c r="Q537" i="2"/>
  <c r="V2024" i="2"/>
  <c r="N1210" i="2"/>
  <c r="R2962" i="2"/>
  <c r="D1445" i="2"/>
  <c r="L241" i="2"/>
  <c r="T2090" i="2"/>
  <c r="W553" i="2"/>
  <c r="P3033" i="2"/>
  <c r="V2300" i="2"/>
  <c r="K224" i="2"/>
  <c r="L1112" i="2"/>
  <c r="M1736" i="2"/>
  <c r="W2250" i="2"/>
  <c r="O1112" i="2"/>
  <c r="C2002" i="2"/>
  <c r="N535" i="2"/>
  <c r="S1127" i="2"/>
  <c r="T94" i="2"/>
  <c r="L284" i="2"/>
  <c r="R1732" i="2"/>
  <c r="N411" i="2"/>
  <c r="W2337" i="2"/>
  <c r="R2004" i="2"/>
  <c r="Q411" i="2"/>
  <c r="M453" i="2"/>
  <c r="I1414" i="2"/>
  <c r="E754" i="2"/>
  <c r="S2469" i="2"/>
  <c r="R989" i="2"/>
  <c r="N2877" i="2"/>
  <c r="R2696" i="2"/>
  <c r="K813" i="2"/>
  <c r="R1012" i="2"/>
  <c r="D1205" i="2"/>
  <c r="G1377" i="2"/>
  <c r="N2281" i="2"/>
  <c r="O2901" i="2"/>
  <c r="J185" i="2"/>
  <c r="U198" i="2"/>
  <c r="E1740" i="2"/>
  <c r="S2235" i="2"/>
  <c r="M1557" i="2"/>
  <c r="H2153" i="2"/>
  <c r="D7" i="2"/>
  <c r="S2048" i="2"/>
  <c r="N1241" i="2"/>
  <c r="O197" i="2"/>
  <c r="O96" i="2"/>
  <c r="R240" i="2"/>
  <c r="I988" i="2"/>
  <c r="V1076" i="2"/>
  <c r="Q2451" i="2"/>
  <c r="I1535" i="2"/>
  <c r="U1559" i="2"/>
  <c r="J1419" i="2"/>
  <c r="S732" i="2"/>
  <c r="F221" i="2"/>
  <c r="K2273" i="2"/>
  <c r="P271" i="2"/>
  <c r="L315" i="2"/>
  <c r="P1337" i="2"/>
  <c r="W512" i="2"/>
  <c r="H258" i="2"/>
  <c r="O2117" i="2"/>
  <c r="H1491" i="2"/>
  <c r="V2533" i="2"/>
  <c r="V2045" i="2"/>
  <c r="Q1956" i="2"/>
  <c r="C1387" i="2"/>
  <c r="F925" i="2"/>
  <c r="H4" i="2"/>
  <c r="J1437" i="2"/>
  <c r="S2313" i="2"/>
  <c r="F245" i="2"/>
  <c r="C2254" i="2"/>
  <c r="T1460" i="2"/>
  <c r="I536" i="2"/>
  <c r="C561" i="2"/>
  <c r="O954" i="2"/>
  <c r="T231" i="2"/>
  <c r="F1654" i="2"/>
  <c r="S2375" i="2"/>
  <c r="M1685" i="2"/>
  <c r="D3279" i="2"/>
  <c r="I1726" i="2"/>
  <c r="L695" i="2"/>
  <c r="T841" i="2"/>
  <c r="Q2178" i="2"/>
  <c r="R1757" i="2"/>
  <c r="I622" i="2"/>
  <c r="R1983" i="2"/>
  <c r="L243" i="2"/>
  <c r="K2306" i="2"/>
  <c r="F1795" i="2"/>
  <c r="S1856" i="2"/>
  <c r="G1329" i="2"/>
  <c r="I2693" i="2"/>
  <c r="E2478" i="2"/>
  <c r="C406" i="2"/>
  <c r="D1589" i="2"/>
  <c r="R2133" i="2"/>
  <c r="O2395" i="2"/>
  <c r="F147" i="2"/>
  <c r="C995" i="2"/>
  <c r="E1832" i="2"/>
  <c r="L1060" i="2"/>
  <c r="H2447" i="2"/>
  <c r="F1467" i="2"/>
  <c r="E738" i="2"/>
  <c r="J776" i="2"/>
  <c r="V1606" i="2"/>
  <c r="W2040" i="2"/>
  <c r="U874" i="2"/>
  <c r="V1474" i="2"/>
  <c r="W753" i="2"/>
  <c r="V1210" i="2"/>
  <c r="R465" i="2"/>
  <c r="O2043" i="2"/>
  <c r="J2574" i="2"/>
  <c r="H2984" i="2"/>
  <c r="N1832" i="2"/>
  <c r="H106" i="2"/>
  <c r="Q3034" i="2"/>
  <c r="Q686" i="2"/>
  <c r="C2817" i="2"/>
  <c r="E3409" i="2"/>
  <c r="S3000" i="2"/>
  <c r="E892" i="2"/>
  <c r="L806" i="2"/>
  <c r="H2007" i="2"/>
  <c r="P438" i="2"/>
  <c r="L1321" i="2"/>
  <c r="H1049" i="2"/>
  <c r="V514" i="2"/>
  <c r="G1938" i="2"/>
  <c r="J2648" i="2"/>
  <c r="R2273" i="2"/>
  <c r="R2572" i="2"/>
  <c r="I557" i="2"/>
  <c r="K253" i="2"/>
  <c r="P1067" i="2"/>
  <c r="J877" i="2"/>
  <c r="E1483" i="2"/>
  <c r="L1240" i="2"/>
  <c r="E2378" i="2"/>
  <c r="I596" i="2"/>
  <c r="H1781" i="2"/>
  <c r="K1627" i="2"/>
  <c r="V2426" i="2"/>
  <c r="H135" i="2"/>
  <c r="K2169" i="2"/>
  <c r="N288" i="2"/>
  <c r="Q1958" i="2"/>
  <c r="J492" i="2"/>
  <c r="L1949" i="2"/>
  <c r="V910" i="2"/>
  <c r="F1849" i="2"/>
  <c r="W1713" i="2"/>
  <c r="U613" i="2"/>
  <c r="K2918" i="2"/>
  <c r="D695" i="2"/>
  <c r="F3092" i="2"/>
  <c r="G2594" i="2"/>
  <c r="E1951" i="2"/>
  <c r="S1032" i="2"/>
  <c r="C2745" i="2"/>
  <c r="V964" i="2"/>
  <c r="E295" i="2"/>
  <c r="C125" i="2"/>
  <c r="O990" i="2"/>
  <c r="N1342" i="2"/>
  <c r="D943" i="2"/>
  <c r="R2889" i="2"/>
  <c r="V1208" i="2"/>
  <c r="T440" i="2"/>
  <c r="I1942" i="2"/>
  <c r="Q2009" i="2"/>
  <c r="V2307" i="2"/>
  <c r="U2618" i="2"/>
  <c r="C2000" i="2"/>
  <c r="S317" i="2"/>
  <c r="U1415" i="2"/>
  <c r="K1187" i="2"/>
  <c r="T2297" i="2"/>
  <c r="O1135" i="2"/>
  <c r="I664" i="2"/>
  <c r="H2066" i="2"/>
  <c r="G568" i="2"/>
  <c r="S2247" i="2"/>
  <c r="C1858" i="2"/>
  <c r="T2452" i="2"/>
  <c r="L1506" i="2"/>
  <c r="K2590" i="2"/>
  <c r="W1495" i="2"/>
  <c r="I95" i="2"/>
  <c r="N1148" i="2"/>
  <c r="R1989" i="2"/>
  <c r="E2113" i="2"/>
  <c r="W2691" i="2"/>
  <c r="Q1633" i="2"/>
  <c r="E2012" i="2"/>
  <c r="I262" i="2"/>
  <c r="U1198" i="2"/>
  <c r="T1859" i="2"/>
  <c r="L741" i="2"/>
  <c r="I2602" i="2"/>
  <c r="V1759" i="2"/>
  <c r="V510" i="2"/>
  <c r="Q314" i="2"/>
  <c r="T1609" i="2"/>
  <c r="L1527" i="2"/>
  <c r="Q1151" i="2"/>
  <c r="U1007" i="2"/>
  <c r="I3521" i="2"/>
  <c r="R2596" i="2"/>
  <c r="F287" i="2"/>
  <c r="D1088" i="2"/>
  <c r="S1024" i="2"/>
  <c r="J928" i="2"/>
  <c r="V553" i="2"/>
  <c r="E203" i="2"/>
  <c r="K1485" i="2"/>
  <c r="H1648" i="2"/>
  <c r="W1631" i="2"/>
  <c r="J1040" i="2"/>
  <c r="W2208" i="2"/>
  <c r="V1834" i="2"/>
  <c r="O2179" i="2"/>
  <c r="O2447" i="2"/>
  <c r="P212" i="2"/>
  <c r="P1869" i="2"/>
  <c r="I556" i="2"/>
  <c r="H269" i="2"/>
  <c r="P614" i="2"/>
  <c r="W1694" i="2"/>
  <c r="F685" i="2"/>
  <c r="C2415" i="2"/>
  <c r="I2153" i="2"/>
  <c r="O2423" i="2"/>
  <c r="V1852" i="2"/>
  <c r="C1659" i="2"/>
  <c r="H2391" i="2"/>
  <c r="P2166" i="2"/>
  <c r="P196" i="2"/>
  <c r="L2976" i="2"/>
  <c r="G1528" i="2"/>
  <c r="P907" i="2"/>
  <c r="S1038" i="2"/>
  <c r="N3449" i="2"/>
  <c r="H2608" i="2"/>
  <c r="F2630" i="2"/>
  <c r="Q1429" i="2"/>
  <c r="T2149" i="2"/>
  <c r="M1318" i="2"/>
  <c r="H1298" i="2"/>
  <c r="O777" i="2"/>
  <c r="F723" i="2"/>
  <c r="F815" i="2"/>
  <c r="I1479" i="2"/>
  <c r="V581" i="2"/>
  <c r="U1591" i="2"/>
  <c r="F2204" i="2"/>
  <c r="L1362" i="2"/>
  <c r="I3075" i="2"/>
  <c r="I85" i="2"/>
  <c r="O312" i="2"/>
  <c r="O1443" i="2"/>
  <c r="C723" i="2"/>
  <c r="F385" i="2"/>
  <c r="D1875" i="2"/>
  <c r="O886" i="2"/>
  <c r="T987" i="2"/>
  <c r="Q752" i="2"/>
  <c r="W2451" i="2"/>
  <c r="O116" i="2"/>
  <c r="Q2653" i="2"/>
  <c r="F873" i="2"/>
  <c r="I2563" i="2"/>
  <c r="I249" i="2"/>
  <c r="T1449" i="2"/>
  <c r="D126" i="2"/>
  <c r="N184" i="2"/>
  <c r="Q930" i="2"/>
  <c r="U1404" i="2"/>
  <c r="R1442" i="2"/>
  <c r="L2313" i="2"/>
  <c r="O2665" i="2"/>
  <c r="C237" i="2"/>
  <c r="J2087" i="2"/>
  <c r="L259" i="2"/>
  <c r="U146" i="2"/>
  <c r="H2537" i="2"/>
  <c r="N491" i="2"/>
  <c r="K591" i="2"/>
  <c r="F87" i="2"/>
  <c r="V15" i="2"/>
  <c r="N1576" i="2"/>
  <c r="S2626" i="2"/>
  <c r="H1517" i="2"/>
  <c r="F1902" i="2"/>
  <c r="G785" i="2"/>
  <c r="V483" i="2"/>
  <c r="J2320" i="2"/>
  <c r="S611" i="2"/>
  <c r="U188" i="2"/>
  <c r="C2483" i="2"/>
  <c r="V948" i="2"/>
  <c r="K2870" i="2"/>
  <c r="O147" i="2"/>
  <c r="P3128" i="2"/>
  <c r="K2704" i="2"/>
  <c r="Q186" i="2"/>
  <c r="E3024" i="2"/>
  <c r="L164" i="2"/>
  <c r="P290" i="2"/>
  <c r="S2662" i="2"/>
  <c r="C2902" i="2"/>
  <c r="T52" i="2"/>
  <c r="T465" i="2"/>
  <c r="L136" i="2"/>
  <c r="M2583" i="2"/>
  <c r="W136" i="2"/>
  <c r="R2160" i="2"/>
  <c r="P669" i="2"/>
  <c r="N2133" i="2"/>
  <c r="W1987" i="2"/>
  <c r="F119" i="2"/>
  <c r="H2313" i="2"/>
  <c r="H2005" i="2"/>
  <c r="U574" i="2"/>
  <c r="O2973" i="2"/>
  <c r="V90" i="2"/>
  <c r="F653" i="2"/>
  <c r="O322" i="2"/>
  <c r="D211" i="2"/>
  <c r="T697" i="2"/>
  <c r="O1117" i="2"/>
  <c r="G3077" i="2"/>
  <c r="P2338" i="2"/>
  <c r="R1826" i="2"/>
  <c r="J850" i="2"/>
  <c r="J1604" i="2"/>
  <c r="U210" i="2"/>
  <c r="J683" i="2"/>
  <c r="T2571" i="2"/>
  <c r="O12" i="2"/>
  <c r="R1272" i="2"/>
  <c r="Q1008" i="2"/>
  <c r="E1037" i="2"/>
  <c r="W890" i="2"/>
  <c r="H436" i="2"/>
  <c r="U196" i="2"/>
  <c r="W167" i="2"/>
  <c r="T1912" i="2"/>
  <c r="H1278" i="2"/>
  <c r="P2412" i="2"/>
  <c r="Q961" i="2"/>
  <c r="L1713" i="2"/>
  <c r="K947" i="2"/>
  <c r="C1488" i="2"/>
  <c r="V869" i="2"/>
  <c r="W2357" i="2"/>
  <c r="P1492" i="2"/>
  <c r="H538" i="2"/>
  <c r="I520" i="2"/>
  <c r="I2154" i="2"/>
  <c r="R1870" i="2"/>
  <c r="R1030" i="2"/>
  <c r="H1395" i="2"/>
  <c r="C2140" i="2"/>
  <c r="W1594" i="2"/>
  <c r="V1108" i="2"/>
  <c r="E1730" i="2"/>
  <c r="V927" i="2"/>
  <c r="D1038" i="2"/>
  <c r="C2269" i="2"/>
  <c r="R2987" i="2"/>
  <c r="H2745" i="2"/>
  <c r="S3134" i="2"/>
  <c r="T1088" i="2"/>
  <c r="Q2356" i="2"/>
  <c r="N457" i="2"/>
  <c r="I993" i="2"/>
  <c r="U2496" i="2"/>
  <c r="U2131" i="2"/>
  <c r="P1797" i="2"/>
  <c r="P512" i="2"/>
  <c r="D117" i="2"/>
  <c r="J2438" i="2"/>
  <c r="M120" i="2"/>
  <c r="P145" i="2"/>
  <c r="T3225" i="2"/>
  <c r="O1406" i="2"/>
  <c r="K1806" i="2"/>
  <c r="M1811" i="2"/>
  <c r="M627" i="2"/>
  <c r="N3198" i="2"/>
  <c r="S1160" i="2"/>
  <c r="C2543" i="2"/>
  <c r="U1159" i="2"/>
  <c r="K2557" i="2"/>
  <c r="V2818" i="2"/>
  <c r="W2743" i="2"/>
  <c r="V1944" i="2"/>
  <c r="D826" i="2"/>
  <c r="G1125" i="2"/>
  <c r="V2623" i="2"/>
  <c r="F280" i="2"/>
  <c r="U1304" i="2"/>
  <c r="U3189" i="2"/>
  <c r="C1879" i="2"/>
  <c r="C2823" i="2"/>
  <c r="V1871" i="2"/>
  <c r="E2729" i="2"/>
  <c r="P1032" i="2"/>
  <c r="E1807" i="2"/>
  <c r="E1793" i="2"/>
  <c r="V726" i="2"/>
  <c r="D888" i="2"/>
  <c r="M1027" i="2"/>
  <c r="U351" i="2"/>
  <c r="R380" i="2"/>
  <c r="O802" i="2"/>
  <c r="E268" i="2"/>
  <c r="Q1052" i="2"/>
  <c r="I2036" i="2"/>
  <c r="S2153" i="2"/>
  <c r="K713" i="2"/>
  <c r="I35" i="2"/>
  <c r="W2558" i="2"/>
  <c r="C1790" i="2"/>
  <c r="N61" i="2"/>
  <c r="C755" i="2"/>
  <c r="K1845" i="2"/>
  <c r="G2629" i="2"/>
  <c r="R441" i="2"/>
  <c r="I1106" i="2"/>
  <c r="D638" i="2"/>
  <c r="W974" i="2"/>
  <c r="O1275" i="2"/>
  <c r="T744" i="2"/>
  <c r="Q1686" i="2"/>
  <c r="C885" i="2"/>
  <c r="L1614" i="2"/>
  <c r="V1399" i="2"/>
  <c r="N2349" i="2"/>
  <c r="E392" i="2"/>
  <c r="E1366" i="2"/>
  <c r="R1419" i="2"/>
  <c r="D1954" i="2"/>
  <c r="U1566" i="2"/>
  <c r="I697" i="2"/>
  <c r="O786" i="2"/>
  <c r="D1145" i="2"/>
  <c r="H906" i="2"/>
  <c r="V456" i="2"/>
  <c r="I913" i="2"/>
  <c r="K1065" i="2"/>
  <c r="T290" i="2"/>
  <c r="Q364" i="2"/>
  <c r="O650" i="2"/>
  <c r="V1677" i="2"/>
  <c r="G1034" i="2"/>
  <c r="G1284" i="2"/>
  <c r="K170" i="2"/>
  <c r="D3115" i="2"/>
  <c r="G1276" i="2"/>
  <c r="T2088" i="2"/>
  <c r="J2353" i="2"/>
  <c r="N1074" i="2"/>
  <c r="J2050" i="2"/>
  <c r="S10" i="2"/>
  <c r="I2463" i="2"/>
  <c r="S813" i="2"/>
  <c r="S278" i="2"/>
  <c r="M930" i="2"/>
  <c r="C1317" i="2"/>
  <c r="S967" i="2"/>
  <c r="T469" i="2"/>
  <c r="S730" i="2"/>
  <c r="S1008" i="2"/>
  <c r="T799" i="2"/>
  <c r="P1392" i="2"/>
  <c r="P2513" i="2"/>
  <c r="H188" i="2"/>
  <c r="N1734" i="2"/>
  <c r="R172" i="2"/>
  <c r="K2031" i="2"/>
  <c r="K1446" i="2"/>
  <c r="O24" i="2"/>
  <c r="Q814" i="2"/>
  <c r="I1260" i="2"/>
  <c r="P67" i="2"/>
  <c r="E317" i="2"/>
  <c r="S1624" i="2"/>
  <c r="Q1667" i="2"/>
  <c r="M1123" i="2"/>
  <c r="L3378" i="2"/>
  <c r="U2934" i="2"/>
  <c r="D1801" i="2"/>
  <c r="W3101" i="2"/>
  <c r="T1825" i="2"/>
  <c r="F213" i="2"/>
  <c r="G239" i="2"/>
  <c r="V1037" i="2"/>
  <c r="S1934" i="2"/>
  <c r="P1235" i="2"/>
  <c r="C321" i="2"/>
  <c r="E2383" i="2"/>
  <c r="R2393" i="2"/>
  <c r="C701" i="2"/>
  <c r="V1398" i="2"/>
  <c r="V322" i="2"/>
  <c r="C1632" i="2"/>
  <c r="O201" i="2"/>
  <c r="R1903" i="2"/>
  <c r="Q1485" i="2"/>
  <c r="D874" i="2"/>
  <c r="E366" i="2"/>
  <c r="T2796" i="2"/>
  <c r="G473" i="2"/>
  <c r="E1161" i="2"/>
  <c r="R832" i="2"/>
  <c r="R1016" i="2"/>
  <c r="W280" i="2"/>
  <c r="R27" i="2"/>
  <c r="Q603" i="2"/>
  <c r="J2196" i="2"/>
  <c r="U2826" i="2"/>
  <c r="J3179" i="2"/>
  <c r="H882" i="2"/>
  <c r="J3089" i="2"/>
  <c r="H1489" i="2"/>
  <c r="E1976" i="2"/>
  <c r="T2236" i="2"/>
  <c r="L538" i="2"/>
  <c r="G1347" i="2"/>
  <c r="E719" i="2"/>
  <c r="T2178" i="2"/>
  <c r="P974" i="2"/>
  <c r="V2820" i="2"/>
  <c r="R2067" i="2"/>
  <c r="U540" i="2"/>
  <c r="T43" i="2"/>
  <c r="J1418" i="2"/>
  <c r="S1078" i="2"/>
  <c r="P536" i="2"/>
  <c r="H2420" i="2"/>
  <c r="P1322" i="2"/>
  <c r="D2395" i="2"/>
  <c r="J803" i="2"/>
  <c r="N2251" i="2"/>
  <c r="G2137" i="2"/>
  <c r="F568" i="2"/>
  <c r="M2207" i="2"/>
  <c r="Q1371" i="2"/>
  <c r="H1074" i="2"/>
  <c r="N324" i="2"/>
  <c r="I479" i="2"/>
  <c r="M580" i="2"/>
  <c r="L1806" i="2"/>
  <c r="K2596" i="2"/>
  <c r="K437" i="2"/>
  <c r="C2408" i="2"/>
  <c r="O167" i="2"/>
  <c r="Q2828" i="2"/>
  <c r="U1610" i="2"/>
  <c r="R1783" i="2"/>
  <c r="F940" i="2"/>
  <c r="K435" i="2"/>
  <c r="E594" i="2"/>
  <c r="R2410" i="2"/>
  <c r="R2929" i="2"/>
  <c r="L53" i="2"/>
  <c r="D2183" i="2"/>
  <c r="D532" i="2"/>
  <c r="G1724" i="2"/>
  <c r="P2003" i="2"/>
  <c r="R1207" i="2"/>
  <c r="Q1762" i="2"/>
  <c r="W597" i="2"/>
  <c r="U515" i="2"/>
  <c r="K327" i="2"/>
  <c r="R282" i="2"/>
  <c r="N1129" i="2"/>
  <c r="W2048" i="2"/>
  <c r="O2538" i="2"/>
  <c r="T365" i="2"/>
  <c r="Q1576" i="2"/>
  <c r="H2024" i="2"/>
  <c r="O1436" i="2"/>
  <c r="G1404" i="2"/>
  <c r="H1050" i="2"/>
  <c r="M1739" i="2"/>
  <c r="J1639" i="2"/>
  <c r="T2042" i="2"/>
  <c r="U335" i="2"/>
  <c r="P525" i="2"/>
  <c r="O491" i="2"/>
  <c r="C2213" i="2"/>
  <c r="C1411" i="2"/>
  <c r="D111" i="2"/>
  <c r="I1543" i="2"/>
  <c r="M992" i="2"/>
  <c r="V924" i="2"/>
  <c r="P685" i="2"/>
  <c r="W1603" i="2"/>
  <c r="P1758" i="2"/>
  <c r="F524" i="2"/>
  <c r="W696" i="2"/>
  <c r="J2135" i="2"/>
  <c r="H2018" i="2"/>
  <c r="S519" i="2"/>
  <c r="K140" i="2"/>
  <c r="O1380" i="2"/>
  <c r="G1629" i="2"/>
  <c r="V2608" i="2"/>
  <c r="V1921" i="2"/>
  <c r="M867" i="2"/>
  <c r="H2504" i="2"/>
  <c r="U628" i="2"/>
  <c r="L280" i="2"/>
  <c r="K1903" i="2"/>
  <c r="S199" i="2"/>
  <c r="Q830" i="2"/>
  <c r="C1817" i="2"/>
  <c r="W2439" i="2"/>
  <c r="E1221" i="2"/>
  <c r="S1072" i="2"/>
  <c r="J75" i="2"/>
  <c r="D477" i="2"/>
  <c r="H997" i="2"/>
  <c r="M1691" i="2"/>
  <c r="C2555" i="2"/>
  <c r="F2338" i="2"/>
  <c r="I856" i="2"/>
  <c r="D1838" i="2"/>
  <c r="M1747" i="2"/>
  <c r="Q1957" i="2"/>
  <c r="Q2086" i="2"/>
  <c r="I1901" i="2"/>
  <c r="U328" i="2"/>
  <c r="I2049" i="2"/>
  <c r="D481" i="2"/>
  <c r="C308" i="2"/>
  <c r="V2391" i="2"/>
  <c r="S330" i="2"/>
  <c r="E3425" i="2"/>
  <c r="E1154" i="2"/>
  <c r="V54" i="2"/>
  <c r="T620" i="2"/>
  <c r="D1524" i="2"/>
  <c r="H1564" i="2"/>
  <c r="O33" i="2"/>
  <c r="S830" i="2"/>
  <c r="K270" i="2"/>
  <c r="E597" i="2"/>
  <c r="H24" i="2"/>
  <c r="N3072" i="2"/>
  <c r="F35" i="2"/>
  <c r="D2796" i="2"/>
  <c r="V3315" i="2"/>
  <c r="T2694" i="2"/>
  <c r="G3030" i="2"/>
  <c r="W3149" i="2"/>
  <c r="K389" i="2"/>
  <c r="L2038" i="2"/>
  <c r="N1245" i="2"/>
  <c r="G2612" i="2"/>
  <c r="S375" i="2"/>
  <c r="U1091" i="2"/>
  <c r="Q1127" i="2"/>
  <c r="C242" i="2"/>
  <c r="G804" i="2"/>
  <c r="T2146" i="2"/>
  <c r="V1349" i="2"/>
  <c r="U2633" i="2"/>
  <c r="D2071" i="2"/>
  <c r="V1052" i="2"/>
  <c r="O949" i="2"/>
  <c r="I528" i="2"/>
  <c r="W124" i="2"/>
  <c r="E280" i="2"/>
  <c r="H2553" i="2"/>
  <c r="I1176" i="2"/>
  <c r="J322" i="2"/>
  <c r="J2678" i="2"/>
  <c r="S1389" i="2"/>
  <c r="I1666" i="2"/>
  <c r="I1979" i="2"/>
  <c r="G702" i="2"/>
  <c r="L131" i="2"/>
  <c r="T245" i="2"/>
  <c r="E2980" i="2"/>
  <c r="L178" i="2"/>
  <c r="S282" i="2"/>
  <c r="P2678" i="2"/>
  <c r="F1875" i="2"/>
  <c r="U740" i="2"/>
  <c r="S1745" i="2"/>
  <c r="V304" i="2"/>
  <c r="F950" i="2"/>
  <c r="S2212" i="2"/>
  <c r="P1103" i="2"/>
  <c r="G1692" i="2"/>
  <c r="T427" i="2"/>
  <c r="M2324" i="2"/>
  <c r="K1841" i="2"/>
  <c r="H1407" i="2"/>
  <c r="H638" i="2"/>
  <c r="T949" i="2"/>
  <c r="N615" i="2"/>
  <c r="E38" i="2"/>
  <c r="S2927" i="2"/>
  <c r="P2840" i="2"/>
  <c r="D559" i="2"/>
  <c r="F1934" i="2"/>
  <c r="M2582" i="2"/>
  <c r="H2267" i="2"/>
  <c r="W1671" i="2"/>
  <c r="I2600" i="2"/>
  <c r="G610" i="2"/>
  <c r="S2821" i="2"/>
  <c r="U2737" i="2"/>
  <c r="S1727" i="2"/>
  <c r="H1259" i="2"/>
  <c r="O448" i="2"/>
  <c r="P1911" i="2"/>
  <c r="F1505" i="2"/>
  <c r="I1091" i="2"/>
  <c r="V361" i="2"/>
  <c r="R470" i="2"/>
  <c r="J1691" i="2"/>
  <c r="F350" i="2"/>
  <c r="F2069" i="2"/>
  <c r="C1665" i="2"/>
  <c r="P927" i="2"/>
  <c r="G13" i="2"/>
  <c r="K1753" i="2"/>
  <c r="I580" i="2"/>
  <c r="K1922" i="2"/>
  <c r="K1799" i="2"/>
  <c r="S405" i="2"/>
  <c r="R1812" i="2"/>
  <c r="E1375" i="2"/>
  <c r="J289" i="2"/>
  <c r="J435" i="2"/>
  <c r="O2670" i="2"/>
  <c r="T1406" i="2"/>
  <c r="O571" i="2"/>
  <c r="F1200" i="2"/>
  <c r="F1386" i="2"/>
  <c r="P1304" i="2"/>
  <c r="D1003" i="2"/>
  <c r="I775" i="2"/>
  <c r="G197" i="2"/>
  <c r="R647" i="2"/>
  <c r="V1201" i="2"/>
  <c r="F58" i="2"/>
  <c r="T1984" i="2"/>
  <c r="N1690" i="2"/>
  <c r="J2903" i="2"/>
  <c r="D790" i="2"/>
  <c r="D342" i="2"/>
  <c r="D2714" i="2"/>
  <c r="W1822" i="2"/>
  <c r="V852" i="2"/>
  <c r="L697" i="2"/>
  <c r="N790" i="2"/>
  <c r="N510" i="2"/>
  <c r="K1807" i="2"/>
  <c r="E1827" i="2"/>
  <c r="N17" i="2"/>
  <c r="V429" i="2"/>
  <c r="L2105" i="2"/>
  <c r="N2008" i="2"/>
  <c r="N471" i="2"/>
  <c r="N129" i="2"/>
  <c r="K2466" i="2"/>
  <c r="K1503" i="2"/>
  <c r="I1346" i="2"/>
  <c r="S122" i="2"/>
  <c r="T2326" i="2"/>
  <c r="S3322" i="2"/>
  <c r="H1543" i="2"/>
  <c r="S2328" i="2"/>
  <c r="O2362" i="2"/>
  <c r="W2161" i="2"/>
  <c r="W1135" i="2"/>
  <c r="H2791" i="2"/>
  <c r="I61" i="2"/>
  <c r="G1618" i="2"/>
  <c r="E1403" i="2"/>
  <c r="J868" i="2"/>
  <c r="J1598" i="2"/>
  <c r="V347" i="2"/>
  <c r="D168" i="2"/>
  <c r="O1770" i="2"/>
  <c r="D2548" i="2"/>
  <c r="G1022" i="2"/>
  <c r="N2483" i="2"/>
  <c r="M137" i="2"/>
  <c r="D2811" i="2"/>
  <c r="H455" i="2"/>
  <c r="L822" i="2"/>
  <c r="F684" i="2"/>
  <c r="U1869" i="2"/>
  <c r="P225" i="2"/>
  <c r="M234" i="2"/>
  <c r="O134" i="2"/>
  <c r="S2420" i="2"/>
  <c r="I1813" i="2"/>
  <c r="T1500" i="2"/>
  <c r="U2840" i="2"/>
  <c r="C1054" i="2"/>
  <c r="F85" i="2"/>
  <c r="P561" i="2"/>
  <c r="Q133" i="2"/>
  <c r="V996" i="2"/>
  <c r="N946" i="2"/>
  <c r="H1229" i="2"/>
  <c r="G2957" i="2"/>
  <c r="O2526" i="2"/>
  <c r="L1870" i="2"/>
  <c r="W931" i="2"/>
  <c r="J865" i="2"/>
  <c r="G2831" i="2"/>
  <c r="U1057" i="2"/>
  <c r="U1303" i="2"/>
  <c r="P1089" i="2"/>
  <c r="F2680" i="2"/>
  <c r="T1715" i="2"/>
  <c r="D1679" i="2"/>
  <c r="J854" i="2"/>
  <c r="W510" i="2"/>
  <c r="E1399" i="2"/>
  <c r="Q153" i="2"/>
  <c r="O1888" i="2"/>
  <c r="D137" i="2"/>
  <c r="O3083" i="2"/>
  <c r="E659" i="2"/>
  <c r="U710" i="2"/>
  <c r="E1733" i="2"/>
  <c r="D2490" i="2"/>
  <c r="C1956" i="2"/>
  <c r="V1552" i="2"/>
  <c r="R2716" i="2"/>
  <c r="K2017" i="2"/>
  <c r="N2822" i="2"/>
  <c r="W1965" i="2"/>
  <c r="V1732" i="2"/>
  <c r="O838" i="2"/>
  <c r="F3411" i="2"/>
  <c r="M1996" i="2"/>
  <c r="W3012" i="2"/>
  <c r="Q859" i="2"/>
  <c r="M499" i="2"/>
  <c r="S1348" i="2"/>
  <c r="J2952" i="2"/>
  <c r="N2011" i="2"/>
  <c r="V107" i="2"/>
  <c r="P1286" i="2"/>
  <c r="C2005" i="2"/>
  <c r="K2262" i="2"/>
  <c r="M1141" i="2"/>
  <c r="V1087" i="2"/>
  <c r="H117" i="2"/>
  <c r="P277" i="2"/>
  <c r="I1400" i="2"/>
  <c r="Q1324" i="2"/>
  <c r="T825" i="2"/>
  <c r="S2280" i="2"/>
  <c r="F292" i="2"/>
  <c r="I674" i="2"/>
  <c r="I2316" i="2"/>
  <c r="G657" i="2"/>
  <c r="P18" i="2"/>
  <c r="R131" i="2"/>
  <c r="K1010" i="2"/>
  <c r="C462" i="2"/>
  <c r="R873" i="2"/>
  <c r="J2389" i="2"/>
  <c r="W1564" i="2"/>
  <c r="L549" i="2"/>
  <c r="H2091" i="2"/>
  <c r="M1498" i="2"/>
  <c r="T1149" i="2"/>
  <c r="S2966" i="2"/>
  <c r="E690" i="2"/>
  <c r="G2698" i="2"/>
  <c r="T574" i="2"/>
  <c r="U1126" i="2"/>
  <c r="O1222" i="2"/>
  <c r="C1476" i="2"/>
  <c r="U2347" i="2"/>
  <c r="S681" i="2"/>
  <c r="N531" i="2"/>
  <c r="D1868" i="2"/>
  <c r="L37" i="2"/>
  <c r="E3056" i="2"/>
  <c r="U2716" i="2"/>
  <c r="K1140" i="2"/>
  <c r="M845" i="2"/>
  <c r="P2071" i="2"/>
  <c r="P15" i="2"/>
  <c r="V166" i="2"/>
  <c r="J624" i="2"/>
  <c r="D2887" i="2"/>
  <c r="F864" i="2"/>
  <c r="P694" i="2"/>
  <c r="T483" i="2"/>
  <c r="N928" i="2"/>
  <c r="Q1018" i="2"/>
  <c r="I785" i="2"/>
  <c r="H3149" i="2"/>
  <c r="T293" i="2"/>
  <c r="E1790" i="2"/>
  <c r="M3055" i="2"/>
  <c r="O2146" i="2"/>
  <c r="L950" i="2"/>
  <c r="J3259" i="2"/>
  <c r="R1251" i="2"/>
  <c r="G1345" i="2"/>
  <c r="T1498" i="2"/>
  <c r="P1904" i="2"/>
  <c r="E236" i="2"/>
  <c r="C1787" i="2"/>
  <c r="I102" i="2"/>
  <c r="I1142" i="2"/>
  <c r="E760" i="2"/>
  <c r="T847" i="2"/>
  <c r="L1008" i="2"/>
  <c r="Q1922" i="2"/>
  <c r="H1306" i="2"/>
  <c r="M1821" i="2"/>
  <c r="L905" i="2"/>
  <c r="M169" i="2"/>
  <c r="S731" i="2"/>
  <c r="U2461" i="2"/>
  <c r="K92" i="2"/>
  <c r="O1180" i="2"/>
  <c r="J671" i="2"/>
  <c r="L41" i="2"/>
  <c r="H1858" i="2"/>
  <c r="E2110" i="2"/>
  <c r="I2272" i="2"/>
  <c r="V546" i="2"/>
  <c r="V791" i="2"/>
  <c r="Q2193" i="2"/>
  <c r="J3136" i="2"/>
  <c r="K521" i="2"/>
  <c r="P3113" i="2"/>
  <c r="J2694" i="2"/>
  <c r="C2943" i="2"/>
  <c r="T2631" i="2"/>
  <c r="S2422" i="2"/>
  <c r="I2189" i="2"/>
  <c r="H1163" i="2"/>
  <c r="Q1614" i="2"/>
  <c r="U1541" i="2"/>
  <c r="O2243" i="2"/>
  <c r="D1199" i="2"/>
  <c r="I2924" i="2"/>
  <c r="L1213" i="2"/>
  <c r="G842" i="2"/>
  <c r="O918" i="2"/>
  <c r="P781" i="2"/>
  <c r="K445" i="2"/>
  <c r="R1122" i="2"/>
  <c r="Q1742" i="2"/>
  <c r="M1808" i="2"/>
  <c r="P1486" i="2"/>
  <c r="S955" i="2"/>
  <c r="U2831" i="2"/>
  <c r="C2309" i="2"/>
  <c r="D1930" i="2"/>
  <c r="O1549" i="2"/>
  <c r="I1239" i="2"/>
  <c r="K2321" i="2"/>
  <c r="D1943" i="2"/>
  <c r="M154" i="2"/>
  <c r="D3069" i="2"/>
  <c r="D1885" i="2"/>
  <c r="L2224" i="2"/>
  <c r="D2103" i="2"/>
  <c r="V2157" i="2"/>
  <c r="H2115" i="2"/>
  <c r="P2526" i="2"/>
  <c r="H75" i="2"/>
  <c r="L1570" i="2"/>
  <c r="U1173" i="2"/>
  <c r="R345" i="2"/>
  <c r="O72" i="2"/>
  <c r="H1943" i="2"/>
  <c r="K1662" i="2"/>
  <c r="O1800" i="2"/>
  <c r="O2305" i="2"/>
  <c r="N2541" i="2"/>
  <c r="N1220" i="2"/>
  <c r="I480" i="2"/>
  <c r="S743" i="2"/>
  <c r="U1743" i="2"/>
  <c r="M2450" i="2"/>
  <c r="V2151" i="2"/>
  <c r="N58" i="2"/>
  <c r="L611" i="2"/>
  <c r="T2512" i="2"/>
  <c r="O1284" i="2"/>
  <c r="R1359" i="2"/>
  <c r="P427" i="2"/>
  <c r="D3" i="2"/>
  <c r="V3405" i="2"/>
  <c r="V1768" i="2"/>
  <c r="V2586" i="2"/>
  <c r="V2851" i="2"/>
  <c r="I1877" i="2"/>
  <c r="R2500" i="2"/>
  <c r="E2074" i="2"/>
  <c r="Q2302" i="2"/>
  <c r="F173" i="2"/>
  <c r="V693" i="2"/>
  <c r="G572" i="2"/>
  <c r="K1117" i="2"/>
  <c r="G1258" i="2"/>
  <c r="D858" i="2"/>
  <c r="W1736" i="2"/>
  <c r="H2326" i="2"/>
  <c r="I233" i="2"/>
  <c r="U2332" i="2"/>
  <c r="R1051" i="2"/>
  <c r="N626" i="2"/>
  <c r="U853" i="2"/>
  <c r="R988" i="2"/>
  <c r="J1291" i="2"/>
  <c r="K614" i="2"/>
  <c r="W1618" i="2"/>
  <c r="R877" i="2"/>
  <c r="H1597" i="2"/>
  <c r="P194" i="2"/>
  <c r="I1649" i="2"/>
  <c r="N1501" i="2"/>
  <c r="C287" i="2"/>
  <c r="E1261" i="2"/>
  <c r="U539" i="2"/>
  <c r="O1785" i="2"/>
  <c r="L2691" i="2"/>
  <c r="Q67" i="2"/>
  <c r="F235" i="2"/>
  <c r="K3024" i="2"/>
  <c r="D1241" i="2"/>
  <c r="S2558" i="2"/>
  <c r="E894" i="2"/>
  <c r="V477" i="2"/>
  <c r="L2428" i="2"/>
  <c r="C972" i="2"/>
  <c r="P1029" i="2"/>
  <c r="Q2200" i="2"/>
  <c r="H1496" i="2"/>
  <c r="D1831" i="2"/>
  <c r="V1224" i="2"/>
  <c r="L1952" i="2"/>
  <c r="O1602" i="2"/>
  <c r="J1020" i="2"/>
  <c r="F1299" i="2"/>
  <c r="I567" i="2"/>
  <c r="E729" i="2"/>
  <c r="G2059" i="2"/>
  <c r="I2149" i="2"/>
  <c r="H1966" i="2"/>
  <c r="T2247" i="2"/>
  <c r="G1421" i="2"/>
  <c r="R2691" i="2"/>
  <c r="N1069" i="2"/>
  <c r="K2630" i="2"/>
  <c r="W414" i="2"/>
  <c r="Q2710" i="2"/>
  <c r="M2399" i="2"/>
  <c r="W2254" i="2"/>
  <c r="W1133" i="2"/>
  <c r="S2632" i="2"/>
  <c r="S2386" i="2"/>
  <c r="G1128" i="2"/>
  <c r="O1921" i="2"/>
  <c r="L1592" i="2"/>
  <c r="C1841" i="2"/>
  <c r="W1019" i="2"/>
  <c r="P289" i="2"/>
  <c r="C263" i="2"/>
  <c r="E206" i="2"/>
  <c r="D1578" i="2"/>
  <c r="M1203" i="2"/>
  <c r="D2334" i="2"/>
  <c r="T1860" i="2"/>
  <c r="O1202" i="2"/>
  <c r="R2862" i="2"/>
  <c r="W1627" i="2"/>
  <c r="D2045" i="2"/>
  <c r="H684" i="2"/>
  <c r="J1507" i="2"/>
  <c r="T1436" i="2"/>
  <c r="N1815" i="2"/>
  <c r="J1583" i="2"/>
  <c r="H1120" i="2"/>
  <c r="S2695" i="2"/>
  <c r="C95" i="2"/>
  <c r="K2828" i="2"/>
  <c r="K2242" i="2"/>
  <c r="P2986" i="2"/>
  <c r="V2170" i="2"/>
  <c r="E2458" i="2"/>
  <c r="E1277" i="2"/>
  <c r="P776" i="2"/>
  <c r="I577" i="2"/>
  <c r="C2653" i="2"/>
  <c r="F51" i="2"/>
  <c r="S2274" i="2"/>
  <c r="P501" i="2"/>
  <c r="O1118" i="2"/>
  <c r="P858" i="2"/>
  <c r="M728" i="2"/>
  <c r="J2321" i="2"/>
  <c r="O1293" i="2"/>
  <c r="E1547" i="2"/>
  <c r="J970" i="2"/>
  <c r="H275" i="2"/>
  <c r="O573" i="2"/>
  <c r="R2134" i="2"/>
  <c r="N127" i="2"/>
  <c r="G1339" i="2"/>
  <c r="M2002" i="2"/>
  <c r="V118" i="2"/>
  <c r="D98" i="2"/>
  <c r="E2429" i="2"/>
  <c r="C309" i="2"/>
  <c r="V1120" i="2"/>
  <c r="S1233" i="2"/>
  <c r="W1986" i="2"/>
  <c r="D1690" i="2"/>
  <c r="S1056" i="2"/>
  <c r="W1336" i="2"/>
  <c r="K2378" i="2"/>
  <c r="R1389" i="2"/>
  <c r="N2089" i="2"/>
  <c r="K2854" i="2"/>
  <c r="F1004" i="2"/>
  <c r="I616" i="2"/>
  <c r="G2289" i="2"/>
  <c r="T1107" i="2"/>
  <c r="S3264" i="2"/>
  <c r="I2396" i="2"/>
  <c r="W2075" i="2"/>
  <c r="N1386" i="2"/>
  <c r="C239" i="2"/>
  <c r="R2493" i="2"/>
  <c r="W11" i="2"/>
  <c r="S1488" i="2"/>
  <c r="I2671" i="2"/>
  <c r="V108" i="2"/>
  <c r="M377" i="2"/>
  <c r="V2942" i="2"/>
  <c r="F20" i="2"/>
  <c r="C2275" i="2"/>
  <c r="R1318" i="2"/>
  <c r="O773" i="2"/>
  <c r="D551" i="2"/>
  <c r="R1222" i="2"/>
  <c r="V2078" i="2"/>
  <c r="D2646" i="2"/>
  <c r="R1377" i="2"/>
  <c r="E141" i="2"/>
  <c r="J1387" i="2"/>
  <c r="O1377" i="2"/>
  <c r="V1943" i="2"/>
  <c r="O2101" i="2"/>
  <c r="F69" i="2"/>
  <c r="T2437" i="2"/>
  <c r="H576" i="2"/>
  <c r="O2793" i="2"/>
  <c r="R2375" i="2"/>
  <c r="V2490" i="2"/>
  <c r="P1134" i="2"/>
  <c r="H300" i="2"/>
  <c r="M925" i="2"/>
  <c r="E1620" i="2"/>
  <c r="U925" i="2"/>
  <c r="J1213" i="2"/>
  <c r="C2522" i="2"/>
  <c r="V2747" i="2"/>
  <c r="S203" i="2"/>
  <c r="J1326" i="2"/>
  <c r="I185" i="2"/>
  <c r="C1798" i="2"/>
  <c r="K515" i="2"/>
  <c r="P608" i="2"/>
  <c r="K1622" i="2"/>
  <c r="S1642" i="2"/>
  <c r="H6" i="2"/>
  <c r="V3218" i="2"/>
  <c r="I1018" i="2"/>
  <c r="N740" i="2"/>
  <c r="G538" i="2"/>
  <c r="V3115" i="2"/>
  <c r="V2033" i="2"/>
  <c r="T2051" i="2"/>
  <c r="R221" i="2"/>
  <c r="O913" i="2"/>
  <c r="J522" i="2"/>
  <c r="U901" i="2"/>
  <c r="M2354" i="2"/>
  <c r="L2345" i="2"/>
  <c r="T1297" i="2"/>
  <c r="M395" i="2"/>
  <c r="J993" i="2"/>
  <c r="P932" i="2"/>
  <c r="I28" i="2"/>
  <c r="R2016" i="2"/>
  <c r="L1043" i="2"/>
  <c r="G2125" i="2"/>
  <c r="T1649" i="2"/>
  <c r="H1077" i="2"/>
  <c r="O2594" i="2"/>
  <c r="T2660" i="2"/>
  <c r="F646" i="2"/>
  <c r="L523" i="2"/>
  <c r="P2223" i="2"/>
  <c r="H714" i="2"/>
  <c r="V3371" i="2"/>
  <c r="O2492" i="2"/>
  <c r="T258" i="2"/>
  <c r="P552" i="2"/>
  <c r="F2552" i="2"/>
  <c r="L3061" i="2"/>
  <c r="L1286" i="2"/>
  <c r="P1966" i="2"/>
  <c r="U2610" i="2"/>
  <c r="C1875" i="2"/>
  <c r="V1470" i="2"/>
  <c r="F2769" i="2"/>
  <c r="V574" i="2"/>
  <c r="H2255" i="2"/>
  <c r="T408" i="2"/>
  <c r="J177" i="2"/>
  <c r="V1085" i="2"/>
  <c r="V1446" i="2"/>
  <c r="O967" i="2"/>
  <c r="S2526" i="2"/>
  <c r="W867" i="2"/>
  <c r="T1699" i="2"/>
  <c r="N3199" i="2"/>
  <c r="I2313" i="2"/>
  <c r="L24" i="2"/>
  <c r="O2997" i="2"/>
  <c r="F604" i="2"/>
  <c r="P1412" i="2"/>
  <c r="K1284" i="2"/>
  <c r="E1019" i="2"/>
  <c r="L2524" i="2"/>
  <c r="M1681" i="2"/>
  <c r="I2584" i="2"/>
  <c r="M1063" i="2"/>
  <c r="I3172" i="2"/>
  <c r="V653" i="2"/>
  <c r="K2053" i="2"/>
  <c r="M557" i="2"/>
  <c r="K132" i="2"/>
  <c r="C1904" i="2"/>
  <c r="M1010" i="2"/>
  <c r="F952" i="2"/>
  <c r="O1868" i="2"/>
  <c r="K82" i="2"/>
  <c r="G3014" i="2"/>
  <c r="P1820" i="2"/>
  <c r="I381" i="2"/>
  <c r="F1514" i="2"/>
  <c r="Q2803" i="2"/>
  <c r="U1576" i="2"/>
  <c r="N2498" i="2"/>
  <c r="N1986" i="2"/>
  <c r="M2820" i="2"/>
  <c r="P1977" i="2"/>
  <c r="T2503" i="2"/>
  <c r="T1165" i="2"/>
  <c r="R706" i="2"/>
  <c r="L186" i="2"/>
  <c r="V1725" i="2"/>
  <c r="P593" i="2"/>
  <c r="W1238" i="2"/>
  <c r="H148" i="2"/>
  <c r="G2223" i="2"/>
  <c r="H2058" i="2"/>
  <c r="D362" i="2"/>
  <c r="F2764" i="2"/>
  <c r="P110" i="2"/>
  <c r="G1082" i="2"/>
  <c r="H1479" i="2"/>
  <c r="T2387" i="2"/>
  <c r="V1505" i="2"/>
  <c r="J201" i="2"/>
  <c r="N209" i="2"/>
  <c r="D1166" i="2"/>
  <c r="C2416" i="2"/>
  <c r="M2194" i="2"/>
  <c r="N329" i="2"/>
  <c r="D1285" i="2"/>
  <c r="K805" i="2"/>
  <c r="T2867" i="2"/>
  <c r="L2751" i="2"/>
  <c r="M2661" i="2"/>
  <c r="G1429" i="2"/>
  <c r="O3067" i="2"/>
  <c r="M858" i="2"/>
  <c r="W1955" i="2"/>
  <c r="F530" i="2"/>
  <c r="S1706" i="2"/>
  <c r="L1571" i="2"/>
  <c r="U1205" i="2"/>
  <c r="F1009" i="2"/>
  <c r="L2830" i="2"/>
  <c r="E575" i="2"/>
  <c r="W1058" i="2"/>
  <c r="L413" i="2"/>
  <c r="L1052" i="2"/>
  <c r="L233" i="2"/>
  <c r="D3034" i="2"/>
  <c r="P1417" i="2"/>
  <c r="I1375" i="2"/>
  <c r="P1292" i="2"/>
  <c r="M2254" i="2"/>
  <c r="V2029" i="2"/>
  <c r="Q2122" i="2"/>
  <c r="E2696" i="2"/>
  <c r="H705" i="2"/>
  <c r="W982" i="2"/>
  <c r="D1470" i="2"/>
  <c r="P1096" i="2"/>
  <c r="N2001" i="2"/>
  <c r="H298" i="2"/>
  <c r="P1754" i="2"/>
  <c r="S514" i="2"/>
  <c r="Q1004" i="2"/>
  <c r="D2135" i="2"/>
  <c r="M1192" i="2"/>
  <c r="R276" i="2"/>
  <c r="T1354" i="2"/>
  <c r="D1898" i="2"/>
  <c r="Q2052" i="2"/>
  <c r="F1574" i="2"/>
  <c r="C399" i="2"/>
  <c r="D1026" i="2"/>
  <c r="F437" i="2"/>
  <c r="J1025" i="2"/>
  <c r="D199" i="2"/>
  <c r="L479" i="2"/>
  <c r="W2067" i="2"/>
  <c r="F1558" i="2"/>
  <c r="F2222" i="2"/>
  <c r="L50" i="2"/>
  <c r="H2128" i="2"/>
  <c r="V1836" i="2"/>
  <c r="V2462" i="2"/>
  <c r="L1343" i="2"/>
  <c r="Q3503" i="2"/>
  <c r="L1869" i="2"/>
  <c r="T2385" i="2"/>
  <c r="J1782" i="2"/>
  <c r="P91" i="2"/>
  <c r="O1626" i="2"/>
  <c r="V1231" i="2"/>
  <c r="J1446" i="2"/>
  <c r="M1637" i="2"/>
  <c r="M2009" i="2"/>
  <c r="G546" i="2"/>
  <c r="G3179" i="2"/>
  <c r="O183" i="2"/>
  <c r="H841" i="2"/>
  <c r="T900" i="2"/>
  <c r="G3180" i="2"/>
  <c r="R2778" i="2"/>
  <c r="R452" i="2"/>
  <c r="S723" i="2"/>
  <c r="H69" i="2"/>
  <c r="N2004" i="2"/>
  <c r="K197" i="2"/>
  <c r="U1184" i="2"/>
  <c r="Q2392" i="2"/>
  <c r="P26" i="2"/>
  <c r="H1992" i="2"/>
  <c r="J2250" i="2"/>
  <c r="V2605" i="2"/>
  <c r="E1454" i="2"/>
  <c r="R1346" i="2"/>
  <c r="R1301" i="2"/>
  <c r="H3047" i="2"/>
  <c r="I794" i="2"/>
  <c r="G2407" i="2"/>
  <c r="V1003" i="2"/>
  <c r="R1654" i="2"/>
  <c r="H764" i="2"/>
  <c r="E534" i="2"/>
  <c r="O2625" i="2"/>
  <c r="R2221" i="2"/>
  <c r="H1060" i="2"/>
  <c r="J3185" i="2"/>
  <c r="F2877" i="2"/>
  <c r="G3315" i="2"/>
  <c r="M1950" i="2"/>
  <c r="R1480" i="2"/>
  <c r="K2305" i="2"/>
  <c r="L2769" i="2"/>
  <c r="E1320" i="2"/>
  <c r="Q990" i="2"/>
  <c r="F444" i="2"/>
  <c r="H2794" i="2"/>
  <c r="I1074" i="2"/>
  <c r="S737" i="2"/>
  <c r="F3112" i="2"/>
  <c r="N1806" i="2"/>
  <c r="S408" i="2"/>
  <c r="H2594" i="2"/>
  <c r="M1795" i="2"/>
  <c r="M220" i="2"/>
  <c r="E974" i="2"/>
  <c r="E508" i="2"/>
  <c r="T1462" i="2"/>
  <c r="V1625" i="2"/>
  <c r="J818" i="2"/>
  <c r="G330" i="2"/>
  <c r="M1636" i="2"/>
  <c r="V2156" i="2"/>
  <c r="H2828" i="2"/>
  <c r="G1292" i="2"/>
  <c r="V1378" i="2"/>
  <c r="D1431" i="2"/>
  <c r="N1424" i="2"/>
  <c r="E3159" i="2"/>
  <c r="L2225" i="2"/>
  <c r="E549" i="2"/>
  <c r="U2009" i="2"/>
  <c r="F3274" i="2"/>
  <c r="H2177" i="2"/>
  <c r="F19" i="2"/>
  <c r="Q1779" i="2"/>
  <c r="N1916" i="2"/>
  <c r="H492" i="2"/>
  <c r="C272" i="2"/>
  <c r="N2901" i="2"/>
  <c r="O1220" i="2"/>
  <c r="G795" i="2"/>
  <c r="J2528" i="2"/>
  <c r="T44" i="2"/>
  <c r="U2685" i="2"/>
  <c r="O1955" i="2"/>
  <c r="O985" i="2"/>
  <c r="J1623" i="2"/>
  <c r="W246" i="2"/>
  <c r="L1726" i="2"/>
  <c r="N1735" i="2"/>
  <c r="Q1864" i="2"/>
  <c r="N2439" i="2"/>
  <c r="M1163" i="2"/>
  <c r="H2785" i="2"/>
  <c r="E283" i="2"/>
  <c r="J1858" i="2"/>
  <c r="P397" i="2"/>
  <c r="Q2786" i="2"/>
  <c r="H250" i="2"/>
  <c r="F1257" i="2"/>
  <c r="G995" i="2"/>
  <c r="K1163" i="2"/>
  <c r="I334" i="2"/>
  <c r="R1360" i="2"/>
  <c r="D2173" i="2"/>
  <c r="F335" i="2"/>
  <c r="V2341" i="2"/>
  <c r="T1845" i="2"/>
  <c r="Q909" i="2"/>
  <c r="L1563" i="2"/>
  <c r="M1360" i="2"/>
  <c r="R1568" i="2"/>
  <c r="R350" i="2"/>
  <c r="J1956" i="2"/>
  <c r="V247" i="2"/>
  <c r="K1376" i="2"/>
  <c r="V1860" i="2"/>
  <c r="R1283" i="2"/>
  <c r="K1734" i="2"/>
  <c r="N1493" i="2"/>
  <c r="Q2273" i="2"/>
  <c r="M2590" i="2"/>
  <c r="V628" i="2"/>
  <c r="M489" i="2"/>
  <c r="O987" i="2"/>
  <c r="E2962" i="2"/>
  <c r="C666" i="2"/>
  <c r="R1057" i="2"/>
  <c r="R3332" i="2"/>
  <c r="I289" i="2"/>
  <c r="G1844" i="2"/>
  <c r="I2258" i="2"/>
  <c r="E2026" i="2"/>
  <c r="R1785" i="2"/>
  <c r="O2292" i="2"/>
  <c r="N741" i="2"/>
  <c r="N2191" i="2"/>
  <c r="H1742" i="2"/>
  <c r="Q833" i="2"/>
  <c r="J82" i="2"/>
  <c r="E947" i="2"/>
  <c r="G226" i="2"/>
  <c r="H1435" i="2"/>
  <c r="L754" i="2"/>
  <c r="P36" i="2"/>
  <c r="F497" i="2"/>
  <c r="M162" i="2"/>
  <c r="T832" i="2"/>
  <c r="N1293" i="2"/>
  <c r="V698" i="2"/>
  <c r="O2121" i="2"/>
  <c r="S2664" i="2"/>
  <c r="F18" i="2"/>
  <c r="P2523" i="2"/>
  <c r="U3359" i="2"/>
  <c r="K2976" i="2"/>
  <c r="P1400" i="2"/>
  <c r="I2068" i="2"/>
  <c r="V903" i="2"/>
  <c r="W2792" i="2"/>
  <c r="D2846" i="2"/>
  <c r="J1333" i="2"/>
  <c r="H2714" i="2"/>
  <c r="Q373" i="2"/>
  <c r="L579" i="2"/>
  <c r="C2484" i="2"/>
  <c r="N1194" i="2"/>
  <c r="F79" i="2"/>
  <c r="Q1641" i="2"/>
  <c r="Q2077" i="2"/>
  <c r="G32" i="2"/>
  <c r="Q1757" i="2"/>
  <c r="I201" i="2"/>
  <c r="N1406" i="2"/>
  <c r="S2746" i="2"/>
  <c r="P560" i="2"/>
  <c r="H1849" i="2"/>
  <c r="H2070" i="2"/>
  <c r="F2667" i="2"/>
  <c r="O2921" i="2"/>
  <c r="P2478" i="2"/>
  <c r="O1347" i="2"/>
  <c r="D1434" i="2"/>
  <c r="P1534" i="2"/>
  <c r="N2175" i="2"/>
  <c r="J2234" i="2"/>
  <c r="W978" i="2"/>
  <c r="J1487" i="2"/>
  <c r="J165" i="2"/>
  <c r="F1163" i="2"/>
  <c r="I2141" i="2"/>
  <c r="G89" i="2"/>
  <c r="U400" i="2"/>
  <c r="L49" i="2"/>
  <c r="M759" i="2"/>
  <c r="Q1111" i="2"/>
  <c r="T2662" i="2"/>
  <c r="S1985" i="2"/>
  <c r="F1311" i="2"/>
  <c r="L442" i="2"/>
  <c r="D886" i="2"/>
  <c r="P1563" i="2"/>
  <c r="G2023" i="2"/>
  <c r="F131" i="2"/>
  <c r="P1589" i="2"/>
  <c r="M571" i="2"/>
  <c r="G2444" i="2"/>
  <c r="F2087" i="2"/>
  <c r="O1373" i="2"/>
  <c r="E1206" i="2"/>
  <c r="O1456" i="2"/>
  <c r="J2098" i="2"/>
  <c r="G1637" i="2"/>
  <c r="H1276" i="2"/>
  <c r="G897" i="2"/>
  <c r="C816" i="2"/>
  <c r="I2785" i="2"/>
  <c r="J1911" i="2"/>
  <c r="U154" i="2"/>
  <c r="H1652" i="2"/>
  <c r="O760" i="2"/>
  <c r="L957" i="2"/>
  <c r="D3315" i="2"/>
  <c r="L2169" i="2"/>
  <c r="C677" i="2"/>
  <c r="H1534" i="2"/>
  <c r="C159" i="2"/>
  <c r="R392" i="2"/>
  <c r="O361" i="2"/>
  <c r="L813" i="2"/>
  <c r="H945" i="2"/>
  <c r="D1568" i="2"/>
  <c r="W825" i="2"/>
  <c r="H2739" i="2"/>
  <c r="E2089" i="2"/>
  <c r="P2086" i="2"/>
  <c r="D2361" i="2"/>
  <c r="M1653" i="2"/>
  <c r="N1260" i="2"/>
  <c r="T2267" i="2"/>
  <c r="N935" i="2"/>
  <c r="S674" i="2"/>
  <c r="M2113" i="2"/>
  <c r="Q598" i="2"/>
  <c r="Q2101" i="2"/>
  <c r="C44" i="2"/>
  <c r="H407" i="2"/>
  <c r="D609" i="2"/>
  <c r="H1290" i="2"/>
  <c r="H2032" i="2"/>
  <c r="M3064" i="2"/>
  <c r="M354" i="2"/>
  <c r="I1061" i="2"/>
  <c r="K1621" i="2"/>
  <c r="N317" i="2"/>
  <c r="H1505" i="2"/>
  <c r="O2463" i="2"/>
  <c r="G107" i="2"/>
  <c r="E1142" i="2"/>
  <c r="V3163" i="2"/>
  <c r="Q3272" i="2"/>
  <c r="P431" i="2"/>
  <c r="I2513" i="2"/>
  <c r="O2038" i="2"/>
  <c r="R3204" i="2"/>
  <c r="P359" i="2"/>
  <c r="N1706" i="2"/>
  <c r="L1303" i="2"/>
  <c r="E1763" i="2"/>
  <c r="I1579" i="2"/>
  <c r="F1011" i="2"/>
  <c r="T695" i="2"/>
  <c r="O2754" i="2"/>
  <c r="C289" i="2"/>
  <c r="F1898" i="2"/>
  <c r="P505" i="2"/>
  <c r="K1495" i="2"/>
  <c r="H1470" i="2"/>
  <c r="H1826" i="2"/>
  <c r="I2555" i="2"/>
  <c r="M454" i="2"/>
  <c r="Q2595" i="2"/>
  <c r="O2589" i="2"/>
  <c r="R1299" i="2"/>
  <c r="E144" i="2"/>
  <c r="K592" i="2"/>
  <c r="C1359" i="2"/>
  <c r="V2703" i="2"/>
  <c r="R818" i="2"/>
  <c r="W835" i="2"/>
  <c r="E1157" i="2"/>
  <c r="I797" i="2"/>
  <c r="Q1501" i="2"/>
  <c r="E521" i="2"/>
  <c r="H1853" i="2"/>
  <c r="T128" i="2"/>
  <c r="E135" i="2"/>
  <c r="E214" i="2"/>
  <c r="L1376" i="2"/>
  <c r="V668" i="2"/>
  <c r="O1665" i="2"/>
  <c r="T725" i="2"/>
  <c r="D1951" i="2"/>
  <c r="P1994" i="2"/>
  <c r="Q301" i="2"/>
  <c r="M1804" i="2"/>
  <c r="R1795" i="2"/>
  <c r="H449" i="2"/>
  <c r="J1952" i="2"/>
  <c r="K1262" i="2"/>
  <c r="N2144" i="2"/>
  <c r="G2178" i="2"/>
  <c r="C2028" i="2"/>
  <c r="U2110" i="2"/>
  <c r="F636" i="2"/>
  <c r="J3437" i="2"/>
  <c r="E776" i="2"/>
  <c r="K1886" i="2"/>
  <c r="W2469" i="2"/>
  <c r="K1183" i="2"/>
  <c r="G974" i="2"/>
  <c r="F982" i="2"/>
  <c r="R595" i="2"/>
  <c r="D1519" i="2"/>
  <c r="E1072" i="2"/>
  <c r="T1155" i="2"/>
  <c r="N1162" i="2"/>
  <c r="P270" i="2"/>
  <c r="C413" i="2"/>
  <c r="P426" i="2"/>
  <c r="E2455" i="2"/>
  <c r="G2628" i="2"/>
  <c r="K603" i="2"/>
  <c r="Q1033" i="2"/>
  <c r="E1693" i="2"/>
  <c r="R1542" i="2"/>
  <c r="K930" i="2"/>
  <c r="I241" i="2"/>
  <c r="L2661" i="2"/>
  <c r="K145" i="2"/>
  <c r="F1504" i="2"/>
  <c r="E910" i="2"/>
  <c r="C276" i="2"/>
  <c r="C84" i="2"/>
  <c r="E1835" i="2"/>
  <c r="W2199" i="2"/>
  <c r="N2295" i="2"/>
  <c r="R2150" i="2"/>
  <c r="S343" i="2"/>
  <c r="O1336" i="2"/>
  <c r="E1605" i="2"/>
  <c r="K703" i="2"/>
  <c r="H1709" i="2"/>
  <c r="S1439" i="2"/>
  <c r="V1476" i="2"/>
  <c r="M2170" i="2"/>
  <c r="O701" i="2"/>
  <c r="L1451" i="2"/>
  <c r="N497" i="2"/>
  <c r="D1383" i="2"/>
  <c r="F176" i="2"/>
  <c r="C492" i="2"/>
  <c r="L2543" i="2"/>
  <c r="Q2931" i="2"/>
  <c r="T23" i="2"/>
  <c r="C1369" i="2"/>
  <c r="W461" i="2"/>
  <c r="V2694" i="2"/>
  <c r="G220" i="2"/>
  <c r="H464" i="2"/>
  <c r="S1390" i="2"/>
  <c r="U948" i="2"/>
  <c r="C1793" i="2"/>
  <c r="F180" i="2"/>
  <c r="K952" i="2"/>
  <c r="C899" i="2"/>
  <c r="W809" i="2"/>
  <c r="R2288" i="2"/>
  <c r="V1129" i="2"/>
  <c r="F4" i="2"/>
  <c r="K744" i="2"/>
  <c r="L2306" i="2"/>
  <c r="N3059" i="2"/>
  <c r="C2385" i="2"/>
  <c r="V2146" i="2"/>
  <c r="Q1490" i="2"/>
  <c r="U285" i="2"/>
  <c r="W1027" i="2"/>
  <c r="T780" i="2"/>
  <c r="E76" i="2"/>
  <c r="O1065" i="2"/>
  <c r="T1669" i="2"/>
  <c r="K1952" i="2"/>
  <c r="P2065" i="2"/>
  <c r="U580" i="2"/>
  <c r="M945" i="2"/>
  <c r="N2750" i="2"/>
  <c r="C1547" i="2"/>
  <c r="I1910" i="2"/>
  <c r="H993" i="2"/>
  <c r="H590" i="2"/>
  <c r="L1589" i="2"/>
  <c r="Q727" i="2"/>
  <c r="W2152" i="2"/>
  <c r="R1366" i="2"/>
  <c r="Q2551" i="2"/>
  <c r="E2413" i="2"/>
  <c r="S2761" i="2"/>
  <c r="O676" i="2"/>
  <c r="M1156" i="2"/>
  <c r="V630" i="2"/>
  <c r="T1322" i="2"/>
  <c r="W477" i="2"/>
  <c r="E1409" i="2"/>
  <c r="L474" i="2"/>
  <c r="O1965" i="2"/>
  <c r="H1727" i="2"/>
  <c r="O2667" i="2"/>
  <c r="S1367" i="2"/>
  <c r="C1783" i="2"/>
  <c r="R2262" i="2"/>
  <c r="I1633" i="2"/>
  <c r="R1049" i="2"/>
  <c r="T1240" i="2"/>
  <c r="M2797" i="2"/>
  <c r="P2372" i="2"/>
  <c r="W715" i="2"/>
  <c r="T2250" i="2"/>
  <c r="H490" i="2"/>
  <c r="H1838" i="2"/>
  <c r="R876" i="2"/>
  <c r="H172" i="2"/>
  <c r="K3138" i="2"/>
  <c r="K26" i="2"/>
  <c r="J298" i="2"/>
  <c r="M1842" i="2"/>
  <c r="C1884" i="2"/>
  <c r="O2409" i="2"/>
  <c r="E2768" i="2"/>
  <c r="F1208" i="2"/>
  <c r="M57" i="2"/>
  <c r="Q304" i="2"/>
  <c r="H1422" i="2"/>
  <c r="K2410" i="2"/>
  <c r="G1033" i="2"/>
  <c r="G2094" i="2"/>
  <c r="K2014" i="2"/>
  <c r="S1069" i="2"/>
  <c r="O1874" i="2"/>
  <c r="E1860" i="2"/>
  <c r="S687" i="2"/>
  <c r="F357" i="2"/>
  <c r="U2702" i="2"/>
  <c r="Q1798" i="2"/>
  <c r="K410" i="2"/>
  <c r="I183" i="2"/>
  <c r="F1585" i="2"/>
  <c r="M716" i="2"/>
  <c r="E1570" i="2"/>
  <c r="R484" i="2"/>
  <c r="T2803" i="2"/>
  <c r="L1016" i="2"/>
  <c r="D2211" i="2"/>
  <c r="H639" i="2"/>
  <c r="U650" i="2"/>
  <c r="N1095" i="2"/>
  <c r="M2777" i="2"/>
  <c r="K2620" i="2"/>
  <c r="R586" i="2"/>
  <c r="F281" i="2"/>
  <c r="M488" i="2"/>
  <c r="Q709" i="2"/>
  <c r="I1327" i="2"/>
  <c r="F1949" i="2"/>
  <c r="W1164" i="2"/>
  <c r="W994" i="2"/>
  <c r="M1576" i="2"/>
  <c r="N2493" i="2"/>
  <c r="M2049" i="2"/>
  <c r="K1586" i="2"/>
  <c r="N2065" i="2"/>
  <c r="D2372" i="2"/>
  <c r="S1323" i="2"/>
  <c r="H1065" i="2"/>
  <c r="D2339" i="2"/>
  <c r="G1241" i="2"/>
  <c r="U1955" i="2"/>
  <c r="T2899" i="2"/>
  <c r="F2663" i="2"/>
  <c r="V999" i="2"/>
  <c r="M2154" i="2"/>
  <c r="Q106" i="2"/>
  <c r="V1591" i="2"/>
  <c r="W2846" i="2"/>
  <c r="K121" i="2"/>
  <c r="N540" i="2"/>
  <c r="S2103" i="2"/>
  <c r="G504" i="2"/>
  <c r="Q2486" i="2"/>
  <c r="D563" i="2"/>
  <c r="K266" i="2"/>
  <c r="H1688" i="2"/>
  <c r="C838" i="2"/>
  <c r="U1704" i="2"/>
  <c r="W629" i="2"/>
  <c r="G1992" i="2"/>
  <c r="F1267" i="2"/>
  <c r="Q2070" i="2"/>
  <c r="Q1085" i="2"/>
  <c r="T673" i="2"/>
  <c r="I2155" i="2"/>
  <c r="P2027" i="2"/>
  <c r="G324" i="2"/>
  <c r="P1379" i="2"/>
  <c r="E1283" i="2"/>
  <c r="E2186" i="2"/>
  <c r="L1788" i="2"/>
  <c r="J2341" i="2"/>
  <c r="I1323" i="2"/>
  <c r="K1616" i="2"/>
  <c r="U658" i="2"/>
  <c r="W1235" i="2"/>
  <c r="L208" i="2"/>
  <c r="T1722" i="2"/>
  <c r="E2717" i="2"/>
  <c r="T278" i="2"/>
  <c r="P1166" i="2"/>
  <c r="E1070" i="2"/>
  <c r="W1547" i="2"/>
  <c r="D11" i="2"/>
  <c r="V2" i="2"/>
  <c r="L784" i="2"/>
  <c r="T192" i="2"/>
  <c r="L724" i="2"/>
  <c r="C897" i="2"/>
  <c r="E1712" i="2"/>
  <c r="F1342" i="2"/>
  <c r="S1581" i="2"/>
  <c r="M2778" i="2"/>
  <c r="R1328" i="2"/>
  <c r="D1616" i="2"/>
  <c r="O618" i="2"/>
  <c r="D1475" i="2"/>
  <c r="N2785" i="2"/>
  <c r="P1529" i="2"/>
  <c r="W3" i="2"/>
  <c r="M205" i="2"/>
  <c r="L1131" i="2"/>
  <c r="T394" i="2"/>
  <c r="J1540" i="2"/>
  <c r="T31" i="2"/>
  <c r="K2613" i="2"/>
  <c r="E1535" i="2"/>
  <c r="M441" i="2"/>
  <c r="E1340" i="2"/>
  <c r="L881" i="2"/>
  <c r="P723" i="2"/>
  <c r="K1585" i="2"/>
  <c r="V68" i="2"/>
  <c r="H3148" i="2"/>
  <c r="C2924" i="2"/>
  <c r="T1937" i="2"/>
  <c r="F2491" i="2"/>
  <c r="D1984" i="2"/>
  <c r="I2790" i="2"/>
  <c r="N649" i="2"/>
  <c r="I2034" i="2"/>
  <c r="S1312" i="2"/>
  <c r="R2092" i="2"/>
  <c r="K1081" i="2"/>
  <c r="O912" i="2"/>
  <c r="C2726" i="2"/>
  <c r="H1649" i="2"/>
  <c r="J982" i="2"/>
  <c r="O1262" i="2"/>
  <c r="W1095" i="2"/>
  <c r="U2043" i="2"/>
  <c r="Q2154" i="2"/>
  <c r="F994" i="2"/>
  <c r="S1238" i="2"/>
  <c r="M487" i="2"/>
  <c r="D1593" i="2"/>
  <c r="M238" i="2"/>
  <c r="P170" i="2"/>
  <c r="O1989" i="2"/>
  <c r="R206" i="2"/>
  <c r="J1314" i="2"/>
  <c r="M1382" i="2"/>
  <c r="S559" i="2"/>
  <c r="S1461" i="2"/>
  <c r="Q1293" i="2"/>
  <c r="L2062" i="2"/>
  <c r="H1211" i="2"/>
  <c r="S46" i="2"/>
  <c r="L1078" i="2"/>
  <c r="H1354" i="2"/>
  <c r="U2180" i="2"/>
  <c r="E1961" i="2"/>
  <c r="L675" i="2"/>
  <c r="M2781" i="2"/>
  <c r="E1050" i="2"/>
  <c r="N1348" i="2"/>
  <c r="F3145" i="2"/>
  <c r="W619" i="2"/>
  <c r="S2666" i="2"/>
  <c r="R2657" i="2"/>
  <c r="G1560" i="2"/>
  <c r="K53" i="2"/>
  <c r="T1151" i="2"/>
  <c r="I2467" i="2"/>
  <c r="O29" i="2"/>
  <c r="C2124" i="2"/>
  <c r="V1080" i="2"/>
  <c r="R3151" i="2"/>
  <c r="J1276" i="2"/>
  <c r="P2539" i="2"/>
  <c r="V1371" i="2"/>
  <c r="E762" i="2"/>
  <c r="I997" i="2"/>
  <c r="R328" i="2"/>
  <c r="I280" i="2"/>
  <c r="S820" i="2"/>
  <c r="W606" i="2"/>
  <c r="R1809" i="2"/>
  <c r="G420" i="2"/>
  <c r="T2161" i="2"/>
  <c r="K946" i="2"/>
  <c r="W516" i="2"/>
  <c r="O1838" i="2"/>
  <c r="R408" i="2"/>
  <c r="C265" i="2"/>
  <c r="D670" i="2"/>
  <c r="I1870" i="2"/>
  <c r="L462" i="2"/>
  <c r="S2190" i="2"/>
  <c r="N1488" i="2"/>
  <c r="J162" i="2"/>
  <c r="G2918" i="2"/>
  <c r="U2175" i="2"/>
  <c r="H1064" i="2"/>
  <c r="E1992" i="2"/>
  <c r="G862" i="2"/>
  <c r="K2143" i="2"/>
  <c r="O5" i="2"/>
  <c r="J2035" i="2"/>
  <c r="U940" i="2"/>
  <c r="W1359" i="2"/>
  <c r="M202" i="2"/>
  <c r="O2110" i="2"/>
  <c r="O1045" i="2"/>
  <c r="W2044" i="2"/>
  <c r="M1084" i="2"/>
  <c r="H2103" i="2"/>
  <c r="E81" i="2"/>
  <c r="S223" i="2"/>
  <c r="S1626" i="2"/>
  <c r="E937" i="2"/>
  <c r="L1464" i="2"/>
  <c r="C163" i="2"/>
  <c r="U2117" i="2"/>
  <c r="G584" i="2"/>
  <c r="R1643" i="2"/>
  <c r="F1858" i="2"/>
  <c r="F107" i="2"/>
  <c r="T67" i="2"/>
  <c r="F1586" i="2"/>
  <c r="N1604" i="2"/>
  <c r="E2375" i="2"/>
  <c r="D1956" i="2"/>
  <c r="O1261" i="2"/>
  <c r="H1516" i="2"/>
  <c r="G2186" i="2"/>
  <c r="L1531" i="2"/>
  <c r="J335" i="2"/>
  <c r="O1572" i="2"/>
  <c r="E1400" i="2"/>
  <c r="M299" i="2"/>
  <c r="M2187" i="2"/>
  <c r="E2365" i="2"/>
  <c r="C2352" i="2"/>
  <c r="O1108" i="2"/>
  <c r="I2160" i="2"/>
  <c r="J3252" i="2"/>
  <c r="H378" i="2"/>
  <c r="W2498" i="2"/>
  <c r="W382" i="2"/>
  <c r="C2284" i="2"/>
  <c r="C533" i="2"/>
  <c r="Q1253" i="2"/>
  <c r="T562" i="2"/>
  <c r="P1193" i="2"/>
  <c r="T2649" i="2"/>
  <c r="M928" i="2"/>
  <c r="H2372" i="2"/>
  <c r="G1030" i="2"/>
  <c r="K2745" i="2"/>
  <c r="I2105" i="2"/>
  <c r="D739" i="2"/>
  <c r="I218" i="2"/>
  <c r="R1630" i="2"/>
  <c r="E941" i="2"/>
  <c r="H34" i="2"/>
  <c r="E1814" i="2"/>
  <c r="K1768" i="2"/>
  <c r="S797" i="2"/>
  <c r="J637" i="2"/>
  <c r="F2634" i="2"/>
  <c r="L772" i="2"/>
  <c r="E361" i="2"/>
  <c r="C2317" i="2"/>
  <c r="W325" i="2"/>
  <c r="N1897" i="2"/>
  <c r="O1949" i="2"/>
  <c r="C1399" i="2"/>
  <c r="O54" i="2"/>
  <c r="P1385" i="2"/>
  <c r="T2315" i="2"/>
  <c r="P940" i="2"/>
  <c r="Q1437" i="2"/>
  <c r="M1124" i="2"/>
  <c r="I2747" i="2"/>
  <c r="D325" i="2"/>
  <c r="V2039" i="2"/>
  <c r="I1941" i="2"/>
  <c r="E1132" i="2"/>
  <c r="N969" i="2"/>
  <c r="E2202" i="2"/>
  <c r="I2254" i="2"/>
  <c r="K562" i="2"/>
  <c r="I321" i="2"/>
  <c r="C302" i="2"/>
  <c r="R1946" i="2"/>
  <c r="I1068" i="2"/>
  <c r="N2012" i="2"/>
  <c r="K849" i="2"/>
  <c r="E717" i="2"/>
  <c r="U2157" i="2"/>
  <c r="G988" i="2"/>
  <c r="T372" i="2"/>
  <c r="S2899" i="2"/>
  <c r="R62" i="2"/>
  <c r="D875" i="2"/>
  <c r="V2554" i="2"/>
  <c r="R3000" i="2"/>
  <c r="V494" i="2"/>
  <c r="F429" i="2"/>
  <c r="W82" i="2"/>
  <c r="L1626" i="2"/>
  <c r="P1495" i="2"/>
  <c r="C633" i="2"/>
  <c r="K2957" i="2"/>
  <c r="T2275" i="2"/>
  <c r="W2354" i="2"/>
  <c r="D402" i="2"/>
  <c r="T87" i="2"/>
  <c r="D2199" i="2"/>
  <c r="J2025" i="2"/>
  <c r="L2452" i="2"/>
  <c r="I2051" i="2"/>
  <c r="T2203" i="2"/>
  <c r="C229" i="2"/>
  <c r="P1738" i="2"/>
  <c r="U2237" i="2"/>
  <c r="I1626" i="2"/>
  <c r="J2785" i="2"/>
  <c r="U1333" i="2"/>
  <c r="G514" i="2"/>
  <c r="T1166" i="2"/>
  <c r="L404" i="2"/>
  <c r="K1469" i="2"/>
  <c r="G230" i="2"/>
  <c r="L1507" i="2"/>
  <c r="K648" i="2"/>
  <c r="G106" i="2"/>
  <c r="N92" i="2"/>
  <c r="E1363" i="2"/>
  <c r="L1672" i="2"/>
  <c r="W1167" i="2"/>
  <c r="S103" i="2"/>
  <c r="U998" i="2"/>
  <c r="S1330" i="2"/>
  <c r="F648" i="2"/>
  <c r="E1001" i="2"/>
  <c r="M3044" i="2"/>
  <c r="D85" i="2"/>
  <c r="U2413" i="2"/>
  <c r="W1144" i="2"/>
  <c r="R2914" i="2"/>
  <c r="I1004" i="2"/>
  <c r="F558" i="2"/>
  <c r="F538" i="2"/>
  <c r="M1302" i="2"/>
  <c r="H232" i="2"/>
  <c r="M346" i="2"/>
  <c r="G816" i="2"/>
  <c r="G1387" i="2"/>
  <c r="E385" i="2"/>
  <c r="H1231" i="2"/>
  <c r="H957" i="2"/>
  <c r="N178" i="2"/>
  <c r="W524" i="2"/>
  <c r="K2257" i="2"/>
  <c r="C1107" i="2"/>
  <c r="O1134" i="2"/>
  <c r="N2410" i="2"/>
  <c r="V1297" i="2"/>
  <c r="C2297" i="2"/>
  <c r="F2675" i="2"/>
  <c r="F1947" i="2"/>
  <c r="E260" i="2"/>
  <c r="N2458" i="2"/>
  <c r="E926" i="2"/>
  <c r="H187" i="2"/>
  <c r="U986" i="2"/>
  <c r="C1623" i="2"/>
  <c r="C1329" i="2"/>
  <c r="I2678" i="2"/>
  <c r="H1176" i="2"/>
  <c r="S1262" i="2"/>
  <c r="L1623" i="2"/>
  <c r="J716" i="2"/>
  <c r="G1961" i="2"/>
  <c r="N2128" i="2"/>
  <c r="S1708" i="2"/>
  <c r="U1943" i="2"/>
  <c r="U2383" i="2"/>
  <c r="F953" i="2"/>
  <c r="E2231" i="2"/>
  <c r="T913" i="2"/>
  <c r="K1468" i="2"/>
  <c r="R261" i="2"/>
  <c r="Q1584" i="2"/>
  <c r="I1766" i="2"/>
  <c r="K2094" i="2"/>
  <c r="K1179" i="2"/>
  <c r="N1467" i="2"/>
  <c r="T1795" i="2"/>
  <c r="F11" i="2"/>
  <c r="V805" i="2"/>
  <c r="U2584" i="2"/>
  <c r="Q1600" i="2"/>
  <c r="D952" i="2"/>
  <c r="M566" i="2"/>
  <c r="G691" i="2"/>
  <c r="U1686" i="2"/>
  <c r="H2064" i="2"/>
  <c r="I634" i="2"/>
  <c r="G2847" i="2"/>
  <c r="E712" i="2"/>
  <c r="E322" i="2"/>
  <c r="U2216" i="2"/>
  <c r="C100" i="2"/>
  <c r="O587" i="2"/>
  <c r="D2570" i="2"/>
  <c r="P868" i="2"/>
  <c r="V2233" i="2"/>
  <c r="G1486" i="2"/>
  <c r="L1284" i="2"/>
  <c r="O2750" i="2"/>
  <c r="P1885" i="2"/>
  <c r="K1501" i="2"/>
  <c r="W96" i="2"/>
  <c r="C1011" i="2"/>
  <c r="H501" i="2"/>
  <c r="P205" i="2"/>
  <c r="K2568" i="2"/>
  <c r="T603" i="2"/>
  <c r="S1540" i="2"/>
  <c r="W2051" i="2"/>
  <c r="P1581" i="2"/>
  <c r="I409" i="2"/>
  <c r="V2451" i="2"/>
  <c r="T2268" i="2"/>
  <c r="M1626" i="2"/>
  <c r="U1044" i="2"/>
  <c r="D17" i="2"/>
  <c r="U1095" i="2"/>
  <c r="V2433" i="2"/>
  <c r="I2534" i="2"/>
  <c r="M198" i="2"/>
  <c r="S456" i="2"/>
  <c r="W1173" i="2"/>
  <c r="H1639" i="2"/>
  <c r="T2637" i="2"/>
  <c r="P1634" i="2"/>
  <c r="W953" i="2"/>
  <c r="K1124" i="2"/>
  <c r="G957" i="2"/>
  <c r="P1652" i="2"/>
  <c r="W1595" i="2"/>
  <c r="J1168" i="2"/>
  <c r="K774" i="2"/>
  <c r="L2042" i="2"/>
  <c r="H2006" i="2"/>
  <c r="F605" i="2"/>
  <c r="D1610" i="2"/>
  <c r="L713" i="2"/>
  <c r="W1386" i="2"/>
  <c r="F2707" i="2"/>
  <c r="U1727" i="2"/>
  <c r="E2077" i="2"/>
  <c r="J1252" i="2"/>
  <c r="N366" i="2"/>
  <c r="P472" i="2"/>
  <c r="D463" i="2"/>
  <c r="H281" i="2"/>
  <c r="F2130" i="2"/>
  <c r="O1058" i="2"/>
  <c r="G301" i="2"/>
  <c r="M3157" i="2"/>
  <c r="P3002" i="2"/>
  <c r="O996" i="2"/>
  <c r="P418" i="2"/>
  <c r="U2139" i="2"/>
  <c r="H176" i="2"/>
  <c r="J7" i="2"/>
  <c r="J1815" i="2"/>
  <c r="N319" i="2"/>
  <c r="L742" i="2"/>
  <c r="H245" i="2"/>
  <c r="T2401" i="2"/>
  <c r="D724" i="2"/>
  <c r="W535" i="2"/>
  <c r="F1645" i="2"/>
  <c r="L2303" i="2"/>
  <c r="I2002" i="2"/>
  <c r="Q2050" i="2"/>
  <c r="V1717" i="2"/>
  <c r="J443" i="2"/>
  <c r="J9" i="2"/>
  <c r="I1887" i="2"/>
  <c r="R2673" i="2"/>
  <c r="G1533" i="2"/>
  <c r="K956" i="2"/>
  <c r="V1967" i="2"/>
  <c r="P650" i="2"/>
  <c r="Q2270" i="2"/>
  <c r="D2579" i="2"/>
  <c r="G1588" i="2"/>
  <c r="P2945" i="2"/>
  <c r="K2219" i="2"/>
  <c r="R2519" i="2"/>
  <c r="D2836" i="2"/>
  <c r="F1735" i="2"/>
  <c r="F1266" i="2"/>
  <c r="C1965" i="2"/>
  <c r="C400" i="2"/>
  <c r="M239" i="2"/>
  <c r="H1433" i="2"/>
  <c r="H1494" i="2"/>
  <c r="H335" i="2"/>
  <c r="N2372" i="2"/>
  <c r="V1331" i="2"/>
  <c r="G581" i="2"/>
  <c r="N227" i="2"/>
  <c r="P2079" i="2"/>
  <c r="F2890" i="2"/>
  <c r="P1258" i="2"/>
  <c r="E1631" i="2"/>
  <c r="L355" i="2"/>
  <c r="W2284" i="2"/>
  <c r="E636" i="2"/>
  <c r="G482" i="2"/>
  <c r="L2164" i="2"/>
  <c r="W120" i="2"/>
  <c r="H1628" i="2"/>
  <c r="F955" i="2"/>
  <c r="J738" i="2"/>
  <c r="R1219" i="2"/>
  <c r="L1898" i="2"/>
  <c r="N2303" i="2"/>
  <c r="V1847" i="2"/>
  <c r="D1456" i="2"/>
  <c r="E955" i="2"/>
  <c r="L534" i="2"/>
  <c r="S2971" i="2"/>
  <c r="W365" i="2"/>
  <c r="H1282" i="2"/>
  <c r="J668" i="2"/>
  <c r="D1759" i="2"/>
  <c r="T210" i="2"/>
  <c r="P970" i="2"/>
  <c r="K1272" i="2"/>
  <c r="R1002" i="2"/>
  <c r="Q2880" i="2"/>
  <c r="M475" i="2"/>
  <c r="J2000" i="2"/>
  <c r="C2940" i="2"/>
  <c r="F3227" i="2"/>
  <c r="J1766" i="2"/>
  <c r="T248" i="2"/>
  <c r="I678" i="2"/>
  <c r="C1079" i="2"/>
  <c r="K1636" i="2"/>
  <c r="O460" i="2"/>
  <c r="U2258" i="2"/>
  <c r="H3319" i="2"/>
  <c r="L642" i="2"/>
  <c r="E1524" i="2"/>
  <c r="O606" i="2"/>
  <c r="F2059" i="2"/>
  <c r="T311" i="2"/>
  <c r="E1247" i="2"/>
  <c r="W765" i="2"/>
  <c r="F699" i="2"/>
  <c r="M1090" i="2"/>
  <c r="N1909" i="2"/>
  <c r="M50" i="2"/>
  <c r="V3278" i="2"/>
  <c r="G52" i="2"/>
  <c r="R1872" i="2"/>
  <c r="V1040" i="2"/>
  <c r="E382" i="2"/>
  <c r="L985" i="2"/>
  <c r="Q933" i="2"/>
  <c r="S2033" i="2"/>
  <c r="S2017" i="2"/>
  <c r="O401" i="2"/>
  <c r="K964" i="2"/>
  <c r="F977" i="2"/>
  <c r="T75" i="2"/>
  <c r="D33" i="2"/>
  <c r="V416" i="2"/>
  <c r="K1100" i="2"/>
  <c r="T2017" i="2"/>
  <c r="R2272" i="2"/>
  <c r="K1830" i="2"/>
  <c r="D2143" i="2"/>
  <c r="V190" i="2"/>
  <c r="S3095" i="2"/>
  <c r="E1600" i="2"/>
  <c r="S490" i="2"/>
  <c r="C1247" i="2"/>
  <c r="J285" i="2"/>
  <c r="O693" i="2"/>
  <c r="O2440" i="2"/>
  <c r="T58" i="2"/>
  <c r="V1279" i="2"/>
  <c r="I1631" i="2"/>
  <c r="C1354" i="2"/>
  <c r="H856" i="2"/>
  <c r="C1248" i="2"/>
  <c r="R436" i="2"/>
  <c r="H1394" i="2"/>
  <c r="R31" i="2"/>
  <c r="R541" i="2"/>
  <c r="H767" i="2"/>
  <c r="P2471" i="2"/>
  <c r="O170" i="2"/>
  <c r="Q2124" i="2"/>
  <c r="T1808" i="2"/>
  <c r="S1948" i="2"/>
  <c r="L137" i="2"/>
  <c r="K2864" i="2"/>
  <c r="E2656" i="2"/>
  <c r="O1796" i="2"/>
  <c r="F447" i="2"/>
  <c r="L1846" i="2"/>
  <c r="M7" i="2"/>
  <c r="H854" i="2"/>
  <c r="G1604" i="2"/>
  <c r="Q1655" i="2"/>
  <c r="I1904" i="2"/>
  <c r="M2398" i="2"/>
  <c r="H397" i="2"/>
  <c r="E682" i="2"/>
  <c r="I2823" i="2"/>
  <c r="J1595" i="2"/>
  <c r="J3007" i="2"/>
  <c r="D2132" i="2"/>
  <c r="E1891" i="2"/>
  <c r="S625" i="2"/>
  <c r="C821" i="2"/>
  <c r="D758" i="2"/>
  <c r="E1234" i="2"/>
  <c r="U3486" i="2"/>
  <c r="F2439" i="2"/>
  <c r="R898" i="2"/>
  <c r="R1241" i="2"/>
  <c r="V2900" i="2"/>
  <c r="K1300" i="2"/>
  <c r="H454" i="2"/>
  <c r="W661" i="2"/>
  <c r="I1371" i="2"/>
  <c r="V1786" i="2"/>
  <c r="Q1327" i="2"/>
  <c r="E2932" i="2"/>
  <c r="I2425" i="2"/>
  <c r="S1785" i="2"/>
  <c r="R346" i="2"/>
  <c r="K317" i="2"/>
  <c r="P1846" i="2"/>
  <c r="O1701" i="2"/>
  <c r="O1457" i="2"/>
  <c r="K2158" i="2"/>
  <c r="S463" i="2"/>
  <c r="L1253" i="2"/>
  <c r="M2123" i="2"/>
  <c r="K498" i="2"/>
  <c r="H1540" i="2"/>
  <c r="T2760" i="2"/>
  <c r="W990" i="2"/>
  <c r="R565" i="2"/>
  <c r="O120" i="2"/>
  <c r="E1002" i="2"/>
  <c r="Q109" i="2"/>
  <c r="Q2354" i="2"/>
  <c r="J1452" i="2"/>
  <c r="J54" i="2"/>
  <c r="R972" i="2"/>
  <c r="L2495" i="2"/>
  <c r="U823" i="2"/>
  <c r="V1090" i="2"/>
  <c r="U818" i="2"/>
  <c r="P2683" i="2"/>
  <c r="L74" i="2"/>
  <c r="V1680" i="2"/>
  <c r="M2381" i="2"/>
  <c r="W418" i="2"/>
  <c r="P476" i="2"/>
  <c r="C641" i="2"/>
  <c r="U1616" i="2"/>
  <c r="R425" i="2"/>
  <c r="Q3277" i="2"/>
  <c r="G119" i="2"/>
  <c r="W1884" i="2"/>
  <c r="E1410" i="2"/>
  <c r="D1590" i="2"/>
  <c r="S477" i="2"/>
  <c r="H1262" i="2"/>
  <c r="W1735" i="2"/>
  <c r="H515" i="2"/>
  <c r="V1922" i="2"/>
  <c r="L400" i="2"/>
  <c r="R669" i="2"/>
  <c r="J2515" i="2"/>
  <c r="Q368" i="2"/>
  <c r="P2648" i="2"/>
  <c r="V422" i="2"/>
  <c r="C2128" i="2"/>
  <c r="K1375" i="2"/>
  <c r="R364" i="2"/>
  <c r="E1285" i="2"/>
  <c r="P2084" i="2"/>
  <c r="C317" i="2"/>
  <c r="C235" i="2"/>
  <c r="G2656" i="2"/>
  <c r="C1518" i="2"/>
  <c r="U472" i="2"/>
  <c r="M1703" i="2"/>
  <c r="E1241" i="2"/>
  <c r="L1076" i="2"/>
  <c r="G949" i="2"/>
  <c r="W2435" i="2"/>
  <c r="R1273" i="2"/>
  <c r="F1503" i="2"/>
  <c r="H150" i="2"/>
  <c r="L1488" i="2"/>
  <c r="Q36" i="2"/>
  <c r="T439" i="2"/>
  <c r="F111" i="2"/>
  <c r="W400" i="2"/>
  <c r="E1502" i="2"/>
  <c r="T195" i="2"/>
  <c r="E1438" i="2"/>
  <c r="I780" i="2"/>
  <c r="D482" i="2"/>
  <c r="E307" i="2"/>
  <c r="N1585" i="2"/>
  <c r="P1974" i="2"/>
  <c r="F1463" i="2"/>
  <c r="U806" i="2"/>
  <c r="G1283" i="2"/>
  <c r="V3274" i="2"/>
  <c r="F1255" i="2"/>
  <c r="G1579" i="2"/>
  <c r="K467" i="2"/>
  <c r="O1713" i="2"/>
  <c r="K2738" i="2"/>
  <c r="F1564" i="2"/>
  <c r="N1551" i="2"/>
  <c r="G181" i="2"/>
  <c r="N744" i="2"/>
  <c r="O1348" i="2"/>
  <c r="Q463" i="2"/>
  <c r="W1532" i="2"/>
  <c r="V7" i="2"/>
  <c r="F2724" i="2"/>
  <c r="E1946" i="2"/>
  <c r="F63" i="2"/>
  <c r="G140" i="2"/>
  <c r="M3226" i="2"/>
  <c r="M1871" i="2"/>
  <c r="T1647" i="2"/>
  <c r="H1956" i="2"/>
  <c r="C1509" i="2"/>
  <c r="P2789" i="2"/>
  <c r="R849" i="2"/>
  <c r="H1880" i="2"/>
  <c r="T1465" i="2"/>
  <c r="J654" i="2"/>
  <c r="N1199" i="2"/>
  <c r="V870" i="2"/>
  <c r="K2251" i="2"/>
  <c r="I1157" i="2"/>
  <c r="U1343" i="2"/>
  <c r="J2153" i="2"/>
  <c r="O3115" i="2"/>
  <c r="V2127" i="2"/>
  <c r="O346" i="2"/>
  <c r="T914" i="2"/>
  <c r="C987" i="2"/>
  <c r="P792" i="2"/>
  <c r="H133" i="2"/>
  <c r="M1480" i="2"/>
  <c r="D260" i="2"/>
  <c r="G613" i="2"/>
  <c r="C205" i="2"/>
  <c r="T1267" i="2"/>
  <c r="C1808" i="2"/>
  <c r="E95" i="2"/>
  <c r="K393" i="2"/>
  <c r="P1485" i="2"/>
  <c r="P367" i="2"/>
  <c r="C495" i="2"/>
  <c r="J2457" i="2"/>
  <c r="H869" i="2"/>
  <c r="D62" i="2"/>
  <c r="I1014" i="2"/>
  <c r="T342" i="2"/>
  <c r="L143" i="2"/>
  <c r="O3017" i="2"/>
  <c r="D1254" i="2"/>
  <c r="S370" i="2"/>
  <c r="F1099" i="2"/>
  <c r="M67" i="2"/>
  <c r="V937" i="2"/>
  <c r="L1318" i="2"/>
  <c r="N1731" i="2"/>
  <c r="G531" i="2"/>
  <c r="V2191" i="2"/>
  <c r="E821" i="2"/>
  <c r="K2188" i="2"/>
  <c r="E1607" i="2"/>
  <c r="N2308" i="2"/>
  <c r="W142" i="2"/>
  <c r="I2014" i="2"/>
  <c r="C691" i="2"/>
  <c r="C2150" i="2"/>
  <c r="W1944" i="2"/>
  <c r="R1248" i="2"/>
  <c r="P324" i="2"/>
  <c r="T472" i="2"/>
  <c r="R562" i="2"/>
  <c r="T1443" i="2"/>
  <c r="N2814" i="2"/>
  <c r="E1197" i="2"/>
  <c r="Q390" i="2"/>
  <c r="J427" i="2"/>
  <c r="I29" i="2"/>
  <c r="J2592" i="2"/>
  <c r="R916" i="2"/>
  <c r="W2408" i="2"/>
  <c r="D1833" i="2"/>
  <c r="T1884" i="2"/>
  <c r="E1202" i="2"/>
  <c r="F166" i="2"/>
  <c r="E2464" i="2"/>
  <c r="O1717" i="2"/>
  <c r="P269" i="2"/>
  <c r="U1390" i="2"/>
  <c r="M1183" i="2"/>
  <c r="N363" i="2"/>
  <c r="J1413" i="2"/>
  <c r="I832" i="2"/>
  <c r="E421" i="2"/>
  <c r="J406" i="2"/>
  <c r="Q436" i="2"/>
  <c r="S297" i="2"/>
  <c r="T1130" i="2"/>
  <c r="G1363" i="2"/>
  <c r="T1174" i="2"/>
  <c r="E285" i="2"/>
  <c r="O1009" i="2"/>
  <c r="L1389" i="2"/>
  <c r="K2365" i="2"/>
  <c r="S2055" i="2"/>
  <c r="M852" i="2"/>
  <c r="E1622" i="2"/>
  <c r="I1366" i="2"/>
  <c r="L2074" i="2"/>
  <c r="V573" i="2"/>
  <c r="V1674" i="2"/>
  <c r="I2657" i="2"/>
  <c r="S1857" i="2"/>
  <c r="U3196" i="2"/>
  <c r="L606" i="2"/>
  <c r="W767" i="2"/>
  <c r="R745" i="2"/>
  <c r="J1991" i="2"/>
  <c r="K568" i="2"/>
  <c r="R550" i="2"/>
  <c r="M1151" i="2"/>
  <c r="R1727" i="2"/>
  <c r="K2660" i="2"/>
  <c r="I2455" i="2"/>
  <c r="Q2923" i="2"/>
  <c r="V2695" i="2"/>
  <c r="F2184" i="2"/>
  <c r="H1872" i="2"/>
  <c r="T2084" i="2"/>
  <c r="O1655" i="2"/>
  <c r="W2604" i="2"/>
  <c r="G283" i="2"/>
  <c r="C1609" i="2"/>
  <c r="Q2276" i="2"/>
  <c r="P2072" i="2"/>
  <c r="K1111" i="2"/>
  <c r="F986" i="2"/>
  <c r="R1589" i="2"/>
  <c r="Q1102" i="2"/>
  <c r="S974" i="2"/>
  <c r="T2505" i="2"/>
  <c r="F1232" i="2"/>
  <c r="W1299" i="2"/>
  <c r="W1071" i="2"/>
  <c r="U990" i="2"/>
  <c r="H806" i="2"/>
  <c r="L1421" i="2"/>
  <c r="S2142" i="2"/>
  <c r="H608" i="2"/>
  <c r="I155" i="2"/>
  <c r="E1391" i="2"/>
  <c r="M1571" i="2"/>
  <c r="R990" i="2"/>
  <c r="N1093" i="2"/>
  <c r="C1339" i="2"/>
  <c r="U2407" i="2"/>
  <c r="J1500" i="2"/>
  <c r="N2421" i="2"/>
  <c r="V146" i="2"/>
  <c r="J2003" i="2"/>
  <c r="W2461" i="2"/>
  <c r="M1670" i="2"/>
  <c r="F1650" i="2"/>
  <c r="H786" i="2"/>
  <c r="I240" i="2"/>
  <c r="N1920" i="2"/>
  <c r="I1261" i="2"/>
  <c r="G1274" i="2"/>
  <c r="E2000" i="2"/>
  <c r="P87" i="2"/>
  <c r="E871" i="2"/>
  <c r="K2171" i="2"/>
  <c r="H1168" i="2"/>
  <c r="E1963" i="2"/>
  <c r="G2933" i="2"/>
  <c r="P396" i="2"/>
  <c r="U996" i="2"/>
  <c r="J819" i="2"/>
  <c r="J1070" i="2"/>
  <c r="T637" i="2"/>
  <c r="L2558" i="2"/>
  <c r="V2001" i="2"/>
  <c r="C613" i="2"/>
  <c r="M1825" i="2"/>
  <c r="R823" i="2"/>
  <c r="W314" i="2"/>
  <c r="Q599" i="2"/>
  <c r="R2155" i="2"/>
  <c r="M701" i="2"/>
  <c r="F1276" i="2"/>
  <c r="W514" i="2"/>
  <c r="J1238" i="2"/>
  <c r="G923" i="2"/>
  <c r="G1132" i="2"/>
  <c r="I1573" i="2"/>
  <c r="P981" i="2"/>
  <c r="C2668" i="2"/>
  <c r="M2438" i="2"/>
  <c r="N1521" i="2"/>
  <c r="P894" i="2"/>
  <c r="V332" i="2"/>
  <c r="F2164" i="2"/>
  <c r="D3476" i="2"/>
  <c r="S2394" i="2"/>
  <c r="K646" i="2"/>
  <c r="P1425" i="2"/>
  <c r="V310" i="2"/>
  <c r="G786" i="2"/>
  <c r="Q1186" i="2"/>
  <c r="R2469" i="2"/>
  <c r="L3186" i="2"/>
  <c r="V1866" i="2"/>
  <c r="V2061" i="2"/>
  <c r="W1972" i="2"/>
  <c r="N2364" i="2"/>
  <c r="V153" i="2"/>
  <c r="F2672" i="2"/>
  <c r="S310" i="2"/>
  <c r="Q2547" i="2"/>
  <c r="O3020" i="2"/>
  <c r="L2900" i="2"/>
  <c r="V319" i="2"/>
  <c r="D935" i="2"/>
  <c r="G726" i="2"/>
  <c r="G2534" i="2"/>
  <c r="W238" i="2"/>
  <c r="U1801" i="2"/>
  <c r="I318" i="2"/>
  <c r="F1029" i="2"/>
  <c r="C311" i="2"/>
  <c r="S570" i="2"/>
  <c r="K2366" i="2"/>
  <c r="K313" i="2"/>
  <c r="K1437" i="2"/>
  <c r="Q2071" i="2"/>
  <c r="F2382" i="2"/>
  <c r="J199" i="2"/>
  <c r="Q2027" i="2"/>
  <c r="I1423" i="2"/>
  <c r="T72" i="2"/>
  <c r="O1652" i="2"/>
  <c r="O56" i="2"/>
  <c r="E1029" i="2"/>
  <c r="P1882" i="2"/>
  <c r="Q2514" i="2"/>
  <c r="M797" i="2"/>
  <c r="W482" i="2"/>
  <c r="J99" i="2"/>
  <c r="M150" i="2"/>
  <c r="D671" i="2"/>
  <c r="T1736" i="2"/>
  <c r="V2864" i="2"/>
  <c r="Q55" i="2"/>
  <c r="G1765" i="2"/>
  <c r="J1352" i="2"/>
  <c r="E183" i="2"/>
  <c r="E1466" i="2"/>
  <c r="F1290" i="2"/>
  <c r="I1103" i="2"/>
  <c r="U2082" i="2"/>
  <c r="T295" i="2"/>
  <c r="J1840" i="2"/>
  <c r="J750" i="2"/>
  <c r="H1830" i="2"/>
  <c r="W112" i="2"/>
  <c r="D762" i="2"/>
  <c r="U1718" i="2"/>
  <c r="P771" i="2"/>
  <c r="R1675" i="2"/>
  <c r="W275" i="2"/>
  <c r="M2444" i="2"/>
  <c r="Q891" i="2"/>
  <c r="F78" i="2"/>
  <c r="W1151" i="2"/>
  <c r="W680" i="2"/>
  <c r="D2164" i="2"/>
  <c r="V925" i="2"/>
  <c r="S755" i="2"/>
  <c r="N2383" i="2"/>
  <c r="Q1202" i="2"/>
  <c r="V683" i="2"/>
  <c r="P1595" i="2"/>
  <c r="N175" i="2"/>
  <c r="D3240" i="2"/>
  <c r="F136" i="2"/>
  <c r="E2028" i="2"/>
  <c r="C762" i="2"/>
  <c r="E2473" i="2"/>
  <c r="N2260" i="2"/>
  <c r="H2672" i="2"/>
  <c r="C2830" i="2"/>
  <c r="N504" i="2"/>
  <c r="R1453" i="2"/>
  <c r="I114" i="2"/>
  <c r="G1483" i="2"/>
  <c r="E789" i="2"/>
  <c r="G2725" i="2"/>
  <c r="E2762" i="2"/>
  <c r="J518" i="2"/>
  <c r="G2448" i="2"/>
  <c r="V1385" i="2"/>
  <c r="L1831" i="2"/>
  <c r="O1671" i="2"/>
  <c r="S1102" i="2"/>
  <c r="R1622" i="2"/>
  <c r="H1725" i="2"/>
  <c r="J1148" i="2"/>
  <c r="F197" i="2"/>
  <c r="F2149" i="2"/>
  <c r="E2084" i="2"/>
  <c r="C551" i="2"/>
  <c r="F2831" i="2"/>
  <c r="D2220" i="2"/>
  <c r="G2927" i="2"/>
  <c r="L1724" i="2"/>
  <c r="K784" i="2"/>
  <c r="R2539" i="2"/>
  <c r="G15" i="2"/>
  <c r="P1743" i="2"/>
  <c r="C1063" i="2"/>
  <c r="H2424" i="2"/>
  <c r="F255" i="2"/>
  <c r="Q2853" i="2"/>
  <c r="V1240" i="2"/>
  <c r="U982" i="2"/>
  <c r="E1912" i="2"/>
  <c r="H2456" i="2"/>
  <c r="E2246" i="2"/>
  <c r="F2482" i="2"/>
  <c r="E1116" i="2"/>
  <c r="R2085" i="2"/>
  <c r="U3221" i="2"/>
  <c r="O62" i="2"/>
  <c r="H911" i="2"/>
  <c r="J60" i="2"/>
  <c r="H1790" i="2"/>
  <c r="V909" i="2"/>
  <c r="O3093" i="2"/>
  <c r="U2201" i="2"/>
  <c r="O2307" i="2"/>
  <c r="F522" i="2"/>
  <c r="J143" i="2"/>
  <c r="M616" i="2"/>
  <c r="V1626" i="2"/>
  <c r="R1678" i="2"/>
  <c r="H1200" i="2"/>
  <c r="M2809" i="2"/>
  <c r="E2634" i="2"/>
  <c r="I1272" i="2"/>
  <c r="N2664" i="2"/>
  <c r="E1183" i="2"/>
  <c r="M2793" i="2"/>
  <c r="C3286" i="2"/>
  <c r="T846" i="2"/>
  <c r="W1268" i="2"/>
  <c r="L1917" i="2"/>
  <c r="G722" i="2"/>
  <c r="L868" i="2"/>
  <c r="Q1079" i="2"/>
  <c r="W1964" i="2"/>
  <c r="P3280" i="2"/>
  <c r="R2578" i="2"/>
  <c r="D1678" i="2"/>
  <c r="E2328" i="2"/>
  <c r="H1612" i="2"/>
  <c r="F2100" i="2"/>
  <c r="O1298" i="2"/>
  <c r="F1374" i="2"/>
  <c r="R596" i="2"/>
  <c r="T289" i="2"/>
  <c r="U288" i="2"/>
  <c r="E624" i="2"/>
  <c r="U1305" i="2"/>
  <c r="H1643" i="2"/>
  <c r="O2474" i="2"/>
  <c r="D2319" i="2"/>
  <c r="L262" i="2"/>
  <c r="M1242" i="2"/>
  <c r="V1270" i="2"/>
  <c r="J89" i="2"/>
  <c r="W2016" i="2"/>
  <c r="M293" i="2"/>
  <c r="G1697" i="2"/>
  <c r="O2724" i="2"/>
  <c r="S1068" i="2"/>
  <c r="K2504" i="2"/>
  <c r="T2103" i="2"/>
  <c r="K1364" i="2"/>
  <c r="H1057" i="2"/>
  <c r="T897" i="2"/>
  <c r="L1150" i="2"/>
  <c r="J506" i="2"/>
  <c r="L1876" i="2"/>
  <c r="N1679" i="2"/>
  <c r="K2319" i="2"/>
  <c r="C1528" i="2"/>
  <c r="O26" i="2"/>
  <c r="D788" i="2"/>
  <c r="U1889" i="2"/>
  <c r="J1008" i="2"/>
  <c r="L629" i="2"/>
  <c r="R33" i="2"/>
  <c r="J968" i="2"/>
  <c r="D419" i="2"/>
  <c r="R2703" i="2"/>
  <c r="E1357" i="2"/>
  <c r="N2309" i="2"/>
  <c r="Q877" i="2"/>
  <c r="E970" i="2"/>
  <c r="J651" i="2"/>
  <c r="K2129" i="2"/>
  <c r="U1702" i="2"/>
  <c r="P740" i="2"/>
  <c r="M1266" i="2"/>
  <c r="P878" i="2"/>
  <c r="T1469" i="2"/>
  <c r="P2028" i="2"/>
  <c r="L2721" i="2"/>
  <c r="D1129" i="2"/>
  <c r="M1649" i="2"/>
  <c r="C3169" i="2"/>
  <c r="T1218" i="2"/>
  <c r="R1718" i="2"/>
  <c r="C796" i="2"/>
  <c r="H1680" i="2"/>
  <c r="U2838" i="2"/>
  <c r="N1434" i="2"/>
  <c r="I2796" i="2"/>
  <c r="J2842" i="2"/>
  <c r="P180" i="2"/>
  <c r="F2466" i="2"/>
  <c r="F2274" i="2"/>
  <c r="I111" i="2"/>
  <c r="J3339" i="2"/>
  <c r="L246" i="2"/>
  <c r="U131" i="2"/>
  <c r="W2126" i="2"/>
  <c r="V1348" i="2"/>
  <c r="C97" i="2"/>
  <c r="J51" i="2"/>
  <c r="V2244" i="2"/>
  <c r="P750" i="2"/>
  <c r="H2096" i="2"/>
  <c r="T1344" i="2"/>
  <c r="O2469" i="2"/>
  <c r="W1371" i="2"/>
  <c r="I243" i="2"/>
  <c r="H1066" i="2"/>
  <c r="D899" i="2"/>
  <c r="V269" i="2"/>
  <c r="M1999" i="2"/>
  <c r="D919" i="2"/>
  <c r="G411" i="2"/>
  <c r="H327" i="2"/>
  <c r="R1740" i="2"/>
  <c r="L688" i="2"/>
  <c r="I1978" i="2"/>
  <c r="N933" i="2"/>
  <c r="M2431" i="2"/>
  <c r="E2461" i="2"/>
  <c r="E1443" i="2"/>
  <c r="L1337" i="2"/>
  <c r="O1569" i="2"/>
  <c r="R638" i="2"/>
  <c r="U612" i="2"/>
  <c r="H947" i="2"/>
  <c r="O882" i="2"/>
  <c r="I873" i="2"/>
  <c r="G844" i="2"/>
  <c r="G1530" i="2"/>
  <c r="N1340" i="2"/>
  <c r="I829" i="2"/>
  <c r="D1367" i="2"/>
  <c r="D866" i="2"/>
  <c r="F262" i="2"/>
  <c r="T197" i="2"/>
  <c r="Q58" i="2"/>
  <c r="Q617" i="2"/>
  <c r="E1119" i="2"/>
  <c r="W3238" i="2"/>
  <c r="H941" i="2"/>
  <c r="H401" i="2"/>
  <c r="N239" i="2"/>
  <c r="Q529" i="2"/>
  <c r="E2100" i="2"/>
  <c r="H2856" i="2"/>
  <c r="K2106" i="2"/>
  <c r="R1487" i="2"/>
  <c r="V1899" i="2"/>
  <c r="S1145" i="2"/>
  <c r="F1308" i="2"/>
  <c r="E2150" i="2"/>
  <c r="I1367" i="2"/>
  <c r="O951" i="2"/>
  <c r="W28" i="2"/>
  <c r="U2735" i="2"/>
  <c r="R201" i="2"/>
  <c r="C1029" i="2"/>
  <c r="R1155" i="2"/>
  <c r="T2997" i="2"/>
  <c r="T5" i="2"/>
  <c r="O2350" i="2"/>
  <c r="U2472" i="2"/>
  <c r="N1294" i="2"/>
  <c r="S696" i="2"/>
  <c r="F523" i="2"/>
  <c r="C438" i="2"/>
  <c r="C1109" i="2"/>
  <c r="N1205" i="2"/>
  <c r="F270" i="2"/>
  <c r="Q135" i="2"/>
  <c r="I2546" i="2"/>
  <c r="J1084" i="2"/>
  <c r="F967" i="2"/>
  <c r="I1560" i="2"/>
  <c r="I1373" i="2"/>
  <c r="F1862" i="2"/>
  <c r="N2103" i="2"/>
  <c r="T1261" i="2"/>
  <c r="F1935" i="2"/>
  <c r="Q1760" i="2"/>
  <c r="H2486" i="2"/>
  <c r="O503" i="2"/>
  <c r="G1652" i="2"/>
  <c r="V376" i="2"/>
  <c r="C747" i="2"/>
  <c r="H2154" i="2"/>
  <c r="U487" i="2"/>
  <c r="W1989" i="2"/>
  <c r="D458" i="2"/>
  <c r="D2922" i="2"/>
  <c r="N1036" i="2"/>
  <c r="S1181" i="2"/>
  <c r="I651" i="2"/>
  <c r="C1971" i="2"/>
  <c r="T1695" i="2"/>
  <c r="C1050" i="2"/>
  <c r="N2264" i="2"/>
  <c r="I937" i="2"/>
  <c r="R71" i="2"/>
  <c r="G1536" i="2"/>
  <c r="U1392" i="2"/>
  <c r="I1946" i="2"/>
  <c r="V2802" i="2"/>
  <c r="K932" i="2"/>
  <c r="J1715" i="2"/>
  <c r="I1609" i="2"/>
  <c r="T607" i="2"/>
  <c r="T1902" i="2"/>
  <c r="C657" i="2"/>
  <c r="U2750" i="2"/>
  <c r="R1944" i="2"/>
  <c r="C1191" i="2"/>
  <c r="Q375" i="2"/>
  <c r="T1949" i="2"/>
  <c r="T1570" i="2"/>
  <c r="D3414" i="2"/>
  <c r="W1821" i="2"/>
  <c r="P2570" i="2"/>
  <c r="H2933" i="2"/>
  <c r="J1445" i="2"/>
  <c r="K2382" i="2"/>
  <c r="U1346" i="2"/>
  <c r="W957" i="2"/>
  <c r="T551" i="2"/>
  <c r="F1112" i="2"/>
  <c r="W902" i="2"/>
  <c r="T890" i="2"/>
  <c r="E2399" i="2"/>
  <c r="K76" i="2"/>
  <c r="T883" i="2"/>
  <c r="O532" i="2"/>
  <c r="V59" i="2"/>
  <c r="R423" i="2"/>
  <c r="F463" i="2"/>
  <c r="N2882" i="2"/>
  <c r="N1632" i="2"/>
  <c r="F1606" i="2"/>
  <c r="N796" i="2"/>
  <c r="C345" i="2"/>
  <c r="M917" i="2"/>
  <c r="J463" i="2"/>
  <c r="U1300" i="2"/>
  <c r="I1397" i="2"/>
  <c r="W832" i="2"/>
  <c r="O49" i="2"/>
  <c r="U310" i="2"/>
  <c r="S1915" i="2"/>
  <c r="P863" i="2"/>
  <c r="D66" i="2"/>
  <c r="L2918" i="2"/>
  <c r="M2572" i="2"/>
  <c r="D1536" i="2"/>
  <c r="F2368" i="2"/>
  <c r="E474" i="2"/>
  <c r="D1361" i="2"/>
  <c r="F1728" i="2"/>
  <c r="L2066" i="2"/>
  <c r="T1376" i="2"/>
  <c r="S677" i="2"/>
  <c r="T611" i="2"/>
  <c r="T1189" i="2"/>
  <c r="S183" i="2"/>
  <c r="L1800" i="2"/>
  <c r="D1060" i="2"/>
  <c r="O2879" i="2"/>
  <c r="C1403" i="2"/>
  <c r="I2008" i="2"/>
  <c r="W2661" i="2"/>
  <c r="M2553" i="2"/>
  <c r="T2744" i="2"/>
  <c r="W2569" i="2"/>
  <c r="V1462" i="2"/>
  <c r="R2147" i="2"/>
  <c r="K2328" i="2"/>
  <c r="D2536" i="2"/>
  <c r="H3293" i="2"/>
  <c r="H2065" i="2"/>
  <c r="M2426" i="2"/>
  <c r="E958" i="2"/>
  <c r="G1761" i="2"/>
  <c r="J920" i="2"/>
  <c r="N2293" i="2"/>
  <c r="V1387" i="2"/>
  <c r="E1916" i="2"/>
  <c r="E1414" i="2"/>
  <c r="L801" i="2"/>
  <c r="V1657" i="2"/>
  <c r="K2447" i="2"/>
  <c r="M1312" i="2"/>
  <c r="T771" i="2"/>
  <c r="U553" i="2"/>
  <c r="H1453" i="2"/>
  <c r="M1275" i="2"/>
  <c r="D1889" i="2"/>
  <c r="I3171" i="2"/>
  <c r="D1949" i="2"/>
  <c r="J1056" i="2"/>
  <c r="W2214" i="2"/>
  <c r="L2244" i="2"/>
  <c r="N3062" i="2"/>
  <c r="J632" i="2"/>
  <c r="I2165" i="2"/>
  <c r="C1697" i="2"/>
  <c r="R2245" i="2"/>
  <c r="C2877" i="2"/>
  <c r="Q2484" i="2"/>
  <c r="L1117" i="2"/>
  <c r="H1922" i="2"/>
  <c r="I897" i="2"/>
  <c r="V978" i="2"/>
  <c r="N1583" i="2"/>
  <c r="N2571" i="2"/>
  <c r="S960" i="2"/>
  <c r="E1859" i="2"/>
  <c r="N2934" i="2"/>
  <c r="O941" i="2"/>
  <c r="U2661" i="2"/>
  <c r="G404" i="2"/>
  <c r="J79" i="2"/>
  <c r="F100" i="2"/>
  <c r="I2270" i="2"/>
  <c r="J1676" i="2"/>
  <c r="O1601" i="2"/>
  <c r="W1613" i="2"/>
  <c r="T768" i="2"/>
  <c r="U263" i="2"/>
  <c r="O161" i="2"/>
  <c r="R1702" i="2"/>
  <c r="L1299" i="2"/>
  <c r="S2775" i="2"/>
  <c r="Q169" i="2"/>
  <c r="U1790" i="2"/>
  <c r="S910" i="2"/>
  <c r="L587" i="2"/>
  <c r="S761" i="2"/>
  <c r="K2480" i="2"/>
  <c r="R2712" i="2"/>
  <c r="N426" i="2"/>
  <c r="J308" i="2"/>
  <c r="K1197" i="2"/>
  <c r="K2093" i="2"/>
  <c r="S612" i="2"/>
  <c r="R1075" i="2"/>
  <c r="J512" i="2"/>
  <c r="N306" i="2"/>
  <c r="T185" i="2"/>
  <c r="K2903" i="2"/>
  <c r="D1415" i="2"/>
  <c r="N89" i="2"/>
  <c r="F2286" i="2"/>
  <c r="D60" i="2"/>
  <c r="R1382" i="2"/>
  <c r="N1363" i="2"/>
  <c r="F722" i="2"/>
  <c r="E2424" i="2"/>
  <c r="P1774" i="2"/>
  <c r="V230" i="2"/>
  <c r="H2590" i="2"/>
  <c r="T1931" i="2"/>
  <c r="C868" i="2"/>
  <c r="T227" i="2"/>
  <c r="N248" i="2"/>
  <c r="W2773" i="2"/>
  <c r="K2640" i="2"/>
  <c r="S1289" i="2"/>
  <c r="F2112" i="2"/>
  <c r="H1545" i="2"/>
  <c r="G1018" i="2"/>
  <c r="I812" i="2"/>
  <c r="S1840" i="2"/>
  <c r="T1677" i="2"/>
  <c r="T1296" i="2"/>
  <c r="M383" i="2"/>
  <c r="S497" i="2"/>
  <c r="U2182" i="2"/>
  <c r="C1471" i="2"/>
  <c r="K1260" i="2"/>
  <c r="E2052" i="2"/>
  <c r="U126" i="2"/>
  <c r="H1364" i="2"/>
  <c r="W1121" i="2"/>
  <c r="P2657" i="2"/>
  <c r="R1463" i="2"/>
  <c r="R2713" i="2"/>
  <c r="N728" i="2"/>
  <c r="Q76" i="2"/>
  <c r="W2234" i="2"/>
  <c r="S321" i="2"/>
  <c r="L375" i="2"/>
  <c r="J1735" i="2"/>
  <c r="K1411" i="2"/>
  <c r="R2141" i="2"/>
  <c r="C1948" i="2"/>
  <c r="U266" i="2"/>
  <c r="D872" i="2"/>
  <c r="N2487" i="2"/>
  <c r="V235" i="2"/>
  <c r="J544" i="2"/>
  <c r="P35" i="2"/>
  <c r="L489" i="2"/>
  <c r="U915" i="2"/>
  <c r="G564" i="2"/>
  <c r="U205" i="2"/>
  <c r="V3035" i="2"/>
  <c r="Q870" i="2"/>
  <c r="F1593" i="2"/>
  <c r="E834" i="2"/>
  <c r="J785" i="2"/>
  <c r="T138" i="2"/>
  <c r="Q2472" i="2"/>
  <c r="D1152" i="2"/>
  <c r="T752" i="2"/>
  <c r="F920" i="2"/>
  <c r="O264" i="2"/>
  <c r="L1486" i="2"/>
  <c r="O2054" i="2"/>
  <c r="D440" i="2"/>
  <c r="G126" i="2"/>
  <c r="S2609" i="2"/>
  <c r="W3509" i="2"/>
  <c r="D157" i="2"/>
  <c r="J650" i="2"/>
  <c r="F1289" i="2"/>
  <c r="O343" i="2"/>
  <c r="S2428" i="2"/>
  <c r="V3061" i="2"/>
  <c r="U2146" i="2"/>
  <c r="F1131" i="2"/>
  <c r="G916" i="2"/>
  <c r="L129" i="2"/>
  <c r="S1287" i="2"/>
  <c r="G2828" i="2"/>
  <c r="G2098" i="2"/>
  <c r="K1687" i="2"/>
  <c r="S2092" i="2"/>
  <c r="J411" i="2"/>
  <c r="J617" i="2"/>
  <c r="I1921" i="2"/>
  <c r="F561" i="2"/>
  <c r="E813" i="2"/>
  <c r="R2111" i="2"/>
  <c r="F2858" i="2"/>
  <c r="J454" i="2"/>
  <c r="F583" i="2"/>
  <c r="Q2783" i="2"/>
  <c r="Q2832" i="2"/>
  <c r="W2185" i="2"/>
  <c r="U1732" i="2"/>
  <c r="K2666" i="2"/>
  <c r="U1268" i="2"/>
  <c r="L497" i="2"/>
  <c r="H2821" i="2"/>
  <c r="L2337" i="2"/>
  <c r="J1078" i="2"/>
  <c r="K199" i="2"/>
  <c r="D1040" i="2"/>
  <c r="G1943" i="2"/>
  <c r="I1389" i="2"/>
  <c r="M139" i="2"/>
  <c r="S2624" i="2"/>
  <c r="K1480" i="2"/>
  <c r="D2589" i="2"/>
  <c r="R1764" i="2"/>
  <c r="D182" i="2"/>
  <c r="E2623" i="2"/>
  <c r="G3022" i="2"/>
  <c r="U2034" i="2"/>
  <c r="T531" i="2"/>
  <c r="N959" i="2"/>
  <c r="P1205" i="2"/>
  <c r="E2505" i="2"/>
  <c r="U570" i="2"/>
  <c r="G341" i="2"/>
  <c r="N2669" i="2"/>
  <c r="T2242" i="2"/>
  <c r="Q604" i="2"/>
  <c r="D445" i="2"/>
  <c r="R239" i="2"/>
  <c r="P814" i="2"/>
  <c r="P2651" i="2"/>
  <c r="H1362" i="2"/>
  <c r="T1589" i="2"/>
  <c r="I844" i="2"/>
  <c r="T1960" i="2"/>
  <c r="U1147" i="2"/>
  <c r="G1451" i="2"/>
  <c r="J2965" i="2"/>
  <c r="T2251" i="2"/>
  <c r="L496" i="2"/>
  <c r="Q1408" i="2"/>
  <c r="M1072" i="2"/>
  <c r="M401" i="2"/>
  <c r="U237" i="2"/>
  <c r="C203" i="2"/>
  <c r="V1783" i="2"/>
  <c r="T651" i="2"/>
  <c r="H2191" i="2"/>
  <c r="J1690" i="2"/>
  <c r="E975" i="2"/>
  <c r="R957" i="2"/>
  <c r="O315" i="2"/>
  <c r="R2087" i="2"/>
  <c r="Q2634" i="2"/>
  <c r="L1805" i="2"/>
  <c r="D83" i="2"/>
  <c r="C1720" i="2"/>
  <c r="T1502" i="2"/>
  <c r="R1131" i="2"/>
  <c r="I125" i="2"/>
  <c r="N172" i="2"/>
  <c r="N2353" i="2"/>
  <c r="U1401" i="2"/>
  <c r="J1790" i="2"/>
  <c r="F1670" i="2"/>
  <c r="K1201" i="2"/>
  <c r="W420" i="2"/>
  <c r="I151" i="2"/>
  <c r="W1612" i="2"/>
  <c r="L1301" i="2"/>
  <c r="F1286" i="2"/>
  <c r="R797" i="2"/>
  <c r="Q1058" i="2"/>
  <c r="T1524" i="2"/>
  <c r="U1429" i="2"/>
  <c r="C507" i="2"/>
  <c r="F71" i="2"/>
  <c r="P1803" i="2"/>
  <c r="U891" i="2"/>
  <c r="V234" i="2"/>
  <c r="U760" i="2"/>
  <c r="I983" i="2"/>
  <c r="G3603" i="2"/>
  <c r="J2394" i="2"/>
  <c r="G2606" i="2"/>
  <c r="P1588" i="2"/>
  <c r="V995" i="2"/>
  <c r="K986" i="2"/>
  <c r="T2646" i="2"/>
  <c r="Q861" i="2"/>
  <c r="J1573" i="2"/>
  <c r="G64" i="2"/>
  <c r="F663" i="2"/>
  <c r="K1661" i="2"/>
  <c r="E1881" i="2"/>
  <c r="F1493" i="2"/>
  <c r="Q2387" i="2"/>
  <c r="Q1379" i="2"/>
  <c r="K781" i="2"/>
  <c r="N431" i="2"/>
  <c r="W790" i="2"/>
  <c r="T2740" i="2"/>
  <c r="O1981" i="2"/>
  <c r="L961" i="2"/>
  <c r="U2688" i="2"/>
  <c r="Q2093" i="2"/>
  <c r="V385" i="2"/>
  <c r="T2953" i="2"/>
  <c r="T2889" i="2"/>
  <c r="L1363" i="2"/>
  <c r="T2892" i="2"/>
  <c r="I949" i="2"/>
  <c r="L3103" i="2"/>
  <c r="P2508" i="2"/>
  <c r="D44" i="2"/>
  <c r="W2096" i="2"/>
  <c r="M575" i="2"/>
  <c r="T1393" i="2"/>
  <c r="Q1786" i="2"/>
  <c r="O1176" i="2"/>
  <c r="S2605" i="2"/>
  <c r="T391" i="2"/>
  <c r="F277" i="2"/>
  <c r="G1828" i="2"/>
  <c r="R2030" i="2"/>
  <c r="E589" i="2"/>
  <c r="I1382" i="2"/>
  <c r="H3020" i="2"/>
  <c r="F848" i="2"/>
  <c r="U1029" i="2"/>
  <c r="E1321" i="2"/>
  <c r="O2150" i="2"/>
  <c r="E2357" i="2"/>
  <c r="E688" i="2"/>
  <c r="W2778" i="2"/>
  <c r="C1671" i="2"/>
  <c r="R1132" i="2"/>
  <c r="V2222" i="2"/>
  <c r="K2697" i="2"/>
  <c r="H2493" i="2"/>
  <c r="W121" i="2"/>
  <c r="C144" i="2"/>
  <c r="N1343" i="2"/>
  <c r="K3070" i="2"/>
  <c r="J2109" i="2"/>
  <c r="G1858" i="2"/>
  <c r="Q2025" i="2"/>
  <c r="M1556" i="2"/>
  <c r="L686" i="2"/>
  <c r="G1457" i="2"/>
  <c r="E651" i="2"/>
  <c r="E1306" i="2"/>
  <c r="K1565" i="2"/>
  <c r="D3062" i="2"/>
  <c r="V966" i="2"/>
  <c r="M2261" i="2"/>
  <c r="H1349" i="2"/>
  <c r="U1071" i="2"/>
  <c r="C327" i="2"/>
  <c r="I448" i="2"/>
  <c r="L2119" i="2"/>
  <c r="W244" i="2"/>
  <c r="O1119" i="2"/>
  <c r="V1901" i="2"/>
  <c r="D2118" i="2"/>
  <c r="H2641" i="2"/>
  <c r="D597" i="2"/>
  <c r="K672" i="2"/>
  <c r="Q78" i="2"/>
  <c r="M2266" i="2"/>
  <c r="P2432" i="2"/>
  <c r="R2400" i="2"/>
  <c r="O2135" i="2"/>
  <c r="D1503" i="2"/>
  <c r="V1453" i="2"/>
  <c r="W2454" i="2"/>
  <c r="S1513" i="2"/>
  <c r="C167" i="2"/>
  <c r="E341" i="2"/>
  <c r="O551" i="2"/>
  <c r="U3079" i="2"/>
  <c r="P520" i="2"/>
  <c r="C860" i="2"/>
  <c r="P962" i="2"/>
  <c r="O1942" i="2"/>
  <c r="M201" i="2"/>
  <c r="S1061" i="2"/>
  <c r="J3077" i="2"/>
  <c r="E1928" i="2"/>
  <c r="W1902" i="2"/>
  <c r="P1980" i="2"/>
  <c r="J2594" i="2"/>
  <c r="V350" i="2"/>
  <c r="K1669" i="2"/>
  <c r="P39" i="2"/>
  <c r="P2941" i="2"/>
  <c r="L1154" i="2"/>
  <c r="M2424" i="2"/>
  <c r="T1429" i="2"/>
  <c r="N1881" i="2"/>
  <c r="L2472" i="2"/>
  <c r="N2256" i="2"/>
  <c r="N1780" i="2"/>
  <c r="M482" i="2"/>
  <c r="L2142" i="2"/>
  <c r="L1298" i="2"/>
  <c r="J1471" i="2"/>
  <c r="H1038" i="2"/>
  <c r="W2156" i="2"/>
  <c r="Q303" i="2"/>
  <c r="K2711" i="2"/>
  <c r="O626" i="2"/>
  <c r="S2851" i="2"/>
  <c r="J929" i="2"/>
  <c r="I252" i="2"/>
  <c r="C1033" i="2"/>
  <c r="D257" i="2"/>
  <c r="S987" i="2"/>
  <c r="T2117" i="2"/>
  <c r="C1611" i="2"/>
  <c r="D1952" i="2"/>
  <c r="W310" i="2"/>
  <c r="G634" i="2"/>
  <c r="R2377" i="2"/>
  <c r="P2906" i="2"/>
  <c r="I756" i="2"/>
  <c r="C2905" i="2"/>
  <c r="J1807" i="2"/>
  <c r="M1053" i="2"/>
  <c r="S2619" i="2"/>
  <c r="M310" i="2"/>
  <c r="T3559" i="2"/>
  <c r="I2088" i="2"/>
  <c r="D1440" i="2"/>
  <c r="G2979" i="2"/>
  <c r="O883" i="2"/>
  <c r="H456" i="2"/>
  <c r="H2093" i="2"/>
  <c r="O3156" i="2"/>
  <c r="I1412" i="2"/>
  <c r="I2683" i="2"/>
  <c r="U2459" i="2"/>
  <c r="N880" i="2"/>
  <c r="V2914" i="2"/>
  <c r="C3036" i="2"/>
  <c r="M1112" i="2"/>
  <c r="M2549" i="2"/>
  <c r="T2061" i="2"/>
  <c r="J1493" i="2"/>
  <c r="T946" i="2"/>
  <c r="P2606" i="2"/>
  <c r="Q800" i="2"/>
  <c r="E1705" i="2"/>
  <c r="S367" i="2"/>
  <c r="R1562" i="2"/>
  <c r="T2999" i="2"/>
  <c r="U1219" i="2"/>
  <c r="L1186" i="2"/>
  <c r="R1534" i="2"/>
  <c r="H715" i="2"/>
  <c r="C1576" i="2"/>
  <c r="O1391" i="2"/>
  <c r="P2501" i="2"/>
  <c r="P1129" i="2"/>
  <c r="W1304" i="2"/>
  <c r="E441" i="2"/>
  <c r="N889" i="2"/>
  <c r="T2841" i="2"/>
  <c r="C2248" i="2"/>
  <c r="R1556" i="2"/>
  <c r="W335" i="2"/>
  <c r="N594" i="2"/>
  <c r="V578" i="2"/>
  <c r="U2895" i="2"/>
  <c r="H1429" i="2"/>
  <c r="G830" i="2"/>
  <c r="E1641" i="2"/>
  <c r="P2579" i="2"/>
  <c r="M932" i="2"/>
  <c r="N633" i="2"/>
  <c r="E2543" i="2"/>
  <c r="L189" i="2"/>
  <c r="K1234" i="2"/>
  <c r="P2184" i="2"/>
  <c r="O1974" i="2"/>
  <c r="N818" i="2"/>
  <c r="W1891" i="2"/>
  <c r="S1890" i="2"/>
  <c r="C560" i="2"/>
  <c r="K1047" i="2"/>
  <c r="Q2039" i="2"/>
  <c r="P779" i="2"/>
  <c r="L26" i="2"/>
  <c r="E1677" i="2"/>
  <c r="N905" i="2"/>
  <c r="K649" i="2"/>
  <c r="D1092" i="2"/>
  <c r="F411" i="2"/>
  <c r="M235" i="2"/>
  <c r="E1794" i="2"/>
  <c r="J2306" i="2"/>
  <c r="R2995" i="2"/>
  <c r="G227" i="2"/>
  <c r="M2000" i="2"/>
  <c r="R32" i="2"/>
  <c r="Q716" i="2"/>
  <c r="G519" i="2"/>
  <c r="N2731" i="2"/>
  <c r="W2428" i="2"/>
  <c r="I2037" i="2"/>
  <c r="S501" i="2"/>
  <c r="K829" i="2"/>
  <c r="I641" i="2"/>
  <c r="Q1037" i="2"/>
  <c r="S419" i="2"/>
  <c r="P2972" i="2"/>
  <c r="G573" i="2"/>
  <c r="T1092" i="2"/>
  <c r="R2411" i="2"/>
  <c r="U1003" i="2"/>
  <c r="P1790" i="2"/>
  <c r="O866" i="2"/>
  <c r="C1410" i="2"/>
  <c r="U808" i="2"/>
  <c r="H1854" i="2"/>
  <c r="I2028" i="2"/>
  <c r="E3277" i="2"/>
  <c r="R1438" i="2"/>
  <c r="K1637" i="2"/>
  <c r="L2187" i="2"/>
  <c r="M2356" i="2"/>
  <c r="E432" i="2"/>
  <c r="G1091" i="2"/>
  <c r="L3111" i="2"/>
  <c r="H198" i="2"/>
  <c r="G1001" i="2"/>
  <c r="F123" i="2"/>
  <c r="F2850" i="2"/>
  <c r="I246" i="2"/>
  <c r="G980" i="2"/>
  <c r="M2574" i="2"/>
  <c r="F2316" i="2"/>
  <c r="L1424" i="2"/>
  <c r="M1689" i="2"/>
  <c r="K1377" i="2"/>
  <c r="R604" i="2"/>
  <c r="S1261" i="2"/>
  <c r="T2506" i="2"/>
  <c r="S447" i="2"/>
  <c r="O140" i="2"/>
  <c r="H2139" i="2"/>
  <c r="N899" i="2"/>
  <c r="P2690" i="2"/>
  <c r="T2724" i="2"/>
  <c r="H132" i="2"/>
  <c r="N851" i="2"/>
  <c r="G162" i="2"/>
  <c r="L1116" i="2"/>
  <c r="P1981" i="2"/>
  <c r="G1633" i="2"/>
  <c r="H2604" i="2"/>
  <c r="R725" i="2"/>
  <c r="P3064" i="2"/>
  <c r="J2744" i="2"/>
  <c r="O2941" i="2"/>
  <c r="S2423" i="2"/>
  <c r="C2180" i="2"/>
  <c r="E1166" i="2"/>
  <c r="D296" i="2"/>
  <c r="M1599" i="2"/>
  <c r="H411" i="2"/>
  <c r="L407" i="2"/>
  <c r="P158" i="2"/>
  <c r="W743" i="2"/>
  <c r="Q1245" i="2"/>
  <c r="M2484" i="2"/>
  <c r="P1667" i="2"/>
  <c r="O210" i="2"/>
  <c r="I42" i="2"/>
  <c r="E2699" i="2"/>
  <c r="C1215" i="2"/>
  <c r="C439" i="2"/>
  <c r="K1084" i="2"/>
  <c r="G1476" i="2"/>
  <c r="I377" i="2"/>
  <c r="H424" i="2"/>
  <c r="P3179" i="2"/>
  <c r="M1101" i="2"/>
  <c r="J2425" i="2"/>
  <c r="J2751" i="2"/>
  <c r="E1816" i="2"/>
  <c r="F525" i="2"/>
  <c r="J2539" i="2"/>
  <c r="I101" i="2"/>
  <c r="P707" i="2"/>
  <c r="W2544" i="2"/>
  <c r="D651" i="2"/>
  <c r="N1279" i="2"/>
  <c r="H2301" i="2"/>
  <c r="K563" i="2"/>
  <c r="W91" i="2"/>
  <c r="D1677" i="2"/>
  <c r="C392" i="2"/>
  <c r="N1845" i="2"/>
  <c r="V351" i="2"/>
  <c r="S1232" i="2"/>
  <c r="N1596" i="2"/>
  <c r="J243" i="2"/>
  <c r="N950" i="2"/>
  <c r="K2318" i="2"/>
  <c r="F1815" i="2"/>
  <c r="I89" i="2"/>
  <c r="S689" i="2"/>
  <c r="N676" i="2"/>
  <c r="I724" i="2"/>
  <c r="J2814" i="2"/>
  <c r="G1323" i="2"/>
  <c r="O615" i="2"/>
  <c r="L3105" i="2"/>
  <c r="K1035" i="2"/>
  <c r="I1144" i="2"/>
  <c r="N2491" i="2"/>
  <c r="G508" i="2"/>
  <c r="L1621" i="2"/>
  <c r="S1684" i="2"/>
  <c r="E1149" i="2"/>
  <c r="E3132" i="2"/>
  <c r="F782" i="2"/>
  <c r="P419" i="2"/>
  <c r="H1006" i="2"/>
  <c r="N1289" i="2"/>
  <c r="M1860" i="2"/>
  <c r="V1485" i="2"/>
  <c r="K1516" i="2"/>
  <c r="G2458" i="2"/>
  <c r="E368" i="2"/>
  <c r="R127" i="2"/>
  <c r="M1783" i="2"/>
  <c r="G382" i="2"/>
  <c r="P1764" i="2"/>
  <c r="W1629" i="2"/>
  <c r="F1231" i="2"/>
  <c r="C605" i="2"/>
  <c r="V346" i="2"/>
  <c r="M1483" i="2"/>
  <c r="L2132" i="2"/>
  <c r="O2260" i="2"/>
  <c r="P1806" i="2"/>
  <c r="S1805" i="2"/>
  <c r="U2002" i="2"/>
  <c r="R919" i="2"/>
  <c r="E1640" i="2"/>
  <c r="R2433" i="2"/>
  <c r="H3180" i="2"/>
  <c r="M524" i="2"/>
  <c r="O1694" i="2"/>
  <c r="O42" i="2"/>
  <c r="K2211" i="2"/>
  <c r="J2329" i="2"/>
  <c r="G357" i="2"/>
  <c r="E2508" i="2"/>
  <c r="O898" i="2"/>
  <c r="M677" i="2"/>
  <c r="H2253" i="2"/>
  <c r="L524" i="2"/>
  <c r="R24" i="2"/>
  <c r="L595" i="2"/>
  <c r="V2473" i="2"/>
  <c r="U1560" i="2"/>
  <c r="I1407" i="2"/>
  <c r="L1053" i="2"/>
  <c r="I437" i="2"/>
  <c r="V923" i="2"/>
  <c r="O362" i="2"/>
  <c r="I1073" i="2"/>
  <c r="T959" i="2"/>
  <c r="N1383" i="2"/>
  <c r="P2297" i="2"/>
  <c r="C2724" i="2"/>
  <c r="L2087" i="2"/>
  <c r="C434" i="2"/>
  <c r="W168" i="2"/>
  <c r="S436" i="2"/>
  <c r="O196" i="2"/>
  <c r="I486" i="2"/>
  <c r="L1703" i="2"/>
  <c r="L340" i="2"/>
  <c r="M834" i="2"/>
  <c r="J1847" i="2"/>
  <c r="F1639" i="2"/>
  <c r="J2094" i="2"/>
  <c r="T2169" i="2"/>
  <c r="S2682" i="2"/>
  <c r="O2176" i="2"/>
  <c r="P160" i="2"/>
  <c r="G1919" i="2"/>
  <c r="Q3313" i="2"/>
  <c r="V1795" i="2"/>
  <c r="E869" i="2"/>
  <c r="Q1038" i="2"/>
  <c r="P606" i="2"/>
  <c r="K34" i="2"/>
  <c r="D1918" i="2"/>
  <c r="G2709" i="2"/>
  <c r="V2142" i="2"/>
  <c r="N283" i="2"/>
  <c r="R156" i="2"/>
  <c r="D924" i="2"/>
  <c r="C1769" i="2"/>
  <c r="S1021" i="2"/>
  <c r="T3276" i="2"/>
  <c r="C3185" i="2"/>
  <c r="P1122" i="2"/>
  <c r="M371" i="2"/>
  <c r="K1220" i="2"/>
  <c r="W2866" i="2"/>
  <c r="S2438" i="2"/>
  <c r="F549" i="2"/>
  <c r="V2469" i="2"/>
  <c r="W1729" i="2"/>
  <c r="G561" i="2"/>
  <c r="D2984" i="2"/>
  <c r="Q3130" i="2"/>
  <c r="E971" i="2"/>
  <c r="W2292" i="2"/>
  <c r="F1297" i="2"/>
  <c r="M2361" i="2"/>
  <c r="U2620" i="2"/>
  <c r="U69" i="2"/>
  <c r="E1487" i="2"/>
  <c r="P2255" i="2"/>
  <c r="F288" i="2"/>
  <c r="J387" i="2"/>
  <c r="T2709" i="2"/>
  <c r="D1080" i="2"/>
  <c r="H1034" i="2"/>
  <c r="Q1519" i="2"/>
  <c r="I2139" i="2"/>
  <c r="H942" i="2"/>
  <c r="F135" i="2"/>
  <c r="O979" i="2"/>
  <c r="M278" i="2"/>
  <c r="N77" i="2"/>
  <c r="G1814" i="2"/>
  <c r="T361" i="2"/>
  <c r="U1448" i="2"/>
  <c r="K2485" i="2"/>
  <c r="K2387" i="2"/>
  <c r="Q444" i="2"/>
  <c r="M1883" i="2"/>
  <c r="J1195" i="2"/>
  <c r="H2148" i="2"/>
  <c r="I2229" i="2"/>
  <c r="O378" i="2"/>
  <c r="V1909" i="2"/>
  <c r="R414" i="2"/>
  <c r="D1047" i="2"/>
  <c r="C1450" i="2"/>
  <c r="H3125" i="2"/>
  <c r="C1608" i="2"/>
  <c r="C676" i="2"/>
  <c r="V345" i="2"/>
  <c r="K1322" i="2"/>
  <c r="D2421" i="2"/>
  <c r="K641" i="2"/>
  <c r="E1977" i="2"/>
  <c r="N2737" i="2"/>
  <c r="V481" i="2"/>
  <c r="E187" i="2"/>
  <c r="R740" i="2"/>
  <c r="N2299" i="2"/>
  <c r="V1114" i="2"/>
  <c r="S482" i="2"/>
  <c r="T1317" i="2"/>
  <c r="E2348" i="2"/>
  <c r="P3078" i="2"/>
  <c r="O340" i="2"/>
  <c r="H2264" i="2"/>
  <c r="R684" i="2"/>
  <c r="M1505" i="2"/>
  <c r="T1476" i="2"/>
  <c r="O2490" i="2"/>
  <c r="K1243" i="2"/>
  <c r="H835" i="2"/>
  <c r="F1345" i="2"/>
  <c r="O755" i="2"/>
  <c r="M311" i="2"/>
  <c r="D1168" i="2"/>
  <c r="N2360" i="2"/>
  <c r="I1495" i="2"/>
  <c r="U1685" i="2"/>
  <c r="K1500" i="2"/>
  <c r="V393" i="2"/>
  <c r="O1357" i="2"/>
  <c r="O3388" i="2"/>
  <c r="T257" i="2"/>
  <c r="J2412" i="2"/>
  <c r="J997" i="2"/>
  <c r="P1439" i="2"/>
  <c r="M2165" i="2"/>
  <c r="L1236" i="2"/>
  <c r="K2560" i="2"/>
  <c r="D873" i="2"/>
  <c r="F2270" i="2"/>
  <c r="H2226" i="2"/>
  <c r="E716" i="2"/>
  <c r="I676" i="2"/>
  <c r="S2497" i="2"/>
  <c r="U50" i="2"/>
  <c r="S2336" i="2"/>
  <c r="I1413" i="2"/>
  <c r="R3357" i="2"/>
  <c r="C407" i="2"/>
  <c r="G2237" i="2"/>
  <c r="O1929" i="2"/>
  <c r="W1300" i="2"/>
  <c r="J1631" i="2"/>
  <c r="P2300" i="2"/>
  <c r="P2256" i="2"/>
  <c r="W343" i="2"/>
  <c r="H682" i="2"/>
  <c r="N364" i="2"/>
  <c r="K809" i="2"/>
  <c r="C1880" i="2"/>
  <c r="R2821" i="2"/>
  <c r="S2802" i="2"/>
  <c r="D114" i="2"/>
  <c r="I929" i="2"/>
  <c r="L2397" i="2"/>
  <c r="M2608" i="2"/>
  <c r="U1528" i="2"/>
  <c r="K2850" i="2"/>
  <c r="Q1516" i="2"/>
  <c r="G758" i="2"/>
  <c r="L749" i="2"/>
  <c r="L1077" i="2"/>
  <c r="T1911" i="2"/>
  <c r="I210" i="2"/>
  <c r="H153" i="2"/>
  <c r="N515" i="2"/>
  <c r="P1606" i="2"/>
  <c r="R2181" i="2"/>
  <c r="W1789" i="2"/>
  <c r="U258" i="2"/>
  <c r="R2592" i="2"/>
  <c r="N452" i="2"/>
  <c r="M1987" i="2"/>
  <c r="O3048" i="2"/>
  <c r="M2411" i="2"/>
  <c r="V1141" i="2"/>
  <c r="E590" i="2"/>
  <c r="D123" i="2"/>
  <c r="O382" i="2"/>
  <c r="E736" i="2"/>
  <c r="U614" i="2"/>
  <c r="L1969" i="2"/>
  <c r="T314" i="2"/>
  <c r="V1876" i="2"/>
  <c r="P1630" i="2"/>
  <c r="M2819" i="2"/>
  <c r="L2351" i="2"/>
  <c r="E2389" i="2"/>
  <c r="U1764" i="2"/>
  <c r="M2894" i="2"/>
  <c r="D941" i="2"/>
  <c r="J1320" i="2"/>
  <c r="U1819" i="2"/>
  <c r="P841" i="2"/>
  <c r="R1371" i="2"/>
  <c r="S742" i="2"/>
  <c r="O771" i="2"/>
  <c r="G675" i="2"/>
  <c r="E1543" i="2"/>
  <c r="S422" i="2"/>
  <c r="S369" i="2"/>
  <c r="R2913" i="2"/>
  <c r="O30" i="2"/>
  <c r="U1316" i="2"/>
  <c r="G1777" i="2"/>
  <c r="K625" i="2"/>
  <c r="N387" i="2"/>
  <c r="F1256" i="2"/>
  <c r="N830" i="2"/>
  <c r="H2622" i="2"/>
  <c r="I799" i="2"/>
  <c r="W2220" i="2"/>
  <c r="L287" i="2"/>
  <c r="U2778" i="2"/>
  <c r="H2398" i="2"/>
  <c r="D1837" i="2"/>
  <c r="K1302" i="2"/>
  <c r="H2521" i="2"/>
  <c r="S2435" i="2"/>
  <c r="P210" i="2"/>
  <c r="L1939" i="2"/>
  <c r="L659" i="2"/>
  <c r="P1638" i="2"/>
  <c r="V576" i="2"/>
  <c r="E1099" i="2"/>
  <c r="I1396" i="2"/>
  <c r="Q2587" i="2"/>
  <c r="T3184" i="2"/>
  <c r="T1876" i="2"/>
  <c r="G2043" i="2"/>
  <c r="C954" i="2"/>
  <c r="C1431" i="2"/>
  <c r="K1944" i="2"/>
  <c r="S1266" i="2"/>
  <c r="D1572" i="2"/>
  <c r="N444" i="2"/>
  <c r="D1052" i="2"/>
  <c r="L2515" i="2"/>
  <c r="J1682" i="2"/>
  <c r="E1379" i="2"/>
  <c r="Q3177" i="2"/>
  <c r="S2149" i="2"/>
  <c r="T2477" i="2"/>
  <c r="E1586" i="2"/>
  <c r="I429" i="2"/>
  <c r="C1495" i="2"/>
  <c r="G1233" i="2"/>
  <c r="N287" i="2"/>
  <c r="Q2422" i="2"/>
  <c r="C2954" i="2"/>
  <c r="Q336" i="2"/>
  <c r="S1904" i="2"/>
  <c r="C568" i="2"/>
  <c r="D1223" i="2"/>
  <c r="C77" i="2"/>
  <c r="K1994" i="2"/>
  <c r="V1414" i="2"/>
  <c r="H181" i="2"/>
  <c r="K2255" i="2"/>
  <c r="T2183" i="2"/>
  <c r="V537" i="2"/>
  <c r="I1053" i="2"/>
  <c r="J685" i="2"/>
  <c r="T2118" i="2"/>
  <c r="K981" i="2"/>
  <c r="D631" i="2"/>
  <c r="E2350" i="2"/>
  <c r="N1451" i="2"/>
  <c r="H270" i="2"/>
  <c r="J169" i="2"/>
  <c r="L2709" i="2"/>
  <c r="Q2303" i="2"/>
  <c r="W2444" i="2"/>
  <c r="D660" i="2"/>
  <c r="H800" i="2"/>
  <c r="L680" i="2"/>
  <c r="D1800" i="2"/>
  <c r="R445" i="2"/>
  <c r="V1800" i="2"/>
  <c r="T127" i="2"/>
  <c r="D731" i="2"/>
  <c r="K106" i="2"/>
  <c r="I2271" i="2"/>
  <c r="G1123" i="2"/>
  <c r="L802" i="2"/>
  <c r="O1986" i="2"/>
  <c r="R1615" i="2"/>
  <c r="J84" i="2"/>
  <c r="S2658" i="2"/>
  <c r="S1806" i="2"/>
  <c r="D2841" i="2"/>
  <c r="O1997" i="2"/>
  <c r="D2759" i="2"/>
  <c r="O1754" i="2"/>
  <c r="K1794" i="2"/>
  <c r="O900" i="2"/>
  <c r="Q1852" i="2"/>
  <c r="P2422" i="2"/>
  <c r="S753" i="2"/>
  <c r="I255" i="2"/>
  <c r="T2667" i="2"/>
  <c r="V623" i="2"/>
  <c r="S2231" i="2"/>
  <c r="Q522" i="2"/>
  <c r="C542" i="2"/>
  <c r="L543" i="2"/>
  <c r="G326" i="2"/>
  <c r="O2386" i="2"/>
  <c r="P1585" i="2"/>
  <c r="T47" i="2"/>
  <c r="W425" i="2"/>
  <c r="T1664" i="2"/>
  <c r="R1339" i="2"/>
  <c r="C674" i="2"/>
  <c r="J355" i="2"/>
  <c r="C328" i="2"/>
  <c r="M1869" i="2"/>
  <c r="H419" i="2"/>
  <c r="I176" i="2"/>
  <c r="U330" i="2"/>
  <c r="V990" i="2"/>
  <c r="G1415" i="2"/>
  <c r="V452" i="2"/>
  <c r="K2314" i="2"/>
  <c r="T781" i="2"/>
  <c r="V313" i="2"/>
  <c r="V2198" i="2"/>
  <c r="C781" i="2"/>
  <c r="M539" i="2"/>
  <c r="G1679" i="2"/>
  <c r="R743" i="2"/>
  <c r="E909" i="2"/>
  <c r="J1248" i="2"/>
  <c r="N900" i="2"/>
  <c r="N231" i="2"/>
  <c r="E2385" i="2"/>
  <c r="U2508" i="2"/>
  <c r="H2680" i="2"/>
  <c r="R2190" i="2"/>
  <c r="D2344" i="2"/>
  <c r="J721" i="2"/>
  <c r="M99" i="2"/>
  <c r="R603" i="2"/>
  <c r="N1883" i="2"/>
  <c r="W2093" i="2"/>
  <c r="U323" i="2"/>
  <c r="M592" i="2"/>
  <c r="F751" i="2"/>
  <c r="W2497" i="2"/>
  <c r="W90" i="2"/>
  <c r="I741" i="2"/>
  <c r="I1934" i="2"/>
  <c r="P1361" i="2"/>
  <c r="J2801" i="2"/>
  <c r="U2346" i="2"/>
  <c r="G1537" i="2"/>
  <c r="N775" i="2"/>
  <c r="Q981" i="2"/>
  <c r="L2280" i="2"/>
  <c r="T625" i="2"/>
  <c r="V41" i="2"/>
  <c r="T1281" i="2"/>
  <c r="N795" i="2"/>
  <c r="P3245" i="2"/>
  <c r="F2394" i="2"/>
  <c r="N1433" i="2"/>
  <c r="M916" i="2"/>
  <c r="D946" i="2"/>
  <c r="V450" i="2"/>
  <c r="J1800" i="2"/>
  <c r="G774" i="2"/>
  <c r="S1808" i="2"/>
  <c r="K2907" i="2"/>
  <c r="L182" i="2"/>
  <c r="L1473" i="2"/>
  <c r="R1634" i="2"/>
  <c r="L709" i="2"/>
  <c r="Q1028" i="2"/>
  <c r="C694" i="2"/>
  <c r="S1414" i="2"/>
  <c r="J722" i="2"/>
  <c r="L2875" i="2"/>
  <c r="O67" i="2"/>
  <c r="E180" i="2"/>
  <c r="M2117" i="2"/>
  <c r="P2884" i="2"/>
  <c r="G777" i="2"/>
  <c r="V1151" i="2"/>
  <c r="H870" i="2"/>
  <c r="P118" i="2"/>
  <c r="L1039" i="2"/>
  <c r="C2879" i="2"/>
  <c r="N407" i="2"/>
  <c r="R1455" i="2"/>
  <c r="C2129" i="2"/>
  <c r="M2728" i="2"/>
  <c r="D8" i="2"/>
  <c r="K2145" i="2"/>
  <c r="O2749" i="2"/>
  <c r="K2766" i="2"/>
  <c r="R1321" i="2"/>
  <c r="C298" i="2"/>
  <c r="H2986" i="2"/>
  <c r="T1464" i="2"/>
  <c r="C2776" i="2"/>
  <c r="L2546" i="2"/>
  <c r="U2360" i="2"/>
  <c r="W1978" i="2"/>
  <c r="N1256" i="2"/>
  <c r="W2566" i="2"/>
  <c r="R1063" i="2"/>
  <c r="D1779" i="2"/>
  <c r="G328" i="2"/>
  <c r="M1296" i="2"/>
  <c r="C456" i="2"/>
  <c r="V1778" i="2"/>
  <c r="K239" i="2"/>
  <c r="K2695" i="2"/>
  <c r="E1233" i="2"/>
  <c r="Q1610" i="2"/>
  <c r="C2260" i="2"/>
  <c r="L902" i="2"/>
  <c r="H3183" i="2"/>
  <c r="O52" i="2"/>
  <c r="J696" i="2"/>
  <c r="Q266" i="2"/>
  <c r="H379" i="2"/>
  <c r="F1522" i="2"/>
  <c r="K1701" i="2"/>
  <c r="G705" i="2"/>
  <c r="G3092" i="2"/>
  <c r="V1500" i="2"/>
  <c r="J584" i="2"/>
  <c r="H798" i="2"/>
  <c r="P1620" i="2"/>
  <c r="W1419" i="2"/>
  <c r="R1584" i="2"/>
  <c r="D37" i="2"/>
  <c r="P468" i="2"/>
  <c r="P897" i="2"/>
  <c r="N696" i="2"/>
  <c r="C394" i="2"/>
  <c r="Q572" i="2"/>
  <c r="F2042" i="2"/>
  <c r="P95" i="2"/>
  <c r="M3164" i="2"/>
  <c r="W939" i="2"/>
  <c r="M2346" i="2"/>
  <c r="L239" i="2"/>
  <c r="T1381" i="2"/>
  <c r="H2136" i="2"/>
  <c r="P916" i="2"/>
  <c r="Q1820" i="2"/>
  <c r="G2179" i="2"/>
  <c r="H2968" i="2"/>
  <c r="F222" i="2"/>
  <c r="K2112" i="2"/>
  <c r="M919" i="2"/>
  <c r="C424" i="2"/>
  <c r="U1402" i="2"/>
  <c r="F584" i="2"/>
  <c r="U1836" i="2"/>
  <c r="T3116" i="2"/>
  <c r="O281" i="2"/>
  <c r="T161" i="2"/>
  <c r="J128" i="2"/>
  <c r="H607" i="2"/>
  <c r="K684" i="2"/>
  <c r="L475" i="2"/>
  <c r="W1361" i="2"/>
  <c r="I72" i="2"/>
  <c r="C333" i="2"/>
  <c r="R3041" i="2"/>
  <c r="F233" i="2"/>
  <c r="G2577" i="2"/>
  <c r="V792" i="2"/>
  <c r="R2853" i="2"/>
  <c r="Q1993" i="2"/>
  <c r="F2930" i="2"/>
  <c r="E995" i="2"/>
  <c r="P1342" i="2"/>
  <c r="D1095" i="2"/>
  <c r="J2575" i="2"/>
  <c r="D1747" i="2"/>
  <c r="S2950" i="2"/>
  <c r="K1162" i="2"/>
  <c r="D1041" i="2"/>
  <c r="D2719" i="2"/>
  <c r="W1641" i="2"/>
  <c r="M750" i="2"/>
  <c r="Q1382" i="2"/>
  <c r="S763" i="2"/>
  <c r="F2135" i="2"/>
  <c r="R397" i="2"/>
  <c r="P1810" i="2"/>
  <c r="P276" i="2"/>
  <c r="V2209" i="2"/>
  <c r="U2711" i="2"/>
  <c r="U847" i="2"/>
  <c r="S1479" i="2"/>
  <c r="E1392" i="2"/>
  <c r="P1204" i="2"/>
  <c r="V1199" i="2"/>
  <c r="S1514" i="2"/>
  <c r="C16" i="2"/>
  <c r="P2505" i="2"/>
  <c r="G1130" i="2"/>
  <c r="T1291" i="2"/>
  <c r="F2974" i="2"/>
  <c r="C1345" i="2"/>
  <c r="U66" i="2"/>
  <c r="I1651" i="2"/>
  <c r="Q408" i="2"/>
  <c r="J2194" i="2"/>
  <c r="Q2043" i="2"/>
  <c r="M1510" i="2"/>
  <c r="U968" i="2"/>
  <c r="T1050" i="2"/>
  <c r="E446" i="2"/>
  <c r="F478" i="2"/>
  <c r="W128" i="2"/>
  <c r="Q482" i="2"/>
  <c r="I3178" i="2"/>
  <c r="K1458" i="2"/>
  <c r="H1626" i="2"/>
  <c r="I307" i="2"/>
  <c r="L748" i="2"/>
  <c r="D279" i="2"/>
  <c r="D119" i="2"/>
  <c r="K284" i="2"/>
  <c r="P2315" i="2"/>
  <c r="K692" i="2"/>
  <c r="J3122" i="2"/>
  <c r="H2432" i="2"/>
  <c r="V1172" i="2"/>
  <c r="M500" i="2"/>
  <c r="L2683" i="2"/>
  <c r="S2167" i="2"/>
  <c r="F508" i="2"/>
  <c r="H643" i="2"/>
  <c r="E1139" i="2"/>
  <c r="K1976" i="2"/>
  <c r="F1909" i="2"/>
  <c r="I153" i="2"/>
  <c r="N1702" i="2"/>
  <c r="R3272" i="2"/>
  <c r="W1352" i="2"/>
  <c r="N406" i="2"/>
  <c r="N2069" i="2"/>
  <c r="K1316" i="2"/>
  <c r="P1901" i="2"/>
  <c r="K2635" i="2"/>
  <c r="U161" i="2"/>
  <c r="T585" i="2"/>
  <c r="M3073" i="2"/>
  <c r="T2566" i="2"/>
  <c r="D2012" i="2"/>
  <c r="M2768" i="2"/>
  <c r="U1135" i="2"/>
  <c r="T254" i="2"/>
  <c r="T1907" i="2"/>
  <c r="G485" i="2"/>
  <c r="J907" i="2"/>
  <c r="E2165" i="2"/>
  <c r="J1098" i="2"/>
  <c r="F641" i="2"/>
  <c r="K1571" i="2"/>
  <c r="Q2768" i="2"/>
  <c r="H1444" i="2"/>
  <c r="I1453" i="2"/>
  <c r="K3145" i="2"/>
  <c r="W2173" i="2"/>
  <c r="T1782" i="2"/>
  <c r="R510" i="2"/>
  <c r="N43" i="2"/>
  <c r="K609" i="2"/>
  <c r="T2233" i="2"/>
  <c r="E1836" i="2"/>
  <c r="M284" i="2"/>
  <c r="D803" i="2"/>
  <c r="D1573" i="2"/>
  <c r="E1482" i="2"/>
  <c r="F1114" i="2"/>
  <c r="R771" i="2"/>
  <c r="S202" i="2"/>
  <c r="C1321" i="2"/>
  <c r="L1317" i="2"/>
  <c r="M2499" i="2"/>
  <c r="V2028" i="2"/>
  <c r="V1639" i="2"/>
  <c r="G2935" i="2"/>
  <c r="O1084" i="2"/>
  <c r="W1349" i="2"/>
  <c r="M2310" i="2"/>
  <c r="O639" i="2"/>
  <c r="J3218" i="2"/>
  <c r="O753" i="2"/>
  <c r="E2839" i="2"/>
  <c r="D1739" i="2"/>
  <c r="V2604" i="2"/>
  <c r="D1617" i="2"/>
  <c r="H2512" i="2"/>
  <c r="E2359" i="2"/>
  <c r="I24" i="2"/>
  <c r="Q1016" i="2"/>
  <c r="C2162" i="2"/>
  <c r="F891" i="2"/>
  <c r="W2690" i="2"/>
  <c r="O1610" i="2"/>
  <c r="O1175" i="2"/>
  <c r="P2522" i="2"/>
  <c r="K936" i="2"/>
  <c r="N2139" i="2"/>
  <c r="L972" i="2"/>
  <c r="E1698" i="2"/>
  <c r="G2325" i="2"/>
  <c r="T2495" i="2"/>
  <c r="O537" i="2"/>
  <c r="F1669" i="2"/>
  <c r="L1688" i="2"/>
  <c r="Q404" i="2"/>
  <c r="D2641" i="2"/>
  <c r="D682" i="2"/>
  <c r="D963" i="2"/>
  <c r="Q850" i="2"/>
  <c r="E2580" i="2"/>
  <c r="U234" i="2"/>
  <c r="C1267" i="2"/>
  <c r="W1073" i="2"/>
  <c r="U2427" i="2"/>
  <c r="I2648" i="2"/>
  <c r="D1888" i="2"/>
  <c r="Q2034" i="2"/>
  <c r="D1028" i="2"/>
  <c r="E1474" i="2"/>
  <c r="D1228" i="2"/>
  <c r="S768" i="2"/>
  <c r="M766" i="2"/>
  <c r="T478" i="2"/>
  <c r="U432" i="2"/>
  <c r="S1598" i="2"/>
  <c r="U596" i="2"/>
  <c r="O9" i="2"/>
  <c r="O2097" i="2"/>
  <c r="C1117" i="2"/>
  <c r="W2011" i="2"/>
  <c r="K2956" i="2"/>
  <c r="H2203" i="2"/>
  <c r="R2663" i="2"/>
  <c r="K1481" i="2"/>
  <c r="G1221" i="2"/>
  <c r="T792" i="2"/>
  <c r="G2753" i="2"/>
  <c r="Q194" i="2"/>
  <c r="E860" i="2"/>
  <c r="L1036" i="2"/>
  <c r="P1094" i="2"/>
  <c r="D51" i="2"/>
  <c r="W1715" i="2"/>
  <c r="T798" i="2"/>
  <c r="W2741" i="2"/>
  <c r="S1256" i="2"/>
  <c r="K1902" i="2"/>
  <c r="W1834" i="2"/>
  <c r="Q2299" i="2"/>
  <c r="U1418" i="2"/>
  <c r="O230" i="2"/>
  <c r="I1982" i="2"/>
  <c r="P1577" i="2"/>
  <c r="W940" i="2"/>
  <c r="L560" i="2"/>
  <c r="K1822" i="2"/>
  <c r="V248" i="2"/>
  <c r="D187" i="2"/>
  <c r="V1427" i="2"/>
  <c r="K1038" i="2"/>
  <c r="O1077" i="2"/>
  <c r="O253" i="2"/>
  <c r="J872" i="2"/>
  <c r="N2600" i="2"/>
  <c r="E1415" i="2"/>
  <c r="T2588" i="2"/>
  <c r="C1110" i="2"/>
  <c r="G2557" i="2"/>
  <c r="K1174" i="2"/>
  <c r="Q1613" i="2"/>
  <c r="D2027" i="2"/>
  <c r="E820" i="2"/>
  <c r="T1222" i="2"/>
  <c r="W286" i="2"/>
  <c r="F1568" i="2"/>
  <c r="F2227" i="2"/>
  <c r="P695" i="2"/>
  <c r="K195" i="2"/>
  <c r="U2177" i="2"/>
  <c r="C1435" i="2"/>
  <c r="L1308" i="2"/>
  <c r="O1880" i="2"/>
  <c r="G803" i="2"/>
  <c r="E637" i="2"/>
  <c r="S197" i="2"/>
  <c r="I870" i="2"/>
  <c r="O3214" i="2"/>
  <c r="N480" i="2"/>
  <c r="R2072" i="2"/>
  <c r="S2250" i="2"/>
  <c r="J1045" i="2"/>
  <c r="N2073" i="2"/>
  <c r="W1731" i="2"/>
  <c r="Q1651" i="2"/>
  <c r="E2850" i="2"/>
  <c r="R1286" i="2"/>
  <c r="J581" i="2"/>
  <c r="O2988" i="2"/>
  <c r="L1832" i="2"/>
  <c r="H2503" i="2"/>
  <c r="W2561" i="2"/>
  <c r="S836" i="2"/>
  <c r="K2225" i="2"/>
  <c r="V60" i="2"/>
  <c r="S2333" i="2"/>
  <c r="V139" i="2"/>
  <c r="D1805" i="2"/>
  <c r="Q2111" i="2"/>
  <c r="V886" i="2"/>
  <c r="I3016" i="2"/>
  <c r="K1180" i="2"/>
  <c r="T1788" i="2"/>
  <c r="J2638" i="2"/>
  <c r="L3277" i="2"/>
  <c r="W2607" i="2"/>
  <c r="K1905" i="2"/>
  <c r="K918" i="2"/>
  <c r="C2041" i="2"/>
  <c r="Q532" i="2"/>
  <c r="C3056" i="2"/>
  <c r="T422" i="2"/>
  <c r="Q1002" i="2"/>
  <c r="V1388" i="2"/>
  <c r="U2693" i="2"/>
  <c r="R937" i="2"/>
  <c r="F1442" i="2"/>
  <c r="M2039" i="2"/>
  <c r="D150" i="2"/>
  <c r="C1660" i="2"/>
  <c r="U26" i="2"/>
  <c r="W886" i="2"/>
  <c r="T3333" i="2"/>
  <c r="H49" i="2"/>
  <c r="R2514" i="2"/>
  <c r="I568" i="2"/>
  <c r="H2906" i="2"/>
  <c r="G1876" i="2"/>
  <c r="L1063" i="2"/>
  <c r="S3313" i="2"/>
  <c r="T2805" i="2"/>
  <c r="T2122" i="2"/>
  <c r="T1459" i="2"/>
  <c r="M483" i="2"/>
  <c r="Q1190" i="2"/>
  <c r="G866" i="2"/>
  <c r="K2622" i="2"/>
  <c r="F2767" i="2"/>
  <c r="E1253" i="2"/>
  <c r="Q1701" i="2"/>
  <c r="E2421" i="2"/>
  <c r="L1195" i="2"/>
  <c r="S527" i="2"/>
  <c r="T1451" i="2"/>
  <c r="P332" i="2"/>
  <c r="Q258" i="2"/>
  <c r="Q2211" i="2"/>
  <c r="H2618" i="2"/>
  <c r="R80" i="2"/>
  <c r="D699" i="2"/>
  <c r="T453" i="2"/>
  <c r="E1058" i="2"/>
  <c r="S159" i="2"/>
  <c r="V635" i="2"/>
  <c r="E2746" i="2"/>
  <c r="N642" i="2"/>
  <c r="J2541" i="2"/>
  <c r="L1932" i="2"/>
  <c r="G1069" i="2"/>
  <c r="F678" i="2"/>
  <c r="N1541" i="2"/>
  <c r="I2664" i="2"/>
  <c r="S2293" i="2"/>
  <c r="I791" i="2"/>
  <c r="J2351" i="2"/>
  <c r="I2819" i="2"/>
  <c r="Q2774" i="2"/>
  <c r="L751" i="2"/>
  <c r="R1707" i="2"/>
  <c r="I740" i="2"/>
  <c r="S840" i="2"/>
  <c r="V1062" i="2"/>
  <c r="G1048" i="2"/>
  <c r="L2350" i="2"/>
  <c r="C1791" i="2"/>
  <c r="L1328" i="2"/>
  <c r="F1354" i="2"/>
  <c r="H1735" i="2"/>
  <c r="J998" i="2"/>
  <c r="O1350" i="2"/>
  <c r="E655" i="2"/>
  <c r="C1527" i="2"/>
  <c r="M231" i="2"/>
  <c r="F251" i="2"/>
  <c r="R109" i="2"/>
  <c r="L145" i="2"/>
  <c r="T186" i="2"/>
  <c r="U954" i="2"/>
  <c r="T294" i="2"/>
  <c r="G2266" i="2"/>
  <c r="U733" i="2"/>
  <c r="O90" i="2"/>
  <c r="S1703" i="2"/>
  <c r="I1571" i="2"/>
  <c r="C2302" i="2"/>
  <c r="D1000" i="2"/>
  <c r="F460" i="2"/>
  <c r="Q2447" i="2"/>
  <c r="E2912" i="2"/>
  <c r="K2052" i="2"/>
  <c r="I996" i="2"/>
  <c r="H921" i="2"/>
  <c r="U1652" i="2"/>
  <c r="G885" i="2"/>
  <c r="N1598" i="2"/>
  <c r="L418" i="2"/>
  <c r="I315" i="2"/>
  <c r="U1740" i="2"/>
  <c r="H570" i="2"/>
  <c r="J2414" i="2"/>
  <c r="K2048" i="2"/>
  <c r="K1781" i="2"/>
  <c r="K1860" i="2"/>
  <c r="O1001" i="2"/>
  <c r="M927" i="2"/>
  <c r="I1465" i="2"/>
  <c r="Q1000" i="2"/>
  <c r="V1094" i="2"/>
  <c r="I220" i="2"/>
  <c r="I545" i="2"/>
  <c r="G1564" i="2"/>
  <c r="P2793" i="2"/>
  <c r="P2731" i="2"/>
  <c r="U2331" i="2"/>
  <c r="F922" i="2"/>
  <c r="P47" i="2"/>
  <c r="H1392" i="2"/>
  <c r="I1757" i="2"/>
  <c r="K2484" i="2"/>
  <c r="E1556" i="2"/>
  <c r="S1921" i="2"/>
  <c r="R507" i="2"/>
  <c r="R991" i="2"/>
  <c r="C845" i="2"/>
  <c r="P975" i="2"/>
  <c r="P46" i="2"/>
  <c r="M3293" i="2"/>
  <c r="V2644" i="2"/>
  <c r="E1944" i="2"/>
  <c r="P1086" i="2"/>
  <c r="W342" i="2"/>
  <c r="I872" i="2"/>
  <c r="J1912" i="2"/>
  <c r="U632" i="2"/>
  <c r="O204" i="2"/>
  <c r="W107" i="2"/>
  <c r="L1522" i="2"/>
  <c r="F518" i="2"/>
  <c r="P409" i="2"/>
  <c r="L1641" i="2"/>
  <c r="D1505" i="2"/>
  <c r="K883" i="2"/>
  <c r="T398" i="2"/>
  <c r="N37" i="2"/>
  <c r="J1636" i="2"/>
  <c r="H931" i="2"/>
  <c r="U883" i="2"/>
  <c r="J985" i="2"/>
  <c r="E573" i="2"/>
  <c r="P2407" i="2"/>
  <c r="R87" i="2"/>
  <c r="G1495" i="2"/>
  <c r="K1954" i="2"/>
  <c r="U362" i="2"/>
  <c r="W2422" i="2"/>
  <c r="S1630" i="2"/>
  <c r="D1680" i="2"/>
  <c r="I2465" i="2"/>
  <c r="O821" i="2"/>
  <c r="W550" i="2"/>
  <c r="V599" i="2"/>
  <c r="U11" i="2"/>
  <c r="W1234" i="2"/>
  <c r="T1747" i="2"/>
  <c r="V460" i="2"/>
  <c r="K21" i="2"/>
  <c r="M1328" i="2"/>
  <c r="U565" i="2"/>
  <c r="V2944" i="2"/>
  <c r="V134" i="2"/>
  <c r="R178" i="2"/>
  <c r="S693" i="2"/>
  <c r="K31" i="2"/>
  <c r="O1218" i="2"/>
  <c r="G2316" i="2"/>
  <c r="R1232" i="2"/>
  <c r="H161" i="2"/>
  <c r="J192" i="2"/>
  <c r="I633" i="2"/>
  <c r="K402" i="2"/>
  <c r="R544" i="2"/>
  <c r="H892" i="2"/>
  <c r="W814" i="2"/>
  <c r="S1325" i="2"/>
  <c r="U928" i="2"/>
  <c r="M1733" i="2"/>
  <c r="R1259" i="2"/>
  <c r="S1422" i="2"/>
  <c r="W919" i="2"/>
  <c r="F519" i="2"/>
  <c r="C2535" i="2"/>
  <c r="O2604" i="2"/>
  <c r="Q2982" i="2"/>
  <c r="R2938" i="2"/>
  <c r="G708" i="2"/>
  <c r="J2872" i="2"/>
  <c r="F2179" i="2"/>
  <c r="N284" i="2"/>
  <c r="J144" i="2"/>
  <c r="I884" i="2"/>
  <c r="R1331" i="2"/>
  <c r="H512" i="2"/>
  <c r="O1260" i="2"/>
  <c r="U2120" i="2"/>
  <c r="V934" i="2"/>
  <c r="G1706" i="2"/>
  <c r="D791" i="2"/>
  <c r="D1641" i="2"/>
  <c r="G2271" i="2"/>
  <c r="G325" i="2"/>
  <c r="F851" i="2"/>
  <c r="K866" i="2"/>
  <c r="N1303" i="2"/>
  <c r="S1111" i="2"/>
  <c r="Q737" i="2"/>
  <c r="T1755" i="2"/>
  <c r="O749" i="2"/>
  <c r="M1537" i="2"/>
  <c r="D1787" i="2"/>
  <c r="O2250" i="2"/>
  <c r="O1693" i="2"/>
  <c r="S936" i="2"/>
  <c r="C2160" i="2"/>
  <c r="W686" i="2"/>
  <c r="N1842" i="2"/>
  <c r="N1438" i="2"/>
  <c r="V1945" i="2"/>
  <c r="L904" i="2"/>
  <c r="P57" i="2"/>
  <c r="J1971" i="2"/>
  <c r="P783" i="2"/>
  <c r="V1472" i="2"/>
  <c r="R243" i="2"/>
  <c r="V753" i="2"/>
  <c r="Q1316" i="2"/>
  <c r="U2230" i="2"/>
  <c r="N147" i="2"/>
  <c r="F169" i="2"/>
  <c r="P52" i="2"/>
  <c r="G1472" i="2"/>
  <c r="D190" i="2"/>
  <c r="I172" i="2"/>
  <c r="M2121" i="2"/>
  <c r="Q1588" i="2"/>
  <c r="V2288" i="2"/>
  <c r="U471" i="2"/>
  <c r="L201" i="2"/>
  <c r="I1563" i="2"/>
  <c r="E422" i="2"/>
  <c r="T276" i="2"/>
  <c r="I150" i="2"/>
  <c r="D147" i="2"/>
  <c r="M1263" i="2"/>
  <c r="S313" i="2"/>
  <c r="R1447" i="2"/>
  <c r="S1142" i="2"/>
  <c r="P1571" i="2"/>
  <c r="P1648" i="2"/>
  <c r="I500" i="2"/>
  <c r="L1430" i="2"/>
  <c r="M270" i="2"/>
  <c r="U2486" i="2"/>
  <c r="K2521" i="2"/>
  <c r="E1056" i="2"/>
  <c r="N1769" i="2"/>
  <c r="P2370" i="2"/>
  <c r="Q102" i="2"/>
  <c r="E395" i="2"/>
  <c r="S659" i="2"/>
  <c r="S1591" i="2"/>
  <c r="Q1504" i="2"/>
  <c r="G569" i="2"/>
  <c r="U1064" i="2"/>
  <c r="T2638" i="2"/>
  <c r="N238" i="2"/>
  <c r="P1575" i="2"/>
  <c r="C2417" i="2"/>
  <c r="M695" i="2"/>
  <c r="T271" i="2"/>
  <c r="P176" i="2"/>
  <c r="G1279" i="2"/>
  <c r="O2519" i="2"/>
  <c r="V440" i="2"/>
  <c r="T236" i="2"/>
  <c r="C2017" i="2"/>
  <c r="W427" i="2"/>
  <c r="H1184" i="2"/>
  <c r="K1960" i="2"/>
  <c r="K1689" i="2"/>
  <c r="S3033" i="2"/>
  <c r="W877" i="2"/>
  <c r="R105" i="2"/>
  <c r="R828" i="2"/>
  <c r="N885" i="2"/>
  <c r="V943" i="2"/>
  <c r="Q318" i="2"/>
  <c r="E1176" i="2"/>
  <c r="N229" i="2"/>
  <c r="G1207" i="2"/>
  <c r="S230" i="2"/>
  <c r="K1534" i="2"/>
  <c r="R1422" i="2"/>
  <c r="K534" i="2"/>
  <c r="M2740" i="2"/>
  <c r="K1025" i="2"/>
  <c r="L948" i="2"/>
  <c r="M1116" i="2"/>
  <c r="T608" i="2"/>
  <c r="H1228" i="2"/>
  <c r="D2514" i="2"/>
  <c r="L2464" i="2"/>
  <c r="Q1808" i="2"/>
  <c r="O1234" i="2"/>
  <c r="F2090" i="2"/>
  <c r="D1200" i="2"/>
  <c r="V2455" i="2"/>
  <c r="Q272" i="2"/>
  <c r="E1739" i="2"/>
  <c r="E2271" i="2"/>
  <c r="E2644" i="2"/>
  <c r="O2542" i="2"/>
  <c r="H888" i="2"/>
  <c r="P2596" i="2"/>
  <c r="E1096" i="2"/>
  <c r="P404" i="2"/>
  <c r="V2032" i="2"/>
  <c r="S2748" i="2"/>
  <c r="J946" i="2"/>
  <c r="Q218" i="2"/>
  <c r="C1864" i="2"/>
  <c r="U455" i="2"/>
  <c r="W670" i="2"/>
  <c r="S680" i="2"/>
  <c r="E13" i="2"/>
  <c r="I470" i="2"/>
  <c r="E771" i="2"/>
  <c r="Q2773" i="2"/>
  <c r="W1014" i="2"/>
  <c r="P2609" i="2"/>
  <c r="G1285" i="2"/>
  <c r="H1015" i="2"/>
  <c r="M1494" i="2"/>
  <c r="U654" i="2"/>
  <c r="C1475" i="2"/>
  <c r="H299" i="2"/>
  <c r="N1062" i="2"/>
  <c r="L1884" i="2"/>
  <c r="W2740" i="2"/>
  <c r="M463" i="2"/>
  <c r="P221" i="2"/>
  <c r="H1230" i="2"/>
  <c r="U2527" i="2"/>
  <c r="V464" i="2"/>
  <c r="N24" i="2"/>
  <c r="P2987" i="2"/>
  <c r="R1445" i="2"/>
  <c r="K893" i="2"/>
  <c r="K1026" i="2"/>
  <c r="O390" i="2"/>
  <c r="S595" i="2"/>
  <c r="R1797" i="2"/>
  <c r="K3298" i="2"/>
  <c r="J899" i="2"/>
  <c r="Q1397" i="2"/>
  <c r="D1480" i="2"/>
  <c r="E1014" i="2"/>
  <c r="Q2617" i="2"/>
  <c r="J439" i="2"/>
  <c r="J2281" i="2"/>
  <c r="V117" i="2"/>
  <c r="R26" i="2"/>
  <c r="E2092" i="2"/>
  <c r="W388" i="2"/>
  <c r="T872" i="2"/>
  <c r="W1540" i="2"/>
  <c r="V455" i="2"/>
  <c r="I135" i="2"/>
  <c r="H435" i="2"/>
  <c r="D31" i="2"/>
  <c r="Q147" i="2"/>
  <c r="L984" i="2"/>
  <c r="G1393" i="2"/>
  <c r="L1189" i="2"/>
  <c r="E653" i="2"/>
  <c r="O872" i="2"/>
  <c r="I1095" i="2"/>
  <c r="R2227" i="2"/>
  <c r="P313" i="2"/>
  <c r="W332" i="2"/>
  <c r="S2046" i="2"/>
  <c r="O1315" i="2"/>
  <c r="S342" i="2"/>
  <c r="V1160" i="2"/>
  <c r="I559" i="2"/>
  <c r="E582" i="2"/>
  <c r="M102" i="2"/>
  <c r="R860" i="2"/>
  <c r="O2232" i="2"/>
  <c r="J1704" i="2"/>
  <c r="V2402" i="2"/>
  <c r="E1081" i="2"/>
  <c r="S1954" i="2"/>
  <c r="U1875" i="2"/>
  <c r="U2534" i="2"/>
  <c r="V690" i="2"/>
  <c r="L1638" i="2"/>
  <c r="V472" i="2"/>
  <c r="K1599" i="2"/>
  <c r="H472" i="2"/>
  <c r="G905" i="2"/>
  <c r="J2165" i="2"/>
  <c r="D22" i="2"/>
  <c r="J2858" i="2"/>
  <c r="G1731" i="2"/>
  <c r="V1880" i="2"/>
  <c r="S2476" i="2"/>
  <c r="W589" i="2"/>
  <c r="G781" i="2"/>
  <c r="G1985" i="2"/>
  <c r="W2107" i="2"/>
  <c r="K66" i="2"/>
  <c r="I2461" i="2"/>
  <c r="H580" i="2"/>
  <c r="T1419" i="2"/>
  <c r="C1432" i="2"/>
  <c r="M1424" i="2"/>
  <c r="K1159" i="2"/>
  <c r="E1477" i="2"/>
  <c r="Q107" i="2"/>
  <c r="Q2005" i="2"/>
  <c r="K670" i="2"/>
  <c r="O242" i="2"/>
  <c r="L2427" i="2"/>
  <c r="R1268" i="2"/>
  <c r="D659" i="2"/>
  <c r="C1162" i="2"/>
  <c r="N1435" i="2"/>
  <c r="L1957" i="2"/>
  <c r="O1239" i="2"/>
  <c r="Q1923" i="2"/>
  <c r="J681" i="2"/>
  <c r="F625" i="2"/>
  <c r="N736" i="2"/>
  <c r="E496" i="2"/>
  <c r="G2374" i="2"/>
  <c r="U501" i="2"/>
  <c r="F1042" i="2"/>
  <c r="K513" i="2"/>
  <c r="E1213" i="2"/>
  <c r="U3211" i="2"/>
  <c r="D932" i="2"/>
  <c r="V1195" i="2"/>
  <c r="Q260" i="2"/>
  <c r="O901" i="2"/>
  <c r="K2081" i="2"/>
  <c r="D905" i="2"/>
  <c r="R114" i="2"/>
  <c r="E471" i="2"/>
  <c r="G1322" i="2"/>
  <c r="E1065" i="2"/>
  <c r="F1939" i="2"/>
  <c r="M405" i="2"/>
  <c r="S1941" i="2"/>
  <c r="D1732" i="2"/>
  <c r="T1239" i="2"/>
  <c r="U1371" i="2"/>
  <c r="L1088" i="2"/>
  <c r="D1824" i="2"/>
  <c r="L995" i="2"/>
  <c r="O1870" i="2"/>
  <c r="T1466" i="2"/>
  <c r="M2081" i="2"/>
  <c r="M11" i="2"/>
  <c r="G143" i="2"/>
  <c r="G291" i="2"/>
  <c r="Q1543" i="2"/>
  <c r="Q1503" i="2"/>
  <c r="F1995" i="2"/>
  <c r="S1865" i="2"/>
  <c r="P3208" i="2"/>
  <c r="N343" i="2"/>
  <c r="G116" i="2"/>
  <c r="V1750" i="2"/>
  <c r="Q401" i="2"/>
  <c r="T741" i="2"/>
  <c r="D1137" i="2"/>
  <c r="H238" i="2"/>
  <c r="S775" i="2"/>
  <c r="W170" i="2"/>
  <c r="J589" i="2"/>
  <c r="T943" i="2"/>
  <c r="K1309" i="2"/>
  <c r="P1019" i="2"/>
  <c r="I1391" i="2"/>
  <c r="R970" i="2"/>
  <c r="J798" i="2"/>
  <c r="T1340" i="2"/>
  <c r="W755" i="2"/>
  <c r="V72" i="2"/>
  <c r="M3137" i="2"/>
  <c r="C1402" i="2"/>
  <c r="O1846" i="2"/>
  <c r="P908" i="2"/>
  <c r="I1568" i="2"/>
  <c r="O2640" i="2"/>
  <c r="D2497" i="2"/>
  <c r="L568" i="2"/>
  <c r="M982" i="2"/>
  <c r="J2060" i="2"/>
  <c r="M1304" i="2"/>
  <c r="V1504" i="2"/>
  <c r="L732" i="2"/>
  <c r="V410" i="2"/>
  <c r="J3092" i="2"/>
  <c r="J802" i="2"/>
  <c r="M618" i="2"/>
  <c r="U1517" i="2"/>
  <c r="G1789" i="2"/>
  <c r="W3171" i="2"/>
  <c r="Q2389" i="2"/>
  <c r="C636" i="2"/>
  <c r="J412" i="2"/>
  <c r="L2364" i="2"/>
  <c r="P1328" i="2"/>
  <c r="C2803" i="2"/>
  <c r="E391" i="2"/>
  <c r="N934" i="2"/>
  <c r="P876" i="2"/>
  <c r="M910" i="2"/>
  <c r="P3058" i="2"/>
  <c r="J1765" i="2"/>
  <c r="Q650" i="2"/>
  <c r="D799" i="2"/>
  <c r="S1362" i="2"/>
  <c r="U1323" i="2"/>
  <c r="L805" i="2"/>
  <c r="O325" i="2"/>
  <c r="I160" i="2"/>
  <c r="N2116" i="2"/>
  <c r="W1267" i="2"/>
  <c r="L810" i="2"/>
  <c r="G2993" i="2"/>
  <c r="Q2088" i="2"/>
  <c r="D1539" i="2"/>
  <c r="W2332" i="2"/>
  <c r="T298" i="2"/>
  <c r="R583" i="2"/>
  <c r="I3166" i="2"/>
  <c r="O338" i="2"/>
  <c r="K1732" i="2"/>
  <c r="T2329" i="2"/>
  <c r="U1590" i="2"/>
  <c r="L1280" i="2"/>
  <c r="U2153" i="2"/>
  <c r="T2576" i="2"/>
  <c r="N1971" i="2"/>
  <c r="W2657" i="2"/>
  <c r="E574" i="2"/>
  <c r="O2811" i="2"/>
  <c r="V1078" i="2"/>
  <c r="G1513" i="2"/>
  <c r="U329" i="2"/>
  <c r="G1920" i="2"/>
  <c r="E7" i="2"/>
  <c r="D161" i="2"/>
  <c r="F2722" i="2"/>
  <c r="J523" i="2"/>
  <c r="D1350" i="2"/>
  <c r="H1504" i="2"/>
  <c r="O65" i="2"/>
  <c r="R1927" i="2"/>
  <c r="F1882" i="2"/>
  <c r="U1360" i="2"/>
  <c r="H2061" i="2"/>
  <c r="C2222" i="2"/>
  <c r="N1788" i="2"/>
  <c r="K540" i="2"/>
  <c r="H622" i="2"/>
  <c r="N1144" i="2"/>
  <c r="O575" i="2"/>
  <c r="S1215" i="2"/>
  <c r="S2133" i="2"/>
  <c r="H616" i="2"/>
  <c r="T2291" i="2"/>
  <c r="S1128" i="2"/>
  <c r="O268" i="2"/>
  <c r="K1083" i="2"/>
  <c r="R1876" i="2"/>
  <c r="I309" i="2"/>
  <c r="T521" i="2"/>
  <c r="U47" i="2"/>
  <c r="L2846" i="2"/>
  <c r="V997" i="2"/>
  <c r="Q1997" i="2"/>
  <c r="G312" i="2"/>
  <c r="R1964" i="2"/>
  <c r="L632" i="2"/>
  <c r="G2598" i="2"/>
  <c r="M478" i="2"/>
  <c r="J2192" i="2"/>
  <c r="E859" i="2"/>
  <c r="I2326" i="2"/>
  <c r="N19" i="2"/>
  <c r="L1814" i="2"/>
  <c r="N1505" i="2"/>
  <c r="V1637" i="2"/>
  <c r="I277" i="2"/>
  <c r="U801" i="2"/>
  <c r="D1404" i="2"/>
  <c r="V83" i="2"/>
  <c r="F2401" i="2"/>
  <c r="K1508" i="2"/>
  <c r="O272" i="2"/>
  <c r="L2003" i="2"/>
  <c r="N2321" i="2"/>
  <c r="J159" i="2"/>
  <c r="L2352" i="2"/>
  <c r="P615" i="2"/>
  <c r="K146" i="2"/>
  <c r="V1407" i="2"/>
  <c r="T1821" i="2"/>
  <c r="H1301" i="2"/>
  <c r="H1773" i="2"/>
  <c r="Q187" i="2"/>
  <c r="J1458" i="2"/>
  <c r="W306" i="2"/>
  <c r="C54" i="2"/>
  <c r="L563" i="2"/>
  <c r="T527" i="2"/>
  <c r="U1348" i="2"/>
  <c r="W176" i="2"/>
  <c r="V1861" i="2"/>
  <c r="U393" i="2"/>
  <c r="D1050" i="2"/>
  <c r="H1882" i="2"/>
  <c r="O162" i="2"/>
  <c r="H1644" i="2"/>
  <c r="P2930" i="2"/>
  <c r="J867" i="2"/>
  <c r="K1024" i="2"/>
  <c r="S157" i="2"/>
  <c r="Q1035" i="2"/>
  <c r="W1189" i="2"/>
  <c r="H1467" i="2"/>
  <c r="K2463" i="2"/>
  <c r="H3005" i="2"/>
  <c r="R685" i="2"/>
  <c r="P948" i="2"/>
  <c r="N2376" i="2"/>
  <c r="I830" i="2"/>
  <c r="G811" i="2"/>
  <c r="W1889" i="2"/>
  <c r="I2466" i="2"/>
  <c r="H1596" i="2"/>
  <c r="J380" i="2"/>
  <c r="R1475" i="2"/>
  <c r="S2338" i="2"/>
  <c r="G1408" i="2"/>
  <c r="Q956" i="2"/>
  <c r="U1557" i="2"/>
  <c r="D770" i="2"/>
  <c r="M1706" i="2"/>
  <c r="R35" i="2"/>
  <c r="G1861" i="2"/>
  <c r="D70" i="2"/>
  <c r="H3035" i="2"/>
  <c r="H1523" i="2"/>
  <c r="H2195" i="2"/>
  <c r="M1394" i="2"/>
  <c r="U664" i="2"/>
  <c r="K180" i="2"/>
  <c r="O2522" i="2"/>
  <c r="F1325" i="2"/>
  <c r="G907" i="2"/>
  <c r="G266" i="2"/>
  <c r="H975" i="2"/>
  <c r="K2440" i="2"/>
  <c r="P71" i="2"/>
  <c r="C856" i="2"/>
  <c r="F26" i="2"/>
  <c r="H2712" i="2"/>
  <c r="P1941" i="2"/>
  <c r="L872" i="2"/>
  <c r="O358" i="2"/>
  <c r="T2578" i="2"/>
  <c r="F1362" i="2"/>
  <c r="E2831" i="2"/>
  <c r="K2750" i="2"/>
  <c r="E439" i="2"/>
  <c r="O1576" i="2"/>
  <c r="K622" i="2"/>
  <c r="W2901" i="2"/>
  <c r="G292" i="2"/>
  <c r="C2377" i="2"/>
  <c r="N501" i="2"/>
  <c r="O1690" i="2"/>
  <c r="R1351" i="2"/>
  <c r="T1417" i="2"/>
  <c r="C154" i="2"/>
  <c r="N201" i="2"/>
  <c r="F1496" i="2"/>
  <c r="F1752" i="2"/>
  <c r="F1582" i="2"/>
  <c r="U2039" i="2"/>
  <c r="D1424" i="2"/>
  <c r="D1244" i="2"/>
  <c r="F1616" i="2"/>
  <c r="L1544" i="2"/>
  <c r="V2320" i="2"/>
  <c r="K1723" i="2"/>
  <c r="W148" i="2"/>
  <c r="M949" i="2"/>
  <c r="D856" i="2"/>
  <c r="P448" i="2"/>
  <c r="P292" i="2"/>
  <c r="O2958" i="2"/>
  <c r="Q2731" i="2"/>
  <c r="L1374" i="2"/>
  <c r="Q465" i="2"/>
  <c r="S1096" i="2"/>
  <c r="O1007" i="2"/>
  <c r="J2362" i="2"/>
  <c r="H366" i="2"/>
  <c r="D3040" i="2"/>
  <c r="I1152" i="2"/>
  <c r="I671" i="2"/>
  <c r="R1238" i="2"/>
  <c r="W419" i="2"/>
  <c r="O2751" i="2"/>
  <c r="N1414" i="2"/>
  <c r="K1011" i="2"/>
  <c r="V2242" i="2"/>
  <c r="W833" i="2"/>
  <c r="O1458" i="2"/>
  <c r="K2095" i="2"/>
  <c r="O1353" i="2"/>
  <c r="N434" i="2"/>
  <c r="M2428" i="2"/>
  <c r="T1666" i="2"/>
  <c r="G1654" i="2"/>
  <c r="H520" i="2"/>
  <c r="L1019" i="2"/>
  <c r="T1578" i="2"/>
  <c r="R355" i="2"/>
  <c r="D2066" i="2"/>
  <c r="S484" i="2"/>
  <c r="T1799" i="2"/>
  <c r="D2485" i="2"/>
  <c r="W1110" i="2"/>
  <c r="D1360" i="2"/>
  <c r="M370" i="2"/>
  <c r="D1328" i="2"/>
  <c r="E888" i="2"/>
  <c r="V264" i="2"/>
  <c r="L216" i="2"/>
  <c r="W2550" i="2"/>
  <c r="H2112" i="2"/>
  <c r="L953" i="2"/>
  <c r="P1991" i="2"/>
  <c r="D2520" i="2"/>
  <c r="S2177" i="2"/>
  <c r="K823" i="2"/>
  <c r="C1270" i="2"/>
  <c r="H893" i="2"/>
  <c r="P847" i="2"/>
  <c r="E315" i="2"/>
  <c r="M1439" i="2"/>
  <c r="I1187" i="2"/>
  <c r="M384" i="2"/>
  <c r="D1645" i="2"/>
  <c r="H1182" i="2"/>
  <c r="V1065" i="2"/>
  <c r="P2576" i="2"/>
  <c r="J2074" i="2"/>
  <c r="Q2599" i="2"/>
  <c r="V2722" i="2"/>
  <c r="L1431" i="2"/>
  <c r="Q625" i="2"/>
  <c r="E117" i="2"/>
  <c r="U20" i="2"/>
  <c r="C648" i="2"/>
  <c r="P1246" i="2"/>
  <c r="J1761" i="2"/>
  <c r="C336" i="2"/>
  <c r="P209" i="2"/>
  <c r="U3048" i="2"/>
  <c r="Q201" i="2"/>
  <c r="I2405" i="2"/>
  <c r="P592" i="2"/>
  <c r="G700" i="2"/>
  <c r="C2331" i="2"/>
  <c r="Q2119" i="2"/>
  <c r="C1714" i="2"/>
  <c r="L267" i="2"/>
  <c r="S2248" i="2"/>
  <c r="P1446" i="2"/>
  <c r="G1313" i="2"/>
  <c r="S1903" i="2"/>
  <c r="C1984" i="2"/>
  <c r="U662" i="2"/>
  <c r="F2282" i="2"/>
  <c r="H1344" i="2"/>
  <c r="P2322" i="2"/>
  <c r="E2761" i="2"/>
  <c r="E244" i="2"/>
  <c r="R738" i="2"/>
  <c r="W603" i="2"/>
  <c r="D517" i="2"/>
  <c r="G739" i="2"/>
  <c r="D1595" i="2"/>
  <c r="E553" i="2"/>
  <c r="J281" i="2"/>
  <c r="G1141" i="2"/>
  <c r="W926" i="2"/>
  <c r="O46" i="2"/>
  <c r="T1075" i="2"/>
  <c r="E21" i="2"/>
  <c r="K753" i="2"/>
  <c r="U1041" i="2"/>
  <c r="D1989" i="2"/>
  <c r="I2593" i="2"/>
  <c r="J949" i="2"/>
  <c r="R1486" i="2"/>
  <c r="E1059" i="2"/>
  <c r="L2389" i="2"/>
  <c r="M2862" i="2"/>
  <c r="T1203" i="2"/>
  <c r="H1964" i="2"/>
  <c r="T971" i="2"/>
  <c r="G307" i="2"/>
  <c r="S1101" i="2"/>
  <c r="R214" i="2"/>
  <c r="I2532" i="2"/>
  <c r="U60" i="2"/>
  <c r="K162" i="2"/>
  <c r="K1899" i="2"/>
  <c r="O1278" i="2"/>
  <c r="P1278" i="2"/>
  <c r="M1356" i="2"/>
  <c r="M817" i="2"/>
  <c r="R137" i="2"/>
  <c r="O824" i="2"/>
  <c r="K2605" i="2"/>
  <c r="J2259" i="2"/>
  <c r="S442" i="2"/>
  <c r="T344" i="2"/>
  <c r="P692" i="2"/>
  <c r="J1552" i="2"/>
  <c r="S2570" i="2"/>
  <c r="V1609" i="2"/>
  <c r="R1722" i="2"/>
  <c r="K148" i="2"/>
  <c r="F1077" i="2"/>
  <c r="E59" i="2"/>
  <c r="M1362" i="2"/>
  <c r="D2142" i="2"/>
  <c r="R1672" i="2"/>
  <c r="N1985" i="2"/>
  <c r="D1715" i="2"/>
  <c r="O814" i="2"/>
  <c r="T721" i="2"/>
  <c r="S2138" i="2"/>
  <c r="Q51" i="2"/>
  <c r="L93" i="2"/>
  <c r="P2012" i="2"/>
  <c r="N418" i="2"/>
  <c r="C1217" i="2"/>
  <c r="F2760" i="2"/>
  <c r="K1425" i="2"/>
  <c r="F2356" i="2"/>
  <c r="F293" i="2"/>
  <c r="P2824" i="2"/>
  <c r="R2497" i="2"/>
  <c r="H256" i="2"/>
  <c r="O2235" i="2"/>
  <c r="M955" i="2"/>
  <c r="N904" i="2"/>
  <c r="G2061" i="2"/>
  <c r="W1812" i="2"/>
  <c r="M34" i="2"/>
  <c r="I113" i="2"/>
  <c r="O235" i="2"/>
  <c r="S465" i="2"/>
  <c r="I1918" i="2"/>
  <c r="N2457" i="2"/>
  <c r="S1536" i="2"/>
  <c r="R290" i="2"/>
  <c r="U216" i="2"/>
  <c r="H545" i="2"/>
  <c r="O2132" i="2"/>
  <c r="O940" i="2"/>
  <c r="U1430" i="2"/>
  <c r="I1286" i="2"/>
  <c r="K420" i="2"/>
  <c r="H1791" i="2"/>
  <c r="D2481" i="2"/>
  <c r="E1148" i="2"/>
  <c r="F579" i="2"/>
  <c r="C1560" i="2"/>
  <c r="J1808" i="2"/>
  <c r="N465" i="2"/>
  <c r="O475" i="2"/>
  <c r="R1136" i="2"/>
  <c r="M1752" i="2"/>
  <c r="C2515" i="2"/>
  <c r="N769" i="2"/>
  <c r="G3183" i="2"/>
  <c r="Q700" i="2"/>
  <c r="T1744" i="2"/>
  <c r="O484" i="2"/>
  <c r="R3001" i="2"/>
  <c r="V2394" i="2"/>
  <c r="L1021" i="2"/>
  <c r="O1003" i="2"/>
  <c r="R498" i="2"/>
  <c r="E3021" i="2"/>
  <c r="G2558" i="2"/>
  <c r="P939" i="2"/>
  <c r="R420" i="2"/>
  <c r="K608" i="2"/>
  <c r="U256" i="2"/>
  <c r="E2300" i="2"/>
  <c r="T1526" i="2"/>
  <c r="K528" i="2"/>
  <c r="W1886" i="2"/>
  <c r="Q1069" i="2"/>
  <c r="M248" i="2"/>
  <c r="T109" i="2"/>
  <c r="O2309" i="2"/>
  <c r="C34" i="2"/>
  <c r="P488" i="2"/>
  <c r="W438" i="2"/>
  <c r="O2047" i="2"/>
  <c r="L2447" i="2"/>
  <c r="C2560" i="2"/>
  <c r="E1940" i="2"/>
  <c r="F299" i="2"/>
  <c r="H2883" i="2"/>
  <c r="V1700" i="2"/>
  <c r="U1247" i="2"/>
  <c r="D1155" i="2"/>
  <c r="W1758" i="2"/>
  <c r="S60" i="2"/>
  <c r="I1097" i="2"/>
  <c r="O416" i="2"/>
  <c r="H1700" i="2"/>
  <c r="K833" i="2"/>
  <c r="T1608" i="2"/>
  <c r="M2739" i="2"/>
  <c r="I2514" i="2"/>
  <c r="R1424" i="2"/>
  <c r="G286" i="2"/>
  <c r="P300" i="2"/>
  <c r="J1064" i="2"/>
  <c r="V492" i="2"/>
  <c r="E523" i="2"/>
  <c r="E1365" i="2"/>
  <c r="W328" i="2"/>
  <c r="O412" i="2"/>
  <c r="H2328" i="2"/>
  <c r="O2100" i="2"/>
  <c r="T1011" i="2"/>
  <c r="T235" i="2"/>
  <c r="Q1184" i="2"/>
  <c r="P889" i="2"/>
  <c r="R344" i="2"/>
  <c r="P763" i="2"/>
  <c r="P1654" i="2"/>
  <c r="T742" i="2"/>
  <c r="N866" i="2"/>
  <c r="I476" i="2"/>
  <c r="C176" i="2"/>
  <c r="P1150" i="2"/>
  <c r="P2260" i="2"/>
  <c r="M1802" i="2"/>
  <c r="U576" i="2"/>
  <c r="N896" i="2"/>
  <c r="L1166" i="2"/>
  <c r="H630" i="2"/>
  <c r="S5" i="2"/>
  <c r="I1770" i="2"/>
  <c r="T1110" i="2"/>
  <c r="G2865" i="2"/>
  <c r="V193" i="2"/>
  <c r="U1324" i="2"/>
  <c r="G177" i="2"/>
  <c r="Q3019" i="2"/>
  <c r="E1617" i="2"/>
  <c r="Q1283" i="2"/>
  <c r="F1206" i="2"/>
  <c r="N1407" i="2"/>
  <c r="R2041" i="2"/>
  <c r="U2223" i="2"/>
  <c r="L387" i="2"/>
  <c r="C1058" i="2"/>
  <c r="S188" i="2"/>
  <c r="O803" i="2"/>
  <c r="J590" i="2"/>
  <c r="M261" i="2"/>
  <c r="I1131" i="2"/>
  <c r="H600" i="2"/>
  <c r="Q190" i="2"/>
  <c r="S993" i="2"/>
  <c r="H677" i="2"/>
  <c r="S2615" i="2"/>
  <c r="V730" i="2"/>
  <c r="T708" i="2"/>
  <c r="H1363" i="2"/>
  <c r="M1254" i="2"/>
  <c r="M2308" i="2"/>
  <c r="C425" i="2"/>
  <c r="O2571" i="2"/>
  <c r="N2332" i="2"/>
  <c r="M53" i="2"/>
  <c r="G30" i="2"/>
  <c r="Q2083" i="2"/>
  <c r="K341" i="2"/>
  <c r="V672" i="2"/>
  <c r="O1978" i="2"/>
  <c r="G385" i="2"/>
  <c r="D396" i="2"/>
  <c r="N67" i="2"/>
  <c r="I1815" i="2"/>
  <c r="U845" i="2"/>
  <c r="U942" i="2"/>
  <c r="I9" i="2"/>
  <c r="N707" i="2"/>
  <c r="D3202" i="2"/>
  <c r="O2166" i="2"/>
  <c r="K1759" i="2"/>
  <c r="G534" i="2"/>
  <c r="V637" i="2"/>
  <c r="K800" i="2"/>
  <c r="L1005" i="2"/>
  <c r="C1164" i="2"/>
  <c r="E1087" i="2"/>
  <c r="C199" i="2"/>
  <c r="D1363" i="2"/>
  <c r="C37" i="2"/>
  <c r="F1447" i="2"/>
  <c r="W702" i="2"/>
  <c r="R826" i="2"/>
  <c r="H1315" i="2"/>
  <c r="L608" i="2"/>
  <c r="N1181" i="2"/>
  <c r="W2153" i="2"/>
  <c r="H1334" i="2"/>
  <c r="U3231" i="2"/>
  <c r="Q1098" i="2"/>
  <c r="E190" i="2"/>
  <c r="T1638" i="2"/>
  <c r="N71" i="2"/>
  <c r="D1903" i="2"/>
  <c r="E1358" i="2"/>
  <c r="C405" i="2"/>
  <c r="I2157" i="2"/>
  <c r="Q796" i="2"/>
  <c r="T2499" i="2"/>
  <c r="F567" i="2"/>
  <c r="L506" i="2"/>
  <c r="D1459" i="2"/>
  <c r="V1444" i="2"/>
  <c r="T413" i="2"/>
  <c r="W1771" i="2"/>
  <c r="P288" i="2"/>
  <c r="J1974" i="2"/>
  <c r="U2342" i="2"/>
  <c r="H2614" i="2"/>
  <c r="R459" i="2"/>
  <c r="L987" i="2"/>
  <c r="E1750" i="2"/>
  <c r="H2214" i="2"/>
  <c r="J1289" i="2"/>
  <c r="O1072" i="2"/>
  <c r="E1124" i="2"/>
  <c r="P1996" i="2"/>
  <c r="W1602" i="2"/>
  <c r="G87" i="2"/>
  <c r="E2706" i="2"/>
  <c r="R1911" i="2"/>
  <c r="F792" i="2"/>
  <c r="M89" i="2"/>
  <c r="E150" i="2"/>
  <c r="J46" i="2"/>
  <c r="N2619" i="2"/>
  <c r="L1827" i="2"/>
  <c r="C2782" i="2"/>
  <c r="D195" i="2"/>
  <c r="Q600" i="2"/>
  <c r="T650" i="2"/>
  <c r="T198" i="2"/>
  <c r="G36" i="2"/>
  <c r="L644" i="2"/>
  <c r="T446" i="2"/>
  <c r="S2224" i="2"/>
  <c r="I882" i="2"/>
  <c r="T1743" i="2"/>
  <c r="T429" i="2"/>
  <c r="U1379" i="2"/>
  <c r="R1150" i="2"/>
  <c r="U311" i="2"/>
  <c r="S1575" i="2"/>
  <c r="L153" i="2"/>
  <c r="Q321" i="2"/>
  <c r="C266" i="2"/>
  <c r="J396" i="2"/>
  <c r="K1208" i="2"/>
  <c r="J3057" i="2"/>
  <c r="E1406" i="2"/>
  <c r="P2334" i="2"/>
  <c r="N137" i="2"/>
  <c r="J1004" i="2"/>
  <c r="W673" i="2"/>
  <c r="K1255" i="2"/>
  <c r="H1785" i="2"/>
  <c r="M379" i="2"/>
  <c r="R905" i="2"/>
  <c r="L518" i="2"/>
  <c r="U21" i="2"/>
  <c r="C1045" i="2"/>
  <c r="R1046" i="2"/>
  <c r="P941" i="2"/>
  <c r="K503" i="2"/>
  <c r="L469" i="2"/>
  <c r="I2601" i="2"/>
  <c r="O406" i="2"/>
  <c r="K164" i="2"/>
  <c r="Q968" i="2"/>
  <c r="J1509" i="2"/>
  <c r="R770" i="2"/>
  <c r="S2110" i="2"/>
  <c r="O1225" i="2"/>
  <c r="G2036" i="2"/>
  <c r="V1779" i="2"/>
  <c r="S1147" i="2"/>
  <c r="E685" i="2"/>
  <c r="P1146" i="2"/>
  <c r="V532" i="2"/>
  <c r="W787" i="2"/>
  <c r="T2881" i="2"/>
  <c r="K2310" i="2"/>
  <c r="S598" i="2"/>
  <c r="H1958" i="2"/>
  <c r="O916" i="2"/>
  <c r="R41" i="2"/>
  <c r="I1716" i="2"/>
  <c r="J587" i="2"/>
  <c r="K1296" i="2"/>
  <c r="R2871" i="2"/>
  <c r="W929" i="2"/>
  <c r="O32" i="2"/>
  <c r="M1025" i="2"/>
  <c r="K977" i="2"/>
  <c r="K576" i="2"/>
  <c r="L776" i="2"/>
  <c r="E2310" i="2"/>
  <c r="K847" i="2"/>
  <c r="V622" i="2"/>
  <c r="N1039" i="2"/>
  <c r="U1681" i="2"/>
  <c r="G90" i="2"/>
  <c r="T2510" i="2"/>
  <c r="U1529" i="2"/>
  <c r="U768" i="2"/>
  <c r="G2214" i="2"/>
  <c r="O1246" i="2"/>
  <c r="N2080" i="2"/>
  <c r="G695" i="2"/>
  <c r="S592" i="2"/>
  <c r="J718" i="2"/>
  <c r="U1223" i="2"/>
  <c r="S951" i="2"/>
  <c r="D634" i="2"/>
  <c r="Q1410" i="2"/>
  <c r="O37" i="2"/>
  <c r="H215" i="2"/>
  <c r="T1514" i="2"/>
  <c r="T70" i="2"/>
  <c r="J1814" i="2"/>
  <c r="F1977" i="2"/>
  <c r="F83" i="2"/>
  <c r="K439" i="2"/>
  <c r="H2586" i="2"/>
  <c r="C1815" i="2"/>
  <c r="T1162" i="2"/>
  <c r="H704" i="2"/>
  <c r="S995" i="2"/>
  <c r="E1812" i="2"/>
  <c r="H74" i="2"/>
  <c r="O2158" i="2"/>
  <c r="F31" i="2"/>
  <c r="K1054" i="2"/>
  <c r="L2231" i="2"/>
  <c r="O2540" i="2"/>
  <c r="L1836" i="2"/>
  <c r="P1402" i="2"/>
  <c r="I308" i="2"/>
  <c r="S540" i="2"/>
  <c r="R1527" i="2"/>
  <c r="W437" i="2"/>
  <c r="F351" i="2"/>
  <c r="P820" i="2"/>
  <c r="N1126" i="2"/>
  <c r="N2720" i="2"/>
  <c r="V1190" i="2"/>
  <c r="P254" i="2"/>
  <c r="Q962" i="2"/>
  <c r="J1539" i="2"/>
  <c r="J1769" i="2"/>
  <c r="C2861" i="2"/>
  <c r="V879" i="2"/>
  <c r="P2665" i="2"/>
  <c r="O1937" i="2"/>
  <c r="I488" i="2"/>
  <c r="W504" i="2"/>
  <c r="M1000" i="2"/>
  <c r="I2539" i="2"/>
  <c r="I79" i="2"/>
  <c r="T953" i="2"/>
  <c r="K1246" i="2"/>
  <c r="G1134" i="2"/>
  <c r="L2178" i="2"/>
  <c r="G18" i="2"/>
  <c r="E744" i="2"/>
  <c r="M2305" i="2"/>
  <c r="L511" i="2"/>
  <c r="O2083" i="2"/>
  <c r="R2968" i="2"/>
  <c r="J1717" i="2"/>
  <c r="N2017" i="2"/>
  <c r="I1803" i="2"/>
  <c r="H348" i="2"/>
  <c r="Q2395" i="2"/>
  <c r="F108" i="2"/>
  <c r="I933" i="2"/>
  <c r="P350" i="2"/>
  <c r="M2179" i="2"/>
  <c r="E1820" i="2"/>
  <c r="H373" i="2"/>
  <c r="O2679" i="2"/>
  <c r="E1419" i="2"/>
  <c r="F1456" i="2"/>
  <c r="P2562" i="2"/>
  <c r="C503" i="2"/>
  <c r="C304" i="2"/>
  <c r="H1241" i="2"/>
  <c r="V3280" i="2"/>
  <c r="E2420" i="2"/>
  <c r="O997" i="2"/>
  <c r="N1264" i="2"/>
  <c r="E332" i="2"/>
  <c r="J1512" i="2"/>
  <c r="E169" i="2"/>
  <c r="G2836" i="2"/>
  <c r="P793" i="2"/>
  <c r="R992" i="2"/>
  <c r="K691" i="2"/>
  <c r="L1202" i="2"/>
  <c r="D2397" i="2"/>
  <c r="K3053" i="2"/>
  <c r="W1701" i="2"/>
  <c r="V148" i="2"/>
  <c r="E563" i="2"/>
  <c r="W1034" i="2"/>
  <c r="L2854" i="2"/>
  <c r="K882" i="2"/>
  <c r="O2814" i="2"/>
  <c r="Q1693" i="2"/>
  <c r="L2346" i="2"/>
  <c r="J160" i="2"/>
  <c r="I1701" i="2"/>
  <c r="I692" i="2"/>
  <c r="H2147" i="2"/>
  <c r="E1910" i="2"/>
  <c r="W2386" i="2"/>
  <c r="E2316" i="2"/>
  <c r="D1049" i="2"/>
  <c r="J952" i="2"/>
  <c r="N975" i="2"/>
  <c r="L598" i="2"/>
  <c r="D600" i="2"/>
  <c r="M1656" i="2"/>
  <c r="O518" i="2"/>
  <c r="T2563" i="2"/>
  <c r="D166" i="2"/>
  <c r="C1234" i="2"/>
  <c r="I1869" i="2"/>
  <c r="F1058" i="2"/>
  <c r="P1533" i="2"/>
  <c r="N259" i="2"/>
  <c r="S660" i="2"/>
  <c r="K1051" i="2"/>
  <c r="V2613" i="2"/>
  <c r="P1566" i="2"/>
  <c r="T2115" i="2"/>
  <c r="J1749" i="2"/>
  <c r="O355" i="2"/>
  <c r="K1645" i="2"/>
  <c r="Q213" i="2"/>
  <c r="U536" i="2"/>
  <c r="Q1286" i="2"/>
  <c r="J567" i="2"/>
  <c r="N3208" i="2"/>
  <c r="N2327" i="2"/>
  <c r="P2213" i="2"/>
  <c r="J2184" i="2"/>
  <c r="G1281" i="2"/>
  <c r="P2189" i="2"/>
  <c r="L2180" i="2"/>
  <c r="K2781" i="2"/>
  <c r="T1191" i="2"/>
  <c r="N450" i="2"/>
  <c r="U1514" i="2"/>
  <c r="V2386" i="2"/>
  <c r="O562" i="2"/>
  <c r="N1224" i="2"/>
  <c r="U1117" i="2"/>
  <c r="C1776" i="2"/>
  <c r="T484" i="2"/>
  <c r="T926" i="2"/>
  <c r="R1395" i="2"/>
  <c r="K999" i="2"/>
  <c r="G2135" i="2"/>
  <c r="U377" i="2"/>
  <c r="N1143" i="2"/>
  <c r="W2557" i="2"/>
  <c r="K1280" i="2"/>
  <c r="E1147" i="2"/>
  <c r="T1136" i="2"/>
  <c r="Q701" i="2"/>
  <c r="S384" i="2"/>
  <c r="W2808" i="2"/>
  <c r="K628" i="2"/>
  <c r="I1628" i="2"/>
  <c r="U303" i="2"/>
  <c r="K808" i="2"/>
  <c r="J813" i="2"/>
  <c r="C1334" i="2"/>
  <c r="R2119" i="2"/>
  <c r="C2253" i="2"/>
  <c r="K2509" i="2"/>
  <c r="N1611" i="2"/>
  <c r="U773" i="2"/>
  <c r="D1819" i="2"/>
  <c r="R625" i="2"/>
  <c r="N2534" i="2"/>
  <c r="V1423" i="2"/>
  <c r="D619" i="2"/>
  <c r="W875" i="2"/>
  <c r="C977" i="2"/>
  <c r="T162" i="2"/>
  <c r="W1169" i="2"/>
  <c r="T1102" i="2"/>
  <c r="C2678" i="2"/>
  <c r="L242" i="2"/>
  <c r="Q120" i="2"/>
  <c r="T597" i="2"/>
  <c r="G131" i="2"/>
  <c r="S2343" i="2"/>
  <c r="K1981" i="2"/>
  <c r="I1147" i="2"/>
  <c r="J212" i="2"/>
  <c r="U348" i="2"/>
  <c r="S1711" i="2"/>
  <c r="T2000" i="2"/>
  <c r="W2895" i="2"/>
  <c r="N2730" i="2"/>
  <c r="J236" i="2"/>
  <c r="J1188" i="2"/>
  <c r="Q1511" i="2"/>
  <c r="S400" i="2"/>
  <c r="K807" i="2"/>
  <c r="W475" i="2"/>
  <c r="O330" i="2"/>
  <c r="T1729" i="2"/>
  <c r="T2627" i="2"/>
  <c r="V2995" i="2"/>
  <c r="O662" i="2"/>
  <c r="U165" i="2"/>
  <c r="F928" i="2"/>
  <c r="I1241" i="2"/>
  <c r="U336" i="2"/>
  <c r="V929" i="2"/>
  <c r="R629" i="2"/>
  <c r="S937" i="2"/>
  <c r="J477" i="2"/>
  <c r="S2106" i="2"/>
  <c r="E1172" i="2"/>
  <c r="J1404" i="2"/>
  <c r="H493" i="2"/>
  <c r="G673" i="2"/>
  <c r="C53" i="2"/>
  <c r="F452" i="2"/>
  <c r="V2148" i="2"/>
  <c r="N1302" i="2"/>
  <c r="I1533" i="2"/>
  <c r="D1389" i="2"/>
  <c r="G2275" i="2"/>
  <c r="U743" i="2"/>
  <c r="U2031" i="2"/>
  <c r="H2119" i="2"/>
  <c r="L2342" i="2"/>
  <c r="D2059" i="2"/>
  <c r="V2606" i="2"/>
  <c r="F1251" i="2"/>
  <c r="Q1169" i="2"/>
  <c r="M2313" i="2"/>
  <c r="U922" i="2"/>
  <c r="J2203" i="2"/>
  <c r="E979" i="2"/>
  <c r="T225" i="2"/>
  <c r="M1293" i="2"/>
  <c r="J489" i="2"/>
  <c r="O1281" i="2"/>
  <c r="Q562" i="2"/>
  <c r="R2774" i="2"/>
  <c r="T928" i="2"/>
  <c r="I179" i="2"/>
  <c r="O364" i="2"/>
  <c r="F2417" i="2"/>
  <c r="N2989" i="2"/>
  <c r="L1945" i="2"/>
  <c r="J1727" i="2"/>
  <c r="E3094" i="2"/>
  <c r="S464" i="2"/>
  <c r="P782" i="2"/>
  <c r="W1285" i="2"/>
  <c r="E1735" i="2"/>
  <c r="Q171" i="2"/>
  <c r="Q1663" i="2"/>
  <c r="K2122" i="2"/>
  <c r="V1683" i="2"/>
  <c r="E1519" i="2"/>
  <c r="W794" i="2"/>
  <c r="O1987" i="2"/>
  <c r="C810" i="2"/>
  <c r="U2036" i="2"/>
  <c r="S950" i="2"/>
  <c r="H15" i="2"/>
  <c r="W64" i="2"/>
  <c r="G272" i="2"/>
  <c r="P1920" i="2"/>
  <c r="F110" i="2"/>
  <c r="O1186" i="2"/>
  <c r="T1568" i="2"/>
  <c r="F2505" i="2"/>
  <c r="R1349" i="2"/>
  <c r="J752" i="2"/>
  <c r="U1463" i="2"/>
  <c r="T65" i="2"/>
  <c r="R997" i="2"/>
  <c r="D1827" i="2"/>
  <c r="K479" i="2"/>
  <c r="W1832" i="2"/>
  <c r="K997" i="2"/>
  <c r="H744" i="2"/>
  <c r="L837" i="2"/>
  <c r="E644" i="2"/>
  <c r="G1117" i="2"/>
  <c r="N2678" i="2"/>
  <c r="D1025" i="2"/>
  <c r="T927" i="2"/>
  <c r="J2848" i="2"/>
  <c r="P818" i="2"/>
  <c r="G2391" i="2"/>
  <c r="P1148" i="2"/>
  <c r="R569" i="2"/>
  <c r="W2094" i="2"/>
  <c r="M197" i="2"/>
  <c r="K570" i="2"/>
  <c r="J1046" i="2"/>
  <c r="O1121" i="2"/>
  <c r="F1399" i="2"/>
  <c r="P272" i="2"/>
  <c r="G671" i="2"/>
  <c r="H23" i="2"/>
  <c r="H3010" i="2"/>
  <c r="E2228" i="2"/>
  <c r="Q2808" i="2"/>
  <c r="M2618" i="2"/>
  <c r="C2512" i="2"/>
  <c r="G1103" i="2"/>
  <c r="W1830" i="2"/>
  <c r="F650" i="2"/>
  <c r="K1379" i="2"/>
  <c r="O964" i="2"/>
  <c r="N1933" i="2"/>
  <c r="K1693" i="2"/>
  <c r="V1137" i="2"/>
  <c r="T704" i="2"/>
  <c r="L348" i="2"/>
  <c r="F1535" i="2"/>
  <c r="M751" i="2"/>
  <c r="P2273" i="2"/>
  <c r="H1046" i="2"/>
  <c r="G2007" i="2"/>
  <c r="N336" i="2"/>
  <c r="M2204" i="2"/>
  <c r="E235" i="2"/>
  <c r="H1153" i="2"/>
  <c r="P165" i="2"/>
  <c r="K348" i="2"/>
  <c r="D2346" i="2"/>
  <c r="I1231" i="2"/>
  <c r="G1802" i="2"/>
  <c r="D2398" i="2"/>
  <c r="S2441" i="2"/>
  <c r="H1292" i="2"/>
  <c r="P21" i="2"/>
  <c r="H1303" i="2"/>
  <c r="U1818" i="2"/>
  <c r="M1875" i="2"/>
  <c r="R2609" i="2"/>
  <c r="E2737" i="2"/>
  <c r="R1032" i="2"/>
  <c r="H914" i="2"/>
  <c r="C2470" i="2"/>
  <c r="L1567" i="2"/>
  <c r="J478" i="2"/>
  <c r="S1520" i="2"/>
  <c r="C1125" i="2"/>
  <c r="C2729" i="2"/>
  <c r="O265" i="2"/>
  <c r="D820" i="2"/>
  <c r="J408" i="2"/>
  <c r="J695" i="2"/>
  <c r="E732" i="2"/>
  <c r="F2079" i="2"/>
  <c r="O36" i="2"/>
  <c r="V992" i="2"/>
  <c r="Q1264" i="2"/>
  <c r="P156" i="2"/>
  <c r="R2336" i="2"/>
  <c r="D816" i="2"/>
  <c r="Q83" i="2"/>
  <c r="H670" i="2"/>
  <c r="U1585" i="2"/>
  <c r="T549" i="2"/>
  <c r="D2515" i="2"/>
  <c r="W900" i="2"/>
  <c r="F2823" i="2"/>
  <c r="O1644" i="2"/>
  <c r="L2475" i="2"/>
  <c r="T322" i="2"/>
  <c r="C864" i="2"/>
  <c r="V525" i="2"/>
  <c r="Q70" i="2"/>
  <c r="I2561" i="2"/>
  <c r="E599" i="2"/>
  <c r="Q502" i="2"/>
  <c r="R965" i="2"/>
  <c r="T1304" i="2"/>
  <c r="Q565" i="2"/>
  <c r="Q1224" i="2"/>
  <c r="K51" i="2"/>
  <c r="P1329" i="2"/>
  <c r="R1857" i="2"/>
  <c r="R481" i="2"/>
  <c r="J1163" i="2"/>
  <c r="T2063" i="2"/>
  <c r="G1977" i="2"/>
  <c r="I1433" i="2"/>
  <c r="N95" i="2"/>
  <c r="H140" i="2"/>
  <c r="V1548" i="2"/>
  <c r="P335" i="2"/>
  <c r="O135" i="2"/>
  <c r="N2255" i="2"/>
  <c r="K2771" i="2"/>
  <c r="L2507" i="2"/>
  <c r="J2873" i="2"/>
  <c r="U407" i="2"/>
  <c r="K1429" i="2"/>
  <c r="W1684" i="2"/>
  <c r="N279" i="2"/>
  <c r="U517" i="2"/>
  <c r="I276" i="2"/>
  <c r="H571" i="2"/>
  <c r="P1178" i="2"/>
  <c r="F690" i="2"/>
  <c r="D2839" i="2"/>
  <c r="S1688" i="2"/>
  <c r="C326" i="2"/>
  <c r="R783" i="2"/>
  <c r="J707" i="2"/>
  <c r="R1610" i="2"/>
  <c r="U533" i="2"/>
  <c r="D235" i="2"/>
  <c r="L326" i="2"/>
  <c r="H1595" i="2"/>
  <c r="S2334" i="2"/>
  <c r="D2516" i="2"/>
  <c r="Q1048" i="2"/>
  <c r="T2525" i="2"/>
  <c r="D35" i="2"/>
  <c r="E622" i="2"/>
  <c r="O86" i="2"/>
  <c r="N586" i="2"/>
  <c r="M178" i="2"/>
  <c r="Q1311" i="2"/>
  <c r="D1429" i="2"/>
  <c r="C2267" i="2"/>
  <c r="U168" i="2"/>
  <c r="G837" i="2"/>
  <c r="F1100" i="2"/>
  <c r="V2258" i="2"/>
  <c r="C3054" i="2"/>
  <c r="I67" i="2"/>
  <c r="R1200" i="2"/>
  <c r="P837" i="2"/>
  <c r="G1886" i="2"/>
  <c r="R322" i="2"/>
  <c r="I53" i="2"/>
  <c r="P982" i="2"/>
  <c r="T1794" i="2"/>
  <c r="F1474" i="2"/>
  <c r="D562" i="2"/>
  <c r="U2738" i="2"/>
  <c r="U2221" i="2"/>
  <c r="Q714" i="2"/>
  <c r="J197" i="2"/>
  <c r="T1657" i="2"/>
  <c r="F1275" i="2"/>
  <c r="M90" i="2"/>
  <c r="U85" i="2"/>
  <c r="O502" i="2"/>
  <c r="L1160" i="2"/>
  <c r="C2667" i="2"/>
  <c r="R1992" i="2"/>
  <c r="W1223" i="2"/>
  <c r="C590" i="2"/>
  <c r="H1081" i="2"/>
  <c r="N1849" i="2"/>
  <c r="U479" i="2"/>
  <c r="F1098" i="2"/>
  <c r="H386" i="2"/>
  <c r="L2282" i="2"/>
  <c r="J1360" i="2"/>
  <c r="K565" i="2"/>
  <c r="S896" i="2"/>
  <c r="H2210" i="2"/>
  <c r="D539" i="2"/>
  <c r="W2118" i="2"/>
  <c r="O686" i="2"/>
  <c r="L1660" i="2"/>
  <c r="M3115" i="2"/>
  <c r="L1103" i="2"/>
  <c r="P253" i="2"/>
  <c r="S728" i="2"/>
  <c r="J935" i="2"/>
  <c r="D324" i="2"/>
  <c r="Q27" i="2"/>
  <c r="E2674" i="2"/>
  <c r="H2318" i="2"/>
  <c r="E501" i="2"/>
  <c r="V679" i="2"/>
  <c r="W423" i="2"/>
  <c r="E639" i="2"/>
  <c r="G2159" i="2"/>
  <c r="N270" i="2"/>
  <c r="E2435" i="2"/>
  <c r="L1937" i="2"/>
  <c r="D629" i="2"/>
  <c r="G2474" i="2"/>
  <c r="S4" i="2"/>
  <c r="T1194" i="2"/>
  <c r="N99" i="2"/>
  <c r="Q1878" i="2"/>
  <c r="N1164" i="2"/>
  <c r="I517" i="2"/>
  <c r="D1342" i="2"/>
  <c r="H95" i="2"/>
  <c r="V1005" i="2"/>
  <c r="L432" i="2"/>
  <c r="R403" i="2"/>
  <c r="R2365" i="2"/>
  <c r="H210" i="2"/>
  <c r="L477" i="2"/>
  <c r="U1025" i="2"/>
  <c r="U909" i="2"/>
  <c r="W31" i="2"/>
  <c r="D13" i="2"/>
  <c r="W3354" i="2"/>
  <c r="R1407" i="2"/>
  <c r="E1503" i="2"/>
  <c r="H1146" i="2"/>
  <c r="S98" i="2"/>
  <c r="U100" i="2"/>
  <c r="J981" i="2"/>
  <c r="G1623" i="2"/>
  <c r="M2403" i="2"/>
  <c r="N2948" i="2"/>
  <c r="G1381" i="2"/>
  <c r="K796" i="2"/>
  <c r="N1545" i="2"/>
  <c r="L1565" i="2"/>
  <c r="T291" i="2"/>
  <c r="T1954" i="2"/>
  <c r="U878" i="2"/>
  <c r="M2388" i="2"/>
  <c r="O2249" i="2"/>
  <c r="V958" i="2"/>
  <c r="W75" i="2"/>
  <c r="H1090" i="2"/>
  <c r="J2437" i="2"/>
  <c r="L652" i="2"/>
  <c r="N1931" i="2"/>
  <c r="H623" i="2"/>
  <c r="J638" i="2"/>
  <c r="D633" i="2"/>
  <c r="U1128" i="2"/>
  <c r="W659" i="2"/>
  <c r="D3117" i="2"/>
  <c r="O2652" i="2"/>
  <c r="K360" i="2"/>
  <c r="K1623" i="2"/>
  <c r="S2381" i="2"/>
  <c r="H1462" i="2"/>
  <c r="C968" i="2"/>
  <c r="P1578" i="2"/>
  <c r="F2550" i="2"/>
  <c r="O1593" i="2"/>
  <c r="V130" i="2"/>
  <c r="M2153" i="2"/>
  <c r="F112" i="2"/>
  <c r="J1029" i="2"/>
  <c r="R762" i="2"/>
  <c r="C22" i="2"/>
  <c r="T557" i="2"/>
  <c r="I459" i="2"/>
  <c r="Q1277" i="2"/>
  <c r="T2735" i="2"/>
  <c r="F1468" i="2"/>
  <c r="W2194" i="2"/>
  <c r="I484" i="2"/>
  <c r="O1367" i="2"/>
  <c r="L159" i="2"/>
  <c r="O513" i="2"/>
  <c r="E1191" i="2"/>
  <c r="G471" i="2"/>
  <c r="O1211" i="2"/>
  <c r="P989" i="2"/>
  <c r="V255" i="2"/>
  <c r="I2074" i="2"/>
  <c r="T788" i="2"/>
  <c r="L915" i="2"/>
  <c r="T969" i="2"/>
  <c r="E29" i="2"/>
  <c r="T2163" i="2"/>
  <c r="S664" i="2"/>
  <c r="U1881" i="2"/>
  <c r="O2458" i="2"/>
  <c r="P133" i="2"/>
  <c r="V1523" i="2"/>
  <c r="U2187" i="2"/>
  <c r="R1753" i="2"/>
  <c r="P107" i="2"/>
  <c r="P2224" i="2"/>
  <c r="F313" i="2"/>
  <c r="S2011" i="2"/>
  <c r="M2027" i="2"/>
  <c r="W1975" i="2"/>
  <c r="P985" i="2"/>
  <c r="R667" i="2"/>
  <c r="S362" i="2"/>
  <c r="U1973" i="2"/>
  <c r="Q868" i="2"/>
  <c r="I650" i="2"/>
  <c r="G2033" i="2"/>
  <c r="C1502" i="2"/>
  <c r="N300" i="2"/>
  <c r="F1848" i="2"/>
  <c r="T997" i="2"/>
  <c r="E1731" i="2"/>
  <c r="T824" i="2"/>
  <c r="R113" i="2"/>
  <c r="O107" i="2"/>
  <c r="P1406" i="2"/>
  <c r="E1691" i="2"/>
  <c r="S493" i="2"/>
  <c r="W321" i="2"/>
  <c r="E1446" i="2"/>
  <c r="H2230" i="2"/>
  <c r="G716" i="2"/>
  <c r="G627" i="2"/>
  <c r="I1505" i="2"/>
  <c r="R443" i="2"/>
  <c r="N2198" i="2"/>
  <c r="W2608" i="2"/>
  <c r="U690" i="2"/>
  <c r="L188" i="2"/>
  <c r="R2376" i="2"/>
  <c r="M679" i="2"/>
  <c r="M262" i="2"/>
  <c r="P2733" i="2"/>
  <c r="D998" i="2"/>
  <c r="J2453" i="2"/>
  <c r="M1428" i="2"/>
  <c r="D656" i="2"/>
  <c r="U864" i="2"/>
  <c r="S631" i="2"/>
  <c r="K49" i="2"/>
  <c r="G2120" i="2"/>
  <c r="T333" i="2"/>
  <c r="R1789" i="2"/>
  <c r="F512" i="2"/>
  <c r="R1476" i="2"/>
  <c r="N2216" i="2"/>
  <c r="O759" i="2"/>
  <c r="K2075" i="2"/>
  <c r="P105" i="2"/>
  <c r="F1307" i="2"/>
  <c r="J2350" i="2"/>
  <c r="W2353" i="2"/>
  <c r="E433" i="2"/>
  <c r="E1646" i="2"/>
  <c r="C6" i="2"/>
  <c r="T1298" i="2"/>
  <c r="O1720" i="2"/>
  <c r="K927" i="2"/>
  <c r="L1900" i="2"/>
  <c r="U1516" i="2"/>
  <c r="F336" i="2"/>
  <c r="F1188" i="2"/>
  <c r="J2140" i="2"/>
  <c r="D1509" i="2"/>
  <c r="P541" i="2"/>
  <c r="O1327" i="2"/>
  <c r="Q2366" i="2"/>
  <c r="U1871" i="2"/>
  <c r="D2355" i="2"/>
  <c r="G1059" i="2"/>
  <c r="E2608" i="2"/>
  <c r="U1251" i="2"/>
  <c r="T1313" i="2"/>
  <c r="I1621" i="2"/>
  <c r="G1627" i="2"/>
  <c r="G1831" i="2"/>
  <c r="U1953" i="2"/>
  <c r="D320" i="2"/>
  <c r="F2455" i="2"/>
  <c r="N481" i="2"/>
  <c r="O60" i="2"/>
  <c r="C2276" i="2"/>
  <c r="E3061" i="2"/>
  <c r="F1716" i="2"/>
  <c r="W24" i="2"/>
  <c r="F912" i="2"/>
  <c r="I771" i="2"/>
  <c r="V151" i="2"/>
  <c r="U946" i="2"/>
  <c r="E1744" i="2"/>
  <c r="G241" i="2"/>
  <c r="I1212" i="2"/>
  <c r="F2556" i="2"/>
  <c r="J2611" i="2"/>
  <c r="V755" i="2"/>
  <c r="F94" i="2"/>
  <c r="G759" i="2"/>
  <c r="I115" i="2"/>
  <c r="I1430" i="2"/>
  <c r="K1750" i="2"/>
  <c r="R1413" i="2"/>
  <c r="O747" i="2"/>
  <c r="G2402" i="2"/>
  <c r="N1694" i="2"/>
  <c r="R1387" i="2"/>
  <c r="P713" i="2"/>
  <c r="U454" i="2"/>
  <c r="I942" i="2"/>
  <c r="J1659" i="2"/>
  <c r="D2554" i="2"/>
  <c r="T2639" i="2"/>
  <c r="W245" i="2"/>
  <c r="K822" i="2"/>
  <c r="H544" i="2"/>
  <c r="M2237" i="2"/>
  <c r="I1368" i="2"/>
  <c r="F902" i="2"/>
  <c r="H370" i="2"/>
  <c r="W844" i="2"/>
  <c r="M307" i="2"/>
  <c r="V281" i="2"/>
  <c r="U1531" i="2"/>
  <c r="P2910" i="2"/>
  <c r="L2250" i="2"/>
  <c r="G810" i="2"/>
  <c r="P2622" i="2"/>
  <c r="R19" i="2"/>
  <c r="O1227" i="2"/>
  <c r="N1005" i="2"/>
  <c r="M532" i="2"/>
  <c r="M758" i="2"/>
  <c r="J1438" i="2"/>
  <c r="U2042" i="2"/>
  <c r="Q478" i="2"/>
  <c r="C49" i="2"/>
  <c r="F550" i="2"/>
  <c r="H1205" i="2"/>
  <c r="G2154" i="2"/>
  <c r="R907" i="2"/>
  <c r="F1081" i="2"/>
  <c r="Q1244" i="2"/>
  <c r="U511" i="2"/>
  <c r="Q1367" i="2"/>
  <c r="M1658" i="2"/>
  <c r="O894" i="2"/>
  <c r="I445" i="2"/>
  <c r="O2745" i="2"/>
  <c r="R501" i="2"/>
  <c r="O83" i="2"/>
  <c r="S2358" i="2"/>
  <c r="M414" i="2"/>
  <c r="U2991" i="2"/>
  <c r="I1080" i="2"/>
  <c r="T2922" i="2"/>
  <c r="R1369" i="2"/>
  <c r="C2183" i="2"/>
  <c r="K2167" i="2"/>
  <c r="P2393" i="2"/>
  <c r="S2023" i="2"/>
  <c r="N556" i="2"/>
  <c r="O2833" i="2"/>
  <c r="G2840" i="2"/>
  <c r="I227" i="2"/>
  <c r="G155" i="2"/>
  <c r="Q2430" i="2"/>
  <c r="M1459" i="2"/>
  <c r="F554" i="2"/>
  <c r="W918" i="2"/>
  <c r="D1766" i="2"/>
  <c r="D959" i="2"/>
  <c r="U987" i="2"/>
  <c r="D202" i="2"/>
  <c r="Q1364" i="2"/>
  <c r="N104" i="2"/>
  <c r="Q1715" i="2"/>
  <c r="P1477" i="2"/>
  <c r="P433" i="2"/>
  <c r="V2881" i="2"/>
  <c r="G207" i="2"/>
  <c r="D1269" i="2"/>
  <c r="L509" i="2"/>
  <c r="T685" i="2"/>
  <c r="U1027" i="2"/>
  <c r="C247" i="2"/>
  <c r="J170" i="2"/>
  <c r="U1831" i="2"/>
  <c r="R687" i="2"/>
  <c r="U1526" i="2"/>
  <c r="L138" i="2"/>
  <c r="P2321" i="2"/>
  <c r="M148" i="2"/>
  <c r="H1837" i="2"/>
  <c r="I1656" i="2"/>
  <c r="U134" i="2"/>
  <c r="W1032" i="2"/>
  <c r="R20" i="2"/>
  <c r="T1885" i="2"/>
  <c r="I1450" i="2"/>
  <c r="N901" i="2"/>
  <c r="I1914" i="2"/>
  <c r="K1737" i="2"/>
  <c r="Q267" i="2"/>
  <c r="P1746" i="2"/>
  <c r="E1326" i="2"/>
  <c r="H182" i="2"/>
  <c r="I1466" i="2"/>
  <c r="G440" i="2"/>
  <c r="J2599" i="2"/>
  <c r="H2518" i="2"/>
  <c r="G867" i="2"/>
  <c r="I349" i="2"/>
  <c r="K1456" i="2"/>
  <c r="R2775" i="2"/>
  <c r="L1201" i="2"/>
  <c r="U792" i="2"/>
  <c r="F3016" i="2"/>
  <c r="C1193" i="2"/>
  <c r="U674" i="2"/>
  <c r="M2035" i="2"/>
  <c r="E2081" i="2"/>
  <c r="R1830" i="2"/>
  <c r="R1190" i="2"/>
  <c r="T519" i="2"/>
  <c r="S2492" i="2"/>
  <c r="S1372" i="2"/>
  <c r="M74" i="2"/>
  <c r="O655" i="2"/>
  <c r="S1333" i="2"/>
  <c r="C620" i="2"/>
  <c r="Q1453" i="2"/>
  <c r="P462" i="2"/>
  <c r="M921" i="2"/>
  <c r="R223" i="2"/>
  <c r="N523" i="2"/>
  <c r="V92" i="2"/>
  <c r="Q2238" i="2"/>
  <c r="N119" i="2"/>
  <c r="F316" i="2"/>
  <c r="F1367" i="2"/>
  <c r="N2416" i="2"/>
  <c r="D274" i="2"/>
  <c r="Q1518" i="2"/>
  <c r="Q1401" i="2"/>
  <c r="N10" i="2"/>
  <c r="D1122" i="2"/>
  <c r="D1098" i="2"/>
  <c r="V1254" i="2"/>
  <c r="O2602" i="2"/>
  <c r="G523" i="2"/>
  <c r="V2855" i="2"/>
  <c r="R83" i="2"/>
  <c r="G1386" i="2"/>
  <c r="J325" i="2"/>
  <c r="G1094" i="2"/>
  <c r="T1576" i="2"/>
  <c r="P2310" i="2"/>
  <c r="N2292" i="2"/>
  <c r="M2330" i="2"/>
  <c r="K233" i="2"/>
  <c r="M1114" i="2"/>
  <c r="K33" i="2"/>
  <c r="J1334" i="2"/>
  <c r="C787" i="2"/>
  <c r="R1602" i="2"/>
  <c r="K2479" i="2"/>
  <c r="J1748" i="2"/>
  <c r="N1230" i="2"/>
  <c r="M3076" i="2"/>
  <c r="R64" i="2"/>
  <c r="P1961" i="2"/>
  <c r="V290" i="2"/>
  <c r="V1412" i="2"/>
  <c r="M396" i="2"/>
  <c r="L715" i="2"/>
  <c r="F1313" i="2"/>
  <c r="G1741" i="2"/>
  <c r="H1696" i="2"/>
  <c r="N2297" i="2"/>
  <c r="V559" i="2"/>
  <c r="G1539" i="2"/>
  <c r="M811" i="2"/>
  <c r="R461" i="2"/>
  <c r="G805" i="2"/>
  <c r="W460" i="2"/>
  <c r="F632" i="2"/>
  <c r="Q1773" i="2"/>
  <c r="J43" i="2"/>
  <c r="U1146" i="2"/>
  <c r="N2698" i="2"/>
  <c r="W402" i="2"/>
  <c r="H1637" i="2"/>
  <c r="C299" i="2"/>
  <c r="K1542" i="2"/>
  <c r="W1699" i="2"/>
  <c r="R1880" i="2"/>
  <c r="L394" i="2"/>
  <c r="G1585" i="2"/>
  <c r="M584" i="2"/>
  <c r="I1343" i="2"/>
  <c r="V2231" i="2"/>
  <c r="M1233" i="2"/>
  <c r="C79" i="2"/>
  <c r="F1886" i="2"/>
  <c r="D1886" i="2"/>
  <c r="S167" i="2"/>
  <c r="T830" i="2"/>
  <c r="P622" i="2"/>
  <c r="I866" i="2"/>
  <c r="U1475" i="2"/>
  <c r="C2885" i="2"/>
  <c r="K2057" i="2"/>
  <c r="C534" i="2"/>
  <c r="F1359" i="2"/>
  <c r="D2693" i="2"/>
  <c r="Q1420" i="2"/>
  <c r="F462" i="2"/>
  <c r="T1983" i="2"/>
  <c r="V1256" i="2"/>
  <c r="L1739" i="2"/>
  <c r="W1277" i="2"/>
  <c r="H2651" i="2"/>
  <c r="V277" i="2"/>
  <c r="L1536" i="2"/>
  <c r="C2717" i="2"/>
  <c r="K105" i="2"/>
  <c r="C975" i="2"/>
  <c r="V2517" i="2"/>
  <c r="O199" i="2"/>
  <c r="L1432" i="2"/>
  <c r="J1105" i="2"/>
  <c r="H2386" i="2"/>
  <c r="S256" i="2"/>
  <c r="S435" i="2"/>
  <c r="G3240" i="2"/>
  <c r="U410" i="2"/>
  <c r="K719" i="2"/>
  <c r="D1160" i="2"/>
  <c r="S1564" i="2"/>
  <c r="G296" i="2"/>
  <c r="D1892" i="2"/>
  <c r="M803" i="2"/>
  <c r="H1420" i="2"/>
  <c r="U1648" i="2"/>
  <c r="I244" i="2"/>
  <c r="K824" i="2"/>
  <c r="S455" i="2"/>
  <c r="U206" i="2"/>
  <c r="M873" i="2"/>
  <c r="K1683" i="2"/>
  <c r="R399" i="2"/>
  <c r="N1161" i="2"/>
  <c r="M17" i="2"/>
  <c r="D1668" i="2"/>
  <c r="U2066" i="2"/>
  <c r="E1536" i="2"/>
  <c r="Q983" i="2"/>
  <c r="C1960" i="2"/>
  <c r="T1897" i="2"/>
  <c r="S235" i="2"/>
  <c r="W864" i="2"/>
  <c r="L1289" i="2"/>
  <c r="V2741" i="2"/>
  <c r="V1976" i="2"/>
  <c r="V579" i="2"/>
  <c r="V762" i="2"/>
  <c r="E1348" i="2"/>
  <c r="M792" i="2"/>
  <c r="P2350" i="2"/>
  <c r="K749" i="2"/>
  <c r="Q871" i="2"/>
  <c r="G41" i="2"/>
  <c r="P768" i="2"/>
  <c r="N1165" i="2"/>
  <c r="D675" i="2"/>
  <c r="L2053" i="2"/>
  <c r="E1507" i="2"/>
  <c r="I496" i="2"/>
  <c r="F1688" i="2"/>
  <c r="M953" i="2"/>
  <c r="D1852" i="2"/>
  <c r="G734" i="2"/>
  <c r="V1801" i="2"/>
  <c r="K695" i="2"/>
  <c r="T2707" i="2"/>
  <c r="F96" i="2"/>
  <c r="T2485" i="2"/>
  <c r="R213" i="2"/>
  <c r="L1108" i="2"/>
  <c r="V1374" i="2"/>
  <c r="M2171" i="2"/>
  <c r="S185" i="2"/>
  <c r="H2656" i="2"/>
  <c r="F2022" i="2"/>
  <c r="T552" i="2"/>
  <c r="O1310" i="2"/>
  <c r="L1326" i="2"/>
  <c r="V1687" i="2"/>
  <c r="Q453" i="2"/>
  <c r="S253" i="2"/>
  <c r="U834" i="2"/>
  <c r="I1570" i="2"/>
  <c r="Q1683" i="2"/>
  <c r="D1243" i="2"/>
  <c r="D1435" i="2"/>
  <c r="D1099" i="2"/>
  <c r="P774" i="2"/>
  <c r="U1002" i="2"/>
  <c r="C372" i="2"/>
  <c r="L2926" i="2"/>
  <c r="G445" i="2"/>
  <c r="H216" i="2"/>
  <c r="Q185" i="2"/>
  <c r="P1173" i="2"/>
  <c r="L34" i="2"/>
  <c r="D177" i="2"/>
  <c r="I1643" i="2"/>
  <c r="S577" i="2"/>
  <c r="T2032" i="2"/>
  <c r="S2939" i="2"/>
  <c r="F1108" i="2"/>
  <c r="E1240" i="2"/>
  <c r="L626" i="2"/>
  <c r="P2675" i="2"/>
  <c r="T266" i="2"/>
  <c r="G927" i="2"/>
  <c r="U62" i="2"/>
  <c r="S1783" i="2"/>
  <c r="N715" i="2"/>
  <c r="T489" i="2"/>
  <c r="J510" i="2"/>
  <c r="U424" i="2"/>
  <c r="U1683" i="2"/>
  <c r="R607" i="2"/>
  <c r="I2491" i="2"/>
  <c r="C2056" i="2"/>
  <c r="I1254" i="2"/>
  <c r="G979" i="2"/>
  <c r="E753" i="2"/>
  <c r="E935" i="2"/>
  <c r="E363" i="2"/>
  <c r="U141" i="2"/>
  <c r="R1598" i="2"/>
  <c r="V756" i="2"/>
  <c r="F1220" i="2"/>
  <c r="W1702" i="2"/>
  <c r="S209" i="2"/>
  <c r="R934" i="2"/>
  <c r="G522" i="2"/>
  <c r="V1428" i="2"/>
  <c r="V227" i="2"/>
  <c r="G488" i="2"/>
  <c r="R391" i="2"/>
  <c r="I74" i="2"/>
  <c r="J684" i="2"/>
  <c r="I1592" i="2"/>
  <c r="P2192" i="2"/>
  <c r="O644" i="2"/>
  <c r="T1485" i="2"/>
  <c r="E2090" i="2"/>
  <c r="H168" i="2"/>
  <c r="D1919" i="2"/>
  <c r="J977" i="2"/>
  <c r="U1800" i="2"/>
  <c r="C1570" i="2"/>
  <c r="N240" i="2"/>
  <c r="J1174" i="2"/>
  <c r="S116" i="2"/>
  <c r="T1767" i="2"/>
  <c r="L2838" i="2"/>
  <c r="J1013" i="2"/>
  <c r="D1804" i="2"/>
  <c r="D2239" i="2"/>
  <c r="F2241" i="2"/>
  <c r="E874" i="2"/>
  <c r="F1406" i="2"/>
  <c r="P78" i="2"/>
  <c r="V211" i="2"/>
  <c r="O1223" i="2"/>
  <c r="D530" i="2"/>
  <c r="D802" i="2"/>
  <c r="O3282" i="2"/>
  <c r="L1306" i="2"/>
  <c r="G780" i="2"/>
  <c r="M1544" i="2"/>
  <c r="W1741" i="2"/>
  <c r="S776" i="2"/>
  <c r="J1151" i="2"/>
  <c r="T1569" i="2"/>
  <c r="P1371" i="2"/>
  <c r="C131" i="2"/>
  <c r="O2287" i="2"/>
  <c r="J1373" i="2"/>
  <c r="P1913" i="2"/>
  <c r="U638" i="2"/>
  <c r="P384" i="2"/>
  <c r="N2849" i="2"/>
  <c r="J2829" i="2"/>
  <c r="V306" i="2"/>
  <c r="I788" i="2"/>
  <c r="C2754" i="2"/>
  <c r="P2107" i="2"/>
  <c r="R1005" i="2"/>
  <c r="L87" i="2"/>
  <c r="M1181" i="2"/>
  <c r="N1236" i="2"/>
  <c r="E1862" i="2"/>
  <c r="W2260" i="2"/>
  <c r="U2239" i="2"/>
  <c r="U1347" i="2"/>
  <c r="F2674" i="2"/>
  <c r="N1418" i="2"/>
  <c r="E3318" i="2"/>
  <c r="W209" i="2"/>
  <c r="M264" i="2"/>
  <c r="F295" i="2"/>
  <c r="V722" i="2"/>
  <c r="F608" i="2"/>
  <c r="F966" i="2"/>
  <c r="J570" i="2"/>
  <c r="M177" i="2"/>
  <c r="W153" i="2"/>
  <c r="L25" i="2"/>
  <c r="L1259" i="2"/>
  <c r="G747" i="2"/>
  <c r="O523" i="2"/>
  <c r="E635" i="2"/>
  <c r="O874" i="2"/>
  <c r="N2340" i="2"/>
  <c r="O1196" i="2"/>
  <c r="K225" i="2"/>
  <c r="K167" i="2"/>
  <c r="I1922" i="2"/>
  <c r="H2243" i="2"/>
  <c r="H1187" i="2"/>
  <c r="E1407" i="2"/>
  <c r="G586" i="2"/>
  <c r="C1579" i="2"/>
  <c r="I1024" i="2"/>
  <c r="E808" i="2"/>
  <c r="U105" i="2"/>
  <c r="J824" i="2"/>
  <c r="D1374" i="2"/>
  <c r="W980" i="2"/>
  <c r="O1548" i="2"/>
  <c r="T1732" i="2"/>
  <c r="L1170" i="2"/>
  <c r="T2791" i="2"/>
  <c r="C2810" i="2"/>
  <c r="K1590" i="2"/>
  <c r="G2742" i="2"/>
  <c r="S517" i="2"/>
  <c r="E1529" i="2"/>
  <c r="C1463" i="2"/>
  <c r="Q1876" i="2"/>
  <c r="Q441" i="2"/>
  <c r="Q1811" i="2"/>
  <c r="R2754" i="2"/>
  <c r="S1282" i="2"/>
  <c r="M462" i="2"/>
  <c r="R2659" i="2"/>
  <c r="F439" i="2"/>
  <c r="P1728" i="2"/>
  <c r="U2423" i="2"/>
  <c r="G1010" i="2"/>
  <c r="I966" i="2"/>
  <c r="G334" i="2"/>
  <c r="E726" i="2"/>
  <c r="C1395" i="2"/>
  <c r="T6" i="2"/>
  <c r="E898" i="2"/>
  <c r="D1237" i="2"/>
  <c r="T556" i="2"/>
  <c r="M793" i="2"/>
  <c r="P1381" i="2"/>
  <c r="E1583" i="2"/>
  <c r="C830" i="2"/>
  <c r="S589" i="2"/>
  <c r="M459" i="2"/>
  <c r="F1490" i="2"/>
  <c r="V104" i="2"/>
  <c r="W2297" i="2"/>
  <c r="M2071" i="2"/>
  <c r="T2751" i="2"/>
  <c r="R2550" i="2"/>
  <c r="O720" i="2"/>
  <c r="L2739" i="2"/>
  <c r="P717" i="2"/>
  <c r="D1714" i="2"/>
  <c r="O284" i="2"/>
  <c r="I3396" i="2"/>
  <c r="S823" i="2"/>
  <c r="I3208" i="2"/>
  <c r="H325" i="2"/>
  <c r="U1085" i="2"/>
  <c r="S2164" i="2"/>
  <c r="K291" i="2"/>
  <c r="F697" i="2"/>
  <c r="S2421" i="2"/>
  <c r="E1117" i="2"/>
  <c r="P22" i="2"/>
  <c r="L1481" i="2"/>
  <c r="S354" i="2"/>
  <c r="E2" i="2"/>
  <c r="C1942" i="2"/>
  <c r="M597" i="2"/>
  <c r="O436" i="2"/>
  <c r="U885" i="2"/>
  <c r="V203" i="2"/>
  <c r="W925" i="2"/>
  <c r="N1697" i="2"/>
  <c r="J756" i="2"/>
  <c r="L2595" i="2"/>
  <c r="G794" i="2"/>
  <c r="T1671" i="2"/>
  <c r="S794" i="2"/>
  <c r="M655" i="2"/>
  <c r="O1312" i="2"/>
  <c r="Q843" i="2"/>
  <c r="D756" i="2"/>
  <c r="S3349" i="2"/>
  <c r="O473" i="2"/>
  <c r="O978" i="2"/>
  <c r="R1161" i="2"/>
  <c r="T2382" i="2"/>
  <c r="H1289" i="2"/>
  <c r="P1377" i="2"/>
  <c r="N953" i="2"/>
  <c r="Q423" i="2"/>
  <c r="T1679" i="2"/>
  <c r="T638" i="2"/>
  <c r="D1637" i="2"/>
  <c r="K1032" i="2"/>
  <c r="U1633" i="2"/>
  <c r="N2214" i="2"/>
  <c r="F102" i="2"/>
  <c r="T2226" i="2"/>
  <c r="E2200" i="2"/>
  <c r="Q1426" i="2"/>
  <c r="N592" i="2"/>
  <c r="P945" i="2"/>
  <c r="E2013" i="2"/>
  <c r="T240" i="2"/>
  <c r="C905" i="2"/>
  <c r="C906" i="2"/>
  <c r="F237" i="2"/>
  <c r="S2888" i="2"/>
  <c r="M720" i="2"/>
  <c r="R716" i="2"/>
  <c r="E537" i="2"/>
  <c r="V183" i="2"/>
  <c r="G621" i="2"/>
  <c r="D2687" i="2"/>
  <c r="D1327" i="2"/>
  <c r="F1407" i="2"/>
  <c r="J994" i="2"/>
  <c r="W2874" i="2"/>
  <c r="L1290" i="2"/>
  <c r="K1668" i="2"/>
  <c r="P1827" i="2"/>
  <c r="J28" i="2"/>
  <c r="G2641" i="2"/>
  <c r="C537" i="2"/>
  <c r="D681" i="2"/>
  <c r="H48" i="2"/>
  <c r="J1089" i="2"/>
  <c r="H765" i="2"/>
  <c r="E923" i="2"/>
  <c r="S1754" i="2"/>
  <c r="I1291" i="2"/>
  <c r="K885" i="2"/>
  <c r="N197" i="2"/>
  <c r="Q2174" i="2"/>
  <c r="J1309" i="2"/>
  <c r="S2444" i="2"/>
  <c r="E1030" i="2"/>
  <c r="V1560" i="2"/>
  <c r="L2757" i="2"/>
  <c r="F1440" i="2"/>
  <c r="U2836" i="2"/>
  <c r="R1938" i="2"/>
  <c r="Q642" i="2"/>
  <c r="D333" i="2"/>
  <c r="D2659" i="2"/>
  <c r="O2340" i="2"/>
  <c r="S1736" i="2"/>
  <c r="T2852" i="2"/>
  <c r="H1296" i="2"/>
  <c r="V863" i="2"/>
  <c r="T1071" i="2"/>
  <c r="U3258" i="2"/>
  <c r="U77" i="2"/>
  <c r="F1470" i="2"/>
  <c r="U383" i="2"/>
  <c r="O674" i="2"/>
  <c r="U1436" i="2"/>
  <c r="V1265" i="2"/>
  <c r="L792" i="2"/>
  <c r="W774" i="2"/>
  <c r="R1665" i="2"/>
  <c r="C2755" i="2"/>
  <c r="O1927" i="2"/>
  <c r="U257" i="2"/>
  <c r="N1659" i="2"/>
  <c r="M1311" i="2"/>
  <c r="F1250" i="2"/>
  <c r="W897" i="2"/>
  <c r="R476" i="2"/>
  <c r="P2043" i="2"/>
  <c r="T1345" i="2"/>
  <c r="W1265" i="2"/>
  <c r="I1242" i="2"/>
  <c r="L114" i="2"/>
  <c r="U2816" i="2"/>
  <c r="F1134" i="2"/>
  <c r="M1701" i="2"/>
  <c r="D90" i="2"/>
  <c r="D749" i="2"/>
  <c r="U2172" i="2"/>
  <c r="I1828" i="2"/>
  <c r="N115" i="2"/>
  <c r="L247" i="2"/>
  <c r="M981" i="2"/>
  <c r="G1769" i="2"/>
  <c r="I2709" i="2"/>
  <c r="K573" i="2"/>
  <c r="E696" i="2"/>
  <c r="O286" i="2"/>
  <c r="F1382" i="2"/>
  <c r="L2692" i="2"/>
  <c r="N801" i="2"/>
  <c r="Q1966" i="2"/>
  <c r="P874" i="2"/>
  <c r="J1548" i="2"/>
  <c r="E2675" i="2"/>
  <c r="F325" i="2"/>
  <c r="E1256" i="2"/>
  <c r="U2015" i="2"/>
  <c r="I1359" i="2"/>
  <c r="K763" i="2"/>
  <c r="Q31" i="2"/>
  <c r="O2141" i="2"/>
  <c r="F937" i="2"/>
  <c r="K817" i="2"/>
  <c r="M479" i="2"/>
  <c r="H461" i="2"/>
  <c r="M1132" i="2"/>
  <c r="V2456" i="2"/>
  <c r="K861" i="2"/>
  <c r="H1118" i="2"/>
  <c r="S1664" i="2"/>
  <c r="J1473" i="2"/>
  <c r="S1721" i="2"/>
  <c r="K375" i="2"/>
  <c r="L455" i="2"/>
  <c r="Q90" i="2"/>
  <c r="F279" i="2"/>
  <c r="N1519" i="2"/>
  <c r="O2869" i="2"/>
  <c r="M658" i="2"/>
  <c r="G796" i="2"/>
  <c r="L2331" i="2"/>
  <c r="U2575" i="2"/>
  <c r="K650" i="2"/>
  <c r="U1015" i="2"/>
  <c r="T1402" i="2"/>
  <c r="V1935" i="2"/>
  <c r="O1395" i="2"/>
  <c r="G1035" i="2"/>
  <c r="V2076" i="2"/>
  <c r="R662" i="2"/>
  <c r="N2795" i="2"/>
  <c r="U93" i="2"/>
  <c r="S1077" i="2"/>
  <c r="R723" i="2"/>
  <c r="W2383" i="2"/>
  <c r="L476" i="2"/>
  <c r="G1742" i="2"/>
  <c r="K1591" i="2"/>
  <c r="K1464" i="2"/>
  <c r="E1267" i="2"/>
  <c r="D929" i="2"/>
  <c r="N2393" i="2"/>
  <c r="J592" i="2"/>
  <c r="F783" i="2"/>
  <c r="J259" i="2"/>
  <c r="L1104" i="2"/>
  <c r="S2464" i="2"/>
  <c r="F1026" i="2"/>
  <c r="S1480" i="2"/>
  <c r="J2253" i="2"/>
  <c r="U956" i="2"/>
  <c r="J811" i="2"/>
  <c r="Q73" i="2"/>
  <c r="P2058" i="2"/>
  <c r="K71" i="2"/>
  <c r="F532" i="2"/>
  <c r="W2327" i="2"/>
  <c r="G1265" i="2"/>
  <c r="C332" i="2"/>
  <c r="K632" i="2"/>
  <c r="G1118" i="2"/>
  <c r="G2541" i="2"/>
  <c r="K2322" i="2"/>
  <c r="W2449" i="2"/>
  <c r="F449" i="2"/>
  <c r="N290" i="2"/>
  <c r="J2409" i="2"/>
  <c r="C1578" i="2"/>
  <c r="Q2760" i="2"/>
  <c r="P1228" i="2"/>
  <c r="S749" i="2"/>
  <c r="Q1802" i="2"/>
  <c r="O538" i="2"/>
  <c r="M121" i="2"/>
  <c r="O129" i="2"/>
  <c r="C594" i="2"/>
  <c r="R281" i="2"/>
  <c r="K812" i="2"/>
  <c r="R2390" i="2"/>
  <c r="F1173" i="2"/>
  <c r="G2416" i="2"/>
  <c r="P605" i="2"/>
  <c r="O226" i="2"/>
  <c r="Q142" i="2"/>
  <c r="F639" i="2"/>
  <c r="C932" i="2"/>
  <c r="W1460" i="2"/>
  <c r="D1925" i="2"/>
  <c r="M1160" i="2"/>
  <c r="K2047" i="2"/>
  <c r="L149" i="2"/>
  <c r="R2571" i="2"/>
  <c r="I1222" i="2"/>
  <c r="T312" i="2"/>
  <c r="D1245" i="2"/>
  <c r="H2124" i="2"/>
  <c r="J461" i="2"/>
  <c r="E2760" i="2"/>
  <c r="G822" i="2"/>
  <c r="D914" i="2"/>
  <c r="M3279" i="2"/>
  <c r="U1798" i="2"/>
  <c r="U1675" i="2"/>
  <c r="O1999" i="2"/>
  <c r="O659" i="2"/>
  <c r="D1533" i="2"/>
  <c r="S1669" i="2"/>
  <c r="S845" i="2"/>
  <c r="T2124" i="2"/>
  <c r="K1733" i="2"/>
  <c r="Q2766" i="2"/>
  <c r="P667" i="2"/>
  <c r="U469" i="2"/>
  <c r="N250" i="2"/>
  <c r="O290" i="2"/>
  <c r="L1249" i="2"/>
  <c r="O627" i="2"/>
  <c r="Q29" i="2"/>
  <c r="T1375" i="2"/>
  <c r="G654" i="2"/>
  <c r="W226" i="2"/>
  <c r="P519" i="2"/>
  <c r="K286" i="2"/>
  <c r="E1975" i="2"/>
  <c r="H214" i="2"/>
  <c r="H1369" i="2"/>
  <c r="N2259" i="2"/>
  <c r="S128" i="2"/>
  <c r="H440" i="2"/>
  <c r="R207" i="2"/>
  <c r="N86" i="2"/>
  <c r="M1582" i="2"/>
  <c r="R3446" i="2"/>
  <c r="T402" i="2"/>
  <c r="F346" i="2"/>
  <c r="V89" i="2"/>
  <c r="O563" i="2"/>
  <c r="V939" i="2"/>
  <c r="M1035" i="2"/>
  <c r="I719" i="2"/>
  <c r="U2084" i="2"/>
  <c r="R1279" i="2"/>
  <c r="L513" i="2"/>
  <c r="W1372" i="2"/>
  <c r="P1572" i="2"/>
  <c r="K1664" i="2"/>
  <c r="E793" i="2"/>
  <c r="O2333" i="2"/>
  <c r="V1006" i="2"/>
  <c r="K635" i="2"/>
  <c r="F232" i="2"/>
  <c r="U1138" i="2"/>
  <c r="D2604" i="2"/>
  <c r="L71" i="2"/>
  <c r="H679" i="2"/>
  <c r="N590" i="2"/>
  <c r="U815" i="2"/>
  <c r="V1536" i="2"/>
  <c r="S975" i="2"/>
  <c r="U1357" i="2"/>
  <c r="J2573" i="2"/>
  <c r="V563" i="2"/>
  <c r="T34" i="2"/>
  <c r="U780" i="2"/>
  <c r="F2511" i="2"/>
  <c r="F2039" i="2"/>
  <c r="N1534" i="2"/>
  <c r="J2015" i="2"/>
  <c r="J917" i="2"/>
  <c r="F2167" i="2"/>
  <c r="H1898" i="2"/>
  <c r="I376" i="2"/>
  <c r="R2671" i="2"/>
  <c r="V1859" i="2"/>
  <c r="N2715" i="2"/>
  <c r="L1061" i="2"/>
  <c r="E486" i="2"/>
  <c r="T1731" i="2"/>
  <c r="M5" i="2"/>
  <c r="J956" i="2"/>
  <c r="R927" i="2"/>
  <c r="I281" i="2"/>
  <c r="T420" i="2"/>
  <c r="T1397" i="2"/>
  <c r="N376" i="2"/>
  <c r="C1169" i="2"/>
  <c r="S1398" i="2"/>
  <c r="F807" i="2"/>
  <c r="F2806" i="2"/>
  <c r="S538" i="2"/>
  <c r="S1858" i="2"/>
  <c r="S164" i="2"/>
  <c r="M84" i="2"/>
  <c r="W2102" i="2"/>
  <c r="F2546" i="2"/>
  <c r="N85" i="2"/>
  <c r="S1477" i="2"/>
  <c r="K1869" i="2"/>
  <c r="O2688" i="2"/>
  <c r="C741" i="2"/>
  <c r="C1181" i="2"/>
  <c r="U478" i="2"/>
  <c r="F2346" i="2"/>
  <c r="D555" i="2"/>
  <c r="L385" i="2"/>
  <c r="J2163" i="2"/>
  <c r="G914" i="2"/>
  <c r="K834" i="2"/>
  <c r="I617" i="2"/>
  <c r="N1520" i="2"/>
  <c r="T1423" i="2"/>
  <c r="R1890" i="2"/>
  <c r="N2651" i="2"/>
  <c r="P12" i="2"/>
  <c r="Q2742" i="2"/>
  <c r="D716" i="2"/>
  <c r="D711" i="2"/>
  <c r="K1417" i="2"/>
  <c r="I30" i="2"/>
  <c r="L682" i="2"/>
  <c r="W1330" i="2"/>
  <c r="R1676" i="2"/>
  <c r="Q1940" i="2"/>
  <c r="K2860" i="2"/>
  <c r="C175" i="2"/>
  <c r="O2041" i="2"/>
  <c r="O2951" i="2"/>
  <c r="F854" i="2"/>
  <c r="G832" i="2"/>
  <c r="R666" i="2"/>
  <c r="Q2228" i="2"/>
  <c r="O1418" i="2"/>
  <c r="K1648" i="2"/>
  <c r="K458" i="2"/>
  <c r="G86" i="2"/>
  <c r="L720" i="2"/>
  <c r="U2556" i="2"/>
  <c r="S2767" i="2"/>
  <c r="I1784" i="2"/>
  <c r="Q1919" i="2"/>
  <c r="J1178" i="2"/>
  <c r="C59" i="2"/>
  <c r="W915" i="2"/>
  <c r="E1606" i="2"/>
  <c r="T802" i="2"/>
  <c r="D471" i="2"/>
  <c r="J2560" i="2"/>
  <c r="S1918" i="2"/>
  <c r="Q764" i="2"/>
  <c r="I2291" i="2"/>
  <c r="H1549" i="2"/>
  <c r="D1250" i="2"/>
  <c r="C2062" i="2"/>
  <c r="Q1801" i="2"/>
  <c r="I853" i="2"/>
  <c r="Q2069" i="2"/>
  <c r="D2593" i="2"/>
  <c r="J1522" i="2"/>
  <c r="S1549" i="2"/>
  <c r="H1384" i="2"/>
  <c r="N973" i="2"/>
  <c r="T1725" i="2"/>
  <c r="S1899" i="2"/>
  <c r="E35" i="2"/>
  <c r="R2978" i="2"/>
  <c r="V1681" i="2"/>
  <c r="K1438" i="2"/>
  <c r="H1769" i="2"/>
  <c r="F707" i="2"/>
  <c r="H2673" i="2"/>
  <c r="V156" i="2"/>
  <c r="K2592" i="2"/>
  <c r="S207" i="2"/>
  <c r="F1170" i="2"/>
  <c r="M1676" i="2"/>
  <c r="V682" i="2"/>
  <c r="N1603" i="2"/>
  <c r="H474" i="2"/>
  <c r="U606" i="2"/>
  <c r="N454" i="2"/>
  <c r="W309" i="2"/>
  <c r="H310" i="2"/>
  <c r="K40" i="2"/>
  <c r="N1350" i="2"/>
  <c r="Q2360" i="2"/>
  <c r="S1006" i="2"/>
  <c r="H1104" i="2"/>
  <c r="V471" i="2"/>
  <c r="M1692" i="2"/>
  <c r="T378" i="2"/>
  <c r="Q1930" i="2"/>
  <c r="E1779" i="2"/>
  <c r="P3118" i="2"/>
  <c r="O1164" i="2"/>
  <c r="H54" i="2"/>
  <c r="D456" i="2"/>
  <c r="E1777" i="2"/>
  <c r="Q456" i="2"/>
  <c r="O1795" i="2"/>
  <c r="G1422" i="2"/>
  <c r="J2387" i="2"/>
  <c r="M966" i="2"/>
  <c r="T230" i="2"/>
  <c r="L2304" i="2"/>
  <c r="S537" i="2"/>
  <c r="J432" i="2"/>
  <c r="C244" i="2"/>
  <c r="H843" i="2"/>
  <c r="N706" i="2"/>
  <c r="O746" i="2"/>
  <c r="F2701" i="2"/>
  <c r="L1505" i="2"/>
  <c r="T241" i="2"/>
  <c r="L1594" i="2"/>
  <c r="M3294" i="2"/>
  <c r="Q1482" i="2"/>
  <c r="T895" i="2"/>
  <c r="T2438" i="2"/>
  <c r="G1806" i="2"/>
  <c r="P1443" i="2"/>
  <c r="E181" i="2"/>
  <c r="G242" i="2"/>
  <c r="R1822" i="2"/>
  <c r="G2300" i="2"/>
  <c r="U781" i="2"/>
  <c r="T387" i="2"/>
  <c r="C622" i="2"/>
  <c r="T907" i="2"/>
  <c r="H831" i="2"/>
  <c r="O1685" i="2"/>
  <c r="J2865" i="2"/>
  <c r="H184" i="2"/>
  <c r="P2710" i="2"/>
  <c r="T1872" i="2"/>
  <c r="Q490" i="2"/>
  <c r="I108" i="2"/>
  <c r="D996" i="2"/>
  <c r="N298" i="2"/>
  <c r="T376" i="2"/>
  <c r="C2274" i="2"/>
  <c r="W1628" i="2"/>
  <c r="P1242" i="2"/>
  <c r="U339" i="2"/>
  <c r="R1769" i="2"/>
  <c r="O2070" i="2"/>
  <c r="S1558" i="2"/>
  <c r="H2052" i="2"/>
  <c r="G1170" i="2"/>
  <c r="K2368" i="2"/>
  <c r="K380" i="2"/>
  <c r="U1102" i="2"/>
  <c r="I513" i="2"/>
  <c r="E603" i="2"/>
  <c r="U1817" i="2"/>
  <c r="Q1413" i="2"/>
  <c r="T1004" i="2"/>
  <c r="U1013" i="2"/>
  <c r="O2772" i="2"/>
  <c r="U2106" i="2"/>
  <c r="D3227" i="2"/>
  <c r="L468" i="2"/>
  <c r="K3082" i="2"/>
  <c r="E1314" i="2"/>
  <c r="O114" i="2"/>
  <c r="O801" i="2"/>
  <c r="H1134" i="2"/>
  <c r="S1149" i="2"/>
  <c r="N2285" i="2"/>
  <c r="L838" i="2"/>
  <c r="S1005" i="2"/>
  <c r="C961" i="2"/>
  <c r="J1759" i="2"/>
  <c r="N4" i="2"/>
  <c r="L18" i="2"/>
  <c r="R1055" i="2"/>
  <c r="Q1153" i="2"/>
  <c r="U2098" i="2"/>
  <c r="H614" i="2"/>
  <c r="I1050" i="2"/>
  <c r="K309" i="2"/>
  <c r="G920" i="2"/>
  <c r="E168" i="2"/>
  <c r="U1125" i="2"/>
  <c r="K583" i="2"/>
  <c r="S228" i="2"/>
  <c r="O862" i="2"/>
  <c r="E1626" i="2"/>
  <c r="U2267" i="2"/>
  <c r="Q726" i="2"/>
  <c r="L224" i="2"/>
  <c r="L2113" i="2"/>
  <c r="R1849" i="2"/>
  <c r="E567" i="2"/>
  <c r="P2934" i="2"/>
  <c r="V1743" i="2"/>
  <c r="T525" i="2"/>
  <c r="Q288" i="2"/>
  <c r="R1027" i="2"/>
  <c r="V2301" i="2"/>
  <c r="S1222" i="2"/>
  <c r="J753" i="2"/>
  <c r="C1580" i="2"/>
  <c r="W830" i="2"/>
  <c r="T560" i="2"/>
  <c r="G644" i="2"/>
  <c r="L919" i="2"/>
  <c r="R483" i="2"/>
  <c r="V49" i="2"/>
  <c r="K1544" i="2"/>
  <c r="S66" i="2"/>
  <c r="K762" i="2"/>
  <c r="I1948" i="2"/>
  <c r="W1117" i="2"/>
  <c r="E331" i="2"/>
  <c r="V352" i="2"/>
  <c r="D880" i="2"/>
  <c r="G224" i="2"/>
  <c r="S665" i="2"/>
  <c r="P893" i="2"/>
  <c r="Q556" i="2"/>
  <c r="E543" i="2"/>
  <c r="C1077" i="2"/>
  <c r="U1719" i="2"/>
  <c r="D1750" i="2"/>
  <c r="W1155" i="2"/>
  <c r="V1393" i="2"/>
  <c r="K2159" i="2"/>
  <c r="V2516" i="2"/>
  <c r="R2869" i="2"/>
  <c r="M1919" i="2"/>
  <c r="H1166" i="2"/>
  <c r="M563" i="2"/>
  <c r="T782" i="2"/>
  <c r="C375" i="2"/>
  <c r="R2073" i="2"/>
  <c r="S1416" i="2"/>
  <c r="V1865" i="2"/>
  <c r="H1630" i="2"/>
  <c r="N1630" i="2"/>
  <c r="E838" i="2"/>
  <c r="G971" i="2"/>
  <c r="K302" i="2"/>
  <c r="F146" i="2"/>
  <c r="E336" i="2"/>
  <c r="L2612" i="2"/>
  <c r="Q723" i="2"/>
  <c r="W109" i="2"/>
  <c r="N2005" i="2"/>
  <c r="S2705" i="2"/>
  <c r="C99" i="2"/>
  <c r="P830" i="2"/>
  <c r="J1177" i="2"/>
  <c r="T1874" i="2"/>
  <c r="J1865" i="2"/>
  <c r="K1002" i="2"/>
  <c r="R1739" i="2"/>
  <c r="V2935" i="2"/>
  <c r="V938" i="2"/>
  <c r="T108" i="2"/>
  <c r="E1381" i="2"/>
  <c r="L343" i="2"/>
  <c r="O756" i="2"/>
  <c r="M2876" i="2"/>
  <c r="U749" i="2"/>
  <c r="I2844" i="2"/>
  <c r="E202" i="2"/>
  <c r="G525" i="2"/>
  <c r="H2137" i="2"/>
  <c r="E584" i="2"/>
  <c r="N2003" i="2"/>
  <c r="E1858" i="2"/>
  <c r="G180" i="2"/>
  <c r="K354" i="2"/>
  <c r="W675" i="2"/>
  <c r="M2394" i="2"/>
  <c r="M1581" i="2"/>
  <c r="F603" i="2"/>
  <c r="E1803" i="2"/>
  <c r="E989" i="2"/>
  <c r="H1583" i="2"/>
  <c r="C1618" i="2"/>
  <c r="H539" i="2"/>
  <c r="M1334" i="2"/>
  <c r="M3041" i="2"/>
  <c r="O1726" i="2"/>
  <c r="P697" i="2"/>
  <c r="R2518" i="2"/>
  <c r="U753" i="2"/>
  <c r="M579" i="2"/>
  <c r="R1846" i="2"/>
  <c r="E1633" i="2"/>
  <c r="O816" i="2"/>
  <c r="N1013" i="2"/>
  <c r="Q2376" i="2"/>
  <c r="J268" i="2"/>
  <c r="Q855" i="2"/>
  <c r="R1065" i="2"/>
  <c r="W1847" i="2"/>
  <c r="O948" i="2"/>
  <c r="K843" i="2"/>
  <c r="N2040" i="2"/>
  <c r="J963" i="2"/>
  <c r="O2813" i="2"/>
  <c r="O1152" i="2"/>
  <c r="E1534" i="2"/>
  <c r="C138" i="2"/>
  <c r="U189" i="2"/>
  <c r="W1478" i="2"/>
  <c r="P362" i="2"/>
  <c r="J583" i="2"/>
  <c r="V298" i="2"/>
  <c r="S2345" i="2"/>
  <c r="I2382" i="2"/>
  <c r="U1277" i="2"/>
  <c r="V2634" i="2"/>
  <c r="D141" i="2"/>
  <c r="T522" i="2"/>
  <c r="C11" i="2"/>
  <c r="S903" i="2"/>
  <c r="U696" i="2"/>
  <c r="V466" i="2"/>
  <c r="H962" i="2"/>
  <c r="K1021" i="2"/>
  <c r="F207" i="2"/>
  <c r="P1992" i="2"/>
  <c r="P508" i="2"/>
  <c r="C792" i="2"/>
  <c r="D2175" i="2"/>
  <c r="W1301" i="2"/>
  <c r="E485" i="2"/>
  <c r="L419" i="2"/>
  <c r="M1308" i="2"/>
  <c r="M1002" i="2"/>
  <c r="I693" i="2"/>
  <c r="M1076" i="2"/>
  <c r="T694" i="2"/>
  <c r="H2667" i="2"/>
  <c r="N534" i="2"/>
  <c r="C1805" i="2"/>
  <c r="C2188" i="2"/>
  <c r="K1895" i="2"/>
  <c r="I759" i="2"/>
  <c r="K1856" i="2"/>
  <c r="W773" i="2"/>
  <c r="S571" i="2"/>
  <c r="W942" i="2"/>
  <c r="T252" i="2"/>
  <c r="D393" i="2"/>
  <c r="D1689" i="2"/>
  <c r="Q15" i="2"/>
  <c r="V2807" i="2"/>
  <c r="U1751" i="2"/>
  <c r="S1640" i="2"/>
  <c r="T2411" i="2"/>
  <c r="G1664" i="2"/>
  <c r="C2343" i="2"/>
  <c r="H548" i="2"/>
  <c r="M1020" i="2"/>
  <c r="S1401" i="2"/>
  <c r="C1741" i="2"/>
  <c r="F1373" i="2"/>
  <c r="I1536" i="2"/>
  <c r="M2073" i="2"/>
  <c r="N1681" i="2"/>
  <c r="R1759" i="2"/>
  <c r="I751" i="2"/>
  <c r="P1833" i="2"/>
  <c r="H167" i="2"/>
  <c r="K1236" i="2"/>
  <c r="T1150" i="2"/>
  <c r="L190" i="2"/>
  <c r="F1096" i="2"/>
  <c r="J933" i="2"/>
  <c r="U2690" i="2"/>
  <c r="J745" i="2"/>
  <c r="Q409" i="2"/>
  <c r="O1016" i="2"/>
  <c r="S638" i="2"/>
  <c r="G170" i="2"/>
  <c r="M860" i="2"/>
  <c r="P1497" i="2"/>
  <c r="C775" i="2"/>
  <c r="L1772" i="2"/>
  <c r="E1965" i="2"/>
  <c r="I652" i="2"/>
  <c r="W3041" i="2"/>
  <c r="T114" i="2"/>
  <c r="W146" i="2"/>
  <c r="H2366" i="2"/>
  <c r="H778" i="2"/>
  <c r="J748" i="2"/>
  <c r="L1393" i="2"/>
  <c r="P2663" i="2"/>
  <c r="M87" i="2"/>
  <c r="Q643" i="2"/>
  <c r="L2316" i="2"/>
  <c r="P787" i="2"/>
  <c r="I420" i="2"/>
  <c r="M1751" i="2"/>
  <c r="P311" i="2"/>
  <c r="J1718" i="2"/>
  <c r="J3208" i="2"/>
  <c r="I560" i="2"/>
  <c r="S231" i="2"/>
  <c r="O1501" i="2"/>
  <c r="H2392" i="2"/>
  <c r="N1536" i="2"/>
  <c r="V985" i="2"/>
  <c r="D1942" i="2"/>
  <c r="P896" i="2"/>
  <c r="L1610" i="2"/>
  <c r="Q62" i="2"/>
  <c r="O1301" i="2"/>
  <c r="V1640" i="2"/>
  <c r="O2142" i="2"/>
  <c r="L85" i="2"/>
  <c r="R1620" i="2"/>
  <c r="I2851" i="2"/>
  <c r="I415" i="2"/>
  <c r="L417" i="2"/>
  <c r="L1732" i="2"/>
  <c r="M1110" i="2"/>
  <c r="W1878" i="2"/>
  <c r="G2302" i="2"/>
  <c r="R517" i="2"/>
  <c r="F2125" i="2"/>
  <c r="U641" i="2"/>
  <c r="N1214" i="2"/>
  <c r="C1907" i="2"/>
  <c r="F2737" i="2"/>
  <c r="M1058" i="2"/>
  <c r="J1968" i="2"/>
  <c r="M989" i="2"/>
  <c r="T837" i="2"/>
  <c r="R951" i="2"/>
  <c r="I2118" i="2"/>
  <c r="P1750" i="2"/>
  <c r="L1406" i="2"/>
  <c r="S141" i="2"/>
  <c r="F607" i="2"/>
  <c r="Q1431" i="2"/>
  <c r="P1711" i="2"/>
  <c r="Q376" i="2"/>
  <c r="F1038" i="2"/>
  <c r="W2784" i="2"/>
  <c r="W1616" i="2"/>
  <c r="C539" i="2"/>
  <c r="P273" i="2"/>
  <c r="E2789" i="2"/>
  <c r="H3174" i="2"/>
  <c r="K258" i="2"/>
  <c r="O102" i="2"/>
  <c r="T631" i="2"/>
  <c r="I748" i="2"/>
  <c r="E866" i="2"/>
  <c r="E2482" i="2"/>
  <c r="E1215" i="2"/>
  <c r="S1794" i="2"/>
  <c r="O1248" i="2"/>
  <c r="U2140" i="2"/>
  <c r="E723" i="2"/>
  <c r="C2787" i="2"/>
  <c r="S1919" i="2"/>
  <c r="G2456" i="2"/>
  <c r="S2078" i="2"/>
  <c r="V625" i="2"/>
  <c r="M1671" i="2"/>
  <c r="K465" i="2"/>
  <c r="C873" i="2"/>
  <c r="G2664" i="2"/>
  <c r="K1462" i="2"/>
  <c r="I346" i="2"/>
  <c r="Q1904" i="2"/>
  <c r="O2454" i="2"/>
  <c r="K171" i="2"/>
  <c r="T790" i="2"/>
  <c r="H988" i="2"/>
  <c r="N1974" i="2"/>
  <c r="T1846" i="2"/>
  <c r="H946" i="2"/>
  <c r="N1502" i="2"/>
  <c r="C1331" i="2"/>
  <c r="C866" i="2"/>
  <c r="G1898" i="2"/>
  <c r="R808" i="2"/>
  <c r="C900" i="2"/>
  <c r="I902" i="2"/>
  <c r="S2064" i="2"/>
  <c r="L94" i="2"/>
  <c r="V1274" i="2"/>
  <c r="S217" i="2"/>
  <c r="F617" i="2"/>
  <c r="S2044" i="2"/>
  <c r="U583" i="2"/>
  <c r="U697" i="2"/>
  <c r="U775" i="2"/>
  <c r="R2062" i="2"/>
  <c r="S2360" i="2"/>
  <c r="H789" i="2"/>
  <c r="H304" i="2"/>
  <c r="F1122" i="2"/>
  <c r="I116" i="2"/>
  <c r="V3524" i="2"/>
  <c r="P2517" i="2"/>
  <c r="S622" i="2"/>
  <c r="U1749" i="2"/>
  <c r="W157" i="2"/>
  <c r="V1026" i="2"/>
  <c r="W803" i="2"/>
  <c r="R68" i="2"/>
  <c r="F2457" i="2"/>
  <c r="G139" i="2"/>
  <c r="R1976" i="2"/>
  <c r="D1272" i="2"/>
  <c r="R1587" i="2"/>
  <c r="K585" i="2"/>
  <c r="V1304" i="2"/>
  <c r="H735" i="2"/>
  <c r="C688" i="2"/>
  <c r="Q998" i="2"/>
  <c r="W947" i="2"/>
  <c r="U1376" i="2"/>
  <c r="G2816" i="2"/>
  <c r="Q2404" i="2"/>
  <c r="R795" i="2"/>
  <c r="P390" i="2"/>
  <c r="K516" i="2"/>
  <c r="P849" i="2"/>
  <c r="W639" i="2"/>
  <c r="V199" i="2"/>
  <c r="P972" i="2"/>
  <c r="L2425" i="2"/>
  <c r="D768" i="2"/>
  <c r="G2000" i="2"/>
  <c r="V2498" i="2"/>
  <c r="J1558" i="2"/>
  <c r="R703" i="2"/>
  <c r="D895" i="2"/>
  <c r="O2466" i="2"/>
  <c r="N2490" i="2"/>
  <c r="K1990" i="2"/>
  <c r="R1601" i="2"/>
  <c r="R165" i="2"/>
  <c r="H79" i="2"/>
  <c r="M871" i="2"/>
  <c r="G2298" i="2"/>
  <c r="V2049" i="2"/>
  <c r="P1110" i="2"/>
  <c r="T1994" i="2"/>
  <c r="N57" i="2"/>
  <c r="O2128" i="2"/>
  <c r="I370" i="2"/>
  <c r="G2265" i="2"/>
  <c r="G1338" i="2"/>
  <c r="T215" i="2"/>
  <c r="J120" i="2"/>
  <c r="S1762" i="2"/>
  <c r="K2028" i="2"/>
  <c r="M80" i="2"/>
  <c r="I2125" i="2"/>
  <c r="T644" i="2"/>
  <c r="W34" i="2"/>
  <c r="G1375" i="2"/>
  <c r="P1169" i="2"/>
  <c r="W1127" i="2"/>
  <c r="H170" i="2"/>
  <c r="W269" i="2"/>
  <c r="T948" i="2"/>
  <c r="K526" i="2"/>
  <c r="Q913" i="2"/>
  <c r="C21" i="2"/>
  <c r="H1519" i="2"/>
  <c r="H138" i="2"/>
  <c r="Q2312" i="2"/>
  <c r="O1778" i="2"/>
  <c r="D940" i="2"/>
  <c r="N1759" i="2"/>
  <c r="H2467" i="2"/>
  <c r="G2937" i="2"/>
  <c r="W1343" i="2"/>
  <c r="U717" i="2"/>
  <c r="D822" i="2"/>
  <c r="M1485" i="2"/>
  <c r="U121" i="2"/>
  <c r="R1087" i="2"/>
  <c r="G968" i="2"/>
  <c r="I146" i="2"/>
  <c r="T1745" i="2"/>
  <c r="F1771" i="2"/>
  <c r="G337" i="2"/>
  <c r="E157" i="2"/>
  <c r="N1440" i="2"/>
  <c r="G1682" i="2"/>
  <c r="H3363" i="2"/>
  <c r="S319" i="2"/>
  <c r="H207" i="2"/>
  <c r="D1607" i="2"/>
  <c r="Q2471" i="2"/>
  <c r="Q1590" i="2"/>
  <c r="H1796" i="2"/>
  <c r="V229" i="2"/>
  <c r="U1140" i="2"/>
  <c r="D1091" i="2"/>
  <c r="E1587" i="2"/>
  <c r="F740" i="2"/>
  <c r="M2026" i="2"/>
  <c r="U1807" i="2"/>
  <c r="V160" i="2"/>
  <c r="J550" i="2"/>
  <c r="U2418" i="2"/>
  <c r="C1102" i="2"/>
  <c r="C992" i="2"/>
  <c r="F2122" i="2"/>
  <c r="Q2464" i="2"/>
  <c r="G908" i="2"/>
  <c r="J436" i="2"/>
  <c r="M947" i="2"/>
  <c r="T3012" i="2"/>
  <c r="E503" i="2"/>
  <c r="C14" i="2"/>
  <c r="R867" i="2"/>
  <c r="D1958" i="2"/>
  <c r="Q1391" i="2"/>
  <c r="D1870" i="2"/>
  <c r="C861" i="2"/>
  <c r="L2470" i="2"/>
  <c r="S1337" i="2"/>
  <c r="O2426" i="2"/>
  <c r="C727" i="2"/>
  <c r="R1180" i="2"/>
  <c r="T329" i="2"/>
  <c r="I769" i="2"/>
  <c r="W336" i="2"/>
  <c r="V1096" i="2"/>
  <c r="S1365" i="2"/>
  <c r="I1015" i="2"/>
  <c r="G1150" i="2"/>
  <c r="N70" i="2"/>
  <c r="L612" i="2"/>
  <c r="V847" i="2"/>
  <c r="U1282" i="2"/>
  <c r="H2689" i="2"/>
  <c r="E1100" i="2"/>
  <c r="H2083" i="2"/>
  <c r="P305" i="2"/>
  <c r="Q2004" i="2"/>
  <c r="H653" i="2"/>
  <c r="N2105" i="2"/>
  <c r="S558" i="2"/>
  <c r="J1930" i="2"/>
  <c r="U3" i="2"/>
  <c r="M1677" i="2"/>
  <c r="D2735" i="2"/>
  <c r="O1104" i="2"/>
  <c r="E2639" i="2"/>
  <c r="C124" i="2"/>
  <c r="W898" i="2"/>
  <c r="F970" i="2"/>
  <c r="P1731" i="2"/>
  <c r="K786" i="2"/>
  <c r="M676" i="2"/>
  <c r="G2324" i="2"/>
  <c r="Q2429" i="2"/>
  <c r="I2892" i="2"/>
  <c r="J1784" i="2"/>
  <c r="Q1156" i="2"/>
  <c r="Q1631" i="2"/>
  <c r="E1017" i="2"/>
  <c r="T1016" i="2"/>
  <c r="M1955" i="2"/>
  <c r="C1462" i="2"/>
  <c r="E1293" i="2"/>
  <c r="W426" i="2"/>
  <c r="D1638" i="2"/>
  <c r="T2337" i="2"/>
  <c r="D327" i="2"/>
  <c r="F50" i="2"/>
  <c r="H1297" i="2"/>
  <c r="Q307" i="2"/>
  <c r="C1511" i="2"/>
  <c r="K1521" i="2"/>
  <c r="W2279" i="2"/>
  <c r="J332" i="2"/>
  <c r="H1993" i="2"/>
  <c r="Q2358" i="2"/>
  <c r="N460" i="2"/>
  <c r="V1144" i="2"/>
  <c r="K2340" i="2"/>
  <c r="O2130" i="2"/>
  <c r="T915" i="2"/>
  <c r="O1150" i="2"/>
  <c r="S1125" i="2"/>
  <c r="C798" i="2"/>
  <c r="T621" i="2"/>
  <c r="G200" i="2"/>
  <c r="O1793" i="2"/>
  <c r="P817" i="2"/>
  <c r="S752" i="2"/>
  <c r="S544" i="2"/>
  <c r="R962" i="2"/>
  <c r="C756" i="2"/>
  <c r="N1652" i="2"/>
  <c r="W1183" i="2"/>
  <c r="L599" i="2"/>
  <c r="O1424" i="2"/>
  <c r="M1055" i="2"/>
  <c r="H294" i="2"/>
  <c r="Q203" i="2"/>
  <c r="U2531" i="2"/>
  <c r="K1436" i="2"/>
  <c r="G281" i="2"/>
  <c r="M183" i="2"/>
  <c r="H2589" i="2"/>
  <c r="L168" i="2"/>
  <c r="C1796" i="2"/>
  <c r="K2154" i="2"/>
  <c r="K1578" i="2"/>
  <c r="T119" i="2"/>
  <c r="R439" i="2"/>
  <c r="N474" i="2"/>
  <c r="W734" i="2"/>
  <c r="D492" i="2"/>
  <c r="Q2593" i="2"/>
  <c r="K350" i="2"/>
  <c r="P862" i="2"/>
  <c r="O827" i="2"/>
  <c r="U68" i="2"/>
  <c r="M1427" i="2"/>
  <c r="I2776" i="2"/>
  <c r="W83" i="2"/>
  <c r="E43" i="2"/>
  <c r="J1474" i="2"/>
  <c r="G1385" i="2"/>
  <c r="N2900" i="2"/>
  <c r="K3355" i="2"/>
  <c r="E1616" i="2"/>
  <c r="V26" i="2"/>
  <c r="L490" i="2"/>
  <c r="I1319" i="2"/>
  <c r="H1405" i="2"/>
  <c r="G1166" i="2"/>
  <c r="L1994" i="2"/>
  <c r="I311" i="2"/>
  <c r="C505" i="2"/>
  <c r="K2493" i="2"/>
  <c r="F2714" i="2"/>
  <c r="J615" i="2"/>
  <c r="P1849" i="2"/>
  <c r="E171" i="2"/>
  <c r="Q985" i="2"/>
  <c r="V1739" i="2"/>
  <c r="P1732" i="2"/>
  <c r="W1614" i="2"/>
  <c r="R196" i="2"/>
  <c r="P1884" i="2"/>
  <c r="F2562" i="2"/>
  <c r="G407" i="2"/>
  <c r="T941" i="2"/>
  <c r="U2410" i="2"/>
  <c r="T2540" i="2"/>
  <c r="T664" i="2"/>
  <c r="Q1979" i="2"/>
  <c r="C831" i="2"/>
  <c r="R1735" i="2"/>
  <c r="F1066" i="2"/>
  <c r="M1976" i="2"/>
  <c r="L2518" i="2"/>
  <c r="G2039" i="2"/>
  <c r="P619" i="2"/>
  <c r="S919" i="2"/>
  <c r="S962" i="2"/>
  <c r="M805" i="2"/>
  <c r="P142" i="2"/>
  <c r="G2259" i="2"/>
  <c r="I303" i="2"/>
  <c r="G1546" i="2"/>
  <c r="K593" i="2"/>
  <c r="C2486" i="2"/>
  <c r="K2929" i="2"/>
  <c r="D2263" i="2"/>
  <c r="M705" i="2"/>
  <c r="E684" i="2"/>
  <c r="H444" i="2"/>
  <c r="J2490" i="2"/>
  <c r="M909" i="2"/>
  <c r="S1900" i="2"/>
  <c r="N1668" i="2"/>
  <c r="R584" i="2"/>
  <c r="D429" i="2"/>
  <c r="J90" i="2"/>
  <c r="Q3082" i="2"/>
  <c r="O238" i="2"/>
  <c r="H1196" i="2"/>
  <c r="O2215" i="2"/>
  <c r="F158" i="2"/>
  <c r="J1565" i="2"/>
  <c r="D2525" i="2"/>
  <c r="J1426" i="2"/>
  <c r="U742" i="2"/>
  <c r="C2153" i="2"/>
  <c r="W1421" i="2"/>
  <c r="O68" i="2"/>
  <c r="D1454" i="2"/>
  <c r="C2066" i="2"/>
  <c r="J1392" i="2"/>
  <c r="S2569" i="2"/>
  <c r="F359" i="2"/>
  <c r="T1659" i="2"/>
  <c r="G1506" i="2"/>
  <c r="U2986" i="2"/>
  <c r="S2571" i="2"/>
  <c r="M995" i="2"/>
  <c r="Q1200" i="2"/>
  <c r="G110" i="2"/>
  <c r="N1925" i="2"/>
  <c r="W1894" i="2"/>
  <c r="U2093" i="2"/>
  <c r="I403" i="2"/>
  <c r="P2698" i="2"/>
  <c r="O1933" i="2"/>
  <c r="K2742" i="2"/>
  <c r="R2680" i="2"/>
  <c r="S2471" i="2"/>
  <c r="E748" i="2"/>
  <c r="I2222" i="2"/>
  <c r="W1656" i="2"/>
  <c r="H2292" i="2"/>
  <c r="S877" i="2"/>
  <c r="N1782" i="2"/>
  <c r="K858" i="2"/>
  <c r="U299" i="2"/>
  <c r="H1914" i="2"/>
  <c r="R340" i="2"/>
  <c r="E1388" i="2"/>
  <c r="S605" i="2"/>
  <c r="T2812" i="2"/>
  <c r="N2137" i="2"/>
  <c r="T193" i="2"/>
  <c r="I23" i="2"/>
  <c r="E536" i="2"/>
  <c r="D2725" i="2"/>
  <c r="R1098" i="2"/>
  <c r="Q199" i="2"/>
  <c r="W641" i="2"/>
  <c r="K859" i="2"/>
  <c r="P1332" i="2"/>
  <c r="E731" i="2"/>
  <c r="Q42" i="2"/>
  <c r="M2343" i="2"/>
  <c r="O705" i="2"/>
  <c r="I2067" i="2"/>
  <c r="T2888" i="2"/>
  <c r="H1227" i="2"/>
  <c r="V1450" i="2"/>
  <c r="M576" i="2"/>
  <c r="D1761" i="2"/>
  <c r="C1583" i="2"/>
  <c r="F1048" i="2"/>
  <c r="V667" i="2"/>
  <c r="J1240" i="2"/>
  <c r="E2162" i="2"/>
  <c r="R272" i="2"/>
  <c r="P529" i="2"/>
  <c r="Q44" i="2"/>
  <c r="W1997" i="2"/>
  <c r="V1791" i="2"/>
  <c r="L2857" i="2"/>
  <c r="D993" i="2"/>
  <c r="H229" i="2"/>
  <c r="W1178" i="2"/>
  <c r="Q2635" i="2"/>
  <c r="V1598" i="2"/>
  <c r="O2077" i="2"/>
  <c r="W61" i="2"/>
  <c r="G369" i="2"/>
  <c r="C2134" i="2"/>
  <c r="I2061" i="2"/>
  <c r="V888" i="2"/>
  <c r="V406" i="2"/>
  <c r="W1582" i="2"/>
  <c r="K606" i="2"/>
  <c r="W1126" i="2"/>
  <c r="P45" i="2"/>
  <c r="E853" i="2"/>
  <c r="T1656" i="2"/>
  <c r="R1361" i="2"/>
  <c r="O1375" i="2"/>
  <c r="G2504" i="2"/>
  <c r="F1385" i="2"/>
  <c r="C262" i="2"/>
  <c r="O1383" i="2"/>
  <c r="U426" i="2"/>
  <c r="C1304" i="2"/>
  <c r="J2340" i="2"/>
  <c r="W166" i="2"/>
  <c r="T2391" i="2"/>
  <c r="O2149" i="2"/>
  <c r="F1899" i="2"/>
  <c r="R454" i="2"/>
  <c r="U912" i="2"/>
  <c r="O613" i="2"/>
  <c r="V287" i="2"/>
  <c r="W237" i="2"/>
  <c r="R677" i="2"/>
  <c r="I1393" i="2"/>
  <c r="C1083" i="2"/>
  <c r="M1309" i="2"/>
  <c r="P243" i="2"/>
  <c r="P1147" i="2"/>
  <c r="L1690" i="2"/>
  <c r="S193" i="2"/>
  <c r="E1062" i="2"/>
  <c r="C1516" i="2"/>
  <c r="U1073" i="2"/>
  <c r="H103" i="2"/>
  <c r="L853" i="2"/>
  <c r="V449" i="2"/>
  <c r="P710" i="2"/>
  <c r="Q117" i="2"/>
  <c r="U1601" i="2"/>
  <c r="P1062" i="2"/>
  <c r="K1545" i="2"/>
  <c r="E309" i="2"/>
  <c r="I1410" i="2"/>
  <c r="G771" i="2"/>
  <c r="C141" i="2"/>
  <c r="C1390" i="2"/>
  <c r="N1071" i="2"/>
  <c r="D454" i="2"/>
  <c r="V43" i="2"/>
  <c r="R343" i="2"/>
  <c r="C2783" i="2"/>
  <c r="U1542" i="2"/>
  <c r="S1462" i="2"/>
  <c r="K13" i="2"/>
  <c r="Q947" i="2"/>
  <c r="O2178" i="2"/>
  <c r="P1287" i="2"/>
  <c r="K926" i="2"/>
  <c r="T836" i="2"/>
  <c r="H2181" i="2"/>
  <c r="R809" i="2"/>
  <c r="K967" i="2"/>
  <c r="I1160" i="2"/>
  <c r="W355" i="2"/>
  <c r="N752" i="2"/>
  <c r="C501" i="2"/>
  <c r="D560" i="2"/>
  <c r="L158" i="2"/>
  <c r="I1216" i="2"/>
  <c r="R1400" i="2"/>
  <c r="T989" i="2"/>
  <c r="U316" i="2"/>
  <c r="V520" i="2"/>
  <c r="O422" i="2"/>
  <c r="H839" i="2"/>
  <c r="E1571" i="2"/>
  <c r="K112" i="2"/>
  <c r="G1160" i="2"/>
  <c r="V1154" i="2"/>
  <c r="F1527" i="2"/>
  <c r="O617" i="2"/>
  <c r="G2514" i="2"/>
  <c r="L1003" i="2"/>
  <c r="J1347" i="2"/>
  <c r="H368" i="2"/>
  <c r="P668" i="2"/>
  <c r="L1100" i="2"/>
  <c r="M2013" i="2"/>
  <c r="V820" i="2"/>
  <c r="E444" i="2"/>
  <c r="G990" i="2"/>
  <c r="C2719" i="2"/>
  <c r="J1164" i="2"/>
  <c r="M1460" i="2"/>
  <c r="I104" i="2"/>
  <c r="D71" i="2"/>
  <c r="M2952" i="2"/>
  <c r="N871" i="2"/>
  <c r="Q1758" i="2"/>
  <c r="P514" i="2"/>
  <c r="N1379" i="2"/>
  <c r="J1603" i="2"/>
  <c r="O2776" i="2"/>
  <c r="V418" i="2"/>
  <c r="W1002" i="2"/>
  <c r="H2168" i="2"/>
  <c r="U525" i="2"/>
  <c r="E1013" i="2"/>
  <c r="S117" i="2"/>
  <c r="Q2626" i="2"/>
  <c r="C530" i="2"/>
  <c r="S762" i="2"/>
  <c r="P1266" i="2"/>
  <c r="R1237" i="2"/>
  <c r="D1265" i="2"/>
  <c r="M334" i="2"/>
  <c r="H2202" i="2"/>
  <c r="D72" i="2"/>
  <c r="W1099" i="2"/>
  <c r="K2724" i="2"/>
  <c r="C1044" i="2"/>
  <c r="C1342" i="2"/>
  <c r="J123" i="2"/>
  <c r="R2462" i="2"/>
  <c r="J16" i="2"/>
  <c r="R173" i="2"/>
  <c r="M211" i="2"/>
  <c r="L194" i="2"/>
  <c r="O1630" i="2"/>
  <c r="M1011" i="2"/>
  <c r="G1110" i="2"/>
  <c r="R593" i="2"/>
  <c r="D363" i="2"/>
  <c r="K124" i="2"/>
  <c r="V1217" i="2"/>
  <c r="D2883" i="2"/>
  <c r="K144" i="2"/>
  <c r="U1252" i="2"/>
  <c r="P1369" i="2"/>
  <c r="O666" i="2"/>
  <c r="J1129" i="2"/>
  <c r="S2677" i="2"/>
  <c r="P1679" i="2"/>
  <c r="D2011" i="2"/>
  <c r="S2097" i="2"/>
  <c r="H2687" i="2"/>
  <c r="M2902" i="2"/>
  <c r="R1819" i="2"/>
  <c r="E927" i="2"/>
  <c r="P2290" i="2"/>
  <c r="K54" i="2"/>
  <c r="E1479" i="2"/>
  <c r="H754" i="2"/>
  <c r="V437" i="2"/>
  <c r="I62" i="2"/>
  <c r="Q1386" i="2"/>
  <c r="O789" i="2"/>
  <c r="R2732" i="2"/>
  <c r="D1818" i="2"/>
  <c r="M312" i="2"/>
  <c r="K107" i="2"/>
  <c r="T1108" i="2"/>
  <c r="P2895" i="2"/>
  <c r="Q2415" i="2"/>
  <c r="V640" i="2"/>
  <c r="R2483" i="2"/>
  <c r="O1282" i="2"/>
  <c r="M1315" i="2"/>
  <c r="R1436" i="2"/>
  <c r="Q290" i="2"/>
  <c r="O2389" i="2"/>
  <c r="Q1070" i="2"/>
  <c r="Q2130" i="2"/>
  <c r="U1144" i="2"/>
  <c r="I1832" i="2"/>
  <c r="V2093" i="2"/>
  <c r="I901" i="2"/>
  <c r="D2539" i="2"/>
  <c r="M364" i="2"/>
  <c r="F2497" i="2"/>
  <c r="I1418" i="2"/>
  <c r="W1292" i="2"/>
  <c r="L2367" i="2"/>
  <c r="K486" i="2"/>
  <c r="G1848" i="2"/>
  <c r="H1082" i="2"/>
  <c r="D780" i="2"/>
  <c r="N2717" i="2"/>
  <c r="G435" i="2"/>
  <c r="T111" i="2"/>
  <c r="C2009" i="2"/>
  <c r="P883" i="2"/>
  <c r="F445" i="2"/>
  <c r="L2623" i="2"/>
  <c r="D686" i="2"/>
  <c r="U1151" i="2"/>
  <c r="G1805" i="2"/>
  <c r="C1324" i="2"/>
  <c r="P865" i="2"/>
  <c r="N526" i="2"/>
  <c r="J371" i="2"/>
  <c r="L2473" i="2"/>
  <c r="E628" i="2"/>
  <c r="I2446" i="2"/>
  <c r="E2242" i="2"/>
  <c r="S1278" i="2"/>
  <c r="V1241" i="2"/>
  <c r="I943" i="2"/>
  <c r="Q1682" i="2"/>
  <c r="S1100" i="2"/>
  <c r="U430" i="2"/>
  <c r="J1962" i="2"/>
  <c r="U3110" i="2"/>
  <c r="N372" i="2"/>
  <c r="G3160" i="2"/>
  <c r="P1003" i="2"/>
  <c r="H2952" i="2"/>
  <c r="O946" i="2"/>
  <c r="H2090" i="2"/>
  <c r="H826" i="2"/>
  <c r="M2855" i="2"/>
  <c r="I1864" i="2"/>
  <c r="V2675" i="2"/>
  <c r="M146" i="2"/>
  <c r="C422" i="2"/>
  <c r="Q167" i="2"/>
  <c r="J1444" i="2"/>
  <c r="U1155" i="2"/>
  <c r="G934" i="2"/>
  <c r="U2541" i="2"/>
  <c r="S1911" i="2"/>
  <c r="V1113" i="2"/>
  <c r="P734" i="2"/>
  <c r="T208" i="2"/>
  <c r="Q1657" i="2"/>
  <c r="V812" i="2"/>
  <c r="C908" i="2"/>
  <c r="E342" i="2"/>
  <c r="K2406" i="2"/>
  <c r="V689" i="2"/>
  <c r="P2500" i="2"/>
  <c r="I715" i="2"/>
  <c r="T1707" i="2"/>
  <c r="P942" i="2"/>
  <c r="R176" i="2"/>
  <c r="P1046" i="2"/>
  <c r="H361" i="2"/>
  <c r="P1775" i="2"/>
  <c r="O850" i="2"/>
  <c r="W1983" i="2"/>
  <c r="K1695" i="2"/>
  <c r="K1341" i="2"/>
  <c r="M2107" i="2"/>
  <c r="P263" i="2"/>
  <c r="U2206" i="2"/>
  <c r="U217" i="2"/>
  <c r="R2488" i="2"/>
  <c r="L2260" i="2"/>
  <c r="G620" i="2"/>
  <c r="L683" i="2"/>
  <c r="S281" i="2"/>
  <c r="W1374" i="2"/>
  <c r="G1989" i="2"/>
  <c r="Q575" i="2"/>
  <c r="D1096" i="2"/>
  <c r="V2443" i="2"/>
  <c r="G750" i="2"/>
  <c r="Q442" i="2"/>
  <c r="J110" i="2"/>
  <c r="K3242" i="2"/>
  <c r="O1107" i="2"/>
  <c r="O1537" i="2"/>
  <c r="S520" i="2"/>
  <c r="N470" i="2"/>
  <c r="C1271" i="2"/>
  <c r="N49" i="2"/>
  <c r="E1541" i="2"/>
  <c r="F1799" i="2"/>
  <c r="H2218" i="2"/>
  <c r="U1332" i="2"/>
  <c r="H1582" i="2"/>
  <c r="M2115" i="2"/>
  <c r="P1253" i="2"/>
  <c r="J1127" i="2"/>
  <c r="K950" i="2"/>
  <c r="L473" i="2"/>
  <c r="H1886" i="2"/>
  <c r="O2268" i="2"/>
  <c r="N2302" i="2"/>
  <c r="R558" i="2"/>
  <c r="V2058" i="2"/>
  <c r="L1046" i="2"/>
  <c r="H218" i="2"/>
  <c r="P258" i="2"/>
  <c r="L2789" i="2"/>
  <c r="R407" i="2"/>
  <c r="K1053" i="2"/>
  <c r="S1976" i="2"/>
  <c r="N537" i="2"/>
  <c r="M669" i="2"/>
  <c r="O1814" i="2"/>
  <c r="R3215" i="2"/>
  <c r="W182" i="2"/>
  <c r="S1003" i="2"/>
  <c r="T2351" i="2"/>
  <c r="P2159" i="2"/>
  <c r="K2142" i="2"/>
  <c r="N561" i="2"/>
  <c r="O483" i="2"/>
  <c r="E794" i="2"/>
  <c r="V1083" i="2"/>
  <c r="T657" i="2"/>
  <c r="W254" i="2"/>
  <c r="Q815" i="2"/>
  <c r="T136" i="2"/>
  <c r="J1231" i="2"/>
  <c r="M1375" i="2"/>
  <c r="W1211" i="2"/>
  <c r="N492" i="2"/>
  <c r="D889" i="2"/>
  <c r="K3015" i="2"/>
  <c r="V276" i="2"/>
  <c r="Q2443" i="2"/>
  <c r="R1204" i="2"/>
  <c r="S415" i="2"/>
  <c r="I646" i="2"/>
  <c r="R2286" i="2"/>
  <c r="E1311" i="2"/>
  <c r="D1493" i="2"/>
  <c r="P1338" i="2"/>
  <c r="P480" i="2"/>
  <c r="C586" i="2"/>
  <c r="R1039" i="2"/>
  <c r="S1191" i="2"/>
  <c r="E2626" i="2"/>
  <c r="T1127" i="2"/>
  <c r="G1139" i="2"/>
  <c r="S2404" i="2"/>
  <c r="R839" i="2"/>
  <c r="W189" i="2"/>
  <c r="U2134" i="2"/>
  <c r="J704" i="2"/>
  <c r="K1908" i="2"/>
  <c r="K1654" i="2"/>
  <c r="I413" i="2"/>
  <c r="N2025" i="2"/>
  <c r="K1397" i="2"/>
  <c r="T584" i="2"/>
  <c r="C635" i="2"/>
  <c r="H879" i="2"/>
  <c r="C94" i="2"/>
  <c r="I314" i="2"/>
  <c r="C2354" i="2"/>
  <c r="D1419" i="2"/>
  <c r="D965" i="2"/>
  <c r="G918" i="2"/>
  <c r="H2563" i="2"/>
  <c r="T1027" i="2"/>
  <c r="M1234" i="2"/>
  <c r="H717" i="2"/>
  <c r="R478" i="2"/>
  <c r="O1918" i="2"/>
  <c r="S1965" i="2"/>
  <c r="S1561" i="2"/>
  <c r="S2219" i="2"/>
  <c r="E1522" i="2"/>
  <c r="U492" i="2"/>
  <c r="M277" i="2"/>
  <c r="G1124" i="2"/>
  <c r="C2614" i="2"/>
  <c r="W2572" i="2"/>
  <c r="D804" i="2"/>
  <c r="O1460" i="2"/>
  <c r="J856" i="2"/>
  <c r="K1836" i="2"/>
  <c r="L185" i="2"/>
  <c r="H526" i="2"/>
  <c r="N947" i="2"/>
  <c r="Q2646" i="2"/>
  <c r="L1203" i="2"/>
  <c r="M2382" i="2"/>
  <c r="E896" i="2"/>
  <c r="Q2917" i="2"/>
  <c r="K2570" i="2"/>
  <c r="H561" i="2"/>
  <c r="R463" i="2"/>
  <c r="I1096" i="2"/>
  <c r="U660" i="2"/>
  <c r="V1807" i="2"/>
  <c r="F1082" i="2"/>
  <c r="M315" i="2"/>
  <c r="G864" i="2"/>
  <c r="I1648" i="2"/>
  <c r="C1428" i="2"/>
  <c r="F2503" i="2"/>
  <c r="I1736" i="2"/>
  <c r="D1783" i="2"/>
  <c r="U651" i="2"/>
  <c r="N146" i="2"/>
  <c r="P348" i="2"/>
  <c r="G1042" i="2"/>
  <c r="I467" i="2"/>
  <c r="M355" i="2"/>
  <c r="L282" i="2"/>
  <c r="V875" i="2"/>
  <c r="J33" i="2"/>
  <c r="U3028" i="2"/>
  <c r="U1099" i="2"/>
  <c r="C1936" i="2"/>
  <c r="Q164" i="2"/>
  <c r="I1540" i="2"/>
  <c r="W796" i="2"/>
  <c r="J1644" i="2"/>
  <c r="L1675" i="2"/>
  <c r="H3155" i="2"/>
  <c r="F3187" i="2"/>
  <c r="G317" i="2"/>
  <c r="S1384" i="2"/>
  <c r="V1965" i="2"/>
  <c r="G1243" i="2"/>
  <c r="U556" i="2"/>
  <c r="L759" i="2"/>
  <c r="F1119" i="2"/>
  <c r="V1071" i="2"/>
  <c r="R90" i="2"/>
  <c r="T1268" i="2"/>
  <c r="Q652" i="2"/>
  <c r="Q503" i="2"/>
  <c r="T596" i="2"/>
  <c r="P29" i="2"/>
  <c r="F816" i="2"/>
  <c r="J2959" i="2"/>
  <c r="U1090" i="2"/>
  <c r="K454" i="2"/>
  <c r="V736" i="2"/>
  <c r="H191" i="2"/>
  <c r="C1002" i="2"/>
  <c r="K417" i="2"/>
  <c r="P821" i="2"/>
  <c r="E552" i="2"/>
  <c r="K549" i="2"/>
  <c r="N253" i="2"/>
  <c r="L674" i="2"/>
  <c r="D1720" i="2"/>
  <c r="F2065" i="2"/>
  <c r="K2153" i="2"/>
  <c r="T1256" i="2"/>
  <c r="K2396" i="2"/>
  <c r="M2629" i="2"/>
  <c r="C1638" i="2"/>
  <c r="J1527" i="2"/>
  <c r="D280" i="2"/>
  <c r="C973" i="2"/>
  <c r="I758" i="2"/>
  <c r="T1408" i="2"/>
  <c r="C1857" i="2"/>
  <c r="O2696" i="2"/>
  <c r="D367" i="2"/>
  <c r="L1242" i="2"/>
  <c r="Q663" i="2"/>
  <c r="S541" i="2"/>
  <c r="F194" i="2"/>
  <c r="H713" i="2"/>
  <c r="T1034" i="2"/>
  <c r="V2082" i="2"/>
  <c r="I1009" i="2"/>
  <c r="V1488" i="2"/>
  <c r="I663" i="2"/>
  <c r="P2705" i="2"/>
  <c r="K1138" i="2"/>
  <c r="P2060" i="2"/>
  <c r="I1713" i="2"/>
  <c r="K395" i="2"/>
  <c r="N802" i="2"/>
  <c r="Q1991" i="2"/>
  <c r="I27" i="2"/>
  <c r="C564" i="2"/>
  <c r="S1485" i="2"/>
  <c r="J1695" i="2"/>
  <c r="N1368" i="2"/>
  <c r="P34" i="2"/>
  <c r="R2308" i="2"/>
  <c r="E1771" i="2"/>
  <c r="P457" i="2"/>
  <c r="M2099" i="2"/>
  <c r="I2855" i="2"/>
  <c r="E69" i="2"/>
  <c r="E650" i="2"/>
  <c r="F2787" i="2"/>
  <c r="D1278" i="2"/>
  <c r="D909" i="2"/>
  <c r="I566" i="2"/>
  <c r="H483" i="2"/>
  <c r="C509" i="2"/>
  <c r="I427" i="2"/>
  <c r="D355" i="2"/>
  <c r="I492" i="2"/>
  <c r="T1177" i="2"/>
  <c r="M505" i="2"/>
  <c r="Q1839" i="2"/>
  <c r="S480" i="2"/>
  <c r="M2271" i="2"/>
  <c r="S2332" i="2"/>
  <c r="H145" i="2"/>
  <c r="G1157" i="2"/>
  <c r="W195" i="2"/>
  <c r="S329" i="2"/>
  <c r="V493" i="2"/>
  <c r="J1578" i="2"/>
  <c r="I1548" i="2"/>
  <c r="S924" i="2"/>
  <c r="V425" i="2"/>
  <c r="U386" i="2"/>
  <c r="E527" i="2"/>
  <c r="R1612" i="2"/>
  <c r="N1028" i="2"/>
  <c r="F1432" i="2"/>
  <c r="S2432" i="2"/>
  <c r="Q1029" i="2"/>
  <c r="I1627" i="2"/>
  <c r="L2457" i="2"/>
  <c r="Q1719" i="2"/>
  <c r="V535" i="2"/>
  <c r="C129" i="2"/>
  <c r="D2586" i="2"/>
  <c r="O94" i="2"/>
  <c r="S2384" i="2"/>
  <c r="R1644" i="2"/>
  <c r="C1934" i="2"/>
  <c r="J399" i="2"/>
  <c r="E246" i="2"/>
  <c r="I1489" i="2"/>
  <c r="S1922" i="2"/>
  <c r="R1202" i="2"/>
  <c r="E160" i="2"/>
  <c r="F1776" i="2"/>
  <c r="H1025" i="2"/>
  <c r="M1202" i="2"/>
  <c r="H2330" i="2"/>
  <c r="O3295" i="2"/>
  <c r="T2717" i="2"/>
  <c r="L1097" i="2"/>
  <c r="I435" i="2"/>
  <c r="J420" i="2"/>
  <c r="N614" i="2"/>
  <c r="H1816" i="2"/>
  <c r="D252" i="2"/>
  <c r="W469" i="2"/>
  <c r="M1938" i="2"/>
  <c r="G845" i="2"/>
  <c r="G2012" i="2"/>
  <c r="K810" i="2"/>
  <c r="N2284" i="2"/>
  <c r="S2794" i="2"/>
  <c r="I1727" i="2"/>
  <c r="M339" i="2"/>
  <c r="T1139" i="2"/>
  <c r="C887" i="2"/>
  <c r="E3073" i="2"/>
  <c r="S1089" i="2"/>
  <c r="J2312" i="2"/>
  <c r="E579" i="2"/>
  <c r="S42" i="2"/>
  <c r="P1438" i="2"/>
  <c r="O2726" i="2"/>
  <c r="K2487" i="2"/>
  <c r="H996" i="2"/>
  <c r="P1519" i="2"/>
  <c r="O1907" i="2"/>
  <c r="T892" i="2"/>
  <c r="H2129" i="2"/>
  <c r="L434" i="2"/>
  <c r="M777" i="2"/>
  <c r="J191" i="2"/>
  <c r="T583" i="2"/>
  <c r="S106" i="2"/>
  <c r="K1068" i="2"/>
  <c r="L252" i="2"/>
  <c r="P921" i="2"/>
  <c r="G1187" i="2"/>
  <c r="O1508" i="2"/>
  <c r="S587" i="2"/>
  <c r="D1084" i="2"/>
  <c r="J851" i="2"/>
  <c r="C1556" i="2"/>
  <c r="K122" i="2"/>
  <c r="U270" i="2"/>
  <c r="F1034" i="2"/>
  <c r="K153" i="2"/>
  <c r="N578" i="2"/>
  <c r="O844" i="2"/>
  <c r="R983" i="2"/>
  <c r="Q740" i="2"/>
  <c r="M2634" i="2"/>
  <c r="M1332" i="2"/>
  <c r="N2313" i="2"/>
  <c r="F406" i="2"/>
  <c r="P1074" i="2"/>
  <c r="K461" i="2"/>
  <c r="I207" i="2"/>
  <c r="C2043" i="2"/>
  <c r="J2288" i="2"/>
  <c r="L2840" i="2"/>
  <c r="U1172" i="2"/>
  <c r="P1194" i="2"/>
  <c r="N335" i="2"/>
  <c r="J1649" i="2"/>
  <c r="L349" i="2"/>
  <c r="V1842" i="2"/>
  <c r="S1952" i="2"/>
  <c r="W84" i="2"/>
  <c r="H661" i="2"/>
  <c r="H2132" i="2"/>
  <c r="D122" i="2"/>
  <c r="S2120" i="2"/>
  <c r="V2363" i="2"/>
  <c r="E846" i="2"/>
  <c r="L944" i="2"/>
  <c r="O822" i="2"/>
  <c r="M1776" i="2"/>
  <c r="R1006" i="2"/>
  <c r="Q606" i="2"/>
  <c r="N926" i="2"/>
  <c r="O249" i="2"/>
  <c r="V963" i="2"/>
  <c r="E997" i="2"/>
  <c r="U155" i="2"/>
  <c r="P386" i="2"/>
  <c r="W46" i="2"/>
  <c r="L1906" i="2"/>
  <c r="L2883" i="2"/>
  <c r="S2162" i="2"/>
  <c r="I355" i="2"/>
  <c r="E1063" i="2"/>
  <c r="I837" i="2"/>
  <c r="L1224" i="2"/>
  <c r="P1066" i="2"/>
  <c r="T2559" i="2"/>
  <c r="Q18" i="2"/>
  <c r="K1003" i="2"/>
  <c r="K2297" i="2"/>
  <c r="J2870" i="2"/>
  <c r="J2208" i="2"/>
  <c r="O186" i="2"/>
  <c r="P2535" i="2"/>
  <c r="M306" i="2"/>
  <c r="G1863" i="2"/>
  <c r="J515" i="2"/>
  <c r="Q645" i="2"/>
  <c r="J2248" i="2"/>
  <c r="O1678" i="2"/>
  <c r="Q347" i="2"/>
  <c r="V1761" i="2"/>
  <c r="N568" i="2"/>
  <c r="G926" i="2"/>
  <c r="Q1304" i="2"/>
  <c r="D370" i="2"/>
  <c r="V840" i="2"/>
  <c r="H139" i="2"/>
  <c r="M160" i="2"/>
  <c r="F2398" i="2"/>
  <c r="U2178" i="2"/>
  <c r="I1615" i="2"/>
  <c r="M1652" i="2"/>
  <c r="E20" i="2"/>
  <c r="P895" i="2"/>
  <c r="F1772" i="2"/>
  <c r="R1597" i="2"/>
  <c r="I69" i="2"/>
  <c r="V1295" i="2"/>
  <c r="F246" i="2"/>
  <c r="K1972" i="2"/>
  <c r="S698" i="2"/>
  <c r="R695" i="2"/>
  <c r="J1750" i="2"/>
  <c r="D232" i="2"/>
  <c r="D53" i="2"/>
  <c r="I892" i="2"/>
  <c r="O113" i="2"/>
  <c r="V780" i="2"/>
  <c r="J2112" i="2"/>
  <c r="V1618" i="2"/>
  <c r="L800" i="2"/>
  <c r="M1299" i="2"/>
  <c r="S1193" i="2"/>
  <c r="H2903" i="2"/>
  <c r="F383" i="2"/>
  <c r="F417" i="2"/>
  <c r="W1103" i="2"/>
  <c r="L213" i="2"/>
  <c r="C550" i="2"/>
  <c r="W1647" i="2"/>
  <c r="U1110" i="2"/>
  <c r="O423" i="2"/>
  <c r="F1274" i="2"/>
  <c r="S143" i="2"/>
  <c r="G551" i="2"/>
  <c r="K1709" i="2"/>
  <c r="V828" i="2"/>
  <c r="T2298" i="2"/>
  <c r="V2196" i="2"/>
  <c r="W845" i="2"/>
  <c r="I1447" i="2"/>
  <c r="H842" i="2"/>
  <c r="E1199" i="2"/>
  <c r="L799" i="2"/>
  <c r="W1186" i="2"/>
  <c r="H1599" i="2"/>
  <c r="J223" i="2"/>
  <c r="U1896" i="2"/>
  <c r="Q707" i="2"/>
  <c r="E2160" i="2"/>
  <c r="H1185" i="2"/>
  <c r="W1788" i="2"/>
  <c r="C1810" i="2"/>
  <c r="N812" i="2"/>
  <c r="I206" i="2"/>
  <c r="C168" i="2"/>
  <c r="P2359" i="2"/>
  <c r="R627" i="2"/>
  <c r="J1293" i="2"/>
  <c r="I1808" i="2"/>
  <c r="G1227" i="2"/>
  <c r="M2131" i="2"/>
  <c r="H68" i="2"/>
  <c r="L931" i="2"/>
  <c r="T1137" i="2"/>
  <c r="L2063" i="2"/>
  <c r="V1481" i="2"/>
  <c r="E1843" i="2"/>
  <c r="R1102" i="2"/>
  <c r="D755" i="2"/>
  <c r="M1620" i="2"/>
  <c r="K1966" i="2"/>
  <c r="N2358" i="2"/>
  <c r="T2085" i="2"/>
  <c r="E1501" i="2"/>
  <c r="T41" i="2"/>
  <c r="P2399" i="2"/>
  <c r="L67" i="2"/>
  <c r="Q389" i="2"/>
  <c r="E2571" i="2"/>
  <c r="S2040" i="2"/>
  <c r="O1250" i="2"/>
  <c r="J206" i="2"/>
  <c r="S1199" i="2"/>
  <c r="N884" i="2"/>
  <c r="F1557" i="2"/>
  <c r="C782" i="2"/>
  <c r="W909" i="2"/>
  <c r="E2048" i="2"/>
  <c r="V531" i="2"/>
  <c r="S1883" i="2"/>
  <c r="R1175" i="2"/>
  <c r="J1266" i="2"/>
  <c r="V1282" i="2"/>
  <c r="V1952" i="2"/>
  <c r="E2079" i="2"/>
  <c r="C1777" i="2"/>
  <c r="F311" i="2"/>
  <c r="I2550" i="2"/>
  <c r="G416" i="2"/>
  <c r="K1930" i="2"/>
  <c r="P621" i="2"/>
  <c r="K1665" i="2"/>
  <c r="V67" i="2"/>
  <c r="H1385" i="2"/>
  <c r="G724" i="2"/>
  <c r="S2315" i="2"/>
  <c r="G205" i="2"/>
  <c r="D1101" i="2"/>
  <c r="N1978" i="2"/>
  <c r="G2726" i="2"/>
  <c r="V807" i="2"/>
  <c r="H668" i="2"/>
  <c r="Q499" i="2"/>
  <c r="L12" i="2"/>
  <c r="N2565" i="2"/>
  <c r="J1242" i="2"/>
  <c r="V219" i="2"/>
  <c r="Q991" i="2"/>
  <c r="E1842" i="2"/>
  <c r="V2172" i="2"/>
  <c r="L167" i="2"/>
  <c r="R1054" i="2"/>
  <c r="U8" i="2"/>
  <c r="H202" i="2"/>
  <c r="J2027" i="2"/>
  <c r="D408" i="2"/>
  <c r="V2335" i="2"/>
  <c r="D82" i="2"/>
  <c r="H1492" i="2"/>
  <c r="P943" i="2"/>
  <c r="E479" i="2"/>
  <c r="D109" i="2"/>
  <c r="D1840" i="2"/>
  <c r="S805" i="2"/>
  <c r="K2539" i="2"/>
  <c r="T1997" i="2"/>
  <c r="R1501" i="2"/>
  <c r="L83" i="2"/>
  <c r="J1716" i="2"/>
  <c r="I1882" i="2"/>
  <c r="K865" i="2"/>
  <c r="O1147" i="2"/>
  <c r="D726" i="2"/>
  <c r="K3543" i="2"/>
  <c r="I1940" i="2"/>
  <c r="C893" i="2"/>
  <c r="E154" i="2"/>
  <c r="M1098" i="2"/>
  <c r="Q386" i="2"/>
  <c r="M1643" i="2"/>
  <c r="N149" i="2"/>
  <c r="T22" i="2"/>
  <c r="F996" i="2"/>
  <c r="K1752" i="2"/>
  <c r="T2383" i="2"/>
  <c r="M974" i="2"/>
  <c r="R141" i="2"/>
  <c r="H259" i="2"/>
  <c r="U2204" i="2"/>
  <c r="J139" i="2"/>
  <c r="S284" i="2"/>
  <c r="J2517" i="2"/>
  <c r="P424" i="2"/>
  <c r="T1877" i="2"/>
  <c r="C1940" i="2"/>
  <c r="H685" i="2"/>
  <c r="E1461" i="2"/>
  <c r="G836" i="2"/>
  <c r="I96" i="2"/>
  <c r="M1753" i="2"/>
  <c r="M1587" i="2"/>
  <c r="N986" i="2"/>
  <c r="E607" i="2"/>
  <c r="U183" i="2"/>
  <c r="C1491" i="2"/>
  <c r="L1667" i="2"/>
  <c r="K23" i="2"/>
  <c r="P2687" i="2"/>
  <c r="G1980" i="2"/>
  <c r="K63" i="2"/>
  <c r="D68" i="2"/>
  <c r="C599" i="2"/>
  <c r="T1224" i="2"/>
  <c r="N2898" i="2"/>
  <c r="M878" i="2"/>
  <c r="U2044" i="2"/>
  <c r="Q1334" i="2"/>
  <c r="C664" i="2"/>
  <c r="J508" i="2"/>
  <c r="N3107" i="2"/>
  <c r="I1255" i="2"/>
  <c r="O104" i="2"/>
  <c r="P1227" i="2"/>
  <c r="I1062" i="2"/>
  <c r="H771" i="2"/>
  <c r="G2433" i="2"/>
  <c r="N527" i="2"/>
  <c r="E1813" i="2"/>
  <c r="N1533" i="2"/>
  <c r="F2489" i="2"/>
  <c r="D188" i="2"/>
  <c r="V2582" i="2"/>
  <c r="T155" i="2"/>
  <c r="T1474" i="2"/>
  <c r="G2015" i="2"/>
  <c r="F1237" i="2"/>
  <c r="L229" i="2"/>
  <c r="U836" i="2"/>
  <c r="M96" i="2"/>
  <c r="D1436" i="2"/>
  <c r="M1092" i="2"/>
  <c r="I1034" i="2"/>
  <c r="R1097" i="2"/>
  <c r="H1058" i="2"/>
  <c r="N1581" i="2"/>
  <c r="E671" i="2"/>
  <c r="L1890" i="2"/>
  <c r="G863" i="2"/>
  <c r="I760" i="2"/>
  <c r="W86" i="2"/>
  <c r="I1332" i="2"/>
  <c r="V1544" i="2"/>
  <c r="H1197" i="2"/>
  <c r="M806" i="2"/>
  <c r="P2011" i="2"/>
  <c r="L1272" i="2"/>
  <c r="P1348" i="2"/>
  <c r="L2408" i="2"/>
  <c r="T1480" i="2"/>
  <c r="T1219" i="2"/>
  <c r="W950" i="2"/>
  <c r="S780" i="2"/>
  <c r="M951" i="2"/>
  <c r="M1516" i="2"/>
  <c r="V2012" i="2"/>
  <c r="K2829" i="2"/>
  <c r="L1114" i="2"/>
  <c r="J725" i="2"/>
  <c r="Q2531" i="2"/>
  <c r="H1606" i="2"/>
  <c r="R2419" i="2"/>
  <c r="H1252" i="2"/>
  <c r="Q150" i="2"/>
  <c r="O124" i="2"/>
  <c r="D625" i="2"/>
  <c r="P1593" i="2"/>
  <c r="E795" i="2"/>
  <c r="V2260" i="2"/>
  <c r="M1086" i="2"/>
  <c r="F1444" i="2"/>
  <c r="M920" i="2"/>
  <c r="D443" i="2"/>
  <c r="J333" i="2"/>
  <c r="W1370" i="2"/>
  <c r="L1543" i="2"/>
  <c r="U2582" i="2"/>
  <c r="O1637" i="2"/>
  <c r="P2769" i="2"/>
  <c r="O279" i="2"/>
  <c r="T652" i="2"/>
  <c r="E273" i="2"/>
  <c r="U2615" i="2"/>
  <c r="D2726" i="2"/>
  <c r="F1239" i="2"/>
  <c r="C914" i="2"/>
  <c r="D1344" i="2"/>
  <c r="I127" i="2"/>
  <c r="R229" i="2"/>
  <c r="F602" i="2"/>
  <c r="L1122" i="2"/>
  <c r="M2737" i="2"/>
  <c r="W705" i="2"/>
  <c r="R1726" i="2"/>
  <c r="N1011" i="2"/>
  <c r="N400" i="2"/>
  <c r="G2500" i="2"/>
  <c r="U2152" i="2"/>
  <c r="G554" i="2"/>
  <c r="U2985" i="2"/>
  <c r="V489" i="2"/>
  <c r="W1074" i="2"/>
  <c r="Q407" i="2"/>
  <c r="R16" i="2"/>
  <c r="I1363" i="2"/>
  <c r="V1994" i="2"/>
  <c r="Q1558" i="2"/>
  <c r="U762" i="2"/>
  <c r="R97" i="2"/>
  <c r="G63" i="2"/>
  <c r="G2001" i="2"/>
  <c r="G23" i="2"/>
  <c r="L625" i="2"/>
  <c r="E1741" i="2"/>
  <c r="H3017" i="2"/>
  <c r="T1680" i="2"/>
  <c r="Q1570" i="2"/>
  <c r="K726" i="2"/>
  <c r="Q1096" i="2"/>
  <c r="H2438" i="2"/>
  <c r="G2380" i="2"/>
  <c r="T1894" i="2"/>
  <c r="M1137" i="2"/>
  <c r="H2044" i="2"/>
  <c r="G909" i="2"/>
  <c r="T2074" i="2"/>
  <c r="C1591" i="2"/>
  <c r="N521" i="2"/>
  <c r="N1292" i="2"/>
  <c r="L452" i="2"/>
  <c r="U319" i="2"/>
  <c r="P663" i="2"/>
  <c r="I1392" i="2"/>
  <c r="W3062" i="2"/>
  <c r="H1844" i="2"/>
  <c r="R2435" i="2"/>
  <c r="U949" i="2"/>
  <c r="L1588" i="2"/>
  <c r="E2063" i="2"/>
  <c r="M213" i="2"/>
  <c r="Q1770" i="2"/>
  <c r="G1913" i="2"/>
  <c r="C2734" i="2"/>
  <c r="D549" i="2"/>
  <c r="J2047" i="2"/>
  <c r="C1299" i="2"/>
  <c r="W1655" i="2"/>
  <c r="W2399" i="2"/>
  <c r="P1890" i="2"/>
  <c r="D2385" i="2"/>
  <c r="D1154" i="2"/>
  <c r="L577" i="2"/>
  <c r="V644" i="2"/>
  <c r="R1781" i="2"/>
  <c r="V2591" i="2"/>
  <c r="E1008" i="2"/>
  <c r="M322" i="2"/>
  <c r="S110" i="2"/>
  <c r="G906" i="2"/>
  <c r="C2505" i="2"/>
  <c r="W1365" i="2"/>
  <c r="O457" i="2"/>
  <c r="I2060" i="2"/>
  <c r="K1048" i="2"/>
  <c r="D1558" i="2"/>
  <c r="V673" i="2"/>
  <c r="M693" i="2"/>
  <c r="D439" i="2"/>
  <c r="V2227" i="2"/>
  <c r="E856" i="2"/>
  <c r="S900" i="2"/>
  <c r="I2718" i="2"/>
  <c r="R2339" i="2"/>
  <c r="U1549" i="2"/>
  <c r="J368" i="2"/>
  <c r="W881" i="2"/>
  <c r="P812" i="2"/>
  <c r="O241" i="2"/>
  <c r="C156" i="2"/>
  <c r="G70" i="2"/>
  <c r="F1761" i="2"/>
  <c r="Q1362" i="2"/>
  <c r="L954" i="2"/>
  <c r="M1342" i="2"/>
  <c r="K472" i="2"/>
  <c r="U2051" i="2"/>
  <c r="F1434" i="2"/>
  <c r="D1473" i="2"/>
  <c r="W749" i="2"/>
  <c r="P877" i="2"/>
  <c r="E2672" i="2"/>
  <c r="O351" i="2"/>
  <c r="O2346" i="2"/>
  <c r="M2774" i="2"/>
  <c r="N2222" i="2"/>
  <c r="V2381" i="2"/>
  <c r="K236" i="2"/>
  <c r="F347" i="2"/>
  <c r="T191" i="2"/>
  <c r="V1142" i="2"/>
  <c r="G1523" i="2"/>
  <c r="V1209" i="2"/>
  <c r="M1527" i="2"/>
  <c r="L1533" i="2"/>
  <c r="P1444" i="2"/>
  <c r="G2050" i="2"/>
  <c r="I379" i="2"/>
  <c r="N1645" i="2"/>
  <c r="N567" i="2"/>
  <c r="U1724" i="2"/>
  <c r="T351" i="2"/>
  <c r="S1974" i="2"/>
  <c r="F1563" i="2"/>
  <c r="F60" i="2"/>
  <c r="U2804" i="2"/>
  <c r="J1162" i="2"/>
  <c r="G1302" i="2"/>
  <c r="K1423" i="2"/>
  <c r="C476" i="2"/>
  <c r="J2501" i="2"/>
  <c r="U741" i="2"/>
  <c r="U1568" i="2"/>
  <c r="I204" i="2"/>
  <c r="Q1883" i="2"/>
  <c r="G2221" i="2"/>
  <c r="C280" i="2"/>
  <c r="N1875" i="2"/>
  <c r="N192" i="2"/>
  <c r="F1542" i="2"/>
  <c r="M366" i="2"/>
  <c r="L2809" i="2"/>
  <c r="S1252" i="2"/>
  <c r="D43" i="2"/>
  <c r="U886" i="2"/>
  <c r="S2949" i="2"/>
  <c r="O2927" i="2"/>
  <c r="K2678" i="2"/>
  <c r="E1761" i="2"/>
  <c r="S1130" i="2"/>
  <c r="G2262" i="2"/>
  <c r="R411" i="2"/>
  <c r="F2587" i="2"/>
  <c r="G1017" i="2"/>
  <c r="H629" i="2"/>
  <c r="U564" i="2"/>
  <c r="W1061" i="2"/>
  <c r="D516" i="2"/>
  <c r="T1078" i="2"/>
  <c r="O2106" i="2"/>
  <c r="V522" i="2"/>
  <c r="M1702" i="2"/>
  <c r="J257" i="2"/>
  <c r="C2563" i="2"/>
  <c r="T1125" i="2"/>
  <c r="L2664" i="2"/>
  <c r="P144" i="2"/>
  <c r="U2207" i="2"/>
  <c r="J766" i="2"/>
  <c r="K1907" i="2"/>
  <c r="C951" i="2"/>
  <c r="N157" i="2"/>
  <c r="D1963" i="2"/>
  <c r="U2658" i="2"/>
  <c r="J2116" i="2"/>
  <c r="F162" i="2"/>
  <c r="S1450" i="2"/>
  <c r="S1118" i="2"/>
  <c r="H648" i="2"/>
  <c r="R458" i="2"/>
  <c r="F1060" i="2"/>
  <c r="L2682" i="2"/>
  <c r="I708" i="2"/>
  <c r="I2762" i="2"/>
  <c r="U1024" i="2"/>
  <c r="J22" i="2"/>
  <c r="U527" i="2"/>
  <c r="V1818" i="2"/>
  <c r="L721" i="2"/>
  <c r="D138" i="2"/>
  <c r="F1284" i="2"/>
  <c r="J2348" i="2"/>
  <c r="O476" i="2"/>
  <c r="C2437" i="2"/>
  <c r="G1975" i="2"/>
  <c r="S3430" i="2"/>
  <c r="W871" i="2"/>
  <c r="M900" i="2"/>
  <c r="R8" i="2"/>
  <c r="U222" i="2"/>
  <c r="H521" i="2"/>
  <c r="P1861" i="2"/>
  <c r="D2019" i="2"/>
  <c r="S796" i="2"/>
  <c r="S473" i="2"/>
  <c r="C589" i="2"/>
  <c r="V1145" i="2"/>
  <c r="F930" i="2"/>
  <c r="F1629" i="2"/>
  <c r="Q2176" i="2"/>
  <c r="D2345" i="2"/>
  <c r="W346" i="2"/>
  <c r="G2419" i="2"/>
  <c r="L2580" i="2"/>
  <c r="K1158" i="2"/>
  <c r="T493" i="2"/>
  <c r="W2209" i="2"/>
  <c r="U1933" i="2"/>
  <c r="H2463" i="2"/>
  <c r="D264" i="2"/>
  <c r="T2159" i="2"/>
  <c r="J1052" i="2"/>
  <c r="W2445" i="2"/>
  <c r="E2457" i="2"/>
  <c r="I68" i="2"/>
  <c r="N2666" i="2"/>
  <c r="J3" i="2"/>
  <c r="F434" i="2"/>
  <c r="W303" i="2"/>
  <c r="C1095" i="2"/>
  <c r="R1645" i="2"/>
  <c r="R2602" i="2"/>
  <c r="G676" i="2"/>
  <c r="E904" i="2"/>
  <c r="R437" i="2"/>
  <c r="V2715" i="2"/>
  <c r="E487" i="2"/>
  <c r="K1261" i="2"/>
  <c r="T683" i="2"/>
  <c r="W1732" i="2"/>
  <c r="U2813" i="2"/>
  <c r="F1123" i="2"/>
  <c r="D45" i="2"/>
  <c r="E1549" i="2"/>
  <c r="T2224" i="2"/>
  <c r="I883" i="2"/>
  <c r="O91" i="2"/>
  <c r="M2076" i="2"/>
  <c r="F2861" i="2"/>
  <c r="W1322" i="2"/>
  <c r="V1673" i="2"/>
  <c r="N377" i="2"/>
  <c r="T3431" i="2"/>
  <c r="O2943" i="2"/>
  <c r="G2805" i="2"/>
  <c r="I310" i="2"/>
  <c r="O1797" i="2"/>
  <c r="J834" i="2"/>
  <c r="T98" i="2"/>
  <c r="Q139" i="2"/>
  <c r="E2045" i="2"/>
  <c r="O530" i="2"/>
  <c r="H671" i="2"/>
  <c r="D887" i="2"/>
  <c r="R1617" i="2"/>
  <c r="O1540" i="2"/>
  <c r="O222" i="2"/>
  <c r="C772" i="2"/>
  <c r="Q1219" i="2"/>
  <c r="Q2505" i="2"/>
  <c r="P1120" i="2"/>
  <c r="E2277" i="2"/>
  <c r="V1723" i="2"/>
  <c r="N1045" i="2"/>
  <c r="C357" i="2"/>
  <c r="I2480" i="2"/>
  <c r="C1439" i="2"/>
  <c r="W1770" i="2"/>
  <c r="U838" i="2"/>
  <c r="H1371" i="2"/>
  <c r="K2542" i="2"/>
  <c r="M1586" i="2"/>
  <c r="P249" i="2"/>
  <c r="L1561" i="2"/>
  <c r="Q2350" i="2"/>
  <c r="G169" i="2"/>
  <c r="K397" i="2"/>
  <c r="C1323" i="2"/>
  <c r="M1172" i="2"/>
  <c r="U567" i="2"/>
  <c r="H309" i="2"/>
  <c r="P1365" i="2"/>
  <c r="W378" i="2"/>
  <c r="K560" i="2"/>
  <c r="J1459" i="2"/>
  <c r="Q1071" i="2"/>
  <c r="U1098" i="2"/>
  <c r="O1783" i="2"/>
  <c r="I836" i="2"/>
  <c r="E463" i="2"/>
  <c r="K4" i="2"/>
  <c r="O774" i="2"/>
  <c r="N1818" i="2"/>
  <c r="J1588" i="2"/>
  <c r="H1857" i="2"/>
  <c r="D485" i="2"/>
  <c r="T1634" i="2"/>
  <c r="S316" i="2"/>
  <c r="L1803" i="2"/>
  <c r="J2225" i="2"/>
  <c r="W154" i="2"/>
  <c r="V38" i="2"/>
  <c r="S449" i="2"/>
  <c r="E1011" i="2"/>
  <c r="T2839" i="2"/>
  <c r="F542" i="2"/>
  <c r="N1009" i="2"/>
  <c r="F1364" i="2"/>
  <c r="C2530" i="2"/>
  <c r="L2517" i="2"/>
  <c r="P1130" i="2"/>
  <c r="K78" i="2"/>
  <c r="L1211" i="2"/>
  <c r="R258" i="2"/>
  <c r="W1919" i="2"/>
  <c r="U1643" i="2"/>
  <c r="T1662" i="2"/>
  <c r="I1134" i="2"/>
  <c r="H2400" i="2"/>
  <c r="I78" i="2"/>
  <c r="F294" i="2"/>
  <c r="P766" i="2"/>
  <c r="V1737" i="2"/>
  <c r="P296" i="2"/>
  <c r="V1520" i="2"/>
  <c r="U917" i="2"/>
  <c r="H891" i="2"/>
  <c r="U992" i="2"/>
  <c r="W1974" i="2"/>
  <c r="C907" i="2"/>
  <c r="J2427" i="2"/>
  <c r="T316" i="2"/>
  <c r="E436" i="2"/>
  <c r="O1789" i="2"/>
  <c r="L974" i="2"/>
  <c r="S133" i="2"/>
  <c r="G2248" i="2"/>
  <c r="G730" i="2"/>
  <c r="F1782" i="2"/>
  <c r="U1395" i="2"/>
  <c r="V1255" i="2"/>
  <c r="C1782" i="2"/>
  <c r="P2555" i="2"/>
  <c r="S814" i="2"/>
  <c r="O1088" i="2"/>
  <c r="D2230" i="2"/>
  <c r="H1524" i="2"/>
  <c r="N509" i="2"/>
  <c r="V236" i="2"/>
  <c r="M1793" i="2"/>
  <c r="G698" i="2"/>
  <c r="S337" i="2"/>
  <c r="R1619" i="2"/>
  <c r="V1537" i="2"/>
  <c r="H2409" i="2"/>
  <c r="T874" i="2"/>
  <c r="F37" i="2"/>
  <c r="S1035" i="2"/>
  <c r="O1928" i="2"/>
  <c r="K175" i="2"/>
  <c r="W1860" i="2"/>
  <c r="K2571" i="2"/>
  <c r="M918" i="2"/>
  <c r="L459" i="2"/>
  <c r="J458" i="2"/>
  <c r="I65" i="2"/>
  <c r="K720" i="2"/>
  <c r="N2233" i="2"/>
  <c r="T976" i="2"/>
  <c r="U254" i="2"/>
  <c r="N196" i="2"/>
  <c r="J1405" i="2"/>
  <c r="T2949" i="2"/>
  <c r="G3392" i="2"/>
  <c r="P861" i="2"/>
  <c r="F1333" i="2"/>
  <c r="W1991" i="2"/>
  <c r="O1782" i="2"/>
  <c r="T1019" i="2"/>
  <c r="H709" i="2"/>
  <c r="V833" i="2"/>
  <c r="J1194" i="2"/>
  <c r="G1568" i="2"/>
  <c r="O1758" i="2"/>
  <c r="P2105" i="2"/>
  <c r="H883" i="2"/>
  <c r="O194" i="2"/>
  <c r="I831" i="2"/>
  <c r="Q554" i="2"/>
  <c r="E1305" i="2"/>
  <c r="T428" i="2"/>
  <c r="M509" i="2"/>
  <c r="H2383" i="2"/>
  <c r="L2047" i="2"/>
  <c r="W265" i="2"/>
  <c r="V1016" i="2"/>
  <c r="T855" i="2"/>
  <c r="Q641" i="2"/>
  <c r="H399" i="2"/>
  <c r="F1625" i="2"/>
  <c r="E1717" i="2"/>
  <c r="F2626" i="2"/>
  <c r="C1138" i="2"/>
  <c r="O1245" i="2"/>
  <c r="C518" i="2"/>
  <c r="R2237" i="2"/>
  <c r="L180" i="2"/>
  <c r="V552" i="2"/>
  <c r="P1354" i="2"/>
  <c r="C867" i="2"/>
  <c r="R406" i="2"/>
  <c r="R568" i="2"/>
  <c r="Q495" i="2"/>
  <c r="M704" i="2"/>
  <c r="I161" i="2"/>
  <c r="J255" i="2"/>
  <c r="S274" i="2"/>
  <c r="K633" i="2"/>
  <c r="U1059" i="2"/>
  <c r="I2062" i="2"/>
  <c r="D548" i="2"/>
  <c r="G198" i="2"/>
  <c r="C2341" i="2"/>
  <c r="J2494" i="2"/>
  <c r="W1470" i="2"/>
  <c r="J459" i="2"/>
  <c r="Q1141" i="2"/>
  <c r="T9" i="2"/>
  <c r="V1653" i="2"/>
  <c r="K1563" i="2"/>
  <c r="W1578" i="2"/>
  <c r="N40" i="2"/>
  <c r="M600" i="2"/>
  <c r="Q170" i="2"/>
  <c r="S1879" i="2"/>
  <c r="T706" i="2"/>
  <c r="K345" i="2"/>
  <c r="I1026" i="2"/>
  <c r="H1293" i="2"/>
  <c r="G1098" i="2"/>
  <c r="U2514" i="2"/>
  <c r="N643" i="2"/>
  <c r="L2156" i="2"/>
  <c r="I2949" i="2"/>
  <c r="R2153" i="2"/>
  <c r="Q168" i="2"/>
  <c r="Q563" i="2"/>
  <c r="K1091" i="2"/>
  <c r="J1308" i="2"/>
  <c r="G240" i="2"/>
  <c r="F1829" i="2"/>
  <c r="Q2403" i="2"/>
  <c r="I2905" i="2"/>
  <c r="C935" i="2"/>
  <c r="M3244" i="2"/>
  <c r="E2422" i="2"/>
  <c r="I543" i="2"/>
  <c r="W517" i="2"/>
  <c r="R2229" i="2"/>
  <c r="P2818" i="2"/>
  <c r="G1819" i="2"/>
  <c r="I1244" i="2"/>
  <c r="T2659" i="2"/>
  <c r="H581" i="2"/>
  <c r="I471" i="2"/>
  <c r="H3178" i="2"/>
  <c r="C1800" i="2"/>
  <c r="M936" i="2"/>
  <c r="S214" i="2"/>
  <c r="P189" i="2"/>
  <c r="V1176" i="2"/>
  <c r="E2663" i="2"/>
  <c r="E535" i="2"/>
  <c r="C318" i="2"/>
  <c r="S270" i="2"/>
  <c r="J1665" i="2"/>
  <c r="R317" i="2"/>
  <c r="K2230" i="2"/>
  <c r="G1525" i="2"/>
  <c r="Q123" i="2"/>
  <c r="L1524" i="2"/>
  <c r="T1427" i="2"/>
  <c r="O1746" i="2"/>
  <c r="R480" i="2"/>
  <c r="G553" i="2"/>
  <c r="N1904" i="2"/>
  <c r="R1004" i="2"/>
  <c r="M140" i="2"/>
  <c r="J1845" i="2"/>
  <c r="V384" i="2"/>
  <c r="D1351" i="2"/>
  <c r="Q211" i="2"/>
  <c r="V169" i="2"/>
  <c r="V137" i="2"/>
  <c r="O1474" i="2"/>
  <c r="C431" i="2"/>
  <c r="C2080" i="2"/>
  <c r="O79" i="2"/>
  <c r="C766" i="2"/>
  <c r="G2119" i="2"/>
  <c r="I2126" i="2"/>
  <c r="G1926" i="2"/>
  <c r="V987" i="2"/>
  <c r="E903" i="2"/>
  <c r="U589" i="2"/>
  <c r="I230" i="2"/>
  <c r="Q254" i="2"/>
  <c r="V2169" i="2"/>
  <c r="H3045" i="2"/>
  <c r="S586" i="2"/>
  <c r="P140" i="2"/>
  <c r="R652" i="2"/>
  <c r="C898" i="2"/>
  <c r="K577" i="2"/>
  <c r="D491" i="2"/>
  <c r="P360" i="2"/>
  <c r="P1714" i="2"/>
  <c r="P843" i="2"/>
  <c r="R1088" i="2"/>
  <c r="K1370" i="2"/>
  <c r="U177" i="2"/>
  <c r="W672" i="2"/>
  <c r="I2509" i="2"/>
  <c r="M1659" i="2"/>
  <c r="J2088" i="2"/>
  <c r="G466" i="2"/>
  <c r="V1906" i="2"/>
  <c r="W1309" i="2"/>
  <c r="G1161" i="2"/>
  <c r="M1575" i="2"/>
  <c r="C2333" i="2"/>
  <c r="P581" i="2"/>
  <c r="F88" i="2"/>
  <c r="N1322" i="2"/>
  <c r="O1578" i="2"/>
  <c r="U2691" i="2"/>
  <c r="C343" i="2"/>
  <c r="R17" i="2"/>
  <c r="G71" i="2"/>
  <c r="E629" i="2"/>
  <c r="L1071" i="2"/>
  <c r="N2842" i="2"/>
  <c r="K993" i="2"/>
  <c r="T1038" i="2"/>
  <c r="U1682" i="2"/>
  <c r="P155" i="2"/>
  <c r="U2792" i="2"/>
  <c r="N964" i="2"/>
  <c r="N314" i="2"/>
  <c r="S719" i="2"/>
  <c r="U1469" i="2"/>
  <c r="D192" i="2"/>
  <c r="Q1444" i="2"/>
  <c r="H1650" i="2"/>
  <c r="M1272" i="2"/>
  <c r="N838" i="2"/>
  <c r="S2681" i="2"/>
  <c r="J2249" i="2"/>
  <c r="Q1897" i="2"/>
  <c r="H458" i="2"/>
  <c r="U2481" i="2"/>
  <c r="I639" i="2"/>
  <c r="G1155" i="2"/>
  <c r="T467" i="2"/>
  <c r="E556" i="2"/>
  <c r="F2273" i="2"/>
  <c r="H1937" i="2"/>
  <c r="U1797" i="2"/>
  <c r="U1841" i="2"/>
  <c r="I532" i="2"/>
  <c r="F1155" i="2"/>
  <c r="F998" i="2"/>
  <c r="F682" i="2"/>
  <c r="Q1694" i="2"/>
  <c r="G2544" i="2"/>
  <c r="D398" i="2"/>
  <c r="C960" i="2"/>
  <c r="N952" i="2"/>
  <c r="F506" i="2"/>
  <c r="V1867" i="2"/>
  <c r="L848" i="2"/>
  <c r="N494" i="2"/>
  <c r="W2370" i="2"/>
  <c r="V2699" i="2"/>
  <c r="E1508" i="2"/>
  <c r="G604" i="2"/>
  <c r="N1864" i="2"/>
  <c r="N1965" i="2"/>
  <c r="G635" i="2"/>
  <c r="M1388" i="2"/>
  <c r="G2413" i="2"/>
  <c r="T2605" i="2"/>
  <c r="I2477" i="2"/>
  <c r="M1828" i="2"/>
  <c r="M2268" i="2"/>
  <c r="V986" i="2"/>
  <c r="D460" i="2"/>
  <c r="I859" i="2"/>
  <c r="U1572" i="2"/>
  <c r="M1579" i="2"/>
  <c r="R1412" i="2"/>
  <c r="G1255" i="2"/>
  <c r="U211" i="2"/>
  <c r="H917" i="2"/>
  <c r="C795" i="2"/>
  <c r="F692" i="2"/>
  <c r="K301" i="2"/>
  <c r="D1334" i="2"/>
  <c r="P1308" i="2"/>
  <c r="G2109" i="2"/>
  <c r="K1023" i="2"/>
  <c r="Q1548" i="2"/>
  <c r="K198" i="2"/>
  <c r="H1157" i="2"/>
  <c r="J2117" i="2"/>
  <c r="D1208" i="2"/>
  <c r="O40" i="2"/>
  <c r="L1747" i="2"/>
  <c r="M2598" i="2"/>
  <c r="D1068" i="2"/>
  <c r="U39" i="2"/>
  <c r="U209" i="2"/>
  <c r="T929" i="2"/>
  <c r="R154" i="2"/>
  <c r="M276" i="2"/>
  <c r="N2726" i="2"/>
  <c r="K1164" i="2"/>
  <c r="E1781" i="2"/>
  <c r="J758" i="2"/>
  <c r="L310" i="2"/>
  <c r="H742" i="2"/>
  <c r="L1545" i="2"/>
  <c r="V1039" i="2"/>
  <c r="U871" i="2"/>
  <c r="M2425" i="2"/>
  <c r="F2916" i="2"/>
  <c r="N1198" i="2"/>
  <c r="M855" i="2"/>
  <c r="P2536" i="2"/>
  <c r="G22" i="2"/>
  <c r="N2494" i="2"/>
  <c r="W448" i="2"/>
  <c r="W1610" i="2"/>
  <c r="H276" i="2"/>
  <c r="Q864" i="2"/>
  <c r="M1542" i="2"/>
  <c r="U2579" i="2"/>
  <c r="U3108" i="2"/>
  <c r="N2520" i="2"/>
  <c r="T2562" i="2"/>
  <c r="J2030" i="2"/>
  <c r="C1278" i="2"/>
  <c r="I54" i="2"/>
  <c r="P1940" i="2"/>
  <c r="K620" i="2"/>
  <c r="Q902" i="2"/>
  <c r="P1472" i="2"/>
  <c r="S2650" i="2"/>
  <c r="E840" i="2"/>
  <c r="S52" i="2"/>
  <c r="J1899" i="2"/>
  <c r="D2145" i="2"/>
  <c r="C2617" i="2"/>
  <c r="N2466" i="2"/>
  <c r="L2451" i="2"/>
  <c r="S999" i="2"/>
  <c r="W87" i="2"/>
  <c r="R451" i="2"/>
  <c r="I2496" i="2"/>
  <c r="V1300" i="2"/>
  <c r="D1073" i="2"/>
  <c r="N125" i="2"/>
  <c r="W2222" i="2"/>
  <c r="R994" i="2"/>
  <c r="V884" i="2"/>
  <c r="L794" i="2"/>
  <c r="F2970" i="2"/>
  <c r="N827" i="2"/>
  <c r="U181" i="2"/>
  <c r="T1206" i="2"/>
  <c r="G2759" i="2"/>
  <c r="Q1360" i="2"/>
  <c r="W3372" i="2"/>
  <c r="E631" i="2"/>
  <c r="G2260" i="2"/>
  <c r="F3327" i="2"/>
  <c r="R1333" i="2"/>
  <c r="T466" i="2"/>
  <c r="G1210" i="2"/>
  <c r="E875" i="2"/>
  <c r="L433" i="2"/>
  <c r="L2330" i="2"/>
  <c r="J2535" i="2"/>
  <c r="S894" i="2"/>
  <c r="F1838" i="2"/>
  <c r="Q732" i="2"/>
  <c r="J37" i="2"/>
  <c r="O1008" i="2"/>
  <c r="F544" i="2"/>
  <c r="W274" i="2"/>
  <c r="W1166" i="2"/>
  <c r="C1839" i="2"/>
  <c r="Q1733" i="2"/>
  <c r="P113" i="2"/>
  <c r="D1494" i="2"/>
  <c r="U236" i="2"/>
  <c r="F527" i="2"/>
  <c r="I588" i="2"/>
  <c r="I380" i="2"/>
  <c r="J2771" i="2"/>
  <c r="T1753" i="2"/>
  <c r="U1903" i="2"/>
  <c r="C789" i="2"/>
  <c r="R1886" i="2"/>
  <c r="J3332" i="2"/>
  <c r="O2156" i="2"/>
  <c r="S596" i="2"/>
  <c r="O2432" i="2"/>
  <c r="E1866" i="2"/>
  <c r="V2347" i="2"/>
  <c r="F1445" i="2"/>
  <c r="C1669" i="2"/>
  <c r="W852" i="2"/>
  <c r="M1319" i="2"/>
  <c r="E1130" i="2"/>
  <c r="O1988" i="2"/>
  <c r="W1092" i="2"/>
  <c r="U2931" i="2"/>
  <c r="P235" i="2"/>
  <c r="N2559" i="2"/>
  <c r="S2199" i="2"/>
  <c r="R384" i="2"/>
  <c r="N28" i="2"/>
  <c r="E1165" i="2"/>
  <c r="E2410" i="2"/>
  <c r="D744" i="2"/>
  <c r="I613" i="2"/>
  <c r="R2235" i="2"/>
  <c r="G1261" i="2"/>
  <c r="K93" i="2"/>
  <c r="O1326" i="2"/>
  <c r="L1636" i="2"/>
  <c r="C634" i="2"/>
  <c r="F958" i="2"/>
  <c r="M613" i="2"/>
  <c r="Q552" i="2"/>
  <c r="P1411" i="2"/>
  <c r="O354" i="2"/>
  <c r="L646" i="2"/>
  <c r="H1355" i="2"/>
  <c r="H1079" i="2"/>
  <c r="E921" i="2"/>
  <c r="P2616" i="2"/>
  <c r="K230" i="2"/>
  <c r="D1844" i="2"/>
  <c r="M1276" i="2"/>
  <c r="Q2249" i="2"/>
  <c r="G1786" i="2"/>
  <c r="O716" i="2"/>
  <c r="Q626" i="2"/>
  <c r="O1413" i="2"/>
  <c r="J2211" i="2"/>
  <c r="S2346" i="2"/>
  <c r="I1720" i="2"/>
  <c r="R1745" i="2"/>
  <c r="O225" i="2"/>
  <c r="F2492" i="2"/>
  <c r="E2206" i="2"/>
  <c r="R1451" i="2"/>
  <c r="N427" i="2"/>
  <c r="E2292" i="2"/>
  <c r="V2064" i="2"/>
  <c r="S1501" i="2"/>
  <c r="S7" i="2"/>
  <c r="U520" i="2"/>
  <c r="I80" i="2"/>
  <c r="I1608" i="2"/>
  <c r="Q3337" i="2"/>
  <c r="D2733" i="2"/>
  <c r="F850" i="2"/>
  <c r="M1224" i="2"/>
  <c r="R786" i="2"/>
  <c r="Q2751" i="2"/>
  <c r="W1011" i="2"/>
  <c r="H326" i="2"/>
  <c r="Q827" i="2"/>
  <c r="H1513" i="2"/>
  <c r="C408" i="2"/>
  <c r="J1844" i="2"/>
  <c r="I40" i="2"/>
  <c r="E806" i="2"/>
  <c r="J630" i="2"/>
  <c r="U145" i="2"/>
  <c r="K2351" i="2"/>
  <c r="M784" i="2"/>
  <c r="I143" i="2"/>
  <c r="P481" i="2"/>
  <c r="D693" i="2"/>
  <c r="W1524" i="2"/>
  <c r="V1048" i="2"/>
  <c r="L1175" i="2"/>
  <c r="J827" i="2"/>
  <c r="K2157" i="2"/>
  <c r="R650" i="2"/>
  <c r="C3063" i="2"/>
  <c r="R13" i="2"/>
  <c r="N2272" i="2"/>
  <c r="Q1861" i="2"/>
  <c r="M2548" i="2"/>
  <c r="U259" i="2"/>
  <c r="W2307" i="2"/>
  <c r="H578" i="2"/>
  <c r="P3081" i="2"/>
  <c r="F1191" i="2"/>
  <c r="V2129" i="2"/>
  <c r="H241" i="2"/>
  <c r="T733" i="2"/>
  <c r="H951" i="2"/>
  <c r="T2259" i="2"/>
  <c r="P298" i="2"/>
  <c r="T474" i="2"/>
  <c r="P2447" i="2"/>
  <c r="L1607" i="2"/>
  <c r="O1408" i="2"/>
  <c r="E737" i="2"/>
  <c r="I2568" i="2"/>
  <c r="L64" i="2"/>
  <c r="Q127" i="2"/>
  <c r="U1563" i="2"/>
  <c r="O1478" i="2"/>
  <c r="N299" i="2"/>
  <c r="L3040" i="2"/>
  <c r="L1547" i="2"/>
  <c r="F1757" i="2"/>
  <c r="N1025" i="2"/>
  <c r="Q1970" i="2"/>
  <c r="U2564" i="2"/>
  <c r="J1350" i="2"/>
  <c r="C479" i="2"/>
  <c r="W1808" i="2"/>
  <c r="V2171" i="2"/>
  <c r="K1426" i="2"/>
  <c r="K94" i="2"/>
  <c r="I540" i="2"/>
  <c r="O23" i="2"/>
  <c r="T416" i="2"/>
  <c r="N1035" i="2"/>
  <c r="F1225" i="2"/>
  <c r="J947" i="2"/>
  <c r="K163" i="2"/>
  <c r="S174" i="2"/>
  <c r="N264" i="2"/>
  <c r="G2226" i="2"/>
  <c r="F2929" i="2"/>
  <c r="N243" i="2"/>
  <c r="W2573" i="2"/>
  <c r="E356" i="2"/>
  <c r="H1561" i="2"/>
  <c r="U2089" i="2"/>
  <c r="M1408" i="2"/>
  <c r="J1760" i="2"/>
  <c r="H141" i="2"/>
  <c r="Q1032" i="2"/>
  <c r="J957" i="2"/>
  <c r="R44" i="2"/>
  <c r="E1817" i="2"/>
  <c r="K1679" i="2"/>
  <c r="F1992" i="2"/>
  <c r="R986" i="2"/>
  <c r="P1723" i="2"/>
  <c r="P770" i="2"/>
  <c r="V197" i="2"/>
  <c r="R155" i="2"/>
  <c r="U1748" i="2"/>
  <c r="C1158" i="2"/>
  <c r="C572" i="2"/>
  <c r="K597" i="2"/>
  <c r="V759" i="2"/>
  <c r="S1241" i="2"/>
  <c r="Q1155" i="2"/>
  <c r="S170" i="2"/>
  <c r="U428" i="2"/>
  <c r="D105" i="2"/>
  <c r="R1576" i="2"/>
  <c r="I857" i="2"/>
  <c r="L2370" i="2"/>
  <c r="H1307" i="2"/>
  <c r="L378" i="2"/>
  <c r="H97" i="2"/>
  <c r="J2161" i="2"/>
  <c r="F80" i="2"/>
  <c r="L597" i="2"/>
  <c r="G1115" i="2"/>
  <c r="G1213" i="2"/>
  <c r="S788" i="2"/>
  <c r="E2802" i="2"/>
  <c r="C378" i="2"/>
  <c r="N2570" i="2"/>
  <c r="T370" i="2"/>
  <c r="W2614" i="2"/>
  <c r="N1058" i="2"/>
  <c r="Q1763" i="2"/>
  <c r="H5" i="2"/>
  <c r="N420" i="2"/>
  <c r="O2517" i="2"/>
  <c r="T842" i="2"/>
  <c r="K2147" i="2"/>
  <c r="E643" i="2"/>
  <c r="O1027" i="2"/>
  <c r="W1730" i="2"/>
  <c r="O2768" i="2"/>
  <c r="C1825" i="2"/>
  <c r="W1026" i="2"/>
  <c r="L484" i="2"/>
  <c r="P100" i="2"/>
  <c r="Q2172" i="2"/>
  <c r="W258" i="2"/>
  <c r="K710" i="2"/>
  <c r="I1840" i="2"/>
  <c r="O1082" i="2"/>
  <c r="W537" i="2"/>
  <c r="V876" i="2"/>
  <c r="R136" i="2"/>
  <c r="L1721" i="2"/>
  <c r="U1292" i="2"/>
  <c r="V810" i="2"/>
  <c r="E209" i="2"/>
  <c r="W234" i="2"/>
  <c r="S623" i="2"/>
  <c r="F392" i="2"/>
  <c r="G528" i="2"/>
  <c r="F1411" i="2"/>
  <c r="P1868" i="2"/>
  <c r="L2561" i="2"/>
  <c r="U798" i="2"/>
  <c r="T893" i="2"/>
  <c r="M1125" i="2"/>
  <c r="N2081" i="2"/>
  <c r="U287" i="2"/>
  <c r="V1461" i="2"/>
  <c r="F1223" i="2"/>
  <c r="D1018" i="2"/>
  <c r="V202" i="2"/>
  <c r="V2104" i="2"/>
  <c r="H445" i="2"/>
  <c r="N2161" i="2"/>
  <c r="O767" i="2"/>
  <c r="Q1389" i="2"/>
  <c r="Q1312" i="2"/>
  <c r="J1856" i="2"/>
  <c r="P568" i="2"/>
  <c r="M440" i="2"/>
  <c r="N2083" i="2"/>
  <c r="C759" i="2"/>
  <c r="Q2310" i="2"/>
  <c r="F1958" i="2"/>
  <c r="J2677" i="2"/>
  <c r="H2846" i="2"/>
  <c r="W488" i="2"/>
  <c r="G1609" i="2"/>
  <c r="C344" i="2"/>
  <c r="L1712" i="2"/>
  <c r="J1377" i="2"/>
  <c r="D918" i="2"/>
  <c r="L2116" i="2"/>
  <c r="I440" i="2"/>
  <c r="G255" i="2"/>
  <c r="C2091" i="2"/>
  <c r="O1485" i="2"/>
  <c r="G1683" i="2"/>
  <c r="N433" i="2"/>
  <c r="I1347" i="2"/>
  <c r="H1629" i="2"/>
  <c r="G56" i="2"/>
  <c r="S1254" i="2"/>
  <c r="H881" i="2"/>
  <c r="J1277" i="2"/>
  <c r="W2092" i="2"/>
  <c r="E965" i="2"/>
  <c r="I491" i="2"/>
  <c r="W1463" i="2"/>
  <c r="U486" i="2"/>
  <c r="S735" i="2"/>
  <c r="L1736" i="2"/>
  <c r="E2260" i="2"/>
  <c r="C1709" i="2"/>
  <c r="Q1556" i="2"/>
  <c r="P2488" i="2"/>
  <c r="U616" i="2"/>
  <c r="V2081" i="2"/>
  <c r="N2268" i="2"/>
  <c r="H779" i="2"/>
  <c r="O380" i="2"/>
  <c r="J1239" i="2"/>
  <c r="N1361" i="2"/>
  <c r="E805" i="2"/>
  <c r="V594" i="2"/>
  <c r="U744" i="2"/>
  <c r="G1121" i="2"/>
  <c r="G544" i="2"/>
  <c r="K505" i="2"/>
  <c r="T2526" i="2"/>
  <c r="T2031" i="2"/>
  <c r="C30" i="2"/>
  <c r="N1206" i="2"/>
  <c r="U84" i="2"/>
  <c r="N88" i="2"/>
  <c r="R982" i="2"/>
  <c r="W1898" i="2"/>
  <c r="M378" i="2"/>
  <c r="W1208" i="2"/>
  <c r="V13" i="2"/>
  <c r="T526" i="2"/>
  <c r="G2464" i="2"/>
  <c r="U1522" i="2"/>
  <c r="N1450" i="2"/>
  <c r="J962" i="2"/>
  <c r="S567" i="2"/>
  <c r="C2945" i="2"/>
  <c r="V1468" i="2"/>
  <c r="R891" i="2"/>
  <c r="Q377" i="2"/>
  <c r="J2091" i="2"/>
  <c r="O1547" i="2"/>
  <c r="C2521" i="2"/>
  <c r="T1142" i="2"/>
  <c r="S810" i="2"/>
  <c r="Q2801" i="2"/>
  <c r="Q1030" i="2"/>
  <c r="G1944" i="2"/>
  <c r="S2429" i="2"/>
  <c r="N768" i="2"/>
  <c r="N1851" i="2"/>
  <c r="N1001" i="2"/>
  <c r="H1759" i="2"/>
  <c r="N662" i="2"/>
  <c r="V1887" i="2"/>
  <c r="D2410" i="2"/>
  <c r="G1485" i="2"/>
  <c r="N1544" i="2"/>
  <c r="P1541" i="2"/>
  <c r="W2039" i="2"/>
  <c r="I1841" i="2"/>
  <c r="U456" i="2"/>
  <c r="J1280" i="2"/>
  <c r="T1778" i="2"/>
  <c r="I2413" i="2"/>
  <c r="J397" i="2"/>
  <c r="N1482" i="2"/>
  <c r="M472" i="2"/>
  <c r="S1578" i="2"/>
  <c r="E1930" i="2"/>
  <c r="C578" i="2"/>
  <c r="P5" i="2"/>
  <c r="G1434" i="2"/>
  <c r="L2825" i="2"/>
  <c r="P217" i="2"/>
  <c r="D1665" i="2"/>
  <c r="U215" i="2"/>
  <c r="C1637" i="2"/>
  <c r="W1080" i="2"/>
  <c r="I2318" i="2"/>
  <c r="I2800" i="2"/>
  <c r="J2267" i="2"/>
  <c r="J134" i="2"/>
  <c r="W2109" i="2"/>
  <c r="Q2512" i="2"/>
  <c r="O1132" i="2"/>
  <c r="H2378" i="2"/>
  <c r="T1768" i="2"/>
  <c r="W1577" i="2"/>
  <c r="M998" i="2"/>
  <c r="F2170" i="2"/>
  <c r="F1756" i="2"/>
  <c r="F214" i="2"/>
  <c r="E2669" i="2"/>
  <c r="Q140" i="2"/>
  <c r="D1603" i="2"/>
  <c r="P446" i="2"/>
  <c r="G1114" i="2"/>
  <c r="F2666" i="2"/>
  <c r="F1810" i="2"/>
  <c r="L887" i="2"/>
  <c r="I279" i="2"/>
  <c r="V1596" i="2"/>
  <c r="D2847" i="2"/>
  <c r="U1886" i="2"/>
  <c r="E16" i="2"/>
  <c r="L706" i="2"/>
  <c r="O2173" i="2"/>
  <c r="P1068" i="2"/>
  <c r="G1897" i="2"/>
  <c r="S1326" i="2"/>
  <c r="R2623" i="2"/>
  <c r="I87" i="2"/>
  <c r="K245" i="2"/>
  <c r="C2102" i="2"/>
  <c r="F1118" i="2"/>
  <c r="N2079" i="2"/>
  <c r="T438" i="2"/>
  <c r="I384" i="2"/>
  <c r="K533" i="2"/>
  <c r="J1354" i="2"/>
  <c r="I2102" i="2"/>
  <c r="D2394" i="2"/>
  <c r="H1697" i="2"/>
  <c r="Q862" i="2"/>
  <c r="I2441" i="2"/>
  <c r="M1769" i="2"/>
  <c r="Q1442" i="2"/>
  <c r="F2032" i="2"/>
  <c r="N1509" i="2"/>
  <c r="T709" i="2"/>
  <c r="J15" i="2"/>
  <c r="I2185" i="2"/>
  <c r="S38" i="2"/>
  <c r="N107" i="2"/>
  <c r="R1625" i="2"/>
  <c r="O215" i="2"/>
  <c r="D890" i="2"/>
  <c r="C928" i="2"/>
  <c r="O1708" i="2"/>
  <c r="I169" i="2"/>
  <c r="E475" i="2"/>
  <c r="V2187" i="2"/>
  <c r="P268" i="2"/>
  <c r="V994" i="2"/>
  <c r="V1632" i="2"/>
  <c r="G955" i="2"/>
  <c r="E2637" i="2"/>
  <c r="R1814" i="2"/>
  <c r="U281" i="2"/>
  <c r="V496" i="2"/>
  <c r="L281" i="2"/>
  <c r="Q2068" i="2"/>
  <c r="H1910" i="2"/>
  <c r="I287" i="2"/>
  <c r="G930" i="2"/>
  <c r="W313" i="2"/>
  <c r="D1764" i="2"/>
  <c r="U2124" i="2"/>
  <c r="Q355" i="2"/>
  <c r="J307" i="2"/>
  <c r="P2053" i="2"/>
  <c r="G1723" i="2"/>
  <c r="E132" i="2"/>
  <c r="O159" i="2"/>
  <c r="R139" i="2"/>
  <c r="W922" i="2"/>
  <c r="V2037" i="2"/>
  <c r="H67" i="2"/>
  <c r="G434" i="2"/>
  <c r="V1380" i="2"/>
  <c r="G797" i="2"/>
  <c r="U2646" i="2"/>
  <c r="E1086" i="2"/>
  <c r="R291" i="2"/>
  <c r="D2561" i="2"/>
  <c r="R1998" i="2"/>
  <c r="U1004" i="2"/>
  <c r="C678" i="2"/>
  <c r="H1070" i="2"/>
  <c r="V1546" i="2"/>
  <c r="L566" i="2"/>
  <c r="C2464" i="2"/>
  <c r="P372" i="2"/>
  <c r="V1341" i="2"/>
  <c r="M1221" i="2"/>
  <c r="U111" i="2"/>
  <c r="S2925" i="2"/>
  <c r="G596" i="2"/>
  <c r="M1089" i="2"/>
  <c r="P1364" i="2"/>
  <c r="U1803" i="2"/>
  <c r="W793" i="2"/>
  <c r="H696" i="2"/>
  <c r="T338" i="2"/>
  <c r="U601" i="2"/>
  <c r="P752" i="2"/>
  <c r="I1562" i="2"/>
  <c r="P954" i="2"/>
  <c r="R497" i="2"/>
  <c r="I627" i="2"/>
  <c r="V383" i="2"/>
  <c r="R1079" i="2"/>
  <c r="O2472" i="2"/>
  <c r="R1627" i="2"/>
  <c r="C748" i="2"/>
  <c r="V57" i="2"/>
  <c r="C557" i="2"/>
  <c r="E2005" i="2"/>
  <c r="M110" i="2"/>
  <c r="G219" i="2"/>
  <c r="F2161" i="2"/>
  <c r="H1484" i="2"/>
  <c r="U489" i="2"/>
  <c r="N731" i="2"/>
  <c r="R2156" i="2"/>
  <c r="O525" i="2"/>
  <c r="S2069" i="2"/>
  <c r="K2041" i="2"/>
  <c r="M1476" i="2"/>
  <c r="Q1320" i="2"/>
  <c r="W612" i="2"/>
  <c r="W1406" i="2"/>
  <c r="J181" i="2"/>
  <c r="L364" i="2"/>
  <c r="E2070" i="2"/>
  <c r="V2053" i="2"/>
  <c r="T1606" i="2"/>
  <c r="T934" i="2"/>
  <c r="T2592" i="2"/>
  <c r="O1365" i="2"/>
  <c r="D1725" i="2"/>
  <c r="S147" i="2"/>
  <c r="T968" i="2"/>
  <c r="U2353" i="2"/>
  <c r="K1772" i="2"/>
  <c r="T2300" i="2"/>
  <c r="D210" i="2"/>
  <c r="S1996" i="2"/>
  <c r="R2110" i="2"/>
  <c r="G2155" i="2"/>
  <c r="U888" i="2"/>
  <c r="M620" i="2"/>
  <c r="F1605" i="2"/>
  <c r="D1186" i="2"/>
  <c r="U1492" i="2"/>
  <c r="R1429" i="2"/>
  <c r="W2144" i="2"/>
  <c r="L1124" i="2"/>
  <c r="N1422" i="2"/>
  <c r="Q1448" i="2"/>
  <c r="K2320" i="2"/>
  <c r="V1012" i="2"/>
  <c r="O2883" i="2"/>
  <c r="N583" i="2"/>
  <c r="U1509" i="2"/>
  <c r="J280" i="2"/>
  <c r="C415" i="2"/>
  <c r="J2242" i="2"/>
  <c r="U397" i="2"/>
  <c r="T1733" i="2"/>
  <c r="F212" i="2"/>
  <c r="L1030" i="2"/>
  <c r="T636" i="2"/>
  <c r="Q1547" i="2"/>
  <c r="T555" i="2"/>
  <c r="O1341" i="2"/>
  <c r="W111" i="2"/>
  <c r="K126" i="2"/>
  <c r="U2318" i="2"/>
  <c r="T179" i="2"/>
  <c r="L40" i="2"/>
  <c r="P976" i="2"/>
  <c r="U712" i="2"/>
  <c r="D939" i="2"/>
  <c r="K2326" i="2"/>
  <c r="W1425" i="2"/>
  <c r="Q1240" i="2"/>
  <c r="K1792" i="2"/>
  <c r="N3058" i="2"/>
  <c r="V2474" i="2"/>
  <c r="W2100" i="2"/>
  <c r="I1439" i="2"/>
  <c r="O3277" i="2"/>
  <c r="S1471" i="2"/>
  <c r="M214" i="2"/>
  <c r="N3052" i="2"/>
  <c r="G1214" i="2"/>
  <c r="O105" i="2"/>
  <c r="O444" i="2"/>
  <c r="O2704" i="2"/>
  <c r="E1709" i="2"/>
  <c r="S2206" i="2"/>
  <c r="G80" i="2"/>
  <c r="D1773" i="2"/>
  <c r="N1141" i="2"/>
  <c r="C583" i="2"/>
  <c r="T1832" i="2"/>
  <c r="O70" i="2"/>
  <c r="M1843" i="2"/>
  <c r="K610" i="2"/>
  <c r="P1516" i="2"/>
  <c r="I2095" i="2"/>
  <c r="J1306" i="2"/>
  <c r="I1684" i="2"/>
  <c r="N1110" i="2"/>
  <c r="N1100" i="2"/>
  <c r="F56" i="2"/>
  <c r="P1836" i="2"/>
  <c r="G1137" i="2"/>
  <c r="D615" i="2"/>
  <c r="T2672" i="2"/>
  <c r="K654" i="2"/>
  <c r="M749" i="2"/>
  <c r="P881" i="2"/>
  <c r="N1178" i="2"/>
  <c r="W45" i="2"/>
  <c r="H2565" i="2"/>
  <c r="Q524" i="2"/>
  <c r="V1246" i="2"/>
  <c r="K669" i="2"/>
  <c r="C257" i="2"/>
  <c r="R370" i="2"/>
  <c r="J503" i="2"/>
  <c r="F1637" i="2"/>
  <c r="H969" i="2"/>
  <c r="T793" i="2"/>
  <c r="E114" i="2"/>
  <c r="F658" i="2"/>
  <c r="O974" i="2"/>
  <c r="J1283" i="2"/>
  <c r="I2096" i="2"/>
  <c r="O2477" i="2"/>
  <c r="Q449" i="2"/>
  <c r="E376" i="2"/>
  <c r="Q1642" i="2"/>
  <c r="C2012" i="2"/>
  <c r="R1113" i="2"/>
  <c r="M1283" i="2"/>
  <c r="U1957" i="2"/>
  <c r="W2692" i="2"/>
  <c r="M142" i="2"/>
  <c r="P1428" i="2"/>
  <c r="U1647" i="2"/>
  <c r="U1275" i="2"/>
  <c r="C608" i="2"/>
  <c r="T214" i="2"/>
  <c r="N1079" i="2"/>
  <c r="I2690" i="2"/>
  <c r="I2158" i="2"/>
  <c r="M247" i="2"/>
  <c r="E288" i="2"/>
  <c r="F821" i="2"/>
  <c r="M402" i="2"/>
  <c r="G2764" i="2"/>
  <c r="M1062" i="2"/>
  <c r="J1942" i="2"/>
  <c r="U924" i="2"/>
  <c r="R293" i="2"/>
  <c r="W60" i="2"/>
  <c r="U132" i="2"/>
  <c r="W1081" i="2"/>
  <c r="I300" i="2"/>
  <c r="J2537" i="2"/>
  <c r="G2914" i="2"/>
  <c r="N2085" i="2"/>
  <c r="W1070" i="2"/>
  <c r="S2299" i="2"/>
  <c r="F2754" i="2"/>
  <c r="R377" i="2"/>
  <c r="R1465" i="2"/>
  <c r="U86" i="2"/>
  <c r="L747" i="2"/>
  <c r="M2380" i="2"/>
  <c r="E294" i="2"/>
  <c r="T563" i="2"/>
  <c r="R959" i="2"/>
  <c r="O431" i="2"/>
  <c r="O660" i="2"/>
  <c r="E1121" i="2"/>
  <c r="G1891" i="2"/>
  <c r="R2114" i="2"/>
  <c r="E350" i="2"/>
  <c r="L1982" i="2"/>
  <c r="K1603" i="2"/>
  <c r="R1164" i="2"/>
  <c r="J542" i="2"/>
  <c r="V85" i="2"/>
  <c r="S6" i="2"/>
  <c r="W1104" i="2"/>
  <c r="U4" i="2"/>
  <c r="G1027" i="2"/>
  <c r="L86" i="2"/>
  <c r="W1493" i="2"/>
  <c r="H1124" i="2"/>
  <c r="P187" i="2"/>
  <c r="M2043" i="2"/>
  <c r="C725" i="2"/>
  <c r="C351" i="2"/>
  <c r="M1338" i="2"/>
  <c r="F2445" i="2"/>
  <c r="L2459" i="2"/>
  <c r="D1345" i="2"/>
  <c r="H2102" i="2"/>
  <c r="J386" i="2"/>
  <c r="T615" i="2"/>
  <c r="H437" i="2"/>
  <c r="D299" i="2"/>
  <c r="C986" i="2"/>
  <c r="C183" i="2"/>
  <c r="C616" i="2"/>
  <c r="S2067" i="2"/>
  <c r="T1187" i="2"/>
  <c r="I1939" i="2"/>
  <c r="V1686" i="2"/>
  <c r="G2584" i="2"/>
  <c r="N1323" i="2"/>
  <c r="E3030" i="2"/>
  <c r="U617" i="2"/>
  <c r="K1182" i="2"/>
  <c r="P1229" i="2"/>
  <c r="L1489" i="2"/>
  <c r="J141" i="2"/>
  <c r="W2362" i="2"/>
  <c r="T2016" i="2"/>
  <c r="C745" i="2"/>
  <c r="G899" i="2"/>
  <c r="C61" i="2"/>
  <c r="H1944" i="2"/>
  <c r="J305" i="2"/>
  <c r="I213" i="2"/>
  <c r="M1085" i="2"/>
  <c r="J666" i="2"/>
  <c r="D1788" i="2"/>
  <c r="L820" i="2"/>
  <c r="C760" i="2"/>
  <c r="F113" i="2"/>
  <c r="Q759" i="2"/>
  <c r="C894" i="2"/>
  <c r="T2045" i="2"/>
  <c r="J1597" i="2"/>
  <c r="E839" i="2"/>
  <c r="L1241" i="2"/>
  <c r="F226" i="2"/>
  <c r="N655" i="2"/>
  <c r="J2164" i="2"/>
  <c r="J1823" i="2"/>
  <c r="M522" i="2"/>
  <c r="P1987" i="2"/>
  <c r="E2014" i="2"/>
  <c r="O2617" i="2"/>
  <c r="D2428" i="2"/>
  <c r="R582" i="2"/>
  <c r="H817" i="2"/>
  <c r="K190" i="2"/>
  <c r="I961" i="2"/>
  <c r="U422" i="2"/>
  <c r="W2111" i="2"/>
  <c r="S953" i="2"/>
  <c r="I1090" i="2"/>
  <c r="O1063" i="2"/>
  <c r="H151" i="2"/>
  <c r="V1912" i="2"/>
  <c r="N749" i="2"/>
  <c r="L1695" i="2"/>
  <c r="M423" i="2"/>
  <c r="P711" i="2"/>
  <c r="S1153" i="2"/>
  <c r="Q1604" i="2"/>
  <c r="T451" i="2"/>
  <c r="E39" i="2"/>
  <c r="Q1473" i="2"/>
  <c r="U1389" i="2"/>
  <c r="P1832" i="2"/>
  <c r="G2651" i="2"/>
  <c r="E1309" i="2"/>
  <c r="V1395" i="2"/>
  <c r="W131" i="2"/>
  <c r="K819" i="2"/>
  <c r="E327" i="2"/>
  <c r="U1756" i="2"/>
  <c r="C1523" i="2"/>
  <c r="F1708" i="2"/>
  <c r="T2814" i="2"/>
  <c r="D2160" i="2"/>
  <c r="D388" i="2"/>
  <c r="M1782" i="2"/>
  <c r="K292" i="2"/>
  <c r="T628" i="2"/>
  <c r="M2979" i="2"/>
  <c r="M768" i="2"/>
  <c r="H850" i="2"/>
  <c r="R387" i="2"/>
  <c r="M1384" i="2"/>
  <c r="Q2225" i="2"/>
  <c r="I2394" i="2"/>
  <c r="E595" i="2"/>
  <c r="D2022" i="2"/>
  <c r="C660" i="2"/>
  <c r="O833" i="2"/>
  <c r="L161" i="2"/>
  <c r="G1794" i="2"/>
  <c r="V314" i="2"/>
  <c r="L590" i="2"/>
  <c r="G68" i="2"/>
  <c r="D1915" i="2"/>
  <c r="F367" i="2"/>
  <c r="M244" i="2"/>
  <c r="E1211" i="2"/>
  <c r="D720" i="2"/>
  <c r="U2197" i="2"/>
  <c r="P2293" i="2"/>
  <c r="S738" i="2"/>
  <c r="F776" i="2"/>
  <c r="V1394" i="2"/>
  <c r="W496" i="2"/>
  <c r="M595" i="2"/>
  <c r="J1701" i="2"/>
  <c r="M1211" i="2"/>
  <c r="K661" i="2"/>
  <c r="K1295" i="2"/>
  <c r="T88" i="2"/>
  <c r="H1172" i="2"/>
  <c r="W912" i="2"/>
  <c r="P1796" i="2"/>
  <c r="L405" i="2"/>
  <c r="F961" i="2"/>
  <c r="G1240" i="2"/>
  <c r="P2699" i="2"/>
  <c r="Q188" i="2"/>
  <c r="J2124" i="2"/>
  <c r="N65" i="2"/>
  <c r="S1065" i="2"/>
  <c r="D2223" i="2"/>
  <c r="K1581" i="2"/>
  <c r="I2146" i="2"/>
  <c r="H1463" i="2"/>
  <c r="S1637" i="2"/>
  <c r="J1285" i="2"/>
  <c r="D2121" i="2"/>
  <c r="P984" i="2"/>
  <c r="S1526" i="2"/>
  <c r="V904" i="2"/>
  <c r="C2190" i="2"/>
  <c r="H1840" i="2"/>
  <c r="V253" i="2"/>
  <c r="Q25" i="2"/>
  <c r="P1867" i="2"/>
  <c r="M184" i="2"/>
  <c r="D1048" i="2"/>
  <c r="M1545" i="2"/>
  <c r="I457" i="2"/>
  <c r="R556" i="2"/>
  <c r="N762" i="2"/>
  <c r="V598" i="2"/>
  <c r="C3148" i="2"/>
  <c r="J153" i="2"/>
  <c r="U926" i="2"/>
  <c r="H222" i="2"/>
  <c r="S2147" i="2"/>
  <c r="J787" i="2"/>
  <c r="J934" i="2"/>
  <c r="T801" i="2"/>
  <c r="U1779" i="2"/>
  <c r="D2127" i="2"/>
  <c r="C2299" i="2"/>
  <c r="U2129" i="2"/>
  <c r="G284" i="2"/>
  <c r="R1512" i="2"/>
  <c r="D2437" i="2"/>
  <c r="P1802" i="2"/>
  <c r="O1855" i="2"/>
  <c r="W1179" i="2"/>
  <c r="O3019" i="2"/>
  <c r="I1818" i="2"/>
  <c r="R631" i="2"/>
  <c r="U481" i="2"/>
  <c r="W2325" i="2"/>
  <c r="P220" i="2"/>
  <c r="O1111" i="2"/>
  <c r="I2162" i="2"/>
  <c r="J138" i="2"/>
  <c r="C2875" i="2"/>
  <c r="U618" i="2"/>
  <c r="U2607" i="2"/>
  <c r="I81" i="2"/>
  <c r="M1289" i="2"/>
  <c r="I998" i="2"/>
  <c r="Q1785" i="2"/>
  <c r="F1019" i="2"/>
  <c r="S839" i="2"/>
  <c r="D599" i="2"/>
  <c r="G468" i="2"/>
  <c r="C240" i="2"/>
  <c r="C1531" i="2"/>
  <c r="H1412" i="2"/>
  <c r="L2628" i="2"/>
  <c r="H788" i="2"/>
  <c r="L330" i="2"/>
  <c r="N554" i="2"/>
  <c r="Q856" i="2"/>
  <c r="U2365" i="2"/>
  <c r="D2420" i="2"/>
  <c r="C1927" i="2"/>
  <c r="T707" i="2"/>
  <c r="C933" i="2"/>
  <c r="N1743" i="2"/>
  <c r="J303" i="2"/>
  <c r="M2047" i="2"/>
  <c r="P2411" i="2"/>
  <c r="K2718" i="2"/>
  <c r="P1088" i="2"/>
  <c r="F759" i="2"/>
  <c r="V170" i="2"/>
  <c r="Q2732" i="2"/>
  <c r="J476" i="2"/>
  <c r="Q1292" i="2"/>
  <c r="F338" i="2"/>
  <c r="G928" i="2"/>
  <c r="S539" i="2"/>
  <c r="L901" i="2"/>
  <c r="P1163" i="2"/>
  <c r="I1388" i="2"/>
  <c r="E2444" i="2"/>
  <c r="M2838" i="2"/>
  <c r="V1207" i="2"/>
  <c r="P755" i="2"/>
  <c r="E466" i="2"/>
  <c r="V898" i="2"/>
  <c r="G1842" i="2"/>
  <c r="L2673" i="2"/>
  <c r="G2564" i="2"/>
  <c r="E484" i="2"/>
  <c r="K2146" i="2"/>
  <c r="V1249" i="2"/>
  <c r="Q9" i="2"/>
  <c r="L658" i="2"/>
  <c r="M1170" i="2"/>
  <c r="N2649" i="2"/>
  <c r="I2358" i="2"/>
  <c r="K422" i="2"/>
  <c r="G1368" i="2"/>
  <c r="F2050" i="2"/>
  <c r="L1540" i="2"/>
  <c r="M525" i="2"/>
  <c r="K1537" i="2"/>
  <c r="E2021" i="2"/>
  <c r="E1669" i="2"/>
  <c r="M2260" i="2"/>
  <c r="E1694" i="2"/>
  <c r="O2648" i="2"/>
  <c r="P99" i="2"/>
  <c r="G2532" i="2"/>
  <c r="I2302" i="2"/>
  <c r="S550" i="2"/>
  <c r="J1226" i="2"/>
  <c r="N771" i="2"/>
  <c r="N579" i="2"/>
  <c r="J799" i="2"/>
  <c r="I3254" i="2"/>
  <c r="Q680" i="2"/>
  <c r="S1632" i="2"/>
  <c r="H2814" i="2"/>
  <c r="J1120" i="2"/>
  <c r="S683" i="2"/>
  <c r="M1031" i="2"/>
  <c r="E2449" i="2"/>
  <c r="C273" i="2"/>
  <c r="T1324" i="2"/>
  <c r="T940" i="2"/>
  <c r="I800" i="2"/>
  <c r="L989" i="2"/>
  <c r="R537" i="2"/>
  <c r="I2017" i="2"/>
  <c r="E891" i="2"/>
  <c r="F495" i="2"/>
  <c r="S292" i="2"/>
  <c r="D1482" i="2"/>
  <c r="E851" i="2"/>
  <c r="M612" i="2"/>
  <c r="J775" i="2"/>
  <c r="Q1676" i="2"/>
  <c r="E127" i="2"/>
  <c r="O1085" i="2"/>
  <c r="C2328" i="2"/>
  <c r="C255" i="2"/>
  <c r="H1968" i="2"/>
  <c r="G318" i="2"/>
  <c r="U1470" i="2"/>
  <c r="C1275" i="2"/>
  <c r="T1529" i="2"/>
  <c r="E1972" i="2"/>
  <c r="R608" i="2"/>
  <c r="E3140" i="2"/>
  <c r="O1402" i="2"/>
  <c r="U2518" i="2"/>
  <c r="M986" i="2"/>
  <c r="G108" i="2"/>
  <c r="S285" i="2"/>
  <c r="L1407" i="2"/>
  <c r="K179" i="2"/>
  <c r="J513" i="2"/>
  <c r="E759" i="2"/>
  <c r="U1086" i="2"/>
  <c r="D2415" i="2"/>
  <c r="J1312" i="2"/>
  <c r="S2412" i="2"/>
  <c r="O553" i="2"/>
  <c r="K1418" i="2"/>
  <c r="P726" i="2"/>
  <c r="M291" i="2"/>
  <c r="F1244" i="2"/>
  <c r="D330" i="2"/>
  <c r="H1883" i="2"/>
  <c r="S320" i="2"/>
  <c r="Q2202" i="2"/>
  <c r="V1873" i="2"/>
  <c r="P1599" i="2"/>
  <c r="G412" i="2"/>
  <c r="F333" i="2"/>
  <c r="H2535" i="2"/>
  <c r="G1521" i="2"/>
  <c r="M1761" i="2"/>
  <c r="V426" i="2"/>
  <c r="W149" i="2"/>
  <c r="H1001" i="2"/>
  <c r="F1994" i="2"/>
  <c r="U171" i="2"/>
  <c r="R277" i="2"/>
  <c r="K185" i="2"/>
  <c r="O2154" i="2"/>
  <c r="G2246" i="2"/>
  <c r="N1498" i="2"/>
  <c r="C2148" i="2"/>
  <c r="C672" i="2"/>
  <c r="I1657" i="2"/>
  <c r="J1875" i="2"/>
  <c r="G2299" i="2"/>
  <c r="D527" i="2"/>
  <c r="M32" i="2"/>
  <c r="N64" i="2"/>
  <c r="U1525" i="2"/>
  <c r="I2826" i="2"/>
  <c r="K2317" i="2"/>
  <c r="E2987" i="2"/>
  <c r="C87" i="2"/>
  <c r="E67" i="2"/>
  <c r="Q221" i="2"/>
  <c r="Q2535" i="2"/>
  <c r="F1753" i="2"/>
  <c r="T1499" i="2"/>
  <c r="P714" i="2"/>
  <c r="V1046" i="2"/>
  <c r="M1794" i="2"/>
  <c r="M881" i="2"/>
  <c r="J690" i="2"/>
  <c r="I2050" i="2"/>
  <c r="H935" i="2"/>
  <c r="V1641" i="2"/>
  <c r="U1974" i="2"/>
  <c r="U668" i="2"/>
  <c r="S1744" i="2"/>
  <c r="R375" i="2"/>
  <c r="Q2289" i="2"/>
  <c r="H1598" i="2"/>
  <c r="R648" i="2"/>
  <c r="Q2067" i="2"/>
  <c r="L1851" i="2"/>
  <c r="Q1046" i="2"/>
  <c r="T273" i="2"/>
  <c r="N1334" i="2"/>
  <c r="I187" i="2"/>
  <c r="W1206" i="2"/>
  <c r="F2154" i="2"/>
  <c r="S609" i="2"/>
  <c r="N442" i="2"/>
  <c r="J1886" i="2"/>
  <c r="F1438" i="2"/>
  <c r="S1373" i="2"/>
  <c r="S1835" i="2"/>
  <c r="O1584" i="2"/>
  <c r="D2235" i="2"/>
  <c r="S1378" i="2"/>
  <c r="G1474" i="2"/>
  <c r="C1827" i="2"/>
  <c r="S2638" i="2"/>
  <c r="O1743" i="2"/>
  <c r="R1381" i="2"/>
  <c r="R2109" i="2"/>
  <c r="R882" i="2"/>
  <c r="D1125" i="2"/>
  <c r="I1456" i="2"/>
  <c r="V1119" i="2"/>
  <c r="P3097" i="2"/>
  <c r="D1075" i="2"/>
  <c r="F2098" i="2"/>
  <c r="R1185" i="2"/>
  <c r="C2870" i="2"/>
  <c r="V1996" i="2"/>
  <c r="U1603" i="2"/>
  <c r="J1075" i="2"/>
  <c r="C177" i="2"/>
  <c r="R2101" i="2"/>
  <c r="N1514" i="2"/>
  <c r="W1837" i="2"/>
  <c r="H178" i="2"/>
  <c r="U1181" i="2"/>
  <c r="Q1901" i="2"/>
  <c r="N1183" i="2"/>
  <c r="V1440" i="2"/>
  <c r="F1321" i="2"/>
  <c r="S8" i="2"/>
  <c r="G1443" i="2"/>
  <c r="J878" i="2"/>
  <c r="N573" i="2"/>
  <c r="N652" i="2"/>
  <c r="I1217" i="2"/>
  <c r="P977" i="2"/>
  <c r="O1781" i="2"/>
  <c r="O1620" i="2"/>
  <c r="I103" i="2"/>
  <c r="U2946" i="2"/>
  <c r="U1653" i="2"/>
  <c r="C1018" i="2"/>
  <c r="Q1119" i="2"/>
  <c r="C2200" i="2"/>
  <c r="I1353" i="2"/>
  <c r="W1819" i="2"/>
  <c r="P589" i="2"/>
  <c r="U1814" i="2"/>
  <c r="K1657" i="2"/>
  <c r="P1756" i="2"/>
  <c r="H2583" i="2"/>
  <c r="F2163" i="2"/>
  <c r="S1750" i="2"/>
  <c r="Q831" i="2"/>
  <c r="L1055" i="2"/>
  <c r="O1242" i="2"/>
  <c r="R1186" i="2"/>
  <c r="P2436" i="2"/>
  <c r="G43" i="2"/>
  <c r="P747" i="2"/>
  <c r="Q1122" i="2"/>
  <c r="K1928" i="2"/>
  <c r="N1778" i="2"/>
  <c r="I1688" i="2"/>
  <c r="F526" i="2"/>
  <c r="S40" i="2"/>
  <c r="K18" i="2"/>
  <c r="N2140" i="2"/>
  <c r="P2540" i="2"/>
  <c r="E146" i="2"/>
  <c r="P65" i="2"/>
  <c r="V1564" i="2"/>
  <c r="H1388" i="2"/>
  <c r="I1600" i="2"/>
  <c r="F75" i="2"/>
  <c r="J533" i="2"/>
  <c r="M279" i="2"/>
  <c r="P887" i="2"/>
  <c r="O938" i="2"/>
  <c r="N103" i="2"/>
  <c r="D2619" i="2"/>
  <c r="M1552" i="2"/>
  <c r="D1164" i="2"/>
  <c r="F298" i="2"/>
  <c r="F253" i="2"/>
  <c r="V2420" i="2"/>
  <c r="Q1231" i="2"/>
  <c r="P2016" i="2"/>
  <c r="U1237" i="2"/>
  <c r="K1742" i="2"/>
  <c r="H3268" i="2"/>
  <c r="S2204" i="2"/>
  <c r="G218" i="2"/>
  <c r="Q1233" i="2"/>
  <c r="W56" i="2"/>
  <c r="J2523" i="2"/>
  <c r="L701" i="2"/>
  <c r="H1265" i="2"/>
  <c r="H1799" i="2"/>
  <c r="W970" i="2"/>
  <c r="Q2324" i="2"/>
  <c r="R682" i="2"/>
  <c r="D2529" i="2"/>
  <c r="R2450" i="2"/>
  <c r="W2157" i="2"/>
  <c r="N1930" i="2"/>
  <c r="C2325" i="2"/>
  <c r="J2853" i="2"/>
  <c r="C703" i="2"/>
  <c r="K802" i="2"/>
  <c r="S2290" i="2"/>
  <c r="Q1947" i="2"/>
  <c r="G206" i="2"/>
  <c r="N2406" i="2"/>
  <c r="K2038" i="2"/>
  <c r="V1302" i="2"/>
  <c r="V2122" i="2"/>
  <c r="K658" i="2"/>
  <c r="U350" i="2"/>
  <c r="G2030" i="2"/>
  <c r="D1696" i="2"/>
  <c r="T947" i="2"/>
  <c r="W1533" i="2"/>
  <c r="R70" i="2"/>
  <c r="M40" i="2"/>
  <c r="G991" i="2"/>
  <c r="T174" i="2"/>
  <c r="N3166" i="2"/>
  <c r="M101" i="2"/>
  <c r="D1861" i="2"/>
  <c r="O819" i="2"/>
  <c r="H1368" i="2"/>
  <c r="F1721" i="2"/>
  <c r="D288" i="2"/>
  <c r="M1363" i="2"/>
  <c r="F893" i="2"/>
  <c r="D2710" i="2"/>
  <c r="K935" i="2"/>
  <c r="Q297" i="2"/>
  <c r="T806" i="2"/>
  <c r="Q671" i="2"/>
  <c r="V20" i="2"/>
  <c r="O1305" i="2"/>
  <c r="J1943" i="2"/>
  <c r="T1358" i="2"/>
  <c r="I2628" i="2"/>
  <c r="W1630" i="2"/>
  <c r="V1307" i="2"/>
  <c r="P872" i="2"/>
  <c r="O581" i="2"/>
  <c r="O889" i="2"/>
  <c r="I1605" i="2"/>
  <c r="K1656" i="2"/>
  <c r="S588" i="2"/>
  <c r="N255" i="2"/>
  <c r="K1801" i="2"/>
  <c r="I1133" i="2"/>
  <c r="T355" i="2"/>
  <c r="G58" i="2"/>
  <c r="W1921" i="2"/>
  <c r="M349" i="2"/>
  <c r="E155" i="2"/>
  <c r="J96" i="2"/>
  <c r="Q1117" i="2"/>
  <c r="C487" i="2"/>
  <c r="P2858" i="2"/>
  <c r="K1746" i="2"/>
  <c r="M700" i="2"/>
  <c r="U1772" i="2"/>
  <c r="G617" i="2"/>
  <c r="G1707" i="2"/>
  <c r="O2908" i="2"/>
  <c r="F2740" i="2"/>
  <c r="C3070" i="2"/>
  <c r="N78" i="2"/>
  <c r="F259" i="2"/>
  <c r="E1244" i="2"/>
  <c r="C2187" i="2"/>
  <c r="W9" i="2"/>
  <c r="K184" i="2"/>
  <c r="S298" i="2"/>
  <c r="P2206" i="2"/>
  <c r="V646" i="2"/>
  <c r="N2206" i="2"/>
  <c r="O1171" i="2"/>
  <c r="K2290" i="2"/>
  <c r="P126" i="2"/>
  <c r="D1538" i="2"/>
  <c r="O110" i="2"/>
  <c r="T383" i="2"/>
  <c r="U273" i="2"/>
  <c r="T1217" i="2"/>
  <c r="E507" i="2"/>
  <c r="D1791" i="2"/>
  <c r="R1869" i="2"/>
  <c r="L450" i="2"/>
  <c r="J1503" i="2"/>
  <c r="O2766" i="2"/>
  <c r="H1682" i="2"/>
  <c r="F1076" i="2"/>
  <c r="K344" i="2"/>
  <c r="T1935" i="2"/>
  <c r="S205" i="2"/>
  <c r="M934" i="2"/>
  <c r="K470" i="2"/>
  <c r="I1601" i="2"/>
  <c r="P753" i="2"/>
  <c r="W2744" i="2"/>
  <c r="J2417" i="2"/>
  <c r="S1522" i="2"/>
  <c r="L895" i="2"/>
  <c r="M1726" i="2"/>
  <c r="N1900" i="2"/>
  <c r="E799" i="2"/>
  <c r="I620" i="2"/>
  <c r="O871" i="2"/>
  <c r="Q1967" i="2"/>
  <c r="K757" i="2"/>
  <c r="U2358" i="2"/>
  <c r="W115" i="2"/>
  <c r="K905" i="2"/>
  <c r="W985" i="2"/>
  <c r="J829" i="2"/>
  <c r="U1856" i="2"/>
  <c r="T149" i="2"/>
  <c r="W108" i="2"/>
  <c r="N2108" i="2"/>
  <c r="G1524" i="2"/>
  <c r="O2559" i="2"/>
  <c r="U2011" i="2"/>
  <c r="Q1933" i="2"/>
  <c r="J911" i="2"/>
  <c r="D1016" i="2"/>
  <c r="G625" i="2"/>
  <c r="L337" i="2"/>
  <c r="L1276" i="2"/>
  <c r="D1516" i="2"/>
  <c r="O762" i="2"/>
  <c r="W1646" i="2"/>
  <c r="J1887" i="2"/>
  <c r="Q35" i="2"/>
  <c r="I512" i="2"/>
  <c r="F2703" i="2"/>
  <c r="L1375" i="2"/>
  <c r="T1540" i="2"/>
  <c r="W2361" i="2"/>
  <c r="T869" i="2"/>
  <c r="E1775" i="2"/>
  <c r="E708" i="2"/>
  <c r="S2264" i="2"/>
  <c r="D2294" i="2"/>
  <c r="G1477" i="2"/>
  <c r="H948" i="2"/>
  <c r="C2723" i="2"/>
  <c r="I2306" i="2"/>
  <c r="O2160" i="2"/>
  <c r="G707" i="2"/>
  <c r="W2464" i="2"/>
  <c r="C3043" i="2"/>
  <c r="K1361" i="2"/>
  <c r="E129" i="2"/>
  <c r="G1065" i="2"/>
  <c r="S1769" i="2"/>
  <c r="U728" i="2"/>
  <c r="G152" i="2"/>
  <c r="W367" i="2"/>
  <c r="I1076" i="2"/>
  <c r="U532" i="2"/>
  <c r="D1597" i="2"/>
  <c r="C2798" i="2"/>
  <c r="T1008" i="2"/>
  <c r="W1298" i="2"/>
  <c r="F36" i="2"/>
  <c r="R1752" i="2"/>
  <c r="J2016" i="2"/>
  <c r="G2112" i="2"/>
  <c r="M324" i="2"/>
  <c r="H1530" i="2"/>
  <c r="N3019" i="2"/>
  <c r="K1547" i="2"/>
  <c r="R785" i="2"/>
  <c r="L1844" i="2"/>
  <c r="L845" i="2"/>
  <c r="I2234" i="2"/>
  <c r="W1652" i="2"/>
  <c r="O1450" i="2"/>
  <c r="D2130" i="2"/>
  <c r="R2370" i="2"/>
  <c r="C1228" i="2"/>
  <c r="N2171" i="2"/>
  <c r="K2178" i="2"/>
  <c r="T1781" i="2"/>
  <c r="W36" i="2"/>
  <c r="E2927" i="2"/>
  <c r="T110" i="2"/>
  <c r="S1782" i="2"/>
  <c r="W1721" i="2"/>
  <c r="V1221" i="2"/>
  <c r="N2422" i="2"/>
  <c r="N2305" i="2"/>
  <c r="D664" i="2"/>
  <c r="Q1965" i="2"/>
  <c r="J57" i="2"/>
  <c r="T505" i="2"/>
  <c r="N2180" i="2"/>
  <c r="C447" i="2"/>
  <c r="L396" i="2"/>
  <c r="L2411" i="2"/>
  <c r="G2683" i="2"/>
  <c r="R2290" i="2"/>
  <c r="T1090" i="2"/>
  <c r="O906" i="2"/>
  <c r="Q220" i="2"/>
  <c r="O598" i="2"/>
  <c r="W2633" i="2"/>
  <c r="J2511" i="2"/>
  <c r="Q2182" i="2"/>
  <c r="H231" i="2"/>
  <c r="J1593" i="2"/>
  <c r="I918" i="2"/>
  <c r="F1924" i="2"/>
  <c r="E1839" i="2"/>
  <c r="P2787" i="2"/>
  <c r="J2476" i="2"/>
  <c r="R2639" i="2"/>
  <c r="T2142" i="2"/>
  <c r="G563" i="2"/>
  <c r="U713" i="2"/>
  <c r="C337" i="2"/>
  <c r="I811" i="2"/>
  <c r="L1871" i="2"/>
  <c r="D1939" i="2"/>
  <c r="D1438" i="2"/>
  <c r="H1571" i="2"/>
  <c r="V3123" i="2"/>
  <c r="M1623" i="2"/>
  <c r="K1166" i="2"/>
  <c r="G847" i="2"/>
  <c r="T1054" i="2"/>
  <c r="C1414" i="2"/>
  <c r="R1111" i="2"/>
  <c r="I2265" i="2"/>
  <c r="P449" i="2"/>
  <c r="P683" i="2"/>
  <c r="F1763" i="2"/>
  <c r="C591" i="2"/>
  <c r="G2807" i="2"/>
  <c r="R863" i="2"/>
  <c r="J3020" i="2"/>
  <c r="H1110" i="2"/>
  <c r="I1321" i="2"/>
  <c r="F215" i="2"/>
  <c r="P3295" i="2"/>
  <c r="T2414" i="2"/>
  <c r="G2864" i="2"/>
  <c r="C746" i="2"/>
  <c r="H595" i="2"/>
  <c r="L1514" i="2"/>
  <c r="E2337" i="2"/>
  <c r="C196" i="2"/>
  <c r="I1790" i="2"/>
  <c r="Q2504" i="2"/>
  <c r="P1968" i="2"/>
  <c r="G299" i="2"/>
  <c r="U979" i="2"/>
  <c r="Q750" i="2"/>
  <c r="R181" i="2"/>
  <c r="K779" i="2"/>
  <c r="O1890" i="2"/>
  <c r="Q359" i="2"/>
  <c r="E2534" i="2"/>
  <c r="E80" i="2"/>
  <c r="V1502" i="2"/>
  <c r="Q305" i="2"/>
  <c r="W1324" i="2"/>
  <c r="I1271" i="2"/>
  <c r="R2154" i="2"/>
  <c r="O1086" i="2"/>
  <c r="D684" i="2"/>
  <c r="H543" i="2"/>
  <c r="V1954" i="2"/>
  <c r="V1056" i="2"/>
  <c r="R1583" i="2"/>
  <c r="W218" i="2"/>
  <c r="C944" i="2"/>
  <c r="P470" i="2"/>
  <c r="P121" i="2"/>
  <c r="N923" i="2"/>
  <c r="R739" i="2"/>
  <c r="V2636" i="2"/>
  <c r="U185" i="2"/>
  <c r="W2515" i="2"/>
  <c r="O1323" i="2"/>
  <c r="P2908" i="2"/>
  <c r="T558" i="2"/>
  <c r="H1267" i="2"/>
  <c r="E1553" i="2"/>
  <c r="S646" i="2"/>
  <c r="Q659" i="2"/>
  <c r="M444" i="2"/>
  <c r="E2779" i="2"/>
  <c r="M1259" i="2"/>
  <c r="U394" i="2"/>
  <c r="U1580" i="2"/>
  <c r="I2744" i="2"/>
  <c r="Q343" i="2"/>
  <c r="O261" i="2"/>
  <c r="O1633" i="2"/>
  <c r="J140" i="2"/>
  <c r="M229" i="2"/>
  <c r="D777" i="2"/>
  <c r="M1532" i="2"/>
  <c r="T1817" i="2"/>
  <c r="T32" i="2"/>
  <c r="I502" i="2"/>
  <c r="N996" i="2"/>
  <c r="W2487" i="2"/>
  <c r="D1909" i="2"/>
  <c r="T2128" i="2"/>
  <c r="R234" i="2"/>
  <c r="P937" i="2"/>
  <c r="G1105" i="2"/>
  <c r="W2577" i="2"/>
  <c r="V458" i="2"/>
  <c r="M1008" i="2"/>
  <c r="H2317" i="2"/>
  <c r="Q2107" i="2"/>
  <c r="L1113" i="2"/>
  <c r="W1826" i="2"/>
  <c r="Q1409" i="2"/>
  <c r="R1298" i="2"/>
  <c r="W1107" i="2"/>
  <c r="G69" i="2"/>
  <c r="D2371" i="2"/>
  <c r="M1133" i="2"/>
  <c r="L1006" i="2"/>
  <c r="N2456" i="2"/>
  <c r="F1699" i="2"/>
  <c r="N965" i="2"/>
  <c r="T1682" i="2"/>
  <c r="R1068" i="2"/>
  <c r="J831" i="2"/>
  <c r="P730" i="2"/>
  <c r="M243" i="2"/>
  <c r="E1596" i="2"/>
  <c r="C2566" i="2"/>
  <c r="H1454" i="2"/>
  <c r="M189" i="2"/>
  <c r="W2748" i="2"/>
  <c r="S1329" i="2"/>
  <c r="C2020" i="2"/>
  <c r="L635" i="2"/>
  <c r="O2301" i="2"/>
  <c r="K596" i="2"/>
  <c r="U2757" i="2"/>
  <c r="N2356" i="2"/>
  <c r="S1094" i="2"/>
  <c r="K636" i="2"/>
  <c r="H1896" i="2"/>
  <c r="M1577" i="2"/>
  <c r="Q1084" i="2"/>
  <c r="Q2796" i="2"/>
  <c r="I1058" i="2"/>
  <c r="K957" i="2"/>
  <c r="E1325" i="2"/>
  <c r="G1973" i="2"/>
  <c r="Q491" i="2"/>
  <c r="V2919" i="2"/>
  <c r="M1754" i="2"/>
  <c r="W1001" i="2"/>
  <c r="S2443" i="2"/>
  <c r="J222" i="2"/>
  <c r="J1693" i="2"/>
  <c r="V388" i="2"/>
  <c r="R1072" i="2"/>
  <c r="M1521" i="2"/>
  <c r="U28" i="2"/>
  <c r="U2297" i="2"/>
  <c r="M1252" i="2"/>
  <c r="J717" i="2"/>
  <c r="W1065" i="2"/>
  <c r="F309" i="2"/>
  <c r="G721" i="2"/>
  <c r="W506" i="2"/>
  <c r="I347" i="2"/>
  <c r="I317" i="2"/>
  <c r="I624" i="2"/>
  <c r="L1024" i="2"/>
  <c r="T1494" i="2"/>
  <c r="N408" i="2"/>
  <c r="S424" i="2"/>
  <c r="U1690" i="2"/>
  <c r="I752" i="2"/>
  <c r="V286" i="2"/>
  <c r="T99" i="2"/>
  <c r="L936" i="2"/>
  <c r="N1276" i="2"/>
  <c r="Q348" i="2"/>
  <c r="P952" i="2"/>
  <c r="R3119" i="2"/>
  <c r="P979" i="2"/>
  <c r="F43" i="2"/>
  <c r="U27" i="2"/>
  <c r="E2027" i="2"/>
  <c r="U1440" i="2"/>
  <c r="U1032" i="2"/>
  <c r="K1143" i="2"/>
  <c r="F261" i="2"/>
  <c r="C801" i="2"/>
  <c r="V2257" i="2"/>
  <c r="U1383" i="2"/>
  <c r="R1001" i="2"/>
  <c r="S1183" i="2"/>
  <c r="D1740" i="2"/>
  <c r="J1346" i="2"/>
  <c r="O2623" i="2"/>
  <c r="S1790" i="2"/>
  <c r="S2545" i="2"/>
  <c r="L2212" i="2"/>
  <c r="C126" i="2"/>
  <c r="P262" i="2"/>
  <c r="M1261" i="2"/>
  <c r="Q866" i="2"/>
  <c r="L1495" i="2"/>
  <c r="V246" i="2"/>
  <c r="D1398" i="2"/>
  <c r="H1141" i="2"/>
  <c r="L2104" i="2"/>
  <c r="R2402" i="2"/>
  <c r="F64" i="2"/>
  <c r="M2275" i="2"/>
  <c r="C1996" i="2"/>
  <c r="R2136" i="2"/>
  <c r="U95" i="2"/>
  <c r="H1760" i="2"/>
  <c r="N891" i="2"/>
  <c r="U907" i="2"/>
  <c r="T492" i="2"/>
  <c r="G215" i="2"/>
  <c r="E2601" i="2"/>
  <c r="J1218" i="2"/>
  <c r="C726" i="2"/>
  <c r="F749" i="2"/>
  <c r="I450" i="2"/>
  <c r="K1391" i="2"/>
  <c r="C2537" i="2"/>
  <c r="G401" i="2"/>
  <c r="U1176" i="2"/>
  <c r="K10" i="2"/>
  <c r="D469" i="2"/>
  <c r="U1877" i="2"/>
  <c r="W1665" i="2"/>
  <c r="O317" i="2"/>
  <c r="H1358" i="2"/>
  <c r="L1007" i="2"/>
  <c r="J541" i="2"/>
  <c r="K139" i="2"/>
  <c r="K588" i="2"/>
  <c r="D1982" i="2"/>
  <c r="V448" i="2"/>
  <c r="K985" i="2"/>
  <c r="V87" i="2"/>
  <c r="I1738" i="2"/>
  <c r="T374" i="2"/>
  <c r="P705" i="2"/>
  <c r="P1023" i="2"/>
  <c r="T648" i="2"/>
  <c r="K2748" i="2"/>
  <c r="D101" i="2"/>
  <c r="H113" i="2"/>
  <c r="L1265" i="2"/>
  <c r="J2204" i="2"/>
  <c r="E2324" i="2"/>
  <c r="H681" i="2"/>
  <c r="K1232" i="2"/>
  <c r="O2298" i="2"/>
  <c r="H1487" i="2"/>
  <c r="L2374" i="2"/>
  <c r="M2726" i="2"/>
  <c r="E601" i="2"/>
  <c r="O1330" i="2"/>
  <c r="H88" i="2"/>
  <c r="S1343" i="2"/>
  <c r="G74" i="2"/>
  <c r="N1510" i="2"/>
  <c r="I2134" i="2"/>
  <c r="C486" i="2"/>
  <c r="K493" i="2"/>
  <c r="V3180" i="2"/>
  <c r="J2757" i="2"/>
  <c r="K2240" i="2"/>
  <c r="N564" i="2"/>
  <c r="S1984" i="2"/>
  <c r="D2851" i="2"/>
  <c r="E2552" i="2"/>
  <c r="U2312" i="2"/>
  <c r="T353" i="2"/>
  <c r="J653" i="2"/>
  <c r="S163" i="2"/>
  <c r="S671" i="2"/>
  <c r="G558" i="2"/>
  <c r="E390" i="2"/>
  <c r="O597" i="2"/>
  <c r="M37" i="2"/>
  <c r="H920" i="2"/>
  <c r="G1268" i="2"/>
  <c r="R163" i="2"/>
  <c r="G1899" i="2"/>
  <c r="F1855" i="2"/>
  <c r="O2116" i="2"/>
  <c r="T2445" i="2"/>
  <c r="K2357" i="2"/>
  <c r="L2542" i="2"/>
  <c r="P577" i="2"/>
  <c r="R265" i="2"/>
  <c r="Q280" i="2"/>
  <c r="M2567" i="2"/>
  <c r="Q2891" i="2"/>
  <c r="D390" i="2"/>
  <c r="Q2164" i="2"/>
  <c r="N1843" i="2"/>
  <c r="I3086" i="2"/>
  <c r="S1143" i="2"/>
  <c r="N3361" i="2"/>
  <c r="E211" i="2"/>
  <c r="Q660" i="2"/>
  <c r="V1898" i="2"/>
  <c r="N230" i="2"/>
  <c r="G2624" i="2"/>
  <c r="J1356" i="2"/>
  <c r="C173" i="2"/>
  <c r="Q2047" i="2"/>
  <c r="K1602" i="2"/>
  <c r="N1067" i="2"/>
  <c r="W279" i="2"/>
  <c r="M617" i="2"/>
  <c r="U1598" i="2"/>
  <c r="K2728" i="2"/>
  <c r="S2960" i="2"/>
  <c r="M3078" i="2"/>
  <c r="U56" i="2"/>
  <c r="W2568" i="2"/>
  <c r="N936" i="2"/>
  <c r="C815" i="2"/>
  <c r="I2245" i="2"/>
  <c r="I1308" i="2"/>
  <c r="N755" i="2"/>
  <c r="U723" i="2"/>
  <c r="R198" i="2"/>
  <c r="Q1559" i="2"/>
  <c r="P548" i="2"/>
  <c r="E83" i="2"/>
  <c r="U597" i="2"/>
  <c r="R2031" i="2"/>
  <c r="S2124" i="2"/>
  <c r="D132" i="2"/>
  <c r="G1073" i="2"/>
  <c r="J1838" i="2"/>
  <c r="S1967" i="2"/>
  <c r="W1295" i="2"/>
  <c r="R701" i="2"/>
  <c r="G566" i="2"/>
  <c r="D2001" i="2"/>
  <c r="S1438" i="2"/>
  <c r="I994" i="2"/>
  <c r="W1083" i="2"/>
  <c r="N997" i="2"/>
  <c r="Q967" i="2"/>
  <c r="L1262" i="2"/>
  <c r="U2603" i="2"/>
  <c r="O506" i="2"/>
  <c r="V2277" i="2"/>
  <c r="P2061" i="2"/>
  <c r="R96" i="2"/>
  <c r="G2762" i="2"/>
  <c r="R257" i="2"/>
  <c r="K2196" i="2"/>
  <c r="J1449" i="2"/>
  <c r="S1268" i="2"/>
  <c r="N2014" i="2"/>
  <c r="V2174" i="2"/>
  <c r="E1356" i="2"/>
  <c r="E2794" i="2"/>
  <c r="S2256" i="2"/>
  <c r="T2824" i="2"/>
  <c r="L1603" i="2"/>
  <c r="R974" i="2"/>
  <c r="E435" i="2"/>
  <c r="U1330" i="2"/>
  <c r="W1291" i="2"/>
  <c r="R22" i="2"/>
  <c r="D2178" i="2"/>
  <c r="E10" i="2"/>
  <c r="C874" i="2"/>
  <c r="S3009" i="2"/>
  <c r="D1064" i="2"/>
  <c r="H430" i="2"/>
  <c r="N101" i="2"/>
  <c r="M1799" i="2"/>
  <c r="C1091" i="2"/>
  <c r="W1192" i="2"/>
  <c r="E2060" i="2"/>
  <c r="G3067" i="2"/>
  <c r="N2100" i="2"/>
  <c r="D225" i="2"/>
  <c r="O2736" i="2"/>
  <c r="G2555" i="2"/>
  <c r="D2146" i="2"/>
  <c r="D2631" i="2"/>
  <c r="P2124" i="2"/>
  <c r="I173" i="2"/>
  <c r="M1212" i="2"/>
  <c r="Q241" i="2"/>
  <c r="W2453" i="2"/>
  <c r="P213" i="2"/>
  <c r="S535" i="2"/>
  <c r="U1501" i="2"/>
  <c r="I1360" i="2"/>
  <c r="H1843" i="2"/>
  <c r="W684" i="2"/>
  <c r="O427" i="2"/>
  <c r="L531" i="2"/>
  <c r="N735" i="2"/>
  <c r="S33" i="2"/>
  <c r="D1409" i="2"/>
  <c r="H1245" i="2"/>
  <c r="L388" i="2"/>
  <c r="M661" i="2"/>
  <c r="T308" i="2"/>
  <c r="I549" i="2"/>
  <c r="R624" i="2"/>
  <c r="T35" i="2"/>
  <c r="N1391" i="2"/>
  <c r="R546" i="2"/>
  <c r="O2812" i="2"/>
  <c r="N834" i="2"/>
  <c r="T222" i="2"/>
  <c r="C117" i="2"/>
  <c r="F742" i="2"/>
  <c r="I188" i="2"/>
  <c r="E93" i="2"/>
  <c r="D2150" i="2"/>
  <c r="U1209" i="2"/>
  <c r="K1283" i="2"/>
  <c r="C2089" i="2"/>
  <c r="Q1034" i="2"/>
  <c r="N213" i="2"/>
  <c r="V1164" i="2"/>
  <c r="T731" i="2"/>
  <c r="T2917" i="2"/>
  <c r="L448" i="2"/>
  <c r="T988" i="2"/>
  <c r="N1176" i="2"/>
  <c r="J2319" i="2"/>
  <c r="W1911" i="2"/>
  <c r="S2101" i="2"/>
  <c r="H2559" i="2"/>
  <c r="O2399" i="2"/>
  <c r="R92" i="2"/>
  <c r="E2664" i="2"/>
  <c r="S1221" i="2"/>
  <c r="C1686" i="2"/>
  <c r="L906" i="2"/>
  <c r="D2845" i="2"/>
  <c r="D504" i="2"/>
  <c r="G2254" i="2"/>
  <c r="K3319" i="2"/>
  <c r="M2199" i="2"/>
  <c r="G2666" i="2"/>
  <c r="I316" i="2"/>
  <c r="H1043" i="2"/>
  <c r="H1485" i="2"/>
  <c r="K1850" i="2"/>
  <c r="P1817" i="2"/>
  <c r="G297" i="2"/>
  <c r="D1997" i="2"/>
  <c r="L2265" i="2"/>
  <c r="W1459" i="2"/>
  <c r="H655" i="2"/>
  <c r="E84" i="2"/>
  <c r="U2091" i="2"/>
  <c r="C3028" i="2"/>
  <c r="L420" i="2"/>
  <c r="I779" i="2"/>
  <c r="J2036" i="2"/>
  <c r="I1565" i="2"/>
  <c r="R869" i="2"/>
  <c r="I2966" i="2"/>
  <c r="V512" i="2"/>
  <c r="O1371" i="2"/>
  <c r="K777" i="2"/>
  <c r="P441" i="2"/>
  <c r="K1442" i="2"/>
  <c r="F1243" i="2"/>
  <c r="W1700" i="2"/>
  <c r="N1724" i="2"/>
  <c r="M130" i="2"/>
  <c r="J216" i="2"/>
  <c r="H443" i="2"/>
  <c r="Q149" i="2"/>
  <c r="F634" i="2"/>
  <c r="I1893" i="2"/>
  <c r="Q2190" i="2"/>
  <c r="I76" i="2"/>
  <c r="M1222" i="2"/>
  <c r="S393" i="2"/>
  <c r="C1873" i="2"/>
  <c r="W1687" i="2"/>
  <c r="T1893" i="2"/>
  <c r="S273" i="2"/>
  <c r="O318" i="2"/>
  <c r="C1000" i="2"/>
  <c r="H1699" i="2"/>
  <c r="S1269" i="2"/>
  <c r="J1341" i="2"/>
  <c r="K803" i="2"/>
  <c r="N1014" i="2"/>
  <c r="E857" i="2"/>
  <c r="R811" i="2"/>
  <c r="G67" i="2"/>
  <c r="H1333" i="2"/>
  <c r="J231" i="2"/>
  <c r="R534" i="2"/>
  <c r="O275" i="2"/>
  <c r="J3427" i="2"/>
  <c r="R914" i="2"/>
  <c r="N462" i="2"/>
  <c r="E398" i="2"/>
  <c r="W1562" i="2"/>
  <c r="M774" i="2"/>
  <c r="F1400" i="2"/>
  <c r="N423" i="2"/>
  <c r="P2167" i="2"/>
  <c r="I382" i="2"/>
  <c r="G704" i="2"/>
  <c r="L2713" i="2"/>
  <c r="D649" i="2"/>
  <c r="C918" i="2"/>
  <c r="P1783" i="2"/>
  <c r="F1457" i="2"/>
  <c r="M1903" i="2"/>
  <c r="E2118" i="2"/>
  <c r="I673" i="2"/>
  <c r="J155" i="2"/>
  <c r="M1016" i="2"/>
  <c r="S411" i="2"/>
  <c r="D442" i="2"/>
  <c r="G1700" i="2"/>
  <c r="M735" i="2"/>
  <c r="P2639" i="2"/>
  <c r="C919" i="2"/>
  <c r="T37" i="2"/>
  <c r="S2576" i="2"/>
  <c r="U125" i="2"/>
  <c r="V783" i="2"/>
  <c r="Q39" i="2"/>
  <c r="J263" i="2"/>
  <c r="I2988" i="2"/>
  <c r="D2" i="2"/>
  <c r="O2029" i="2"/>
  <c r="V2444" i="2"/>
  <c r="Q725" i="2"/>
  <c r="T30" i="2"/>
  <c r="U2142" i="2"/>
  <c r="N263" i="2"/>
  <c r="N915" i="2"/>
  <c r="U1001" i="2"/>
  <c r="F2253" i="2"/>
  <c r="R787" i="2"/>
  <c r="D518" i="2"/>
  <c r="N170" i="2"/>
  <c r="E204" i="2"/>
  <c r="U955" i="2"/>
  <c r="C2024" i="2"/>
  <c r="M1140" i="2"/>
  <c r="W457" i="2"/>
  <c r="C1640" i="2"/>
  <c r="C2645" i="2"/>
  <c r="T904" i="2"/>
  <c r="P526" i="2"/>
  <c r="G549" i="2"/>
  <c r="D764" i="2"/>
  <c r="L2172" i="2"/>
  <c r="E1971" i="2"/>
  <c r="P389" i="2"/>
  <c r="V3003" i="2"/>
  <c r="S2263" i="2"/>
  <c r="M1959" i="2"/>
  <c r="S1621" i="2"/>
  <c r="V913" i="2"/>
  <c r="D992" i="2"/>
  <c r="E2763" i="2"/>
  <c r="H1670" i="2"/>
  <c r="H1493" i="2"/>
  <c r="C384" i="2"/>
  <c r="G1398" i="2"/>
  <c r="U2260" i="2"/>
  <c r="W679" i="2"/>
  <c r="O2674" i="2"/>
  <c r="U1393" i="2"/>
  <c r="Q1039" i="2"/>
  <c r="R1852" i="2"/>
  <c r="F599" i="2"/>
  <c r="E1371" i="2"/>
  <c r="G1656" i="2"/>
  <c r="Q410" i="2"/>
  <c r="M1910" i="2"/>
  <c r="G1217" i="2"/>
  <c r="E2594" i="2"/>
  <c r="W1280" i="2"/>
  <c r="C2767" i="2"/>
  <c r="N1972" i="2"/>
  <c r="K1718" i="2"/>
  <c r="M1095" i="2"/>
  <c r="U19" i="2"/>
  <c r="T2143" i="2"/>
  <c r="J1125" i="2"/>
  <c r="L633" i="2"/>
  <c r="E1128" i="2"/>
  <c r="S2181" i="2"/>
  <c r="M23" i="2"/>
  <c r="J198" i="2"/>
  <c r="Q268" i="2"/>
  <c r="M496" i="2"/>
  <c r="R1265" i="2"/>
  <c r="D380" i="2"/>
  <c r="V1363" i="2"/>
  <c r="O633" i="2"/>
  <c r="O2650" i="2"/>
  <c r="C331" i="2"/>
  <c r="D475" i="2"/>
  <c r="J2426" i="2"/>
  <c r="H784" i="2"/>
  <c r="S1613" i="2"/>
  <c r="D901" i="2"/>
  <c r="T2996" i="2"/>
  <c r="V760" i="2"/>
  <c r="G2643" i="2"/>
  <c r="K1567" i="2"/>
  <c r="L832" i="2"/>
  <c r="F52" i="2"/>
  <c r="P2379" i="2"/>
  <c r="G2952" i="2"/>
  <c r="O2069" i="2"/>
  <c r="K848" i="2"/>
  <c r="S437" i="2"/>
  <c r="M267" i="2"/>
  <c r="V550" i="2"/>
  <c r="R304" i="2"/>
  <c r="F1230" i="2"/>
  <c r="C1804" i="2"/>
  <c r="I2172" i="2"/>
  <c r="D80" i="2"/>
  <c r="U951" i="2"/>
  <c r="G2332" i="2"/>
  <c r="F2247" i="2"/>
  <c r="R1269" i="2"/>
  <c r="J1684" i="2"/>
  <c r="T1777" i="2"/>
  <c r="F211" i="2"/>
  <c r="P1467" i="2"/>
  <c r="V837" i="2"/>
  <c r="L1085" i="2"/>
  <c r="P587" i="2"/>
  <c r="Q48" i="2"/>
  <c r="U2060" i="2"/>
  <c r="N530" i="2"/>
  <c r="F835" i="2"/>
  <c r="H1558" i="2"/>
  <c r="I1730" i="2"/>
  <c r="U1739" i="2"/>
  <c r="E1291" i="2"/>
  <c r="M872" i="2"/>
  <c r="W1097" i="2"/>
  <c r="U1990" i="2"/>
  <c r="H107" i="2"/>
  <c r="H1990" i="2"/>
  <c r="K2794" i="2"/>
  <c r="Q1905" i="2"/>
  <c r="Q417" i="2"/>
  <c r="N1189" i="2"/>
  <c r="Q1809" i="2"/>
  <c r="F672" i="2"/>
  <c r="V339" i="2"/>
  <c r="H939" i="2"/>
  <c r="M1855" i="2"/>
  <c r="L134" i="2"/>
  <c r="L3323" i="2"/>
  <c r="S782" i="2"/>
  <c r="F1126" i="2"/>
  <c r="W2113" i="2"/>
  <c r="E373" i="2"/>
  <c r="Q128" i="2"/>
  <c r="U296" i="2"/>
  <c r="N2403" i="2"/>
  <c r="O983" i="2"/>
  <c r="I1567" i="2"/>
  <c r="L350" i="2"/>
  <c r="F303" i="2"/>
  <c r="C1991" i="2"/>
  <c r="C2147" i="2"/>
  <c r="R1179" i="2"/>
  <c r="O2587" i="2"/>
  <c r="C1266" i="2"/>
  <c r="F1040" i="2"/>
  <c r="U1912" i="2"/>
  <c r="L1674" i="2"/>
  <c r="V2274" i="2"/>
  <c r="H1761" i="2"/>
  <c r="R656" i="2"/>
  <c r="T1371" i="2"/>
  <c r="G38" i="2"/>
  <c r="U1915" i="2"/>
  <c r="W181" i="2"/>
  <c r="E2865" i="2"/>
  <c r="E694" i="2"/>
  <c r="K6" i="2"/>
  <c r="N2492" i="2"/>
  <c r="G865" i="2"/>
  <c r="J1086" i="2"/>
  <c r="S206" i="2"/>
  <c r="L235" i="2"/>
  <c r="H142" i="2"/>
  <c r="R482" i="2"/>
  <c r="M2193" i="2"/>
  <c r="G809" i="2"/>
  <c r="S888" i="2"/>
  <c r="L1888" i="2"/>
  <c r="D2069" i="2"/>
  <c r="R192" i="2"/>
  <c r="W637" i="2"/>
  <c r="I1930" i="2"/>
  <c r="I4" i="2"/>
  <c r="J1454" i="2"/>
  <c r="V1019" i="2"/>
  <c r="T158" i="2"/>
  <c r="R2064" i="2"/>
  <c r="L491" i="2"/>
  <c r="K299" i="2"/>
  <c r="N2514" i="2"/>
  <c r="M969" i="2"/>
  <c r="W1854" i="2"/>
  <c r="R193" i="2"/>
  <c r="P924" i="2"/>
  <c r="R902" i="2"/>
  <c r="P2749" i="2"/>
  <c r="W2392" i="2"/>
  <c r="O2821" i="2"/>
  <c r="S1538" i="2"/>
  <c r="H2256" i="2"/>
  <c r="I1786" i="2"/>
  <c r="E1120" i="2"/>
  <c r="N2689" i="2"/>
  <c r="R2909" i="2"/>
  <c r="S2178" i="2"/>
  <c r="P294" i="2"/>
  <c r="J517" i="2"/>
  <c r="O2435" i="2"/>
  <c r="N675" i="2"/>
  <c r="J821" i="2"/>
  <c r="M13" i="2"/>
  <c r="N2227" i="2"/>
  <c r="L1423" i="2"/>
  <c r="K466" i="2"/>
  <c r="I1188" i="2"/>
  <c r="O511" i="2"/>
  <c r="H1902" i="2"/>
  <c r="J1879" i="2"/>
  <c r="H1469" i="2"/>
  <c r="W1745" i="2"/>
  <c r="W1337" i="2"/>
  <c r="S882" i="2"/>
  <c r="P442" i="2"/>
  <c r="J81" i="2"/>
  <c r="J1076" i="2"/>
  <c r="T444" i="2"/>
  <c r="O565" i="2"/>
  <c r="G7" i="2"/>
  <c r="J372" i="2"/>
  <c r="W370" i="2"/>
  <c r="N1437" i="2"/>
  <c r="H1529" i="2"/>
  <c r="E1515" i="2"/>
  <c r="D372" i="2"/>
  <c r="D1264" i="2"/>
  <c r="V642" i="2"/>
  <c r="I1722" i="2"/>
  <c r="Q1737" i="2"/>
  <c r="L381" i="2"/>
  <c r="V776" i="2"/>
  <c r="W2009" i="2"/>
  <c r="D1371" i="2"/>
  <c r="T2079" i="2"/>
  <c r="T794" i="2"/>
  <c r="F2414" i="2"/>
  <c r="F712" i="2"/>
  <c r="C1348" i="2"/>
  <c r="M1833" i="2"/>
  <c r="K2737" i="2"/>
  <c r="O1400" i="2"/>
  <c r="V1102" i="2"/>
  <c r="Q1100" i="2"/>
  <c r="H3121" i="2"/>
  <c r="E1179" i="2"/>
  <c r="T2767" i="2"/>
  <c r="G3274" i="2"/>
  <c r="F2826" i="2"/>
  <c r="H1753" i="2"/>
  <c r="F2212" i="2"/>
  <c r="Q2878" i="2"/>
  <c r="G1556" i="2"/>
  <c r="P2415" i="2"/>
  <c r="L1401" i="2"/>
  <c r="Q710" i="2"/>
  <c r="C2439" i="2"/>
  <c r="R1531" i="2"/>
  <c r="Q1375" i="2"/>
  <c r="P2504" i="2"/>
  <c r="U1734" i="2"/>
  <c r="H1021" i="2"/>
  <c r="D636" i="2"/>
  <c r="W2842" i="2"/>
  <c r="H2699" i="2"/>
  <c r="C574" i="2"/>
  <c r="C659" i="2"/>
  <c r="M1707" i="2"/>
  <c r="E313" i="2"/>
  <c r="D152" i="2"/>
  <c r="R1811" i="2"/>
  <c r="H1988" i="2"/>
  <c r="T1834" i="2"/>
  <c r="G1044" i="2"/>
  <c r="Q1050" i="2"/>
  <c r="F451" i="2"/>
  <c r="P230" i="2"/>
  <c r="T1981" i="2"/>
  <c r="F38" i="2"/>
  <c r="S859" i="2"/>
  <c r="S1595" i="2"/>
  <c r="G2181" i="2"/>
  <c r="R86" i="2"/>
  <c r="M457" i="2"/>
  <c r="L2071" i="2"/>
  <c r="P609" i="2"/>
  <c r="Q872" i="2"/>
  <c r="P772" i="2"/>
  <c r="F2089" i="2"/>
  <c r="Q954" i="2"/>
  <c r="F374" i="2"/>
  <c r="H3246" i="2"/>
  <c r="K416" i="2"/>
  <c r="E476" i="2"/>
  <c r="W472" i="2"/>
  <c r="I1619" i="2"/>
  <c r="J1401" i="2"/>
  <c r="O661" i="2"/>
  <c r="J1093" i="2"/>
  <c r="K618" i="2"/>
  <c r="L1558" i="2"/>
  <c r="W183" i="2"/>
  <c r="Q2713" i="2"/>
  <c r="G769" i="2"/>
  <c r="T1558" i="2"/>
  <c r="P1653" i="2"/>
  <c r="F3023" i="2"/>
  <c r="O352" i="2"/>
  <c r="T2002" i="2"/>
  <c r="W2289" i="2"/>
  <c r="O752" i="2"/>
  <c r="E506" i="2"/>
  <c r="L61" i="2"/>
  <c r="E645" i="2"/>
  <c r="P228" i="2"/>
  <c r="E811" i="2"/>
  <c r="I704" i="2"/>
  <c r="U2380" i="2"/>
  <c r="G184" i="2"/>
  <c r="D1011" i="2"/>
  <c r="U2477" i="2"/>
  <c r="U841" i="2"/>
  <c r="S2245" i="2"/>
  <c r="G1424" i="2"/>
  <c r="D353" i="2"/>
  <c r="M1732" i="2"/>
  <c r="U2650" i="2"/>
  <c r="G1226" i="2"/>
  <c r="I1759" i="2"/>
  <c r="N1309" i="2"/>
  <c r="S2807" i="2"/>
  <c r="R2074" i="2"/>
  <c r="M1628" i="2"/>
  <c r="I2147" i="2"/>
  <c r="Q1232" i="2"/>
  <c r="P2450" i="2"/>
  <c r="K1406" i="2"/>
  <c r="T318" i="2"/>
  <c r="C1010" i="2"/>
  <c r="R1724" i="2"/>
  <c r="J1476" i="2"/>
  <c r="G536" i="2"/>
  <c r="D1372" i="2"/>
  <c r="N2072" i="2"/>
  <c r="Q1949" i="2"/>
  <c r="L109" i="2"/>
  <c r="D712" i="2"/>
  <c r="F3251" i="2"/>
  <c r="R1329" i="2"/>
  <c r="N1430" i="2"/>
  <c r="Q361" i="2"/>
  <c r="L1256" i="2"/>
  <c r="Q1270" i="2"/>
  <c r="L1356" i="2"/>
  <c r="W736" i="2"/>
  <c r="H1242" i="2"/>
  <c r="R2566" i="2"/>
  <c r="M1277" i="2"/>
  <c r="L1715" i="2"/>
  <c r="S1277" i="2"/>
  <c r="T133" i="2"/>
  <c r="E1003" i="2"/>
  <c r="J2837" i="2"/>
  <c r="I713" i="2"/>
  <c r="F1215" i="2"/>
  <c r="I1376" i="2"/>
  <c r="P1298" i="2"/>
  <c r="J2890" i="2"/>
  <c r="V1747" i="2"/>
  <c r="C106" i="2"/>
  <c r="D133" i="2"/>
  <c r="N32" i="2"/>
  <c r="O2008" i="2"/>
  <c r="F2045" i="2"/>
  <c r="S1916" i="2"/>
  <c r="T418" i="2"/>
  <c r="P2319" i="2"/>
  <c r="L1997" i="2"/>
  <c r="C350" i="2"/>
  <c r="P226" i="2"/>
  <c r="L1575" i="2"/>
  <c r="I1796" i="2"/>
  <c r="H10" i="2"/>
  <c r="V1767" i="2"/>
  <c r="Q1602" i="2"/>
  <c r="R2509" i="2"/>
  <c r="L1564" i="2"/>
  <c r="O629" i="2"/>
  <c r="M988" i="2"/>
  <c r="J908" i="2"/>
  <c r="K2541" i="2"/>
  <c r="D3088" i="2"/>
  <c r="F418" i="2"/>
  <c r="C985" i="2"/>
  <c r="R2159" i="2"/>
  <c r="S626" i="2"/>
  <c r="F82" i="2"/>
  <c r="R718" i="2"/>
  <c r="I1501" i="2"/>
  <c r="W164" i="2"/>
  <c r="W222" i="2"/>
  <c r="J388" i="2"/>
  <c r="R1747" i="2"/>
  <c r="P1012" i="2"/>
  <c r="V307" i="2"/>
  <c r="E1455" i="2"/>
  <c r="R1344" i="2"/>
  <c r="U3059" i="2"/>
  <c r="D1497" i="2"/>
  <c r="D169" i="2"/>
  <c r="M1729" i="2"/>
  <c r="E1727" i="2"/>
  <c r="L1360" i="2"/>
  <c r="S590" i="2"/>
  <c r="Q1305" i="2"/>
  <c r="H2130" i="2"/>
  <c r="R447" i="2"/>
  <c r="C1533" i="2"/>
  <c r="Q2" i="2"/>
  <c r="U1373" i="2"/>
  <c r="W1587" i="2"/>
  <c r="G373" i="2"/>
  <c r="V601" i="2"/>
  <c r="J2177" i="2"/>
  <c r="K2152" i="2"/>
  <c r="E741" i="2"/>
  <c r="D805" i="2"/>
  <c r="O1099" i="2"/>
  <c r="W207" i="2"/>
  <c r="Q1228" i="2"/>
  <c r="K976" i="2"/>
  <c r="I945" i="2"/>
  <c r="U1511" i="2"/>
  <c r="V603" i="2"/>
  <c r="I1115" i="2"/>
  <c r="C2019" i="2"/>
  <c r="D1292" i="2"/>
  <c r="R2054" i="2"/>
  <c r="G2268" i="2"/>
  <c r="M2636" i="2"/>
  <c r="G701" i="2"/>
  <c r="R516" i="2"/>
  <c r="M2951" i="2"/>
  <c r="U1787" i="2"/>
  <c r="F1664" i="2"/>
  <c r="M3174" i="2"/>
  <c r="Q1591" i="2"/>
  <c r="N1420" i="2"/>
  <c r="U2698" i="2"/>
  <c r="D1821" i="2"/>
  <c r="S1165" i="2"/>
  <c r="J116" i="2"/>
  <c r="Q882" i="2"/>
  <c r="G1151" i="2"/>
  <c r="I483" i="2"/>
  <c r="V2130" i="2"/>
  <c r="Q1954" i="2"/>
  <c r="P1676" i="2"/>
  <c r="L1670" i="2"/>
  <c r="Q2494" i="2"/>
  <c r="O1264" i="2"/>
  <c r="V2298" i="2"/>
  <c r="S505" i="2"/>
  <c r="U1207" i="2"/>
  <c r="R964" i="2"/>
  <c r="U1615" i="2"/>
  <c r="R2752" i="2"/>
  <c r="C52" i="2"/>
  <c r="D2441" i="2"/>
  <c r="D515" i="2"/>
  <c r="D558" i="2"/>
  <c r="U2643" i="2"/>
  <c r="I1909" i="2"/>
  <c r="D884" i="2"/>
  <c r="N152" i="2"/>
  <c r="N1413" i="2"/>
  <c r="D1394" i="2"/>
  <c r="S3152" i="2"/>
  <c r="D336" i="2"/>
  <c r="W618" i="2"/>
  <c r="N91" i="2"/>
  <c r="R2616" i="2"/>
  <c r="W1028" i="2"/>
  <c r="O2015" i="2"/>
  <c r="D349" i="2"/>
  <c r="J27" i="2"/>
  <c r="E465" i="2"/>
  <c r="H1754" i="2"/>
  <c r="W2379" i="2"/>
  <c r="O1510" i="2"/>
  <c r="L2357" i="2"/>
  <c r="T2446" i="2"/>
  <c r="T822" i="2"/>
  <c r="P326" i="2"/>
  <c r="S124" i="2"/>
  <c r="H2275" i="2"/>
  <c r="T543" i="2"/>
  <c r="F324" i="2"/>
  <c r="K1546" i="2"/>
  <c r="O815" i="2"/>
  <c r="Q476" i="2"/>
  <c r="C182" i="2"/>
  <c r="C1983" i="2"/>
  <c r="K2626" i="2"/>
  <c r="F1103" i="2"/>
  <c r="G1195" i="2"/>
  <c r="N235" i="2"/>
  <c r="V484" i="2"/>
  <c r="K2079" i="2"/>
  <c r="V1751" i="2"/>
  <c r="U764" i="2"/>
  <c r="O296" i="2"/>
  <c r="U1351" i="2"/>
  <c r="P533" i="2"/>
  <c r="M224" i="2"/>
  <c r="W2306" i="2"/>
  <c r="W1772" i="2"/>
  <c r="E36" i="2"/>
  <c r="Q1336" i="2"/>
  <c r="W2030" i="2"/>
  <c r="F979" i="2"/>
  <c r="I2145" i="2"/>
  <c r="T199" i="2"/>
  <c r="E952" i="2"/>
  <c r="O843" i="2"/>
  <c r="U23" i="2"/>
  <c r="I1549" i="2"/>
  <c r="P417" i="2"/>
  <c r="V2323" i="2"/>
  <c r="R580" i="2"/>
  <c r="G259" i="2"/>
  <c r="R278" i="2"/>
  <c r="C2731" i="2"/>
  <c r="J915" i="2"/>
  <c r="H689" i="2"/>
  <c r="R830" i="2"/>
  <c r="P604" i="2"/>
  <c r="M1518" i="2"/>
  <c r="D2212" i="2"/>
  <c r="U1289" i="2"/>
  <c r="Q2467" i="2"/>
  <c r="Q1792" i="2"/>
  <c r="U794" i="2"/>
  <c r="V1014" i="2"/>
  <c r="H967" i="2"/>
  <c r="J1638" i="2"/>
  <c r="D1035" i="2"/>
  <c r="T1956" i="2"/>
  <c r="U302" i="2"/>
  <c r="F2188" i="2"/>
  <c r="S213" i="2"/>
  <c r="H2117" i="2"/>
  <c r="V1146" i="2"/>
  <c r="H859" i="2"/>
  <c r="K2280" i="2"/>
  <c r="W1817" i="2"/>
  <c r="K1681" i="2"/>
  <c r="V1202" i="2"/>
  <c r="E865" i="2"/>
  <c r="E991" i="2"/>
  <c r="W104" i="2"/>
  <c r="U15" i="2"/>
  <c r="G2627" i="2"/>
  <c r="G1085" i="2"/>
  <c r="F109" i="2"/>
  <c r="W685" i="2"/>
  <c r="V1275" i="2"/>
  <c r="F2115" i="2"/>
  <c r="S221" i="2"/>
  <c r="T693" i="2"/>
  <c r="C850" i="2"/>
  <c r="S294" i="2"/>
  <c r="R2100" i="2"/>
  <c r="T933" i="2"/>
  <c r="W576" i="2"/>
  <c r="I1677" i="2"/>
  <c r="K430" i="2"/>
  <c r="U480" i="2"/>
  <c r="M73" i="2"/>
  <c r="R1496" i="2"/>
  <c r="O2359" i="2"/>
  <c r="G2520" i="2"/>
  <c r="S672" i="2"/>
  <c r="E47" i="2"/>
  <c r="I991" i="2"/>
  <c r="I2363" i="2"/>
  <c r="R1061" i="2"/>
  <c r="F323" i="2"/>
  <c r="T1254" i="2"/>
  <c r="T454" i="2"/>
  <c r="D5" i="2"/>
  <c r="F2290" i="2"/>
  <c r="T1196" i="2"/>
  <c r="L1633" i="2"/>
  <c r="R15" i="2"/>
  <c r="J1634" i="2"/>
  <c r="N2975" i="2"/>
  <c r="I3214" i="2"/>
  <c r="V2848" i="2"/>
  <c r="M323" i="2"/>
  <c r="Q227" i="2"/>
  <c r="U3134" i="2"/>
  <c r="R230" i="2"/>
  <c r="M2345" i="2"/>
  <c r="F426" i="2"/>
  <c r="W33" i="2"/>
  <c r="H701" i="2"/>
  <c r="J2547" i="2"/>
  <c r="C617" i="2"/>
  <c r="E2852" i="2"/>
  <c r="F384" i="2"/>
  <c r="V1106" i="2"/>
  <c r="Q662" i="2"/>
  <c r="N1412" i="2"/>
  <c r="H268" i="2"/>
  <c r="S2653" i="2"/>
  <c r="K525" i="2"/>
  <c r="C809" i="2"/>
  <c r="L1878" i="2"/>
  <c r="K616" i="2"/>
  <c r="V629" i="2"/>
  <c r="M517" i="2"/>
  <c r="V61" i="2"/>
  <c r="N2417" i="2"/>
  <c r="V2417" i="2"/>
  <c r="U1706" i="2"/>
  <c r="R297" i="2"/>
  <c r="N2178" i="2"/>
  <c r="G124" i="2"/>
  <c r="J1787" i="2"/>
  <c r="V2801" i="2"/>
  <c r="N869" i="2"/>
  <c r="D1850" i="2"/>
  <c r="J1871" i="2"/>
  <c r="Q1325" i="2"/>
  <c r="D186" i="2"/>
  <c r="D387" i="2"/>
  <c r="L1482" i="2"/>
  <c r="N596" i="2"/>
  <c r="Q635" i="2"/>
  <c r="N1246" i="2"/>
  <c r="T181" i="2"/>
  <c r="Q33" i="2"/>
  <c r="T2204" i="2"/>
  <c r="D2624" i="2"/>
  <c r="E2071" i="2"/>
  <c r="Q2912" i="2"/>
  <c r="J825" i="2"/>
  <c r="N1592" i="2"/>
  <c r="O782" i="2"/>
  <c r="T2746" i="2"/>
  <c r="J17" i="2"/>
  <c r="L2599" i="2"/>
  <c r="G1056" i="2"/>
  <c r="W1786" i="2"/>
  <c r="F1539" i="2"/>
  <c r="I2633" i="2"/>
  <c r="U1730" i="2"/>
  <c r="I2345" i="2"/>
  <c r="M2369" i="2"/>
  <c r="D1039" i="2"/>
  <c r="H337" i="2"/>
  <c r="E1819" i="2"/>
  <c r="J906" i="2"/>
  <c r="C2414" i="2"/>
  <c r="C233" i="2"/>
  <c r="J814" i="2"/>
  <c r="V2850" i="2"/>
  <c r="K894" i="2"/>
  <c r="C231" i="2"/>
  <c r="I2321" i="2"/>
  <c r="R802" i="2"/>
  <c r="E2007" i="2"/>
  <c r="M691" i="2"/>
  <c r="T490" i="2"/>
  <c r="W1980" i="2"/>
  <c r="E2275" i="2"/>
  <c r="J1330" i="2"/>
  <c r="D369" i="2"/>
  <c r="L1260" i="2"/>
  <c r="E2103" i="2"/>
  <c r="K913" i="2"/>
  <c r="C365" i="2"/>
  <c r="J549" i="2"/>
  <c r="V1104" i="2"/>
  <c r="T978" i="2"/>
  <c r="Q459" i="2"/>
  <c r="S1615" i="2"/>
  <c r="L1649" i="2"/>
  <c r="P416" i="2"/>
  <c r="R1082" i="2"/>
  <c r="Q1129" i="2"/>
  <c r="F876" i="2"/>
  <c r="U30" i="2"/>
  <c r="S1695" i="2"/>
  <c r="K746" i="2"/>
  <c r="H680" i="2"/>
  <c r="N1167" i="2"/>
  <c r="W1297" i="2"/>
  <c r="F2387" i="2"/>
  <c r="S15" i="2"/>
  <c r="N479" i="2"/>
  <c r="K2335" i="2"/>
  <c r="T646" i="2"/>
  <c r="I562" i="2"/>
  <c r="G1932" i="2"/>
  <c r="H497" i="2"/>
  <c r="L1351" i="2"/>
  <c r="N2172" i="2"/>
  <c r="Q2695" i="2"/>
  <c r="Q754" i="2"/>
  <c r="U3029" i="2"/>
  <c r="O342" i="2"/>
  <c r="D286" i="2"/>
  <c r="V896" i="2"/>
  <c r="E3188" i="2"/>
  <c r="M2468" i="2"/>
  <c r="N321" i="2"/>
  <c r="F1115" i="2"/>
  <c r="D2228" i="2"/>
  <c r="P1809" i="2"/>
  <c r="F1715" i="2"/>
  <c r="D1042" i="2"/>
  <c r="V980" i="2"/>
  <c r="U65" i="2"/>
  <c r="M2780" i="2"/>
  <c r="V1688" i="2"/>
  <c r="C1372" i="2"/>
  <c r="P259" i="2"/>
  <c r="W297" i="2"/>
  <c r="L2414" i="2"/>
  <c r="I224" i="2"/>
  <c r="K615" i="2"/>
  <c r="O2125" i="2"/>
  <c r="F116" i="2"/>
  <c r="C234" i="2"/>
  <c r="P926" i="2"/>
  <c r="I571" i="2"/>
  <c r="U787" i="2"/>
  <c r="W583" i="2"/>
  <c r="C76" i="2"/>
  <c r="N2644" i="2"/>
  <c r="O696" i="2"/>
  <c r="S1751" i="2"/>
  <c r="C525" i="2"/>
  <c r="F342" i="2"/>
  <c r="V582" i="2"/>
  <c r="H353" i="2"/>
  <c r="C711" i="2"/>
  <c r="T633" i="2"/>
  <c r="O1583" i="2"/>
  <c r="Q367" i="2"/>
  <c r="S1781" i="2"/>
  <c r="K666" i="2"/>
  <c r="O706" i="2"/>
  <c r="U944" i="2"/>
  <c r="U1680" i="2"/>
  <c r="F2333" i="2"/>
  <c r="C1696" i="2"/>
  <c r="T2972" i="2"/>
  <c r="M1606" i="2"/>
  <c r="G1136" i="2"/>
  <c r="I523" i="2"/>
  <c r="J2871" i="2"/>
  <c r="N1119" i="2"/>
  <c r="E2499" i="2"/>
  <c r="D58" i="2"/>
  <c r="L1719" i="2"/>
  <c r="P625" i="2"/>
  <c r="U122" i="2"/>
  <c r="M1030" i="2"/>
  <c r="K2025" i="2"/>
  <c r="C921" i="2"/>
  <c r="H9" i="2"/>
  <c r="K567" i="2"/>
  <c r="C780" i="2"/>
  <c r="K1307" i="2"/>
  <c r="M1911" i="2"/>
  <c r="C618" i="2"/>
  <c r="H1635" i="2"/>
  <c r="J606" i="2"/>
  <c r="V799" i="2"/>
  <c r="G1949" i="2"/>
  <c r="N1052" i="2"/>
  <c r="Q2485" i="2"/>
  <c r="T468" i="2"/>
  <c r="S1807" i="2"/>
  <c r="C1882" i="2"/>
  <c r="S1563" i="2"/>
  <c r="U3286" i="2"/>
  <c r="M2512" i="2"/>
  <c r="L1398" i="2"/>
  <c r="O353" i="2"/>
  <c r="F3153" i="2"/>
  <c r="U488" i="2"/>
  <c r="L929" i="2"/>
  <c r="M161" i="2"/>
  <c r="V2584" i="2"/>
  <c r="K120" i="2"/>
  <c r="K17" i="2"/>
  <c r="T2482" i="2"/>
  <c r="J1296" i="2"/>
  <c r="F227" i="2"/>
  <c r="O741" i="2"/>
  <c r="W197" i="2"/>
  <c r="K872" i="2"/>
  <c r="Q2942" i="2"/>
  <c r="T1696" i="2"/>
  <c r="H2907" i="2"/>
  <c r="V1322" i="2"/>
  <c r="I3200" i="2"/>
  <c r="N721" i="2"/>
  <c r="F845" i="2"/>
  <c r="N2093" i="2"/>
  <c r="N2988" i="2"/>
  <c r="I2951" i="2"/>
  <c r="H791" i="2"/>
  <c r="S935" i="2"/>
  <c r="U1328" i="2"/>
  <c r="D1718" i="2"/>
  <c r="P503" i="2"/>
  <c r="N1903" i="2"/>
  <c r="J58" i="2"/>
  <c r="Q99" i="2"/>
  <c r="Q569" i="2"/>
  <c r="U557" i="2"/>
  <c r="N379" i="2"/>
  <c r="H2395" i="2"/>
  <c r="G356" i="2"/>
  <c r="E539" i="2"/>
  <c r="E1999" i="2"/>
  <c r="W285" i="2"/>
  <c r="I1976" i="2"/>
  <c r="V1576" i="2"/>
  <c r="U1211" i="2"/>
  <c r="W1168" i="2"/>
  <c r="D613" i="2"/>
  <c r="F441" i="2"/>
  <c r="M494" i="2"/>
  <c r="M185" i="2"/>
  <c r="K374" i="2"/>
  <c r="I278" i="2"/>
  <c r="L1336" i="2"/>
  <c r="L1979" i="2"/>
  <c r="M2297" i="2"/>
  <c r="O370" i="2"/>
  <c r="P1969" i="2"/>
  <c r="L1377" i="2"/>
  <c r="T272" i="2"/>
  <c r="L2162" i="2"/>
  <c r="O387" i="2"/>
  <c r="K1929" i="2"/>
  <c r="U1909" i="2"/>
  <c r="I1364" i="2"/>
  <c r="N793" i="2"/>
  <c r="V16" i="2"/>
  <c r="T27" i="2"/>
  <c r="D1427" i="2"/>
  <c r="U854" i="2"/>
  <c r="N2546" i="2"/>
  <c r="N1884" i="2"/>
  <c r="M1096" i="2"/>
  <c r="W2065" i="2"/>
  <c r="F321" i="2"/>
  <c r="J1491" i="2"/>
  <c r="F1281" i="2"/>
  <c r="Q1606" i="2"/>
  <c r="N1243" i="2"/>
  <c r="O724" i="2"/>
  <c r="K485" i="2"/>
  <c r="C285" i="2"/>
  <c r="J1924" i="2"/>
  <c r="E5" i="2"/>
  <c r="I1245" i="2"/>
  <c r="R563" i="2"/>
  <c r="E2782" i="2"/>
  <c r="I2247" i="2"/>
  <c r="K794" i="2"/>
  <c r="I1747" i="2"/>
  <c r="D42" i="2"/>
  <c r="F1135" i="2"/>
  <c r="D154" i="2"/>
  <c r="K944" i="2"/>
  <c r="V2031" i="2"/>
  <c r="Q696" i="2"/>
  <c r="G2943" i="2"/>
  <c r="R668" i="2"/>
  <c r="I2253" i="2"/>
  <c r="U58" i="2"/>
  <c r="N2671" i="2"/>
  <c r="H1204" i="2"/>
  <c r="R2499" i="2"/>
  <c r="W859" i="2"/>
  <c r="F2016" i="2"/>
  <c r="E2272" i="2"/>
  <c r="O1934" i="2"/>
  <c r="T630" i="2"/>
  <c r="Q2128" i="2"/>
  <c r="M547" i="2"/>
  <c r="R312" i="2"/>
  <c r="U150" i="2"/>
  <c r="T1319" i="2"/>
  <c r="I168" i="2"/>
  <c r="J1599" i="2"/>
  <c r="P2200" i="2"/>
  <c r="S834" i="2"/>
  <c r="I1518" i="2"/>
  <c r="S2400" i="2"/>
  <c r="Q958" i="2"/>
  <c r="J1303" i="2"/>
  <c r="O2437" i="2"/>
  <c r="D2210" i="2"/>
  <c r="L467" i="2"/>
  <c r="O717" i="2"/>
  <c r="R2503" i="2"/>
  <c r="H355" i="2"/>
  <c r="H38" i="2"/>
  <c r="N2801" i="2"/>
  <c r="P1175" i="2"/>
  <c r="Q2280" i="2"/>
  <c r="N514" i="2"/>
  <c r="F980" i="2"/>
  <c r="N859" i="2"/>
  <c r="H22" i="2"/>
  <c r="V1601" i="2"/>
  <c r="V1851" i="2"/>
  <c r="N753" i="2"/>
  <c r="E1645" i="2"/>
  <c r="R362" i="2"/>
  <c r="I582" i="2"/>
  <c r="D1294" i="2"/>
  <c r="C3001" i="2"/>
  <c r="C511" i="2"/>
  <c r="N2812" i="2"/>
  <c r="Q778" i="2"/>
  <c r="D1723" i="2"/>
  <c r="T1216" i="2"/>
  <c r="T2780" i="2"/>
  <c r="V2041" i="2"/>
  <c r="N587" i="2"/>
  <c r="N1097" i="2"/>
  <c r="K332" i="2"/>
  <c r="D2021" i="2"/>
  <c r="S2744" i="2"/>
  <c r="L437" i="2"/>
  <c r="I1673" i="2"/>
  <c r="F862" i="2"/>
  <c r="N1320" i="2"/>
  <c r="D2559" i="2"/>
  <c r="T586" i="2"/>
  <c r="L2061" i="2"/>
  <c r="P392" i="2"/>
  <c r="T269" i="2"/>
  <c r="M1321" i="2"/>
  <c r="O2280" i="2"/>
  <c r="E396" i="2"/>
  <c r="F1748" i="2"/>
  <c r="U1692" i="2"/>
  <c r="L1647" i="2"/>
  <c r="I1170" i="2"/>
  <c r="H2087" i="2"/>
  <c r="M428" i="2"/>
  <c r="E854" i="2"/>
  <c r="O2415" i="2"/>
  <c r="N54" i="2"/>
  <c r="W2348" i="2"/>
  <c r="K173" i="2"/>
  <c r="O1538" i="2"/>
  <c r="G1029" i="2"/>
  <c r="Q1300" i="2"/>
  <c r="E2094" i="2"/>
  <c r="I2854" i="2"/>
  <c r="W2457" i="2"/>
  <c r="R900" i="2"/>
  <c r="C1924" i="2"/>
  <c r="V1467" i="2"/>
  <c r="N6" i="2"/>
  <c r="P1174" i="2"/>
  <c r="M492" i="2"/>
  <c r="I422" i="2"/>
  <c r="W1351" i="2"/>
  <c r="G278" i="2"/>
  <c r="K2481" i="2"/>
  <c r="Q1851" i="2"/>
  <c r="M605" i="2"/>
  <c r="F1775" i="2"/>
  <c r="K590" i="2"/>
  <c r="W1041" i="2"/>
  <c r="V1649" i="2"/>
  <c r="O757" i="2"/>
  <c r="C941" i="2"/>
  <c r="V3127" i="2"/>
  <c r="M942" i="2"/>
  <c r="E1370" i="2"/>
  <c r="M285" i="2"/>
  <c r="N1483" i="2"/>
  <c r="S1253" i="2"/>
  <c r="K2736" i="2"/>
  <c r="R640" i="2"/>
  <c r="O1973" i="2"/>
  <c r="T213" i="2"/>
  <c r="U1364" i="2"/>
  <c r="L303" i="2"/>
  <c r="I1762" i="2"/>
  <c r="E1485" i="2"/>
  <c r="M1714" i="2"/>
  <c r="Q2588" i="2"/>
  <c r="C2474" i="2"/>
  <c r="R228" i="2"/>
  <c r="U548" i="2"/>
  <c r="W2884" i="2"/>
  <c r="G273" i="2"/>
  <c r="C2780" i="2"/>
  <c r="J1157" i="2"/>
  <c r="W1877" i="2"/>
  <c r="K696" i="2"/>
  <c r="K1039" i="2"/>
  <c r="W2974" i="2"/>
  <c r="E1722" i="2"/>
  <c r="P988" i="2"/>
  <c r="J969" i="2"/>
  <c r="T703" i="2"/>
  <c r="L336" i="2"/>
  <c r="U1017" i="2"/>
  <c r="T1996" i="2"/>
  <c r="W1362" i="2"/>
  <c r="N145" i="2"/>
  <c r="H710" i="2"/>
  <c r="F622" i="2"/>
  <c r="F2558" i="2"/>
  <c r="I63" i="2"/>
  <c r="W1994" i="2"/>
  <c r="T1518" i="2"/>
  <c r="Q1987" i="2"/>
  <c r="U1162" i="2"/>
  <c r="P74" i="2"/>
  <c r="L197" i="2"/>
  <c r="C947" i="2"/>
  <c r="F1850" i="2"/>
  <c r="M249" i="2"/>
  <c r="U232" i="2"/>
  <c r="I1281" i="2"/>
  <c r="Q1216" i="2"/>
  <c r="K676" i="2"/>
  <c r="U1949" i="2"/>
  <c r="R2086" i="2"/>
  <c r="W255" i="2"/>
  <c r="C1529" i="2"/>
  <c r="Q989" i="2"/>
  <c r="J74" i="2"/>
  <c r="G834" i="2"/>
  <c r="G149" i="2"/>
  <c r="Q469" i="2"/>
  <c r="U2645" i="2"/>
  <c r="J2143" i="2"/>
  <c r="O2619" i="2"/>
  <c r="E1559" i="2"/>
  <c r="V1710" i="2"/>
  <c r="L2005" i="2"/>
  <c r="Q1784" i="2"/>
  <c r="W854" i="2"/>
  <c r="H149" i="2"/>
  <c r="J1461" i="2"/>
  <c r="F1529" i="2"/>
  <c r="P3189" i="2"/>
  <c r="T1140" i="2"/>
  <c r="U2378" i="2"/>
  <c r="M820" i="2"/>
  <c r="E265" i="2"/>
  <c r="T2215" i="2"/>
  <c r="K721" i="2"/>
  <c r="S397" i="2"/>
  <c r="K3102" i="2"/>
  <c r="G267" i="2"/>
  <c r="G2786" i="2"/>
  <c r="V1633" i="2"/>
  <c r="L1335" i="2"/>
  <c r="H295" i="2"/>
  <c r="N212" i="2"/>
  <c r="F167" i="2"/>
  <c r="S2203" i="2"/>
  <c r="D2504" i="2"/>
  <c r="N1767" i="2"/>
  <c r="M260" i="2"/>
  <c r="I2619" i="2"/>
  <c r="H1010" i="2"/>
  <c r="I2204" i="2"/>
  <c r="Q1137" i="2"/>
  <c r="C1368" i="2"/>
  <c r="J1798" i="2"/>
  <c r="N811" i="2"/>
  <c r="Q1273" i="2"/>
  <c r="Q353" i="2"/>
  <c r="J266" i="2"/>
  <c r="L1765" i="2"/>
  <c r="U496" i="2"/>
  <c r="E750" i="2"/>
  <c r="R73" i="2"/>
  <c r="P1260" i="2"/>
  <c r="V2748" i="2"/>
  <c r="M1717" i="2"/>
  <c r="E334" i="2"/>
  <c r="Q2031" i="2"/>
  <c r="D1159" i="2"/>
  <c r="I1493" i="2"/>
  <c r="N1307" i="2"/>
  <c r="U1378" i="2"/>
  <c r="E1294" i="2"/>
  <c r="R1056" i="2"/>
  <c r="Q1796" i="2"/>
  <c r="M2534" i="2"/>
  <c r="J1424" i="2"/>
  <c r="R1600" i="2"/>
  <c r="D2628" i="2"/>
  <c r="W2551" i="2"/>
  <c r="U644" i="2"/>
  <c r="U2035" i="2"/>
  <c r="D1745" i="2"/>
  <c r="I1876" i="2"/>
  <c r="D20" i="2"/>
  <c r="F1339" i="2"/>
  <c r="F1751" i="2"/>
  <c r="H2089" i="2"/>
  <c r="K902" i="2"/>
  <c r="P2781" i="2"/>
  <c r="I1690" i="2"/>
  <c r="F2479" i="2"/>
  <c r="F1351" i="2"/>
  <c r="F589" i="2"/>
  <c r="F1379" i="2"/>
  <c r="F844" i="2"/>
  <c r="T1484" i="2"/>
  <c r="P728" i="2"/>
  <c r="K1363" i="2"/>
  <c r="G27" i="2"/>
  <c r="M2563" i="2"/>
  <c r="M1253" i="2"/>
  <c r="P3471" i="2"/>
  <c r="Q1078" i="2"/>
  <c r="E1273" i="2"/>
  <c r="O770" i="2"/>
  <c r="R72" i="2"/>
  <c r="D1813" i="2"/>
  <c r="M246" i="2"/>
  <c r="G661" i="2"/>
  <c r="F1999" i="2"/>
  <c r="Q890" i="2"/>
  <c r="E358" i="2"/>
  <c r="K491" i="2"/>
  <c r="V2528" i="2"/>
  <c r="S355" i="2"/>
  <c r="L539" i="2"/>
  <c r="W248" i="2"/>
  <c r="K2312" i="2"/>
  <c r="S777" i="2"/>
  <c r="G2304" i="2"/>
  <c r="N2897" i="2"/>
  <c r="F1010" i="2"/>
  <c r="K626" i="2"/>
  <c r="C1036" i="2"/>
  <c r="U182" i="2"/>
  <c r="W1453" i="2"/>
  <c r="F1285" i="2"/>
  <c r="J402" i="2"/>
  <c r="L2867" i="2"/>
  <c r="P2811" i="2"/>
  <c r="D2362" i="2"/>
  <c r="K1997" i="2"/>
  <c r="Q2036" i="2"/>
  <c r="N1059" i="2"/>
  <c r="K869" i="2"/>
  <c r="M18" i="2"/>
  <c r="Q1523" i="2"/>
  <c r="Q1877" i="2"/>
  <c r="T1081" i="2"/>
  <c r="W1692" i="2"/>
  <c r="Q239" i="2"/>
  <c r="D490" i="2"/>
  <c r="P2088" i="2"/>
  <c r="T2606" i="2"/>
  <c r="R875" i="2"/>
  <c r="O1837" i="2"/>
  <c r="W578" i="2"/>
  <c r="Q2290" i="2"/>
  <c r="H972" i="2"/>
  <c r="C1113" i="2"/>
  <c r="T1989" i="2"/>
  <c r="O1791" i="2"/>
  <c r="F1827" i="2"/>
  <c r="G1567" i="2"/>
  <c r="W860" i="2"/>
  <c r="V718" i="2"/>
  <c r="C1663" i="2"/>
  <c r="J1411" i="2"/>
  <c r="N1860" i="2"/>
  <c r="H2872" i="2"/>
  <c r="T151" i="2"/>
  <c r="Q191" i="2"/>
  <c r="G1356" i="2"/>
  <c r="V1127" i="2"/>
  <c r="P2595" i="2"/>
  <c r="H2016" i="2"/>
  <c r="W2046" i="2"/>
  <c r="N2374" i="2"/>
  <c r="K223" i="2"/>
  <c r="N984" i="2"/>
  <c r="T135" i="2"/>
  <c r="G960" i="2"/>
  <c r="E1432" i="2"/>
  <c r="I182" i="2"/>
  <c r="R1816" i="2"/>
  <c r="J1585" i="2"/>
  <c r="U1352" i="2"/>
  <c r="M683" i="2"/>
  <c r="D769" i="2"/>
  <c r="T720" i="2"/>
  <c r="T714" i="2"/>
  <c r="S378" i="2"/>
  <c r="F1016" i="2"/>
  <c r="H2069" i="2"/>
  <c r="C915" i="2"/>
  <c r="I1806" i="2"/>
  <c r="O1417" i="2"/>
  <c r="M2083" i="2"/>
  <c r="J2336" i="2"/>
  <c r="F254" i="2"/>
  <c r="Q2969" i="2"/>
  <c r="Q2735" i="2"/>
  <c r="R2354" i="2"/>
  <c r="P1335" i="2"/>
  <c r="F1361" i="2"/>
  <c r="O203" i="2"/>
  <c r="Q1843" i="2"/>
  <c r="U1939" i="2"/>
  <c r="K387" i="2"/>
  <c r="S177" i="2"/>
  <c r="R2672" i="2"/>
  <c r="G1239" i="2"/>
  <c r="N182" i="2"/>
  <c r="O180" i="2"/>
  <c r="N174" i="2"/>
  <c r="P1414" i="2"/>
  <c r="J553" i="2"/>
  <c r="E305" i="2"/>
  <c r="I2285" i="2"/>
  <c r="N788" i="2"/>
  <c r="J309" i="2"/>
  <c r="L1155" i="2"/>
  <c r="Q284" i="2"/>
  <c r="R765" i="2"/>
  <c r="I248" i="2"/>
  <c r="I1541" i="2"/>
  <c r="P801" i="2"/>
  <c r="Q316" i="2"/>
  <c r="W1387" i="2"/>
  <c r="E1894" i="2"/>
  <c r="V2425" i="2"/>
  <c r="G1146" i="2"/>
  <c r="E822" i="2"/>
  <c r="L72" i="2"/>
  <c r="V2569" i="2"/>
  <c r="V1148" i="2"/>
  <c r="I2242" i="2"/>
  <c r="H122" i="2"/>
  <c r="R2166" i="2"/>
  <c r="L1646" i="2"/>
  <c r="L553" i="2"/>
  <c r="J1420" i="2"/>
  <c r="F2166" i="2"/>
  <c r="V2114" i="2"/>
  <c r="I2064" i="2"/>
  <c r="D125" i="2"/>
  <c r="G1607" i="2"/>
  <c r="Q1671" i="2"/>
  <c r="L639" i="2"/>
  <c r="R95" i="2"/>
  <c r="D688" i="2"/>
  <c r="V2100" i="2"/>
  <c r="S1123" i="2"/>
  <c r="C2843" i="2"/>
  <c r="Q2057" i="2"/>
  <c r="E45" i="2"/>
  <c r="W478" i="2"/>
  <c r="V278" i="2"/>
  <c r="L1110" i="2"/>
  <c r="L1121" i="2"/>
  <c r="F795" i="2"/>
  <c r="D1290" i="2"/>
  <c r="U1922" i="2"/>
  <c r="N2529" i="2"/>
  <c r="H1438" i="2"/>
  <c r="H2283" i="2"/>
  <c r="E172" i="2"/>
  <c r="C269" i="2"/>
  <c r="F2175" i="2"/>
  <c r="J2222" i="2"/>
  <c r="I825" i="2"/>
  <c r="C2472" i="2"/>
  <c r="M1415" i="2"/>
  <c r="M889" i="2"/>
  <c r="J469" i="2"/>
  <c r="S994" i="2"/>
  <c r="J895" i="2"/>
  <c r="G868" i="2"/>
  <c r="I546" i="2"/>
  <c r="I1658" i="2"/>
  <c r="F184" i="2"/>
  <c r="J215" i="2"/>
  <c r="C2076" i="2"/>
  <c r="N1517" i="2"/>
  <c r="H1632" i="2"/>
  <c r="E954" i="2"/>
  <c r="N1469" i="2"/>
  <c r="C920" i="2"/>
  <c r="W12" i="2"/>
  <c r="W1556" i="2"/>
  <c r="T157" i="2"/>
  <c r="I2033" i="2"/>
  <c r="I698" i="2"/>
  <c r="W1020" i="2"/>
  <c r="L603" i="2"/>
  <c r="T1231" i="2"/>
  <c r="F334" i="2"/>
  <c r="C700" i="2"/>
  <c r="J1160" i="2"/>
  <c r="G479" i="2"/>
  <c r="U340" i="2"/>
  <c r="P1976" i="2"/>
  <c r="D1770" i="2"/>
  <c r="H391" i="2"/>
  <c r="H1795" i="2"/>
  <c r="M816" i="2"/>
  <c r="K1647" i="2"/>
  <c r="T3122" i="2"/>
  <c r="D1985" i="2"/>
  <c r="H1531" i="2"/>
  <c r="K2098" i="2"/>
  <c r="I648" i="2"/>
  <c r="D525" i="2"/>
  <c r="C499" i="2"/>
  <c r="O143" i="2"/>
  <c r="J1315" i="2"/>
  <c r="M2402" i="2"/>
  <c r="N648" i="2"/>
  <c r="V194" i="2"/>
  <c r="U2684" i="2"/>
  <c r="S420" i="2"/>
  <c r="K520" i="2"/>
  <c r="K1126" i="2"/>
  <c r="W1716" i="2"/>
  <c r="L2978" i="2"/>
  <c r="W178" i="2"/>
  <c r="V1769" i="2"/>
  <c r="V106" i="2"/>
  <c r="F2187" i="2"/>
  <c r="H2517" i="2"/>
  <c r="N1222" i="2"/>
  <c r="K2767" i="2"/>
  <c r="C115" i="2"/>
  <c r="D65" i="2"/>
  <c r="F1953" i="2"/>
  <c r="U1331" i="2"/>
  <c r="S916" i="2"/>
  <c r="G1489" i="2"/>
  <c r="J741" i="2"/>
  <c r="F2009" i="2"/>
  <c r="L780" i="2"/>
  <c r="N303" i="2"/>
  <c r="W80" i="2"/>
  <c r="E472" i="2"/>
  <c r="L815" i="2"/>
  <c r="I1003" i="2"/>
  <c r="M630" i="2"/>
  <c r="H1030" i="2"/>
  <c r="U577" i="2"/>
  <c r="S1803" i="2"/>
  <c r="D1683" i="2"/>
  <c r="J1601" i="2"/>
  <c r="V785" i="2"/>
  <c r="F1611" i="2"/>
  <c r="E18" i="2"/>
  <c r="N1530" i="2"/>
  <c r="I122" i="2"/>
  <c r="J319" i="2"/>
  <c r="O1198" i="2"/>
  <c r="K441" i="2"/>
  <c r="M8" i="2"/>
  <c r="F3104" i="2"/>
  <c r="J1324" i="2"/>
  <c r="U1920" i="2"/>
  <c r="P1453" i="2"/>
  <c r="U1515" i="2"/>
  <c r="U404" i="2"/>
  <c r="J1510" i="2"/>
  <c r="V498" i="2"/>
  <c r="E1710" i="2"/>
  <c r="J1666" i="2"/>
  <c r="O788" i="2"/>
  <c r="K2525" i="2"/>
  <c r="U509" i="2"/>
  <c r="N1338" i="2"/>
  <c r="L1784" i="2"/>
  <c r="H189" i="2"/>
  <c r="I133" i="2"/>
  <c r="G3128" i="2"/>
  <c r="O1304" i="2"/>
  <c r="Q638" i="2"/>
  <c r="F2975" i="2"/>
  <c r="H1952" i="2"/>
  <c r="G1770" i="2"/>
  <c r="M1832" i="2"/>
  <c r="Q2338" i="2"/>
  <c r="S65" i="2"/>
  <c r="E541" i="2"/>
  <c r="U814" i="2"/>
  <c r="V168" i="2"/>
  <c r="D2499" i="2"/>
  <c r="F2276" i="2"/>
  <c r="F880" i="2"/>
  <c r="L1042" i="2"/>
  <c r="D1455" i="2"/>
  <c r="E1729" i="2"/>
  <c r="H1255" i="2"/>
  <c r="E1051" i="2"/>
  <c r="T852" i="2"/>
  <c r="S62" i="2"/>
  <c r="K2281" i="2"/>
  <c r="C1394" i="2"/>
  <c r="U880" i="2"/>
  <c r="U334" i="2"/>
  <c r="P1356" i="2"/>
  <c r="C862" i="2"/>
  <c r="D969" i="2"/>
  <c r="P1712" i="2"/>
  <c r="G1169" i="2"/>
  <c r="O2168" i="2"/>
  <c r="T255" i="2"/>
  <c r="C2259" i="2"/>
  <c r="S1596" i="2"/>
  <c r="I162" i="2"/>
  <c r="V157" i="2"/>
  <c r="E1513" i="2"/>
  <c r="U1726" i="2"/>
  <c r="L621" i="2"/>
  <c r="Q468" i="2"/>
  <c r="U1356" i="2"/>
  <c r="N1693" i="2"/>
  <c r="J1707" i="2"/>
  <c r="T859" i="2"/>
  <c r="Q259" i="2"/>
  <c r="O851" i="2"/>
  <c r="U1361" i="2"/>
  <c r="R2881" i="2"/>
  <c r="W2376" i="2"/>
  <c r="H1017" i="2"/>
  <c r="V2004" i="2"/>
  <c r="G1574" i="2"/>
  <c r="R477" i="2"/>
  <c r="R1148" i="2"/>
  <c r="T2330" i="2"/>
  <c r="E1138" i="2"/>
  <c r="U1655" i="2"/>
  <c r="O1698" i="2"/>
  <c r="J1763" i="2"/>
  <c r="N954" i="2"/>
  <c r="H2567" i="2"/>
  <c r="Q1005" i="2"/>
  <c r="W1767" i="2"/>
  <c r="W465" i="2"/>
  <c r="E542" i="2"/>
  <c r="I1303" i="2"/>
  <c r="O2957" i="2"/>
  <c r="C325" i="2"/>
  <c r="K471" i="2"/>
  <c r="R1278" i="2"/>
  <c r="I197" i="2"/>
  <c r="Q568" i="2"/>
  <c r="P1100" i="2"/>
  <c r="W1320" i="2"/>
  <c r="M340" i="2"/>
  <c r="J1149" i="2"/>
  <c r="D143" i="2"/>
  <c r="F209" i="2"/>
  <c r="R101" i="2"/>
  <c r="D1120" i="2"/>
  <c r="S1320" i="2"/>
  <c r="T509" i="2"/>
  <c r="E770" i="2"/>
  <c r="U1535" i="2"/>
  <c r="H303" i="2"/>
  <c r="C2809" i="2"/>
  <c r="W454" i="2"/>
  <c r="D1713" i="2"/>
  <c r="T156" i="2"/>
  <c r="H2223" i="2"/>
  <c r="L607" i="2"/>
  <c r="R1541" i="2"/>
  <c r="I608" i="2"/>
  <c r="U475" i="2"/>
  <c r="K2392" i="2"/>
  <c r="R559" i="2"/>
  <c r="L20" i="2"/>
  <c r="L245" i="2"/>
  <c r="D852" i="2"/>
  <c r="D30" i="2"/>
  <c r="C494" i="2"/>
  <c r="V1301" i="2"/>
  <c r="S54" i="2"/>
  <c r="W415" i="2"/>
  <c r="T1156" i="2"/>
  <c r="K2022" i="2"/>
  <c r="J2567" i="2"/>
  <c r="K1912" i="2"/>
  <c r="I677" i="2"/>
  <c r="L258" i="2"/>
  <c r="K1045" i="2"/>
  <c r="G1869" i="2"/>
  <c r="K25" i="2"/>
  <c r="S1187" i="2"/>
  <c r="S492" i="2"/>
  <c r="W441" i="2"/>
  <c r="G372" i="2"/>
  <c r="D1335" i="2"/>
  <c r="O292" i="2"/>
  <c r="W47" i="2"/>
  <c r="K862" i="2"/>
  <c r="P96" i="2"/>
  <c r="S1647" i="2"/>
  <c r="T888" i="2"/>
  <c r="W1290" i="2"/>
  <c r="U109" i="2"/>
  <c r="F701" i="2"/>
  <c r="P1430" i="2"/>
  <c r="I1838" i="2"/>
  <c r="N267" i="2"/>
  <c r="T397" i="2"/>
  <c r="W695" i="2"/>
  <c r="O516" i="2"/>
  <c r="L2710" i="2"/>
  <c r="N478" i="2"/>
  <c r="P1202" i="2"/>
  <c r="G254" i="2"/>
  <c r="D106" i="2"/>
  <c r="U1374" i="2"/>
  <c r="C689" i="2"/>
  <c r="F772" i="2"/>
  <c r="P1781" i="2"/>
  <c r="M2688" i="2"/>
  <c r="U1536" i="2"/>
  <c r="C2081" i="2"/>
  <c r="L1050" i="2"/>
  <c r="D709" i="2"/>
  <c r="L38" i="2"/>
  <c r="L369" i="2"/>
  <c r="O1771" i="2"/>
  <c r="J927" i="2"/>
  <c r="F6" i="2"/>
  <c r="N150" i="2"/>
  <c r="V1386" i="2"/>
  <c r="N473" i="2"/>
  <c r="Q1126" i="2"/>
  <c r="V261" i="2"/>
  <c r="F2291" i="2"/>
  <c r="E2146" i="2"/>
  <c r="S1936" i="2"/>
  <c r="Q769" i="2"/>
  <c r="Q1662" i="2"/>
  <c r="R752" i="2"/>
  <c r="P2414" i="2"/>
  <c r="E547" i="2"/>
  <c r="W933" i="2"/>
  <c r="J594" i="2"/>
  <c r="L994" i="2"/>
  <c r="G2117" i="2"/>
  <c r="W2213" i="2"/>
  <c r="J254" i="2"/>
  <c r="C1052" i="2"/>
  <c r="G693" i="2"/>
  <c r="T393" i="2"/>
  <c r="M2374" i="2"/>
  <c r="E1028" i="2"/>
  <c r="U130" i="2"/>
  <c r="E623" i="2"/>
  <c r="V399" i="2"/>
  <c r="K1617" i="2"/>
  <c r="M702" i="2"/>
  <c r="E56" i="2"/>
  <c r="V2195" i="2"/>
  <c r="J1081" i="2"/>
  <c r="G315" i="2"/>
  <c r="M1697" i="2"/>
  <c r="L3013" i="2"/>
  <c r="I442" i="2"/>
  <c r="C411" i="2"/>
  <c r="D1695" i="2"/>
  <c r="G331" i="2"/>
  <c r="T1280" i="2"/>
  <c r="F715" i="2"/>
  <c r="R1700" i="2"/>
  <c r="U91" i="2"/>
  <c r="H1669" i="2"/>
  <c r="F2240" i="2"/>
  <c r="K1956" i="2"/>
  <c r="P261" i="2"/>
  <c r="V1690" i="2"/>
  <c r="E1061" i="2"/>
  <c r="H1766" i="2"/>
  <c r="T1013" i="2"/>
  <c r="O151" i="2"/>
  <c r="D172" i="2"/>
  <c r="M2550" i="2"/>
  <c r="Q2409" i="2"/>
  <c r="J1828" i="2"/>
  <c r="L670" i="2"/>
  <c r="F2320" i="2"/>
  <c r="T142" i="2"/>
  <c r="W1429" i="2"/>
  <c r="S697" i="2"/>
  <c r="D2671" i="2"/>
  <c r="Q996" i="2"/>
  <c r="S1095" i="2"/>
  <c r="V270" i="2"/>
  <c r="W2166" i="2"/>
  <c r="G1165" i="2"/>
  <c r="V2858" i="2"/>
  <c r="D185" i="2"/>
  <c r="L2560" i="2"/>
  <c r="V28" i="2"/>
  <c r="L1530" i="2"/>
  <c r="E998" i="2"/>
  <c r="S594" i="2"/>
  <c r="S1391" i="2"/>
  <c r="S83" i="2"/>
  <c r="W2218" i="2"/>
  <c r="T2730" i="2"/>
  <c r="G954" i="2"/>
  <c r="I2428" i="2"/>
  <c r="Q2999" i="2"/>
  <c r="D1293" i="2"/>
  <c r="E28" i="2"/>
  <c r="E829" i="2"/>
  <c r="D1333" i="2"/>
  <c r="D36" i="2"/>
  <c r="N640" i="2"/>
  <c r="L2110" i="2"/>
  <c r="H524" i="2"/>
  <c r="F963" i="2"/>
  <c r="D1830" i="2"/>
  <c r="R1107" i="2"/>
  <c r="F1167" i="2"/>
  <c r="P304" i="2"/>
  <c r="P1978" i="2"/>
  <c r="J832" i="2"/>
  <c r="J2506" i="2"/>
  <c r="W1431" i="2"/>
  <c r="O1961" i="2"/>
  <c r="Q145" i="2"/>
  <c r="D970" i="2"/>
  <c r="E652" i="2"/>
  <c r="U771" i="2"/>
  <c r="R2228" i="2"/>
  <c r="J1589" i="2"/>
  <c r="J245" i="2"/>
  <c r="K1127" i="2"/>
  <c r="S1742" i="2"/>
  <c r="F1703" i="2"/>
  <c r="J1915" i="2"/>
  <c r="F623" i="2"/>
  <c r="O1926" i="2"/>
  <c r="Q1152" i="2"/>
  <c r="N200" i="2"/>
  <c r="D1563" i="2"/>
  <c r="Q1546" i="2"/>
  <c r="U659" i="2"/>
  <c r="R1129" i="2"/>
  <c r="C2395" i="2"/>
  <c r="Q1658" i="2"/>
  <c r="L1038" i="2"/>
  <c r="J1417" i="2"/>
  <c r="W102" i="2"/>
  <c r="S512" i="2"/>
  <c r="V2166" i="2"/>
  <c r="G1659" i="2"/>
  <c r="T2433" i="2"/>
  <c r="I1855" i="2"/>
  <c r="G2085" i="2"/>
  <c r="V715" i="2"/>
  <c r="N835" i="2"/>
  <c r="K2549" i="2"/>
  <c r="U2591" i="2"/>
  <c r="E1749" i="2"/>
  <c r="V1216" i="2"/>
  <c r="S101" i="2"/>
  <c r="U1984" i="2"/>
  <c r="W1790" i="2"/>
  <c r="Q1681" i="2"/>
  <c r="W1214" i="2"/>
  <c r="V344" i="2"/>
  <c r="L2555" i="2"/>
  <c r="H1275" i="2"/>
  <c r="R553" i="2"/>
  <c r="M1845" i="2"/>
  <c r="J2039" i="2"/>
  <c r="K47" i="2"/>
  <c r="H1212" i="2"/>
  <c r="N732" i="2"/>
  <c r="N519" i="2"/>
  <c r="G1969" i="2"/>
  <c r="W1579" i="2"/>
  <c r="M794" i="2"/>
  <c r="N2961" i="2"/>
  <c r="F2563" i="2"/>
  <c r="D1212" i="2"/>
  <c r="V1149" i="2"/>
  <c r="U904" i="2"/>
  <c r="N199" i="2"/>
  <c r="O1259" i="2"/>
  <c r="W300" i="2"/>
  <c r="H423" i="2"/>
  <c r="W1761" i="2"/>
  <c r="C1122" i="2"/>
  <c r="I534" i="2"/>
  <c r="Q326" i="2"/>
  <c r="I2798" i="2"/>
  <c r="T764" i="2"/>
  <c r="U252" i="2"/>
  <c r="H219" i="2"/>
  <c r="Q1349" i="2"/>
  <c r="P2673" i="2"/>
  <c r="F1816" i="2"/>
  <c r="Q177" i="2"/>
  <c r="R395" i="2"/>
  <c r="S1639" i="2"/>
  <c r="I1349" i="2"/>
  <c r="T1579" i="2"/>
  <c r="E383" i="2"/>
  <c r="P1081" i="2"/>
  <c r="G973" i="2"/>
  <c r="S2233" i="2"/>
  <c r="D748" i="2"/>
  <c r="Q466" i="2"/>
  <c r="O798" i="2"/>
  <c r="C1662" i="2"/>
  <c r="M2224" i="2"/>
  <c r="O1792" i="2"/>
  <c r="S43" i="2"/>
  <c r="D1865" i="2"/>
  <c r="J498" i="2"/>
  <c r="K605" i="2"/>
  <c r="E1235" i="2"/>
  <c r="Q2003" i="2"/>
  <c r="S1680" i="2"/>
  <c r="J1635" i="2"/>
  <c r="R1294" i="2"/>
  <c r="W999" i="2"/>
  <c r="D2722" i="2"/>
  <c r="G719" i="2"/>
  <c r="T1519" i="2"/>
  <c r="O345" i="2"/>
  <c r="O17" i="2"/>
  <c r="R140" i="2"/>
  <c r="C931" i="2"/>
  <c r="O856" i="2"/>
  <c r="J614" i="2"/>
  <c r="D1318" i="2"/>
  <c r="D1523" i="2"/>
  <c r="E648" i="2"/>
  <c r="F900" i="2"/>
  <c r="U128" i="2"/>
  <c r="E2147" i="2"/>
  <c r="P2129" i="2"/>
  <c r="Q2186" i="2"/>
  <c r="S1692" i="2"/>
  <c r="F2564" i="2"/>
  <c r="M2490" i="2"/>
  <c r="D1483" i="2"/>
  <c r="V2868" i="2"/>
  <c r="D1181" i="2"/>
  <c r="Q1572" i="2"/>
  <c r="H377" i="2"/>
  <c r="C637" i="2"/>
  <c r="I1128" i="2"/>
  <c r="S1677" i="2"/>
  <c r="E304" i="2"/>
  <c r="H494" i="2"/>
  <c r="V947" i="2"/>
  <c r="J902" i="2"/>
  <c r="N2136" i="2"/>
  <c r="M2791" i="2"/>
  <c r="W2143" i="2"/>
  <c r="U563" i="2"/>
  <c r="K714" i="2"/>
  <c r="M1945" i="2"/>
  <c r="F2591" i="2"/>
  <c r="M2462" i="2"/>
  <c r="C1293" i="2"/>
  <c r="L2356" i="2"/>
  <c r="M325" i="2"/>
  <c r="G1272" i="2"/>
  <c r="V1981" i="2"/>
  <c r="S1321" i="2"/>
  <c r="T1391" i="2"/>
  <c r="N1729" i="2"/>
  <c r="J1700" i="2"/>
  <c r="F755" i="2"/>
  <c r="U779" i="2"/>
  <c r="T24" i="2"/>
  <c r="V1499" i="2"/>
  <c r="K2184" i="2"/>
  <c r="U164" i="2"/>
  <c r="N828" i="2"/>
  <c r="R3420" i="2"/>
  <c r="K527" i="2"/>
  <c r="F296" i="2"/>
  <c r="S1161" i="2"/>
  <c r="W2645" i="2"/>
  <c r="C943" i="2"/>
  <c r="L374" i="2"/>
  <c r="J992" i="2"/>
  <c r="D779" i="2"/>
  <c r="Q545" i="2"/>
  <c r="T623" i="2"/>
  <c r="N16" i="2"/>
  <c r="O443" i="2"/>
  <c r="G129" i="2"/>
  <c r="C102" i="2"/>
  <c r="W2516" i="2"/>
  <c r="I1665" i="2"/>
  <c r="V3037" i="2"/>
  <c r="P1742" i="2"/>
  <c r="W229" i="2"/>
  <c r="C402" i="2"/>
  <c r="U1861" i="2"/>
  <c r="E1435" i="2"/>
  <c r="H823" i="2"/>
  <c r="K623" i="2"/>
  <c r="U1078" i="2"/>
  <c r="R929" i="2"/>
  <c r="S1239" i="2"/>
  <c r="R746" i="2"/>
  <c r="N1146" i="2"/>
  <c r="U1444" i="2"/>
  <c r="F805" i="2"/>
  <c r="W573" i="2"/>
  <c r="C1355" i="2"/>
  <c r="F1538" i="2"/>
  <c r="R1579" i="2"/>
  <c r="O1851" i="2"/>
  <c r="M1370" i="2"/>
  <c r="R60" i="2"/>
  <c r="F5" i="2"/>
  <c r="H478" i="2"/>
  <c r="G806" i="2"/>
  <c r="O420" i="2"/>
  <c r="J375" i="2"/>
  <c r="M1550" i="2"/>
  <c r="O2296" i="2"/>
  <c r="H62" i="2"/>
  <c r="G2793" i="2"/>
  <c r="P77" i="2"/>
  <c r="T738" i="2"/>
  <c r="I390" i="2"/>
  <c r="T178" i="2"/>
  <c r="W17" i="2"/>
  <c r="G2778" i="2"/>
  <c r="J699" i="2"/>
  <c r="M1997" i="2"/>
  <c r="H1827" i="2"/>
  <c r="D733" i="2"/>
  <c r="K1192" i="2"/>
  <c r="V374" i="2"/>
  <c r="T1793" i="2"/>
  <c r="M1764" i="2"/>
  <c r="F2101" i="2"/>
  <c r="P2667" i="2"/>
  <c r="H1324" i="2"/>
  <c r="M29" i="2"/>
  <c r="T2424" i="2"/>
  <c r="L2625" i="2"/>
  <c r="U192" i="2"/>
  <c r="N165" i="2"/>
  <c r="M20" i="2"/>
  <c r="V824" i="2"/>
  <c r="U1770" i="2"/>
  <c r="U73" i="2"/>
  <c r="G814" i="2"/>
  <c r="Q1335" i="2"/>
  <c r="I746" i="2"/>
  <c r="O250" i="2"/>
  <c r="H1202" i="2"/>
  <c r="N1015" i="2"/>
  <c r="S2532" i="2"/>
  <c r="V501" i="2"/>
  <c r="T404" i="2"/>
  <c r="U419" i="2"/>
  <c r="S2411" i="2"/>
  <c r="M98" i="2"/>
  <c r="F2506" i="2"/>
  <c r="R130" i="2"/>
  <c r="E2769" i="2"/>
  <c r="L1384" i="2"/>
  <c r="R578" i="2"/>
  <c r="I687" i="2"/>
  <c r="D821" i="2"/>
  <c r="H958" i="2"/>
  <c r="G2062" i="2"/>
  <c r="L2869" i="2"/>
  <c r="S373" i="2"/>
  <c r="W611" i="2"/>
  <c r="M394" i="2"/>
  <c r="N1888" i="2"/>
  <c r="H507" i="2"/>
  <c r="Q694" i="2"/>
  <c r="W973" i="2"/>
  <c r="V850" i="2"/>
  <c r="L2820" i="2"/>
  <c r="D1100" i="2"/>
  <c r="N1113" i="2"/>
  <c r="Q678" i="2"/>
  <c r="U1431" i="2"/>
  <c r="J953" i="2"/>
  <c r="C1642" i="2"/>
  <c r="H1437" i="2"/>
  <c r="W2339" i="2"/>
  <c r="T632" i="2"/>
  <c r="K193" i="2"/>
  <c r="S989" i="2"/>
  <c r="T2872" i="2"/>
  <c r="W1939" i="2"/>
  <c r="I1401" i="2"/>
  <c r="C377" i="2"/>
  <c r="V2541" i="2"/>
  <c r="F725" i="2"/>
  <c r="U1380" i="2"/>
  <c r="V2240" i="2"/>
  <c r="Q2293" i="2"/>
  <c r="E1690" i="2"/>
  <c r="N1522" i="2"/>
  <c r="Q263" i="2"/>
  <c r="V825" i="2"/>
  <c r="R18" i="2"/>
  <c r="P1022" i="2"/>
  <c r="W451" i="2"/>
  <c r="D893" i="2"/>
  <c r="D1669" i="2"/>
  <c r="U793" i="2"/>
  <c r="P1294" i="2"/>
  <c r="N2075" i="2"/>
  <c r="I871" i="2"/>
  <c r="R1119" i="2"/>
  <c r="N1582" i="2"/>
  <c r="Q1204" i="2"/>
  <c r="D1085" i="2"/>
  <c r="W677" i="2"/>
  <c r="K1615" i="2"/>
  <c r="F458" i="2"/>
  <c r="K860" i="2"/>
  <c r="P285" i="2"/>
  <c r="W481" i="2"/>
  <c r="P2309" i="2"/>
  <c r="H422" i="2"/>
  <c r="L1761" i="2"/>
  <c r="R1411" i="2"/>
  <c r="F2642" i="2"/>
  <c r="N1376" i="2"/>
  <c r="R273" i="2"/>
  <c r="W221" i="2"/>
  <c r="Q541" i="2"/>
  <c r="F2531" i="2"/>
  <c r="J1450" i="2"/>
  <c r="P1315" i="2"/>
  <c r="V1033" i="2"/>
  <c r="O1809" i="2"/>
  <c r="M2616" i="2"/>
  <c r="J1966" i="2"/>
  <c r="K1726" i="2"/>
  <c r="N1082" i="2"/>
  <c r="H938" i="2"/>
  <c r="F1481" i="2"/>
  <c r="V1447" i="2"/>
  <c r="H1069" i="2"/>
  <c r="G320" i="2"/>
  <c r="M1248" i="2"/>
  <c r="O517" i="2"/>
  <c r="C2219" i="2"/>
  <c r="W1642" i="2"/>
  <c r="J1632" i="2"/>
  <c r="O1629" i="2"/>
  <c r="D1336" i="2"/>
  <c r="S965" i="2"/>
  <c r="J1907" i="2"/>
  <c r="L760" i="2"/>
  <c r="E380" i="2"/>
  <c r="V2720" i="2"/>
  <c r="L1339" i="2"/>
  <c r="V2273" i="2"/>
  <c r="L30" i="2"/>
  <c r="T2083" i="2"/>
  <c r="W1355" i="2"/>
  <c r="L1350" i="2"/>
  <c r="O1414" i="2"/>
  <c r="S1044" i="2"/>
  <c r="N532" i="2"/>
  <c r="G590" i="2"/>
  <c r="F1049" i="2"/>
  <c r="U745" i="2"/>
  <c r="I1585" i="2"/>
  <c r="W733" i="2"/>
  <c r="S2784" i="2"/>
  <c r="M1014" i="2"/>
  <c r="H87" i="2"/>
  <c r="M2377" i="2"/>
  <c r="J2041" i="2"/>
  <c r="E1200" i="2"/>
  <c r="O2012" i="2"/>
  <c r="S1672" i="2"/>
  <c r="R1712" i="2"/>
  <c r="F890" i="2"/>
  <c r="K2603" i="2"/>
  <c r="T834" i="2"/>
  <c r="E340" i="2"/>
  <c r="N1997" i="2"/>
  <c r="D859" i="2"/>
  <c r="U1106" i="2"/>
  <c r="N50" i="2"/>
  <c r="R932" i="2"/>
  <c r="D854" i="2"/>
  <c r="U1538" i="2"/>
  <c r="J1502" i="2"/>
  <c r="M393" i="2"/>
  <c r="F570" i="2"/>
  <c r="N8" i="2"/>
  <c r="E1950" i="2"/>
  <c r="C3437" i="2"/>
  <c r="R1099" i="2"/>
  <c r="E2404" i="2"/>
  <c r="I1847" i="2"/>
  <c r="L2982" i="2"/>
  <c r="M1856" i="2"/>
  <c r="F1324" i="2"/>
  <c r="U1833" i="2"/>
  <c r="S1423" i="2"/>
  <c r="M1091" i="2"/>
  <c r="L1771" i="2"/>
  <c r="G258" i="2"/>
  <c r="W1568" i="2"/>
  <c r="M1481" i="2"/>
  <c r="V1336" i="2"/>
  <c r="U337" i="2"/>
  <c r="D1070" i="2"/>
  <c r="R314" i="2"/>
  <c r="I1704" i="2"/>
  <c r="G1344" i="2"/>
  <c r="D2462" i="2"/>
  <c r="E1514" i="2"/>
  <c r="K268" i="2"/>
  <c r="K1350" i="2"/>
  <c r="L19" i="2"/>
  <c r="I2387" i="2"/>
  <c r="H14" i="2"/>
  <c r="V121" i="2"/>
  <c r="K464" i="2"/>
  <c r="V2819" i="2"/>
  <c r="U2606" i="2"/>
  <c r="D964" i="2"/>
  <c r="G888" i="2"/>
  <c r="I8" i="2"/>
  <c r="P1383" i="2"/>
  <c r="D973" i="2"/>
  <c r="U179" i="2"/>
  <c r="M1683" i="2"/>
  <c r="E352" i="2"/>
  <c r="P2174" i="2"/>
  <c r="K1378" i="2"/>
  <c r="N895" i="2"/>
  <c r="M980" i="2"/>
  <c r="S655" i="2"/>
  <c r="M2522" i="2"/>
  <c r="L1304" i="2"/>
  <c r="N1286" i="2"/>
  <c r="L110" i="2"/>
  <c r="I550" i="2"/>
  <c r="M1896" i="2"/>
  <c r="R2820" i="2"/>
  <c r="W71" i="2"/>
  <c r="F105" i="2"/>
  <c r="U219" i="2"/>
  <c r="T960" i="2"/>
  <c r="R160" i="2"/>
  <c r="G1713" i="2"/>
  <c r="F13" i="2"/>
  <c r="O39" i="2"/>
  <c r="O1732" i="2"/>
  <c r="K920" i="2"/>
  <c r="Q1512" i="2"/>
  <c r="D771" i="2"/>
  <c r="E2033" i="2"/>
  <c r="V2769" i="2"/>
  <c r="C134" i="2"/>
  <c r="J801" i="2"/>
  <c r="H2777" i="2"/>
  <c r="K722" i="2"/>
  <c r="J1243" i="2"/>
  <c r="T937" i="2"/>
  <c r="E1324" i="2"/>
  <c r="C817" i="2"/>
  <c r="M596" i="2"/>
  <c r="J316" i="2"/>
  <c r="R1462" i="2"/>
  <c r="J1681" i="2"/>
  <c r="D468" i="2"/>
  <c r="P447" i="2"/>
  <c r="E159" i="2"/>
  <c r="D846" i="2"/>
  <c r="V1404" i="2"/>
  <c r="U989" i="2"/>
  <c r="O270" i="2"/>
  <c r="I1381" i="2"/>
  <c r="C2119" i="2"/>
  <c r="K1790" i="2"/>
  <c r="D2738" i="2"/>
  <c r="T3125" i="2"/>
  <c r="O2079" i="2"/>
  <c r="U562" i="2"/>
  <c r="O8" i="2"/>
  <c r="C687" i="2"/>
  <c r="V982" i="2"/>
  <c r="K2111" i="2"/>
  <c r="L1491" i="2"/>
  <c r="O328" i="2"/>
  <c r="I2401" i="2"/>
  <c r="G1199" i="2"/>
  <c r="Q344" i="2"/>
  <c r="P1380" i="2"/>
  <c r="S1548" i="2"/>
  <c r="I2483" i="2"/>
  <c r="O1970" i="2"/>
  <c r="W2853" i="2"/>
  <c r="J293" i="2"/>
  <c r="V233" i="2"/>
  <c r="I1482" i="2"/>
  <c r="L795" i="2"/>
  <c r="I2527" i="2"/>
  <c r="P1061" i="2"/>
  <c r="E876" i="2"/>
  <c r="K1193" i="2"/>
  <c r="G1316" i="2"/>
  <c r="D1302" i="2"/>
  <c r="S1612" i="2"/>
  <c r="R2120" i="2"/>
  <c r="F1940" i="2"/>
  <c r="K1703" i="2"/>
  <c r="N1703" i="2"/>
  <c r="I3033" i="2"/>
  <c r="I1181" i="2"/>
  <c r="U1422" i="2"/>
  <c r="I2673" i="2"/>
  <c r="H825" i="2"/>
  <c r="J1124" i="2"/>
  <c r="V1645" i="2"/>
  <c r="Q1051" i="2"/>
  <c r="Q1248" i="2"/>
  <c r="M712" i="2"/>
  <c r="I1788" i="2"/>
  <c r="P1766" i="2"/>
  <c r="J363" i="2"/>
  <c r="T2809" i="2"/>
  <c r="O2007" i="2"/>
  <c r="C1087" i="2"/>
  <c r="D1743" i="2"/>
  <c r="D2206" i="2"/>
  <c r="V1359" i="2"/>
  <c r="L622" i="2"/>
  <c r="J233" i="2"/>
  <c r="P1636" i="2"/>
  <c r="N1060" i="2"/>
  <c r="G506" i="2"/>
  <c r="I1844" i="2"/>
  <c r="S153" i="2"/>
  <c r="W289" i="2"/>
  <c r="D1215" i="2"/>
  <c r="L3392" i="2"/>
  <c r="Q1475" i="2"/>
  <c r="O772" i="2"/>
  <c r="Q682" i="2"/>
  <c r="I908" i="2"/>
  <c r="S1842" i="2"/>
  <c r="H984" i="2"/>
  <c r="P2248" i="2"/>
  <c r="E1582" i="2"/>
  <c r="F1705" i="2"/>
  <c r="F42" i="2"/>
  <c r="L3189" i="2"/>
  <c r="N1805" i="2"/>
  <c r="W1734" i="2"/>
  <c r="G380" i="2"/>
  <c r="O793" i="2"/>
  <c r="C1249" i="2"/>
  <c r="I1679" i="2"/>
  <c r="L2311" i="2"/>
  <c r="S232" i="2"/>
  <c r="W1928" i="2"/>
  <c r="E700" i="2"/>
  <c r="J92" i="2"/>
  <c r="D991" i="2"/>
  <c r="L779" i="2"/>
  <c r="J379" i="2"/>
  <c r="T2034" i="2"/>
  <c r="Q281" i="2"/>
  <c r="C110" i="2"/>
  <c r="W1112" i="2"/>
  <c r="E1330" i="2"/>
  <c r="R542" i="2"/>
  <c r="S129" i="2"/>
  <c r="T196" i="2"/>
  <c r="U896" i="2"/>
  <c r="E3120" i="2"/>
  <c r="R566" i="2"/>
  <c r="E757" i="2"/>
  <c r="O1996" i="2"/>
  <c r="W1237" i="2"/>
  <c r="F2704" i="2"/>
  <c r="M408" i="2"/>
  <c r="L573" i="2"/>
  <c r="M207" i="2"/>
  <c r="E2681" i="2"/>
  <c r="T3042" i="2"/>
  <c r="O1659" i="2"/>
  <c r="C1344" i="2"/>
  <c r="N1854" i="2"/>
  <c r="D508" i="2"/>
  <c r="P1208" i="2"/>
  <c r="L409" i="2"/>
  <c r="W7" i="2"/>
  <c r="K2019" i="2"/>
  <c r="C137" i="2"/>
  <c r="M1622" i="2"/>
  <c r="O1739" i="2"/>
  <c r="S2395" i="2"/>
  <c r="D2100" i="2"/>
  <c r="H1234" i="2"/>
  <c r="F3021" i="2"/>
  <c r="C1224" i="2"/>
  <c r="J763" i="2"/>
  <c r="I257" i="2"/>
  <c r="D473" i="2"/>
  <c r="J315" i="2"/>
  <c r="N907" i="2"/>
  <c r="N451" i="2"/>
  <c r="E1818" i="2"/>
  <c r="M2579" i="2"/>
  <c r="N914" i="2"/>
  <c r="C2144" i="2"/>
  <c r="E1670" i="2"/>
  <c r="J1744" i="2"/>
  <c r="J1313" i="2"/>
  <c r="S418" i="2"/>
  <c r="V975" i="2"/>
  <c r="D2249" i="2"/>
  <c r="R1609" i="2"/>
  <c r="F1915" i="2"/>
  <c r="H2836" i="2"/>
  <c r="D2087" i="2"/>
  <c r="G2348" i="2"/>
  <c r="R509" i="2"/>
  <c r="R946" i="2"/>
  <c r="T674" i="2"/>
  <c r="D983" i="2"/>
  <c r="E323" i="2"/>
  <c r="T587" i="2"/>
  <c r="Q987" i="2"/>
  <c r="T547" i="2"/>
  <c r="H1762" i="2"/>
  <c r="S886" i="2"/>
  <c r="K2102" i="2"/>
  <c r="S2282" i="2"/>
  <c r="M2065" i="2"/>
  <c r="W1035" i="2"/>
  <c r="H333" i="2"/>
  <c r="E1255" i="2"/>
  <c r="D876" i="2"/>
  <c r="I2442" i="2"/>
  <c r="F428" i="2"/>
  <c r="Q1479" i="2"/>
  <c r="D1004" i="2"/>
  <c r="J1073" i="2"/>
  <c r="W1086" i="2"/>
  <c r="W1775" i="2"/>
  <c r="E1462" i="2"/>
  <c r="P1795" i="2"/>
  <c r="G876" i="2"/>
  <c r="F612" i="2"/>
  <c r="D1369" i="2"/>
  <c r="J2778" i="2"/>
  <c r="J1022" i="2"/>
  <c r="T424" i="2"/>
  <c r="L841" i="2"/>
  <c r="U2624" i="2"/>
  <c r="H1026" i="2"/>
  <c r="C120" i="2"/>
  <c r="D2531" i="2"/>
  <c r="R1326" i="2"/>
  <c r="J2578" i="2"/>
  <c r="U173" i="2"/>
  <c r="R2694" i="2"/>
  <c r="T2186" i="2"/>
  <c r="O2518" i="2"/>
  <c r="E1505" i="2"/>
  <c r="U673" i="2"/>
  <c r="J130" i="2"/>
  <c r="I793" i="2"/>
  <c r="S1370" i="2"/>
  <c r="F1023" i="2"/>
  <c r="T3293" i="2"/>
  <c r="M132" i="2"/>
  <c r="L1696" i="2"/>
  <c r="L195" i="2"/>
  <c r="T1277" i="2"/>
  <c r="I2053" i="2"/>
  <c r="I1794" i="2"/>
  <c r="V2343" i="2"/>
  <c r="N2141" i="2"/>
  <c r="L2490" i="2"/>
  <c r="L745" i="2"/>
  <c r="I1810" i="2"/>
  <c r="J737" i="2"/>
  <c r="T220" i="2"/>
  <c r="F1486" i="2"/>
  <c r="Q544" i="2"/>
  <c r="P955" i="2"/>
  <c r="U607" i="2"/>
  <c r="F927" i="2"/>
  <c r="P1299" i="2"/>
  <c r="J428" i="2"/>
  <c r="T614" i="2"/>
  <c r="N3037" i="2"/>
  <c r="U1527" i="2"/>
  <c r="G929" i="2"/>
  <c r="C466" i="2"/>
  <c r="L323" i="2"/>
  <c r="H897" i="2"/>
  <c r="R1323" i="2"/>
  <c r="E1566" i="2"/>
  <c r="U1927" i="2"/>
  <c r="E967" i="2"/>
  <c r="E1295" i="2"/>
  <c r="I229" i="2"/>
  <c r="R225" i="2"/>
  <c r="F1621" i="2"/>
  <c r="O665" i="2"/>
  <c r="P744" i="2"/>
  <c r="J495" i="2"/>
  <c r="I1842" i="2"/>
  <c r="O2788" i="2"/>
  <c r="I595" i="2"/>
  <c r="M313" i="2"/>
  <c r="O20" i="2"/>
  <c r="H2126" i="2"/>
  <c r="J841" i="2"/>
  <c r="M1050" i="2"/>
  <c r="N2685" i="2"/>
  <c r="F1120" i="2"/>
  <c r="G1668" i="2"/>
  <c r="F1680" i="2"/>
  <c r="S306" i="2"/>
  <c r="W692" i="2"/>
  <c r="N597" i="2"/>
  <c r="G1196" i="2"/>
  <c r="S19" i="2"/>
  <c r="G2166" i="2"/>
  <c r="P852" i="2"/>
  <c r="K2494" i="2"/>
  <c r="H383" i="2"/>
  <c r="T1362" i="2"/>
  <c r="G1841" i="2"/>
  <c r="T2561" i="2"/>
  <c r="U317" i="2"/>
  <c r="E2283" i="2"/>
  <c r="W741" i="2"/>
  <c r="K1304" i="2"/>
  <c r="O1466" i="2"/>
  <c r="M1674" i="2"/>
  <c r="D313" i="2"/>
  <c r="J334" i="2"/>
  <c r="M636" i="2"/>
  <c r="S1517" i="2"/>
  <c r="R996" i="2"/>
  <c r="P398" i="2"/>
  <c r="Q100" i="2"/>
  <c r="S1216" i="2"/>
  <c r="O548" i="2"/>
  <c r="E1310" i="2"/>
  <c r="O244" i="2"/>
  <c r="U1321" i="2"/>
  <c r="N839" i="2"/>
  <c r="T2087" i="2"/>
  <c r="W2321" i="2"/>
  <c r="M843" i="2"/>
  <c r="P762" i="2"/>
  <c r="L1841" i="2"/>
  <c r="Q291" i="2"/>
  <c r="D2408" i="2"/>
  <c r="R2759" i="2"/>
  <c r="E8" i="2"/>
  <c r="W99" i="2"/>
  <c r="K1157" i="2"/>
  <c r="E1648" i="2"/>
  <c r="P938" i="2"/>
  <c r="J3163" i="2"/>
  <c r="U1185" i="2"/>
  <c r="E713" i="2"/>
  <c r="U127" i="2"/>
  <c r="L821" i="2"/>
  <c r="J543" i="2"/>
  <c r="Q232" i="2"/>
  <c r="D1061" i="2"/>
  <c r="Q93" i="2"/>
  <c r="L557" i="2"/>
  <c r="T280" i="2"/>
  <c r="P688" i="2"/>
  <c r="I833" i="2"/>
  <c r="L2728" i="2"/>
  <c r="F872" i="2"/>
  <c r="J446" i="2"/>
  <c r="L585" i="2"/>
  <c r="C1963" i="2"/>
  <c r="S1062" i="2"/>
  <c r="H801" i="2"/>
  <c r="N805" i="2"/>
  <c r="I1046" i="2"/>
  <c r="I1706" i="2"/>
  <c r="J923" i="2"/>
  <c r="F2639" i="2"/>
  <c r="L263" i="2"/>
  <c r="U1088" i="2"/>
  <c r="D1138" i="2"/>
  <c r="C1093" i="2"/>
  <c r="W2269" i="2"/>
  <c r="D184" i="2"/>
  <c r="G256" i="2"/>
  <c r="F1393" i="2"/>
  <c r="K1206" i="2"/>
  <c r="K329" i="2"/>
  <c r="O1468" i="2"/>
  <c r="R2345" i="2"/>
  <c r="V362" i="2"/>
  <c r="W1467" i="2"/>
  <c r="J1107" i="2"/>
  <c r="T1620" i="2"/>
  <c r="Q670" i="2"/>
  <c r="W899" i="2"/>
  <c r="D2439" i="2"/>
  <c r="H1483" i="2"/>
  <c r="I1039" i="2"/>
  <c r="W703" i="2"/>
  <c r="R1176" i="2"/>
  <c r="L57" i="2"/>
  <c r="I628" i="2"/>
  <c r="I2231" i="2"/>
  <c r="L2368" i="2"/>
  <c r="O1361" i="2"/>
  <c r="U1020" i="2"/>
  <c r="K2397" i="2"/>
  <c r="U709" i="2"/>
  <c r="H878" i="2"/>
  <c r="V1777" i="2"/>
  <c r="V1668" i="2"/>
  <c r="K279" i="2"/>
  <c r="S1991" i="2"/>
  <c r="J2772" i="2"/>
  <c r="Q3249" i="2"/>
  <c r="L1443" i="2"/>
  <c r="G1463" i="2"/>
  <c r="U1274" i="2"/>
  <c r="K248" i="2"/>
  <c r="F972" i="2"/>
  <c r="W204" i="2"/>
  <c r="R2083" i="2"/>
  <c r="V141" i="2"/>
  <c r="U2235" i="2"/>
  <c r="D576" i="2"/>
  <c r="G2285" i="2"/>
  <c r="H1703" i="2"/>
  <c r="F1164" i="2"/>
  <c r="F2132" i="2"/>
  <c r="R1499" i="2"/>
  <c r="P429" i="2"/>
  <c r="S1874" i="2"/>
  <c r="T403" i="2"/>
  <c r="D1625" i="2"/>
  <c r="D1211" i="2"/>
  <c r="C1171" i="2"/>
  <c r="W1785" i="2"/>
  <c r="H2241" i="2"/>
  <c r="V342" i="2"/>
  <c r="K2543" i="2"/>
  <c r="E149" i="2"/>
  <c r="U191" i="2"/>
  <c r="L1359" i="2"/>
  <c r="O2277" i="2"/>
  <c r="Q2015" i="2"/>
  <c r="P3225" i="2"/>
  <c r="W732" i="2"/>
  <c r="P2700" i="2"/>
  <c r="U1476" i="2"/>
  <c r="M1037" i="2"/>
  <c r="S1308" i="2"/>
  <c r="S109" i="2"/>
  <c r="K580" i="2"/>
  <c r="Q119" i="2"/>
  <c r="V132" i="2"/>
  <c r="G295" i="2"/>
  <c r="Q1340" i="2"/>
  <c r="N1096" i="2"/>
  <c r="C717" i="2"/>
  <c r="T2228" i="2"/>
  <c r="O2324" i="2"/>
  <c r="L1223" i="2"/>
  <c r="I1051" i="2"/>
  <c r="P1283" i="2"/>
  <c r="T1028" i="2"/>
  <c r="S97" i="2"/>
  <c r="Q1363" i="2"/>
  <c r="E1647" i="2"/>
  <c r="P373" i="2"/>
  <c r="E286" i="2"/>
  <c r="G1718" i="2"/>
  <c r="N1393" i="2"/>
  <c r="P224" i="2"/>
  <c r="F1963" i="2"/>
  <c r="C1277" i="2"/>
  <c r="N2535" i="2"/>
  <c r="R1794" i="2"/>
  <c r="R238" i="2"/>
  <c r="C1592" i="2"/>
  <c r="W928" i="2"/>
  <c r="O1145" i="2"/>
  <c r="F1137" i="2"/>
  <c r="J424" i="2"/>
  <c r="J1039" i="2"/>
  <c r="I688" i="2"/>
  <c r="F2189" i="2"/>
  <c r="H186" i="2"/>
  <c r="D694" i="2"/>
  <c r="Q1545" i="2"/>
  <c r="R943" i="2"/>
  <c r="N2106" i="2"/>
  <c r="L1183" i="2"/>
  <c r="H518" i="2"/>
  <c r="N289" i="2"/>
  <c r="J1818" i="2"/>
  <c r="W48" i="2"/>
  <c r="F939" i="2"/>
  <c r="U920" i="2"/>
  <c r="M190" i="2"/>
  <c r="I1612" i="2"/>
  <c r="U1123" i="2"/>
  <c r="J955" i="2"/>
  <c r="N761" i="2"/>
  <c r="D1776" i="2"/>
  <c r="O1696" i="2"/>
  <c r="C1959" i="2"/>
  <c r="P2587" i="2"/>
  <c r="N1772" i="2"/>
  <c r="I1182" i="2"/>
  <c r="K1102" i="2"/>
  <c r="N1395" i="2"/>
  <c r="G428" i="2"/>
  <c r="V740" i="2"/>
  <c r="P344" i="2"/>
  <c r="M2852" i="2"/>
  <c r="K1961" i="2"/>
  <c r="T645" i="2"/>
  <c r="S3579" i="2"/>
  <c r="G1358" i="2"/>
  <c r="Q596" i="2"/>
  <c r="J562" i="2"/>
  <c r="O1595" i="2"/>
  <c r="C2455" i="2"/>
  <c r="N1375" i="2"/>
  <c r="I938" i="2"/>
  <c r="C2763" i="2"/>
  <c r="I584" i="2"/>
  <c r="G793" i="2"/>
  <c r="P251" i="2"/>
  <c r="Q895" i="2"/>
  <c r="H1719" i="2"/>
  <c r="W40" i="2"/>
  <c r="E626" i="2"/>
  <c r="Q1623" i="2"/>
  <c r="M535" i="2"/>
  <c r="L160" i="2"/>
  <c r="R2542" i="2"/>
  <c r="R2635" i="2"/>
  <c r="K406" i="2"/>
  <c r="O1362" i="2"/>
  <c r="J44" i="2"/>
  <c r="K1301" i="2"/>
  <c r="L1579" i="2"/>
  <c r="J659" i="2"/>
  <c r="T1065" i="2"/>
  <c r="R1230" i="2"/>
  <c r="M2235" i="2"/>
  <c r="L765" i="2"/>
  <c r="J456" i="2"/>
  <c r="V257" i="2"/>
  <c r="I572" i="2"/>
  <c r="S32" i="2"/>
  <c r="H547" i="2"/>
  <c r="R532" i="2"/>
  <c r="V3362" i="2"/>
  <c r="R1854" i="2"/>
  <c r="M603" i="2"/>
  <c r="H974" i="2"/>
  <c r="F2018" i="2"/>
  <c r="I1125" i="2"/>
  <c r="H332" i="2"/>
  <c r="M490" i="2"/>
  <c r="G1090" i="2"/>
  <c r="W907" i="2"/>
  <c r="V1749" i="2"/>
  <c r="I1523" i="2"/>
  <c r="U1816" i="2"/>
  <c r="D586" i="2"/>
  <c r="G588" i="2"/>
  <c r="K237" i="2"/>
  <c r="G66" i="2"/>
  <c r="K524" i="2"/>
  <c r="S474" i="2"/>
  <c r="U344" i="2"/>
  <c r="D1594" i="2"/>
  <c r="C923" i="2"/>
  <c r="Q1020" i="2"/>
  <c r="M536" i="2"/>
  <c r="F121" i="2"/>
  <c r="Q1821" i="2"/>
  <c r="L438" i="2"/>
  <c r="I2109" i="2"/>
  <c r="D2219" i="2"/>
  <c r="V1298" i="2"/>
  <c r="V1746" i="2"/>
  <c r="N1599" i="2"/>
  <c r="M1617" i="2"/>
  <c r="J1484" i="2"/>
  <c r="T1208" i="2"/>
  <c r="J228" i="2"/>
  <c r="G487" i="2"/>
  <c r="Q2055" i="2"/>
  <c r="J3064" i="2"/>
  <c r="S2496" i="2"/>
  <c r="K2729" i="2"/>
  <c r="S72" i="2"/>
  <c r="L1697" i="2"/>
  <c r="G138" i="2"/>
  <c r="P2022" i="2"/>
  <c r="S2470" i="2"/>
  <c r="W2562" i="2"/>
  <c r="U1996" i="2"/>
  <c r="J755" i="2"/>
  <c r="P1141" i="2"/>
  <c r="S413" i="2"/>
  <c r="H511" i="2"/>
  <c r="Q1087" i="2"/>
  <c r="P1418" i="2"/>
  <c r="K1524" i="2"/>
  <c r="O1780" i="2"/>
  <c r="S1045" i="2"/>
  <c r="S2148" i="2"/>
  <c r="E430" i="2"/>
  <c r="K1731" i="2"/>
  <c r="M2559" i="2"/>
  <c r="K578" i="2"/>
  <c r="G2970" i="2"/>
  <c r="W2200" i="2"/>
  <c r="L1972" i="2"/>
  <c r="G132" i="2"/>
  <c r="C2970" i="2"/>
  <c r="D878" i="2"/>
  <c r="U2959" i="2"/>
  <c r="V2725" i="2"/>
  <c r="K743" i="2"/>
  <c r="P55" i="2"/>
  <c r="J2368" i="2"/>
  <c r="N867" i="2"/>
  <c r="I861" i="2"/>
  <c r="G362" i="2"/>
  <c r="V1448" i="2"/>
  <c r="N1771" i="2"/>
  <c r="R331" i="2"/>
  <c r="U1178" i="2"/>
  <c r="N2283" i="2"/>
  <c r="I2536" i="2"/>
  <c r="T931" i="2"/>
  <c r="N2188" i="2"/>
  <c r="T499" i="2"/>
  <c r="K856" i="2"/>
  <c r="U1947" i="2"/>
  <c r="D404" i="2"/>
  <c r="R1497" i="2"/>
  <c r="S216" i="2"/>
  <c r="F2147" i="2"/>
  <c r="P853" i="2"/>
  <c r="P1722" i="2"/>
  <c r="T1892" i="2"/>
  <c r="S1445" i="2"/>
  <c r="Q2804" i="2"/>
  <c r="H1121" i="2"/>
  <c r="N757" i="2"/>
  <c r="N308" i="2"/>
  <c r="T1330" i="2"/>
  <c r="K5" i="2"/>
  <c r="N2501" i="2"/>
  <c r="L839" i="2"/>
  <c r="S1957" i="2"/>
  <c r="E1496" i="2"/>
  <c r="O84" i="2"/>
  <c r="S1576" i="2"/>
  <c r="I644" i="2"/>
  <c r="G1843" i="2"/>
  <c r="T2219" i="2"/>
  <c r="F2111" i="2"/>
  <c r="V35" i="2"/>
  <c r="H1188" i="2"/>
  <c r="D239" i="2"/>
  <c r="N2090" i="2"/>
  <c r="K1802" i="2"/>
  <c r="D1579" i="2"/>
  <c r="G552" i="2"/>
  <c r="I1886" i="2"/>
  <c r="K474" i="2"/>
  <c r="W613" i="2"/>
  <c r="W842" i="2"/>
  <c r="K290" i="2"/>
  <c r="Q940" i="2"/>
  <c r="M904" i="2"/>
  <c r="V1206" i="2"/>
  <c r="E2064" i="2"/>
  <c r="D1162" i="2"/>
  <c r="T1905" i="2"/>
  <c r="F2605" i="2"/>
  <c r="V511" i="2"/>
  <c r="V271" i="2"/>
  <c r="S2739" i="2"/>
  <c r="C2031" i="2"/>
  <c r="T1868" i="2"/>
  <c r="U2773" i="2"/>
  <c r="J383" i="2"/>
  <c r="K1226" i="2"/>
  <c r="V524" i="2"/>
  <c r="C1096" i="2"/>
  <c r="Q1900" i="2"/>
  <c r="C139" i="2"/>
  <c r="N1689" i="2"/>
  <c r="K419" i="2"/>
  <c r="K599" i="2"/>
  <c r="Q975" i="2"/>
  <c r="L124" i="2"/>
  <c r="V96" i="2"/>
  <c r="E1134" i="2"/>
  <c r="J121" i="2"/>
  <c r="U2283" i="2"/>
  <c r="I1380" i="2"/>
  <c r="P1282" i="2"/>
  <c r="N114" i="2"/>
  <c r="Q934" i="2"/>
  <c r="D39" i="2"/>
  <c r="E1319" i="2"/>
  <c r="V291" i="2"/>
  <c r="I2055" i="2"/>
  <c r="N598" i="2"/>
  <c r="K1451" i="2"/>
  <c r="Q763" i="2"/>
  <c r="T486" i="2"/>
  <c r="Q2168" i="2"/>
  <c r="S11" i="2"/>
  <c r="D1564" i="2"/>
  <c r="K671" i="2"/>
  <c r="M1708" i="2"/>
  <c r="Q1066" i="2"/>
  <c r="O1467" i="2"/>
  <c r="D314" i="2"/>
  <c r="S2418" i="2"/>
  <c r="U2437" i="2"/>
  <c r="J1802" i="2"/>
  <c r="J1137" i="2"/>
  <c r="G1186" i="2"/>
  <c r="I494" i="2"/>
  <c r="V1323" i="2"/>
  <c r="H415" i="2"/>
  <c r="H1189" i="2"/>
  <c r="J613" i="2"/>
  <c r="C360" i="2"/>
  <c r="C2277" i="2"/>
  <c r="C1416" i="2"/>
  <c r="V2887" i="2"/>
  <c r="C1447" i="2"/>
  <c r="O2367" i="2"/>
  <c r="I1776" i="2"/>
  <c r="G542" i="2"/>
  <c r="R2825" i="2"/>
  <c r="K1049" i="2"/>
  <c r="N206" i="2"/>
  <c r="C185" i="2"/>
  <c r="F2910" i="2"/>
  <c r="D1171" i="2"/>
  <c r="R2046" i="2"/>
  <c r="W1885" i="2"/>
  <c r="T1124" i="2"/>
  <c r="N2979" i="2"/>
  <c r="P19" i="2"/>
  <c r="P252" i="2"/>
  <c r="F2349" i="2"/>
  <c r="S2452" i="2"/>
  <c r="I426" i="2"/>
  <c r="Q1366" i="2"/>
  <c r="U1720" i="2"/>
  <c r="M939" i="2"/>
  <c r="S2729" i="2"/>
  <c r="P117" i="2"/>
  <c r="H1711" i="2"/>
  <c r="F1238" i="2"/>
  <c r="M1750" i="2"/>
  <c r="C1422" i="2"/>
  <c r="N2618" i="2"/>
  <c r="Q810" i="2"/>
  <c r="Q1125" i="2"/>
  <c r="P737" i="2"/>
  <c r="L656" i="2"/>
  <c r="N1485" i="2"/>
  <c r="J473" i="2"/>
  <c r="S2891" i="2"/>
  <c r="M2186" i="2"/>
  <c r="V508" i="2"/>
  <c r="M114" i="2"/>
  <c r="E1574" i="2"/>
  <c r="O1349" i="2"/>
  <c r="E208" i="2"/>
  <c r="D736" i="2"/>
  <c r="O3151" i="2"/>
  <c r="W1252" i="2"/>
  <c r="F74" i="2"/>
  <c r="U135" i="2"/>
  <c r="W1115" i="2"/>
  <c r="V781" i="2"/>
  <c r="G1935" i="2"/>
  <c r="H2659" i="2"/>
  <c r="F454" i="2"/>
  <c r="J358" i="2"/>
  <c r="E619" i="2"/>
  <c r="M1973" i="2"/>
  <c r="J826" i="2"/>
  <c r="U1263" i="2"/>
  <c r="D759" i="2"/>
  <c r="R1124" i="2"/>
  <c r="E194" i="2"/>
  <c r="E1368" i="2"/>
  <c r="E46" i="2"/>
  <c r="D383" i="2"/>
  <c r="J1549" i="2"/>
  <c r="C1337" i="2"/>
  <c r="K1041" i="2"/>
  <c r="S90" i="2"/>
  <c r="H2185" i="2"/>
  <c r="R38" i="2"/>
  <c r="O2895" i="2"/>
  <c r="N1670" i="2"/>
  <c r="V3088" i="2"/>
  <c r="J2672" i="2"/>
  <c r="P1800" i="2"/>
  <c r="U2727" i="2"/>
  <c r="O1915" i="2"/>
  <c r="H2502" i="2"/>
  <c r="L2478" i="2"/>
  <c r="O335" i="2"/>
  <c r="D1226" i="2"/>
  <c r="R1303" i="2"/>
  <c r="K582" i="2"/>
  <c r="T15" i="2"/>
  <c r="O2398" i="2"/>
  <c r="J2277" i="2"/>
  <c r="N1523" i="2"/>
  <c r="U1006" i="2"/>
  <c r="K2191" i="2"/>
  <c r="R100" i="2"/>
  <c r="P2849" i="2"/>
  <c r="L914" i="2"/>
  <c r="I515" i="2"/>
  <c r="Q1945" i="2"/>
  <c r="G880" i="2"/>
  <c r="E845" i="2"/>
  <c r="D1329" i="2"/>
  <c r="P542" i="2"/>
  <c r="G436" i="2"/>
  <c r="P785" i="2"/>
  <c r="K273" i="2"/>
  <c r="T1839" i="2"/>
  <c r="N2605" i="2"/>
  <c r="S613" i="2"/>
  <c r="P2266" i="2"/>
  <c r="K232" i="2"/>
  <c r="M1588" i="2"/>
  <c r="P1421" i="2"/>
  <c r="I2093" i="2"/>
  <c r="H1382" i="2"/>
  <c r="O907" i="2"/>
  <c r="W2148" i="2"/>
  <c r="U304" i="2"/>
  <c r="L2520" i="2"/>
  <c r="L176" i="2"/>
  <c r="K314" i="2"/>
  <c r="E201" i="2"/>
  <c r="M1389" i="2"/>
  <c r="N979" i="2"/>
  <c r="P2575" i="2"/>
  <c r="D1906" i="2"/>
  <c r="S1394" i="2"/>
  <c r="P167" i="2"/>
  <c r="M2806" i="2"/>
  <c r="T2381" i="2"/>
  <c r="L2512" i="2"/>
  <c r="U1765" i="2"/>
  <c r="D644" i="2"/>
  <c r="R632" i="2"/>
  <c r="E349" i="2"/>
  <c r="D79" i="2"/>
  <c r="K2385" i="2"/>
  <c r="I1334" i="2"/>
  <c r="S2117" i="2"/>
  <c r="H2047" i="2"/>
  <c r="G1174" i="2"/>
  <c r="O2525" i="2"/>
  <c r="G603" i="2"/>
  <c r="D1508" i="2"/>
  <c r="O1639" i="2"/>
  <c r="S81" i="2"/>
  <c r="C2746" i="2"/>
  <c r="C2713" i="2"/>
  <c r="P2056" i="2"/>
  <c r="W1831" i="2"/>
  <c r="W1060" i="2"/>
  <c r="U1419" i="2"/>
  <c r="R1052" i="2"/>
  <c r="O2824" i="2"/>
  <c r="T2080" i="2"/>
  <c r="G163" i="2"/>
  <c r="M319" i="2"/>
  <c r="W1128" i="2"/>
  <c r="V557" i="2"/>
  <c r="P758" i="2"/>
  <c r="R2117" i="2"/>
  <c r="R1986" i="2"/>
  <c r="R1353" i="2"/>
  <c r="N1471" i="2"/>
  <c r="V172" i="2"/>
  <c r="W722" i="2"/>
  <c r="E1458" i="2"/>
  <c r="D994" i="2"/>
  <c r="W466" i="2"/>
  <c r="J1979" i="2"/>
  <c r="I564" i="2"/>
  <c r="C2252" i="2"/>
  <c r="H389" i="2"/>
  <c r="W1650" i="2"/>
  <c r="M516" i="2"/>
  <c r="S891" i="2"/>
  <c r="C2207" i="2"/>
  <c r="R589" i="2"/>
  <c r="V3045" i="2"/>
  <c r="H86" i="2"/>
  <c r="Q274" i="2"/>
  <c r="N2250" i="2"/>
  <c r="S1599" i="2"/>
  <c r="O533" i="2"/>
  <c r="L750" i="2"/>
  <c r="C1914" i="2"/>
  <c r="I2530" i="2"/>
  <c r="G175" i="2"/>
  <c r="T3584" i="2"/>
  <c r="K1247" i="2"/>
  <c r="O1213" i="2"/>
  <c r="H678" i="2"/>
  <c r="S2646" i="2"/>
  <c r="V696" i="2"/>
  <c r="W1198" i="2"/>
  <c r="D2426" i="2"/>
  <c r="N1444" i="2"/>
  <c r="G543" i="2"/>
  <c r="R531" i="2"/>
  <c r="W1154" i="2"/>
  <c r="G1571" i="2"/>
  <c r="T851" i="2"/>
  <c r="U282" i="2"/>
  <c r="O1566" i="2"/>
  <c r="R726" i="2"/>
  <c r="H475" i="2"/>
  <c r="N595" i="2"/>
  <c r="L516" i="2"/>
  <c r="I1000" i="2"/>
  <c r="K1086" i="2"/>
  <c r="U1944" i="2"/>
  <c r="F689" i="2"/>
  <c r="J346" i="2"/>
  <c r="L119" i="2"/>
  <c r="V9" i="2"/>
  <c r="W676" i="2"/>
  <c r="M608" i="2"/>
  <c r="R227" i="2"/>
  <c r="R1348" i="2"/>
  <c r="E2570" i="2"/>
  <c r="Q1196" i="2"/>
  <c r="C976" i="2"/>
  <c r="D721" i="2"/>
  <c r="W392" i="2"/>
  <c r="J2469" i="2"/>
  <c r="R237" i="2"/>
  <c r="E2720" i="2"/>
  <c r="H2626" i="2"/>
  <c r="T671" i="2"/>
  <c r="L896" i="2"/>
  <c r="P2191" i="2"/>
  <c r="L1325" i="2"/>
  <c r="C552" i="2"/>
  <c r="K1131" i="2"/>
  <c r="P1259" i="2"/>
  <c r="O2599" i="2"/>
  <c r="S1302" i="2"/>
  <c r="N126" i="2"/>
  <c r="O1977" i="2"/>
  <c r="O3415" i="2"/>
  <c r="L3501" i="2"/>
  <c r="E220" i="2"/>
  <c r="I1610" i="2"/>
  <c r="T901" i="2"/>
  <c r="T656" i="2"/>
  <c r="D801" i="2"/>
  <c r="N1624" i="2"/>
  <c r="U1484" i="2"/>
  <c r="U142" i="2"/>
  <c r="T364" i="2"/>
  <c r="F143" i="2"/>
  <c r="J1435" i="2"/>
  <c r="L1652" i="2"/>
  <c r="O3328" i="2"/>
  <c r="U1028" i="2"/>
  <c r="U1318" i="2"/>
  <c r="Q2008" i="2"/>
  <c r="W1123" i="2"/>
  <c r="I1852" i="2"/>
  <c r="M320" i="2"/>
  <c r="L971" i="2"/>
  <c r="S352" i="2"/>
  <c r="V226" i="2"/>
  <c r="N723" i="2"/>
  <c r="V1116" i="2"/>
  <c r="I3398" i="2"/>
  <c r="W2377" i="2"/>
  <c r="R552" i="2"/>
  <c r="V2575" i="2"/>
  <c r="D1271" i="2"/>
  <c r="R866" i="2"/>
  <c r="D2858" i="2"/>
  <c r="E1996" i="2"/>
  <c r="C871" i="2"/>
  <c r="S1307" i="2"/>
  <c r="N1022" i="2"/>
  <c r="I141" i="2"/>
  <c r="W19" i="2"/>
  <c r="J830" i="2"/>
  <c r="J1698" i="2"/>
  <c r="H1409" i="2"/>
  <c r="S2316" i="2"/>
  <c r="S423" i="2"/>
  <c r="V2276" i="2"/>
  <c r="E912" i="2"/>
  <c r="O1272" i="2"/>
  <c r="C483" i="2"/>
  <c r="W1111" i="2"/>
  <c r="J1290" i="2"/>
  <c r="Q515" i="2"/>
  <c r="P464" i="2"/>
  <c r="F1955" i="2"/>
  <c r="F1793" i="2"/>
  <c r="P635" i="2"/>
  <c r="T639" i="2"/>
  <c r="N1559" i="2"/>
  <c r="I164" i="2"/>
  <c r="U1461" i="2"/>
  <c r="C113" i="2"/>
  <c r="R2127" i="2"/>
  <c r="J4" i="2"/>
  <c r="P81" i="2"/>
  <c r="T2545" i="2"/>
  <c r="F1322" i="2"/>
  <c r="S857" i="2"/>
  <c r="N1486" i="2"/>
  <c r="C1042" i="2"/>
  <c r="P1295" i="2"/>
  <c r="U587" i="2"/>
  <c r="G1912" i="2"/>
  <c r="C212" i="2"/>
  <c r="H700" i="2"/>
  <c r="E2396" i="2"/>
  <c r="T786" i="2"/>
  <c r="I2556" i="2"/>
  <c r="Q2326" i="2"/>
  <c r="N1755" i="2"/>
  <c r="L2888" i="2"/>
  <c r="W874" i="2"/>
  <c r="Q708" i="2"/>
  <c r="L1849" i="2"/>
  <c r="P3395" i="2"/>
  <c r="W3166" i="2"/>
  <c r="J1012" i="2"/>
  <c r="S1403" i="2"/>
  <c r="J1945" i="2"/>
  <c r="S344" i="2"/>
  <c r="E2767" i="2"/>
  <c r="R1066" i="2"/>
  <c r="U842" i="2"/>
  <c r="U1283" i="2"/>
  <c r="V2419" i="2"/>
  <c r="F855" i="2"/>
  <c r="P2208" i="2"/>
  <c r="O2102" i="2"/>
  <c r="Q2419" i="2"/>
  <c r="R871" i="2"/>
  <c r="L2412" i="2"/>
  <c r="R1671" i="2"/>
  <c r="I2734" i="2"/>
  <c r="S675" i="2"/>
  <c r="J85" i="2"/>
  <c r="F2735" i="2"/>
  <c r="V1848" i="2"/>
  <c r="W3005" i="2"/>
  <c r="S2301" i="2"/>
  <c r="P11" i="2"/>
  <c r="M520" i="2"/>
  <c r="E3005" i="2"/>
  <c r="P2515" i="2"/>
  <c r="P444" i="2"/>
  <c r="F1435" i="2"/>
  <c r="K1826" i="2"/>
  <c r="D1548" i="2"/>
  <c r="N83" i="2"/>
  <c r="F301" i="2"/>
  <c r="W1711" i="2"/>
  <c r="N1405" i="2"/>
  <c r="I191" i="2"/>
  <c r="L836" i="2"/>
  <c r="I1902" i="2"/>
  <c r="U2344" i="2"/>
  <c r="Q2305" i="2"/>
  <c r="D2965" i="2"/>
  <c r="F1973" i="2"/>
  <c r="D1408" i="2"/>
  <c r="F1025" i="2"/>
  <c r="H2165" i="2"/>
  <c r="O1331" i="2"/>
  <c r="D2347" i="2"/>
  <c r="M668" i="2"/>
  <c r="E320" i="2"/>
  <c r="P1611" i="2"/>
  <c r="W260" i="2"/>
  <c r="I131" i="2"/>
  <c r="F1409" i="2"/>
  <c r="G49" i="2"/>
  <c r="T747" i="2"/>
  <c r="Q2819" i="2"/>
  <c r="K556" i="2"/>
  <c r="H1734" i="2"/>
  <c r="S649" i="2"/>
  <c r="S2687" i="2"/>
  <c r="L1868" i="2"/>
  <c r="P2585" i="2"/>
  <c r="H2564" i="2"/>
  <c r="K806" i="2"/>
  <c r="Q1255" i="2"/>
  <c r="N2048" i="2"/>
  <c r="C902" i="2"/>
  <c r="G977" i="2"/>
  <c r="K2567" i="2"/>
  <c r="J471" i="2"/>
  <c r="J241" i="2"/>
  <c r="V765" i="2"/>
  <c r="H1193" i="2"/>
  <c r="R182" i="2"/>
  <c r="M2420" i="2"/>
  <c r="I1620" i="2"/>
  <c r="H2759" i="2"/>
  <c r="D2300" i="2"/>
  <c r="J1917" i="2"/>
  <c r="W630" i="2"/>
  <c r="P1350" i="2"/>
  <c r="T1025" i="2"/>
  <c r="I2482" i="2"/>
  <c r="J227" i="2"/>
  <c r="S984" i="2"/>
  <c r="S712" i="2"/>
  <c r="L220" i="2"/>
  <c r="H943" i="2"/>
  <c r="I1033" i="2"/>
  <c r="D237" i="2"/>
  <c r="R1315" i="2"/>
  <c r="T1040" i="2"/>
  <c r="F1101" i="2"/>
  <c r="E772" i="2"/>
  <c r="J2406" i="2"/>
  <c r="V359" i="2"/>
  <c r="U2921" i="2"/>
  <c r="I953" i="2"/>
  <c r="T1229" i="2"/>
  <c r="G1782" i="2"/>
  <c r="U894" i="2"/>
  <c r="T2410" i="2"/>
  <c r="P844" i="2"/>
  <c r="C1819" i="2"/>
  <c r="T2126" i="2"/>
  <c r="E1537" i="2"/>
  <c r="C211" i="2"/>
  <c r="D77" i="2"/>
  <c r="G270" i="2"/>
  <c r="J11" i="2"/>
  <c r="G2989" i="2"/>
  <c r="P1726" i="2"/>
  <c r="S1205" i="2"/>
  <c r="E2125" i="2"/>
  <c r="K1766" i="2"/>
  <c r="R813" i="2"/>
  <c r="M1425" i="2"/>
  <c r="U342" i="2"/>
  <c r="N26" i="2"/>
  <c r="E11" i="2"/>
  <c r="I1032" i="2"/>
  <c r="I1650" i="2"/>
  <c r="M791" i="2"/>
  <c r="P1116" i="2"/>
  <c r="K1569" i="2"/>
  <c r="T737" i="2"/>
  <c r="H971" i="2"/>
  <c r="G1791" i="2"/>
  <c r="D571" i="2"/>
  <c r="N955" i="2"/>
  <c r="H853" i="2"/>
  <c r="C980" i="2"/>
  <c r="K35" i="2"/>
  <c r="S1073" i="2"/>
  <c r="E2139" i="2"/>
  <c r="I854" i="2"/>
  <c r="J1996" i="2"/>
  <c r="I1077" i="2"/>
  <c r="O1482" i="2"/>
  <c r="W2623" i="2"/>
  <c r="C2078" i="2"/>
  <c r="T2685" i="2"/>
  <c r="L3180" i="2"/>
  <c r="D1873" i="2"/>
  <c r="K968" i="2"/>
  <c r="M778" i="2"/>
  <c r="K103" i="2"/>
  <c r="L324" i="2"/>
  <c r="W334" i="2"/>
  <c r="L2911" i="2"/>
  <c r="V1259" i="2"/>
  <c r="E1927" i="2"/>
  <c r="Q647" i="2"/>
  <c r="S706" i="2"/>
  <c r="N311" i="2"/>
  <c r="P655" i="2"/>
  <c r="D922" i="2"/>
  <c r="V1335" i="2"/>
  <c r="F2569" i="2"/>
  <c r="U2554" i="2"/>
  <c r="J1556" i="2"/>
  <c r="C1227" i="2"/>
  <c r="U1700" i="2"/>
  <c r="F1128" i="2"/>
  <c r="J1144" i="2"/>
  <c r="L764" i="2"/>
  <c r="S1338" i="2"/>
  <c r="J1959" i="2"/>
  <c r="T1446" i="2"/>
  <c r="I1444" i="2"/>
  <c r="J711" i="2"/>
  <c r="P1378" i="2"/>
  <c r="Q3320" i="2"/>
  <c r="M1379" i="2"/>
  <c r="K611" i="2"/>
  <c r="N2066" i="2"/>
  <c r="T107" i="2"/>
  <c r="V1480" i="2"/>
  <c r="E1339" i="2"/>
  <c r="S1979" i="2"/>
  <c r="N1626" i="2"/>
  <c r="E545" i="2"/>
  <c r="N261" i="2"/>
  <c r="N31" i="2"/>
  <c r="D397" i="2"/>
  <c r="C2016" i="2"/>
  <c r="G1578" i="2"/>
  <c r="R626" i="2"/>
  <c r="N580" i="2"/>
  <c r="R253" i="2"/>
  <c r="L1137" i="2"/>
  <c r="S1090" i="2"/>
  <c r="U1218" i="2"/>
  <c r="U2047" i="2"/>
  <c r="M1474" i="2"/>
  <c r="E374" i="2"/>
  <c r="G277" i="2"/>
  <c r="G1371" i="2"/>
  <c r="C965" i="2"/>
  <c r="S1225" i="2"/>
  <c r="S2456" i="2"/>
  <c r="P1608" i="2"/>
  <c r="F913" i="2"/>
  <c r="Q1672" i="2"/>
  <c r="D1712" i="2"/>
  <c r="P1853" i="2"/>
  <c r="P2165" i="2"/>
  <c r="S1382" i="2"/>
  <c r="H2698" i="2"/>
  <c r="Q87" i="2"/>
  <c r="J234" i="2"/>
  <c r="L649" i="2"/>
  <c r="C202" i="2"/>
  <c r="L1808" i="2"/>
  <c r="C423" i="2"/>
  <c r="J2302" i="2"/>
  <c r="I970" i="2"/>
  <c r="G799" i="2"/>
  <c r="O835" i="2"/>
  <c r="G1689" i="2"/>
  <c r="N783" i="2"/>
  <c r="D1728" i="2"/>
  <c r="F750" i="2"/>
  <c r="N823" i="2"/>
  <c r="U1736" i="2"/>
  <c r="S1792" i="2"/>
  <c r="O820" i="2"/>
  <c r="P2551" i="2"/>
  <c r="M2274" i="2"/>
  <c r="M1583" i="2"/>
  <c r="J2342" i="2"/>
  <c r="W2074" i="2"/>
  <c r="V1055" i="2"/>
  <c r="R1669" i="2"/>
  <c r="C2446" i="2"/>
  <c r="C603" i="2"/>
  <c r="V2297" i="2"/>
  <c r="C847" i="2"/>
  <c r="D317" i="2"/>
  <c r="M1372" i="2"/>
  <c r="F1543" i="2"/>
  <c r="D2053" i="2"/>
  <c r="O1543" i="2"/>
  <c r="P2294" i="2"/>
  <c r="W570" i="2"/>
  <c r="Q952" i="2"/>
  <c r="U590" i="2"/>
  <c r="J217" i="2"/>
  <c r="S791" i="2"/>
  <c r="O288" i="2"/>
  <c r="S715" i="2"/>
  <c r="I383" i="2"/>
  <c r="F1455" i="2"/>
  <c r="U1981" i="2"/>
  <c r="W331" i="2"/>
  <c r="D1581" i="2"/>
  <c r="J703" i="2"/>
  <c r="S2058" i="2"/>
  <c r="W473" i="2"/>
  <c r="O316" i="2"/>
  <c r="G352" i="2"/>
  <c r="D1659" i="2"/>
  <c r="G1974" i="2"/>
  <c r="I2772" i="2"/>
  <c r="L1998" i="2"/>
  <c r="I2013" i="2"/>
  <c r="V474" i="2"/>
  <c r="C652" i="2"/>
  <c r="V2226" i="2"/>
  <c r="V932" i="2"/>
  <c r="F438" i="2"/>
  <c r="D25" i="2"/>
  <c r="E1057" i="2"/>
  <c r="J460" i="2"/>
  <c r="P1118" i="2"/>
  <c r="U640" i="2"/>
  <c r="L1353" i="2"/>
  <c r="K510" i="2"/>
  <c r="N1840" i="2"/>
  <c r="V3077" i="2"/>
  <c r="I18" i="2"/>
  <c r="O2159" i="2"/>
  <c r="J961" i="2"/>
  <c r="C730" i="2"/>
  <c r="D1777" i="2"/>
  <c r="H776" i="2"/>
  <c r="W1462" i="2"/>
  <c r="J1165" i="2"/>
  <c r="Q2966" i="2"/>
  <c r="G1248" i="2"/>
  <c r="H1173" i="2"/>
  <c r="L2892" i="2"/>
  <c r="O1258" i="2"/>
  <c r="Q1497" i="2"/>
  <c r="N1388" i="2"/>
  <c r="L925" i="2"/>
  <c r="Q1603" i="2"/>
  <c r="Q788" i="2"/>
  <c r="Q1474" i="2"/>
  <c r="M3080" i="2"/>
  <c r="W500" i="2"/>
  <c r="F1867" i="2"/>
  <c r="H425" i="2"/>
  <c r="G1348" i="2"/>
  <c r="N544" i="2"/>
  <c r="S2425" i="2"/>
  <c r="E1548" i="2"/>
  <c r="R2118" i="2"/>
  <c r="E1708" i="2"/>
  <c r="E1299" i="2"/>
  <c r="D1097" i="2"/>
  <c r="I1624" i="2"/>
  <c r="M1695" i="2"/>
  <c r="T2036" i="2"/>
  <c r="Q613" i="2"/>
  <c r="E525" i="2"/>
  <c r="H926" i="2"/>
  <c r="T1176" i="2"/>
  <c r="L3216" i="2"/>
  <c r="I889" i="2"/>
  <c r="D130" i="2"/>
  <c r="I1711" i="2"/>
  <c r="K511" i="2"/>
  <c r="R1533" i="2"/>
  <c r="S1331" i="2"/>
  <c r="T629" i="2"/>
  <c r="C673" i="2"/>
  <c r="V1401" i="2"/>
  <c r="U75" i="2"/>
  <c r="C1558" i="2"/>
  <c r="V23" i="2"/>
  <c r="L2347" i="2"/>
  <c r="W330" i="2"/>
  <c r="I405" i="2"/>
  <c r="E657" i="2"/>
  <c r="D950" i="2"/>
  <c r="H2011" i="2"/>
  <c r="W216" i="2"/>
  <c r="N855" i="2"/>
  <c r="H790" i="2"/>
  <c r="R1478" i="2"/>
  <c r="U101" i="2"/>
  <c r="G1286" i="2"/>
  <c r="V865" i="2"/>
  <c r="S1034" i="2"/>
  <c r="T287" i="2"/>
  <c r="K1077" i="2"/>
  <c r="N1251" i="2"/>
  <c r="J1370" i="2"/>
  <c r="K2236" i="2"/>
  <c r="J2444" i="2"/>
  <c r="N2513" i="2"/>
  <c r="D645" i="2"/>
  <c r="O1935" i="2"/>
  <c r="Q1574" i="2"/>
  <c r="H2134" i="2"/>
  <c r="H152" i="2"/>
  <c r="I100" i="2"/>
  <c r="R2253" i="2"/>
  <c r="J2675" i="2"/>
  <c r="G115" i="2"/>
  <c r="C549" i="2"/>
  <c r="K1263" i="2"/>
  <c r="T1112" i="2"/>
  <c r="W2001" i="2"/>
  <c r="J2653" i="2"/>
  <c r="I1680" i="2"/>
  <c r="I2907" i="2"/>
  <c r="I1127" i="2"/>
  <c r="R104" i="2"/>
  <c r="O220" i="2"/>
  <c r="K752" i="2"/>
  <c r="M1819" i="2"/>
  <c r="S1937" i="2"/>
  <c r="T42" i="2"/>
  <c r="V154" i="2"/>
  <c r="O1600" i="2"/>
  <c r="N2050" i="2"/>
  <c r="K2015" i="2"/>
  <c r="E666" i="2"/>
  <c r="L604" i="2"/>
  <c r="Q1555" i="2"/>
  <c r="F1254" i="2"/>
  <c r="M2103" i="2"/>
  <c r="E1282" i="2"/>
  <c r="S350" i="2"/>
  <c r="H2161" i="2"/>
  <c r="D1946" i="2"/>
  <c r="E450" i="2"/>
  <c r="V835" i="2"/>
  <c r="W1698" i="2"/>
  <c r="S2141" i="2"/>
  <c r="C1085" i="2"/>
  <c r="G34" i="2"/>
  <c r="G639" i="2"/>
  <c r="W963" i="2"/>
  <c r="P143" i="2"/>
  <c r="L705" i="2"/>
  <c r="W1325" i="2"/>
  <c r="V710" i="2"/>
  <c r="L2929" i="2"/>
  <c r="J430" i="2"/>
  <c r="V848" i="2"/>
  <c r="E271" i="2"/>
  <c r="S718" i="2"/>
  <c r="U1888" i="2"/>
  <c r="F1968" i="2"/>
  <c r="G1462" i="2"/>
  <c r="E1982" i="2"/>
  <c r="Q854" i="2"/>
  <c r="O385" i="2"/>
  <c r="M77" i="2"/>
  <c r="O1409" i="2"/>
  <c r="H2965" i="2"/>
  <c r="U301" i="2"/>
  <c r="K1811" i="2"/>
  <c r="W2628" i="2"/>
  <c r="S471" i="2"/>
  <c r="W1473" i="2"/>
  <c r="P376" i="2"/>
  <c r="M151" i="2"/>
  <c r="R1178" i="2"/>
  <c r="U2007" i="2"/>
  <c r="T604" i="2"/>
  <c r="O456" i="2"/>
  <c r="M556" i="2"/>
  <c r="K59" i="2"/>
  <c r="P458" i="2"/>
  <c r="M2267" i="2"/>
  <c r="F1059" i="2"/>
  <c r="H2578" i="2"/>
  <c r="C523" i="2"/>
  <c r="V680" i="2"/>
  <c r="O3036" i="2"/>
  <c r="R1996" i="2"/>
  <c r="V1025" i="2"/>
  <c r="T1407" i="2"/>
  <c r="Q1313" i="2"/>
  <c r="F2957" i="2"/>
  <c r="J278" i="2"/>
  <c r="G1076" i="2"/>
  <c r="E2544" i="2"/>
  <c r="U373" i="2"/>
  <c r="M2242" i="2"/>
  <c r="J1191" i="2"/>
  <c r="N1834" i="2"/>
  <c r="Q306" i="2"/>
  <c r="P2054" i="2"/>
  <c r="J108" i="2"/>
  <c r="T317" i="2"/>
  <c r="L31" i="2"/>
  <c r="K2032" i="2"/>
  <c r="O1461" i="2"/>
  <c r="H442" i="2"/>
  <c r="G947" i="2"/>
  <c r="V377" i="2"/>
  <c r="N1190" i="2"/>
  <c r="F2574" i="2"/>
  <c r="W759" i="2"/>
  <c r="J2326" i="2"/>
  <c r="J1643" i="2"/>
  <c r="F1580" i="2"/>
  <c r="V1413" i="2"/>
  <c r="U783" i="2"/>
  <c r="C584" i="2"/>
  <c r="C1180" i="2"/>
  <c r="V2221" i="2"/>
  <c r="V176" i="2"/>
  <c r="H584" i="2"/>
  <c r="V213" i="2"/>
  <c r="N1899" i="2"/>
  <c r="P1440" i="2"/>
  <c r="K2383" i="2"/>
  <c r="P2306" i="2"/>
  <c r="U2269" i="2"/>
  <c r="D287" i="2"/>
  <c r="E1589" i="2"/>
  <c r="J210" i="2"/>
  <c r="U239" i="2"/>
  <c r="R52" i="2"/>
  <c r="J2689" i="2"/>
  <c r="C362" i="2"/>
  <c r="W2581" i="2"/>
  <c r="W1569" i="2"/>
  <c r="M629" i="2"/>
  <c r="D679" i="2"/>
  <c r="E2556" i="2"/>
  <c r="L426" i="2"/>
  <c r="S198" i="2"/>
  <c r="K1939" i="2"/>
  <c r="T170" i="2"/>
  <c r="E1493" i="2"/>
  <c r="Q910" i="2"/>
  <c r="C930" i="2"/>
  <c r="Q1778" i="2"/>
  <c r="E949" i="2"/>
  <c r="D261" i="2"/>
  <c r="M567" i="2"/>
  <c r="I1553" i="2"/>
  <c r="S407" i="2"/>
  <c r="V761" i="2"/>
  <c r="U1646" i="2"/>
  <c r="J736" i="2"/>
  <c r="V1705" i="2"/>
  <c r="E2318" i="2"/>
  <c r="N1047" i="2"/>
  <c r="I462" i="2"/>
  <c r="Q98" i="2"/>
  <c r="S986" i="2"/>
  <c r="U63" i="2"/>
  <c r="M1313" i="2"/>
  <c r="T1822" i="2"/>
  <c r="R2448" i="2"/>
  <c r="E735" i="2"/>
  <c r="R2387" i="2"/>
  <c r="C761" i="2"/>
  <c r="V2295" i="2"/>
  <c r="V1424" i="2"/>
  <c r="M1897" i="2"/>
  <c r="S322" i="2"/>
  <c r="K2270" i="2"/>
  <c r="T132" i="2"/>
  <c r="C383" i="2"/>
  <c r="V2876" i="2"/>
  <c r="Q2407" i="2"/>
  <c r="F2622" i="2"/>
  <c r="W1137" i="2"/>
  <c r="Q1776" i="2"/>
  <c r="C2428" i="2"/>
  <c r="P1078" i="2"/>
  <c r="T2058" i="2"/>
  <c r="V811" i="2"/>
  <c r="K2434" i="2"/>
  <c r="E1774" i="2"/>
  <c r="T1416" i="2"/>
  <c r="W324" i="2"/>
  <c r="F2095" i="2"/>
  <c r="M604" i="2"/>
  <c r="W1748" i="2"/>
  <c r="L1368" i="2"/>
  <c r="N44" i="2"/>
  <c r="M1989" i="2"/>
  <c r="O1962" i="2"/>
  <c r="G1360" i="2"/>
  <c r="D1901" i="2"/>
  <c r="K2422" i="2"/>
  <c r="L1682" i="2"/>
  <c r="S31" i="2"/>
  <c r="C731" i="2"/>
  <c r="L2294" i="2"/>
  <c r="N581" i="2"/>
  <c r="C2583" i="2"/>
  <c r="U49" i="2"/>
  <c r="E917" i="2"/>
  <c r="L678" i="2"/>
  <c r="P1410" i="2"/>
  <c r="S2431" i="2"/>
  <c r="O2144" i="2"/>
  <c r="O945" i="2"/>
  <c r="D246" i="2"/>
  <c r="O1286" i="2"/>
  <c r="K2272" i="2"/>
  <c r="L1323" i="2"/>
  <c r="K1057" i="2"/>
  <c r="J1185" i="2"/>
  <c r="U522" i="2"/>
  <c r="M297" i="2"/>
  <c r="V2290" i="2"/>
  <c r="M1355" i="2"/>
  <c r="G237" i="2"/>
  <c r="Q1411" i="2"/>
  <c r="M2510" i="2"/>
  <c r="K1335" i="2"/>
  <c r="N1354" i="2"/>
  <c r="O622" i="2"/>
  <c r="Q2317" i="2"/>
  <c r="H233" i="2"/>
  <c r="M24" i="2"/>
  <c r="D1353" i="2"/>
  <c r="Q1199" i="2"/>
  <c r="H610" i="2"/>
  <c r="C300" i="2"/>
  <c r="U1804" i="2"/>
  <c r="C1425" i="2"/>
  <c r="P1187" i="2"/>
  <c r="O880" i="2"/>
  <c r="J1184" i="2"/>
  <c r="Q932" i="2"/>
  <c r="J2993" i="2"/>
  <c r="D2313" i="2"/>
  <c r="E2042" i="2"/>
  <c r="U1220" i="2"/>
  <c r="J1260" i="2"/>
  <c r="F1193" i="2"/>
  <c r="G1738" i="2"/>
  <c r="F369" i="2"/>
  <c r="T2847" i="2"/>
  <c r="D2950" i="2"/>
  <c r="T1389" i="2"/>
  <c r="H1627" i="2"/>
  <c r="H2961" i="2"/>
  <c r="P1176" i="2"/>
  <c r="D2911" i="2"/>
  <c r="M626" i="2"/>
  <c r="S694" i="2"/>
  <c r="V1972" i="2"/>
  <c r="W935" i="2"/>
  <c r="C805" i="2"/>
  <c r="L844" i="2"/>
  <c r="C1832" i="2"/>
  <c r="E34" i="2"/>
  <c r="E112" i="2"/>
  <c r="Q118" i="2"/>
  <c r="U1524" i="2"/>
  <c r="D930" i="2"/>
  <c r="F165" i="2"/>
  <c r="C2589" i="2"/>
  <c r="I614" i="2"/>
  <c r="G1684" i="2"/>
  <c r="F1833" i="2"/>
  <c r="O2961" i="2"/>
  <c r="N1098" i="2"/>
  <c r="Q2347" i="2"/>
  <c r="V2409" i="2"/>
  <c r="D2669" i="2"/>
  <c r="S444" i="2"/>
  <c r="K1512" i="2"/>
  <c r="J2522" i="2"/>
  <c r="H2551" i="2"/>
  <c r="H642" i="2"/>
  <c r="U828" i="2"/>
  <c r="M1088" i="2"/>
  <c r="S2000" i="2"/>
  <c r="T568" i="2"/>
  <c r="Q1057" i="2"/>
  <c r="M2134" i="2"/>
  <c r="O1667" i="2"/>
  <c r="J1508" i="2"/>
  <c r="F1423" i="2"/>
  <c r="D2098" i="2"/>
  <c r="F1070" i="2"/>
  <c r="C371" i="2"/>
  <c r="T2544" i="2"/>
  <c r="L238" i="2"/>
  <c r="L1991" i="2"/>
  <c r="T1998" i="2"/>
  <c r="G697" i="2"/>
  <c r="P40" i="2"/>
  <c r="F1212" i="2"/>
  <c r="S2304" i="2"/>
  <c r="C1186" i="2"/>
  <c r="R2222" i="2"/>
  <c r="P1252" i="2"/>
  <c r="E2098" i="2"/>
  <c r="O800" i="2"/>
  <c r="J1680" i="2"/>
  <c r="V243" i="2"/>
  <c r="I2298" i="2"/>
  <c r="N684" i="2"/>
  <c r="E2015" i="2"/>
  <c r="S645" i="2"/>
  <c r="P869" i="2"/>
  <c r="S1388" i="2"/>
  <c r="G574" i="2"/>
  <c r="W259" i="2"/>
  <c r="I768" i="2"/>
  <c r="U2241" i="2"/>
  <c r="F2589" i="2"/>
  <c r="O152" i="2"/>
  <c r="H1962" i="2"/>
  <c r="T1105" i="2"/>
  <c r="P686" i="2"/>
  <c r="J250" i="2"/>
  <c r="S478" i="2"/>
  <c r="E1563" i="2"/>
  <c r="Q935" i="2"/>
  <c r="K1573" i="2"/>
  <c r="G24" i="2"/>
  <c r="F481" i="2"/>
  <c r="D2076" i="2"/>
  <c r="N1033" i="2"/>
  <c r="J348" i="2"/>
  <c r="O3131" i="2"/>
  <c r="I3468" i="2"/>
  <c r="T209" i="2"/>
  <c r="L1035" i="2"/>
  <c r="R956" i="2"/>
  <c r="C784" i="2"/>
  <c r="F1151" i="2"/>
  <c r="E2137" i="2"/>
  <c r="Q1123" i="2"/>
  <c r="R2089" i="2"/>
  <c r="D1044" i="2"/>
  <c r="U2127" i="2"/>
  <c r="E311" i="2"/>
  <c r="O1700" i="2"/>
  <c r="Q905" i="2"/>
  <c r="P1815" i="2"/>
  <c r="V955" i="2"/>
  <c r="P675" i="2"/>
  <c r="R714" i="2"/>
  <c r="S1469" i="2"/>
  <c r="J984" i="2"/>
  <c r="J1757" i="2"/>
  <c r="S3046" i="2"/>
  <c r="J1353" i="2"/>
  <c r="N403" i="2"/>
  <c r="Q434" i="2"/>
  <c r="I722" i="2"/>
  <c r="S1828" i="2"/>
  <c r="K305" i="2"/>
  <c r="L690" i="2"/>
  <c r="Q1611" i="2"/>
  <c r="U1481" i="2"/>
  <c r="F84" i="2"/>
  <c r="R335" i="2"/>
  <c r="P103" i="2"/>
  <c r="N1429" i="2"/>
  <c r="M2624" i="2"/>
  <c r="F2777" i="2"/>
  <c r="R717" i="2"/>
  <c r="O126" i="2"/>
  <c r="R266" i="2"/>
  <c r="E2537" i="2"/>
  <c r="N584" i="2"/>
  <c r="U1684" i="2"/>
  <c r="R590" i="2"/>
  <c r="E469" i="2"/>
  <c r="E932" i="2"/>
  <c r="N332" i="2"/>
  <c r="M1383" i="2"/>
  <c r="D1478" i="2"/>
  <c r="T1683" i="2"/>
  <c r="G2202" i="2"/>
  <c r="K2651" i="2"/>
  <c r="S2202" i="2"/>
  <c r="E1429" i="2"/>
  <c r="W1744" i="2"/>
  <c r="U700" i="2"/>
  <c r="Q1205" i="2"/>
  <c r="L113" i="2"/>
  <c r="D1387" i="2"/>
  <c r="U1637" i="2"/>
  <c r="H1041" i="2"/>
  <c r="Q2676" i="2"/>
  <c r="C71" i="2"/>
  <c r="D1279" i="2"/>
  <c r="E2417" i="2"/>
  <c r="J2157" i="2"/>
  <c r="O1844" i="2"/>
  <c r="R815" i="2"/>
  <c r="H1678" i="2"/>
  <c r="G151" i="2"/>
  <c r="C1486" i="2"/>
  <c r="C1242" i="2"/>
  <c r="O586" i="2"/>
  <c r="H488" i="2"/>
  <c r="J251" i="2"/>
  <c r="D1045" i="2"/>
  <c r="J1322" i="2"/>
  <c r="N1898" i="2"/>
  <c r="I891" i="2"/>
  <c r="N1231" i="2"/>
  <c r="M857" i="2"/>
  <c r="Q1160" i="2"/>
  <c r="S73" i="2"/>
  <c r="M2120" i="2"/>
  <c r="I912" i="2"/>
  <c r="H1878" i="2"/>
  <c r="J1253" i="2"/>
  <c r="I963" i="2"/>
  <c r="W654" i="2"/>
  <c r="V1432" i="2"/>
  <c r="J2717" i="2"/>
  <c r="E1220" i="2"/>
  <c r="W1663" i="2"/>
  <c r="F1972" i="2"/>
  <c r="I1263" i="2"/>
  <c r="D1584" i="2"/>
  <c r="L2261" i="2"/>
  <c r="N2275" i="2"/>
  <c r="N792" i="2"/>
  <c r="H1156" i="2"/>
  <c r="R1020" i="2"/>
  <c r="V2119" i="2"/>
  <c r="H41" i="2"/>
  <c r="P1691" i="2"/>
  <c r="H1845" i="2"/>
  <c r="C2698" i="2"/>
  <c r="F1246" i="2"/>
  <c r="Q847" i="2"/>
  <c r="O1321" i="2"/>
  <c r="U106" i="2"/>
  <c r="F1241" i="2"/>
  <c r="U82" i="2"/>
  <c r="K2207" i="2"/>
  <c r="D975" i="2"/>
  <c r="L2726" i="2"/>
  <c r="L1770" i="2"/>
  <c r="Q1836" i="2"/>
  <c r="L1572" i="2"/>
  <c r="D2553" i="2"/>
  <c r="R394" i="2"/>
  <c r="N2102" i="2"/>
  <c r="K250" i="2"/>
  <c r="J1460" i="2"/>
  <c r="O256" i="2"/>
  <c r="K249" i="2"/>
  <c r="G1383" i="2"/>
  <c r="P1729" i="2"/>
  <c r="G79" i="2"/>
  <c r="I1301" i="2"/>
  <c r="H2036" i="2"/>
  <c r="L996" i="2"/>
  <c r="R1755" i="2"/>
  <c r="M2386" i="2"/>
  <c r="M964" i="2"/>
  <c r="I973" i="2"/>
  <c r="I1925" i="2"/>
  <c r="O2078" i="2"/>
  <c r="C1964" i="2"/>
  <c r="T1644" i="2"/>
  <c r="G1672" i="2"/>
  <c r="U320" i="2"/>
  <c r="O133" i="2"/>
  <c r="H31" i="2"/>
  <c r="T124" i="2"/>
  <c r="P299" i="2"/>
  <c r="N1570" i="2"/>
  <c r="S3534" i="2"/>
  <c r="E1546" i="2"/>
  <c r="K1931" i="2"/>
  <c r="C2436" i="2"/>
  <c r="E1420" i="2"/>
  <c r="N1007" i="2"/>
  <c r="D1716" i="2"/>
  <c r="P2782" i="2"/>
  <c r="H1460" i="2"/>
  <c r="J344" i="2"/>
  <c r="V1024" i="2"/>
  <c r="J36" i="2"/>
  <c r="Q253" i="2"/>
  <c r="T1284" i="2"/>
  <c r="R918" i="2"/>
  <c r="M1693" i="2"/>
  <c r="K1170" i="2"/>
  <c r="D723" i="2"/>
  <c r="F786" i="2"/>
  <c r="M830" i="2"/>
  <c r="D259" i="2"/>
  <c r="R1142" i="2"/>
  <c r="F696" i="2"/>
  <c r="W2021" i="2"/>
  <c r="T2737" i="2"/>
  <c r="W2154" i="2"/>
  <c r="P173" i="2"/>
  <c r="P411" i="2"/>
  <c r="T1135" i="2"/>
  <c r="F1724" i="2"/>
  <c r="R21" i="2"/>
  <c r="S2192" i="2"/>
  <c r="F833" i="2"/>
  <c r="P2464" i="2"/>
  <c r="P1040" i="2"/>
  <c r="W1313" i="2"/>
  <c r="T359" i="2"/>
  <c r="U2096" i="2"/>
  <c r="M237" i="2"/>
  <c r="T2726" i="2"/>
  <c r="V457" i="2"/>
  <c r="L251" i="2"/>
  <c r="P1637" i="2"/>
  <c r="U1076" i="2"/>
  <c r="T598" i="2"/>
  <c r="P494" i="2"/>
  <c r="G782" i="2"/>
  <c r="I2964" i="2"/>
  <c r="L1583" i="2"/>
  <c r="M493" i="2"/>
  <c r="Q2364" i="2"/>
  <c r="L1984" i="2"/>
  <c r="C917" i="2"/>
  <c r="S299" i="2"/>
  <c r="H519" i="2"/>
  <c r="F2684" i="2"/>
  <c r="S1110" i="2"/>
  <c r="S86" i="2"/>
  <c r="R540" i="2"/>
  <c r="K1755" i="2"/>
  <c r="Q783" i="2"/>
  <c r="F1501" i="2"/>
  <c r="I2001" i="2"/>
  <c r="U1992" i="2"/>
  <c r="E931" i="2"/>
  <c r="U367" i="2"/>
  <c r="P28" i="2"/>
  <c r="L2669" i="2"/>
  <c r="E1226" i="2"/>
  <c r="F992" i="2"/>
  <c r="W1519" i="2"/>
  <c r="H1347" i="2"/>
  <c r="V883" i="2"/>
  <c r="U701" i="2"/>
  <c r="R1940" i="2"/>
  <c r="S210" i="2"/>
  <c r="N743" i="2"/>
  <c r="V1157" i="2"/>
  <c r="S1851" i="2"/>
  <c r="V1780" i="2"/>
  <c r="T1847" i="2"/>
  <c r="E2509" i="2"/>
  <c r="G2576" i="2"/>
  <c r="S2782" i="2"/>
  <c r="F203" i="2"/>
  <c r="N1764" i="2"/>
  <c r="N1002" i="2"/>
  <c r="R1842" i="2"/>
  <c r="J676" i="2"/>
  <c r="J1299" i="2"/>
  <c r="W2149" i="2"/>
  <c r="C430" i="2"/>
  <c r="D2106" i="2"/>
  <c r="U1716" i="2"/>
  <c r="D1474" i="2"/>
  <c r="N2481" i="2"/>
  <c r="R1263" i="2"/>
  <c r="V940" i="2"/>
  <c r="Q844" i="2"/>
  <c r="C218" i="2"/>
  <c r="K1445" i="2"/>
  <c r="R75" i="2"/>
  <c r="U2803" i="2"/>
  <c r="E1453" i="2"/>
  <c r="H1655" i="2"/>
  <c r="I668" i="2"/>
  <c r="P1955" i="2"/>
  <c r="N221" i="2"/>
  <c r="C455" i="2"/>
  <c r="V2380" i="2"/>
  <c r="C728" i="2"/>
  <c r="V3311" i="2"/>
  <c r="J1511" i="2"/>
  <c r="V1508" i="2"/>
  <c r="H199" i="2"/>
  <c r="L2073" i="2"/>
  <c r="H2469" i="2"/>
  <c r="I773" i="2"/>
  <c r="W2262" i="2"/>
  <c r="Q2241" i="2"/>
  <c r="O2283" i="2"/>
  <c r="T1109" i="2"/>
  <c r="R1173" i="2"/>
  <c r="M748" i="2"/>
  <c r="R881" i="2"/>
  <c r="P138" i="2"/>
  <c r="R2225" i="2"/>
  <c r="V1950" i="2"/>
  <c r="Q88" i="2"/>
  <c r="U1213" i="2"/>
  <c r="G1667" i="2"/>
  <c r="K1107" i="2"/>
  <c r="W2060" i="2"/>
  <c r="F613" i="2"/>
  <c r="P478" i="2"/>
  <c r="U1008" i="2"/>
  <c r="I2303" i="2"/>
  <c r="J861" i="2"/>
  <c r="G1987" i="2"/>
  <c r="R1405" i="2"/>
  <c r="R204" i="2"/>
  <c r="U412" i="2"/>
  <c r="Q1001" i="2"/>
  <c r="I2639" i="2"/>
  <c r="P2133" i="2"/>
  <c r="C3369" i="2"/>
  <c r="H43" i="2"/>
  <c r="U543" i="2"/>
  <c r="I1837" i="2"/>
  <c r="K2267" i="2"/>
  <c r="L1516" i="2"/>
  <c r="C1149" i="2"/>
  <c r="T813" i="2"/>
  <c r="T2460" i="2"/>
  <c r="F172" i="2"/>
  <c r="R419" i="2"/>
  <c r="N3006" i="2"/>
  <c r="M623" i="2"/>
  <c r="M147" i="2"/>
  <c r="G1655" i="2"/>
  <c r="E505" i="2"/>
  <c r="D2189" i="2"/>
  <c r="W700" i="2"/>
  <c r="E1219" i="2"/>
  <c r="C1750" i="2"/>
  <c r="S1738" i="2"/>
  <c r="G1904" i="2"/>
  <c r="V303" i="2"/>
  <c r="U579" i="2"/>
  <c r="H239" i="2"/>
  <c r="V1623" i="2"/>
  <c r="L529" i="2"/>
  <c r="V1538" i="2"/>
  <c r="I335" i="2"/>
  <c r="D2601" i="2"/>
  <c r="J1584" i="2"/>
  <c r="G727" i="2"/>
  <c r="K2040" i="2"/>
  <c r="E969" i="2"/>
  <c r="O1061" i="2"/>
  <c r="U2639" i="2"/>
  <c r="E2878" i="2"/>
  <c r="M804" i="2"/>
  <c r="F511" i="2"/>
  <c r="C2931" i="2"/>
  <c r="E1830" i="2"/>
  <c r="N929" i="2"/>
  <c r="R1771" i="2"/>
  <c r="V893" i="2"/>
  <c r="I2352" i="2"/>
  <c r="N927" i="2"/>
  <c r="C338" i="2"/>
  <c r="O294" i="2"/>
  <c r="R644" i="2"/>
  <c r="W1344" i="2"/>
  <c r="H1974" i="2"/>
  <c r="D910" i="2"/>
  <c r="I1865" i="2"/>
  <c r="O645" i="2"/>
  <c r="I215" i="2"/>
  <c r="J966" i="2"/>
  <c r="W1705" i="2"/>
  <c r="M273" i="2"/>
  <c r="W778" i="2"/>
  <c r="I1496" i="2"/>
  <c r="O1011" i="2"/>
  <c r="Q1560" i="2"/>
  <c r="S966" i="2"/>
  <c r="F2139" i="2"/>
  <c r="N1874" i="2"/>
  <c r="F1866" i="2"/>
  <c r="G1432" i="2"/>
  <c r="N1476" i="2"/>
  <c r="V2594" i="2"/>
  <c r="F72" i="2"/>
  <c r="K679" i="2"/>
  <c r="N2142" i="2"/>
  <c r="C1259" i="2"/>
  <c r="R2009" i="2"/>
  <c r="O492" i="2"/>
  <c r="E775" i="2"/>
  <c r="E517" i="2"/>
  <c r="D1534" i="2"/>
  <c r="U372" i="2"/>
  <c r="E216" i="2"/>
  <c r="F688" i="2"/>
  <c r="F238" i="2"/>
  <c r="K1857" i="2"/>
  <c r="O459" i="2"/>
  <c r="E1796" i="2"/>
  <c r="T634" i="2"/>
  <c r="E499" i="2"/>
  <c r="U2167" i="2"/>
  <c r="F86" i="2"/>
  <c r="V702" i="2"/>
  <c r="Q735" i="2"/>
  <c r="K1225" i="2"/>
  <c r="S1618" i="2"/>
  <c r="H706" i="2"/>
  <c r="Q1687" i="2"/>
  <c r="N1739" i="2"/>
  <c r="J2011" i="2"/>
  <c r="I2564" i="2"/>
  <c r="D700" i="2"/>
  <c r="Q629" i="2"/>
  <c r="G1535" i="2"/>
  <c r="U435" i="2"/>
  <c r="P1401" i="2"/>
  <c r="J1567" i="2"/>
  <c r="I807" i="2"/>
  <c r="L1391" i="2"/>
  <c r="P2014" i="2"/>
  <c r="P990" i="2"/>
  <c r="S2924" i="2"/>
  <c r="S1140" i="2"/>
  <c r="Q1207" i="2"/>
  <c r="F547" i="2"/>
  <c r="T491" i="2"/>
  <c r="D1651" i="2"/>
  <c r="I2523" i="2"/>
  <c r="K2217" i="2"/>
  <c r="U425" i="2"/>
  <c r="C1209" i="2"/>
  <c r="D544" i="2"/>
  <c r="D722" i="2"/>
  <c r="J1383" i="2"/>
  <c r="P563" i="2"/>
  <c r="M1838" i="2"/>
  <c r="I2269" i="2"/>
  <c r="K1320" i="2"/>
  <c r="N894" i="2"/>
  <c r="F2673" i="2"/>
  <c r="T2474" i="2"/>
  <c r="F1343" i="2"/>
  <c r="O2421" i="2"/>
  <c r="H1905" i="2"/>
  <c r="N2495" i="2"/>
  <c r="F765" i="2"/>
  <c r="C414" i="2"/>
  <c r="D851" i="2"/>
  <c r="J1497" i="2"/>
  <c r="H2086" i="2"/>
  <c r="N737" i="2"/>
  <c r="T2531" i="2"/>
  <c r="V205" i="2"/>
  <c r="E370" i="2"/>
  <c r="C1188" i="2"/>
  <c r="F1410" i="2"/>
  <c r="T682" i="2"/>
  <c r="W2522" i="2"/>
  <c r="S2255" i="2"/>
  <c r="W2929" i="2"/>
  <c r="L2744" i="2"/>
  <c r="C2497" i="2"/>
  <c r="G992" i="2"/>
  <c r="V1191" i="2"/>
  <c r="F2260" i="2"/>
  <c r="I579" i="2"/>
  <c r="O2036" i="2"/>
  <c r="N2359" i="2"/>
  <c r="W627" i="2"/>
  <c r="Q198" i="2"/>
  <c r="H1360" i="2"/>
  <c r="D1760" i="2"/>
  <c r="L1216" i="2"/>
  <c r="E2367" i="2"/>
  <c r="M2184" i="2"/>
  <c r="E406" i="2"/>
  <c r="H127" i="2"/>
  <c r="M1007" i="2"/>
  <c r="D1396" i="2"/>
  <c r="H898" i="2"/>
  <c r="W2447" i="2"/>
  <c r="Q2876" i="2"/>
  <c r="P775" i="2"/>
  <c r="S293" i="2"/>
  <c r="D464" i="2"/>
  <c r="R518" i="2"/>
  <c r="V2502" i="2"/>
  <c r="P2162" i="2"/>
  <c r="D1183" i="2"/>
  <c r="E1594" i="2"/>
  <c r="V921" i="2"/>
  <c r="D389" i="2"/>
  <c r="C1921" i="2"/>
  <c r="R2" i="2"/>
  <c r="C2444" i="2"/>
  <c r="U278" i="2"/>
  <c r="T1214" i="2"/>
  <c r="M2487" i="2"/>
  <c r="V2785" i="2"/>
  <c r="G2967" i="2"/>
  <c r="C1150" i="2"/>
  <c r="W626" i="2"/>
  <c r="D531" i="2"/>
  <c r="V3190" i="2"/>
  <c r="T379" i="2"/>
  <c r="W965" i="2"/>
  <c r="C2370" i="2"/>
  <c r="P1172" i="2"/>
  <c r="U199" i="2"/>
  <c r="M814" i="2"/>
  <c r="G978" i="2"/>
  <c r="Q747" i="2"/>
  <c r="P157" i="2"/>
  <c r="U3085" i="2"/>
  <c r="K370" i="2"/>
  <c r="I948" i="2"/>
  <c r="R232" i="2"/>
  <c r="G338" i="2"/>
  <c r="R1015" i="2"/>
  <c r="H1971" i="2"/>
  <c r="G1353" i="2"/>
  <c r="S219" i="2"/>
  <c r="V3447" i="2"/>
  <c r="Q1507" i="2"/>
  <c r="V1741" i="2"/>
  <c r="P2121" i="2"/>
  <c r="T2610" i="2"/>
  <c r="O489" i="2"/>
  <c r="N1667" i="2"/>
  <c r="H131" i="2"/>
  <c r="J889" i="2"/>
  <c r="K760" i="2"/>
  <c r="O558" i="2"/>
  <c r="C67" i="2"/>
  <c r="T684" i="2"/>
  <c r="P2912" i="2"/>
  <c r="N3533" i="2"/>
  <c r="U1777" i="2"/>
  <c r="L620" i="2"/>
  <c r="J1469" i="2"/>
  <c r="Q1329" i="2"/>
  <c r="T2501" i="2"/>
  <c r="E1007" i="2"/>
  <c r="R1421" i="2"/>
  <c r="P2154" i="2"/>
  <c r="N1019" i="2"/>
  <c r="R694" i="2"/>
  <c r="P2467" i="2"/>
  <c r="Q222" i="2"/>
  <c r="G1116" i="2"/>
  <c r="S3002" i="2"/>
  <c r="H297" i="2"/>
  <c r="J1262" i="2"/>
  <c r="H1415" i="2"/>
  <c r="M3389" i="2"/>
  <c r="O2088" i="2"/>
  <c r="C55" i="2"/>
  <c r="C2387" i="2"/>
  <c r="L1487" i="2"/>
  <c r="P2382" i="2"/>
  <c r="P242" i="2"/>
  <c r="Q3275" i="2"/>
  <c r="F810" i="2"/>
  <c r="H2818" i="2"/>
  <c r="V1646" i="2"/>
  <c r="W2023" i="2"/>
  <c r="W2168" i="2"/>
  <c r="Q158" i="2"/>
  <c r="C1708" i="2"/>
  <c r="S3" i="2"/>
  <c r="S2593" i="2"/>
  <c r="E113" i="2"/>
  <c r="T1678" i="2"/>
  <c r="H793" i="2"/>
  <c r="E591" i="2"/>
  <c r="F1291" i="2"/>
  <c r="J2130" i="2"/>
  <c r="T26" i="2"/>
  <c r="W1101" i="2"/>
  <c r="Q927" i="2"/>
  <c r="U190" i="2"/>
  <c r="V1135" i="2"/>
  <c r="M594" i="2"/>
  <c r="C2730" i="2"/>
  <c r="Q2056" i="2"/>
  <c r="E1075" i="2"/>
  <c r="P649" i="2"/>
  <c r="E2068" i="2"/>
  <c r="V32" i="2"/>
  <c r="R1729" i="2"/>
  <c r="H405" i="2"/>
  <c r="J485" i="2"/>
  <c r="C2489" i="2"/>
  <c r="I43" i="2"/>
  <c r="R1524" i="2"/>
  <c r="U537" i="2"/>
  <c r="R742" i="2"/>
  <c r="G1676" i="2"/>
  <c r="Q1261" i="2"/>
  <c r="G1343" i="2"/>
  <c r="I434" i="2"/>
  <c r="F1464" i="2"/>
  <c r="Q289" i="2"/>
  <c r="U1297" i="2"/>
  <c r="E1576" i="2"/>
  <c r="L663" i="2"/>
  <c r="J1340" i="2"/>
  <c r="G1075" i="2"/>
  <c r="T763" i="2"/>
  <c r="F791" i="2"/>
  <c r="U200" i="2"/>
  <c r="R1780" i="2"/>
  <c r="U1141" i="2"/>
  <c r="V2138" i="2"/>
  <c r="D2920" i="2"/>
  <c r="L308" i="2"/>
  <c r="D2655" i="2"/>
  <c r="L204" i="2"/>
  <c r="L1513" i="2"/>
  <c r="L898" i="2"/>
  <c r="E1852" i="2"/>
  <c r="J362" i="2"/>
  <c r="O1909" i="2"/>
  <c r="J1773" i="2"/>
  <c r="N1472" i="2"/>
  <c r="J2882" i="2"/>
  <c r="R1145" i="2"/>
  <c r="R1936" i="2"/>
  <c r="L1146" i="2"/>
  <c r="I537" i="2"/>
  <c r="N803" i="2"/>
  <c r="J3107" i="2"/>
  <c r="K2070" i="2"/>
  <c r="W1835" i="2"/>
  <c r="W2465" i="2"/>
  <c r="E587" i="2"/>
  <c r="S2242" i="2"/>
  <c r="O849" i="2"/>
  <c r="R984" i="2"/>
  <c r="G606" i="2"/>
  <c r="F662" i="2"/>
  <c r="H718" i="2"/>
  <c r="G1479" i="2"/>
  <c r="O998" i="2"/>
  <c r="N983" i="2"/>
  <c r="H334" i="2"/>
  <c r="N2476" i="2"/>
  <c r="R899" i="2"/>
  <c r="C151" i="2"/>
  <c r="W490" i="2"/>
  <c r="G1783" i="2"/>
  <c r="K434" i="2"/>
  <c r="L643" i="2"/>
  <c r="H579" i="2"/>
  <c r="C3066" i="2"/>
  <c r="O95" i="2"/>
  <c r="F1779" i="2"/>
  <c r="H254" i="2"/>
  <c r="D2946" i="2"/>
  <c r="F533" i="2"/>
  <c r="Q951" i="2"/>
  <c r="W2476" i="2"/>
  <c r="D662" i="2"/>
  <c r="W838" i="2"/>
  <c r="G1456" i="2"/>
  <c r="R1310" i="2"/>
  <c r="W185" i="2"/>
  <c r="C853" i="2"/>
  <c r="K1774" i="2"/>
  <c r="S135" i="2"/>
  <c r="W73" i="2"/>
  <c r="F1312" i="2"/>
  <c r="O905" i="2"/>
  <c r="P2877" i="2"/>
  <c r="S1968" i="2"/>
  <c r="R303" i="2"/>
  <c r="H2556" i="2"/>
  <c r="R1896" i="2"/>
  <c r="L1349" i="2"/>
  <c r="C197" i="2"/>
  <c r="S1671" i="2"/>
  <c r="E512" i="2"/>
  <c r="H432" i="2"/>
  <c r="E957" i="2"/>
  <c r="G1639" i="2"/>
  <c r="P1079" i="2"/>
  <c r="W1676" i="2"/>
  <c r="F2797" i="2"/>
  <c r="W1441" i="2"/>
  <c r="H1319" i="2"/>
  <c r="D297" i="2"/>
  <c r="D206" i="2"/>
  <c r="W1274" i="2"/>
  <c r="D868" i="2"/>
  <c r="M937" i="2"/>
  <c r="D979" i="2"/>
  <c r="V782" i="2"/>
  <c r="P256" i="2"/>
  <c r="D1451" i="2"/>
  <c r="L3015" i="2"/>
  <c r="J2245" i="2"/>
  <c r="W943" i="2"/>
  <c r="S716" i="2"/>
  <c r="Q538" i="2"/>
  <c r="R2711" i="2"/>
  <c r="M1540" i="2"/>
  <c r="W1811" i="2"/>
  <c r="H1400" i="2"/>
  <c r="P2002" i="2"/>
  <c r="R1399" i="2"/>
  <c r="V566" i="2"/>
  <c r="D867" i="2"/>
  <c r="W647" i="2"/>
  <c r="F1437" i="2"/>
  <c r="C80" i="2"/>
  <c r="J296" i="2"/>
  <c r="K640" i="2"/>
  <c r="U2308" i="2"/>
  <c r="V1627" i="2"/>
  <c r="C754" i="2"/>
  <c r="R1874" i="2"/>
  <c r="L95" i="2"/>
  <c r="F720" i="2"/>
  <c r="N1584" i="2"/>
  <c r="L2135" i="2"/>
  <c r="N2301" i="2"/>
  <c r="J1788" i="2"/>
  <c r="V1756" i="2"/>
  <c r="U831" i="2"/>
  <c r="R2445" i="2"/>
  <c r="N1657" i="2"/>
  <c r="J694" i="2"/>
  <c r="H1061" i="2"/>
  <c r="K3119" i="2"/>
  <c r="C258" i="2"/>
  <c r="P835" i="2"/>
  <c r="H2353" i="2"/>
  <c r="H572" i="2"/>
  <c r="R1043" i="2"/>
  <c r="U1048" i="2"/>
  <c r="F598" i="2"/>
  <c r="C2421" i="2"/>
  <c r="G2582" i="2"/>
  <c r="M503" i="2"/>
  <c r="S481" i="2"/>
  <c r="D1450" i="2"/>
  <c r="P677" i="2"/>
  <c r="D2528" i="2"/>
  <c r="C2445" i="2"/>
  <c r="C2523" i="2"/>
  <c r="D2401" i="2"/>
  <c r="K2472" i="2"/>
  <c r="L162" i="2"/>
  <c r="O434" i="2"/>
  <c r="L594" i="2"/>
  <c r="O512" i="2"/>
  <c r="R1007" i="2"/>
  <c r="M1349" i="2"/>
  <c r="W650" i="2"/>
  <c r="H262" i="2"/>
  <c r="E1595" i="2"/>
  <c r="C1713" i="2"/>
  <c r="G1234" i="2"/>
  <c r="W2013" i="2"/>
  <c r="O332" i="2"/>
  <c r="D2749" i="2"/>
  <c r="N1454" i="2"/>
  <c r="J354" i="2"/>
  <c r="V2074" i="2"/>
  <c r="V127" i="2"/>
  <c r="D1130" i="2"/>
  <c r="J2322" i="2"/>
  <c r="P413" i="2"/>
  <c r="O656" i="2"/>
  <c r="L256" i="2"/>
  <c r="K1509" i="2"/>
  <c r="L107" i="2"/>
  <c r="I312" i="2"/>
  <c r="Q1638" i="2"/>
  <c r="O466" i="2"/>
  <c r="L2348" i="2"/>
  <c r="R924" i="2"/>
  <c r="C1932" i="2"/>
  <c r="M1352" i="2"/>
  <c r="Q319" i="2"/>
  <c r="J1637" i="2"/>
  <c r="L2174" i="2"/>
  <c r="M2052" i="2"/>
  <c r="H1794" i="2"/>
  <c r="G1771" i="2"/>
  <c r="S195" i="2"/>
  <c r="Q3265" i="2"/>
  <c r="V571" i="2"/>
  <c r="T899" i="2"/>
  <c r="H1336" i="2"/>
  <c r="N921" i="2"/>
  <c r="R1657" i="2"/>
  <c r="L2481" i="2"/>
  <c r="E2529" i="2"/>
  <c r="T985" i="2"/>
  <c r="L135" i="2"/>
  <c r="E17" i="2"/>
  <c r="U693" i="2"/>
  <c r="E26" i="2"/>
  <c r="U1359" i="2"/>
  <c r="P186" i="2"/>
  <c r="M2090" i="2"/>
  <c r="H978" i="2"/>
  <c r="D1648" i="2"/>
  <c r="N1159" i="2"/>
  <c r="V634" i="2"/>
  <c r="P1458" i="2"/>
  <c r="E532" i="2"/>
  <c r="N1054" i="2"/>
  <c r="V989" i="2"/>
  <c r="L2714" i="2"/>
  <c r="K2082" i="2"/>
  <c r="V686" i="2"/>
  <c r="P3079" i="2"/>
  <c r="R923" i="2"/>
  <c r="V1111" i="2"/>
  <c r="K2121" i="2"/>
  <c r="I1213" i="2"/>
  <c r="C1436" i="2"/>
  <c r="F738" i="2"/>
  <c r="M2319" i="2"/>
  <c r="S996" i="2"/>
  <c r="G889" i="2"/>
  <c r="U1226" i="2"/>
  <c r="M1218" i="2"/>
  <c r="R2475" i="2"/>
  <c r="J150" i="2"/>
  <c r="V523" i="2"/>
  <c r="O418" i="2"/>
  <c r="D233" i="2"/>
  <c r="R1235" i="2"/>
  <c r="S2715" i="2"/>
  <c r="Q1092" i="2"/>
  <c r="O1865" i="2"/>
  <c r="D635" i="2"/>
  <c r="G1998" i="2"/>
  <c r="T2093" i="2"/>
  <c r="N2759" i="2"/>
  <c r="G1410" i="2"/>
  <c r="U391" i="2"/>
  <c r="N774" i="2"/>
  <c r="W1377" i="2"/>
  <c r="M1005" i="2"/>
  <c r="C150" i="2"/>
  <c r="D47" i="2"/>
  <c r="I438" i="2"/>
  <c r="W1903" i="2"/>
  <c r="G2625" i="2"/>
  <c r="R557" i="2"/>
  <c r="E267" i="2"/>
  <c r="M447" i="2"/>
  <c r="V2717" i="2"/>
  <c r="G1722" i="2"/>
  <c r="N542" i="2"/>
  <c r="K2411" i="2"/>
  <c r="Q1995" i="2"/>
  <c r="O93" i="2"/>
  <c r="W485" i="2"/>
  <c r="O993" i="2"/>
  <c r="E945" i="2"/>
  <c r="E2553" i="2"/>
  <c r="U245" i="2"/>
  <c r="U443" i="2"/>
  <c r="M1465" i="2"/>
  <c r="R1018" i="2"/>
  <c r="R1521" i="2"/>
  <c r="H137" i="2"/>
  <c r="N2287" i="2"/>
  <c r="V1656" i="2"/>
  <c r="C631" i="2"/>
  <c r="W2322" i="2"/>
  <c r="U416" i="2"/>
  <c r="C2257" i="2"/>
  <c r="E2213" i="2"/>
  <c r="H1274" i="2"/>
  <c r="O683" i="2"/>
  <c r="P2965" i="2"/>
  <c r="O313" i="2"/>
  <c r="C1253" i="2"/>
  <c r="G386" i="2"/>
  <c r="L2007" i="2"/>
  <c r="I880" i="2"/>
  <c r="L910" i="2"/>
  <c r="F1337" i="2"/>
  <c r="E1984" i="2"/>
  <c r="V2626" i="2"/>
  <c r="N2152" i="2"/>
  <c r="U1051" i="2"/>
  <c r="V597" i="2"/>
  <c r="S2352" i="2"/>
  <c r="P2405" i="2"/>
  <c r="G98" i="2"/>
  <c r="C734" i="2"/>
  <c r="I703" i="2"/>
  <c r="K1382" i="2"/>
  <c r="H1078" i="2"/>
  <c r="R348" i="2"/>
  <c r="Q531" i="2"/>
  <c r="M2132" i="2"/>
  <c r="D652" i="2"/>
  <c r="C2422" i="2"/>
  <c r="W1395" i="2"/>
  <c r="V1634" i="2"/>
  <c r="D2625" i="2"/>
  <c r="N1676" i="2"/>
  <c r="K1821" i="2"/>
  <c r="T2647" i="2"/>
  <c r="T1383" i="2"/>
  <c r="N53" i="2"/>
  <c r="J839" i="2"/>
  <c r="H1314" i="2"/>
  <c r="W1658" i="2"/>
  <c r="U1962" i="2"/>
  <c r="P2062" i="2"/>
  <c r="I1469" i="2"/>
  <c r="U1999" i="2"/>
  <c r="T1511" i="2"/>
  <c r="O1958" i="2"/>
  <c r="P473" i="2"/>
  <c r="C1325" i="2"/>
  <c r="W2078" i="2"/>
  <c r="U1287" i="2"/>
  <c r="T345" i="2"/>
  <c r="S1081" i="2"/>
  <c r="Q1021" i="2"/>
  <c r="V284" i="2"/>
  <c r="D413" i="2"/>
  <c r="V802" i="2"/>
  <c r="I2128" i="2"/>
  <c r="I2864" i="2"/>
  <c r="M1849" i="2"/>
  <c r="K2476" i="2"/>
  <c r="M1059" i="2"/>
  <c r="E939" i="2"/>
  <c r="F553" i="2"/>
  <c r="V2674" i="2"/>
  <c r="S1938" i="2"/>
  <c r="Q2625" i="2"/>
  <c r="L864" i="2"/>
  <c r="P2126" i="2"/>
  <c r="U1055" i="2"/>
  <c r="V495" i="2"/>
  <c r="P644" i="2"/>
  <c r="U338" i="2"/>
  <c r="W876" i="2"/>
  <c r="F985" i="2"/>
  <c r="U639" i="2"/>
  <c r="S2567" i="2"/>
  <c r="M1336" i="2"/>
  <c r="U850" i="2"/>
  <c r="E1847" i="2"/>
  <c r="G214" i="2"/>
  <c r="Q46" i="2"/>
  <c r="Q957" i="2"/>
  <c r="V714" i="2"/>
  <c r="N843" i="2"/>
  <c r="Q793" i="2"/>
  <c r="U1473" i="2"/>
  <c r="O2010" i="2"/>
  <c r="M588" i="2"/>
  <c r="L1144" i="2"/>
  <c r="N2629" i="2"/>
  <c r="C595" i="2"/>
  <c r="I3060" i="2"/>
  <c r="H128" i="2"/>
  <c r="P1983" i="2"/>
  <c r="J1061" i="2"/>
  <c r="W2247" i="2"/>
  <c r="G2517" i="2"/>
  <c r="M3" i="2"/>
  <c r="H1710" i="2"/>
  <c r="M879" i="2"/>
  <c r="O1022" i="2"/>
  <c r="O1512" i="2"/>
  <c r="I958" i="2"/>
  <c r="P1824" i="2"/>
  <c r="I1356" i="2"/>
  <c r="G408" i="2"/>
  <c r="G1641" i="2"/>
  <c r="P2069" i="2"/>
  <c r="D3031" i="2"/>
  <c r="E2109" i="2"/>
  <c r="E2795" i="2"/>
  <c r="F832" i="2"/>
  <c r="N2569" i="2"/>
  <c r="K60" i="2"/>
  <c r="Q113" i="2"/>
  <c r="U2501" i="2"/>
  <c r="P1559" i="2"/>
  <c r="V1436" i="2"/>
  <c r="W200" i="2"/>
  <c r="E177" i="2"/>
  <c r="V2410" i="2"/>
  <c r="G2596" i="2"/>
  <c r="D1276" i="2"/>
  <c r="V200" i="2"/>
  <c r="H1150" i="2"/>
  <c r="R639" i="2"/>
  <c r="I2686" i="2"/>
  <c r="C1126" i="2"/>
  <c r="D1933" i="2"/>
  <c r="I2472" i="2"/>
  <c r="W1184" i="2"/>
  <c r="Q570" i="2"/>
  <c r="M1049" i="2"/>
  <c r="Q1935" i="2"/>
  <c r="D1242" i="2"/>
  <c r="O1919" i="2"/>
  <c r="V2325" i="2"/>
  <c r="K2024" i="2"/>
  <c r="Q387" i="2"/>
  <c r="I386" i="2"/>
  <c r="R63" i="2"/>
  <c r="H1912" i="2"/>
  <c r="D1631" i="2"/>
  <c r="F1315" i="2"/>
  <c r="E796" i="2"/>
  <c r="R1605" i="2"/>
  <c r="N1508" i="2"/>
  <c r="T1927" i="2"/>
  <c r="O1772" i="2"/>
  <c r="O2666" i="2"/>
  <c r="H905" i="2"/>
  <c r="R479" i="2"/>
  <c r="W756" i="2"/>
  <c r="G791" i="2"/>
  <c r="N2317" i="2"/>
  <c r="V1192" i="2"/>
  <c r="Q1351" i="2"/>
  <c r="M2151" i="2"/>
  <c r="K1444" i="2"/>
  <c r="D2399" i="2"/>
  <c r="D757" i="2"/>
  <c r="P85" i="2"/>
  <c r="Q648" i="2"/>
  <c r="V533" i="2"/>
  <c r="R1731" i="2"/>
  <c r="H1904" i="2"/>
  <c r="S991" i="2"/>
  <c r="I352" i="2"/>
  <c r="R753" i="2"/>
  <c r="M158" i="2"/>
  <c r="V554" i="2"/>
  <c r="U382" i="2"/>
  <c r="T1546" i="2"/>
  <c r="I291" i="2"/>
  <c r="E414" i="2"/>
  <c r="K1216" i="2"/>
  <c r="C1893" i="2"/>
  <c r="R1304" i="2"/>
  <c r="M886" i="2"/>
  <c r="N60" i="2"/>
  <c r="F14" i="2"/>
  <c r="R149" i="2"/>
  <c r="Q1290" i="2"/>
  <c r="K584" i="2"/>
  <c r="O867" i="2"/>
  <c r="J2375" i="2"/>
  <c r="O462" i="2"/>
  <c r="W43" i="2"/>
  <c r="T1650" i="2"/>
  <c r="V971" i="2"/>
  <c r="L1382" i="2"/>
  <c r="F117" i="2"/>
  <c r="P2177" i="2"/>
  <c r="I1481" i="2"/>
  <c r="W1853" i="2"/>
  <c r="G3282" i="2"/>
  <c r="H261" i="2"/>
  <c r="Q249" i="2"/>
  <c r="D3210" i="2"/>
  <c r="V1970" i="2"/>
  <c r="K1782" i="2"/>
  <c r="M781" i="2"/>
  <c r="J2108" i="2"/>
  <c r="H417" i="2"/>
  <c r="J2144" i="2"/>
  <c r="G395" i="2"/>
  <c r="W288" i="2"/>
  <c r="M1947" i="2"/>
  <c r="Q2975" i="2"/>
  <c r="P1639" i="2"/>
  <c r="D316" i="2"/>
  <c r="N318" i="2"/>
  <c r="D2870" i="2"/>
  <c r="N409" i="2"/>
  <c r="M1928" i="2"/>
  <c r="V293" i="2"/>
  <c r="M511" i="2"/>
  <c r="Q2483" i="2"/>
  <c r="O48" i="2"/>
  <c r="V188" i="2"/>
  <c r="N1991" i="2"/>
  <c r="J751" i="2"/>
  <c r="C670" i="2"/>
  <c r="N1399" i="2"/>
  <c r="H293" i="2"/>
  <c r="C826" i="2"/>
  <c r="C1966" i="2"/>
  <c r="W159" i="2"/>
  <c r="L1622" i="2"/>
  <c r="K771" i="2"/>
  <c r="P1112" i="2"/>
  <c r="O409" i="2"/>
  <c r="F1141" i="2"/>
  <c r="P1779" i="2"/>
  <c r="W580" i="2"/>
  <c r="H1977" i="2"/>
  <c r="N2112" i="2"/>
  <c r="E231" i="2"/>
  <c r="D2681" i="2"/>
  <c r="N1968" i="2"/>
  <c r="K1064" i="2"/>
  <c r="H1588" i="2"/>
  <c r="R138" i="2"/>
  <c r="H1225" i="2"/>
  <c r="T1672" i="2"/>
  <c r="P634" i="2"/>
  <c r="C2766" i="2"/>
  <c r="S1246" i="2"/>
  <c r="T1697" i="2"/>
  <c r="L265" i="2"/>
  <c r="H290" i="2"/>
  <c r="L155" i="2"/>
  <c r="C27" i="2"/>
  <c r="M254" i="2"/>
  <c r="I1274" i="2"/>
  <c r="N958" i="2"/>
  <c r="Q1424" i="2"/>
  <c r="F767" i="2"/>
  <c r="E1765" i="2"/>
  <c r="M1548" i="2"/>
  <c r="H1945" i="2"/>
  <c r="E1993" i="2"/>
  <c r="P286" i="2"/>
  <c r="E1005" i="2"/>
  <c r="N1006" i="2"/>
  <c r="D1109" i="2"/>
  <c r="J295" i="2"/>
  <c r="G2071" i="2"/>
  <c r="C260" i="2"/>
  <c r="G142" i="2"/>
  <c r="O405" i="2"/>
  <c r="K1191" i="2"/>
  <c r="S1229" i="2"/>
  <c r="U2401" i="2"/>
  <c r="L2749" i="2"/>
  <c r="D2204" i="2"/>
  <c r="L1322" i="2"/>
  <c r="E509" i="2"/>
  <c r="R217" i="2"/>
  <c r="T473" i="2"/>
  <c r="F461" i="2"/>
  <c r="F1997" i="2"/>
  <c r="U2593" i="2"/>
  <c r="U2492" i="2"/>
  <c r="I841" i="2"/>
  <c r="P1084" i="2"/>
  <c r="D3053" i="2"/>
  <c r="V1277" i="2"/>
  <c r="T1382" i="2"/>
  <c r="W785" i="2"/>
  <c r="N759" i="2"/>
  <c r="L1145" i="2"/>
  <c r="L2696" i="2"/>
  <c r="V318" i="2"/>
  <c r="O2005" i="2"/>
  <c r="V1784" i="2"/>
  <c r="E2654" i="2"/>
  <c r="W561" i="2"/>
  <c r="F975" i="2"/>
  <c r="R189" i="2"/>
  <c r="P174" i="2"/>
  <c r="E784" i="2"/>
  <c r="H96" i="2"/>
  <c r="K1259" i="2"/>
  <c r="F1636" i="2"/>
  <c r="W1009" i="2"/>
  <c r="T1121" i="2"/>
  <c r="N1894" i="2"/>
  <c r="R1025" i="2"/>
  <c r="T59" i="2"/>
  <c r="W417" i="2"/>
  <c r="Q1884" i="2"/>
  <c r="W1697" i="2"/>
  <c r="T91" i="2"/>
  <c r="N1462" i="2"/>
  <c r="K321" i="2"/>
  <c r="I1767" i="2"/>
  <c r="V1009" i="2"/>
  <c r="E2434" i="2"/>
  <c r="T2745" i="2"/>
  <c r="K2303" i="2"/>
  <c r="G501" i="2"/>
  <c r="F1709" i="2"/>
  <c r="H2496" i="2"/>
  <c r="I11" i="2"/>
  <c r="F1759" i="2"/>
  <c r="V2883" i="2"/>
  <c r="S1841" i="2"/>
  <c r="Q695" i="2"/>
  <c r="S239" i="2"/>
  <c r="E2381" i="2"/>
  <c r="W344" i="2"/>
  <c r="H773" i="2"/>
  <c r="U1221" i="2"/>
  <c r="E279" i="2"/>
  <c r="N558" i="2"/>
  <c r="M933" i="2"/>
  <c r="F1043" i="2"/>
  <c r="J883" i="2"/>
  <c r="G731" i="2"/>
  <c r="E2036" i="2"/>
  <c r="D701" i="2"/>
  <c r="K764" i="2"/>
  <c r="E1551" i="2"/>
  <c r="T1575" i="2"/>
  <c r="R2283" i="2"/>
  <c r="M275" i="2"/>
  <c r="J873" i="2"/>
  <c r="D540" i="2"/>
  <c r="O1369" i="2"/>
  <c r="T885" i="2"/>
  <c r="F1192" i="2"/>
  <c r="S1117" i="2"/>
  <c r="M654" i="2"/>
  <c r="R675" i="2"/>
  <c r="C1970" i="2"/>
  <c r="S1587" i="2"/>
  <c r="T1002" i="2"/>
  <c r="F2756" i="2"/>
  <c r="M545" i="2"/>
  <c r="O155" i="2"/>
  <c r="O1087" i="2"/>
  <c r="J1850" i="2"/>
  <c r="L234" i="2"/>
  <c r="O1810" i="2"/>
  <c r="J1033" i="2"/>
  <c r="Q841" i="2"/>
  <c r="N2688" i="2"/>
  <c r="Q312" i="2"/>
  <c r="T1430" i="2"/>
  <c r="C1803" i="2"/>
  <c r="I1514" i="2"/>
  <c r="K2150" i="2"/>
  <c r="J447" i="2"/>
  <c r="T263" i="2"/>
  <c r="T2574" i="2"/>
  <c r="R2982" i="2"/>
  <c r="C1195" i="2"/>
  <c r="I418" i="2"/>
  <c r="D1441" i="2"/>
  <c r="Q2372" i="2"/>
  <c r="N2087" i="2"/>
  <c r="I212" i="2"/>
  <c r="T261" i="2"/>
  <c r="C858" i="2"/>
  <c r="R94" i="2"/>
  <c r="J572" i="2"/>
  <c r="V2399" i="2"/>
  <c r="K475" i="2"/>
  <c r="K2353" i="2"/>
  <c r="I2221" i="2"/>
  <c r="N865" i="2"/>
  <c r="V544" i="2"/>
  <c r="F529" i="2"/>
  <c r="D434" i="2"/>
  <c r="T2789" i="2"/>
  <c r="S1521" i="2"/>
  <c r="E887" i="2"/>
  <c r="H637" i="2"/>
  <c r="M2962" i="2"/>
  <c r="U2041" i="2"/>
  <c r="T405" i="2"/>
  <c r="V1704" i="2"/>
  <c r="L1278" i="2"/>
  <c r="R2502" i="2"/>
  <c r="K574" i="2"/>
  <c r="I1488" i="2"/>
  <c r="F883" i="2"/>
  <c r="I2406" i="2"/>
  <c r="G2034" i="2"/>
  <c r="Q666" i="2"/>
  <c r="M1834" i="2"/>
  <c r="T224" i="2"/>
  <c r="G287" i="2"/>
  <c r="K1715" i="2"/>
  <c r="H2570" i="2"/>
  <c r="M2754" i="2"/>
  <c r="K1282" i="2"/>
  <c r="J1846" i="2"/>
  <c r="K554" i="2"/>
  <c r="L2627" i="2"/>
  <c r="H12" i="2"/>
  <c r="C1967" i="2"/>
  <c r="H1624" i="2"/>
  <c r="W645" i="2"/>
  <c r="P1527" i="2"/>
  <c r="O2607" i="2"/>
  <c r="Q1105" i="2"/>
  <c r="T902" i="2"/>
  <c r="H2306" i="2"/>
  <c r="S1397" i="2"/>
  <c r="E128" i="2"/>
  <c r="S2020" i="2"/>
  <c r="R1314" i="2"/>
  <c r="N2635" i="2"/>
  <c r="I2031" i="2"/>
  <c r="P41" i="2"/>
  <c r="F2617" i="2"/>
  <c r="Q2753" i="2"/>
  <c r="F588" i="2"/>
  <c r="G773" i="2"/>
  <c r="R1916" i="2"/>
  <c r="F315" i="2"/>
  <c r="W1413" i="2"/>
  <c r="N747" i="2"/>
  <c r="O437" i="2"/>
  <c r="L2055" i="2"/>
  <c r="D1738" i="2"/>
  <c r="R2543" i="2"/>
  <c r="R205" i="2"/>
  <c r="D1571" i="2"/>
  <c r="T307" i="2"/>
  <c r="O2055" i="2"/>
  <c r="E2204" i="2"/>
  <c r="P2549" i="2"/>
  <c r="J2779" i="2"/>
  <c r="G349" i="2"/>
  <c r="Q520" i="2"/>
  <c r="P1403" i="2"/>
  <c r="N2474" i="2"/>
  <c r="H2189" i="2"/>
  <c r="J2118" i="2"/>
  <c r="O1871" i="2"/>
  <c r="S2024" i="2"/>
  <c r="W1200" i="2"/>
  <c r="W2022" i="2"/>
  <c r="I700" i="2"/>
  <c r="R3271" i="2"/>
  <c r="G1801" i="2"/>
  <c r="K90" i="2"/>
  <c r="J1884" i="2"/>
  <c r="W499" i="2"/>
  <c r="R975" i="2"/>
  <c r="L711" i="2"/>
  <c r="P2152" i="2"/>
  <c r="D1498" i="2"/>
  <c r="J1443" i="2"/>
  <c r="E2249" i="2"/>
  <c r="R2701" i="2"/>
  <c r="E605" i="2"/>
  <c r="K269" i="2"/>
  <c r="O1226" i="2"/>
  <c r="Q1443" i="2"/>
  <c r="K2074" i="2"/>
  <c r="O730" i="2"/>
  <c r="F9" i="2"/>
  <c r="N875" i="2"/>
  <c r="T166" i="2"/>
  <c r="V1498" i="2"/>
  <c r="M1019" i="2"/>
  <c r="G602" i="2"/>
  <c r="W831" i="2"/>
  <c r="P2976" i="2"/>
  <c r="O1142" i="2"/>
  <c r="G3121" i="2"/>
  <c r="J2379" i="2"/>
  <c r="F496" i="2"/>
  <c r="N1655" i="2"/>
  <c r="H732" i="2"/>
  <c r="S1449" i="2"/>
  <c r="C1567" i="2"/>
  <c r="M2015" i="2"/>
  <c r="K904" i="2"/>
  <c r="I581" i="2"/>
  <c r="W1440" i="2"/>
  <c r="U620" i="2"/>
  <c r="Q162" i="2"/>
  <c r="I1617" i="2"/>
  <c r="O2021" i="2"/>
  <c r="K542" i="2"/>
  <c r="S3157" i="2"/>
  <c r="W1059" i="2"/>
  <c r="H1027" i="2"/>
  <c r="W2309" i="2"/>
  <c r="O417" i="2"/>
  <c r="V33" i="2"/>
  <c r="N1051" i="2"/>
  <c r="G1038" i="2"/>
  <c r="Q1893" i="2"/>
  <c r="F1327" i="2"/>
  <c r="T1312" i="2"/>
  <c r="T1801" i="2"/>
  <c r="O1076" i="2"/>
  <c r="O150" i="2"/>
  <c r="C2286" i="2"/>
  <c r="K2161" i="2"/>
  <c r="E1823" i="2"/>
  <c r="L1080" i="2"/>
  <c r="M2136" i="2"/>
  <c r="U643" i="2"/>
  <c r="V777" i="2"/>
  <c r="M2190" i="2"/>
  <c r="I1341" i="2"/>
  <c r="I1159" i="2"/>
  <c r="D1686" i="2"/>
  <c r="E602" i="2"/>
  <c r="K37" i="2"/>
  <c r="N799" i="2"/>
  <c r="N357" i="2"/>
  <c r="C436" i="2"/>
  <c r="H1398" i="2"/>
  <c r="N262" i="2"/>
  <c r="W1925" i="2"/>
  <c r="N563" i="2"/>
  <c r="C1550" i="2"/>
  <c r="Q2402" i="2"/>
  <c r="F897" i="2"/>
  <c r="J1317" i="2"/>
  <c r="M526" i="2"/>
  <c r="J229" i="2"/>
  <c r="J967" i="2"/>
  <c r="P665" i="2"/>
  <c r="U1081" i="2"/>
  <c r="Q173" i="2"/>
  <c r="R1838" i="2"/>
  <c r="C2069" i="2"/>
  <c r="Q224" i="2"/>
  <c r="W390" i="2"/>
  <c r="N3196" i="2"/>
  <c r="N3144" i="2"/>
  <c r="N416" i="2"/>
  <c r="K204" i="2"/>
  <c r="S1463" i="2"/>
  <c r="F727" i="2"/>
  <c r="I2101" i="2"/>
  <c r="L174" i="2"/>
  <c r="S1804" i="2"/>
  <c r="H1916" i="2"/>
  <c r="O559" i="2"/>
  <c r="D2582" i="2"/>
  <c r="N1606" i="2"/>
  <c r="L2106" i="2"/>
  <c r="J1169" i="2"/>
  <c r="U2128" i="2"/>
  <c r="S1507" i="2"/>
  <c r="T821" i="2"/>
  <c r="K914" i="2"/>
  <c r="P1780" i="2"/>
  <c r="G9" i="2"/>
  <c r="N1177" i="2"/>
  <c r="E1829" i="2"/>
  <c r="H618" i="2"/>
  <c r="I662" i="2"/>
  <c r="C1067" i="2"/>
  <c r="R1511" i="2"/>
  <c r="D1423" i="2"/>
  <c r="W1739" i="2"/>
  <c r="F1182" i="2"/>
  <c r="O1325" i="2"/>
  <c r="R942" i="2"/>
  <c r="M435" i="2"/>
  <c r="T2859" i="2"/>
  <c r="K161" i="2"/>
  <c r="P383" i="2"/>
  <c r="E51" i="2"/>
  <c r="C1954" i="2"/>
  <c r="G656" i="2"/>
  <c r="J1376" i="2"/>
  <c r="W10" i="2"/>
  <c r="N188" i="2"/>
  <c r="H2850" i="2"/>
  <c r="I1432" i="2"/>
  <c r="S93" i="2"/>
  <c r="F1663" i="2"/>
  <c r="K2808" i="2"/>
  <c r="N913" i="2"/>
  <c r="G1126" i="2"/>
  <c r="Q132" i="2"/>
  <c r="W1317" i="2"/>
  <c r="O213" i="2"/>
  <c r="I684" i="2"/>
  <c r="K1105" i="2"/>
  <c r="Q488" i="2"/>
  <c r="E3046" i="2"/>
  <c r="V2615" i="2"/>
  <c r="T578" i="2"/>
  <c r="O1316" i="2"/>
  <c r="D1905" i="2"/>
  <c r="I1130" i="2"/>
  <c r="T2844" i="2"/>
  <c r="O1079" i="2"/>
  <c r="E329" i="2"/>
  <c r="M747" i="2"/>
  <c r="T2350" i="2"/>
  <c r="S1734" i="2"/>
  <c r="O19" i="2"/>
  <c r="D882" i="2"/>
  <c r="E2308" i="2"/>
  <c r="S1283" i="2"/>
  <c r="O1820" i="2"/>
  <c r="C1261" i="2"/>
  <c r="J2019" i="2"/>
  <c r="F3141" i="2"/>
  <c r="J1394" i="2"/>
  <c r="N989" i="2"/>
  <c r="M2453" i="2"/>
  <c r="V763" i="2"/>
  <c r="V76" i="2"/>
  <c r="S289" i="2"/>
  <c r="W122" i="2"/>
  <c r="D3271" i="2"/>
  <c r="M1104" i="2"/>
  <c r="E704" i="2"/>
  <c r="L2422" i="2"/>
  <c r="V499" i="2"/>
  <c r="P571" i="2"/>
  <c r="D690" i="2"/>
  <c r="N824" i="2"/>
  <c r="M765" i="2"/>
  <c r="C553" i="2"/>
  <c r="M708" i="2"/>
  <c r="U2282" i="2"/>
  <c r="E1911" i="2"/>
  <c r="L307" i="2"/>
  <c r="U2676" i="2"/>
  <c r="P1753" i="2"/>
  <c r="D2148" i="2"/>
  <c r="N569" i="2"/>
  <c r="N245" i="2"/>
  <c r="E156" i="2"/>
  <c r="W811" i="2"/>
  <c r="J706" i="2"/>
  <c r="H1634" i="2"/>
  <c r="S2308" i="2"/>
  <c r="F888" i="2"/>
  <c r="U2590" i="2"/>
  <c r="K880" i="2"/>
  <c r="J2644" i="2"/>
  <c r="J111" i="2"/>
  <c r="J2257" i="2"/>
  <c r="E2351" i="2"/>
  <c r="F1370" i="2"/>
  <c r="H2708" i="2"/>
  <c r="P1719" i="2"/>
  <c r="C461" i="2"/>
  <c r="O174" i="2"/>
  <c r="L714" i="2"/>
  <c r="P1207" i="2"/>
  <c r="H2669" i="2"/>
  <c r="R119" i="2"/>
  <c r="F1473" i="2"/>
  <c r="C264" i="2"/>
  <c r="T1586" i="2"/>
  <c r="W688" i="2"/>
  <c r="O670" i="2"/>
  <c r="O1025" i="2"/>
  <c r="L456" i="2"/>
  <c r="C220" i="2"/>
  <c r="P321" i="2"/>
  <c r="W770" i="2"/>
  <c r="D673" i="2"/>
  <c r="N1344" i="2"/>
  <c r="C1614" i="2"/>
  <c r="J983" i="2"/>
  <c r="K1487" i="2"/>
  <c r="H1694" i="2"/>
  <c r="M1992" i="2"/>
  <c r="E1555" i="2"/>
  <c r="O2548" i="2"/>
  <c r="W559" i="2"/>
  <c r="N1270" i="2"/>
  <c r="D807" i="2"/>
  <c r="V618" i="2"/>
  <c r="T2041" i="2"/>
  <c r="N2543" i="2"/>
  <c r="V1463" i="2"/>
  <c r="E2212" i="2"/>
  <c r="V757" i="2"/>
  <c r="O2330" i="2"/>
  <c r="O602" i="2"/>
  <c r="I1404" i="2"/>
  <c r="G821" i="2"/>
  <c r="I548" i="2"/>
  <c r="W1787" i="2"/>
  <c r="J1158" i="2"/>
  <c r="H119" i="2"/>
  <c r="C382" i="2"/>
  <c r="D817" i="2"/>
  <c r="T2154" i="2"/>
  <c r="I254" i="2"/>
  <c r="P539" i="2"/>
  <c r="N1171" i="2"/>
  <c r="S1882" i="2"/>
  <c r="P836" i="2"/>
  <c r="H743" i="2"/>
  <c r="N702" i="2"/>
  <c r="U1196" i="2"/>
  <c r="C1238" i="2"/>
  <c r="M610" i="2"/>
  <c r="D2060" i="2"/>
  <c r="J1374" i="2"/>
  <c r="T660" i="2"/>
  <c r="J2205" i="2"/>
  <c r="O1885" i="2"/>
  <c r="T139" i="2"/>
  <c r="J1094" i="2"/>
  <c r="C1005" i="2"/>
  <c r="O291" i="2"/>
  <c r="D201" i="2"/>
  <c r="L1283" i="2"/>
  <c r="E1952" i="2"/>
  <c r="U2682" i="2"/>
  <c r="R365" i="2"/>
  <c r="C1139" i="2"/>
  <c r="G2057" i="2"/>
  <c r="C443" i="2"/>
  <c r="I2243" i="2"/>
  <c r="T238" i="2"/>
  <c r="H2721" i="2"/>
  <c r="Q2016" i="2"/>
  <c r="H20" i="2"/>
  <c r="M1169" i="2"/>
  <c r="V743" i="2"/>
  <c r="N2099" i="2"/>
  <c r="H1804" i="2"/>
  <c r="H164" i="2"/>
  <c r="C869" i="2"/>
  <c r="W1162" i="2"/>
  <c r="M498" i="2"/>
  <c r="E802" i="2"/>
  <c r="L59" i="2"/>
  <c r="F657" i="2"/>
  <c r="U627" i="2"/>
  <c r="Q2359" i="2"/>
  <c r="G1333" i="2"/>
  <c r="R1074" i="2"/>
  <c r="D3258" i="2"/>
  <c r="W526" i="2"/>
  <c r="L1597" i="2"/>
  <c r="N654" i="2"/>
  <c r="M3119" i="2"/>
  <c r="D1158" i="2"/>
  <c r="U2118" i="2"/>
  <c r="G319" i="2"/>
  <c r="S1141" i="2"/>
  <c r="K1256" i="2"/>
  <c r="Q896" i="2"/>
  <c r="E250" i="2"/>
  <c r="G776" i="2"/>
  <c r="S244" i="2"/>
  <c r="G448" i="2"/>
  <c r="T25" i="2"/>
  <c r="N1382" i="2"/>
  <c r="Q363" i="2"/>
  <c r="U160" i="2"/>
  <c r="J869" i="2"/>
  <c r="G2527" i="2"/>
  <c r="P833" i="2"/>
  <c r="R255" i="2"/>
  <c r="O372" i="2"/>
  <c r="R1833" i="2"/>
  <c r="W662" i="2"/>
  <c r="I2505" i="2"/>
  <c r="T304" i="2"/>
  <c r="W1278" i="2"/>
  <c r="J1371" i="2"/>
  <c r="I529" i="2"/>
  <c r="Q894" i="2"/>
  <c r="H909" i="2"/>
  <c r="C1201" i="2"/>
  <c r="U1554" i="2"/>
  <c r="L1518" i="2"/>
  <c r="G447" i="2"/>
  <c r="D1914" i="2"/>
  <c r="E1935" i="2"/>
  <c r="U2050" i="2"/>
  <c r="P1689" i="2"/>
  <c r="K2868" i="2"/>
  <c r="L829" i="2"/>
  <c r="K2089" i="2"/>
  <c r="C1707" i="2"/>
  <c r="R1905" i="2"/>
  <c r="M745" i="2"/>
  <c r="R1523" i="2"/>
  <c r="T663" i="2"/>
  <c r="D394" i="2"/>
  <c r="O1199" i="2"/>
  <c r="R1574" i="2"/>
  <c r="W828" i="2"/>
  <c r="K1356" i="2"/>
  <c r="F2645" i="2"/>
  <c r="J238" i="2"/>
  <c r="R120" i="2"/>
  <c r="N1191" i="2"/>
  <c r="Q358" i="2"/>
  <c r="M1631" i="2"/>
  <c r="H338" i="2"/>
  <c r="J244" i="2"/>
  <c r="N292" i="2"/>
  <c r="W2145" i="2"/>
  <c r="L1198" i="2"/>
  <c r="D451" i="2"/>
  <c r="I1836" i="2"/>
  <c r="H271" i="2"/>
  <c r="V1086" i="2"/>
  <c r="F1608" i="2"/>
  <c r="K358" i="2"/>
  <c r="J1421" i="2"/>
  <c r="V1978" i="2"/>
  <c r="D1312" i="2"/>
  <c r="I1153" i="2"/>
  <c r="R1513" i="2"/>
  <c r="D885" i="2"/>
  <c r="V2143" i="2"/>
  <c r="T426" i="2"/>
  <c r="L1210" i="2"/>
  <c r="J376" i="2"/>
  <c r="C135" i="2"/>
  <c r="O2746" i="2"/>
  <c r="I345" i="2"/>
  <c r="C204" i="2"/>
  <c r="N686" i="2"/>
  <c r="H90" i="2"/>
  <c r="J488" i="2"/>
  <c r="K356" i="2"/>
  <c r="S351" i="2"/>
  <c r="R1586" i="2"/>
  <c r="R275" i="2"/>
  <c r="R422" i="2"/>
  <c r="U980" i="2"/>
  <c r="E1692" i="2"/>
  <c r="M304" i="2"/>
  <c r="S204" i="2"/>
  <c r="M1077" i="2"/>
  <c r="G744" i="2"/>
  <c r="V305" i="2"/>
  <c r="V816" i="2"/>
  <c r="N1453" i="2"/>
  <c r="N1034" i="2"/>
  <c r="O1162" i="2"/>
  <c r="L2815" i="2"/>
  <c r="R1428" i="2"/>
  <c r="K1353" i="2"/>
  <c r="W193" i="2"/>
  <c r="I1164" i="2"/>
  <c r="C2194" i="2"/>
  <c r="K1184" i="2"/>
  <c r="C513" i="2"/>
  <c r="I1040" i="2"/>
  <c r="F27" i="2"/>
  <c r="Q2006" i="2"/>
  <c r="F2508" i="2"/>
  <c r="G55" i="2"/>
  <c r="Q988" i="2"/>
  <c r="U2109" i="2"/>
  <c r="C1166" i="2"/>
  <c r="E495" i="2"/>
  <c r="O1615" i="2"/>
  <c r="R1341" i="2"/>
  <c r="N1197" i="2"/>
  <c r="L1744" i="2"/>
  <c r="I2923" i="2"/>
  <c r="S345" i="2"/>
  <c r="S2700" i="2"/>
  <c r="O2416" i="2"/>
  <c r="U1880" i="2"/>
  <c r="S21" i="2"/>
  <c r="U1427" i="2"/>
  <c r="Q1213" i="2"/>
  <c r="E2111" i="2"/>
  <c r="F2198" i="2"/>
  <c r="J1233" i="2"/>
  <c r="I1013" i="2"/>
  <c r="I753" i="2"/>
  <c r="W1846" i="2"/>
  <c r="I835" i="2"/>
  <c r="N2104" i="2"/>
  <c r="S858" i="2"/>
  <c r="U604" i="2"/>
  <c r="K766" i="2"/>
  <c r="F2460" i="2"/>
  <c r="G347" i="2"/>
  <c r="W764" i="2"/>
  <c r="F129" i="2"/>
  <c r="C2350" i="2"/>
  <c r="H1248" i="2"/>
  <c r="O854" i="2"/>
  <c r="R1652" i="2"/>
  <c r="O2662" i="2"/>
  <c r="G1326" i="2"/>
  <c r="Q1502" i="2"/>
  <c r="Q1706" i="2"/>
  <c r="H247" i="2"/>
  <c r="F1378" i="2"/>
  <c r="R512" i="2"/>
  <c r="R1372" i="2"/>
  <c r="T415" i="2"/>
  <c r="I1463" i="2"/>
  <c r="C1673" i="2"/>
  <c r="F1145" i="2"/>
  <c r="P1142" i="2"/>
  <c r="D1347" i="2"/>
  <c r="K737" i="2"/>
  <c r="O1393" i="2"/>
  <c r="G831" i="2"/>
  <c r="C836" i="2"/>
  <c r="M1784" i="2"/>
  <c r="I1785" i="2"/>
  <c r="R1865" i="2"/>
  <c r="U427" i="2"/>
  <c r="N393" i="2"/>
  <c r="D1263" i="2"/>
  <c r="T180" i="2"/>
  <c r="P2406" i="2"/>
  <c r="K546" i="2"/>
  <c r="V1622" i="2"/>
  <c r="W2374" i="2"/>
  <c r="M508" i="2"/>
  <c r="R329" i="2"/>
  <c r="U1837" i="2"/>
  <c r="U194" i="2"/>
  <c r="I2119" i="2"/>
  <c r="W2301" i="2"/>
  <c r="C774" i="2"/>
  <c r="H2593" i="2"/>
  <c r="L1728" i="2"/>
  <c r="G1594" i="2"/>
  <c r="Q1181" i="2"/>
  <c r="R2928" i="2"/>
  <c r="M302" i="2"/>
  <c r="R698" i="2"/>
  <c r="S226" i="2"/>
  <c r="F440" i="2"/>
  <c r="T1701" i="2"/>
  <c r="R1110" i="2"/>
  <c r="H2701" i="2"/>
  <c r="K2126" i="2"/>
  <c r="F1309" i="2"/>
  <c r="K276" i="2"/>
  <c r="Q2448" i="2"/>
  <c r="I142" i="2"/>
  <c r="F1692" i="2"/>
  <c r="C927" i="2"/>
  <c r="S2339" i="2"/>
  <c r="H1574" i="2"/>
  <c r="K2139" i="2"/>
  <c r="K29" i="2"/>
  <c r="F2652" i="2"/>
  <c r="M962" i="2"/>
  <c r="I521" i="2"/>
  <c r="F1509" i="2"/>
  <c r="R1517" i="2"/>
  <c r="E1052" i="2"/>
  <c r="Q624" i="2"/>
  <c r="V832" i="2"/>
  <c r="S819" i="2"/>
  <c r="L1556" i="2"/>
  <c r="L707" i="2"/>
  <c r="C284" i="2"/>
  <c r="O1930" i="2"/>
  <c r="O2450" i="2"/>
  <c r="E195" i="2"/>
  <c r="G681" i="2"/>
  <c r="D84" i="2"/>
  <c r="R689" i="2"/>
  <c r="C1379" i="2"/>
  <c r="W1496" i="2"/>
  <c r="T1032" i="2"/>
  <c r="D364" i="2"/>
  <c r="H1783" i="2"/>
  <c r="W1253" i="2"/>
  <c r="F1176" i="2"/>
  <c r="N1685" i="2"/>
  <c r="J490" i="2"/>
  <c r="P1093" i="2"/>
  <c r="K2198" i="2"/>
  <c r="M1042" i="2"/>
  <c r="R1302" i="2"/>
  <c r="G314" i="2"/>
  <c r="T2879" i="2"/>
  <c r="O1422" i="2"/>
  <c r="K342" i="2"/>
  <c r="V2346" i="2"/>
  <c r="Q2776" i="2"/>
  <c r="O1307" i="2"/>
  <c r="O35" i="2"/>
  <c r="E2114" i="2"/>
  <c r="R466" i="2"/>
  <c r="T85" i="2"/>
  <c r="S769" i="2"/>
  <c r="R654" i="2"/>
  <c r="D614" i="2"/>
  <c r="L835" i="2"/>
  <c r="D792" i="2"/>
  <c r="I1335" i="2"/>
  <c r="D869" i="2"/>
  <c r="M2434" i="2"/>
  <c r="R434" i="2"/>
  <c r="L345" i="2"/>
  <c r="D1144" i="2"/>
  <c r="P361" i="2"/>
  <c r="P2147" i="2"/>
  <c r="S1939" i="2"/>
  <c r="P1030" i="2"/>
  <c r="H213" i="2"/>
  <c r="F771" i="2"/>
  <c r="F285" i="2"/>
  <c r="J1223" i="2"/>
  <c r="J450" i="2"/>
  <c r="F1921" i="2"/>
  <c r="G819" i="2"/>
  <c r="G2239" i="2"/>
  <c r="V1930" i="2"/>
  <c r="R1704" i="2"/>
  <c r="G409" i="2"/>
  <c r="G1296" i="2"/>
  <c r="N2269" i="2"/>
  <c r="O2202" i="2"/>
  <c r="G400" i="2"/>
  <c r="K438" i="2"/>
  <c r="O2027" i="2"/>
  <c r="G361" i="2"/>
  <c r="P492" i="2"/>
  <c r="I373" i="2"/>
  <c r="N2560" i="2"/>
  <c r="O999" i="2"/>
  <c r="J1594" i="2"/>
  <c r="P1159" i="2"/>
  <c r="I1528" i="2"/>
  <c r="U1650" i="2"/>
  <c r="W1879" i="2"/>
  <c r="M1470" i="2"/>
  <c r="K2097" i="2"/>
  <c r="K1414" i="2"/>
  <c r="I808" i="2"/>
  <c r="Q53" i="2"/>
  <c r="E1181" i="2"/>
  <c r="D1444" i="2"/>
  <c r="V752" i="2"/>
  <c r="V1854" i="2"/>
  <c r="N3329" i="2"/>
  <c r="O429" i="2"/>
  <c r="K1175" i="2"/>
  <c r="T1448" i="2"/>
  <c r="K687" i="2"/>
  <c r="S833" i="2"/>
  <c r="D663" i="2"/>
  <c r="F155" i="2"/>
  <c r="G2282" i="2"/>
  <c r="E2049" i="2"/>
  <c r="K537" i="2"/>
  <c r="O1285" i="2"/>
  <c r="J1282" i="2"/>
  <c r="O750" i="2"/>
  <c r="I2138" i="2"/>
  <c r="T729" i="2"/>
  <c r="K262" i="2"/>
  <c r="D198" i="2"/>
  <c r="C369" i="2"/>
  <c r="G1465" i="2"/>
  <c r="M219" i="2"/>
  <c r="K545" i="2"/>
  <c r="K1855" i="2"/>
  <c r="Q271" i="2"/>
  <c r="N1718" i="2"/>
  <c r="L9" i="2"/>
  <c r="P1180" i="2"/>
  <c r="H40" i="2"/>
  <c r="Q209" i="2"/>
  <c r="I705" i="2"/>
  <c r="L530" i="2"/>
  <c r="R933" i="2"/>
  <c r="Q609" i="2"/>
  <c r="D2154" i="2"/>
  <c r="N2509" i="2"/>
  <c r="K2286" i="2"/>
  <c r="D1089" i="2"/>
  <c r="K401" i="2"/>
  <c r="G1829" i="2"/>
  <c r="C1460" i="2"/>
  <c r="V101" i="2"/>
  <c r="M398" i="2"/>
  <c r="T1063" i="2"/>
  <c r="N2850" i="2"/>
  <c r="R1987" i="2"/>
  <c r="U1197" i="2"/>
  <c r="C1146" i="2"/>
  <c r="W374" i="2"/>
  <c r="O2189" i="2"/>
  <c r="H666" i="2"/>
  <c r="G343" i="2"/>
  <c r="C1370" i="2"/>
  <c r="O341" i="2"/>
  <c r="U586" i="2"/>
  <c r="U1204" i="2"/>
  <c r="O2177" i="2"/>
  <c r="G1427" i="2"/>
  <c r="H1148" i="2"/>
  <c r="V1278" i="2"/>
  <c r="U2947" i="2"/>
  <c r="K961" i="2"/>
  <c r="Q345" i="2"/>
  <c r="L1834" i="2"/>
  <c r="T514" i="2"/>
  <c r="I1997" i="2"/>
  <c r="I784" i="2"/>
  <c r="U706" i="2"/>
  <c r="N748" i="2"/>
  <c r="I430" i="2"/>
  <c r="F1136" i="2"/>
  <c r="Q2536" i="2"/>
  <c r="U42" i="2"/>
  <c r="P452" i="2"/>
  <c r="C807" i="2"/>
  <c r="D2620" i="2"/>
  <c r="S1551" i="2"/>
  <c r="C1183" i="2"/>
  <c r="W1782" i="2"/>
  <c r="F1873" i="2"/>
  <c r="E994" i="2"/>
  <c r="U1546" i="2"/>
  <c r="T217" i="2"/>
  <c r="S1313" i="2"/>
  <c r="F2066" i="2"/>
  <c r="M327" i="2"/>
  <c r="N1290" i="2"/>
  <c r="P2369" i="2"/>
  <c r="D2713" i="2"/>
  <c r="S2371" i="2"/>
  <c r="N2405" i="2"/>
  <c r="I1906" i="2"/>
  <c r="M1770" i="2"/>
  <c r="J339" i="2"/>
  <c r="J511" i="2"/>
  <c r="D181" i="2"/>
  <c r="J2344" i="2"/>
  <c r="D1063" i="2"/>
  <c r="H2410" i="2"/>
  <c r="O957" i="2"/>
  <c r="N852" i="2"/>
  <c r="F503" i="2"/>
  <c r="V1987" i="2"/>
  <c r="P516" i="2"/>
  <c r="G460" i="2"/>
  <c r="L1257" i="2"/>
  <c r="M28" i="2"/>
  <c r="F142" i="2"/>
  <c r="C823" i="2"/>
  <c r="H2867" i="2"/>
  <c r="I2100" i="2"/>
  <c r="J1027" i="2"/>
  <c r="Q1113" i="2"/>
  <c r="R1199" i="2"/>
  <c r="O561" i="2"/>
  <c r="G1335" i="2"/>
  <c r="J530" i="2"/>
  <c r="O2175" i="2"/>
  <c r="O2524" i="2"/>
  <c r="D1944" i="2"/>
  <c r="R764" i="2"/>
  <c r="D1490" i="2"/>
  <c r="K69" i="2"/>
  <c r="C612" i="2"/>
  <c r="F1679" i="2"/>
  <c r="U2853" i="2"/>
  <c r="K109" i="2"/>
  <c r="S1555" i="2"/>
  <c r="O585" i="2"/>
  <c r="N589" i="2"/>
  <c r="C1231" i="2"/>
  <c r="O754" i="2"/>
  <c r="S774" i="2"/>
  <c r="H165" i="2"/>
  <c r="D128" i="2"/>
  <c r="N1266" i="2"/>
  <c r="H2489" i="2"/>
  <c r="E976" i="2"/>
  <c r="R1135" i="2"/>
  <c r="G2295" i="2"/>
  <c r="I689" i="2"/>
  <c r="N173" i="2"/>
  <c r="J1677" i="2"/>
  <c r="C2844" i="2"/>
  <c r="C1065" i="2"/>
  <c r="S1369" i="2"/>
  <c r="Q2810" i="2"/>
  <c r="C1525" i="2"/>
  <c r="V100" i="2"/>
  <c r="V159" i="2"/>
  <c r="N1580" i="2"/>
  <c r="S1257" i="2"/>
  <c r="H1013" i="2"/>
  <c r="N76" i="2"/>
  <c r="S703" i="2"/>
  <c r="V1433" i="2"/>
  <c r="V64" i="2"/>
  <c r="J2509" i="2"/>
  <c r="L555" i="2"/>
  <c r="T480" i="2"/>
  <c r="N1463" i="2"/>
  <c r="U1611" i="2"/>
  <c r="N1341" i="2"/>
  <c r="O1360" i="2"/>
  <c r="P601" i="2"/>
  <c r="Q2319" i="2"/>
  <c r="D2155" i="2"/>
  <c r="H201" i="2"/>
  <c r="N2613" i="2"/>
  <c r="E1237" i="2"/>
  <c r="I2179" i="2"/>
  <c r="F1279" i="2"/>
  <c r="V1367" i="2"/>
  <c r="T1468" i="2"/>
  <c r="V268" i="2"/>
  <c r="E1190" i="2"/>
  <c r="U180" i="2"/>
  <c r="W253" i="2"/>
  <c r="W644" i="2"/>
  <c r="C2462" i="2"/>
  <c r="F402" i="2"/>
  <c r="G353" i="2"/>
  <c r="U1408" i="2"/>
  <c r="V506" i="2"/>
  <c r="Q1889" i="2"/>
  <c r="S495" i="2"/>
  <c r="M2087" i="2"/>
  <c r="R1307" i="2"/>
  <c r="O925" i="2"/>
  <c r="I2198" i="2"/>
  <c r="J1775" i="2"/>
  <c r="G643" i="2"/>
  <c r="S161" i="2"/>
  <c r="E3352" i="2"/>
  <c r="N266" i="2"/>
  <c r="K377" i="2"/>
  <c r="Q1510" i="2"/>
  <c r="M206" i="2"/>
  <c r="U913" i="2"/>
  <c r="T921" i="2"/>
  <c r="P582" i="2"/>
  <c r="K1251" i="2"/>
  <c r="U812" i="2"/>
  <c r="I156" i="2"/>
  <c r="U860" i="2"/>
  <c r="I261" i="2"/>
  <c r="U830" i="2"/>
  <c r="I1109" i="2"/>
  <c r="G732" i="2"/>
  <c r="Q578" i="2"/>
  <c r="J2354" i="2"/>
  <c r="H347" i="2"/>
  <c r="K1156" i="2"/>
  <c r="M1675" i="2"/>
  <c r="C1630" i="2"/>
  <c r="U139" i="2"/>
  <c r="J1142" i="2"/>
  <c r="F647" i="2"/>
  <c r="V1007" i="2"/>
  <c r="E890" i="2"/>
  <c r="L756" i="2"/>
  <c r="G2058" i="2"/>
  <c r="T2556" i="2"/>
  <c r="H2281" i="2"/>
  <c r="W162" i="2"/>
  <c r="N2077" i="2"/>
  <c r="C270" i="2"/>
  <c r="J2479" i="2"/>
  <c r="U2812" i="2"/>
  <c r="L2577" i="2"/>
  <c r="K300" i="2"/>
  <c r="W1213" i="2"/>
  <c r="G524" i="2"/>
  <c r="S1092" i="2"/>
  <c r="G394" i="2"/>
  <c r="M1026" i="2"/>
  <c r="F1111" i="2"/>
  <c r="P1028" i="2"/>
  <c r="F1933" i="2"/>
  <c r="T1202" i="2"/>
  <c r="J810" i="2"/>
  <c r="T13" i="2"/>
  <c r="D2530" i="2"/>
  <c r="U1960" i="2"/>
  <c r="Q1161" i="2"/>
  <c r="T121" i="2"/>
  <c r="Q2138" i="2"/>
  <c r="F379" i="2"/>
  <c r="O280" i="2"/>
  <c r="D1811" i="2"/>
  <c r="T1919" i="2"/>
  <c r="I1351" i="2"/>
  <c r="W847" i="2"/>
  <c r="V1027" i="2"/>
  <c r="I354" i="2"/>
  <c r="M47" i="2"/>
  <c r="M1763" i="2"/>
  <c r="C2770" i="2"/>
  <c r="I2161" i="2"/>
  <c r="G216" i="2"/>
  <c r="P232" i="2"/>
  <c r="I424" i="2"/>
  <c r="G3115" i="2"/>
  <c r="I954" i="2"/>
  <c r="G1878" i="2"/>
  <c r="V424" i="2"/>
  <c r="F761" i="2"/>
  <c r="W1150" i="2"/>
  <c r="S2668" i="2"/>
  <c r="T2492" i="2"/>
  <c r="I1211" i="2"/>
  <c r="M232" i="2"/>
  <c r="L231" i="2"/>
  <c r="K376" i="2"/>
  <c r="H751" i="2"/>
  <c r="F2607" i="2"/>
  <c r="W1193" i="2"/>
  <c r="R1223" i="2"/>
  <c r="Q32" i="2"/>
  <c r="F1730" i="2"/>
  <c r="D727" i="2"/>
  <c r="K2117" i="2"/>
  <c r="F17" i="2"/>
  <c r="T1571" i="2"/>
  <c r="V1610" i="2"/>
  <c r="M468" i="2"/>
  <c r="K995" i="2"/>
  <c r="H1645" i="2"/>
  <c r="I469" i="2"/>
  <c r="K1650" i="2"/>
  <c r="N506" i="2"/>
  <c r="K1493" i="2"/>
  <c r="K1827" i="2"/>
  <c r="F2181" i="2"/>
  <c r="I1530" i="2"/>
  <c r="M663" i="2"/>
  <c r="Q1162" i="2"/>
  <c r="V2089" i="2"/>
  <c r="Q2525" i="2"/>
  <c r="S1740" i="2"/>
  <c r="V431" i="2"/>
  <c r="T689" i="2"/>
  <c r="T878" i="2"/>
  <c r="L924" i="2"/>
  <c r="T2307" i="2"/>
  <c r="E826" i="2"/>
  <c r="N2192" i="2"/>
  <c r="J2615" i="2"/>
  <c r="E2554" i="2"/>
  <c r="I679" i="2"/>
  <c r="S1218" i="2"/>
  <c r="N2622" i="2"/>
  <c r="I962" i="2"/>
  <c r="P3338" i="2"/>
  <c r="M1310" i="2"/>
  <c r="Q1931" i="2"/>
  <c r="K551" i="2"/>
  <c r="E1799" i="2"/>
  <c r="N449" i="2"/>
  <c r="O2441" i="2"/>
  <c r="I610" i="2"/>
  <c r="T1547" i="2"/>
  <c r="K378" i="2"/>
  <c r="J2623" i="2"/>
  <c r="F1893" i="2"/>
  <c r="S361" i="2"/>
  <c r="N1252" i="2"/>
  <c r="F1021" i="2"/>
  <c r="C1789" i="2"/>
  <c r="R773" i="2"/>
  <c r="L1010" i="2"/>
  <c r="N1134" i="2"/>
  <c r="L1106" i="2"/>
  <c r="R831" i="2"/>
  <c r="H1285" i="2"/>
  <c r="D1418" i="2"/>
  <c r="S2309" i="2"/>
  <c r="G2327" i="2"/>
  <c r="S1046" i="2"/>
  <c r="C813" i="2"/>
  <c r="W1396" i="2"/>
  <c r="I1041" i="2"/>
  <c r="M1251" i="2"/>
  <c r="U938" i="2"/>
  <c r="M1530" i="2"/>
  <c r="W2499" i="2"/>
  <c r="H3427" i="2"/>
  <c r="R254" i="2"/>
  <c r="W721" i="2"/>
  <c r="P2446" i="2"/>
  <c r="N2880" i="2"/>
  <c r="G962" i="2"/>
  <c r="D774" i="2"/>
  <c r="Q2408" i="2"/>
  <c r="U2199" i="2"/>
  <c r="H1614" i="2"/>
  <c r="K408" i="2"/>
  <c r="Q704" i="2"/>
  <c r="W1039" i="2"/>
  <c r="K231" i="2"/>
  <c r="F798" i="2"/>
  <c r="G2354" i="2"/>
  <c r="U1954" i="2"/>
  <c r="Q2064" i="2"/>
  <c r="N522" i="2"/>
  <c r="C1496" i="2"/>
  <c r="G1438" i="2"/>
  <c r="C881" i="2"/>
  <c r="O625" i="2"/>
  <c r="F1813" i="2"/>
  <c r="S439" i="2"/>
  <c r="K169" i="2"/>
  <c r="D528" i="2"/>
  <c r="M2421" i="2"/>
  <c r="O2413" i="2"/>
  <c r="Q1180" i="2"/>
  <c r="G363" i="2"/>
  <c r="J2439" i="2"/>
  <c r="E1888" i="2"/>
  <c r="Q1209" i="2"/>
  <c r="C1466" i="2"/>
  <c r="J184" i="2"/>
  <c r="G77" i="2"/>
  <c r="M3193" i="2"/>
  <c r="E2732" i="2"/>
  <c r="I1885" i="2"/>
  <c r="L3151" i="2"/>
  <c r="N845" i="2"/>
  <c r="O1881" i="2"/>
  <c r="D595" i="2"/>
  <c r="V928" i="2"/>
  <c r="V164" i="2"/>
  <c r="W435" i="2"/>
  <c r="I1021" i="2"/>
  <c r="I1689" i="2"/>
  <c r="C922" i="2"/>
  <c r="W1995" i="2"/>
  <c r="O1083" i="2"/>
  <c r="E550" i="2"/>
  <c r="T823" i="2"/>
  <c r="C733" i="2"/>
  <c r="U1296" i="2"/>
  <c r="I2403" i="2"/>
  <c r="S323" i="2"/>
  <c r="N632" i="2"/>
  <c r="K1520" i="2"/>
  <c r="F68" i="2"/>
  <c r="L623" i="2"/>
  <c r="O2984" i="2"/>
  <c r="R442" i="2"/>
  <c r="G733" i="2"/>
  <c r="E1874" i="2"/>
  <c r="J804" i="2"/>
  <c r="S1757" i="2"/>
  <c r="L793" i="2"/>
  <c r="L2070" i="2"/>
  <c r="K541" i="2"/>
  <c r="D50" i="2"/>
  <c r="J545" i="2"/>
  <c r="K1171" i="2"/>
  <c r="W1966" i="2"/>
  <c r="D2804" i="2"/>
  <c r="N136" i="2"/>
  <c r="H2981" i="2"/>
  <c r="K668" i="2"/>
  <c r="C946" i="2"/>
  <c r="N766" i="2"/>
  <c r="O27" i="2"/>
  <c r="K617" i="2"/>
  <c r="K1529" i="2"/>
  <c r="G1666" i="2"/>
  <c r="N1235" i="2"/>
  <c r="D1023" i="2"/>
  <c r="W371" i="2"/>
  <c r="Q705" i="2"/>
  <c r="V1238" i="2"/>
  <c r="D986" i="2"/>
  <c r="U759" i="2"/>
  <c r="O2062" i="2"/>
  <c r="K285" i="2"/>
  <c r="J341" i="2"/>
  <c r="G2744" i="2"/>
  <c r="T282" i="2"/>
  <c r="G1756" i="2"/>
  <c r="T1595" i="2"/>
  <c r="O1553" i="2"/>
  <c r="D2863" i="2"/>
  <c r="W927" i="2"/>
  <c r="P1310" i="2"/>
  <c r="L2419" i="2"/>
  <c r="I177" i="2"/>
  <c r="C1634" i="2"/>
  <c r="H1918" i="2"/>
  <c r="S2467" i="2"/>
  <c r="V976" i="2"/>
  <c r="P1038" i="2"/>
  <c r="N785" i="2"/>
  <c r="G576" i="2"/>
  <c r="R1930" i="2"/>
  <c r="V1001" i="2"/>
  <c r="D1315" i="2"/>
  <c r="U602" i="2"/>
  <c r="N2168" i="2"/>
  <c r="J310" i="2"/>
  <c r="K425" i="2"/>
  <c r="L1892" i="2"/>
  <c r="D1187" i="2"/>
  <c r="G1198" i="2"/>
  <c r="K398" i="2"/>
  <c r="W2556" i="2"/>
  <c r="T1384" i="2"/>
  <c r="S639" i="2"/>
  <c r="E15" i="2"/>
  <c r="V1833" i="2"/>
  <c r="W2549" i="2"/>
  <c r="D216" i="2"/>
  <c r="I330" i="2"/>
  <c r="T4" i="2"/>
  <c r="J50" i="2"/>
  <c r="I1629" i="2"/>
  <c r="D536" i="2"/>
  <c r="Q1314" i="2"/>
  <c r="L540" i="2"/>
  <c r="F881" i="2"/>
  <c r="W2305" i="2"/>
  <c r="U71" i="2"/>
  <c r="I849" i="2"/>
  <c r="F2" i="2"/>
  <c r="S648" i="2"/>
  <c r="Q286" i="2"/>
  <c r="P56" i="2"/>
  <c r="E804" i="2"/>
  <c r="R2192" i="2"/>
  <c r="T1351" i="2"/>
  <c r="F870" i="2"/>
  <c r="D738" i="2"/>
  <c r="F2818" i="2"/>
  <c r="R2324" i="2"/>
  <c r="D665" i="2"/>
  <c r="I2553" i="2"/>
  <c r="U74" i="2"/>
  <c r="R2959" i="2"/>
  <c r="N325" i="2"/>
  <c r="P2186" i="2"/>
  <c r="W660" i="2"/>
  <c r="S1606" i="2"/>
  <c r="J1228" i="2"/>
  <c r="P98" i="2"/>
  <c r="W655" i="2"/>
  <c r="J1874" i="2"/>
  <c r="K283" i="2"/>
  <c r="M985" i="2"/>
  <c r="N776" i="2"/>
  <c r="N3270" i="2"/>
  <c r="I1186" i="2"/>
  <c r="R1291" i="2"/>
  <c r="G81" i="2"/>
  <c r="H2477" i="2"/>
  <c r="G820" i="2"/>
  <c r="R2280" i="2"/>
  <c r="E152" i="2"/>
  <c r="U1339" i="2"/>
  <c r="W532" i="2"/>
  <c r="E999" i="2"/>
  <c r="I16" i="2"/>
  <c r="I205" i="2"/>
  <c r="M899" i="2"/>
  <c r="V2124" i="2"/>
  <c r="J655" i="2"/>
  <c r="S2361" i="2"/>
  <c r="T992" i="2"/>
  <c r="O1910" i="2"/>
  <c r="L2188" i="2"/>
  <c r="O1109" i="2"/>
  <c r="M719" i="2"/>
  <c r="V734" i="2"/>
  <c r="R1464" i="2"/>
  <c r="M1227" i="2"/>
  <c r="D465" i="2"/>
  <c r="I1419" i="2"/>
  <c r="D1753" i="2"/>
  <c r="I561" i="2"/>
  <c r="L1738" i="2"/>
  <c r="R1083" i="2"/>
  <c r="J2721" i="2"/>
  <c r="Q1712" i="2"/>
  <c r="E1337" i="2"/>
  <c r="S1977" i="2"/>
  <c r="K2232" i="2"/>
  <c r="W2930" i="2"/>
  <c r="N1593" i="2"/>
  <c r="Q2934" i="2"/>
  <c r="G2027" i="2"/>
  <c r="Q1646" i="2"/>
  <c r="O2893" i="2"/>
  <c r="U1442" i="2"/>
  <c r="O1314" i="2"/>
  <c r="C1881" i="2"/>
  <c r="F1091" i="2"/>
  <c r="J886" i="2"/>
  <c r="W843" i="2"/>
  <c r="G2040" i="2"/>
  <c r="U1109" i="2"/>
  <c r="Q299" i="2"/>
  <c r="G1194" i="2"/>
  <c r="T1307" i="2"/>
  <c r="L447" i="2"/>
  <c r="W2187" i="2"/>
  <c r="U1314" i="2"/>
  <c r="D331" i="2"/>
  <c r="K3105" i="2"/>
  <c r="H473" i="2"/>
  <c r="W1403" i="2"/>
  <c r="W1766" i="2"/>
  <c r="W697" i="2"/>
  <c r="I728" i="2"/>
  <c r="E518" i="2"/>
  <c r="W163" i="2"/>
  <c r="N467" i="2"/>
  <c r="J137" i="2"/>
  <c r="K154" i="2"/>
  <c r="S1284" i="2"/>
  <c r="R2121" i="2"/>
  <c r="N2500" i="2"/>
  <c r="J113" i="2"/>
  <c r="K2105" i="2"/>
  <c r="C103" i="2"/>
  <c r="R1741" i="2"/>
  <c r="R359" i="2"/>
  <c r="S1760" i="2"/>
  <c r="F752" i="2"/>
  <c r="O721" i="2"/>
  <c r="S25" i="2"/>
  <c r="F239" i="2"/>
  <c r="T1640" i="2"/>
  <c r="L1345" i="2"/>
  <c r="H955" i="2"/>
  <c r="J948" i="2"/>
  <c r="V328" i="2"/>
  <c r="K1407" i="2"/>
  <c r="C2326" i="2"/>
  <c r="G1809" i="2"/>
  <c r="K210" i="2"/>
  <c r="T300" i="2"/>
  <c r="W738" i="2"/>
  <c r="C2300" i="2"/>
  <c r="J939" i="2"/>
  <c r="L886" i="2"/>
  <c r="J2931" i="2"/>
  <c r="W2442" i="2"/>
  <c r="U1737" i="2"/>
  <c r="V1989" i="2"/>
  <c r="F591" i="2"/>
  <c r="W1402" i="2"/>
  <c r="S509" i="2"/>
  <c r="F779" i="2"/>
  <c r="N2680" i="2"/>
  <c r="G2771" i="2"/>
  <c r="T2292" i="2"/>
  <c r="P2341" i="2"/>
  <c r="E1604" i="2"/>
  <c r="P2909" i="2"/>
  <c r="U1929" i="2"/>
  <c r="Q574" i="2"/>
  <c r="U1668" i="2"/>
  <c r="I1963" i="2"/>
  <c r="E1439" i="2"/>
  <c r="S2176" i="2"/>
  <c r="Q1315" i="2"/>
  <c r="S3025" i="2"/>
  <c r="O1932" i="2"/>
  <c r="Q992" i="2"/>
  <c r="D1999" i="2"/>
  <c r="H351" i="2"/>
  <c r="T2069" i="2"/>
  <c r="E2082" i="2"/>
  <c r="N2170" i="2"/>
  <c r="M1759" i="2"/>
  <c r="H76" i="2"/>
  <c r="F1811" i="2"/>
  <c r="D2314" i="2"/>
  <c r="V201" i="2"/>
  <c r="M1046" i="2"/>
  <c r="T761" i="2"/>
  <c r="W105" i="2"/>
  <c r="O1571" i="2"/>
  <c r="J2407" i="2"/>
  <c r="U1145" i="2"/>
  <c r="R796" i="2"/>
  <c r="N1380" i="2"/>
  <c r="D1993" i="2"/>
  <c r="C2381" i="2"/>
  <c r="S1788" i="2"/>
  <c r="U703" i="2"/>
  <c r="M2874" i="2"/>
  <c r="N784" i="2"/>
  <c r="S1360" i="2"/>
  <c r="S1484" i="2"/>
  <c r="R680" i="2"/>
  <c r="N2746" i="2"/>
  <c r="N1282" i="2"/>
  <c r="U683" i="2"/>
  <c r="W529" i="2"/>
  <c r="P703" i="2"/>
  <c r="T609" i="2"/>
  <c r="P2697" i="2"/>
  <c r="P2487" i="2"/>
  <c r="R279" i="2"/>
  <c r="D1707" i="2"/>
  <c r="H398" i="2"/>
  <c r="C2695" i="2"/>
  <c r="O2297" i="2"/>
  <c r="V1496" i="2"/>
  <c r="T835" i="2"/>
  <c r="L2393" i="2"/>
  <c r="P2299" i="2"/>
  <c r="E1896" i="2"/>
  <c r="O763" i="2"/>
  <c r="P1982" i="2"/>
  <c r="T1295" i="2"/>
  <c r="W887" i="2"/>
  <c r="D116" i="2"/>
  <c r="K2452" i="2"/>
  <c r="V1608" i="2"/>
  <c r="Q2437" i="2"/>
  <c r="K712" i="2"/>
  <c r="L1742" i="2"/>
  <c r="T532" i="2"/>
  <c r="G1183" i="2"/>
  <c r="W1246" i="2"/>
  <c r="P1366" i="2"/>
  <c r="S1487" i="2"/>
  <c r="C251" i="2"/>
  <c r="R1013" i="2"/>
  <c r="E1635" i="2"/>
  <c r="Q770" i="2"/>
  <c r="F990" i="2"/>
  <c r="G1665" i="2"/>
  <c r="R2059" i="2"/>
  <c r="J2301" i="2"/>
  <c r="W214" i="2"/>
  <c r="S1735" i="2"/>
  <c r="L827" i="2"/>
  <c r="S146" i="2"/>
  <c r="W1746" i="2"/>
  <c r="T800" i="2"/>
  <c r="R2344" i="2"/>
  <c r="S125" i="2"/>
  <c r="H1767" i="2"/>
  <c r="P2176" i="2"/>
  <c r="F76" i="2"/>
  <c r="M2835" i="2"/>
  <c r="C2762" i="2"/>
  <c r="Q1734" i="2"/>
  <c r="E929" i="2"/>
  <c r="K116" i="2"/>
  <c r="S389" i="2"/>
  <c r="H382" i="2"/>
  <c r="W2138" i="2"/>
  <c r="I589" i="2"/>
  <c r="T306" i="2"/>
  <c r="O295" i="2"/>
  <c r="P134" i="2"/>
  <c r="D704" i="2"/>
  <c r="R850" i="2"/>
  <c r="P328" i="2"/>
  <c r="N153" i="2"/>
  <c r="W1483" i="2"/>
  <c r="M1122" i="2"/>
  <c r="U2334" i="2"/>
  <c r="I2156" i="2"/>
  <c r="D499" i="2"/>
  <c r="U588" i="2"/>
  <c r="O1922" i="2"/>
  <c r="W1498" i="2"/>
  <c r="R599" i="2"/>
  <c r="D2038" i="2"/>
  <c r="E540" i="2"/>
  <c r="K972" i="2"/>
  <c r="I598" i="2"/>
  <c r="J25" i="2"/>
  <c r="E1055" i="2"/>
  <c r="U2899" i="2"/>
  <c r="G1658" i="2"/>
  <c r="Q2325" i="2"/>
  <c r="W1036" i="2"/>
  <c r="E596" i="2"/>
  <c r="Q594" i="2"/>
  <c r="L212" i="2"/>
  <c r="Q1728" i="2"/>
  <c r="Q1139" i="2"/>
  <c r="I602" i="2"/>
  <c r="I801" i="2"/>
  <c r="M133" i="2"/>
  <c r="Q282" i="2"/>
  <c r="D1322" i="2"/>
  <c r="C963" i="2"/>
  <c r="W640" i="2"/>
  <c r="V74" i="2"/>
  <c r="G2401" i="2"/>
  <c r="F1879" i="2"/>
  <c r="L2293" i="2"/>
  <c r="P2449" i="2"/>
  <c r="L301" i="2"/>
  <c r="W386" i="2"/>
  <c r="D2513" i="2"/>
  <c r="P1866" i="2"/>
  <c r="T1070" i="2"/>
  <c r="C2432" i="2"/>
  <c r="H3131" i="2"/>
  <c r="R1257" i="2"/>
  <c r="F2358" i="2"/>
  <c r="G849" i="2"/>
  <c r="I860" i="2"/>
  <c r="L1048" i="2"/>
  <c r="R789" i="2"/>
  <c r="J1829" i="2"/>
  <c r="N29" i="2"/>
  <c r="H3193" i="2"/>
  <c r="S1464" i="2"/>
  <c r="H1022" i="2"/>
  <c r="E1195" i="2"/>
  <c r="L1813" i="2"/>
  <c r="F2753" i="2"/>
  <c r="R187" i="2"/>
  <c r="M885" i="2"/>
  <c r="G662" i="2"/>
  <c r="S264" i="2"/>
  <c r="I391" i="2"/>
  <c r="F2174" i="2"/>
  <c r="G2466" i="2"/>
  <c r="V685" i="2"/>
  <c r="M1041" i="2"/>
  <c r="I738" i="2"/>
  <c r="Q519" i="2"/>
  <c r="L619" i="2"/>
  <c r="C190" i="2"/>
  <c r="P1547" i="2"/>
  <c r="G848" i="2"/>
  <c r="D2518" i="2"/>
  <c r="M2094" i="2"/>
  <c r="O1683" i="2"/>
  <c r="E2284" i="2"/>
  <c r="P983" i="2"/>
  <c r="G1411" i="2"/>
  <c r="H1747" i="2"/>
  <c r="C799" i="2"/>
  <c r="D640" i="2"/>
  <c r="O2242" i="2"/>
  <c r="D2505" i="2"/>
  <c r="L22" i="2"/>
  <c r="H469" i="2"/>
  <c r="K1773" i="2"/>
  <c r="R1084" i="2"/>
  <c r="D1298" i="2"/>
  <c r="U675" i="2"/>
  <c r="J807" i="2"/>
  <c r="O2207" i="2"/>
  <c r="V2992" i="2"/>
  <c r="P97" i="2"/>
  <c r="J909" i="2"/>
  <c r="S561" i="2"/>
  <c r="I1582" i="2"/>
  <c r="J778" i="2"/>
  <c r="D2004" i="2"/>
  <c r="P2034" i="2"/>
  <c r="W2432" i="2"/>
  <c r="K1245" i="2"/>
  <c r="V664" i="2"/>
  <c r="W2387" i="2"/>
  <c r="P518" i="2"/>
  <c r="I783" i="2"/>
  <c r="W88" i="2"/>
  <c r="V695" i="2"/>
  <c r="R910" i="2"/>
  <c r="L1928" i="2"/>
  <c r="R1864" i="2"/>
  <c r="N1863" i="2"/>
  <c r="O158" i="2"/>
  <c r="H402" i="2"/>
  <c r="W3067" i="2"/>
  <c r="O14" i="2"/>
  <c r="L79" i="2"/>
  <c r="Q126" i="2"/>
  <c r="I732" i="2"/>
  <c r="Q479" i="2"/>
  <c r="L357" i="2"/>
  <c r="R159" i="2"/>
  <c r="L2633" i="2"/>
  <c r="W1943" i="2"/>
  <c r="T1184" i="2"/>
  <c r="S885" i="2"/>
  <c r="C437" i="2"/>
  <c r="K881" i="2"/>
  <c r="J265" i="2"/>
  <c r="L687" i="2"/>
  <c r="G1890" i="2"/>
  <c r="E1245" i="2"/>
  <c r="I2410" i="2"/>
  <c r="C1021" i="2"/>
  <c r="J914" i="2"/>
  <c r="P364" i="2"/>
  <c r="C1297" i="2"/>
  <c r="M2312" i="2"/>
  <c r="O761" i="2"/>
  <c r="K1824" i="2"/>
  <c r="V1841" i="2"/>
  <c r="P365" i="2"/>
  <c r="V2735" i="2"/>
  <c r="S1600" i="2"/>
  <c r="K129" i="2"/>
  <c r="R527" i="2"/>
  <c r="C1843" i="2"/>
  <c r="Q1765" i="2"/>
  <c r="Q1684" i="2"/>
  <c r="R2327" i="2"/>
  <c r="L27" i="2"/>
  <c r="H721" i="2"/>
  <c r="F2705" i="2"/>
  <c r="S2082" i="2"/>
  <c r="Q1237" i="2"/>
  <c r="U1676" i="2"/>
  <c r="P2706" i="2"/>
  <c r="N1760" i="2"/>
  <c r="C322" i="2"/>
  <c r="I1498" i="2"/>
  <c r="L1539" i="2"/>
  <c r="T856" i="2"/>
  <c r="E1876" i="2"/>
  <c r="P2120" i="2"/>
  <c r="K514" i="2"/>
  <c r="M971" i="2"/>
  <c r="D423" i="2"/>
  <c r="D995" i="2"/>
  <c r="U2116" i="2"/>
  <c r="N390" i="2"/>
  <c r="S3191" i="2"/>
  <c r="R766" i="2"/>
  <c r="D2899" i="2"/>
  <c r="F1513" i="2"/>
  <c r="H420" i="2"/>
  <c r="S832" i="2"/>
  <c r="V2612" i="2"/>
  <c r="L1226" i="2"/>
  <c r="O914" i="2"/>
  <c r="S1752" i="2"/>
  <c r="O1568" i="2"/>
  <c r="I1035" i="2"/>
  <c r="C290" i="2"/>
  <c r="F895" i="2"/>
  <c r="L977" i="2"/>
  <c r="K1079" i="2"/>
  <c r="U1153" i="2"/>
  <c r="S1771" i="2"/>
  <c r="G75" i="2"/>
  <c r="U2322" i="2"/>
  <c r="O454" i="2"/>
  <c r="N1799" i="2"/>
  <c r="U1916" i="2"/>
  <c r="S792" i="2"/>
  <c r="S531" i="2"/>
  <c r="S59" i="2"/>
  <c r="J1620" i="2"/>
  <c r="C653" i="2"/>
  <c r="J979" i="2"/>
  <c r="J1756" i="2"/>
  <c r="E3117" i="2"/>
  <c r="I932" i="2"/>
  <c r="H51" i="2"/>
  <c r="U57" i="2"/>
  <c r="M675" i="2"/>
  <c r="H1473" i="2"/>
  <c r="E1743" i="2"/>
  <c r="J922" i="2"/>
  <c r="M1778" i="2"/>
  <c r="O2501" i="2"/>
  <c r="M1644" i="2"/>
  <c r="M1960" i="2"/>
  <c r="M1741" i="2"/>
  <c r="W857" i="2"/>
  <c r="Q216" i="2"/>
  <c r="C283" i="2"/>
  <c r="K1393" i="2"/>
  <c r="O1660" i="2"/>
  <c r="I1174" i="2"/>
  <c r="O219" i="2"/>
  <c r="O680" i="2"/>
  <c r="P1835" i="2"/>
  <c r="C602" i="2"/>
  <c r="C448" i="2"/>
  <c r="J1622" i="2"/>
  <c r="F757" i="2"/>
  <c r="S1080" i="2"/>
  <c r="S2113" i="2"/>
  <c r="F908" i="2"/>
  <c r="R2130" i="2"/>
  <c r="H1346" i="2"/>
  <c r="R54" i="2"/>
  <c r="I3020" i="2"/>
  <c r="W2184" i="2"/>
  <c r="C387" i="2"/>
  <c r="O453" i="2"/>
  <c r="Q424" i="2"/>
  <c r="F1087" i="2"/>
  <c r="U719" i="2"/>
  <c r="G147" i="2"/>
  <c r="T655" i="2"/>
  <c r="G509" i="2"/>
  <c r="J1193" i="2"/>
  <c r="C800" i="2"/>
  <c r="M1119" i="2"/>
  <c r="U902" i="2"/>
  <c r="Q71" i="2"/>
  <c r="N1012" i="2"/>
  <c r="R2012" i="2"/>
  <c r="H1270" i="2"/>
  <c r="E1088" i="2"/>
  <c r="Q986" i="2"/>
  <c r="T259" i="2"/>
  <c r="N2796" i="2"/>
  <c r="P596" i="2"/>
  <c r="I699" i="2"/>
  <c r="M2531" i="2"/>
  <c r="T60" i="2"/>
  <c r="W2805" i="2"/>
  <c r="O1047" i="2"/>
  <c r="T299" i="2"/>
  <c r="J214" i="2"/>
  <c r="D1744" i="2"/>
  <c r="I358" i="2"/>
  <c r="F390" i="2"/>
  <c r="L1358" i="2"/>
  <c r="O247" i="2"/>
  <c r="W1000" i="2"/>
  <c r="E240" i="2"/>
  <c r="O1277" i="2"/>
  <c r="V1561" i="2"/>
  <c r="F1798" i="2"/>
  <c r="T887" i="2"/>
  <c r="O1066" i="2"/>
  <c r="G2704" i="2"/>
  <c r="N171" i="2"/>
  <c r="C248" i="2"/>
  <c r="K2478" i="2"/>
  <c r="E3186" i="2"/>
  <c r="N565" i="2"/>
  <c r="G1113" i="2"/>
  <c r="Q1722" i="2"/>
  <c r="W1174" i="2"/>
  <c r="J288" i="2"/>
  <c r="T143" i="2"/>
  <c r="P2182" i="2"/>
  <c r="O595" i="2"/>
  <c r="G37" i="2"/>
  <c r="H961" i="2"/>
  <c r="N1305" i="2"/>
  <c r="H1076" i="2"/>
  <c r="W1354" i="2"/>
  <c r="E1833" i="2"/>
  <c r="J1629" i="2"/>
  <c r="N2123" i="2"/>
  <c r="C361" i="2"/>
  <c r="U2224" i="2"/>
  <c r="Q876" i="2"/>
  <c r="J1215" i="2"/>
  <c r="F1644" i="2"/>
  <c r="U2913" i="2"/>
  <c r="T1364" i="2"/>
  <c r="C822" i="2"/>
  <c r="F2413" i="2"/>
  <c r="J1843" i="2"/>
  <c r="M166" i="2"/>
  <c r="G517" i="2"/>
  <c r="M9" i="2"/>
  <c r="M1003" i="2"/>
  <c r="P1065" i="2"/>
  <c r="Q1280" i="2"/>
  <c r="E1169" i="2"/>
  <c r="J395" i="2"/>
  <c r="D81" i="2"/>
  <c r="H922" i="2"/>
  <c r="W1906" i="2"/>
  <c r="K373" i="2"/>
  <c r="V2760" i="2"/>
  <c r="L580" i="2"/>
  <c r="Q2061" i="2"/>
  <c r="C1352" i="2"/>
  <c r="Q1718" i="2"/>
  <c r="S1784" i="2"/>
  <c r="L962" i="2"/>
  <c r="W1241" i="2"/>
  <c r="V1261" i="2"/>
  <c r="K973" i="2"/>
  <c r="F1624" i="2"/>
  <c r="P672" i="2"/>
  <c r="H350" i="2"/>
  <c r="L1400" i="2"/>
  <c r="M779" i="2"/>
  <c r="K2894" i="2"/>
  <c r="R1768" i="2"/>
  <c r="E2274" i="2"/>
  <c r="H323" i="2"/>
  <c r="T894" i="2"/>
  <c r="P1318" i="2"/>
  <c r="N2479" i="2"/>
  <c r="P135" i="2"/>
  <c r="O1106" i="2"/>
  <c r="S676" i="2"/>
  <c r="W1319" i="2"/>
  <c r="E2335" i="2"/>
  <c r="S472" i="2"/>
  <c r="D381" i="2"/>
  <c r="Q156" i="2"/>
  <c r="L492" i="2"/>
  <c r="R471" i="2"/>
  <c r="L1908" i="2"/>
  <c r="P88" i="2"/>
  <c r="Q340" i="2"/>
  <c r="L1237" i="2"/>
  <c r="I1309" i="2"/>
  <c r="U123" i="2"/>
  <c r="W1430" i="2"/>
  <c r="K391" i="2"/>
  <c r="F1800" i="2"/>
  <c r="T1959" i="2"/>
  <c r="L1001" i="2"/>
  <c r="O1214" i="2"/>
  <c r="G859" i="2"/>
  <c r="W530" i="2"/>
  <c r="H477" i="2"/>
  <c r="Q826" i="2"/>
  <c r="P575" i="2"/>
  <c r="H3159" i="2"/>
  <c r="N2300" i="2"/>
  <c r="Q811" i="2"/>
  <c r="F580" i="2"/>
  <c r="H224" i="2"/>
  <c r="Q252" i="2"/>
  <c r="P612" i="2"/>
  <c r="U1642" i="2"/>
  <c r="J2485" i="2"/>
  <c r="U835" i="2"/>
  <c r="C1361" i="2"/>
  <c r="P500" i="2"/>
  <c r="S236" i="2"/>
  <c r="J1016" i="2"/>
  <c r="G1066" i="2"/>
  <c r="Q2183" i="2"/>
  <c r="I1576" i="2"/>
  <c r="T1530" i="2"/>
  <c r="J2972" i="2"/>
  <c r="N1917" i="2"/>
  <c r="M1325" i="2"/>
  <c r="C2095" i="2"/>
  <c r="W763" i="2"/>
  <c r="D1163" i="2"/>
  <c r="T1963" i="2"/>
  <c r="T1852" i="2"/>
  <c r="H78" i="2"/>
  <c r="R295" i="2"/>
  <c r="Q2835" i="2"/>
  <c r="E2001" i="2"/>
  <c r="I1108" i="2"/>
  <c r="M1766" i="2"/>
  <c r="D1377" i="2"/>
  <c r="N1347" i="2"/>
  <c r="K215" i="2"/>
  <c r="O57" i="2"/>
  <c r="T3284" i="2"/>
  <c r="F790" i="2"/>
  <c r="R2081" i="2"/>
  <c r="V3179" i="2"/>
  <c r="I1020" i="2"/>
  <c r="K351" i="2"/>
  <c r="P2025" i="2"/>
  <c r="H17" i="2"/>
  <c r="U505" i="2"/>
  <c r="J2949" i="2"/>
  <c r="V3235" i="2"/>
  <c r="R888" i="2"/>
  <c r="K41" i="2"/>
  <c r="L588" i="2"/>
  <c r="G1702" i="2"/>
  <c r="Q1794" i="2"/>
  <c r="V111" i="2"/>
  <c r="V122" i="2"/>
  <c r="S2187" i="2"/>
  <c r="J1295" i="2"/>
  <c r="T485" i="2"/>
  <c r="W179" i="2"/>
  <c r="I3138" i="2"/>
  <c r="E228" i="2"/>
  <c r="U14" i="2"/>
  <c r="N354" i="2"/>
  <c r="I2736" i="2"/>
  <c r="K2427" i="2"/>
  <c r="O51" i="2"/>
  <c r="O207" i="2"/>
  <c r="L1815" i="2"/>
  <c r="P654" i="2"/>
  <c r="R1943" i="2"/>
  <c r="E1323" i="2"/>
  <c r="R892" i="2"/>
  <c r="S107" i="2"/>
  <c r="W546" i="2"/>
  <c r="W85" i="2"/>
  <c r="P1333" i="2"/>
  <c r="K2921" i="2"/>
  <c r="W967" i="2"/>
  <c r="H2824" i="2"/>
  <c r="D529" i="2"/>
  <c r="J183" i="2"/>
  <c r="N382" i="2"/>
  <c r="G46" i="2"/>
  <c r="D1513" i="2"/>
  <c r="L2444" i="2"/>
  <c r="I1943" i="2"/>
  <c r="O1005" i="2"/>
  <c r="G1361" i="2"/>
  <c r="M1400" i="2"/>
  <c r="M1526" i="2"/>
  <c r="Q1274" i="2"/>
  <c r="C1885" i="2"/>
  <c r="L1720" i="2"/>
  <c r="K579" i="2"/>
  <c r="P229" i="2"/>
  <c r="P106" i="2"/>
  <c r="Q1023" i="2"/>
  <c r="V529" i="2"/>
  <c r="F404" i="2"/>
  <c r="O73" i="2"/>
  <c r="F1697" i="2"/>
  <c r="I263" i="2"/>
  <c r="T169" i="2"/>
  <c r="M2545" i="2"/>
  <c r="R1023" i="2"/>
  <c r="D1566" i="2"/>
  <c r="P227" i="2"/>
  <c r="N286" i="2"/>
  <c r="H1784" i="2"/>
  <c r="H1125" i="2"/>
  <c r="T2511" i="2"/>
  <c r="I473" i="2"/>
  <c r="P1616" i="2"/>
  <c r="H3280" i="2"/>
  <c r="R2122" i="2"/>
  <c r="C398" i="2"/>
  <c r="W552" i="2"/>
  <c r="N639" i="2"/>
  <c r="T2666" i="2"/>
  <c r="V709" i="2"/>
  <c r="I423" i="2"/>
  <c r="M1983" i="2"/>
  <c r="N1970" i="2"/>
  <c r="T1230" i="2"/>
  <c r="U124" i="2"/>
  <c r="T1770" i="2"/>
  <c r="M2936" i="2"/>
  <c r="E1411" i="2"/>
  <c r="K134" i="2"/>
  <c r="D512" i="2"/>
  <c r="D1623" i="2"/>
  <c r="U1867" i="2"/>
  <c r="G1595" i="2"/>
  <c r="O59" i="2"/>
  <c r="L1105" i="2"/>
  <c r="T1356" i="2"/>
  <c r="O255" i="2"/>
  <c r="D298" i="2"/>
  <c r="M743" i="2"/>
  <c r="G756" i="2"/>
  <c r="E2915" i="2"/>
  <c r="H314" i="2"/>
  <c r="I909" i="2"/>
  <c r="E2408" i="2"/>
  <c r="Q724" i="2"/>
  <c r="O919" i="2"/>
  <c r="L1172" i="2"/>
  <c r="C198" i="2"/>
  <c r="H1268" i="2"/>
  <c r="Q1128" i="2"/>
  <c r="R1095" i="2"/>
  <c r="V1072" i="2"/>
  <c r="M1303" i="2"/>
  <c r="G638" i="2"/>
  <c r="E2080" i="2"/>
  <c r="S2507" i="2"/>
  <c r="V1364" i="2"/>
  <c r="W62" i="2"/>
  <c r="F1547" i="2"/>
  <c r="H1310" i="2"/>
  <c r="C526" i="2"/>
  <c r="E687" i="2"/>
  <c r="E1531" i="2"/>
  <c r="D1822" i="2"/>
  <c r="W1270" i="2"/>
  <c r="K1303" i="2"/>
  <c r="D2668" i="2"/>
  <c r="E2596" i="2"/>
  <c r="V650" i="2"/>
  <c r="U2873" i="2"/>
  <c r="R594" i="2"/>
  <c r="H711" i="2"/>
  <c r="U3140" i="2"/>
  <c r="F2334" i="2"/>
  <c r="K192" i="2"/>
  <c r="Q402" i="2"/>
  <c r="P1373" i="2"/>
  <c r="O1453" i="2"/>
  <c r="J796" i="2"/>
  <c r="U757" i="2"/>
  <c r="R800" i="2"/>
  <c r="N754" i="2"/>
  <c r="T362" i="2"/>
  <c r="O1709" i="2"/>
  <c r="F978" i="2"/>
  <c r="M46" i="2"/>
  <c r="S2494" i="2"/>
  <c r="J10" i="2"/>
  <c r="N787" i="2"/>
  <c r="L1457" i="2"/>
  <c r="U1244" i="2"/>
  <c r="M484" i="2"/>
  <c r="U1080" i="2"/>
  <c r="I1362" i="2"/>
  <c r="C2146" i="2"/>
  <c r="Q1357" i="2"/>
  <c r="L2208" i="2"/>
  <c r="C665" i="2"/>
  <c r="E2641" i="2"/>
  <c r="F1376" i="2"/>
  <c r="D99" i="2"/>
  <c r="E232" i="2"/>
  <c r="C984" i="2"/>
  <c r="V1310" i="2"/>
  <c r="U1763" i="2"/>
  <c r="K2045" i="2"/>
  <c r="S1559" i="2"/>
  <c r="P64" i="2"/>
  <c r="H649" i="2"/>
  <c r="D2034" i="2"/>
  <c r="E1959" i="2"/>
  <c r="F474" i="2"/>
  <c r="L2977" i="2"/>
  <c r="E31" i="2"/>
  <c r="V2573" i="2"/>
  <c r="O323" i="2"/>
  <c r="O1313" i="2"/>
  <c r="C70" i="2"/>
  <c r="L1992" i="2"/>
  <c r="E661" i="2"/>
  <c r="N1324" i="2"/>
  <c r="W2480" i="2"/>
  <c r="V568" i="2"/>
  <c r="I2081" i="2"/>
  <c r="Q712" i="2"/>
  <c r="F803" i="2"/>
  <c r="W443" i="2"/>
  <c r="F278" i="2"/>
  <c r="E1079" i="2"/>
  <c r="D931" i="2"/>
  <c r="K114" i="2"/>
  <c r="N2052" i="2"/>
  <c r="M2088" i="2"/>
  <c r="E1359" i="2"/>
  <c r="C2058" i="2"/>
  <c r="J378" i="2"/>
  <c r="M609" i="2"/>
  <c r="M217" i="2"/>
  <c r="Q885" i="2"/>
  <c r="M1188" i="2"/>
  <c r="N2667" i="2"/>
  <c r="K2269" i="2"/>
  <c r="I1055" i="2"/>
  <c r="E200" i="2"/>
  <c r="R2196" i="2"/>
  <c r="C329" i="2"/>
  <c r="I189" i="2"/>
  <c r="N1092" i="2"/>
  <c r="S3316" i="2"/>
  <c r="G1851" i="2"/>
  <c r="M2355" i="2"/>
  <c r="M1295" i="2"/>
  <c r="T700" i="2"/>
  <c r="U558" i="2"/>
  <c r="T1658" i="2"/>
  <c r="F903" i="2"/>
  <c r="N2241" i="2"/>
  <c r="C2660" i="2"/>
  <c r="G611" i="2"/>
  <c r="J2046" i="2"/>
  <c r="C916" i="2"/>
  <c r="U1112" i="2"/>
  <c r="M2602" i="2"/>
  <c r="E457" i="2"/>
  <c r="L1319" i="2"/>
  <c r="U2664" i="2"/>
  <c r="D608" i="2"/>
  <c r="R431" i="2"/>
  <c r="E281" i="2"/>
  <c r="E1614" i="2"/>
  <c r="I417" i="2"/>
  <c r="L520" i="2"/>
  <c r="K271" i="2"/>
  <c r="J1827" i="2"/>
  <c r="N750" i="2"/>
  <c r="H433" i="2"/>
  <c r="L1785" i="2"/>
  <c r="W1644" i="2"/>
  <c r="P2277" i="2"/>
  <c r="Q1766" i="2"/>
  <c r="C465" i="2"/>
  <c r="R2843" i="2"/>
  <c r="M1507" i="2"/>
  <c r="G1772" i="2"/>
  <c r="L1418" i="2"/>
  <c r="M1591" i="2"/>
  <c r="U249" i="2"/>
  <c r="C490" i="2"/>
  <c r="H1243" i="2"/>
  <c r="U1437" i="2"/>
  <c r="M75" i="2"/>
  <c r="E798" i="2"/>
  <c r="W1170" i="2"/>
  <c r="P1455" i="2"/>
  <c r="I71" i="2"/>
  <c r="G1768" i="2"/>
  <c r="C1545" i="2"/>
  <c r="N1335" i="2"/>
  <c r="W1820" i="2"/>
  <c r="P598" i="2"/>
  <c r="V831" i="2"/>
  <c r="V1555" i="2"/>
  <c r="S1112" i="2"/>
  <c r="C217" i="2"/>
  <c r="J960" i="2"/>
  <c r="O3208" i="2"/>
  <c r="K428" i="2"/>
  <c r="W242" i="2"/>
  <c r="D980" i="2"/>
  <c r="K318" i="2"/>
  <c r="C1373" i="2"/>
  <c r="P1938" i="2"/>
  <c r="J2065" i="2"/>
  <c r="Q1903" i="2"/>
  <c r="H2022" i="2"/>
  <c r="G2406" i="2"/>
  <c r="V539" i="2"/>
  <c r="O176" i="2"/>
  <c r="K1735" i="2"/>
  <c r="O1551" i="2"/>
  <c r="G530" i="2"/>
  <c r="H1539" i="2"/>
  <c r="J1182" i="2"/>
  <c r="N225" i="2"/>
  <c r="J207" i="2"/>
  <c r="E400" i="2"/>
  <c r="U2012" i="2"/>
  <c r="V772" i="2"/>
  <c r="U2349" i="2"/>
  <c r="L2238" i="2"/>
  <c r="N160" i="2"/>
  <c r="K2955" i="2"/>
  <c r="S2843" i="2"/>
  <c r="H925" i="2"/>
  <c r="H1623" i="2"/>
  <c r="P1962" i="2"/>
  <c r="J689" i="2"/>
  <c r="P773" i="2"/>
  <c r="T2039" i="2"/>
  <c r="I1337" i="2"/>
  <c r="R843" i="2"/>
  <c r="O331" i="2"/>
  <c r="D1472" i="2"/>
  <c r="S926" i="2"/>
  <c r="D1184" i="2"/>
  <c r="K1223" i="2"/>
  <c r="S1617" i="2"/>
  <c r="V746" i="2"/>
  <c r="E649" i="2"/>
  <c r="I672" i="2"/>
  <c r="N605" i="2"/>
  <c r="F1278" i="2"/>
  <c r="D542" i="2"/>
  <c r="E1346" i="2"/>
  <c r="H900" i="2"/>
  <c r="H162" i="2"/>
  <c r="F1150" i="2"/>
  <c r="K2758" i="2"/>
  <c r="N128" i="2"/>
  <c r="D1167" i="2"/>
  <c r="P1460" i="2"/>
  <c r="D204" i="2"/>
  <c r="N876" i="2"/>
  <c r="D52" i="2"/>
  <c r="D579" i="2"/>
  <c r="I3068" i="2"/>
  <c r="Q720" i="2"/>
  <c r="N1221" i="2"/>
  <c r="M680" i="2"/>
  <c r="S300" i="2"/>
  <c r="U1808" i="2"/>
  <c r="O1432" i="2"/>
  <c r="F2426" i="2"/>
  <c r="G1402" i="2"/>
  <c r="C2204" i="2"/>
  <c r="K765" i="2"/>
  <c r="S608" i="2"/>
  <c r="N1751" i="2"/>
  <c r="C250" i="2"/>
  <c r="J539" i="2"/>
  <c r="R864" i="2"/>
  <c r="E196" i="2"/>
  <c r="C840" i="2"/>
  <c r="P966" i="2"/>
  <c r="D732" i="2"/>
  <c r="K1522" i="2"/>
  <c r="O189" i="2"/>
  <c r="T1074" i="2"/>
  <c r="N1728" i="2"/>
  <c r="N327" i="2"/>
  <c r="D1002" i="2"/>
  <c r="W416" i="2"/>
  <c r="V2336" i="2"/>
  <c r="W822" i="2"/>
  <c r="J2133" i="2"/>
  <c r="I845" i="2"/>
  <c r="N653" i="2"/>
  <c r="F345" i="2"/>
  <c r="M709" i="2"/>
  <c r="L4" i="2"/>
  <c r="C335" i="2"/>
  <c r="P2899" i="2"/>
  <c r="G1270" i="2"/>
  <c r="U371" i="2"/>
  <c r="S479" i="2"/>
  <c r="Q4" i="2"/>
  <c r="L1357" i="2"/>
  <c r="W991" i="2"/>
  <c r="H1439" i="2"/>
  <c r="S1519" i="2"/>
  <c r="N1838" i="2"/>
  <c r="C2337" i="2"/>
  <c r="C1236" i="2"/>
  <c r="T1867" i="2"/>
  <c r="J173" i="2"/>
  <c r="Q883" i="2"/>
  <c r="O424" i="2"/>
  <c r="D112" i="2"/>
  <c r="R153" i="2"/>
  <c r="F1001" i="2"/>
  <c r="R859" i="2"/>
  <c r="G223" i="2"/>
  <c r="S1109" i="2"/>
  <c r="C2525" i="2"/>
  <c r="V1126" i="2"/>
  <c r="D1924" i="2"/>
  <c r="E111" i="2"/>
  <c r="L1194" i="2"/>
  <c r="T2650" i="2"/>
  <c r="K228" i="2"/>
  <c r="H2329" i="2"/>
  <c r="I1088" i="2"/>
  <c r="C15" i="2"/>
  <c r="C132" i="2"/>
  <c r="L661" i="2"/>
  <c r="E616" i="2"/>
  <c r="I1354" i="2"/>
  <c r="L157" i="2"/>
  <c r="U666" i="2"/>
  <c r="C1100" i="2"/>
  <c r="T498" i="2"/>
  <c r="K2470" i="2"/>
  <c r="L120" i="2"/>
  <c r="S2696" i="2"/>
  <c r="F1765" i="2"/>
  <c r="U2671" i="2"/>
  <c r="W1520" i="2"/>
  <c r="H621" i="2"/>
  <c r="J645" i="2"/>
  <c r="D131" i="2"/>
  <c r="J146" i="2"/>
  <c r="O1093" i="2"/>
  <c r="D1442" i="2"/>
  <c r="F2269" i="2"/>
  <c r="T2360" i="2"/>
  <c r="N681" i="2"/>
  <c r="S630" i="2"/>
  <c r="V1702" i="2"/>
  <c r="C1760" i="2"/>
  <c r="G316" i="2"/>
  <c r="O118" i="2"/>
  <c r="D268" i="2"/>
  <c r="C1646" i="2"/>
  <c r="D734" i="2"/>
  <c r="V2429" i="2"/>
  <c r="V591" i="2"/>
  <c r="S1837" i="2"/>
  <c r="D836" i="2"/>
  <c r="I1602" i="2"/>
  <c r="S1795" i="2"/>
  <c r="N1473" i="2"/>
  <c r="S1280" i="2"/>
  <c r="K1876" i="2"/>
  <c r="Q775" i="2"/>
  <c r="I1163" i="2"/>
  <c r="S166" i="2"/>
  <c r="M2147" i="2"/>
  <c r="O1015" i="2"/>
  <c r="R1282" i="2"/>
  <c r="U555" i="2"/>
  <c r="M2511" i="2"/>
  <c r="S1406" i="2"/>
  <c r="D1646" i="2"/>
  <c r="K1607" i="2"/>
  <c r="I1424" i="2"/>
  <c r="G1039" i="2"/>
  <c r="F2371" i="2"/>
  <c r="V2407" i="2"/>
  <c r="T2766" i="2"/>
  <c r="F1892" i="2"/>
  <c r="H1963" i="2"/>
  <c r="F1993" i="2"/>
  <c r="D751" i="2"/>
  <c r="W1273" i="2"/>
  <c r="J2383" i="2"/>
  <c r="T116" i="2"/>
  <c r="K665" i="2"/>
  <c r="K1498" i="2"/>
  <c r="D1923" i="2"/>
  <c r="S548" i="2"/>
  <c r="S1434" i="2"/>
  <c r="H403" i="2"/>
  <c r="J2300" i="2"/>
  <c r="L300" i="2"/>
  <c r="I2349" i="2"/>
  <c r="H1475" i="2"/>
  <c r="E1422" i="2"/>
  <c r="Q1624" i="2"/>
  <c r="T20" i="2"/>
  <c r="L130" i="2"/>
  <c r="T1752" i="2"/>
  <c r="G1300" i="2"/>
  <c r="F679" i="2"/>
  <c r="Q521" i="2"/>
  <c r="N249" i="2"/>
  <c r="I1044" i="2"/>
  <c r="L2401" i="2"/>
  <c r="H1567" i="2"/>
  <c r="M318" i="2"/>
  <c r="P809" i="2"/>
  <c r="I778" i="2"/>
  <c r="N417" i="2"/>
  <c r="J494" i="2"/>
  <c r="C749" i="2"/>
  <c r="I818" i="2"/>
  <c r="H53" i="2"/>
  <c r="M1990" i="2"/>
  <c r="I1065" i="2"/>
  <c r="V697" i="2"/>
  <c r="C1346" i="2"/>
  <c r="D107" i="2"/>
  <c r="F859" i="2"/>
  <c r="Q451" i="2"/>
  <c r="J1403" i="2"/>
  <c r="U849" i="2"/>
  <c r="H278" i="2"/>
  <c r="K680" i="2"/>
  <c r="T564" i="2"/>
  <c r="V1289" i="2"/>
  <c r="E1809" i="2"/>
  <c r="I509" i="2"/>
  <c r="W964" i="2"/>
  <c r="K1749" i="2"/>
  <c r="C2539" i="2"/>
  <c r="P2932" i="2"/>
  <c r="S637" i="2"/>
  <c r="E291" i="2"/>
  <c r="D1948" i="2"/>
  <c r="D1304" i="2"/>
  <c r="O2702" i="2"/>
  <c r="P2424" i="2"/>
  <c r="S892" i="2"/>
  <c r="C9" i="2"/>
  <c r="E434" i="2"/>
  <c r="E1890" i="2"/>
  <c r="V1758" i="2"/>
  <c r="U2656" i="2"/>
  <c r="M1329" i="2"/>
  <c r="P395" i="2"/>
  <c r="N464" i="2"/>
  <c r="U1558" i="2"/>
  <c r="E2481" i="2"/>
  <c r="H1192" i="2"/>
  <c r="O884" i="2"/>
  <c r="H2109" i="2"/>
  <c r="J2533" i="2"/>
  <c r="R2241" i="2"/>
  <c r="G1812" i="2"/>
  <c r="N271" i="2"/>
  <c r="L1448" i="2"/>
  <c r="U1019" i="2"/>
  <c r="O758" i="2"/>
  <c r="W158" i="2"/>
  <c r="H289" i="2"/>
  <c r="D1229" i="2"/>
  <c r="S260" i="2"/>
  <c r="Q1962" i="2"/>
  <c r="W1259" i="2"/>
  <c r="P2160" i="2"/>
  <c r="K136" i="2"/>
  <c r="M533" i="2"/>
  <c r="I154" i="2"/>
  <c r="T2464" i="2"/>
  <c r="G1942" i="2"/>
  <c r="C1605" i="2"/>
  <c r="C1455" i="2"/>
  <c r="F949" i="2"/>
  <c r="U957" i="2"/>
  <c r="J484" i="2"/>
  <c r="O2829" i="2"/>
  <c r="N2042" i="2"/>
  <c r="S243" i="2"/>
  <c r="G2566" i="2"/>
  <c r="V979" i="2"/>
  <c r="N2992" i="2"/>
  <c r="N2631" i="2"/>
  <c r="S1645" i="2"/>
  <c r="E714" i="2"/>
  <c r="U1621" i="2"/>
  <c r="G51" i="2"/>
  <c r="F2190" i="2"/>
  <c r="E951" i="2"/>
  <c r="W2662" i="2"/>
  <c r="H2645" i="2"/>
  <c r="U442" i="2"/>
  <c r="K2942" i="2"/>
  <c r="N1357" i="2"/>
  <c r="J1092" i="2"/>
  <c r="R1196" i="2"/>
  <c r="K489" i="2"/>
  <c r="W961" i="2"/>
  <c r="V408" i="2"/>
  <c r="H13" i="2"/>
  <c r="H1533" i="2"/>
  <c r="P856" i="2"/>
  <c r="G642" i="2"/>
  <c r="G187" i="2"/>
  <c r="F160" i="2"/>
  <c r="J1551" i="2"/>
  <c r="N2552" i="2"/>
  <c r="G887" i="2"/>
  <c r="M1144" i="2"/>
  <c r="U970" i="2"/>
  <c r="L819" i="2"/>
  <c r="G1599" i="2"/>
  <c r="H901" i="2"/>
  <c r="C1726" i="2"/>
  <c r="C2329" i="2"/>
  <c r="E2753" i="2"/>
  <c r="M2530" i="2"/>
  <c r="J1851" i="2"/>
  <c r="C2394" i="2"/>
  <c r="I587" i="2"/>
  <c r="U1203" i="2"/>
  <c r="U1551" i="2"/>
  <c r="K2534" i="2"/>
  <c r="D1859" i="2"/>
  <c r="S1962" i="2"/>
  <c r="E109" i="2"/>
  <c r="W548" i="2"/>
  <c r="H1560" i="2"/>
  <c r="F219" i="2"/>
  <c r="P2682" i="2"/>
  <c r="V343" i="2"/>
  <c r="N791" i="2"/>
  <c r="Q1857" i="2"/>
  <c r="Q1730" i="2"/>
  <c r="E1043" i="2"/>
  <c r="L2129" i="2"/>
  <c r="O2200" i="2"/>
  <c r="V1594" i="2"/>
  <c r="L978" i="2"/>
  <c r="O699" i="2"/>
  <c r="M144" i="2"/>
  <c r="O232" i="2"/>
  <c r="O922" i="2"/>
  <c r="H1741" i="2"/>
  <c r="E803" i="2"/>
  <c r="I1970" i="2"/>
  <c r="M222" i="2"/>
  <c r="E1802" i="2"/>
  <c r="I1546" i="2"/>
  <c r="K500" i="2"/>
  <c r="E1060" i="2"/>
  <c r="M2335" i="2"/>
  <c r="T233" i="2"/>
  <c r="Q1829" i="2"/>
  <c r="Q1577" i="2"/>
  <c r="N394" i="2"/>
  <c r="F1845" i="2"/>
  <c r="V1128" i="2"/>
  <c r="P1394" i="2"/>
  <c r="J219" i="2"/>
  <c r="H2206" i="2"/>
  <c r="Q637" i="2"/>
  <c r="D971" i="2"/>
  <c r="V2563" i="2"/>
  <c r="F81" i="2"/>
  <c r="R2177" i="2"/>
  <c r="C2359" i="2"/>
  <c r="C69" i="2"/>
  <c r="G557" i="2"/>
  <c r="W196" i="2"/>
  <c r="T54" i="2"/>
  <c r="V658" i="2"/>
  <c r="P267" i="2"/>
  <c r="U2463" i="2"/>
  <c r="Q691" i="2"/>
  <c r="P401" i="2"/>
  <c r="R2630" i="2"/>
  <c r="L380" i="2"/>
  <c r="P403" i="2"/>
  <c r="P168" i="2"/>
  <c r="S2573" i="2"/>
  <c r="L3258" i="2"/>
  <c r="M552" i="2"/>
  <c r="J719" i="2"/>
  <c r="P1614" i="2"/>
  <c r="Q2790" i="2"/>
  <c r="N437" i="2"/>
  <c r="U2583" i="2"/>
  <c r="Q1182" i="2"/>
  <c r="T358" i="2"/>
  <c r="J1910" i="2"/>
  <c r="J1329" i="2"/>
  <c r="H204" i="2"/>
  <c r="G2546" i="2"/>
  <c r="J554" i="2"/>
  <c r="T171" i="2"/>
  <c r="F53" i="2"/>
  <c r="K2912" i="2"/>
  <c r="G1922" i="2"/>
  <c r="R2613" i="2"/>
  <c r="I1082" i="2"/>
  <c r="M1614" i="2"/>
  <c r="P1326" i="2"/>
  <c r="C1151" i="2"/>
  <c r="D241" i="2"/>
  <c r="M1047" i="2"/>
  <c r="K483" i="2"/>
  <c r="T956" i="2"/>
  <c r="W1282" i="2"/>
  <c r="O719" i="2"/>
  <c r="R1547" i="2"/>
  <c r="Q651" i="2"/>
  <c r="I1768" i="2"/>
  <c r="C2177" i="2"/>
  <c r="U364" i="2"/>
  <c r="E1880" i="2"/>
  <c r="T475" i="2"/>
  <c r="D1965" i="2"/>
  <c r="O526" i="2"/>
  <c r="C46" i="2"/>
  <c r="Q1308" i="2"/>
  <c r="Q24" i="2"/>
  <c r="Q160" i="2"/>
  <c r="E2315" i="2"/>
  <c r="C2407" i="2"/>
  <c r="S1731" i="2"/>
  <c r="C724" i="2"/>
  <c r="V534" i="2"/>
  <c r="Q366" i="2"/>
  <c r="E161" i="2"/>
  <c r="U1669" i="2"/>
  <c r="G2936" i="2"/>
  <c r="N277" i="2"/>
  <c r="J1122" i="2"/>
  <c r="J359" i="2"/>
  <c r="G1764" i="2"/>
  <c r="I2650" i="2"/>
  <c r="L541" i="2"/>
  <c r="M331" i="2"/>
  <c r="T875" i="2"/>
  <c r="S971" i="2"/>
  <c r="O2999" i="2"/>
  <c r="O1811" i="2"/>
  <c r="V894" i="2"/>
  <c r="V2013" i="2"/>
  <c r="F3278" i="2"/>
  <c r="W2243" i="2"/>
  <c r="L1370" i="2"/>
  <c r="E12" i="2"/>
  <c r="C98" i="2"/>
  <c r="G585" i="2"/>
  <c r="C1027" i="2"/>
  <c r="F250" i="2"/>
  <c r="P1767" i="2"/>
  <c r="E1355" i="2"/>
  <c r="V1068" i="2"/>
  <c r="C1594" i="2"/>
  <c r="O742" i="2"/>
  <c r="S36" i="2"/>
  <c r="I1645" i="2"/>
  <c r="Q918" i="2"/>
  <c r="R3055" i="2"/>
  <c r="S1737" i="2"/>
  <c r="J1545" i="2"/>
  <c r="G1021" i="2"/>
  <c r="D2626" i="2"/>
  <c r="J1831" i="2"/>
  <c r="F1330" i="2"/>
  <c r="L81" i="2"/>
  <c r="C2529" i="2"/>
  <c r="H758" i="2"/>
  <c r="F907" i="2"/>
  <c r="U2815" i="2"/>
  <c r="K1452" i="2"/>
  <c r="M385" i="2"/>
  <c r="F1000" i="2"/>
  <c r="U1254" i="2"/>
  <c r="C1332" i="2"/>
  <c r="U622" i="2"/>
  <c r="C1066" i="2"/>
  <c r="D1219" i="2"/>
  <c r="P1484" i="2"/>
  <c r="W1818" i="2"/>
  <c r="M458" i="2"/>
  <c r="O1028" i="2"/>
  <c r="O776" i="2"/>
  <c r="J2881" i="2"/>
  <c r="U172" i="2"/>
  <c r="G674" i="2"/>
  <c r="L1666" i="2"/>
  <c r="N2049" i="2"/>
  <c r="F1702" i="2"/>
  <c r="S709" i="2"/>
  <c r="J708" i="2"/>
  <c r="T409" i="2"/>
  <c r="T357" i="2"/>
  <c r="I1256" i="2"/>
  <c r="E1264" i="2"/>
  <c r="M1767" i="2"/>
  <c r="J566" i="2"/>
  <c r="W213" i="2"/>
  <c r="I1355" i="2"/>
  <c r="S249" i="2"/>
  <c r="P866" i="2"/>
  <c r="E673" i="2"/>
  <c r="I1192" i="2"/>
  <c r="D1354" i="2"/>
  <c r="J2045" i="2"/>
  <c r="F840" i="2"/>
  <c r="H631" i="2"/>
  <c r="U406" i="2"/>
  <c r="M2080" i="2"/>
  <c r="N258" i="2"/>
  <c r="I1470" i="2"/>
  <c r="N90" i="2"/>
  <c r="Q1520" i="2"/>
  <c r="O88" i="2"/>
  <c r="M422" i="2"/>
  <c r="G2899" i="2"/>
  <c r="C1534" i="2"/>
  <c r="T1458" i="2"/>
  <c r="J1841" i="2"/>
  <c r="R467" i="2"/>
  <c r="K836" i="2"/>
  <c r="I51" i="2"/>
  <c r="S628" i="2"/>
  <c r="T1434" i="2"/>
  <c r="W2553" i="2"/>
  <c r="J1898" i="2"/>
  <c r="Q2996" i="2"/>
  <c r="C661" i="2"/>
  <c r="S2009" i="2"/>
  <c r="M406" i="2"/>
  <c r="J347" i="2"/>
  <c r="G883" i="2"/>
  <c r="U1573" i="2"/>
  <c r="L1438" i="2"/>
  <c r="T2695" i="2"/>
  <c r="T1093" i="2"/>
  <c r="H1316" i="2"/>
  <c r="N910" i="2"/>
  <c r="T712" i="2"/>
  <c r="H2092" i="2"/>
  <c r="L3051" i="2"/>
  <c r="Q1377" i="2"/>
  <c r="C818" i="2"/>
  <c r="S553" i="2"/>
  <c r="I2368" i="2"/>
  <c r="G1244" i="2"/>
  <c r="E272" i="2"/>
  <c r="J1862" i="2"/>
  <c r="T1266" i="2"/>
  <c r="N2329" i="2"/>
  <c r="M2413" i="2"/>
  <c r="V1988" i="2"/>
  <c r="O535" i="2"/>
  <c r="K1351" i="2"/>
  <c r="G736" i="2"/>
  <c r="N2124" i="2"/>
  <c r="V1156" i="2"/>
  <c r="O1396" i="2"/>
  <c r="Q898" i="2"/>
  <c r="C974" i="2"/>
  <c r="S27" i="2"/>
  <c r="K2413" i="2"/>
  <c r="K940" i="2"/>
  <c r="O2439" i="2"/>
  <c r="H3117" i="2"/>
  <c r="D742" i="2"/>
  <c r="E1970" i="2"/>
  <c r="D877" i="2"/>
  <c r="O413" i="2"/>
  <c r="W617" i="2"/>
  <c r="J555" i="2"/>
  <c r="U856" i="2"/>
  <c r="K965" i="2"/>
  <c r="Q2011" i="2"/>
  <c r="G1781" i="2"/>
  <c r="O2143" i="2"/>
  <c r="P75" i="2"/>
  <c r="E725" i="2"/>
  <c r="H2668" i="2"/>
  <c r="D2264" i="2"/>
  <c r="L762" i="2"/>
  <c r="F49" i="2"/>
  <c r="U1707" i="2"/>
  <c r="L1244" i="2"/>
  <c r="M2976" i="2"/>
  <c r="C1624" i="2"/>
  <c r="H1375" i="2"/>
  <c r="L1733" i="2"/>
  <c r="E918" i="2"/>
  <c r="E1018" i="2"/>
  <c r="E981" i="2"/>
  <c r="H3169" i="2"/>
  <c r="C619" i="2"/>
  <c r="L1396" i="2"/>
  <c r="K631" i="2"/>
  <c r="V3114" i="2"/>
  <c r="Q2490" i="2"/>
  <c r="J357" i="2"/>
  <c r="N1495" i="2"/>
  <c r="F1144" i="2"/>
  <c r="H652" i="2"/>
  <c r="E369" i="2"/>
  <c r="K429" i="2"/>
  <c r="C268" i="2"/>
  <c r="C2315" i="2"/>
  <c r="H1744" i="2"/>
  <c r="G1431" i="2"/>
  <c r="D3195" i="2"/>
  <c r="H563" i="2"/>
  <c r="C485" i="2"/>
  <c r="C582" i="2"/>
  <c r="V857" i="2"/>
  <c r="K1020" i="2"/>
  <c r="U401" i="2"/>
  <c r="C2034" i="2"/>
  <c r="E1510" i="2"/>
  <c r="W1375" i="2"/>
  <c r="I1357" i="2"/>
  <c r="W2248" i="2"/>
  <c r="K767" i="2"/>
  <c r="J2608" i="2"/>
  <c r="H1351" i="2"/>
  <c r="N1747" i="2"/>
  <c r="F475" i="2"/>
  <c r="U43" i="2"/>
  <c r="S2732" i="2"/>
  <c r="O600" i="2"/>
  <c r="W2794" i="2"/>
  <c r="P1064" i="2"/>
  <c r="W3111" i="2"/>
  <c r="O324" i="2"/>
  <c r="D1316" i="2"/>
  <c r="F73" i="2"/>
  <c r="O2493" i="2"/>
  <c r="E1663" i="2"/>
  <c r="V778" i="2"/>
  <c r="P2445" i="2"/>
  <c r="S614" i="2"/>
  <c r="F349" i="2"/>
  <c r="N1102" i="2"/>
  <c r="I1791" i="2"/>
  <c r="P1888" i="2"/>
  <c r="Q397" i="2"/>
  <c r="Q1567" i="2"/>
  <c r="L352" i="2"/>
  <c r="V2286" i="2"/>
  <c r="G637" i="2"/>
  <c r="P1190" i="2"/>
  <c r="C708" i="2"/>
  <c r="O137" i="2"/>
  <c r="G2113" i="2"/>
  <c r="V956" i="2"/>
  <c r="H1448" i="2"/>
  <c r="R747" i="2"/>
  <c r="D1043" i="2"/>
  <c r="G1559" i="2"/>
  <c r="T1273" i="2"/>
  <c r="L367" i="2"/>
  <c r="V334" i="2"/>
  <c r="I729" i="2"/>
  <c r="H604" i="2"/>
  <c r="L3098" i="2"/>
  <c r="F1506" i="2"/>
  <c r="V133" i="2"/>
  <c r="R1256" i="2"/>
  <c r="I401" i="2"/>
  <c r="O3213" i="2"/>
  <c r="P2371" i="2"/>
  <c r="L897" i="2"/>
  <c r="Q2507" i="2"/>
  <c r="K2869" i="2"/>
  <c r="H1092" i="2"/>
  <c r="D2179" i="2"/>
  <c r="O1203" i="2"/>
  <c r="D862" i="2"/>
  <c r="E520" i="2"/>
  <c r="H564" i="2"/>
  <c r="W746" i="2"/>
  <c r="W2611" i="2"/>
  <c r="Q251" i="2"/>
  <c r="F2094" i="2"/>
  <c r="V2836" i="2"/>
  <c r="E2273" i="2"/>
  <c r="J394" i="2"/>
  <c r="E212" i="2"/>
  <c r="W812" i="2"/>
  <c r="F224" i="2"/>
  <c r="U2390" i="2"/>
  <c r="Q1804" i="2"/>
  <c r="L425" i="2"/>
  <c r="V30" i="2"/>
  <c r="T392" i="2"/>
  <c r="E438" i="2"/>
  <c r="I787" i="2"/>
  <c r="H1813" i="2"/>
  <c r="V1941" i="2"/>
  <c r="S1070" i="2"/>
  <c r="K496" i="2"/>
  <c r="F621" i="2"/>
  <c r="G1480" i="2"/>
  <c r="M1578" i="2"/>
  <c r="O1081" i="2"/>
  <c r="V2685" i="2"/>
  <c r="G1060" i="2"/>
  <c r="D251" i="2"/>
  <c r="C1245" i="2"/>
  <c r="C529" i="2"/>
  <c r="W127" i="2"/>
  <c r="D3094" i="2"/>
  <c r="Q2569" i="2"/>
  <c r="F228" i="2"/>
  <c r="H1320" i="2"/>
  <c r="P2354" i="2"/>
  <c r="S1969" i="2"/>
  <c r="L2328" i="2"/>
  <c r="D148" i="2"/>
  <c r="M1604" i="2"/>
  <c r="V1957" i="2"/>
  <c r="Q688" i="2"/>
  <c r="W1814" i="2"/>
  <c r="E480" i="2"/>
  <c r="V1211" i="2"/>
  <c r="O1594" i="2"/>
  <c r="Q2633" i="2"/>
  <c r="S607" i="2"/>
  <c r="W1685" i="2"/>
  <c r="W772" i="2"/>
  <c r="E676" i="2"/>
  <c r="F1433" i="2"/>
  <c r="L1200" i="2"/>
  <c r="F1492" i="2"/>
  <c r="M1972" i="2"/>
  <c r="M822" i="2"/>
  <c r="O652" i="2"/>
  <c r="P2254" i="2"/>
  <c r="K44" i="2"/>
  <c r="V1507" i="2"/>
  <c r="O2323" i="2"/>
  <c r="L859" i="2"/>
  <c r="E531" i="2"/>
  <c r="Q593" i="2"/>
  <c r="K656" i="2"/>
  <c r="L515" i="2"/>
  <c r="I1937" i="2"/>
  <c r="V1611" i="2"/>
  <c r="F935" i="2"/>
  <c r="L1070" i="2"/>
  <c r="L1474" i="2"/>
  <c r="S414" i="2"/>
  <c r="E319" i="2"/>
  <c r="D737" i="2"/>
  <c r="R686" i="2"/>
  <c r="K1849" i="2"/>
  <c r="I245" i="2"/>
  <c r="M1357" i="2"/>
  <c r="W68" i="2"/>
  <c r="M341" i="2"/>
  <c r="M742" i="2"/>
  <c r="C834" i="2"/>
  <c r="M2041" i="2"/>
  <c r="K27" i="2"/>
  <c r="D461" i="2"/>
  <c r="S196" i="2"/>
  <c r="Q152" i="2"/>
  <c r="S1297" i="2"/>
  <c r="O743" i="2"/>
  <c r="F951" i="2"/>
  <c r="G3259" i="2"/>
  <c r="K693" i="2"/>
  <c r="E1187" i="2"/>
  <c r="L2390" i="2"/>
  <c r="P1316" i="2"/>
  <c r="S913" i="2"/>
  <c r="L650" i="2"/>
  <c r="D1193" i="2"/>
  <c r="G753" i="2"/>
  <c r="P329" i="2"/>
  <c r="U18" i="2"/>
  <c r="O1283" i="2"/>
  <c r="P913" i="2"/>
  <c r="R194" i="2"/>
  <c r="T1496" i="2"/>
  <c r="U1103" i="2"/>
  <c r="S2118" i="2"/>
  <c r="G1271" i="2"/>
  <c r="C2232" i="2"/>
  <c r="N1225" i="2"/>
  <c r="H2038" i="2"/>
  <c r="F1095" i="2"/>
  <c r="V830" i="2"/>
  <c r="S1935" i="2"/>
  <c r="J712" i="2"/>
  <c r="E1039" i="2"/>
  <c r="Q2132" i="2"/>
  <c r="N322" i="2"/>
  <c r="P2049" i="2"/>
  <c r="D2960" i="2"/>
  <c r="U153" i="2"/>
  <c r="S136" i="2"/>
  <c r="G1264" i="2"/>
  <c r="V744" i="2"/>
  <c r="N1130" i="2"/>
  <c r="N1947" i="2"/>
  <c r="W1444" i="2"/>
  <c r="N538" i="2"/>
  <c r="U1606" i="2"/>
  <c r="I1821" i="2"/>
  <c r="W2490" i="2"/>
  <c r="Q1260" i="2"/>
  <c r="G1449" i="2"/>
  <c r="C1513" i="2"/>
  <c r="O11" i="2"/>
  <c r="M2066" i="2"/>
  <c r="W1250" i="2"/>
  <c r="H1705" i="2"/>
  <c r="G1951" i="2"/>
  <c r="C1187" i="2"/>
  <c r="F170" i="2"/>
  <c r="M1430" i="2"/>
  <c r="J1079" i="2"/>
  <c r="E2358" i="2"/>
  <c r="K1046" i="2"/>
  <c r="F2091" i="2"/>
  <c r="K229" i="2"/>
  <c r="T544" i="2"/>
  <c r="O1442" i="2"/>
  <c r="N1850" i="2"/>
  <c r="T68" i="2"/>
  <c r="T717" i="2"/>
  <c r="I839" i="2"/>
  <c r="O379" i="2"/>
  <c r="Q924" i="2"/>
  <c r="Q588" i="2"/>
  <c r="W1272" i="2"/>
  <c r="W1136" i="2"/>
  <c r="K3160" i="2"/>
  <c r="U2701" i="2"/>
  <c r="O812" i="2"/>
  <c r="M624" i="2"/>
  <c r="P182" i="2"/>
  <c r="L846" i="2"/>
  <c r="Q802" i="2"/>
  <c r="P284" i="2"/>
  <c r="C654" i="2"/>
  <c r="K653" i="2"/>
  <c r="W1531" i="2"/>
  <c r="U1227" i="2"/>
  <c r="T775" i="2"/>
  <c r="F55" i="2"/>
  <c r="U2256" i="2"/>
  <c r="C647" i="2"/>
  <c r="E394" i="2"/>
  <c r="T356" i="2"/>
  <c r="Q467" i="2"/>
  <c r="J1130" i="2"/>
  <c r="M210" i="2"/>
  <c r="J2459" i="2"/>
  <c r="C2137" i="2"/>
  <c r="S751" i="2"/>
  <c r="V631" i="2"/>
  <c r="E956" i="2"/>
  <c r="G1191" i="2"/>
  <c r="H2726" i="2"/>
  <c r="I1793" i="2"/>
  <c r="M1484" i="2"/>
  <c r="Q1925" i="2"/>
  <c r="T56" i="2"/>
  <c r="M2734" i="2"/>
  <c r="Q1344" i="2"/>
  <c r="H1266" i="2"/>
  <c r="G1280" i="2"/>
  <c r="G1357" i="2"/>
  <c r="D1309" i="2"/>
  <c r="W2838" i="2"/>
  <c r="U2138" i="2"/>
  <c r="K1253" i="2"/>
  <c r="T1126" i="2"/>
  <c r="C1955" i="2"/>
  <c r="I1089" i="2"/>
  <c r="S1285" i="2"/>
  <c r="Q825" i="2"/>
  <c r="T2062" i="2"/>
  <c r="M734" i="2"/>
  <c r="Q146" i="2"/>
  <c r="C2074" i="2"/>
  <c r="D1320" i="2"/>
  <c r="D906" i="2"/>
  <c r="G1800" i="2"/>
  <c r="V1183" i="2"/>
  <c r="U76" i="2"/>
  <c r="J2298" i="2"/>
  <c r="W509" i="2"/>
  <c r="C1585" i="2"/>
  <c r="P2272" i="2"/>
  <c r="R803" i="2"/>
  <c r="M837" i="2"/>
  <c r="D583" i="2"/>
  <c r="K1055" i="2"/>
  <c r="U115" i="2"/>
  <c r="S1780" i="2"/>
  <c r="O2033" i="2"/>
  <c r="T1080" i="2"/>
  <c r="R1187" i="2"/>
  <c r="T134" i="2"/>
  <c r="V911" i="2"/>
  <c r="F2327" i="2"/>
  <c r="L1796" i="2"/>
  <c r="U859" i="2"/>
  <c r="I947" i="2"/>
  <c r="T385" i="2"/>
  <c r="M78" i="2"/>
  <c r="D437" i="2"/>
  <c r="V2646" i="2"/>
  <c r="F789" i="2"/>
  <c r="C1740" i="2"/>
  <c r="F442" i="2"/>
  <c r="M76" i="2"/>
  <c r="O1386" i="2"/>
  <c r="D1012" i="2"/>
  <c r="O1864" i="2"/>
  <c r="K1431" i="2"/>
  <c r="Q112" i="2"/>
  <c r="G1093" i="2"/>
  <c r="S1171" i="2"/>
  <c r="N547" i="2"/>
  <c r="V2635" i="2"/>
  <c r="C2382" i="2"/>
  <c r="V1503" i="2"/>
  <c r="H1372" i="2"/>
  <c r="M941" i="2"/>
  <c r="U2928" i="2"/>
  <c r="D2074" i="2"/>
  <c r="I269" i="2"/>
  <c r="I1607" i="2"/>
  <c r="M415" i="2"/>
  <c r="P2132" i="2"/>
  <c r="M643" i="2"/>
  <c r="I2592" i="2"/>
  <c r="G559" i="2"/>
  <c r="P2037" i="2"/>
  <c r="C2344" i="2"/>
  <c r="D741" i="2"/>
  <c r="Q794" i="2"/>
  <c r="O1074" i="2"/>
  <c r="D350" i="2"/>
  <c r="M469" i="2"/>
  <c r="M2404" i="2"/>
  <c r="J112" i="2"/>
  <c r="U2754" i="2"/>
  <c r="L564" i="2"/>
  <c r="R2432" i="2"/>
  <c r="T1026" i="2"/>
  <c r="Q2229" i="2"/>
  <c r="J1660" i="2"/>
  <c r="L973" i="2"/>
  <c r="R300" i="2"/>
  <c r="G526" i="2"/>
  <c r="F2060" i="2"/>
  <c r="L1577" i="2"/>
  <c r="V1344" i="2"/>
  <c r="T1528" i="2"/>
  <c r="H2263" i="2"/>
  <c r="M1060" i="2"/>
  <c r="N2736" i="2"/>
  <c r="D2246" i="2"/>
  <c r="L979" i="2"/>
  <c r="P2142" i="2"/>
  <c r="J759" i="2"/>
  <c r="L290" i="2"/>
  <c r="P1631" i="2"/>
  <c r="M682" i="2"/>
  <c r="P515" i="2"/>
  <c r="W740" i="2"/>
  <c r="G969" i="2"/>
  <c r="R2735" i="2"/>
  <c r="O2668" i="2"/>
  <c r="F1018" i="2"/>
  <c r="F29" i="2"/>
  <c r="G480" i="2"/>
  <c r="D1381" i="2"/>
  <c r="S2073" i="2"/>
  <c r="P3364" i="2"/>
  <c r="O902" i="2"/>
  <c r="K548" i="2"/>
  <c r="K1717" i="2"/>
  <c r="H1014" i="2"/>
  <c r="P553" i="2"/>
  <c r="P1960" i="2"/>
  <c r="L1101" i="2"/>
  <c r="T2319" i="2"/>
  <c r="T1014" i="2"/>
  <c r="G860" i="2"/>
  <c r="H760" i="2"/>
  <c r="P86" i="2"/>
  <c r="W23" i="2"/>
  <c r="V1863" i="2"/>
  <c r="O971" i="2"/>
  <c r="C2046" i="2"/>
  <c r="U805" i="2"/>
  <c r="D207" i="2"/>
  <c r="F1242" i="2"/>
  <c r="V766" i="2"/>
  <c r="J158" i="2"/>
  <c r="V2036" i="2"/>
  <c r="G1162" i="2"/>
  <c r="O1948" i="2"/>
  <c r="W813" i="2"/>
  <c r="V323" i="2"/>
  <c r="S1103" i="2"/>
  <c r="R612" i="2"/>
  <c r="D507" i="2"/>
  <c r="S1649" i="2"/>
  <c r="C468" i="2"/>
  <c r="W2055" i="2"/>
  <c r="I978" i="2"/>
  <c r="N1572" i="2"/>
  <c r="W13" i="2"/>
  <c r="P857" i="2"/>
  <c r="O193" i="2"/>
  <c r="O2448" i="2"/>
  <c r="R1728" i="2"/>
  <c r="E814" i="2"/>
  <c r="P1684" i="2"/>
  <c r="D416" i="2"/>
  <c r="D725" i="2"/>
  <c r="D318" i="2"/>
  <c r="P400" i="2"/>
  <c r="J2508" i="2"/>
  <c r="C1532" i="2"/>
  <c r="I2193" i="2"/>
  <c r="W563" i="2"/>
  <c r="M2167" i="2"/>
  <c r="U1788" i="2"/>
  <c r="O1338" i="2"/>
  <c r="V2397" i="2"/>
  <c r="O1098" i="2"/>
  <c r="S3374" i="2"/>
  <c r="U800" i="2"/>
  <c r="O1719" i="2"/>
  <c r="J836" i="2"/>
  <c r="L3048" i="2"/>
  <c r="J636" i="2"/>
  <c r="P854" i="2"/>
  <c r="R1252" i="2"/>
  <c r="G829" i="2"/>
  <c r="P565" i="2"/>
  <c r="J761" i="2"/>
  <c r="F375" i="2"/>
  <c r="C1262" i="2"/>
  <c r="K647" i="2"/>
  <c r="E115" i="2"/>
  <c r="C161" i="2"/>
  <c r="P1613" i="2"/>
  <c r="O411" i="2"/>
  <c r="C2196" i="2"/>
  <c r="W646" i="2"/>
  <c r="D1606" i="2"/>
  <c r="G680" i="2"/>
  <c r="V615" i="2"/>
  <c r="O301" i="2"/>
  <c r="U17" i="2"/>
  <c r="H857" i="2"/>
  <c r="W846" i="2"/>
  <c r="I2166" i="2"/>
  <c r="W1491" i="2"/>
  <c r="K222" i="2"/>
  <c r="O314" i="2"/>
  <c r="C2113" i="2"/>
  <c r="O2669" i="2"/>
  <c r="M2244" i="2"/>
  <c r="M564" i="2"/>
  <c r="M2551" i="2"/>
  <c r="H1086" i="2"/>
  <c r="M409" i="2"/>
  <c r="V1203" i="2"/>
  <c r="C147" i="2"/>
  <c r="W1561" i="2"/>
  <c r="F929" i="2"/>
  <c r="W1905" i="2"/>
  <c r="E1667" i="2"/>
  <c r="Q865" i="2"/>
  <c r="I709" i="2"/>
  <c r="U656" i="2"/>
  <c r="T701" i="2"/>
  <c r="C2393" i="2"/>
  <c r="E1364" i="2"/>
  <c r="O426" i="2"/>
  <c r="W2119" i="2"/>
  <c r="H1559" i="2"/>
  <c r="C1004" i="2"/>
  <c r="M2116" i="2"/>
  <c r="O917" i="2"/>
  <c r="E2227" i="2"/>
  <c r="W2520" i="2"/>
  <c r="G653" i="2"/>
  <c r="P190" i="2"/>
  <c r="T857" i="2"/>
  <c r="W212" i="2"/>
  <c r="K642" i="2"/>
  <c r="C681" i="2"/>
  <c r="L2500" i="2"/>
  <c r="D343" i="2"/>
  <c r="P62" i="2"/>
  <c r="S296" i="2"/>
  <c r="W1960" i="2"/>
  <c r="V1276" i="2"/>
  <c r="O2051" i="2"/>
  <c r="Q616" i="2"/>
  <c r="O479" i="2"/>
  <c r="Q994" i="2"/>
  <c r="K1463" i="2"/>
  <c r="D1087" i="2"/>
  <c r="O1641" i="2"/>
  <c r="H1054" i="2"/>
  <c r="C1517" i="2"/>
  <c r="C2107" i="2"/>
  <c r="N1673" i="2"/>
  <c r="T115" i="2"/>
  <c r="V1139" i="2"/>
  <c r="W81" i="2"/>
  <c r="Q1725" i="2"/>
  <c r="R3037" i="2"/>
  <c r="L2363" i="2"/>
  <c r="E934" i="2"/>
  <c r="N193" i="2"/>
  <c r="K3296" i="2"/>
  <c r="R1736" i="2"/>
  <c r="U569" i="2"/>
  <c r="S16" i="2"/>
  <c r="U3229" i="2"/>
  <c r="T2675" i="2"/>
  <c r="V320" i="2"/>
  <c r="I1686" i="2"/>
  <c r="P2724" i="2"/>
  <c r="O1210" i="2"/>
  <c r="E913" i="2"/>
  <c r="G2646" i="2"/>
  <c r="R2182" i="2"/>
  <c r="Q1885" i="2"/>
  <c r="I790" i="2"/>
  <c r="E1676" i="2"/>
  <c r="W1720" i="2"/>
  <c r="J1900" i="2"/>
  <c r="W1353" i="2"/>
  <c r="G2291" i="2"/>
  <c r="P875" i="2"/>
  <c r="S257" i="2"/>
  <c r="F1187" i="2"/>
  <c r="E872" i="2"/>
  <c r="H1921" i="2"/>
  <c r="D672" i="2"/>
  <c r="M593" i="2"/>
  <c r="M1111" i="2"/>
  <c r="D1126" i="2"/>
  <c r="C1263" i="2"/>
  <c r="D96" i="2"/>
  <c r="M2192" i="2"/>
  <c r="E1377" i="2"/>
  <c r="P1860" i="2"/>
  <c r="Q1469" i="2"/>
  <c r="H8" i="2"/>
  <c r="D156" i="2"/>
  <c r="L1999" i="2"/>
  <c r="K1640" i="2"/>
  <c r="W405" i="2"/>
  <c r="S2768" i="2"/>
  <c r="W2159" i="2"/>
  <c r="J1132" i="2"/>
  <c r="O1703" i="2"/>
  <c r="H1055" i="2"/>
  <c r="U763" i="2"/>
  <c r="N158" i="2"/>
  <c r="J2976" i="2"/>
  <c r="S149" i="2"/>
  <c r="K677" i="2"/>
  <c r="J1332" i="2"/>
  <c r="O81" i="2"/>
  <c r="F2377" i="2"/>
  <c r="R1417" i="2"/>
  <c r="H752" i="2"/>
  <c r="V2349" i="2"/>
  <c r="G2306" i="2"/>
  <c r="R1725" i="2"/>
  <c r="W208" i="2"/>
  <c r="D2231" i="2"/>
  <c r="J730" i="2"/>
  <c r="E2263" i="2"/>
  <c r="O347" i="2"/>
  <c r="O2732" i="2"/>
  <c r="J1201" i="2"/>
  <c r="I2354" i="2"/>
  <c r="Q1352" i="2"/>
  <c r="R1335" i="2"/>
  <c r="N1912" i="2"/>
  <c r="V1585" i="2"/>
  <c r="F1877" i="2"/>
  <c r="F152" i="2"/>
  <c r="I1586" i="2"/>
  <c r="M1264" i="2"/>
  <c r="D1176" i="2"/>
  <c r="C1941" i="2"/>
  <c r="D1428" i="2"/>
  <c r="K2248" i="2"/>
  <c r="G1737" i="2"/>
  <c r="D999" i="2"/>
  <c r="H2748" i="2"/>
  <c r="P25" i="2"/>
  <c r="E2933" i="2"/>
  <c r="F812" i="2"/>
  <c r="C2513" i="2"/>
  <c r="U722" i="2"/>
  <c r="I1339" i="2"/>
  <c r="S2188" i="2"/>
  <c r="W1022" i="2"/>
  <c r="Q1907" i="2"/>
  <c r="J1738" i="2"/>
  <c r="F2462" i="2"/>
  <c r="T2372" i="2"/>
  <c r="W1201" i="2"/>
  <c r="E1332" i="2"/>
  <c r="S574" i="2"/>
  <c r="R1044" i="2"/>
  <c r="M652" i="2"/>
  <c r="R1134" i="2"/>
  <c r="Q1026" i="2"/>
  <c r="M542" i="2"/>
  <c r="J174" i="2"/>
  <c r="H1656" i="2"/>
  <c r="O3118" i="2"/>
  <c r="Q5" i="2"/>
  <c r="F1928" i="2"/>
  <c r="S1319" i="2"/>
  <c r="R1945" i="2"/>
  <c r="L1466" i="2"/>
  <c r="H1906" i="2"/>
  <c r="H412" i="2"/>
  <c r="J987" i="2"/>
  <c r="P1107" i="2"/>
  <c r="G1050" i="2"/>
  <c r="L1821" i="2"/>
  <c r="F2900" i="2"/>
  <c r="D164" i="2"/>
  <c r="J21" i="2"/>
  <c r="C1830" i="2"/>
  <c r="U1534" i="2"/>
  <c r="H1824" i="2"/>
  <c r="Q792" i="2"/>
  <c r="P345" i="2"/>
  <c r="T1190" i="2"/>
  <c r="G737" i="2"/>
  <c r="G417" i="2"/>
  <c r="W880" i="2"/>
  <c r="E1725" i="2"/>
  <c r="V126" i="2"/>
  <c r="R885" i="2"/>
  <c r="T1856" i="2"/>
  <c r="I75" i="2"/>
  <c r="H36" i="2"/>
  <c r="M902" i="2"/>
  <c r="W1106" i="2"/>
  <c r="W1668" i="2"/>
  <c r="C824" i="2"/>
  <c r="K1242" i="2"/>
  <c r="J1931" i="2"/>
  <c r="J12" i="2"/>
  <c r="C1310" i="2"/>
  <c r="R285" i="2"/>
  <c r="S486" i="2"/>
  <c r="L907" i="2"/>
  <c r="T286" i="2"/>
  <c r="M69" i="2"/>
  <c r="F1628" i="2"/>
  <c r="P79" i="2"/>
  <c r="L912" i="2"/>
  <c r="U2048" i="2"/>
  <c r="R440" i="2"/>
  <c r="K2062" i="2"/>
  <c r="C2262" i="2"/>
  <c r="V2282" i="2"/>
  <c r="S2762" i="2"/>
  <c r="H3062" i="2"/>
  <c r="I2183" i="2"/>
  <c r="J609" i="2"/>
  <c r="S841" i="2"/>
  <c r="O1236" i="2"/>
  <c r="S3179" i="2"/>
  <c r="I1148" i="2"/>
  <c r="U687" i="2"/>
  <c r="C716" i="2"/>
  <c r="F1701" i="2"/>
  <c r="L532" i="2"/>
  <c r="U1483" i="2"/>
  <c r="F1666" i="2"/>
  <c r="V283" i="2"/>
  <c r="I2294" i="2"/>
  <c r="N20" i="2"/>
  <c r="N616" i="2"/>
  <c r="Q1121" i="2"/>
  <c r="I1824" i="2"/>
  <c r="O349" i="2"/>
  <c r="E61" i="2"/>
  <c r="S835" i="2"/>
  <c r="C1677" i="2"/>
  <c r="R930" i="2"/>
  <c r="L3020" i="2"/>
  <c r="J1499" i="2"/>
  <c r="P636" i="2"/>
  <c r="P2966" i="2"/>
  <c r="J792" i="2"/>
  <c r="U1284" i="2"/>
  <c r="J2970" i="2"/>
  <c r="O684" i="2"/>
  <c r="Q1868" i="2"/>
  <c r="O1091" i="2"/>
  <c r="I2700" i="2"/>
  <c r="W118" i="2"/>
  <c r="N2217" i="2"/>
  <c r="M1678" i="2"/>
  <c r="L89" i="2"/>
  <c r="I1390" i="2"/>
  <c r="J1581" i="2"/>
  <c r="R1432" i="2"/>
  <c r="U1416" i="2"/>
  <c r="D265" i="2"/>
  <c r="L2297" i="2"/>
  <c r="F65" i="2"/>
  <c r="W707" i="2"/>
  <c r="R521" i="2"/>
  <c r="Q672" i="2"/>
  <c r="H1654" i="2"/>
  <c r="P1203" i="2"/>
  <c r="E452" i="2"/>
  <c r="I851" i="2"/>
  <c r="F1617" i="2"/>
  <c r="U1432" i="2"/>
  <c r="P1177" i="2"/>
  <c r="W653" i="2"/>
  <c r="P670" i="2"/>
  <c r="R324" i="2"/>
  <c r="O496" i="2"/>
  <c r="E554" i="2"/>
  <c r="R1557" i="2"/>
  <c r="M2148" i="2"/>
  <c r="L1372" i="2"/>
  <c r="J83" i="2"/>
  <c r="G423" i="2"/>
  <c r="S818" i="2"/>
  <c r="Q277" i="2"/>
  <c r="G1193" i="2"/>
  <c r="U1879" i="2"/>
  <c r="I2508" i="2"/>
  <c r="V1762" i="2"/>
  <c r="I7" i="2"/>
  <c r="Q433" i="2"/>
  <c r="I12" i="2"/>
  <c r="W479" i="2"/>
  <c r="Q311" i="2"/>
  <c r="L104" i="2"/>
  <c r="D765" i="2"/>
  <c r="P1010" i="2"/>
  <c r="P1470" i="2"/>
  <c r="P651" i="2"/>
  <c r="E1756" i="2"/>
  <c r="P1165" i="2"/>
  <c r="Q1412" i="2"/>
  <c r="T371" i="2"/>
  <c r="J480" i="2"/>
  <c r="J2190" i="2"/>
  <c r="P2080" i="2"/>
  <c r="N1675" i="2"/>
  <c r="G1352" i="2"/>
  <c r="L1096" i="2"/>
  <c r="T2249" i="2"/>
  <c r="G1337" i="2"/>
  <c r="E1871" i="2"/>
  <c r="F919" i="2"/>
  <c r="V78" i="2"/>
  <c r="F2027" i="2"/>
  <c r="T1318" i="2"/>
  <c r="R2164" i="2"/>
  <c r="L614" i="2"/>
  <c r="L1082" i="2"/>
  <c r="U1550" i="2"/>
  <c r="U315" i="2"/>
  <c r="J1272" i="2"/>
  <c r="C1451" i="2"/>
  <c r="J2558" i="2"/>
  <c r="D2391" i="2"/>
  <c r="M1105" i="2"/>
  <c r="U766" i="2"/>
  <c r="R836" i="2"/>
  <c r="N369" i="2"/>
  <c r="H2750" i="2"/>
  <c r="T423" i="2"/>
  <c r="N2010" i="2"/>
  <c r="M2277" i="2"/>
  <c r="U2451" i="2"/>
  <c r="D2482" i="2"/>
  <c r="J95" i="2"/>
  <c r="S85" i="2"/>
  <c r="V1456" i="2"/>
  <c r="G84" i="2"/>
  <c r="U1899" i="2"/>
  <c r="S3232" i="2"/>
  <c r="T188" i="2"/>
  <c r="T1164" i="2"/>
  <c r="V926" i="2"/>
  <c r="N402" i="2"/>
  <c r="I1083" i="2"/>
  <c r="U1830" i="2"/>
  <c r="J312" i="2"/>
  <c r="N2640" i="2"/>
  <c r="E502" i="2"/>
  <c r="C1205" i="2"/>
  <c r="S2350" i="2"/>
  <c r="H1106" i="2"/>
  <c r="U1532" i="2"/>
  <c r="Q2159" i="2"/>
  <c r="M181" i="2"/>
  <c r="T100" i="2"/>
  <c r="O1328" i="2"/>
  <c r="U1192" i="2"/>
  <c r="N1242" i="2"/>
  <c r="G135" i="2"/>
  <c r="J345" i="2"/>
  <c r="K1294" i="2"/>
  <c r="S191" i="2"/>
  <c r="H1520" i="2"/>
  <c r="D162" i="2"/>
  <c r="L1580" i="2"/>
  <c r="N600" i="2"/>
  <c r="C1008" i="2"/>
  <c r="F310" i="2"/>
  <c r="S69" i="2"/>
  <c r="W1449" i="2"/>
  <c r="F3399" i="2"/>
  <c r="O2366" i="2"/>
  <c r="S2251" i="2"/>
  <c r="K1825" i="2"/>
  <c r="F487" i="2"/>
  <c r="T3078" i="2"/>
  <c r="E530" i="2"/>
  <c r="P1821" i="2"/>
  <c r="P1309" i="2"/>
  <c r="M2807" i="2"/>
  <c r="C114" i="2"/>
  <c r="F2138" i="2"/>
  <c r="C417" i="2"/>
  <c r="T964" i="2"/>
  <c r="W2654" i="2"/>
  <c r="S1873" i="2"/>
  <c r="Q1753" i="2"/>
  <c r="G843" i="2"/>
  <c r="D95" i="2"/>
  <c r="I964" i="2"/>
  <c r="M376" i="2"/>
  <c r="K3132" i="2"/>
  <c r="E2816" i="2"/>
  <c r="K1090" i="2"/>
  <c r="N1057" i="2"/>
  <c r="T1425" i="2"/>
  <c r="J321" i="2"/>
  <c r="G1097" i="2"/>
  <c r="H3165" i="2"/>
  <c r="H499" i="2"/>
  <c r="R1195" i="2"/>
  <c r="I1853" i="2"/>
  <c r="C1953" i="2"/>
  <c r="V962" i="2"/>
  <c r="E49" i="2"/>
  <c r="W2644" i="2"/>
  <c r="Q508" i="2"/>
  <c r="P1604" i="2"/>
  <c r="L2992" i="2"/>
  <c r="C1221" i="2"/>
  <c r="K151" i="2"/>
  <c r="L1458" i="2"/>
  <c r="V14" i="2"/>
  <c r="P2448" i="2"/>
  <c r="P1545" i="2"/>
  <c r="Q2922" i="2"/>
  <c r="K1760" i="2"/>
  <c r="C1874" i="2"/>
  <c r="O1205" i="2"/>
  <c r="E797" i="2"/>
  <c r="D2781" i="2"/>
  <c r="I2205" i="2"/>
  <c r="T605" i="2"/>
  <c r="J356" i="2"/>
  <c r="I940" i="2"/>
  <c r="F1951" i="2"/>
  <c r="N601" i="2"/>
  <c r="O501" i="2"/>
  <c r="M2533" i="2"/>
  <c r="C567" i="2"/>
  <c r="C2742" i="2"/>
  <c r="J1156" i="2"/>
  <c r="L391" i="2"/>
  <c r="P2725" i="2"/>
  <c r="K2782" i="2"/>
  <c r="H319" i="2"/>
  <c r="W1398" i="2"/>
  <c r="P479" i="2"/>
  <c r="W2010" i="2"/>
  <c r="Q1434" i="2"/>
  <c r="K791" i="2"/>
  <c r="L2102" i="2"/>
  <c r="S1689" i="2"/>
  <c r="C339" i="2"/>
  <c r="D1691" i="2"/>
  <c r="I1378" i="2"/>
  <c r="M14" i="2"/>
  <c r="N1617" i="2"/>
  <c r="M859" i="2"/>
  <c r="J133" i="2"/>
  <c r="Q13" i="2"/>
  <c r="T981" i="2"/>
  <c r="C1519" i="2"/>
  <c r="O908" i="2"/>
  <c r="I1848" i="2"/>
  <c r="M1594" i="2"/>
  <c r="R2302" i="2"/>
  <c r="C238" i="2"/>
  <c r="C473" i="2"/>
  <c r="C2666" i="2"/>
  <c r="S667" i="2"/>
  <c r="H2781" i="2"/>
  <c r="V1797" i="2"/>
  <c r="H358" i="2"/>
  <c r="D2365" i="2"/>
  <c r="I136" i="2"/>
  <c r="U1849" i="2"/>
  <c r="I555" i="2"/>
  <c r="O542" i="2"/>
  <c r="M108" i="2"/>
  <c r="L812" i="2"/>
  <c r="M2098" i="2"/>
  <c r="G2118" i="2"/>
  <c r="U2973" i="2"/>
  <c r="D281" i="2"/>
  <c r="I2447" i="2"/>
  <c r="V1670" i="2"/>
  <c r="S847" i="2"/>
  <c r="N2322" i="2"/>
  <c r="L2108" i="2"/>
  <c r="E2863" i="2"/>
  <c r="R2699" i="2"/>
  <c r="H29" i="2"/>
  <c r="N1577" i="2"/>
  <c r="E79" i="2"/>
  <c r="E1973" i="2"/>
  <c r="C2073" i="2"/>
  <c r="R462" i="2"/>
  <c r="H1452" i="2"/>
  <c r="C1968" i="2"/>
  <c r="D702" i="2"/>
  <c r="J1339" i="2"/>
  <c r="R2226" i="2"/>
  <c r="R1261" i="2"/>
  <c r="V69" i="2"/>
  <c r="M1305" i="2"/>
  <c r="R151" i="2"/>
  <c r="I2669" i="2"/>
  <c r="H1621" i="2"/>
  <c r="V970" i="2"/>
  <c r="F2715" i="2"/>
  <c r="P993" i="2"/>
  <c r="P1015" i="2"/>
  <c r="F1607" i="2"/>
  <c r="Q283" i="2"/>
  <c r="F590" i="2"/>
  <c r="E1107" i="2"/>
  <c r="T753" i="2"/>
  <c r="L170" i="2"/>
  <c r="T216" i="2"/>
  <c r="W2312" i="2"/>
  <c r="M245" i="2"/>
  <c r="W2174" i="2"/>
  <c r="F1656" i="2"/>
  <c r="R2695" i="2"/>
  <c r="C116" i="2"/>
  <c r="F2603" i="2"/>
  <c r="F669" i="2"/>
  <c r="P1042" i="2"/>
  <c r="D1900" i="2"/>
  <c r="L2072" i="2"/>
  <c r="R513" i="2"/>
  <c r="K3126" i="2"/>
  <c r="G477" i="2"/>
  <c r="U187" i="2"/>
  <c r="U1597" i="2"/>
  <c r="E1389" i="2"/>
  <c r="L295" i="2"/>
  <c r="Q1358" i="2"/>
  <c r="W2709" i="2"/>
  <c r="U1087" i="2"/>
  <c r="W1160" i="2"/>
  <c r="K113" i="2"/>
  <c r="K427" i="2"/>
  <c r="O609" i="2"/>
  <c r="O804" i="2"/>
  <c r="I2888" i="2"/>
  <c r="E460" i="2"/>
  <c r="T1628" i="2"/>
  <c r="J279" i="2"/>
  <c r="G438" i="2"/>
  <c r="O2682" i="2"/>
  <c r="U240" i="2"/>
  <c r="P3039" i="2"/>
  <c r="L1954" i="2"/>
  <c r="L743" i="2"/>
  <c r="L2755" i="2"/>
  <c r="R1968" i="2"/>
  <c r="N883" i="2"/>
  <c r="J661" i="2"/>
  <c r="M1523" i="2"/>
  <c r="R2591" i="2"/>
  <c r="J1082" i="2"/>
  <c r="W1948" i="2"/>
  <c r="H346" i="2"/>
  <c r="S802" i="2"/>
  <c r="H845" i="2"/>
  <c r="C991" i="2"/>
  <c r="H1720" i="2"/>
  <c r="J200" i="2"/>
  <c r="G193" i="2"/>
  <c r="S1614" i="2"/>
  <c r="D418" i="2"/>
  <c r="E412" i="2"/>
  <c r="J314" i="2"/>
  <c r="K835" i="2"/>
  <c r="Q2502" i="2"/>
  <c r="H2760" i="2"/>
  <c r="E2379" i="2"/>
  <c r="I84" i="2"/>
  <c r="N1150" i="2"/>
  <c r="W709" i="2"/>
  <c r="Q2177" i="2"/>
  <c r="I2436" i="2"/>
  <c r="L717" i="2"/>
  <c r="W2415" i="2"/>
  <c r="M782" i="2"/>
  <c r="O1684" i="2"/>
  <c r="T172" i="2"/>
  <c r="G2477" i="2"/>
  <c r="G1260" i="2"/>
  <c r="G2367" i="2"/>
  <c r="F3019" i="2"/>
  <c r="U293" i="2"/>
  <c r="D808" i="2"/>
  <c r="W1696" i="2"/>
  <c r="W786" i="2"/>
  <c r="F260" i="2"/>
  <c r="P2831" i="2"/>
  <c r="J1625" i="2"/>
  <c r="U1345" i="2"/>
  <c r="H28" i="2"/>
  <c r="R2660" i="2"/>
  <c r="L8" i="2"/>
  <c r="D1282" i="2"/>
  <c r="G996" i="2"/>
  <c r="F1450" i="2"/>
  <c r="L797" i="2"/>
  <c r="F1783" i="2"/>
  <c r="I1294" i="2"/>
  <c r="F370" i="2"/>
  <c r="C1298" i="2"/>
  <c r="W1661" i="2"/>
  <c r="R2826" i="2"/>
  <c r="C140" i="2"/>
  <c r="P1224" i="2"/>
  <c r="W2026" i="2"/>
  <c r="M127" i="2"/>
  <c r="M2084" i="2"/>
  <c r="N307" i="2"/>
  <c r="P1192" i="2"/>
  <c r="R1571" i="2"/>
  <c r="D2026" i="2"/>
  <c r="T1021" i="2"/>
  <c r="V914" i="2"/>
  <c r="G666" i="2"/>
  <c r="K1918" i="2"/>
  <c r="W956" i="2"/>
  <c r="F1454" i="2"/>
  <c r="J789" i="2"/>
  <c r="O1957" i="2"/>
  <c r="E656" i="2"/>
  <c r="E2038" i="2"/>
  <c r="U1627" i="2"/>
  <c r="T1024" i="2"/>
  <c r="U2519" i="2"/>
  <c r="E672" i="2"/>
  <c r="H1779" i="2"/>
  <c r="C62" i="2"/>
  <c r="I1120" i="2"/>
  <c r="G377" i="2"/>
  <c r="C690" i="2"/>
  <c r="J434" i="2"/>
  <c r="V295" i="2"/>
  <c r="W113" i="2"/>
  <c r="T2842" i="2"/>
  <c r="C312" i="2"/>
  <c r="H2488" i="2"/>
  <c r="J1779" i="2"/>
  <c r="W2804" i="2"/>
  <c r="P1906" i="2"/>
  <c r="C848" i="2"/>
  <c r="L1025" i="2"/>
  <c r="N1317" i="2"/>
  <c r="I275" i="2"/>
  <c r="O601" i="2"/>
  <c r="U782" i="2"/>
  <c r="N1396" i="2"/>
  <c r="L2068" i="2"/>
  <c r="R3122" i="2"/>
  <c r="K68" i="2"/>
  <c r="D1733" i="2"/>
  <c r="I535" i="2"/>
  <c r="H1115" i="2"/>
  <c r="S1627" i="2"/>
  <c r="I1175" i="2"/>
  <c r="S1889" i="2"/>
  <c r="N939" i="2"/>
  <c r="E372" i="2"/>
  <c r="N401" i="2"/>
  <c r="I292" i="2"/>
  <c r="S1119" i="2"/>
  <c r="D118" i="2"/>
  <c r="V186" i="2"/>
  <c r="F341" i="2"/>
  <c r="O397" i="2"/>
  <c r="L922" i="2"/>
  <c r="T994" i="2"/>
  <c r="H657" i="2"/>
  <c r="F1569" i="2"/>
  <c r="T363" i="2"/>
  <c r="T601" i="2"/>
  <c r="D26" i="2"/>
  <c r="U2957" i="2"/>
  <c r="H749" i="2"/>
  <c r="F1573" i="2"/>
  <c r="T2468" i="2"/>
  <c r="I2874" i="2"/>
  <c r="H794" i="2"/>
  <c r="L927" i="2"/>
  <c r="S1180" i="2"/>
  <c r="V392" i="2"/>
  <c r="S39" i="2"/>
  <c r="E103" i="2"/>
  <c r="F2117" i="2"/>
  <c r="P236" i="2"/>
  <c r="C2099" i="2"/>
  <c r="G2737" i="2"/>
  <c r="K2565" i="2"/>
  <c r="C877" i="2"/>
  <c r="G1222" i="2"/>
  <c r="D553" i="2"/>
  <c r="C794" i="2"/>
  <c r="M1213" i="2"/>
  <c r="J426" i="2"/>
  <c r="U581" i="2"/>
  <c r="P1181" i="2"/>
  <c r="J2066" i="2"/>
  <c r="I903" i="2"/>
  <c r="T804" i="2"/>
  <c r="T1047" i="2"/>
  <c r="W1543" i="2"/>
  <c r="P322" i="2"/>
  <c r="J306" i="2"/>
  <c r="W341" i="2"/>
  <c r="T1712" i="2"/>
  <c r="P1823" i="2"/>
  <c r="V705" i="2"/>
  <c r="J916" i="2"/>
  <c r="C554" i="2"/>
  <c r="I340" i="2"/>
  <c r="J1860" i="2"/>
  <c r="S2572" i="2"/>
  <c r="Q20" i="2"/>
  <c r="L203" i="2"/>
  <c r="O1308" i="2"/>
  <c r="P2326" i="2"/>
  <c r="I170" i="2"/>
  <c r="C997" i="2"/>
  <c r="L35" i="2"/>
  <c r="I490" i="2"/>
  <c r="F1904" i="2"/>
  <c r="C1816" i="2"/>
  <c r="E915" i="2"/>
  <c r="O1702" i="2"/>
  <c r="V3011" i="2"/>
  <c r="Q511" i="2"/>
  <c r="I656" i="2"/>
  <c r="O588" i="2"/>
  <c r="S1244" i="2"/>
  <c r="J68" i="2"/>
  <c r="H183" i="2"/>
  <c r="F45" i="2"/>
  <c r="T1062" i="2"/>
  <c r="O1616" i="2"/>
  <c r="G478" i="2"/>
  <c r="M1410" i="2"/>
  <c r="C50" i="2"/>
  <c r="P797" i="2"/>
  <c r="I295" i="2"/>
  <c r="N2623" i="2"/>
  <c r="W1901" i="2"/>
  <c r="C307" i="2"/>
  <c r="E756" i="2"/>
  <c r="I1265" i="2"/>
  <c r="K751" i="2"/>
  <c r="N1750" i="2"/>
  <c r="S1920" i="2"/>
  <c r="H1305" i="2"/>
  <c r="H836" i="2"/>
  <c r="I2858" i="2"/>
  <c r="F2791" i="2"/>
  <c r="N1027" i="2"/>
  <c r="L2210" i="2"/>
  <c r="N2119" i="2"/>
  <c r="D88" i="2"/>
  <c r="C1797" i="2"/>
  <c r="R1825" i="2"/>
  <c r="T448" i="2"/>
  <c r="S409" i="2"/>
  <c r="J965" i="2"/>
  <c r="M1815" i="2"/>
  <c r="C65" i="2"/>
  <c r="S402" i="2"/>
  <c r="T1786" i="2"/>
  <c r="F435" i="2"/>
  <c r="T352" i="2"/>
  <c r="R1551" i="2"/>
  <c r="V266" i="2"/>
  <c r="S377" i="2"/>
  <c r="V2532" i="2"/>
  <c r="U283" i="2"/>
  <c r="L2519" i="2"/>
  <c r="I251" i="2"/>
  <c r="R1034" i="2"/>
  <c r="S48" i="2"/>
  <c r="H990" i="2"/>
  <c r="M972" i="2"/>
  <c r="K2940" i="2"/>
  <c r="I3" i="2"/>
  <c r="E143" i="2"/>
  <c r="I2348" i="2"/>
  <c r="N2110" i="2"/>
  <c r="L969" i="2"/>
  <c r="J1566" i="2"/>
  <c r="N2016" i="2"/>
  <c r="K338" i="2"/>
  <c r="G437" i="2"/>
  <c r="R144" i="2"/>
  <c r="J194" i="2"/>
  <c r="V1617" i="2"/>
  <c r="J529" i="2"/>
  <c r="O2118" i="2"/>
  <c r="S773" i="2"/>
  <c r="E564" i="2"/>
  <c r="M1406" i="2"/>
  <c r="S1167" i="2"/>
  <c r="P645" i="2"/>
  <c r="D951" i="2"/>
  <c r="R147" i="2"/>
  <c r="V1701" i="2"/>
  <c r="K1499" i="2"/>
  <c r="D740" i="2"/>
  <c r="C1076" i="2"/>
  <c r="K1173" i="2"/>
  <c r="H722" i="2"/>
  <c r="O127" i="2"/>
  <c r="J1204" i="2"/>
  <c r="S2760" i="2"/>
  <c r="S333" i="2"/>
  <c r="G1331" i="2"/>
  <c r="R920" i="2"/>
  <c r="C45" i="2"/>
  <c r="G1023" i="2"/>
  <c r="E669" i="2"/>
  <c r="N30" i="2"/>
  <c r="C305" i="2"/>
  <c r="G896" i="2"/>
  <c r="V703" i="2"/>
  <c r="T1442" i="2"/>
  <c r="V177" i="2"/>
  <c r="E399" i="2"/>
  <c r="C133" i="2"/>
  <c r="L90" i="2"/>
  <c r="K804" i="2"/>
  <c r="O365" i="2"/>
  <c r="W1465" i="2"/>
  <c r="K405" i="2"/>
  <c r="S668" i="2"/>
  <c r="T903" i="2"/>
  <c r="U2" i="2"/>
  <c r="F1067" i="2"/>
  <c r="T669" i="2"/>
  <c r="C2684" i="2"/>
  <c r="L2192" i="2"/>
  <c r="R1017" i="2"/>
  <c r="F3180" i="2"/>
  <c r="C136" i="2"/>
  <c r="E1251" i="2"/>
  <c r="M106" i="2"/>
  <c r="W117" i="2"/>
  <c r="Q2092" i="2"/>
  <c r="V1257" i="2"/>
  <c r="F353" i="2"/>
  <c r="L498" i="2"/>
  <c r="D1102" i="2"/>
  <c r="I1283" i="2"/>
  <c r="N66" i="2"/>
  <c r="S1016" i="2"/>
  <c r="K702" i="2"/>
  <c r="J686" i="2"/>
  <c r="S1872" i="2"/>
  <c r="N350" i="2"/>
  <c r="F1802" i="2"/>
  <c r="C1291" i="2"/>
  <c r="C184" i="2"/>
  <c r="U1638" i="2"/>
  <c r="J91" i="2"/>
  <c r="H573" i="2"/>
  <c r="P391" i="2"/>
  <c r="G137" i="2"/>
  <c r="J976" i="2"/>
  <c r="U2938" i="2"/>
  <c r="W1490" i="2"/>
  <c r="L1327" i="2"/>
  <c r="O531" i="2"/>
  <c r="H1137" i="2"/>
  <c r="V2452" i="2"/>
  <c r="D1156" i="2"/>
  <c r="M1397" i="2"/>
  <c r="W1664" i="2"/>
  <c r="M1368" i="2"/>
  <c r="J2386" i="2"/>
  <c r="L963" i="2"/>
  <c r="E126" i="2"/>
  <c r="K698" i="2"/>
  <c r="O695" i="2"/>
  <c r="H1817" i="2"/>
  <c r="I58" i="2"/>
  <c r="O92" i="2"/>
  <c r="T765" i="2"/>
  <c r="C86" i="2"/>
  <c r="V1599" i="2"/>
  <c r="G1009" i="2"/>
  <c r="M1071" i="2"/>
  <c r="K898" i="2"/>
  <c r="G105" i="2"/>
  <c r="J1674" i="2"/>
  <c r="R1999" i="2"/>
  <c r="T966" i="2"/>
  <c r="T784" i="2"/>
  <c r="S2051" i="2"/>
  <c r="N1537" i="2"/>
  <c r="C693" i="2"/>
  <c r="V1949" i="2"/>
  <c r="P2031" i="2"/>
  <c r="V147" i="2"/>
  <c r="K84" i="2"/>
  <c r="N404" i="2"/>
  <c r="P909" i="2"/>
  <c r="D1267" i="2"/>
  <c r="M1995" i="2"/>
  <c r="M685" i="2"/>
  <c r="P1104" i="2"/>
  <c r="U716" i="2"/>
  <c r="E3233" i="2"/>
  <c r="V1366" i="2"/>
  <c r="C1595" i="2"/>
  <c r="E3059" i="2"/>
  <c r="Q2474" i="2"/>
  <c r="J577" i="2"/>
  <c r="F1295" i="2"/>
  <c r="P569" i="2"/>
  <c r="G870" i="2"/>
  <c r="N505" i="2"/>
  <c r="J1146" i="2"/>
  <c r="J2026" i="2"/>
  <c r="Q959" i="2"/>
  <c r="T12" i="2"/>
  <c r="S2405" i="2"/>
  <c r="T504" i="2"/>
  <c r="N848" i="2"/>
  <c r="G672" i="2"/>
  <c r="U772" i="2"/>
  <c r="K263" i="2"/>
  <c r="R2048" i="2"/>
  <c r="G1077" i="2"/>
  <c r="U2443" i="2"/>
  <c r="K293" i="2"/>
  <c r="N609" i="2"/>
  <c r="G48" i="2"/>
  <c r="J701" i="2"/>
  <c r="W771" i="2"/>
  <c r="L371" i="2"/>
  <c r="K2772" i="2"/>
  <c r="E318" i="2"/>
  <c r="D1465" i="2"/>
  <c r="K1109" i="2"/>
  <c r="Q1455" i="2"/>
  <c r="T2630" i="2"/>
  <c r="M2233" i="2"/>
  <c r="U637" i="2"/>
  <c r="D1767" i="2"/>
  <c r="J1196" i="2"/>
  <c r="M295" i="2"/>
  <c r="K711" i="2"/>
  <c r="C2728" i="2"/>
  <c r="U1018" i="2"/>
  <c r="F95" i="2"/>
  <c r="P639" i="2"/>
  <c r="U547" i="2"/>
  <c r="N2280" i="2"/>
  <c r="W1816" i="2"/>
  <c r="O2570" i="2"/>
  <c r="I814" i="2"/>
  <c r="N1136" i="2"/>
  <c r="U899" i="2"/>
  <c r="G1669" i="2"/>
  <c r="H1220" i="2"/>
  <c r="K432" i="2"/>
  <c r="L1205" i="2"/>
  <c r="U546" i="2"/>
  <c r="L205" i="2"/>
  <c r="R45" i="2"/>
  <c r="M1268" i="2"/>
  <c r="T1908" i="2"/>
  <c r="D301" i="2"/>
  <c r="D2709" i="2"/>
  <c r="H1481" i="2"/>
  <c r="E1268" i="2"/>
  <c r="N2273" i="2"/>
  <c r="P2373" i="2"/>
  <c r="W938" i="2"/>
  <c r="T2214" i="2"/>
  <c r="U584" i="2"/>
  <c r="L488" i="2"/>
  <c r="F745" i="2"/>
  <c r="L753" i="2"/>
  <c r="L58" i="2"/>
  <c r="Q731" i="2"/>
  <c r="W2134" i="2"/>
  <c r="C1464" i="2"/>
  <c r="T1311" i="2"/>
  <c r="D1825" i="2"/>
  <c r="R533" i="2"/>
  <c r="M740" i="2"/>
  <c r="G1012" i="2"/>
  <c r="R841" i="2"/>
  <c r="W150" i="2"/>
  <c r="J1095" i="2"/>
  <c r="U1104" i="2"/>
  <c r="H1726" i="2"/>
  <c r="P1199" i="2"/>
  <c r="J557" i="2"/>
  <c r="D87" i="2"/>
  <c r="K532" i="2"/>
  <c r="G1176" i="2"/>
  <c r="M1789" i="2"/>
  <c r="F286" i="2"/>
  <c r="M2471" i="2"/>
  <c r="Q178" i="2"/>
  <c r="T182" i="2"/>
  <c r="E427" i="2"/>
  <c r="D2996" i="2"/>
  <c r="E2120" i="2"/>
  <c r="G402" i="2"/>
  <c r="C1520" i="2"/>
  <c r="O1756" i="2"/>
  <c r="D2801" i="2"/>
  <c r="K1906" i="2"/>
  <c r="E1141" i="2"/>
  <c r="E1689" i="2"/>
  <c r="L738" i="2"/>
  <c r="D238" i="2"/>
  <c r="J658" i="2"/>
  <c r="F499" i="2"/>
  <c r="D793" i="2"/>
  <c r="O168" i="2"/>
  <c r="M2032" i="2"/>
  <c r="J2945" i="2"/>
  <c r="M543" i="2"/>
  <c r="E800" i="2"/>
  <c r="P2036" i="2"/>
  <c r="O178" i="2"/>
  <c r="V892" i="2"/>
  <c r="U1980" i="2"/>
  <c r="O300" i="2"/>
  <c r="W694" i="2"/>
  <c r="T219" i="2"/>
  <c r="J879" i="2"/>
  <c r="M1033" i="2"/>
  <c r="D506" i="2"/>
  <c r="U508" i="2"/>
  <c r="W433" i="2"/>
  <c r="V1460" i="2"/>
  <c r="O577" i="2"/>
  <c r="I1162" i="2"/>
  <c r="D1464" i="2"/>
  <c r="S96" i="2"/>
  <c r="E2588" i="2"/>
  <c r="J1270" i="2"/>
  <c r="R2151" i="2"/>
  <c r="U1382" i="2"/>
  <c r="N1665" i="2"/>
  <c r="W1289" i="2"/>
  <c r="M2756" i="2"/>
  <c r="L122" i="2"/>
  <c r="F774" i="2"/>
  <c r="G2719" i="2"/>
  <c r="O840" i="2"/>
  <c r="S1896" i="2"/>
  <c r="I1063" i="2"/>
  <c r="O2408" i="2"/>
  <c r="P2023" i="2"/>
  <c r="C1041" i="2"/>
  <c r="R1053" i="2"/>
  <c r="P1289" i="2"/>
  <c r="I2140" i="2"/>
  <c r="D650" i="2"/>
  <c r="T2923" i="2"/>
  <c r="V2088" i="2"/>
  <c r="F66" i="2"/>
  <c r="J2467" i="2"/>
  <c r="C1703" i="2"/>
  <c r="I1093" i="2"/>
  <c r="V124" i="2"/>
  <c r="F1575" i="2"/>
  <c r="T594" i="2"/>
  <c r="L464" i="2"/>
  <c r="W1754" i="2"/>
  <c r="Q1383" i="2"/>
  <c r="M1286" i="2"/>
  <c r="O766" i="2"/>
  <c r="S272" i="2"/>
  <c r="G72" i="2"/>
  <c r="T117" i="2"/>
  <c r="F711" i="2"/>
  <c r="O2728" i="2"/>
  <c r="V2766" i="2"/>
  <c r="C401" i="2"/>
  <c r="G1390" i="2"/>
  <c r="K130" i="2"/>
  <c r="S3022" i="2"/>
  <c r="D2721" i="2"/>
  <c r="F419" i="2"/>
  <c r="W184" i="2"/>
  <c r="K619" i="2"/>
  <c r="P1487" i="2"/>
  <c r="Q2223" i="2"/>
  <c r="D850" i="2"/>
  <c r="F1110" i="2"/>
  <c r="Q516" i="2"/>
  <c r="V1805" i="2"/>
  <c r="C875" i="2"/>
  <c r="R124" i="2"/>
  <c r="F183" i="2"/>
  <c r="N751" i="2"/>
  <c r="Q2013" i="2"/>
  <c r="W1510" i="2"/>
  <c r="E2887" i="2"/>
  <c r="F137" i="2"/>
  <c r="E6" i="2"/>
  <c r="C1216" i="2"/>
  <c r="O149" i="2"/>
  <c r="M1487" i="2"/>
  <c r="D2112" i="2"/>
  <c r="F615" i="2"/>
  <c r="U324" i="2"/>
  <c r="O873" i="2"/>
  <c r="T112" i="2"/>
  <c r="K2739" i="2"/>
  <c r="L1422" i="2"/>
  <c r="G764" i="2"/>
  <c r="H1658" i="2"/>
  <c r="P2055" i="2"/>
  <c r="J600" i="2"/>
  <c r="L329" i="2"/>
  <c r="C51" i="2"/>
  <c r="M832" i="2"/>
  <c r="V1383" i="2"/>
  <c r="V2309" i="2"/>
  <c r="M1491" i="2"/>
  <c r="H566" i="2"/>
  <c r="R494" i="2"/>
  <c r="O1860" i="2"/>
  <c r="M1679" i="2"/>
  <c r="R1482" i="2"/>
  <c r="V1287" i="2"/>
  <c r="M634" i="2"/>
  <c r="C1336" i="2"/>
  <c r="Q1531" i="2"/>
  <c r="F103" i="2"/>
  <c r="W191" i="2"/>
  <c r="G441" i="2"/>
  <c r="Q1247" i="2"/>
  <c r="O2494" i="2"/>
  <c r="D1908" i="2"/>
  <c r="D1748" i="2"/>
  <c r="S425" i="2"/>
  <c r="M1281" i="2"/>
  <c r="Q549" i="2"/>
  <c r="M1197" i="2"/>
  <c r="F362" i="2"/>
  <c r="D2823" i="2"/>
  <c r="P455" i="2"/>
  <c r="C2065" i="2"/>
  <c r="W1376" i="2"/>
  <c r="N582" i="2"/>
  <c r="N1641" i="2"/>
  <c r="N1561" i="2"/>
  <c r="C2293" i="2"/>
  <c r="P540" i="2"/>
  <c r="T1262" i="2"/>
  <c r="U535" i="2"/>
  <c r="N483" i="2"/>
  <c r="G1055" i="2"/>
  <c r="V775" i="2"/>
  <c r="T1010" i="2"/>
  <c r="L591" i="2"/>
  <c r="R1375" i="2"/>
  <c r="W2405" i="2"/>
  <c r="D1150" i="2"/>
  <c r="W1659" i="2"/>
  <c r="I1269" i="2"/>
  <c r="K1408" i="2"/>
  <c r="J168" i="2"/>
  <c r="K388" i="2"/>
  <c r="P2235" i="2"/>
  <c r="P1374" i="2"/>
  <c r="K331" i="2"/>
  <c r="C2601" i="2"/>
  <c r="H50" i="2"/>
  <c r="M1797" i="2"/>
  <c r="M1699" i="2"/>
  <c r="M973" i="2"/>
  <c r="U357" i="2"/>
  <c r="V1445" i="2"/>
  <c r="W1194" i="2"/>
  <c r="E1552" i="2"/>
  <c r="E1115" i="2"/>
  <c r="E1810" i="2"/>
  <c r="R691" i="2"/>
  <c r="F1332" i="2"/>
  <c r="C644" i="2"/>
  <c r="J1888" i="2"/>
  <c r="W257" i="2"/>
  <c r="G2077" i="2"/>
  <c r="R1473" i="2"/>
  <c r="L495" i="2"/>
  <c r="R2207" i="2"/>
  <c r="R2418" i="2"/>
  <c r="P1025" i="2"/>
  <c r="M242" i="2"/>
  <c r="K1071" i="2"/>
  <c r="Q1095" i="2"/>
  <c r="P293" i="2"/>
  <c r="S724" i="2"/>
  <c r="Q1569" i="2"/>
  <c r="N1300" i="2"/>
  <c r="J527" i="2"/>
  <c r="S863" i="2"/>
  <c r="W1130" i="2"/>
  <c r="T1133" i="2"/>
  <c r="U1043" i="2"/>
  <c r="E902" i="2"/>
  <c r="N124" i="2"/>
  <c r="T1331" i="2"/>
  <c r="R1270" i="2"/>
  <c r="S1231" i="2"/>
  <c r="C1510" i="2"/>
  <c r="V2768" i="2"/>
  <c r="G2485" i="2"/>
  <c r="M451" i="2"/>
  <c r="C596" i="2"/>
  <c r="K1996" i="2"/>
  <c r="M1546" i="2"/>
  <c r="U1636" i="2"/>
  <c r="R117" i="2"/>
  <c r="R1567" i="2"/>
  <c r="C215" i="2"/>
  <c r="V93" i="2"/>
  <c r="Q1994" i="2"/>
  <c r="U708" i="2"/>
  <c r="V600" i="2"/>
  <c r="F987" i="2"/>
  <c r="R2257" i="2"/>
  <c r="P317" i="2"/>
  <c r="U439" i="2"/>
  <c r="H2097" i="2"/>
  <c r="Q2110" i="2"/>
  <c r="L1206" i="2"/>
  <c r="T1180" i="2"/>
  <c r="Q1353" i="2"/>
  <c r="C1756" i="2"/>
  <c r="Q2558" i="2"/>
  <c r="K2848" i="2"/>
  <c r="D1673" i="2"/>
  <c r="Q2826" i="2"/>
  <c r="E1748" i="2"/>
  <c r="H1668" i="2"/>
  <c r="R2247" i="2"/>
  <c r="F2350" i="2"/>
  <c r="H1201" i="2"/>
  <c r="R2548" i="2"/>
  <c r="G1072" i="2"/>
  <c r="K2092" i="2"/>
  <c r="N489" i="2"/>
  <c r="N1089" i="2"/>
  <c r="F536" i="2"/>
  <c r="Q1425" i="2"/>
  <c r="P2638" i="2"/>
  <c r="G1826" i="2"/>
  <c r="O1033" i="2"/>
  <c r="E1376" i="2"/>
  <c r="K1947" i="2"/>
  <c r="C1341" i="2"/>
  <c r="T2497" i="2"/>
  <c r="D253" i="2"/>
  <c r="Q1201" i="2"/>
  <c r="O783" i="2"/>
  <c r="S1812" i="2"/>
  <c r="G1580" i="2"/>
  <c r="L125" i="2"/>
  <c r="I306" i="2"/>
  <c r="F944" i="2"/>
  <c r="G2247" i="2"/>
  <c r="P1312" i="2"/>
  <c r="E615" i="2"/>
  <c r="O1177" i="2"/>
  <c r="F659" i="2"/>
  <c r="Q689" i="2"/>
  <c r="C2375" i="2"/>
  <c r="F2372" i="2"/>
  <c r="T368" i="2"/>
  <c r="K1632" i="2"/>
  <c r="L1912" i="2"/>
  <c r="U1815" i="2"/>
  <c r="R721" i="2"/>
  <c r="V174" i="2"/>
  <c r="P901" i="2"/>
  <c r="H1589" i="2"/>
  <c r="S1495" i="2"/>
  <c r="P405" i="2"/>
  <c r="T2716" i="2"/>
  <c r="T2447" i="2"/>
  <c r="T691" i="2"/>
  <c r="K1453" i="2"/>
  <c r="U1202" i="2"/>
  <c r="L2759" i="2"/>
  <c r="U672" i="2"/>
  <c r="I285" i="2"/>
  <c r="D1034" i="2"/>
  <c r="J100" i="2"/>
  <c r="F2958" i="2"/>
  <c r="G2389" i="2"/>
  <c r="F1224" i="2"/>
  <c r="W192" i="2"/>
  <c r="C1616" i="2"/>
  <c r="J1774" i="2"/>
  <c r="F728" i="2"/>
  <c r="T2680" i="2"/>
  <c r="W1672" i="2"/>
  <c r="W608" i="2"/>
  <c r="W1466" i="2"/>
  <c r="U887" i="2"/>
  <c r="Q2105" i="2"/>
  <c r="H1499" i="2"/>
  <c r="S1053" i="2"/>
  <c r="L2695" i="2"/>
  <c r="T589" i="2"/>
  <c r="D954" i="2"/>
  <c r="N2082" i="2"/>
  <c r="S869" i="2"/>
  <c r="S2543" i="2"/>
  <c r="F483" i="2"/>
  <c r="R2167" i="2"/>
  <c r="F23" i="2"/>
  <c r="G1209" i="2"/>
  <c r="N854" i="2"/>
  <c r="R361" i="2"/>
  <c r="D2396" i="2"/>
  <c r="D1412" i="2"/>
  <c r="H556" i="2"/>
  <c r="P309" i="2"/>
  <c r="H1881" i="2"/>
  <c r="K975" i="2"/>
  <c r="T2284" i="2"/>
  <c r="K2384" i="2"/>
  <c r="G2378" i="2"/>
  <c r="D789" i="2"/>
  <c r="Q1112" i="2"/>
  <c r="T666" i="2"/>
  <c r="G2156" i="2"/>
  <c r="S140" i="2"/>
  <c r="T1537" i="2"/>
  <c r="O445" i="2"/>
  <c r="G2063" i="2"/>
  <c r="I2645" i="2"/>
  <c r="Q1441" i="2"/>
  <c r="R2326" i="2"/>
  <c r="O952" i="2"/>
  <c r="E1053" i="2"/>
  <c r="I77" i="2"/>
  <c r="M2383" i="2"/>
  <c r="P202" i="2"/>
  <c r="S1465" i="2"/>
  <c r="G850" i="2"/>
  <c r="L982" i="2"/>
  <c r="S1242" i="2"/>
  <c r="G725" i="2"/>
  <c r="C573" i="2"/>
  <c r="U274" i="2"/>
  <c r="H208" i="2"/>
  <c r="I1964" i="2"/>
  <c r="V10" i="2"/>
  <c r="E658" i="2"/>
  <c r="S2538" i="2"/>
  <c r="M2923" i="2"/>
  <c r="L1115" i="2"/>
  <c r="T2024" i="2"/>
  <c r="W302" i="2"/>
  <c r="K20" i="2"/>
  <c r="L128" i="2"/>
  <c r="O505" i="2"/>
  <c r="Q1634" i="2"/>
  <c r="Q111" i="2"/>
  <c r="P2888" i="2"/>
  <c r="W1455" i="2"/>
  <c r="R1934" i="2"/>
  <c r="V855" i="2"/>
  <c r="G740" i="2"/>
  <c r="V688" i="2"/>
  <c r="F2543" i="2"/>
  <c r="S1055" i="2"/>
  <c r="N1254" i="2"/>
  <c r="T1305" i="2"/>
  <c r="T635" i="2"/>
  <c r="K2209" i="2"/>
  <c r="S295" i="2"/>
  <c r="N1600" i="2"/>
  <c r="S948" i="2"/>
  <c r="K487" i="2"/>
  <c r="Q1581" i="2"/>
  <c r="G491" i="2"/>
  <c r="U1208" i="2"/>
  <c r="P532" i="2"/>
  <c r="P136" i="2"/>
  <c r="P1125" i="2"/>
  <c r="O289" i="2"/>
  <c r="R750" i="2"/>
  <c r="R2422" i="2"/>
  <c r="S721" i="2"/>
  <c r="C934" i="2"/>
  <c r="U726" i="2"/>
  <c r="T401" i="2"/>
  <c r="D234" i="2"/>
  <c r="E1468" i="2"/>
  <c r="L777" i="2"/>
  <c r="D2551" i="2"/>
  <c r="F1282" i="2"/>
  <c r="S1494" i="2"/>
  <c r="T1525" i="2"/>
  <c r="T1946" i="2"/>
  <c r="O2081" i="2"/>
  <c r="T2868" i="2"/>
  <c r="I407" i="2"/>
  <c r="J597" i="2"/>
  <c r="O7" i="2"/>
  <c r="R3296" i="2"/>
  <c r="T1520" i="2"/>
  <c r="H1018" i="2"/>
  <c r="V2099" i="2"/>
  <c r="M1788" i="2"/>
  <c r="R36" i="2"/>
  <c r="E908" i="2"/>
  <c r="D371" i="2"/>
  <c r="C3179" i="2"/>
  <c r="N347" i="2"/>
  <c r="L3" i="2"/>
  <c r="F204" i="2"/>
  <c r="J1726" i="2"/>
  <c r="D503" i="2"/>
  <c r="L296" i="2"/>
  <c r="O1807" i="2"/>
  <c r="U1367" i="2"/>
  <c r="N2554" i="2"/>
  <c r="P325" i="2"/>
  <c r="N673" i="2"/>
  <c r="I2950" i="2"/>
  <c r="W358" i="2"/>
  <c r="W511" i="2"/>
  <c r="D49" i="2"/>
  <c r="N999" i="2"/>
  <c r="C104" i="2"/>
  <c r="K1177" i="2"/>
  <c r="I914" i="2"/>
  <c r="E2447" i="2"/>
  <c r="P2258" i="2"/>
  <c r="L1307" i="2"/>
  <c r="E1734" i="2"/>
  <c r="R845" i="2"/>
  <c r="E962" i="2"/>
  <c r="F1541" i="2"/>
  <c r="G692" i="2"/>
  <c r="O216" i="2"/>
  <c r="L798" i="2"/>
  <c r="R475" i="2"/>
  <c r="L960" i="2"/>
  <c r="K456" i="2"/>
  <c r="G2081" i="2"/>
  <c r="K2083" i="2"/>
  <c r="R1656" i="2"/>
  <c r="K2337" i="2"/>
  <c r="D628" i="2"/>
  <c r="H960" i="2"/>
  <c r="K621" i="2"/>
  <c r="U538" i="2"/>
  <c r="W1294" i="2"/>
  <c r="E877" i="2"/>
  <c r="U242" i="2"/>
  <c r="L1271" i="2"/>
  <c r="L1741" i="2"/>
  <c r="Q1761" i="2"/>
  <c r="C1508" i="2"/>
  <c r="J660" i="2"/>
  <c r="F1991" i="2"/>
  <c r="Q1398" i="2"/>
  <c r="C820" i="2"/>
  <c r="M2733" i="2"/>
  <c r="T1213" i="2"/>
  <c r="R1947" i="2"/>
  <c r="Q1072" i="2"/>
  <c r="K826" i="2"/>
  <c r="U327" i="2"/>
  <c r="D1249" i="2"/>
  <c r="D1395" i="2"/>
  <c r="I1054" i="2"/>
  <c r="O1707" i="2"/>
  <c r="W2290" i="2"/>
  <c r="D1257" i="2"/>
  <c r="Q1740" i="2"/>
  <c r="O2446" i="2"/>
  <c r="I2275" i="2"/>
  <c r="R56" i="2"/>
  <c r="C3" i="2"/>
  <c r="G427" i="2"/>
  <c r="L2917" i="2"/>
  <c r="P720" i="2"/>
  <c r="K243" i="2"/>
  <c r="S1157" i="2"/>
  <c r="I1221" i="2"/>
  <c r="M1191" i="2"/>
  <c r="J520" i="2"/>
  <c r="K15" i="2"/>
  <c r="M2877" i="2"/>
  <c r="T1029" i="2"/>
  <c r="J2069" i="2"/>
  <c r="C1917" i="2"/>
  <c r="S1050" i="2"/>
  <c r="S790" i="2"/>
  <c r="C1421" i="2"/>
  <c r="K561" i="2"/>
  <c r="F327" i="2"/>
  <c r="V592" i="2"/>
  <c r="K1843" i="2"/>
  <c r="V461" i="2"/>
  <c r="T2078" i="2"/>
  <c r="N603" i="2"/>
  <c r="O446" i="2"/>
  <c r="T78" i="2"/>
  <c r="R890" i="2"/>
  <c r="U857" i="2"/>
  <c r="N155" i="2"/>
  <c r="I1415" i="2"/>
  <c r="M1377" i="2"/>
  <c r="E426" i="2"/>
  <c r="I1537" i="2"/>
  <c r="U2723" i="2"/>
  <c r="U1969" i="2"/>
  <c r="P2352" i="2"/>
  <c r="C296" i="2"/>
  <c r="F747" i="2"/>
  <c r="D41" i="2"/>
  <c r="I33" i="2"/>
  <c r="F125" i="2"/>
  <c r="E1923" i="2"/>
  <c r="U1982" i="2"/>
  <c r="G2642" i="2"/>
  <c r="G1004" i="2"/>
  <c r="L2400" i="2"/>
  <c r="J2819" i="2"/>
  <c r="I2524" i="2"/>
  <c r="I770" i="2"/>
  <c r="O119" i="2"/>
  <c r="N305" i="2"/>
  <c r="Q555" i="2"/>
  <c r="L874" i="2"/>
  <c r="D1103" i="2"/>
  <c r="R503" i="2"/>
  <c r="G2320" i="2"/>
  <c r="U774" i="2"/>
  <c r="P3074" i="2"/>
  <c r="S2417" i="2"/>
  <c r="O1064" i="2"/>
  <c r="M336" i="2"/>
  <c r="F1720" i="2"/>
  <c r="P2957" i="2"/>
  <c r="W63" i="2"/>
  <c r="H2466" i="2"/>
  <c r="W1157" i="2"/>
  <c r="C2553" i="2"/>
  <c r="O263" i="2"/>
  <c r="R2246" i="2"/>
  <c r="Q1175" i="2"/>
  <c r="J2460" i="2"/>
  <c r="N226" i="2"/>
  <c r="R220" i="2"/>
  <c r="P2669" i="2"/>
  <c r="J980" i="2"/>
  <c r="O1036" i="2"/>
  <c r="C1473" i="2"/>
  <c r="V2434" i="2"/>
  <c r="S212" i="2"/>
  <c r="K736" i="2"/>
  <c r="Q2160" i="2"/>
  <c r="G801" i="2"/>
  <c r="E1303" i="2"/>
  <c r="W430" i="2"/>
  <c r="G1192" i="2"/>
  <c r="D2433" i="2"/>
  <c r="S700" i="2"/>
  <c r="P423" i="2"/>
  <c r="D1065" i="2"/>
  <c r="R1510" i="2"/>
  <c r="J1010" i="2"/>
  <c r="L1691" i="2"/>
  <c r="P583" i="2"/>
  <c r="L1403" i="2"/>
  <c r="O1060" i="2"/>
  <c r="N116" i="2"/>
  <c r="C454" i="2"/>
  <c r="N1820" i="2"/>
  <c r="D1308" i="2"/>
  <c r="K735" i="2"/>
  <c r="V860" i="2"/>
  <c r="P2090" i="2"/>
  <c r="R249" i="2"/>
  <c r="G1491" i="2"/>
  <c r="P725" i="2"/>
  <c r="W816" i="2"/>
  <c r="C109" i="2"/>
  <c r="R2203" i="2"/>
  <c r="H252" i="2"/>
  <c r="P3127" i="2"/>
  <c r="N2485" i="2"/>
  <c r="W1195" i="2"/>
  <c r="Q1795" i="2"/>
  <c r="K728" i="2"/>
  <c r="Q2416" i="2"/>
  <c r="K457" i="2"/>
  <c r="E1724" i="2"/>
  <c r="F157" i="2"/>
  <c r="Q809" i="2"/>
  <c r="U388" i="2"/>
  <c r="T2918" i="2"/>
  <c r="N2096" i="2"/>
  <c r="K336" i="2"/>
  <c r="N1911" i="2"/>
  <c r="V1577" i="2"/>
  <c r="M2086" i="2"/>
  <c r="M180" i="2"/>
  <c r="O1596" i="2"/>
  <c r="P2701" i="2"/>
  <c r="R791" i="2"/>
  <c r="D717" i="2"/>
  <c r="D2110" i="2"/>
  <c r="S387" i="2"/>
  <c r="G2715" i="2"/>
  <c r="L542" i="2"/>
  <c r="D399" i="2"/>
  <c r="C1670" i="2"/>
  <c r="D483" i="2"/>
  <c r="U444" i="2"/>
  <c r="O1182" i="2"/>
  <c r="Q2764" i="2"/>
  <c r="F1218" i="2"/>
  <c r="R1245" i="2"/>
  <c r="D1390" i="2"/>
  <c r="G717" i="2"/>
  <c r="L605" i="2"/>
  <c r="J2014" i="2"/>
  <c r="D1874" i="2"/>
  <c r="G2872" i="2"/>
  <c r="M1886" i="2"/>
  <c r="U1742" i="2"/>
  <c r="G54" i="2"/>
  <c r="D1066" i="2"/>
  <c r="W932" i="2"/>
  <c r="J828" i="2"/>
  <c r="P904" i="2"/>
  <c r="K2123" i="2"/>
  <c r="W329" i="2"/>
  <c r="I489" i="2"/>
  <c r="C441" i="2"/>
  <c r="Q1544" i="2"/>
  <c r="F2921" i="2"/>
  <c r="L494" i="2"/>
  <c r="G2111" i="2"/>
  <c r="V538" i="2"/>
  <c r="D2889" i="2"/>
  <c r="H757" i="2"/>
  <c r="T920" i="2"/>
  <c r="G1211" i="2"/>
  <c r="F2481" i="2"/>
  <c r="W54" i="2"/>
  <c r="M1179" i="2"/>
  <c r="S866" i="2"/>
  <c r="U457" i="2"/>
  <c r="I2131" i="2"/>
  <c r="P704" i="2"/>
  <c r="S838" i="2"/>
  <c r="T769" i="2"/>
  <c r="J891" i="2"/>
  <c r="G989" i="2"/>
  <c r="I1639" i="2"/>
  <c r="P137" i="2"/>
  <c r="G91" i="2"/>
  <c r="H177" i="2"/>
  <c r="I592" i="2"/>
  <c r="H2204" i="2"/>
  <c r="M2210" i="2"/>
  <c r="L744" i="2"/>
  <c r="N1366" i="2"/>
  <c r="L1546" i="2"/>
  <c r="W565" i="2"/>
  <c r="T49" i="2"/>
  <c r="K394" i="2"/>
  <c r="E2514" i="2"/>
  <c r="P653" i="2"/>
  <c r="W1477" i="2"/>
  <c r="W1580" i="2"/>
  <c r="U1136" i="2"/>
  <c r="G1164" i="2"/>
  <c r="N1869" i="2"/>
  <c r="L2050" i="2"/>
  <c r="R883" i="2"/>
  <c r="S925" i="2"/>
  <c r="M348" i="2"/>
  <c r="J2658" i="2"/>
  <c r="P1857" i="2"/>
  <c r="J1244" i="2"/>
  <c r="S1421" i="2"/>
  <c r="O861" i="2"/>
  <c r="S785" i="2"/>
  <c r="R1062" i="2"/>
  <c r="H3080" i="2"/>
  <c r="S1534" i="2"/>
  <c r="O2572" i="2"/>
  <c r="H1323" i="2"/>
  <c r="H195" i="2"/>
  <c r="H246" i="2"/>
  <c r="U1567" i="2"/>
  <c r="S1091" i="2"/>
  <c r="D160" i="2"/>
  <c r="F403" i="2"/>
  <c r="R74" i="2"/>
  <c r="K674" i="2"/>
  <c r="C254" i="2"/>
  <c r="D470" i="2"/>
  <c r="O784" i="2"/>
  <c r="K473" i="2"/>
  <c r="V21" i="2"/>
  <c r="R2043" i="2"/>
  <c r="I1660" i="2"/>
  <c r="T1475" i="2"/>
  <c r="D1514" i="2"/>
  <c r="U755" i="2"/>
  <c r="K639" i="2"/>
  <c r="L1428" i="2"/>
  <c r="P751" i="2"/>
  <c r="L1568" i="2"/>
  <c r="V774" i="2"/>
  <c r="D155" i="2"/>
  <c r="M1737" i="2"/>
  <c r="E1618" i="2"/>
  <c r="R330" i="2"/>
  <c r="O2095" i="2"/>
  <c r="H1758" i="2"/>
  <c r="H819" i="2"/>
  <c r="N853" i="2"/>
  <c r="K923" i="2"/>
  <c r="C160" i="2"/>
  <c r="D405" i="2"/>
  <c r="C1308" i="2"/>
  <c r="F472" i="2"/>
  <c r="W1243" i="2"/>
  <c r="E763" i="2"/>
  <c r="Q548" i="2"/>
  <c r="Q2261" i="2"/>
  <c r="U695" i="2"/>
  <c r="N663" i="2"/>
  <c r="I939" i="2"/>
  <c r="C162" i="2"/>
  <c r="C1729" i="2"/>
  <c r="I2240" i="2"/>
  <c r="M1984" i="2"/>
  <c r="S89" i="2"/>
  <c r="P929" i="2"/>
  <c r="T1622" i="2"/>
  <c r="W2584" i="2"/>
  <c r="J69" i="2"/>
  <c r="V1023" i="2"/>
  <c r="I1280" i="2"/>
  <c r="O80" i="2"/>
  <c r="L217" i="2"/>
  <c r="M351" i="2"/>
  <c r="F1623" i="2"/>
  <c r="J2791" i="2"/>
  <c r="T716" i="2"/>
  <c r="S1923" i="2"/>
  <c r="M2581" i="2"/>
  <c r="Q1276" i="2"/>
  <c r="P742" i="2"/>
  <c r="T1646" i="2"/>
  <c r="K1113" i="2"/>
  <c r="V462" i="2"/>
  <c r="M1844" i="2"/>
  <c r="L32" i="2"/>
  <c r="F1843" i="2"/>
  <c r="K1935" i="2"/>
  <c r="V225" i="2"/>
  <c r="V1205" i="2"/>
  <c r="O1359" i="2"/>
  <c r="K189" i="2"/>
  <c r="S91" i="2"/>
  <c r="S1137" i="2"/>
  <c r="E440" i="2"/>
  <c r="H1273" i="2"/>
  <c r="F1890" i="2"/>
  <c r="S1505" i="2"/>
  <c r="J1628" i="2"/>
  <c r="Q1110" i="2"/>
  <c r="O1387" i="2"/>
  <c r="P2250" i="2"/>
  <c r="R776" i="2"/>
  <c r="K2872" i="2"/>
  <c r="H3276" i="2"/>
  <c r="S1122" i="2"/>
  <c r="E1322" i="2"/>
  <c r="S1611" i="2"/>
  <c r="U2543" i="2"/>
  <c r="F973" i="2"/>
  <c r="S521" i="2"/>
  <c r="O28" i="2"/>
  <c r="N1964" i="2"/>
  <c r="F1731" i="2"/>
  <c r="J1961" i="2"/>
  <c r="V2597" i="2"/>
  <c r="I134" i="2"/>
  <c r="Q2204" i="2"/>
  <c r="D2128" i="2"/>
  <c r="U37" i="2"/>
  <c r="V2803" i="2"/>
  <c r="G1484" i="2"/>
  <c r="G556" i="2"/>
  <c r="G2049" i="2"/>
  <c r="L514" i="2"/>
  <c r="G766" i="2"/>
  <c r="S328" i="2"/>
  <c r="L36" i="2"/>
  <c r="C450" i="2"/>
  <c r="S1079" i="2"/>
  <c r="E1494" i="2"/>
  <c r="J2768" i="2"/>
  <c r="C1993" i="2"/>
  <c r="I1320" i="2"/>
  <c r="V1521" i="2"/>
  <c r="M1916" i="2"/>
  <c r="W2470" i="2"/>
  <c r="I612" i="2"/>
  <c r="C714" i="2"/>
  <c r="V129" i="2"/>
  <c r="J2038" i="2"/>
  <c r="M2195" i="2"/>
  <c r="W1625" i="2"/>
  <c r="Q1077" i="2"/>
  <c r="O206" i="2"/>
  <c r="E404" i="2"/>
  <c r="E162" i="2"/>
  <c r="E1445" i="2"/>
  <c r="H226" i="2"/>
  <c r="R814" i="2"/>
  <c r="U2614" i="2"/>
  <c r="E1145" i="2"/>
  <c r="U2307" i="2"/>
  <c r="K166" i="2"/>
  <c r="C667" i="2"/>
  <c r="K1943" i="2"/>
  <c r="U413" i="2"/>
  <c r="W622" i="2"/>
  <c r="S1940" i="2"/>
  <c r="F1097" i="2"/>
  <c r="C5" i="2"/>
  <c r="T79" i="2"/>
  <c r="M2526" i="2"/>
  <c r="T159" i="2"/>
  <c r="C1711" i="2"/>
  <c r="O2037" i="2"/>
  <c r="E99" i="2"/>
  <c r="G244" i="2"/>
  <c r="Q325" i="2"/>
  <c r="C1378" i="2"/>
  <c r="T938" i="2"/>
  <c r="W1129" i="2"/>
  <c r="H1721" i="2"/>
  <c r="T679" i="2"/>
  <c r="I271" i="2"/>
  <c r="V1266" i="2"/>
  <c r="M2243" i="2"/>
  <c r="E768" i="2"/>
  <c r="N807" i="2"/>
  <c r="T118" i="2"/>
  <c r="U2536" i="2"/>
  <c r="S385" i="2"/>
  <c r="N1827" i="2"/>
  <c r="F504" i="2"/>
  <c r="T1625" i="2"/>
  <c r="P693" i="2"/>
  <c r="S983" i="2"/>
  <c r="H1685" i="2"/>
  <c r="I392" i="2"/>
  <c r="E720" i="2"/>
  <c r="J747" i="2"/>
  <c r="T2679" i="2"/>
  <c r="V173" i="2"/>
  <c r="Q2274" i="2"/>
  <c r="H936" i="2"/>
  <c r="E2785" i="2"/>
  <c r="M81" i="2"/>
  <c r="O45" i="2"/>
  <c r="M711" i="2"/>
  <c r="R241" i="2"/>
  <c r="G783" i="2"/>
  <c r="R1529" i="2"/>
  <c r="S3111" i="2"/>
  <c r="M2631" i="2"/>
  <c r="W3336" i="2"/>
  <c r="K2380" i="2"/>
  <c r="P30" i="2"/>
  <c r="N2018" i="2"/>
  <c r="Q137" i="2"/>
  <c r="M2122" i="2"/>
  <c r="T2130" i="2"/>
  <c r="I944" i="2"/>
  <c r="Q2279" i="2"/>
  <c r="D97" i="2"/>
  <c r="T1651" i="2"/>
  <c r="V97" i="2"/>
  <c r="S579" i="2"/>
  <c r="D1666" i="2"/>
  <c r="W21" i="2"/>
  <c r="P930" i="2"/>
  <c r="E1917" i="2"/>
  <c r="W240" i="2"/>
  <c r="W1327" i="2"/>
  <c r="U2150" i="2"/>
  <c r="W754" i="2"/>
  <c r="W1738" i="2"/>
  <c r="P902" i="2"/>
  <c r="Q250" i="2"/>
  <c r="L666" i="2"/>
  <c r="C29" i="2"/>
  <c r="G3489" i="2"/>
  <c r="Q496" i="2"/>
  <c r="T74" i="2"/>
  <c r="N2187" i="2"/>
  <c r="V796" i="2"/>
  <c r="R2788" i="2"/>
  <c r="T1557" i="2"/>
  <c r="C1230" i="2"/>
  <c r="H413" i="2"/>
  <c r="I1916" i="2"/>
  <c r="D676" i="2"/>
  <c r="W1302" i="2"/>
  <c r="T787" i="2"/>
  <c r="J1891" i="2"/>
  <c r="I1467" i="2"/>
  <c r="H695" i="2"/>
  <c r="P1622" i="2"/>
  <c r="C1306" i="2"/>
  <c r="G2830" i="2"/>
  <c r="U500" i="2"/>
  <c r="D269" i="2"/>
  <c r="C712" i="2"/>
  <c r="G44" i="2"/>
  <c r="W2615" i="2"/>
  <c r="H2009" i="2"/>
  <c r="Q1392" i="2"/>
  <c r="R511" i="2"/>
  <c r="F2635" i="2"/>
  <c r="Q116" i="2"/>
  <c r="T1704" i="2"/>
  <c r="L1847" i="2"/>
  <c r="L427" i="2"/>
  <c r="E835" i="2"/>
  <c r="D1209" i="2"/>
  <c r="U133" i="2"/>
  <c r="S2850" i="2"/>
  <c r="N392" i="2"/>
  <c r="F2937" i="2"/>
  <c r="H1008" i="2"/>
  <c r="O2361" i="2"/>
  <c r="W869" i="2"/>
  <c r="V1924" i="2"/>
  <c r="F1235" i="2"/>
  <c r="G1610" i="2"/>
  <c r="E2138" i="2"/>
  <c r="E1396" i="2"/>
  <c r="W1434" i="2"/>
  <c r="W1094" i="2"/>
  <c r="J2715" i="2"/>
  <c r="E1054" i="2"/>
  <c r="W870" i="2"/>
  <c r="T577" i="2"/>
  <c r="F620" i="2"/>
  <c r="M528" i="2"/>
  <c r="Q1908" i="2"/>
  <c r="U1672" i="2"/>
  <c r="I3105" i="2"/>
  <c r="J2745" i="2"/>
  <c r="J849" i="2"/>
  <c r="P2122" i="2"/>
  <c r="S3210" i="2"/>
  <c r="T1848" i="2"/>
  <c r="U1462" i="2"/>
  <c r="I1311" i="2"/>
  <c r="M2358" i="2"/>
  <c r="H514" i="2"/>
  <c r="H467" i="2"/>
  <c r="N1926" i="2"/>
  <c r="N659" i="2"/>
  <c r="V454" i="2"/>
  <c r="F1988" i="2"/>
  <c r="W678" i="2"/>
  <c r="V636" i="2"/>
  <c r="U704" i="2"/>
  <c r="H832" i="2"/>
  <c r="V2551" i="2"/>
  <c r="J353" i="2"/>
  <c r="E1158" i="2"/>
  <c r="P1133" i="2"/>
  <c r="R904" i="2"/>
  <c r="P1482" i="2"/>
  <c r="N1349" i="2"/>
  <c r="N430" i="2"/>
  <c r="M970" i="2"/>
  <c r="I593" i="2"/>
  <c r="R1239" i="2"/>
  <c r="H1686" i="2"/>
  <c r="F843" i="2"/>
  <c r="M456" i="2"/>
  <c r="V663" i="2"/>
  <c r="V1110" i="2"/>
  <c r="G2471" i="2"/>
  <c r="F195" i="2"/>
  <c r="L526" i="2"/>
  <c r="C1303" i="2"/>
  <c r="D707" i="2"/>
  <c r="D23" i="2"/>
  <c r="M41" i="2"/>
  <c r="Q2685" i="2"/>
  <c r="M1228" i="2"/>
  <c r="P2356" i="2"/>
  <c r="H2105" i="2"/>
  <c r="T1534" i="2"/>
  <c r="H1119" i="2"/>
  <c r="E2530" i="2"/>
  <c r="G1266" i="2"/>
  <c r="V2069" i="2"/>
  <c r="N280" i="2"/>
  <c r="C1939" i="2"/>
  <c r="Q644" i="2"/>
  <c r="R1832" i="2"/>
  <c r="Q1395" i="2"/>
  <c r="V1097" i="2"/>
  <c r="N391" i="2"/>
  <c r="D1803" i="2"/>
  <c r="O171" i="2"/>
  <c r="F3369" i="2"/>
  <c r="I1860" i="2"/>
  <c r="P197" i="2"/>
  <c r="V1045" i="2"/>
  <c r="V1053" i="2"/>
  <c r="D267" i="2"/>
  <c r="F2614" i="2"/>
  <c r="P245" i="2"/>
  <c r="P1257" i="2"/>
  <c r="P1001" i="2"/>
  <c r="G913" i="2"/>
  <c r="J1336" i="2"/>
  <c r="S1381" i="2"/>
  <c r="G413" i="2"/>
  <c r="W1015" i="2"/>
  <c r="N194" i="2"/>
  <c r="D1323" i="2"/>
  <c r="Q38" i="2"/>
  <c r="G1955" i="2"/>
  <c r="N631" i="2"/>
  <c r="D1675" i="2"/>
  <c r="T244" i="2"/>
  <c r="G941" i="2"/>
  <c r="F546" i="2"/>
  <c r="K1297" i="2"/>
  <c r="W360" i="2"/>
  <c r="K1783" i="2"/>
  <c r="F1489" i="2"/>
  <c r="H568" i="2"/>
  <c r="R1875" i="2"/>
  <c r="W2190" i="2"/>
  <c r="F1744" i="2"/>
  <c r="R66" i="2"/>
  <c r="Q1973" i="2"/>
  <c r="C1758" i="2"/>
  <c r="U791" i="2"/>
  <c r="J2110" i="2"/>
  <c r="S1878" i="2"/>
  <c r="M540" i="2"/>
  <c r="P1033" i="2"/>
  <c r="R729" i="2"/>
  <c r="P748" i="2"/>
  <c r="P2118" i="2"/>
  <c r="R1860" i="2"/>
  <c r="J2686" i="2"/>
  <c r="Q1040" i="2"/>
  <c r="N3226" i="2"/>
  <c r="H517" i="2"/>
  <c r="P567" i="2"/>
  <c r="W383" i="2"/>
  <c r="G622" i="2"/>
  <c r="D763" i="2"/>
  <c r="Q1238" i="2"/>
  <c r="F1085" i="2"/>
  <c r="L248" i="2"/>
  <c r="R260" i="2"/>
  <c r="Q601" i="2"/>
  <c r="I498" i="2"/>
  <c r="J1723" i="2"/>
  <c r="H932" i="2"/>
  <c r="Q1157" i="2"/>
  <c r="Q2282" i="2"/>
  <c r="I2082" i="2"/>
  <c r="E1581" i="2"/>
  <c r="G274" i="2"/>
  <c r="V627" i="2"/>
  <c r="K547" i="2"/>
  <c r="V638" i="2"/>
  <c r="P1420" i="2"/>
  <c r="J1863" i="2"/>
  <c r="M660" i="2"/>
  <c r="R1392" i="2"/>
  <c r="W1379" i="2"/>
  <c r="E1122" i="2"/>
  <c r="L211" i="2"/>
  <c r="M801" i="2"/>
  <c r="I806" i="2"/>
  <c r="J1918" i="2"/>
  <c r="Q1471" i="2"/>
  <c r="T2029" i="2"/>
  <c r="V296" i="2"/>
  <c r="O3011" i="2"/>
  <c r="R1802" i="2"/>
  <c r="V2997" i="2"/>
  <c r="I225" i="2"/>
  <c r="K2443" i="2"/>
  <c r="N888" i="2"/>
  <c r="V2746" i="2"/>
  <c r="M1867" i="2"/>
  <c r="R1866" i="2"/>
  <c r="O2325" i="2"/>
  <c r="C1141" i="2"/>
  <c r="K1900" i="2"/>
  <c r="E1281" i="2"/>
  <c r="P661" i="2"/>
  <c r="M400" i="2"/>
  <c r="T1060" i="2"/>
  <c r="T1896" i="2"/>
  <c r="S261" i="2"/>
  <c r="W1838" i="2"/>
  <c r="Q803" i="2"/>
  <c r="O2201" i="2"/>
  <c r="D547" i="2"/>
  <c r="S311" i="2"/>
  <c r="U2910" i="2"/>
  <c r="J723" i="2"/>
  <c r="V1827" i="2"/>
  <c r="M866" i="2"/>
  <c r="D2472" i="2"/>
  <c r="K3324" i="2"/>
  <c r="O550" i="2"/>
  <c r="K1914" i="2"/>
  <c r="F326" i="2"/>
  <c r="W669" i="2"/>
  <c r="W1411" i="2"/>
  <c r="I1416" i="2"/>
  <c r="H582" i="2"/>
  <c r="S1223" i="2"/>
  <c r="D521" i="2"/>
  <c r="L347" i="2"/>
  <c r="C1829" i="2"/>
  <c r="M1386" i="2"/>
  <c r="I199" i="2"/>
  <c r="D1373" i="2"/>
  <c r="E110" i="2"/>
  <c r="N666" i="2"/>
  <c r="L1320" i="2"/>
  <c r="L445" i="2"/>
  <c r="G398" i="2"/>
  <c r="K2054" i="2"/>
  <c r="S324" i="2"/>
  <c r="R405" i="2"/>
  <c r="H924" i="2"/>
  <c r="G1250" i="2"/>
  <c r="M298" i="2"/>
  <c r="C983" i="2"/>
  <c r="C2199" i="2"/>
  <c r="M1495" i="2"/>
  <c r="F1472" i="2"/>
  <c r="S1717" i="2"/>
  <c r="G1444" i="2"/>
  <c r="S1150" i="2"/>
  <c r="V367" i="2"/>
  <c r="P465" i="2"/>
  <c r="R816" i="2"/>
  <c r="V2652" i="2"/>
  <c r="N2111" i="2"/>
  <c r="S799" i="2"/>
  <c r="M1021" i="2"/>
  <c r="J593" i="2"/>
  <c r="T880" i="2"/>
  <c r="U2904" i="2"/>
  <c r="O1420" i="2"/>
  <c r="C224" i="2"/>
  <c r="S2244" i="2"/>
  <c r="S18" i="2"/>
  <c r="T746" i="2"/>
  <c r="H944" i="2"/>
  <c r="H2080" i="2"/>
  <c r="D1618" i="2"/>
  <c r="O2420" i="2"/>
  <c r="P302" i="2"/>
  <c r="M1696" i="2"/>
  <c r="V371" i="2"/>
  <c r="L503" i="2"/>
  <c r="S530" i="2"/>
  <c r="D93" i="2"/>
  <c r="F1746" i="2"/>
  <c r="E2589" i="2"/>
  <c r="O202" i="2"/>
  <c r="M2371" i="2"/>
  <c r="J324" i="2"/>
  <c r="J26" i="2"/>
  <c r="O1141" i="2"/>
  <c r="F537" i="2"/>
  <c r="M2044" i="2"/>
  <c r="D2078" i="2"/>
  <c r="R2199" i="2"/>
  <c r="L255" i="2"/>
  <c r="O15" i="2"/>
  <c r="P1590" i="2"/>
  <c r="Q852" i="2"/>
  <c r="G527" i="2"/>
  <c r="M2284" i="2"/>
  <c r="E765" i="2"/>
  <c r="U212" i="2"/>
  <c r="G2992" i="2"/>
  <c r="D1698" i="2"/>
  <c r="K2339" i="2"/>
  <c r="N1200" i="2"/>
  <c r="S2104" i="2"/>
  <c r="H1765" i="2"/>
  <c r="H3387" i="2"/>
  <c r="H645" i="2"/>
  <c r="D189" i="2"/>
  <c r="E2369" i="2"/>
  <c r="D467" i="2"/>
  <c r="I1173" i="2"/>
  <c r="Q1114" i="2"/>
  <c r="F2363" i="2"/>
  <c r="J193" i="2"/>
  <c r="F1055" i="2"/>
  <c r="R338" i="2"/>
  <c r="F1550" i="2"/>
  <c r="T1401" i="2"/>
  <c r="M752" i="2"/>
  <c r="W1457" i="2"/>
  <c r="M1829" i="2"/>
  <c r="J1030" i="2"/>
  <c r="J262" i="2"/>
  <c r="C291" i="2"/>
  <c r="F1803" i="2"/>
  <c r="L1347" i="2"/>
  <c r="I846" i="2"/>
  <c r="K1238" i="2"/>
  <c r="L2045" i="2"/>
  <c r="Q1498" i="2"/>
  <c r="P1489" i="2"/>
  <c r="F1263" i="2"/>
  <c r="O1289" i="2"/>
  <c r="N87" i="2"/>
  <c r="L1168" i="2"/>
  <c r="R2028" i="2"/>
  <c r="K295" i="2"/>
  <c r="M1182" i="2"/>
  <c r="L2770" i="2"/>
  <c r="J302" i="2"/>
  <c r="L809" i="2"/>
  <c r="N1791" i="2"/>
  <c r="K934" i="2"/>
  <c r="V204" i="2"/>
  <c r="E328" i="2"/>
  <c r="M1627" i="2"/>
  <c r="J866" i="2"/>
  <c r="I34" i="2"/>
  <c r="V607" i="2"/>
  <c r="L558" i="2"/>
  <c r="M1756" i="2"/>
  <c r="G458" i="2"/>
  <c r="C459" i="2"/>
  <c r="G1131" i="2"/>
  <c r="R248" i="2"/>
  <c r="M690" i="2"/>
  <c r="L1161" i="2"/>
  <c r="P1843" i="2"/>
  <c r="C729" i="2"/>
  <c r="L1595" i="2"/>
  <c r="N1253" i="2"/>
  <c r="L593" i="2"/>
  <c r="J149" i="2"/>
  <c r="H1335" i="2"/>
  <c r="N2438" i="2"/>
  <c r="Q1109" i="2"/>
  <c r="N987" i="2"/>
  <c r="R2902" i="2"/>
  <c r="E2703" i="2"/>
  <c r="W450" i="2"/>
  <c r="L698" i="2"/>
  <c r="N1481" i="2"/>
  <c r="V2101" i="2"/>
  <c r="W1855" i="2"/>
  <c r="H1713" i="2"/>
  <c r="N1935" i="2"/>
  <c r="G2188" i="2"/>
  <c r="R1689" i="2"/>
  <c r="P1031" i="2"/>
  <c r="R1378" i="2"/>
  <c r="J1842" i="2"/>
  <c r="W789" i="2"/>
  <c r="S1628" i="2"/>
  <c r="L1467" i="2"/>
  <c r="R1955" i="2"/>
  <c r="F1166" i="2"/>
  <c r="G310" i="2"/>
  <c r="F1424" i="2"/>
  <c r="D2452" i="2"/>
  <c r="C886" i="2"/>
  <c r="C2949" i="2"/>
  <c r="E2041" i="2"/>
  <c r="J274" i="2"/>
  <c r="H143" i="2"/>
  <c r="R2560" i="2"/>
  <c r="Q1405" i="2"/>
  <c r="I647" i="2"/>
  <c r="V2565" i="2"/>
  <c r="V1130" i="2"/>
  <c r="K845" i="2"/>
  <c r="G1163" i="2"/>
  <c r="J1150" i="2"/>
  <c r="C2835" i="2"/>
  <c r="N1475" i="2"/>
  <c r="T285" i="2"/>
  <c r="Q2556" i="2"/>
  <c r="L719" i="2"/>
  <c r="S1568" i="2"/>
  <c r="D538" i="2"/>
  <c r="L65" i="2"/>
  <c r="O935" i="2"/>
  <c r="I139" i="2"/>
  <c r="T983" i="2"/>
  <c r="T1103" i="2"/>
  <c r="C105" i="2"/>
  <c r="P2099" i="2"/>
  <c r="I2422" i="2"/>
  <c r="I975" i="2"/>
  <c r="V1174" i="2"/>
  <c r="C165" i="2"/>
  <c r="C1235" i="2"/>
  <c r="D1828" i="2"/>
  <c r="N1237" i="2"/>
  <c r="Q1104" i="2"/>
  <c r="L1774" i="2"/>
  <c r="U929" i="2"/>
  <c r="H2279" i="2"/>
  <c r="I209" i="2"/>
  <c r="K558" i="2"/>
  <c r="H171" i="2"/>
  <c r="E987" i="2"/>
  <c r="G2678" i="2"/>
  <c r="K1040" i="2"/>
  <c r="K651" i="2"/>
  <c r="G1308" i="2"/>
  <c r="D2108" i="2"/>
  <c r="I1324" i="2"/>
  <c r="S211" i="2"/>
  <c r="C1168" i="2"/>
  <c r="R1010" i="2"/>
  <c r="S1350" i="2"/>
  <c r="R1655" i="2"/>
  <c r="O722" i="2"/>
  <c r="H3535" i="2"/>
  <c r="V1291" i="2"/>
  <c r="I2450" i="2"/>
  <c r="U241" i="2"/>
  <c r="G1478" i="2"/>
  <c r="L377" i="2"/>
  <c r="W2311" i="2"/>
  <c r="F1169" i="2"/>
  <c r="K1580" i="2"/>
  <c r="U554" i="2"/>
  <c r="F1477" i="2"/>
  <c r="F1287" i="2"/>
  <c r="C878" i="2"/>
  <c r="W666" i="2"/>
  <c r="K1476" i="2"/>
  <c r="O2291" i="2"/>
  <c r="F946" i="2"/>
  <c r="C1886" i="2"/>
  <c r="F628" i="2"/>
  <c r="S95" i="2"/>
  <c r="V2040" i="2"/>
  <c r="L3046" i="2"/>
  <c r="J978" i="2"/>
  <c r="U1661" i="2"/>
  <c r="E1481" i="2"/>
  <c r="K478" i="2"/>
  <c r="O1209" i="2"/>
  <c r="C587" i="2"/>
  <c r="J1729" i="2"/>
  <c r="L2336" i="2"/>
  <c r="P2453" i="2"/>
  <c r="E1105" i="2"/>
  <c r="I590" i="2"/>
  <c r="H1411" i="2"/>
  <c r="L1366" i="2"/>
  <c r="U516" i="2"/>
  <c r="R57" i="2"/>
  <c r="C632" i="2"/>
  <c r="K1298" i="2"/>
  <c r="Q1400" i="2"/>
  <c r="M2169" i="2"/>
  <c r="K634" i="2"/>
  <c r="T340" i="2"/>
  <c r="J2313" i="2"/>
  <c r="K16" i="2"/>
  <c r="S770" i="2"/>
  <c r="U1781" i="2"/>
  <c r="H3" i="2"/>
  <c r="Q235" i="2"/>
  <c r="H2190" i="2"/>
  <c r="G1249" i="2"/>
  <c r="P573" i="2"/>
  <c r="H815" i="2"/>
  <c r="J423" i="2"/>
  <c r="E2055" i="2"/>
  <c r="R709" i="2"/>
  <c r="S1379" i="2"/>
  <c r="P248" i="2"/>
  <c r="M2912" i="2"/>
  <c r="T183" i="2"/>
  <c r="Q3238" i="2"/>
  <c r="T1285" i="2"/>
  <c r="D176" i="2"/>
  <c r="F2281" i="2"/>
  <c r="D522" i="2"/>
  <c r="W571" i="2"/>
  <c r="M2708" i="2"/>
  <c r="Q1268" i="2"/>
  <c r="L1927" i="2"/>
  <c r="C39" i="2"/>
  <c r="D12" i="2"/>
  <c r="T232" i="2"/>
  <c r="E275" i="2"/>
  <c r="Q105" i="2"/>
  <c r="Q729" i="2"/>
  <c r="L1330" i="2"/>
  <c r="G118" i="2"/>
  <c r="S1115" i="2"/>
  <c r="W598" i="2"/>
  <c r="W1381" i="2"/>
  <c r="D307" i="2"/>
  <c r="R1748" i="2"/>
  <c r="V1417" i="2"/>
  <c r="P721" i="2"/>
  <c r="M2163" i="2"/>
  <c r="G1792" i="2"/>
  <c r="E1016" i="2"/>
  <c r="Q498" i="2"/>
  <c r="P314" i="2"/>
  <c r="Q636" i="2"/>
  <c r="D944" i="2"/>
  <c r="N2516" i="2"/>
  <c r="M1069" i="2"/>
  <c r="F2298" i="2"/>
  <c r="N1427" i="2"/>
  <c r="P2020" i="2"/>
  <c r="C2492" i="2"/>
  <c r="J2236" i="2"/>
  <c r="S1912" i="2"/>
  <c r="E488" i="2"/>
  <c r="J3150" i="2"/>
  <c r="U1366" i="2"/>
  <c r="F714" i="2"/>
  <c r="E2133" i="2"/>
  <c r="K2599" i="2"/>
  <c r="J986" i="2"/>
  <c r="S690" i="2"/>
  <c r="G1202" i="2"/>
  <c r="H1803" i="2"/>
  <c r="L173" i="2"/>
  <c r="U994" i="2"/>
  <c r="H2397" i="2"/>
  <c r="F509" i="2"/>
  <c r="S909" i="2"/>
  <c r="P557" i="2"/>
  <c r="N611" i="2"/>
  <c r="K1233" i="2"/>
  <c r="I46" i="2"/>
  <c r="W1221" i="2"/>
  <c r="U213" i="2"/>
  <c r="F297" i="2"/>
  <c r="T1655" i="2"/>
  <c r="H927" i="2"/>
  <c r="U87" i="2"/>
  <c r="N1142" i="2"/>
  <c r="V1382" i="2"/>
  <c r="M343" i="2"/>
  <c r="C1655" i="2"/>
  <c r="N1180" i="2"/>
  <c r="S506" i="2"/>
  <c r="Q2540" i="2"/>
  <c r="W2259" i="2"/>
  <c r="E2190" i="2"/>
  <c r="D28" i="2"/>
  <c r="H111" i="2"/>
  <c r="V327" i="2"/>
  <c r="S2765" i="2"/>
  <c r="P996" i="2"/>
  <c r="Q1964" i="2"/>
  <c r="J788" i="2"/>
  <c r="H619" i="2"/>
  <c r="W1717" i="2"/>
  <c r="T337" i="2"/>
  <c r="P315" i="2"/>
  <c r="Q21" i="2"/>
  <c r="M1539" i="2"/>
  <c r="W1476" i="2"/>
  <c r="U1236" i="2"/>
  <c r="H286" i="2"/>
  <c r="C352" i="2"/>
  <c r="L123" i="2"/>
  <c r="L2905" i="2"/>
  <c r="G521" i="2"/>
  <c r="W424" i="2"/>
  <c r="S2561" i="2"/>
  <c r="J190" i="2"/>
  <c r="H1414" i="2"/>
  <c r="I236" i="2"/>
  <c r="O3042" i="2"/>
  <c r="M2222" i="2"/>
  <c r="K2043" i="2"/>
  <c r="H57" i="2"/>
  <c r="V70" i="2"/>
  <c r="N1906" i="2"/>
  <c r="Q510" i="2"/>
  <c r="W968" i="2"/>
  <c r="Q1144" i="2"/>
  <c r="E44" i="2"/>
  <c r="U2028" i="2"/>
  <c r="H2133" i="2"/>
  <c r="I166" i="2"/>
  <c r="R2142" i="2"/>
  <c r="J705" i="2"/>
  <c r="T459" i="2"/>
  <c r="L2659" i="2"/>
  <c r="Q1131" i="2"/>
  <c r="Q351" i="2"/>
  <c r="K2654" i="2"/>
  <c r="V2357" i="2"/>
  <c r="C1641" i="2"/>
  <c r="M559" i="2"/>
  <c r="P699" i="2"/>
  <c r="H2982" i="2"/>
  <c r="C592" i="2"/>
  <c r="P879" i="2"/>
  <c r="Q1527" i="2"/>
  <c r="I1070" i="2"/>
  <c r="J2637" i="2"/>
  <c r="Q2838" i="2"/>
  <c r="G2073" i="2"/>
  <c r="S2973" i="2"/>
  <c r="W958" i="2"/>
  <c r="N503" i="2"/>
  <c r="L517" i="2"/>
  <c r="S1298" i="2"/>
  <c r="F556" i="2"/>
  <c r="I369" i="2"/>
  <c r="N2740" i="2"/>
  <c r="R862" i="2"/>
  <c r="T102" i="2"/>
  <c r="F874" i="2"/>
  <c r="F248" i="2"/>
  <c r="S1086" i="2"/>
  <c r="C1481" i="2"/>
  <c r="P1990" i="2"/>
  <c r="O876" i="2"/>
  <c r="W624" i="2"/>
  <c r="S23" i="2"/>
  <c r="E166" i="2"/>
  <c r="Q2175" i="2"/>
  <c r="K1424" i="2"/>
  <c r="E191" i="2"/>
  <c r="K959" i="2"/>
  <c r="T226" i="2"/>
  <c r="C236" i="2"/>
  <c r="M19" i="2"/>
  <c r="P2041" i="2"/>
  <c r="V98" i="2"/>
  <c r="F1760" i="2"/>
  <c r="F918" i="2"/>
  <c r="W549" i="2"/>
  <c r="M515" i="2"/>
  <c r="I609" i="2"/>
  <c r="J1220" i="2"/>
  <c r="P2747" i="2"/>
  <c r="E2448" i="2"/>
  <c r="L2492" i="2"/>
  <c r="C1349" i="2"/>
  <c r="F265" i="2"/>
  <c r="S876" i="2"/>
  <c r="F459" i="2"/>
  <c r="L755" i="2"/>
  <c r="V285" i="2"/>
  <c r="R804" i="2"/>
  <c r="N916" i="2"/>
  <c r="L986" i="2"/>
  <c r="F1478" i="2"/>
  <c r="I1139" i="2"/>
  <c r="I1179" i="2"/>
  <c r="W140" i="2"/>
  <c r="V1554" i="2"/>
  <c r="R410" i="2"/>
  <c r="W1957" i="2"/>
  <c r="U1040" i="2"/>
  <c r="M2282" i="2"/>
  <c r="C1046" i="2"/>
  <c r="C1957" i="2"/>
  <c r="N2420" i="2"/>
  <c r="Q1557" i="2"/>
  <c r="U513" i="2"/>
  <c r="U819" i="2"/>
  <c r="R118" i="2"/>
  <c r="G587" i="2"/>
  <c r="Q458" i="2"/>
  <c r="T939" i="2"/>
  <c r="Q1918" i="2"/>
  <c r="S2174" i="2"/>
  <c r="R67" i="2"/>
  <c r="P319" i="2"/>
  <c r="E2087" i="2"/>
  <c r="M55" i="2"/>
  <c r="Q1554" i="2"/>
  <c r="U1291" i="2"/>
  <c r="S988" i="2"/>
  <c r="M252" i="2"/>
  <c r="S1014" i="2"/>
  <c r="R1984" i="2"/>
  <c r="K1342" i="2"/>
  <c r="Q842" i="2"/>
  <c r="Q1835" i="2"/>
  <c r="J1102" i="2"/>
  <c r="Q1961" i="2"/>
  <c r="V1853" i="2"/>
  <c r="I743" i="2"/>
  <c r="V1286" i="2"/>
  <c r="L2724" i="2"/>
  <c r="R571" i="2"/>
  <c r="V2018" i="2"/>
  <c r="P2907" i="2"/>
  <c r="Q615" i="2"/>
  <c r="N111" i="2"/>
  <c r="G405" i="2"/>
  <c r="M673" i="2"/>
  <c r="D575" i="2"/>
  <c r="M2503" i="2"/>
  <c r="W1113" i="2"/>
  <c r="M1837" i="2"/>
  <c r="Q1917" i="2"/>
  <c r="W455" i="2"/>
  <c r="S2472" i="2"/>
  <c r="P422" i="2"/>
  <c r="E2258" i="2"/>
  <c r="H387" i="2"/>
  <c r="K1096" i="2"/>
  <c r="N2337" i="2"/>
  <c r="R47" i="2"/>
  <c r="D1869" i="2"/>
  <c r="T33" i="2"/>
  <c r="D290" i="2"/>
  <c r="I466" i="2"/>
  <c r="E3210" i="2"/>
  <c r="M2763" i="2"/>
  <c r="O669" i="2"/>
  <c r="E2370" i="2"/>
  <c r="W352" i="2"/>
  <c r="D596" i="2"/>
  <c r="U734" i="2"/>
  <c r="F1292" i="2"/>
  <c r="V386" i="2"/>
  <c r="U365" i="2"/>
  <c r="M1036" i="2"/>
  <c r="T2698" i="2"/>
  <c r="N1145" i="2"/>
  <c r="W270" i="2"/>
  <c r="G706" i="2"/>
  <c r="D1556" i="2"/>
  <c r="J452" i="2"/>
  <c r="K2180" i="2"/>
  <c r="R2465" i="2"/>
  <c r="P192" i="2"/>
  <c r="L1743" i="2"/>
  <c r="K1324" i="2"/>
  <c r="P147" i="2"/>
  <c r="K1704" i="2"/>
  <c r="E996" i="2"/>
  <c r="R1688" i="2"/>
  <c r="W1042" i="2"/>
  <c r="F581" i="2"/>
  <c r="P1424" i="2"/>
  <c r="L552" i="2"/>
  <c r="Q1140" i="2"/>
  <c r="S518" i="2"/>
  <c r="P2532" i="2"/>
  <c r="T212" i="2"/>
  <c r="V1469" i="2"/>
  <c r="J1202" i="2"/>
  <c r="K1095" i="2"/>
  <c r="O732" i="2"/>
  <c r="I1778" i="2"/>
  <c r="I124" i="2"/>
  <c r="P215" i="2"/>
  <c r="O144" i="2"/>
  <c r="C1658" i="2"/>
  <c r="O859" i="2"/>
  <c r="O1994" i="2"/>
  <c r="F1249" i="2"/>
  <c r="U90" i="2"/>
  <c r="Q136" i="2"/>
  <c r="U1157" i="2"/>
  <c r="U321" i="2"/>
  <c r="H485" i="2"/>
  <c r="V788" i="2"/>
  <c r="J876" i="2"/>
  <c r="F1487" i="2"/>
  <c r="W1691" i="2"/>
  <c r="P829" i="2"/>
  <c r="D1055" i="2"/>
  <c r="J1655" i="2"/>
  <c r="H2056" i="2"/>
  <c r="L1463" i="2"/>
  <c r="F852" i="2"/>
  <c r="F1648" i="2"/>
  <c r="U2211" i="2"/>
  <c r="E816" i="2"/>
  <c r="D417" i="2"/>
  <c r="P2676" i="2"/>
  <c r="Q189" i="2"/>
  <c r="J852" i="2"/>
  <c r="D2275" i="2"/>
  <c r="Q1083" i="2"/>
  <c r="Q2337" i="2"/>
  <c r="N690" i="2"/>
  <c r="S438" i="2"/>
  <c r="L1861" i="2"/>
  <c r="H1277" i="2"/>
  <c r="U3063" i="2"/>
  <c r="F1062" i="2"/>
  <c r="V113" i="2"/>
  <c r="R1459" i="2"/>
  <c r="R1957" i="2"/>
  <c r="J1367" i="2"/>
  <c r="R705" i="2"/>
  <c r="S2981" i="2"/>
  <c r="P1039" i="2"/>
  <c r="N1457" i="2"/>
  <c r="N2261" i="2"/>
  <c r="H686" i="2"/>
  <c r="M317" i="2"/>
  <c r="N214" i="2"/>
  <c r="R1799" i="2"/>
  <c r="J496" i="2"/>
  <c r="V854" i="2"/>
  <c r="V48" i="2"/>
  <c r="V1403" i="2"/>
  <c r="Q2459" i="2"/>
  <c r="U2767" i="2"/>
  <c r="F1591" i="2"/>
  <c r="E179" i="2"/>
  <c r="T579" i="2"/>
  <c r="M1515" i="2"/>
  <c r="W2660" i="2"/>
  <c r="I38" i="2"/>
  <c r="Q1235" i="2"/>
  <c r="Q622" i="2"/>
  <c r="N265" i="2"/>
  <c r="V300" i="2"/>
  <c r="G1563" i="2"/>
  <c r="V2308" i="2"/>
  <c r="Q294" i="2"/>
  <c r="H1322" i="2"/>
  <c r="U1183" i="2"/>
  <c r="O1337" i="2"/>
  <c r="J41" i="2"/>
  <c r="C72" i="2"/>
  <c r="Q2845" i="2"/>
  <c r="N661" i="2"/>
  <c r="I1897" i="2"/>
  <c r="O877" i="2"/>
  <c r="J1172" i="2"/>
  <c r="I1183" i="2"/>
  <c r="R2530" i="2"/>
  <c r="R2077" i="2"/>
  <c r="N410" i="2"/>
  <c r="U1451" i="2"/>
  <c r="M1502" i="2"/>
  <c r="L2381" i="2"/>
  <c r="F938" i="2"/>
  <c r="C1229" i="2"/>
  <c r="K536" i="2"/>
  <c r="G345" i="2"/>
  <c r="P146" i="2"/>
  <c r="M755" i="2"/>
  <c r="W1345" i="2"/>
  <c r="C543" i="2"/>
  <c r="P2068" i="2"/>
  <c r="K571" i="2"/>
  <c r="V1752" i="2"/>
  <c r="O103" i="2"/>
  <c r="W410" i="2"/>
  <c r="I2574" i="2"/>
  <c r="R2559" i="2"/>
  <c r="I2004" i="2"/>
  <c r="D787" i="2"/>
  <c r="T858" i="2"/>
  <c r="J596" i="2"/>
  <c r="C1049" i="2"/>
  <c r="I2630" i="2"/>
  <c r="D1504" i="2"/>
  <c r="O1354" i="2"/>
  <c r="U2193" i="2"/>
  <c r="E134" i="2"/>
  <c r="C1028" i="2"/>
  <c r="Q1094" i="2"/>
  <c r="I121" i="2"/>
  <c r="H1592" i="2"/>
  <c r="S902" i="2"/>
  <c r="I1029" i="2"/>
  <c r="G263" i="2"/>
  <c r="T2399" i="2"/>
  <c r="H1376" i="2"/>
  <c r="E2391" i="2"/>
  <c r="W449" i="2"/>
  <c r="L1065" i="2"/>
  <c r="K673" i="2"/>
  <c r="G3110" i="2"/>
  <c r="T732" i="2"/>
  <c r="M772" i="2"/>
  <c r="R2123" i="2"/>
  <c r="P432" i="2"/>
  <c r="W2564" i="2"/>
  <c r="E455" i="2"/>
  <c r="J421" i="2"/>
  <c r="J1032" i="2"/>
  <c r="S2822" i="2"/>
  <c r="F1475" i="2"/>
  <c r="I1685" i="2"/>
  <c r="G589" i="2"/>
  <c r="D1357" i="2"/>
  <c r="C1123" i="2"/>
  <c r="E1301" i="2"/>
  <c r="S633" i="2"/>
  <c r="M2143" i="2"/>
  <c r="D1489" i="2"/>
  <c r="S1694" i="2"/>
  <c r="R342" i="2"/>
  <c r="C122" i="2"/>
  <c r="G894" i="2"/>
  <c r="V272" i="2"/>
  <c r="E247" i="2"/>
  <c r="I120" i="2"/>
  <c r="W2583" i="2"/>
  <c r="F188" i="2"/>
  <c r="U440" i="2"/>
  <c r="H1236" i="2"/>
  <c r="L1022" i="2"/>
  <c r="J1933" i="2"/>
  <c r="L286" i="2"/>
  <c r="C1752" i="2"/>
  <c r="C2920" i="2"/>
  <c r="N2551" i="2"/>
  <c r="V155" i="2"/>
  <c r="V1352" i="2"/>
  <c r="O2244" i="2"/>
  <c r="Q897" i="2"/>
  <c r="I3251" i="2"/>
  <c r="P1024" i="2"/>
  <c r="M1130" i="2"/>
  <c r="J1104" i="2"/>
  <c r="R2890" i="2"/>
  <c r="I2679" i="2"/>
  <c r="I324" i="2"/>
  <c r="D2312" i="2"/>
  <c r="F2535" i="2"/>
  <c r="V1036" i="2"/>
  <c r="M3050" i="2"/>
  <c r="N2117" i="2"/>
  <c r="L144" i="2"/>
  <c r="J641" i="2"/>
  <c r="K2379" i="2"/>
  <c r="N1128" i="2"/>
  <c r="O2239" i="2"/>
  <c r="N118" i="2"/>
  <c r="O1446" i="2"/>
  <c r="K1530" i="2"/>
  <c r="C1674" i="2"/>
  <c r="J106" i="2"/>
  <c r="T2067" i="2"/>
  <c r="L2378" i="2"/>
  <c r="U1010" i="2"/>
  <c r="R336" i="2"/>
  <c r="U1074" i="2"/>
  <c r="R491" i="2"/>
  <c r="L2532" i="2"/>
  <c r="T11" i="2"/>
  <c r="K1210" i="2"/>
  <c r="E681" i="2"/>
  <c r="Q493" i="2"/>
  <c r="Q838" i="2"/>
  <c r="W145" i="2"/>
  <c r="W894" i="2"/>
  <c r="O1190" i="2"/>
  <c r="W1076" i="2"/>
  <c r="D1706" i="2"/>
  <c r="G303" i="2"/>
  <c r="S1375" i="2"/>
  <c r="S1036" i="2"/>
  <c r="S880" i="2"/>
  <c r="L2064" i="2"/>
  <c r="P980" i="2"/>
  <c r="Q1840" i="2"/>
  <c r="Q1432" i="2"/>
  <c r="O673" i="2"/>
  <c r="K1427" i="2"/>
  <c r="F2810" i="2"/>
  <c r="V2087" i="2"/>
  <c r="H2248" i="2"/>
  <c r="E1353" i="2"/>
  <c r="T863" i="2"/>
  <c r="P123" i="2"/>
  <c r="P595" i="2"/>
  <c r="K2068" i="2"/>
  <c r="T8" i="2"/>
  <c r="H1427" i="2"/>
  <c r="V1724" i="2"/>
  <c r="G1230" i="2"/>
  <c r="C937" i="2"/>
  <c r="U702" i="2"/>
  <c r="U491" i="2"/>
  <c r="W1468" i="2"/>
  <c r="W38" i="2"/>
  <c r="U789" i="2"/>
  <c r="Q581" i="2"/>
  <c r="S911" i="2"/>
  <c r="K32" i="2"/>
  <c r="T1506" i="2"/>
  <c r="P2452" i="2"/>
  <c r="W194" i="2"/>
  <c r="D661" i="2"/>
  <c r="E215" i="2"/>
  <c r="M1912" i="2"/>
  <c r="J393" i="2"/>
  <c r="Q697" i="2"/>
  <c r="R2184" i="2"/>
  <c r="D407" i="2"/>
  <c r="I3232" i="2"/>
  <c r="I3078" i="2"/>
  <c r="D1303" i="2"/>
  <c r="N310" i="2"/>
  <c r="W2225" i="2"/>
  <c r="N1024" i="2"/>
  <c r="E2152" i="2"/>
  <c r="M48" i="2"/>
  <c r="S1178" i="2"/>
  <c r="O2183" i="2"/>
  <c r="G1099" i="2"/>
  <c r="S1255" i="2"/>
  <c r="F3083" i="2"/>
  <c r="Q887" i="2"/>
  <c r="U2189" i="2"/>
  <c r="C478" i="2"/>
  <c r="C1062" i="2"/>
  <c r="M678" i="2"/>
  <c r="U1077" i="2"/>
  <c r="U485" i="2"/>
  <c r="I387" i="2"/>
  <c r="U16" i="2"/>
  <c r="G97" i="2"/>
  <c r="J3042" i="2"/>
  <c r="T388" i="2"/>
  <c r="O649" i="2"/>
  <c r="W2257" i="2"/>
  <c r="V206" i="2"/>
  <c r="T1922" i="2"/>
  <c r="I425" i="2"/>
  <c r="D1188" i="2"/>
  <c r="W1763" i="2"/>
  <c r="I73" i="2"/>
  <c r="P918" i="2"/>
  <c r="L1519" i="2"/>
  <c r="E60" i="2"/>
  <c r="N2029" i="2"/>
  <c r="O1303" i="2"/>
  <c r="S569" i="2"/>
  <c r="L681" i="2"/>
  <c r="N1691" i="2"/>
  <c r="R2482" i="2"/>
  <c r="L581" i="2"/>
  <c r="E663" i="2"/>
  <c r="I725" i="2"/>
  <c r="M795" i="2"/>
  <c r="P914" i="2"/>
  <c r="H175" i="2"/>
  <c r="I802" i="2"/>
  <c r="K424" i="2"/>
  <c r="J561" i="2"/>
  <c r="C2170" i="2"/>
  <c r="T1077" i="2"/>
  <c r="U1826" i="2"/>
  <c r="P624" i="2"/>
  <c r="I181" i="2"/>
  <c r="T2011" i="2"/>
  <c r="H1920" i="2"/>
  <c r="J1925" i="2"/>
  <c r="G260" i="2"/>
  <c r="K2080" i="2"/>
  <c r="G2394" i="2"/>
  <c r="R1336" i="2"/>
  <c r="V77" i="2"/>
  <c r="U670" i="2"/>
  <c r="J667" i="2"/>
  <c r="H2145" i="2"/>
  <c r="N764" i="2"/>
  <c r="D641" i="2"/>
  <c r="G1576" i="2"/>
  <c r="T1585" i="2"/>
  <c r="F687" i="2"/>
  <c r="W2233" i="2"/>
  <c r="C948" i="2"/>
  <c r="K1568" i="2"/>
  <c r="F956" i="2"/>
  <c r="O1675" i="2"/>
  <c r="T1702" i="2"/>
  <c r="K369" i="2"/>
  <c r="C1575" i="2"/>
  <c r="J995" i="2"/>
  <c r="S1419" i="2"/>
  <c r="G235" i="2"/>
  <c r="J389" i="2"/>
  <c r="P303" i="2"/>
  <c r="L1679" i="2"/>
  <c r="S186" i="2"/>
  <c r="H977" i="2"/>
  <c r="R1171" i="2"/>
  <c r="K1118" i="2"/>
  <c r="L2036" i="2"/>
  <c r="K1765" i="2"/>
  <c r="F413" i="2"/>
  <c r="H536" i="2"/>
  <c r="R3408" i="2"/>
  <c r="U876" i="2"/>
  <c r="S1798" i="2"/>
  <c r="V187" i="2"/>
  <c r="L2835" i="2"/>
  <c r="E944" i="2"/>
  <c r="I2737" i="2"/>
  <c r="H1240" i="2"/>
  <c r="J1559" i="2"/>
  <c r="J2032" i="2"/>
  <c r="I1067" i="2"/>
  <c r="W2088" i="2"/>
  <c r="P846" i="2"/>
  <c r="F528" i="2"/>
  <c r="C1132" i="2"/>
  <c r="Q420" i="2"/>
  <c r="S848" i="2"/>
  <c r="W2086" i="2"/>
  <c r="P1898" i="2"/>
  <c r="E1010" i="2"/>
  <c r="C769" i="2"/>
  <c r="K2909" i="2"/>
  <c r="P1524" i="2"/>
  <c r="Q2717" i="2"/>
  <c r="G578" i="2"/>
  <c r="S1845" i="2"/>
  <c r="Q391" i="2"/>
  <c r="N1442" i="2"/>
  <c r="K2790" i="2"/>
  <c r="O1585" i="2"/>
  <c r="J2218" i="2"/>
  <c r="H1332" i="2"/>
  <c r="J1042" i="2"/>
  <c r="G375" i="2"/>
  <c r="U1387" i="2"/>
  <c r="I2117" i="2"/>
  <c r="S123" i="2"/>
  <c r="U451" i="2"/>
  <c r="R799" i="2"/>
  <c r="I1145" i="2"/>
  <c r="R1525" i="2"/>
  <c r="N2446" i="2"/>
  <c r="N1262" i="2"/>
  <c r="C524" i="2"/>
  <c r="O1020" i="2"/>
  <c r="U1022" i="2"/>
  <c r="F514" i="2"/>
  <c r="O2046" i="2"/>
  <c r="S1052" i="2"/>
  <c r="F1264" i="2"/>
  <c r="C292" i="2"/>
  <c r="S24" i="2"/>
  <c r="K2001" i="2"/>
  <c r="H1331" i="2"/>
  <c r="C1871" i="2"/>
  <c r="N2070" i="2"/>
  <c r="V198" i="2"/>
  <c r="K320" i="2"/>
  <c r="S873" i="2"/>
  <c r="H601" i="2"/>
  <c r="W413" i="2"/>
  <c r="R1115" i="2"/>
  <c r="O539" i="2"/>
  <c r="H1356" i="2"/>
  <c r="U1271" i="2"/>
  <c r="V245" i="2"/>
  <c r="G686" i="2"/>
  <c r="P2490" i="2"/>
  <c r="K2201" i="2"/>
  <c r="P191" i="2"/>
  <c r="Q1215" i="2"/>
  <c r="K1123" i="2"/>
  <c r="T305" i="2"/>
  <c r="S1562" i="2"/>
  <c r="T1185" i="2"/>
  <c r="T1352" i="2"/>
  <c r="F1318" i="2"/>
  <c r="J644" i="2"/>
  <c r="F1960" i="2"/>
  <c r="L2606" i="2"/>
  <c r="P483" i="2"/>
  <c r="D48" i="2"/>
  <c r="S1344" i="2"/>
  <c r="C426" i="2"/>
  <c r="M888" i="2"/>
  <c r="H727" i="2"/>
  <c r="I597" i="2"/>
  <c r="J1375" i="2"/>
  <c r="T302" i="2"/>
  <c r="N677" i="2"/>
  <c r="H768" i="2"/>
  <c r="D637" i="2"/>
  <c r="C78" i="2"/>
  <c r="K200" i="2"/>
  <c r="C145" i="2"/>
  <c r="W2918" i="2"/>
  <c r="R1276" i="2"/>
  <c r="D2085" i="2"/>
  <c r="J2068" i="2"/>
  <c r="I585" i="2"/>
  <c r="H21" i="2"/>
  <c r="P425" i="2"/>
  <c r="V1471" i="2"/>
  <c r="W177" i="2"/>
  <c r="D1511" i="2"/>
  <c r="F705" i="2"/>
  <c r="H868" i="2"/>
  <c r="U347" i="2"/>
  <c r="W4" i="2"/>
  <c r="V1579" i="2"/>
  <c r="F322" i="2"/>
  <c r="H694" i="2"/>
  <c r="V1733" i="2"/>
  <c r="Q2684" i="2"/>
  <c r="R679" i="2"/>
  <c r="C855" i="2"/>
  <c r="L723" i="2"/>
  <c r="D2295" i="2"/>
  <c r="S2392" i="2"/>
  <c r="P1655" i="2"/>
  <c r="P2785" i="2"/>
  <c r="R108" i="2"/>
  <c r="C1154" i="2"/>
  <c r="D2209" i="2"/>
  <c r="P522" i="2"/>
  <c r="G2078" i="2"/>
  <c r="G1632" i="2"/>
  <c r="U157" i="2"/>
  <c r="F1006" i="2"/>
  <c r="D830" i="2"/>
  <c r="F1640" i="2"/>
  <c r="E2059" i="2"/>
  <c r="W1341" i="2"/>
  <c r="D282" i="2"/>
  <c r="O344" i="2"/>
  <c r="C2304" i="2"/>
  <c r="K1864" i="2"/>
  <c r="F153" i="2"/>
  <c r="G179" i="2"/>
  <c r="L1333" i="2"/>
  <c r="N2286" i="2"/>
  <c r="F424" i="2"/>
  <c r="G1716" i="2"/>
  <c r="H1219" i="2"/>
  <c r="T2701" i="2"/>
  <c r="C1693" i="2"/>
  <c r="O970" i="2"/>
  <c r="N1963" i="2"/>
  <c r="L376" i="2"/>
  <c r="N2650" i="2"/>
  <c r="M764" i="2"/>
  <c r="O410" i="2"/>
  <c r="V779" i="2"/>
  <c r="P279" i="2"/>
  <c r="J3180" i="2"/>
  <c r="Q240" i="2"/>
  <c r="F275" i="2"/>
  <c r="M574" i="2"/>
  <c r="S831" i="2"/>
  <c r="L1598" i="2"/>
  <c r="S1364" i="2"/>
  <c r="C2552" i="2"/>
  <c r="G1426" i="2"/>
  <c r="G1083" i="2"/>
  <c r="I1881" i="2"/>
  <c r="R1813" i="2"/>
  <c r="F141" i="2"/>
  <c r="R555" i="2"/>
  <c r="D215" i="2"/>
  <c r="D110" i="2"/>
  <c r="H253" i="2"/>
  <c r="O1673" i="2"/>
  <c r="U906" i="2"/>
  <c r="Q1024" i="2"/>
  <c r="Q971" i="2"/>
  <c r="T1361" i="2"/>
  <c r="T2086" i="2"/>
  <c r="W2275" i="2"/>
  <c r="I270" i="2"/>
  <c r="Q419" i="2"/>
  <c r="R226" i="2"/>
  <c r="V707" i="2"/>
  <c r="E429" i="2"/>
  <c r="M287" i="2"/>
  <c r="D2067" i="2"/>
  <c r="C1288" i="2"/>
  <c r="D1375" i="2"/>
  <c r="V606" i="2"/>
  <c r="E2022" i="2"/>
  <c r="K43" i="2"/>
  <c r="E986" i="2"/>
  <c r="S692" i="2"/>
  <c r="R966" i="2"/>
  <c r="P1568" i="2"/>
  <c r="V302" i="2"/>
  <c r="D1262" i="2"/>
  <c r="L2199" i="2"/>
  <c r="J603" i="2"/>
  <c r="O1829" i="2"/>
  <c r="M723" i="2"/>
  <c r="K2978" i="2"/>
  <c r="W1412" i="2"/>
  <c r="I15" i="2"/>
  <c r="R1225" i="2"/>
  <c r="G1821" i="2"/>
  <c r="O145" i="2"/>
  <c r="M1453" i="2"/>
  <c r="O726" i="2"/>
  <c r="W318" i="2"/>
  <c r="F306" i="2"/>
  <c r="N294" i="2"/>
  <c r="U2396" i="2"/>
  <c r="U1065" i="2"/>
  <c r="V846" i="2"/>
  <c r="H438" i="2"/>
  <c r="R2835" i="2"/>
  <c r="E2234" i="2"/>
  <c r="I2071" i="2"/>
  <c r="G469" i="2"/>
  <c r="V2085" i="2"/>
  <c r="K682" i="2"/>
  <c r="G294" i="2"/>
  <c r="V1495" i="2"/>
  <c r="C1504" i="2"/>
  <c r="G760" i="2"/>
  <c r="S798" i="2"/>
  <c r="W2693" i="2"/>
  <c r="D1685" i="2"/>
  <c r="L2737" i="2"/>
  <c r="U414" i="2"/>
  <c r="J2830" i="2"/>
  <c r="P1880" i="2"/>
  <c r="W202" i="2"/>
  <c r="S686" i="2"/>
  <c r="U1433" i="2"/>
  <c r="W1958" i="2"/>
  <c r="U262" i="2"/>
  <c r="W1588" i="2"/>
  <c r="F2522" i="2"/>
  <c r="P2076" i="2"/>
  <c r="L1974" i="2"/>
  <c r="D474" i="2"/>
  <c r="H1085" i="2"/>
  <c r="D1730" i="2"/>
  <c r="F161" i="2"/>
  <c r="C380" i="2"/>
  <c r="L1854" i="2"/>
  <c r="J1932" i="2"/>
  <c r="F300" i="2"/>
  <c r="S1448" i="2"/>
  <c r="D360" i="2"/>
  <c r="W1284" i="2"/>
  <c r="P1748" i="2"/>
  <c r="O1699" i="2"/>
  <c r="H889" i="2"/>
  <c r="E1533" i="2"/>
  <c r="W1209" i="2"/>
  <c r="U1968" i="2"/>
  <c r="F1326" i="2"/>
  <c r="M1818" i="2"/>
  <c r="E1457" i="2"/>
  <c r="G217" i="2"/>
  <c r="N511" i="2"/>
  <c r="U1555" i="2"/>
  <c r="V487" i="2"/>
  <c r="C1305" i="2"/>
  <c r="W110" i="2"/>
  <c r="G1028" i="2"/>
  <c r="L77" i="2"/>
  <c r="H567" i="2"/>
  <c r="I1851" i="2"/>
  <c r="E1624" i="2"/>
  <c r="O407" i="2"/>
  <c r="W878" i="2"/>
  <c r="Q661" i="2"/>
  <c r="M582" i="2"/>
  <c r="S404" i="2"/>
  <c r="L589" i="2"/>
  <c r="T1424" i="2"/>
  <c r="G743" i="2"/>
  <c r="M2252" i="2"/>
  <c r="P1782" i="2"/>
  <c r="R263" i="2"/>
  <c r="K1993" i="2"/>
  <c r="W484" i="2"/>
  <c r="H1819" i="2"/>
  <c r="L1044" i="2"/>
  <c r="J331" i="2"/>
  <c r="P159" i="2"/>
  <c r="E1140" i="2"/>
  <c r="G2537" i="2"/>
  <c r="W525" i="2"/>
  <c r="H796" i="2"/>
  <c r="Q2805" i="2"/>
  <c r="L574" i="2"/>
  <c r="I915" i="2"/>
  <c r="N1528" i="2"/>
  <c r="K97" i="2"/>
  <c r="Q1099" i="2"/>
  <c r="Q75" i="2"/>
  <c r="S1648" i="2"/>
  <c r="J2054" i="2"/>
  <c r="D1928" i="2"/>
  <c r="S1593" i="2"/>
  <c r="M1541" i="2"/>
  <c r="Q1738" i="2"/>
  <c r="M204" i="2"/>
  <c r="H2896" i="2"/>
  <c r="R1394" i="2"/>
  <c r="F32" i="2"/>
  <c r="H2344" i="2"/>
  <c r="V273" i="2"/>
  <c r="V379" i="2"/>
  <c r="E139" i="2"/>
  <c r="N2761" i="2"/>
  <c r="M365" i="2"/>
  <c r="O1452" i="2"/>
  <c r="V803" i="2"/>
  <c r="Q192" i="2"/>
  <c r="J1587" i="2"/>
  <c r="O510" i="2"/>
  <c r="P822" i="2"/>
  <c r="D754" i="2"/>
  <c r="W278" i="2"/>
  <c r="M760" i="2"/>
  <c r="R1823" i="2"/>
  <c r="U748" i="2"/>
  <c r="E1113" i="2"/>
  <c r="O2016" i="2"/>
  <c r="O3258" i="2"/>
  <c r="I356" i="2"/>
  <c r="J42" i="2"/>
  <c r="L890" i="2"/>
  <c r="N3017" i="2"/>
  <c r="P1213" i="2"/>
  <c r="V1937" i="2"/>
  <c r="H986" i="2"/>
  <c r="V486" i="2"/>
  <c r="H307" i="2"/>
  <c r="V968" i="2"/>
  <c r="D29" i="2"/>
  <c r="T2550" i="2"/>
  <c r="G632" i="2"/>
  <c r="T1523" i="2"/>
  <c r="O2034" i="2"/>
  <c r="U44" i="2"/>
  <c r="F138" i="2"/>
  <c r="O1302" i="2"/>
  <c r="L2242" i="2"/>
  <c r="F2076" i="2"/>
  <c r="G1467" i="2"/>
  <c r="G2031" i="2"/>
  <c r="N1172" i="2"/>
  <c r="Q1542" i="2"/>
  <c r="S1039" i="2"/>
  <c r="W203" i="2"/>
  <c r="W591" i="2"/>
  <c r="F1236" i="2"/>
  <c r="M1065" i="2"/>
  <c r="Q674" i="2"/>
  <c r="E1022" i="2"/>
  <c r="U795" i="2"/>
  <c r="D552" i="2"/>
  <c r="C842" i="2"/>
  <c r="W1529" i="2"/>
  <c r="U352" i="2"/>
  <c r="U1260" i="2"/>
  <c r="L2654" i="2"/>
  <c r="O904" i="2"/>
  <c r="T736" i="2"/>
  <c r="I1210" i="2"/>
  <c r="Q1703" i="2"/>
  <c r="H2384" i="2"/>
  <c r="L1883" i="2"/>
  <c r="I762" i="2"/>
  <c r="T1661" i="2"/>
  <c r="D1600" i="2"/>
  <c r="E2304" i="2"/>
  <c r="I1282" i="2"/>
  <c r="T1193" i="2"/>
  <c r="T640" i="2"/>
  <c r="E560" i="2"/>
  <c r="P2402" i="2"/>
  <c r="T797" i="2"/>
  <c r="R606" i="2"/>
  <c r="E852" i="2"/>
  <c r="U685" i="2"/>
  <c r="M1045" i="2"/>
  <c r="G109" i="2"/>
  <c r="O723" i="2"/>
  <c r="M961" i="2"/>
  <c r="I1944" i="2"/>
  <c r="F1064" i="2"/>
  <c r="V1493" i="2"/>
  <c r="E691" i="2"/>
  <c r="O933" i="2"/>
  <c r="K3007" i="2"/>
  <c r="F217" i="2"/>
  <c r="R386" i="2"/>
  <c r="E1023" i="2"/>
  <c r="S2845" i="2"/>
  <c r="K214" i="2"/>
  <c r="N553" i="2"/>
  <c r="S2800" i="2"/>
  <c r="M221" i="2"/>
  <c r="Q965" i="2"/>
  <c r="J1264" i="2"/>
  <c r="D1067" i="2"/>
  <c r="P2802" i="2"/>
  <c r="D59" i="2"/>
  <c r="M2591" i="2"/>
  <c r="H2059" i="2"/>
  <c r="L1901" i="2"/>
  <c r="E988" i="2"/>
  <c r="S526" i="2"/>
  <c r="M1907" i="2"/>
  <c r="S705" i="2"/>
  <c r="K1626" i="2"/>
  <c r="R2625" i="2"/>
  <c r="N734" i="2"/>
  <c r="V806" i="2"/>
  <c r="S2978" i="2"/>
  <c r="W543" i="2"/>
  <c r="K1114" i="2"/>
  <c r="R1569" i="2"/>
  <c r="E2193" i="2"/>
  <c r="D1295" i="2"/>
  <c r="S224" i="2"/>
  <c r="C1061" i="2"/>
  <c r="U1365" i="2"/>
  <c r="M1525" i="2"/>
  <c r="Q730" i="2"/>
  <c r="O2562" i="2"/>
  <c r="S555" i="2"/>
  <c r="G2441" i="2"/>
  <c r="F947" i="2"/>
  <c r="C1207" i="2"/>
  <c r="E397" i="2"/>
  <c r="U964" i="2"/>
  <c r="T1706" i="2"/>
  <c r="I452" i="2"/>
  <c r="T1630" i="2"/>
  <c r="O887" i="2"/>
  <c r="I604" i="2"/>
  <c r="Q1225" i="2"/>
  <c r="P467" i="2"/>
  <c r="L2240" i="2"/>
  <c r="P2046" i="2"/>
  <c r="F2257" i="2"/>
  <c r="Q1916" i="2"/>
  <c r="C2249" i="2"/>
  <c r="L1383" i="2"/>
  <c r="S246" i="2"/>
  <c r="W2081" i="2"/>
  <c r="S14" i="2"/>
  <c r="K2073" i="2"/>
  <c r="G2086" i="2"/>
  <c r="C358" i="2"/>
  <c r="M2693" i="2"/>
  <c r="T1017" i="2"/>
  <c r="C532" i="2"/>
  <c r="O63" i="2"/>
  <c r="J926" i="2"/>
  <c r="G789" i="2"/>
  <c r="N1983" i="2"/>
  <c r="P2308" i="2"/>
  <c r="L1830" i="2"/>
  <c r="M1317" i="2"/>
  <c r="K1984" i="2"/>
  <c r="Q1601" i="2"/>
  <c r="D2007" i="2"/>
  <c r="V438" i="2"/>
  <c r="W2150" i="2"/>
  <c r="Q906" i="2"/>
  <c r="I3250" i="2"/>
  <c r="V479" i="2"/>
  <c r="V1100" i="2"/>
  <c r="R224" i="2"/>
  <c r="C2090" i="2"/>
  <c r="T1380" i="2"/>
  <c r="V1168" i="2"/>
  <c r="R2094" i="2"/>
  <c r="F817" i="2"/>
  <c r="T991" i="2"/>
  <c r="V2543" i="2"/>
  <c r="P1121" i="2"/>
  <c r="M1258" i="2"/>
  <c r="D2311" i="2"/>
  <c r="P1352" i="2"/>
  <c r="J743" i="2"/>
  <c r="T2200" i="2"/>
  <c r="T1250" i="2"/>
  <c r="N2401" i="2"/>
  <c r="V3337" i="2"/>
  <c r="K56" i="2"/>
  <c r="P2138" i="2"/>
  <c r="G768" i="2"/>
  <c r="E1006" i="2"/>
  <c r="E1530" i="2"/>
  <c r="Q628" i="2"/>
  <c r="V595" i="2"/>
  <c r="D308" i="2"/>
  <c r="T699" i="2"/>
  <c r="E2719" i="2"/>
  <c r="R1193" i="2"/>
  <c r="R1221" i="2"/>
  <c r="J3347" i="2"/>
  <c r="E3" i="2"/>
  <c r="Q1054" i="2"/>
  <c r="Q237" i="2"/>
  <c r="R1397" i="2"/>
  <c r="N207" i="2"/>
  <c r="C1118" i="2"/>
  <c r="E1776" i="2"/>
  <c r="I1344" i="2"/>
  <c r="O304" i="2"/>
  <c r="W801" i="2"/>
  <c r="C1101" i="2"/>
  <c r="P743" i="2"/>
  <c r="S1292" i="2"/>
  <c r="C297" i="2"/>
  <c r="Q901" i="2"/>
  <c r="Q893" i="2"/>
  <c r="O2512" i="2"/>
  <c r="M926" i="2"/>
  <c r="D450" i="2"/>
  <c r="P1789" i="2"/>
  <c r="S2385" i="2"/>
  <c r="Q3" i="2"/>
  <c r="J1054" i="2"/>
  <c r="Q673" i="2"/>
  <c r="E905" i="2"/>
  <c r="I1999" i="2"/>
  <c r="K1285" i="2"/>
  <c r="C981" i="2"/>
  <c r="U436" i="2"/>
  <c r="R426" i="2"/>
  <c r="D1192" i="2"/>
  <c r="H565" i="2"/>
  <c r="Q264" i="2"/>
  <c r="C1222" i="2"/>
  <c r="Q2179" i="2"/>
  <c r="S513" i="2"/>
  <c r="Q342" i="2"/>
  <c r="E1373" i="2"/>
  <c r="K2628" i="2"/>
  <c r="R1106" i="2"/>
  <c r="N447" i="2"/>
  <c r="Q805" i="2"/>
  <c r="P1388" i="2"/>
  <c r="O1555" i="2"/>
  <c r="H807" i="2"/>
  <c r="V1067" i="2"/>
  <c r="F758" i="2"/>
  <c r="W1312" i="2"/>
  <c r="I2224" i="2"/>
  <c r="V366" i="2"/>
  <c r="N252" i="2"/>
  <c r="L152" i="2"/>
  <c r="M1941" i="2"/>
  <c r="N2267" i="2"/>
  <c r="T1377" i="2"/>
  <c r="P162" i="2"/>
  <c r="M2474" i="2"/>
  <c r="F693" i="2"/>
  <c r="T1750" i="2"/>
  <c r="G3078" i="2"/>
  <c r="T1286" i="2"/>
  <c r="F2637" i="2"/>
  <c r="J2286" i="2"/>
  <c r="S2041" i="2"/>
  <c r="O182" i="2"/>
  <c r="R1220" i="2"/>
  <c r="M1057" i="2"/>
  <c r="F2148" i="2"/>
  <c r="U2056" i="2"/>
  <c r="W2952" i="2"/>
  <c r="U1783" i="2"/>
  <c r="H980" i="2"/>
  <c r="G2488" i="2"/>
  <c r="F190" i="2"/>
  <c r="L2310" i="2"/>
  <c r="D828" i="2"/>
  <c r="P129" i="2"/>
  <c r="N383" i="2"/>
  <c r="G355" i="2"/>
  <c r="R2301" i="2"/>
  <c r="K3038" i="2"/>
  <c r="V1235" i="2"/>
  <c r="V2115" i="2"/>
  <c r="E1887" i="2"/>
  <c r="D1239" i="2"/>
  <c r="M250" i="2"/>
  <c r="I339" i="2"/>
  <c r="V1850" i="2"/>
  <c r="F1601" i="2"/>
  <c r="W398" i="2"/>
  <c r="O638" i="2"/>
  <c r="R2364" i="2"/>
  <c r="S2553" i="2"/>
  <c r="E936" i="2"/>
  <c r="E1125" i="2"/>
  <c r="E420" i="2"/>
  <c r="W2334" i="2"/>
  <c r="C2874" i="2"/>
  <c r="O6" i="2"/>
  <c r="O274" i="2"/>
  <c r="F193" i="2"/>
  <c r="M397" i="2"/>
  <c r="W781" i="2"/>
  <c r="R259" i="2"/>
  <c r="I1597" i="2"/>
  <c r="E355" i="2"/>
  <c r="D165" i="2"/>
  <c r="O495" i="2"/>
  <c r="O181" i="2"/>
  <c r="G112" i="2"/>
  <c r="R2139" i="2"/>
  <c r="R1566" i="2"/>
  <c r="O2061" i="2"/>
  <c r="C1744" i="2"/>
  <c r="N1073" i="2"/>
  <c r="T2010" i="2"/>
  <c r="E1131" i="2"/>
  <c r="P580" i="2"/>
  <c r="E901" i="2"/>
  <c r="G2195" i="2"/>
  <c r="Q350" i="2"/>
  <c r="D209" i="2"/>
  <c r="U2722" i="2"/>
  <c r="E2025" i="2"/>
  <c r="K324" i="2"/>
  <c r="H1821" i="2"/>
  <c r="W642" i="2"/>
  <c r="C1962" i="2"/>
  <c r="T2856" i="2"/>
  <c r="W114" i="2"/>
  <c r="O403" i="2"/>
  <c r="I2958" i="2"/>
  <c r="G470" i="2"/>
  <c r="W668" i="2"/>
  <c r="L325" i="2"/>
  <c r="R2557" i="2"/>
  <c r="E2502" i="2"/>
  <c r="L2182" i="2"/>
  <c r="H1366" i="2"/>
  <c r="K821" i="2"/>
  <c r="K1809" i="2"/>
  <c r="C2050" i="2"/>
  <c r="D819" i="2"/>
  <c r="N2186" i="2"/>
  <c r="N22" i="2"/>
  <c r="W391" i="2"/>
  <c r="N2086" i="2"/>
  <c r="G4" i="2"/>
  <c r="Q1689" i="2"/>
  <c r="S704" i="2"/>
  <c r="L481" i="2"/>
  <c r="F1566" i="2"/>
  <c r="H264" i="2"/>
  <c r="O825" i="2"/>
  <c r="F1356" i="2"/>
  <c r="J2728" i="2"/>
  <c r="I803" i="2"/>
  <c r="W138" i="2"/>
  <c r="S416" i="2"/>
  <c r="U34" i="2"/>
  <c r="T131" i="2"/>
  <c r="K1803" i="2"/>
  <c r="K1699" i="2"/>
  <c r="S2077" i="2"/>
  <c r="M1524" i="2"/>
  <c r="O273" i="2"/>
  <c r="C1716" i="2"/>
  <c r="C1767" i="2"/>
  <c r="L1031" i="2"/>
  <c r="S641" i="2"/>
  <c r="J1694" i="2"/>
  <c r="L676" i="2"/>
  <c r="P884" i="2"/>
  <c r="J1091" i="2"/>
  <c r="J342" i="2"/>
  <c r="I2596" i="2"/>
  <c r="O1311" i="2"/>
  <c r="H447" i="2"/>
  <c r="V110" i="2"/>
  <c r="O764" i="2"/>
  <c r="H1950" i="2"/>
  <c r="S241" i="2"/>
  <c r="F312" i="2"/>
  <c r="R2098" i="2"/>
  <c r="H1313" i="2"/>
  <c r="Q1062" i="2"/>
  <c r="W1941" i="2"/>
  <c r="W1679" i="2"/>
  <c r="T2911" i="2"/>
  <c r="G2022" i="2"/>
  <c r="W1570" i="2"/>
  <c r="T3197" i="2"/>
  <c r="E751" i="2"/>
  <c r="R369" i="2"/>
  <c r="C581" i="2"/>
  <c r="K709" i="2"/>
  <c r="R1080" i="2"/>
  <c r="M155" i="2"/>
  <c r="K778" i="2"/>
  <c r="M1796" i="2"/>
  <c r="L880" i="2"/>
  <c r="C2125" i="2"/>
  <c r="F317" i="2"/>
  <c r="S992" i="2"/>
  <c r="P456" i="2"/>
  <c r="L878" i="2"/>
  <c r="R2200" i="2"/>
  <c r="H641" i="2"/>
  <c r="K1317" i="2"/>
  <c r="W502" i="2"/>
  <c r="W116" i="2"/>
  <c r="J569" i="2"/>
  <c r="V827" i="2"/>
  <c r="H1419" i="2"/>
  <c r="V1022" i="2"/>
  <c r="W1090" i="2"/>
  <c r="W1075" i="2"/>
  <c r="T739" i="2"/>
  <c r="J688" i="2"/>
  <c r="R316" i="2"/>
  <c r="V2206" i="2"/>
  <c r="I1697" i="2"/>
  <c r="D1306" i="2"/>
  <c r="N763" i="2"/>
  <c r="M418" i="2"/>
  <c r="U855" i="2"/>
  <c r="I1200" i="2"/>
  <c r="R416" i="2"/>
  <c r="L1554" i="2"/>
  <c r="J586" i="2"/>
  <c r="V721" i="2"/>
  <c r="Q1990" i="2"/>
  <c r="E278" i="2"/>
  <c r="O2500" i="2"/>
  <c r="D1019" i="2"/>
  <c r="W2110" i="2"/>
  <c r="E1025" i="2"/>
  <c r="J2104" i="2"/>
  <c r="W326" i="2"/>
  <c r="L1659" i="2"/>
  <c r="I48" i="2"/>
  <c r="J2629" i="2"/>
  <c r="K353" i="2"/>
  <c r="I266" i="2"/>
  <c r="I140" i="2"/>
  <c r="E662" i="2"/>
  <c r="R1201" i="2"/>
  <c r="V861" i="2"/>
  <c r="L941" i="2"/>
  <c r="I1209" i="2"/>
  <c r="C3135" i="2"/>
  <c r="I583" i="2"/>
  <c r="R134" i="2"/>
  <c r="S1529" i="2"/>
  <c r="I421" i="2"/>
  <c r="M946" i="2"/>
  <c r="S305" i="2"/>
  <c r="G1727" i="2"/>
  <c r="V1744" i="2"/>
  <c r="F686" i="2"/>
  <c r="N33" i="2"/>
  <c r="D835" i="2"/>
  <c r="E2075" i="2"/>
  <c r="P920" i="2"/>
  <c r="R2544" i="2"/>
  <c r="M1380" i="2"/>
  <c r="R418" i="2"/>
  <c r="E2960" i="2"/>
  <c r="C63" i="2"/>
  <c r="V2562" i="2"/>
  <c r="D10" i="2"/>
  <c r="T1584" i="2"/>
  <c r="F1328" i="2"/>
  <c r="S2170" i="2"/>
  <c r="V1267" i="2"/>
  <c r="U1060" i="2"/>
  <c r="L618" i="2"/>
  <c r="M809" i="2"/>
  <c r="G1290" i="2"/>
  <c r="P89" i="2"/>
  <c r="I1434" i="2"/>
  <c r="P1929" i="2"/>
  <c r="I569" i="2"/>
  <c r="E990" i="2"/>
  <c r="E1164" i="2"/>
  <c r="Q1833" i="2"/>
  <c r="G430" i="2"/>
  <c r="N2682" i="2"/>
  <c r="V1182" i="2"/>
  <c r="F1148" i="2"/>
  <c r="D1780" i="2"/>
  <c r="W2053" i="2"/>
  <c r="W681" i="2"/>
  <c r="W2104" i="2"/>
  <c r="P247" i="2"/>
  <c r="U802" i="2"/>
  <c r="L861" i="2"/>
  <c r="H1684" i="2"/>
  <c r="W16" i="2"/>
  <c r="D1083" i="2"/>
  <c r="F230" i="2"/>
  <c r="K460" i="2"/>
  <c r="O101" i="2"/>
  <c r="V1017" i="2"/>
  <c r="P2128" i="2"/>
  <c r="O1178" i="2"/>
  <c r="H2765" i="2"/>
  <c r="W1869" i="2"/>
  <c r="Q746" i="2"/>
  <c r="I200" i="2"/>
  <c r="E2333" i="2"/>
  <c r="J500" i="2"/>
  <c r="K2618" i="2"/>
  <c r="D782" i="2"/>
  <c r="E2653" i="2"/>
  <c r="M2029" i="2"/>
  <c r="V297" i="2"/>
  <c r="F1390" i="2"/>
  <c r="G665" i="2"/>
  <c r="R1904" i="2"/>
  <c r="J1963" i="2"/>
  <c r="C1134" i="2"/>
  <c r="K150" i="2"/>
  <c r="F494" i="2"/>
  <c r="M1499" i="2"/>
  <c r="S1207" i="2"/>
  <c r="J1885" i="2"/>
  <c r="C1053" i="2"/>
  <c r="S1470" i="2"/>
  <c r="D1082" i="2"/>
  <c r="R1548" i="2"/>
  <c r="C58" i="2"/>
  <c r="H1280" i="2"/>
  <c r="D1024" i="2"/>
  <c r="T962" i="2"/>
  <c r="L1435" i="2"/>
  <c r="L968" i="2"/>
  <c r="M586" i="2"/>
  <c r="H320" i="2"/>
  <c r="K89" i="2"/>
  <c r="N1672" i="2"/>
  <c r="F10" i="2"/>
  <c r="Q1044" i="2"/>
  <c r="I643" i="2"/>
  <c r="I2898" i="2"/>
  <c r="L1083" i="2"/>
  <c r="I2215" i="2"/>
  <c r="F1449" i="2"/>
  <c r="M1175" i="2"/>
  <c r="S552" i="2"/>
  <c r="H1839" i="2"/>
  <c r="V748" i="2"/>
  <c r="R837" i="2"/>
  <c r="S1104" i="2"/>
  <c r="K2253" i="2"/>
  <c r="N794" i="2"/>
  <c r="O1059" i="2"/>
  <c r="Q608" i="2"/>
  <c r="L2626" i="2"/>
  <c r="J620" i="2"/>
  <c r="R1779" i="2"/>
  <c r="I669" i="2"/>
  <c r="O799" i="2"/>
  <c r="F2557" i="2"/>
  <c r="J1203" i="2"/>
  <c r="R1744" i="2"/>
  <c r="N1390" i="2"/>
  <c r="W795" i="2"/>
  <c r="E697" i="2"/>
  <c r="F133" i="2"/>
  <c r="K2663" i="2"/>
  <c r="E1416" i="2"/>
  <c r="Q702" i="2"/>
  <c r="K600" i="2"/>
  <c r="M1070" i="2"/>
  <c r="S470" i="2"/>
  <c r="L1985" i="2"/>
  <c r="T125" i="2"/>
  <c r="K776" i="2"/>
  <c r="L39" i="2"/>
  <c r="W791" i="2"/>
  <c r="F352" i="2"/>
  <c r="P84" i="2"/>
  <c r="H1309" i="2"/>
  <c r="P378" i="2"/>
  <c r="L2426" i="2"/>
  <c r="J1257" i="2"/>
  <c r="U1238" i="2"/>
  <c r="V843" i="2"/>
  <c r="O61" i="2"/>
  <c r="O823" i="2"/>
  <c r="G818" i="2"/>
  <c r="S483" i="2"/>
  <c r="L1479" i="2"/>
  <c r="F1084" i="2"/>
  <c r="T1900" i="2"/>
  <c r="I214" i="2"/>
  <c r="H2169" i="2"/>
  <c r="R1151" i="2"/>
  <c r="G2502" i="2"/>
  <c r="L1762" i="2"/>
  <c r="C702" i="2"/>
  <c r="G1246" i="2"/>
  <c r="F2201" i="2"/>
  <c r="G790" i="2"/>
  <c r="O248" i="2"/>
  <c r="W53" i="2"/>
  <c r="R2240" i="2"/>
  <c r="U3113" i="2"/>
  <c r="S336" i="2"/>
  <c r="E1478" i="2"/>
  <c r="J373" i="2"/>
  <c r="M827" i="2"/>
  <c r="D255" i="2"/>
  <c r="G1436" i="2"/>
  <c r="K14" i="2"/>
  <c r="W1953" i="2"/>
  <c r="I2251" i="2"/>
  <c r="J2544" i="2"/>
  <c r="S682" i="2"/>
  <c r="H196" i="2"/>
  <c r="M2236" i="2"/>
  <c r="Q1159" i="2"/>
  <c r="T1541" i="2"/>
  <c r="E1112" i="2"/>
  <c r="S312" i="2"/>
  <c r="P530" i="2"/>
  <c r="G122" i="2"/>
  <c r="Q1124" i="2"/>
  <c r="I1551" i="2"/>
  <c r="E943" i="2"/>
  <c r="T1336" i="2"/>
  <c r="V681" i="2"/>
  <c r="W976" i="2"/>
  <c r="Q2001" i="2"/>
  <c r="I41" i="2"/>
  <c r="G738" i="2"/>
  <c r="V1531" i="2"/>
  <c r="N902" i="2"/>
  <c r="N1377" i="2"/>
  <c r="C904" i="2"/>
  <c r="U2881" i="2"/>
  <c r="T1869" i="2"/>
  <c r="R363" i="2"/>
  <c r="L533" i="2"/>
  <c r="W2413" i="2"/>
  <c r="L335" i="2"/>
  <c r="W220" i="2"/>
  <c r="O2303" i="2"/>
  <c r="V1271" i="2"/>
  <c r="P1518" i="2"/>
  <c r="K3312" i="2"/>
  <c r="H885" i="2"/>
  <c r="O148" i="2"/>
  <c r="P43" i="2"/>
  <c r="I530" i="2"/>
  <c r="W345" i="2"/>
  <c r="D2170" i="2"/>
  <c r="M1572" i="2"/>
  <c r="U923" i="2"/>
  <c r="J1166" i="2"/>
  <c r="K1816" i="2"/>
  <c r="I2400" i="2"/>
  <c r="K643" i="2"/>
  <c r="F272" i="2"/>
  <c r="U446" i="2"/>
  <c r="G498" i="2"/>
  <c r="V2487" i="2"/>
  <c r="O2873" i="2"/>
  <c r="J2099" i="2"/>
  <c r="R2555" i="2"/>
  <c r="V381" i="2"/>
  <c r="V238" i="2"/>
  <c r="K246" i="2"/>
  <c r="N185" i="2"/>
  <c r="F1154" i="2"/>
  <c r="F1451" i="2"/>
  <c r="P59" i="2"/>
  <c r="D2316" i="2"/>
  <c r="N971" i="2"/>
  <c r="D648" i="2"/>
  <c r="J2282" i="2"/>
  <c r="Q197" i="2"/>
  <c r="T2195" i="2"/>
  <c r="F1086" i="2"/>
  <c r="W1068" i="2"/>
  <c r="P987" i="2"/>
  <c r="I2072" i="2"/>
  <c r="M529" i="2"/>
  <c r="L1802" i="2"/>
  <c r="W1334" i="2"/>
  <c r="U152" i="2"/>
  <c r="P306" i="2"/>
  <c r="N97" i="2"/>
  <c r="L547" i="2"/>
  <c r="M157" i="2"/>
  <c r="D272" i="2"/>
  <c r="G238" i="2"/>
  <c r="H2675" i="2"/>
  <c r="U1694" i="2"/>
  <c r="E791" i="2"/>
  <c r="W1307" i="2"/>
  <c r="J102" i="2"/>
  <c r="F2814" i="2"/>
  <c r="D1546" i="2"/>
  <c r="E1442" i="2"/>
  <c r="I959" i="2"/>
  <c r="C1855" i="2"/>
  <c r="Q1236" i="2"/>
  <c r="I1350" i="2"/>
  <c r="W292" i="2"/>
  <c r="I1521" i="2"/>
  <c r="M196" i="2"/>
  <c r="P1017" i="2"/>
  <c r="Q849" i="2"/>
  <c r="E178" i="2"/>
  <c r="U99" i="2"/>
  <c r="H3195" i="2"/>
  <c r="W1862" i="2"/>
  <c r="H2683" i="2"/>
  <c r="V1091" i="2"/>
  <c r="R1578" i="2"/>
  <c r="C645" i="2"/>
  <c r="V1079" i="2"/>
  <c r="C835" i="2"/>
  <c r="L2773" i="2"/>
  <c r="O1887" i="2"/>
  <c r="I946" i="2"/>
  <c r="V360" i="2"/>
  <c r="V475" i="2"/>
  <c r="N62" i="2"/>
  <c r="K1338" i="2"/>
  <c r="S1270" i="2"/>
  <c r="D1338" i="2"/>
  <c r="G1152" i="2"/>
  <c r="C735" i="2"/>
  <c r="S238" i="2"/>
  <c r="Q1187" i="2"/>
  <c r="R46" i="2"/>
  <c r="P358" i="2"/>
  <c r="O1165" i="2"/>
  <c r="U1994" i="2"/>
  <c r="M1906" i="2"/>
  <c r="G462" i="2"/>
  <c r="M844" i="2"/>
  <c r="U921" i="2"/>
  <c r="H535" i="2"/>
  <c r="L2329" i="2"/>
  <c r="V2128" i="2"/>
  <c r="Q399" i="2"/>
  <c r="G925" i="2"/>
  <c r="G290" i="2"/>
  <c r="U2760" i="2"/>
  <c r="M825" i="2"/>
  <c r="J118" i="2"/>
  <c r="H223" i="2"/>
  <c r="J1591" i="2"/>
  <c r="N1562" i="2"/>
  <c r="G550" i="2"/>
  <c r="F77" i="2"/>
  <c r="P1306" i="2"/>
  <c r="D1362" i="2"/>
  <c r="J5" i="2"/>
  <c r="J1753" i="2"/>
  <c r="E96" i="2"/>
  <c r="J621" i="2"/>
  <c r="J2330" i="2"/>
  <c r="F945" i="2"/>
  <c r="H865" i="2"/>
  <c r="T1227" i="2"/>
  <c r="P637" i="2"/>
  <c r="C2021" i="2"/>
  <c r="I576" i="2"/>
  <c r="E1408" i="2"/>
  <c r="F962" i="2"/>
  <c r="G2144" i="2"/>
  <c r="N2578" i="2"/>
  <c r="H1871" i="2"/>
  <c r="V2052" i="2"/>
  <c r="O298" i="2"/>
  <c r="V1284" i="2"/>
  <c r="C895" i="2"/>
  <c r="N1587" i="2"/>
  <c r="V1907" i="2"/>
  <c r="F415" i="2"/>
  <c r="S881" i="2"/>
  <c r="M523" i="2"/>
  <c r="C950" i="2"/>
  <c r="G2017" i="2"/>
  <c r="S938" i="2"/>
  <c r="O1735" i="2"/>
  <c r="K1702" i="2"/>
  <c r="J1712" i="2"/>
  <c r="N1232" i="2"/>
  <c r="R2586" i="2"/>
  <c r="N846" i="2"/>
  <c r="W1093" i="2"/>
  <c r="I268" i="2"/>
  <c r="Q193" i="2"/>
  <c r="V1375" i="2"/>
  <c r="T2107" i="2"/>
  <c r="E2937" i="2"/>
  <c r="F1063" i="2"/>
  <c r="C1920" i="2"/>
  <c r="H654" i="2"/>
  <c r="H1478" i="2"/>
  <c r="K100" i="2"/>
  <c r="E326" i="2"/>
  <c r="C925" i="2"/>
  <c r="T2355" i="2"/>
  <c r="W1813" i="2"/>
  <c r="R2977" i="2"/>
  <c r="Q2715" i="2"/>
  <c r="P1136" i="2"/>
  <c r="N2538" i="2"/>
  <c r="U1174" i="2"/>
  <c r="Q2962" i="2"/>
  <c r="P2130" i="2"/>
  <c r="V1819" i="2"/>
  <c r="O2620" i="2"/>
  <c r="N647" i="2"/>
  <c r="T343" i="2"/>
  <c r="P2889" i="2"/>
  <c r="P2717" i="2"/>
  <c r="G2412" i="2"/>
  <c r="R522" i="2"/>
  <c r="P2427" i="2"/>
  <c r="T600" i="2"/>
  <c r="F534" i="2"/>
  <c r="C1165" i="2"/>
  <c r="N507" i="2"/>
  <c r="W893" i="2"/>
  <c r="J639" i="2"/>
  <c r="K1286" i="2"/>
  <c r="C2132" i="2"/>
  <c r="D2089" i="2"/>
  <c r="K1639" i="2"/>
  <c r="T1773" i="2"/>
  <c r="J634" i="2"/>
  <c r="I2192" i="2"/>
  <c r="V741" i="2"/>
  <c r="D1151" i="2"/>
  <c r="G2208" i="2"/>
  <c r="R23" i="2"/>
  <c r="S2284" i="2"/>
  <c r="T1895" i="2"/>
  <c r="F2279" i="2"/>
  <c r="W501" i="2"/>
  <c r="J1349" i="2"/>
  <c r="S1074" i="2"/>
  <c r="R852" i="2"/>
  <c r="O87" i="2"/>
  <c r="T284" i="2"/>
  <c r="J3051" i="2"/>
  <c r="K509" i="2"/>
  <c r="L1608" i="2"/>
  <c r="U2580" i="2"/>
  <c r="D412" i="2"/>
  <c r="H1112" i="2"/>
  <c r="U797" i="2"/>
  <c r="C1133" i="2"/>
  <c r="H723" i="2"/>
  <c r="T246" i="2"/>
  <c r="D1961" i="2"/>
  <c r="G1540" i="2"/>
  <c r="E812" i="2"/>
  <c r="D1676" i="2"/>
  <c r="L1566" i="2"/>
  <c r="Q845" i="2"/>
  <c r="C496" i="2"/>
  <c r="H1542" i="2"/>
  <c r="R1019" i="2"/>
  <c r="I351" i="2"/>
  <c r="D1136" i="2"/>
  <c r="R700" i="2"/>
  <c r="K3210" i="2"/>
  <c r="G1175" i="2"/>
  <c r="P92" i="2"/>
  <c r="I816" i="2"/>
  <c r="W1617" i="2"/>
  <c r="G2197" i="2"/>
  <c r="V542" i="2"/>
  <c r="C1279" i="2"/>
  <c r="M2519" i="2"/>
  <c r="M640" i="2"/>
  <c r="K2611" i="2"/>
  <c r="O1381" i="2"/>
  <c r="T1483" i="2"/>
  <c r="U858" i="2"/>
  <c r="M2480" i="2"/>
  <c r="L1560" i="2"/>
  <c r="G664" i="2"/>
  <c r="F555" i="2"/>
  <c r="F2973" i="2"/>
  <c r="V585" i="2"/>
  <c r="L2043" i="2"/>
  <c r="W891" i="2"/>
  <c r="V614" i="2"/>
  <c r="P1488" i="2"/>
  <c r="J817" i="2"/>
  <c r="V71" i="2"/>
  <c r="I1471" i="2"/>
  <c r="O2831" i="2"/>
  <c r="R1539" i="2"/>
  <c r="H2548" i="2"/>
  <c r="J1059" i="2"/>
  <c r="Q2385" i="2"/>
  <c r="F2807" i="2"/>
  <c r="N1979" i="2"/>
  <c r="O654" i="2"/>
  <c r="U1114" i="2"/>
  <c r="S621" i="2"/>
  <c r="D2737" i="2"/>
  <c r="G360" i="2"/>
  <c r="R633" i="2"/>
  <c r="V687" i="2"/>
  <c r="I691" i="2"/>
  <c r="L1934" i="2"/>
  <c r="C614" i="2"/>
  <c r="D365" i="2"/>
  <c r="G2134" i="2"/>
  <c r="M601" i="2"/>
  <c r="Q2673" i="2"/>
  <c r="D2867" i="2"/>
  <c r="K2194" i="2"/>
  <c r="R2060" i="2"/>
  <c r="W1017" i="2"/>
  <c r="G261" i="2"/>
  <c r="R2510" i="2"/>
  <c r="L528" i="2"/>
  <c r="E828" i="2"/>
  <c r="T268" i="2"/>
  <c r="M950" i="2"/>
  <c r="I1143" i="2"/>
  <c r="R1492" i="2"/>
  <c r="H1873" i="2"/>
  <c r="V1303" i="2"/>
  <c r="J196" i="2"/>
  <c r="O1574" i="2"/>
  <c r="U434" i="2"/>
  <c r="N1613" i="2"/>
  <c r="E702" i="2"/>
  <c r="J1771" i="2"/>
  <c r="V19" i="2"/>
  <c r="W997" i="2"/>
  <c r="U676" i="2"/>
  <c r="S269" i="2"/>
  <c r="J444" i="2"/>
  <c r="J152" i="2"/>
  <c r="T2026" i="2"/>
  <c r="Q2042" i="2"/>
  <c r="I1476" i="2"/>
  <c r="S1776" i="2"/>
  <c r="U235" i="2"/>
  <c r="T2077" i="2"/>
  <c r="W1657" i="2"/>
  <c r="E337" i="2"/>
  <c r="U2500" i="2"/>
  <c r="J178" i="2"/>
  <c r="K2712" i="2"/>
  <c r="Q125" i="2"/>
  <c r="R1926" i="2"/>
  <c r="H118" i="2"/>
  <c r="D410" i="2"/>
  <c r="H70" i="2"/>
  <c r="S1368" i="2"/>
  <c r="T1811" i="2"/>
  <c r="W522" i="2"/>
  <c r="K1457" i="2"/>
  <c r="M164" i="2"/>
  <c r="M1585" i="2"/>
  <c r="W1799" i="2"/>
  <c r="T51" i="2"/>
  <c r="N2143" i="2"/>
  <c r="H712" i="2"/>
  <c r="D977" i="2"/>
  <c r="G3354" i="2"/>
  <c r="Q2161" i="2"/>
  <c r="U484" i="2"/>
  <c r="U2430" i="2"/>
  <c r="L1348" i="2"/>
  <c r="V1230" i="2"/>
  <c r="H1232" i="2"/>
  <c r="V1580" i="2"/>
  <c r="T1059" i="2"/>
  <c r="L225" i="2"/>
  <c r="K1672" i="2"/>
  <c r="T864" i="2"/>
  <c r="V2125" i="2"/>
  <c r="L2022" i="2"/>
  <c r="J2318" i="2"/>
  <c r="P2940" i="2"/>
  <c r="R1162" i="2"/>
  <c r="P119" i="2"/>
  <c r="S1182" i="2"/>
  <c r="L1811" i="2"/>
  <c r="N1540" i="2"/>
  <c r="T1873" i="2"/>
  <c r="Q779" i="2"/>
  <c r="E790" i="2"/>
  <c r="C514" i="2"/>
  <c r="I570" i="2"/>
  <c r="C410" i="2"/>
  <c r="M1597" i="2"/>
  <c r="U585" i="2"/>
  <c r="M1432" i="2"/>
  <c r="M416" i="2"/>
  <c r="U2162" i="2"/>
  <c r="U247" i="2"/>
  <c r="D824" i="2"/>
  <c r="P333" i="2"/>
  <c r="T2102" i="2"/>
  <c r="M2294" i="2"/>
  <c r="R688" i="2"/>
  <c r="W1749" i="2"/>
  <c r="H1515" i="2"/>
  <c r="M1722" i="2"/>
  <c r="S1779" i="2"/>
  <c r="I2246" i="2"/>
  <c r="W22" i="2"/>
  <c r="M767" i="2"/>
  <c r="K2608" i="2"/>
  <c r="Q380" i="2"/>
  <c r="H1328" i="2"/>
  <c r="M550" i="2"/>
  <c r="H1757" i="2"/>
  <c r="E2610" i="2"/>
  <c r="C630" i="2"/>
  <c r="T349" i="2"/>
  <c r="G2694" i="2"/>
  <c r="H390" i="2"/>
  <c r="N2523" i="2"/>
  <c r="M1553" i="2"/>
  <c r="T1635" i="2"/>
  <c r="W305" i="2"/>
  <c r="H2266" i="2"/>
  <c r="N1932" i="2"/>
  <c r="H217" i="2"/>
  <c r="L1470" i="2"/>
  <c r="E1223" i="2"/>
  <c r="L2333" i="2"/>
  <c r="K2029" i="2"/>
  <c r="U2648" i="2"/>
  <c r="I1057" i="2"/>
  <c r="O386" i="2"/>
  <c r="G633" i="2"/>
  <c r="C1943" i="2"/>
  <c r="O2003" i="2"/>
  <c r="W1707" i="2"/>
  <c r="N285" i="2"/>
  <c r="E94" i="2"/>
  <c r="I916" i="2"/>
  <c r="V504" i="2"/>
  <c r="W1662" i="2"/>
  <c r="S1243" i="2"/>
  <c r="S849" i="2"/>
  <c r="J189" i="2"/>
  <c r="J1147" i="2"/>
  <c r="H606" i="2"/>
  <c r="W693" i="2"/>
  <c r="E1899" i="2"/>
  <c r="W190" i="2"/>
  <c r="W1611" i="2"/>
  <c r="O1663" i="2"/>
  <c r="E2814" i="2"/>
  <c r="N1886" i="2"/>
  <c r="E677" i="2"/>
  <c r="K1059" i="2"/>
  <c r="H594" i="2"/>
  <c r="D912" i="2"/>
  <c r="W431" i="2"/>
  <c r="F1418" i="2"/>
  <c r="N1518" i="2"/>
  <c r="E752" i="2"/>
  <c r="J892" i="2"/>
  <c r="G1493" i="2"/>
  <c r="G1894" i="2"/>
  <c r="G1003" i="2"/>
  <c r="E3065" i="2"/>
  <c r="E844" i="2"/>
  <c r="R1530" i="2"/>
  <c r="D1570" i="2"/>
  <c r="G1047" i="2"/>
  <c r="J67" i="2"/>
  <c r="N630" i="2"/>
  <c r="R496" i="2"/>
  <c r="O646" i="2"/>
  <c r="I455" i="2"/>
  <c r="U1163" i="2"/>
  <c r="R145" i="2"/>
  <c r="I1696" i="2"/>
  <c r="F249" i="2"/>
  <c r="H81" i="2"/>
  <c r="T2617" i="2"/>
  <c r="I1458" i="2"/>
  <c r="N380" i="2"/>
  <c r="E1198" i="2"/>
  <c r="F1686" i="2"/>
  <c r="N2289" i="2"/>
  <c r="G2123" i="2"/>
  <c r="U392" i="2"/>
  <c r="G765" i="2"/>
  <c r="H2321" i="2"/>
  <c r="M1436" i="2"/>
  <c r="W171" i="2"/>
  <c r="W57" i="2"/>
  <c r="S1138" i="2"/>
  <c r="N2257" i="2"/>
  <c r="G2648" i="2"/>
  <c r="G1372" i="2"/>
  <c r="T1979" i="2"/>
  <c r="H981" i="2"/>
  <c r="L1990" i="2"/>
  <c r="Q2722" i="2"/>
  <c r="O2964" i="2"/>
  <c r="I3522" i="2"/>
  <c r="D1448" i="2"/>
  <c r="C389" i="2"/>
  <c r="E3238" i="2"/>
  <c r="Q483" i="2"/>
  <c r="O1412" i="2"/>
  <c r="V178" i="2"/>
  <c r="U698" i="2"/>
  <c r="N502" i="2"/>
  <c r="H476" i="2"/>
  <c r="C993" i="2"/>
  <c r="C2027" i="2"/>
  <c r="T1709" i="2"/>
  <c r="H632" i="2"/>
  <c r="Q1777" i="2"/>
  <c r="J415" i="2"/>
  <c r="T2533" i="2"/>
  <c r="D772" i="2"/>
  <c r="C1437" i="2"/>
  <c r="I217" i="2"/>
  <c r="O4" i="2"/>
  <c r="U981" i="2"/>
  <c r="C1413" i="2"/>
  <c r="N38" i="2"/>
  <c r="W408" i="2"/>
  <c r="Q808" i="2"/>
  <c r="S606" i="2"/>
  <c r="C2441" i="2"/>
  <c r="Q914" i="2"/>
  <c r="U151" i="2"/>
  <c r="O337" i="2"/>
  <c r="K188" i="2"/>
  <c r="M352" i="2"/>
  <c r="R1493" i="2"/>
  <c r="G2339" i="2"/>
  <c r="J338" i="2"/>
  <c r="E707" i="2"/>
  <c r="I2433" i="2"/>
  <c r="T1881" i="2"/>
  <c r="G2533" i="2"/>
  <c r="T1138" i="2"/>
  <c r="I2783" i="2"/>
  <c r="T436" i="2"/>
  <c r="L222" i="2"/>
  <c r="I171" i="2"/>
  <c r="I2343" i="2"/>
  <c r="E3215" i="2"/>
  <c r="W2933" i="2"/>
  <c r="R1714" i="2"/>
  <c r="O1019" i="2"/>
  <c r="D1288" i="2"/>
  <c r="F2480" i="2"/>
  <c r="J2170" i="2"/>
  <c r="H496" i="2"/>
  <c r="E627" i="2"/>
  <c r="L1480" i="2"/>
  <c r="M63" i="2"/>
  <c r="W369" i="2"/>
  <c r="I706" i="2"/>
  <c r="O620" i="2"/>
  <c r="O2049" i="2"/>
  <c r="N555" i="2"/>
  <c r="R645" i="2"/>
  <c r="H662" i="2"/>
  <c r="J202" i="2"/>
  <c r="F1037" i="2"/>
  <c r="M4" i="2"/>
  <c r="L1455" i="2"/>
  <c r="G144" i="2"/>
  <c r="G956" i="2"/>
  <c r="P206" i="2"/>
  <c r="W2492" i="2"/>
  <c r="Q1652" i="2"/>
  <c r="T1244" i="2"/>
  <c r="E2191" i="2"/>
  <c r="F1986" i="2"/>
  <c r="J1378" i="2"/>
  <c r="I283" i="2"/>
  <c r="W538" i="2"/>
  <c r="I981" i="2"/>
  <c r="R388" i="2"/>
  <c r="J1321" i="2"/>
  <c r="U524" i="2"/>
  <c r="O276" i="2"/>
  <c r="U1565" i="2"/>
  <c r="M960" i="2"/>
  <c r="I1715" i="2"/>
  <c r="D386" i="2"/>
  <c r="H525" i="2"/>
  <c r="T1972" i="2"/>
  <c r="S1356" i="2"/>
  <c r="L823" i="2"/>
  <c r="E454" i="2"/>
  <c r="F1970" i="2"/>
  <c r="P1267" i="2"/>
  <c r="H2547" i="2"/>
  <c r="C2623" i="2"/>
  <c r="L1037" i="2"/>
  <c r="J2434" i="2"/>
  <c r="I132" i="2"/>
  <c r="K2435" i="2"/>
  <c r="E75" i="2"/>
  <c r="C1985" i="2"/>
  <c r="W698" i="2"/>
  <c r="U1474" i="2"/>
  <c r="Q2137" i="2"/>
  <c r="R2252" i="2"/>
  <c r="N546" i="2"/>
  <c r="G967" i="2"/>
  <c r="H954" i="2"/>
  <c r="K1959" i="2"/>
  <c r="J2096" i="2"/>
  <c r="R2296" i="2"/>
  <c r="C41" i="2"/>
  <c r="I565" i="2"/>
  <c r="I1246" i="2"/>
  <c r="P1157" i="2"/>
  <c r="T417" i="2"/>
  <c r="C19" i="2"/>
  <c r="W1794" i="2"/>
  <c r="T524" i="2"/>
  <c r="E873" i="2"/>
  <c r="I710" i="2"/>
  <c r="I2077" i="2"/>
  <c r="U220" i="2"/>
  <c r="D56" i="2"/>
  <c r="T45" i="2"/>
  <c r="E3413" i="2"/>
  <c r="M2159" i="2"/>
  <c r="Q144" i="2"/>
  <c r="T507" i="2"/>
  <c r="W2674" i="2"/>
  <c r="T2519" i="2"/>
  <c r="H1128" i="2"/>
  <c r="C2143" i="2"/>
  <c r="V1376" i="2"/>
  <c r="S997" i="2"/>
  <c r="W1526" i="2"/>
  <c r="V822" i="2"/>
  <c r="P1543" i="2"/>
  <c r="D2233" i="2"/>
  <c r="U1662" i="2"/>
  <c r="R493" i="2"/>
  <c r="F2876" i="2"/>
  <c r="Q995" i="2"/>
  <c r="C259" i="2"/>
  <c r="M2472" i="2"/>
  <c r="H1809" i="2"/>
  <c r="M868" i="2"/>
  <c r="M1975" i="2"/>
  <c r="K1133" i="2"/>
  <c r="N1873" i="2"/>
  <c r="M818" i="2"/>
  <c r="F889" i="2"/>
  <c r="D798" i="2"/>
  <c r="K1185" i="2"/>
  <c r="P2598" i="2"/>
  <c r="V2000" i="2"/>
  <c r="R707" i="2"/>
  <c r="E2043" i="2"/>
  <c r="S2904" i="2"/>
  <c r="Q619" i="2"/>
  <c r="S35" i="2"/>
  <c r="T2553" i="2"/>
  <c r="W2019" i="2"/>
  <c r="C804" i="2"/>
  <c r="K205" i="2"/>
  <c r="K158" i="2"/>
  <c r="J2158" i="2"/>
  <c r="P2684" i="2"/>
  <c r="O251" i="2"/>
  <c r="P1119" i="2"/>
  <c r="V1983" i="2"/>
  <c r="E504" i="2"/>
  <c r="R1684" i="2"/>
  <c r="V135" i="2"/>
  <c r="N144" i="2"/>
  <c r="U862" i="2"/>
  <c r="I1022" i="2"/>
  <c r="S2056" i="2"/>
  <c r="W1737" i="2"/>
  <c r="V337" i="2"/>
  <c r="C2010" i="2"/>
  <c r="C2106" i="2"/>
  <c r="D2185" i="2"/>
  <c r="G1468" i="2"/>
  <c r="C2097" i="2"/>
  <c r="N1043" i="2"/>
  <c r="Q2100" i="2"/>
  <c r="L2111" i="2"/>
  <c r="K891" i="2"/>
  <c r="O363" i="2"/>
  <c r="V977" i="2"/>
  <c r="V387" i="2"/>
  <c r="R2536" i="2"/>
  <c r="M2647" i="2"/>
  <c r="W224" i="2"/>
  <c r="L313" i="2"/>
  <c r="L199" i="2"/>
  <c r="I1071" i="2"/>
  <c r="W2483" i="2"/>
  <c r="V1422" i="2"/>
  <c r="M831" i="2"/>
  <c r="L1209" i="2"/>
  <c r="V459" i="2"/>
  <c r="D554" i="2"/>
  <c r="F1020" i="2"/>
  <c r="T386" i="2"/>
  <c r="G1312" i="2"/>
  <c r="G924" i="2"/>
  <c r="C1622" i="2"/>
  <c r="C1273" i="2"/>
  <c r="J726" i="2"/>
  <c r="I894" i="2"/>
  <c r="G2750" i="2"/>
  <c r="R530" i="2"/>
  <c r="M1201" i="2"/>
  <c r="O452" i="2"/>
  <c r="O980" i="2"/>
  <c r="P1149" i="2"/>
  <c r="K2526" i="2"/>
  <c r="I1472" i="2"/>
  <c r="U445" i="2"/>
  <c r="S1043" i="2"/>
  <c r="N1038" i="2"/>
  <c r="S1315" i="2"/>
  <c r="L43" i="2"/>
  <c r="G1638" i="2"/>
  <c r="I767" i="2"/>
  <c r="N758" i="2"/>
  <c r="O2590" i="2"/>
  <c r="H1244" i="2"/>
  <c r="D487" i="2"/>
  <c r="R611" i="2"/>
  <c r="J942" i="2"/>
  <c r="K732" i="2"/>
  <c r="I294" i="2"/>
  <c r="O237" i="2"/>
  <c r="U1449" i="2"/>
  <c r="E516" i="2"/>
  <c r="E950" i="2"/>
  <c r="O2822" i="2"/>
  <c r="H1625" i="2"/>
  <c r="V1958" i="2"/>
  <c r="E1564" i="2"/>
  <c r="W750" i="2"/>
  <c r="H42" i="2"/>
  <c r="P2211" i="2"/>
  <c r="S2093" i="2"/>
  <c r="K2661" i="2"/>
  <c r="J2352" i="2"/>
  <c r="E598" i="2"/>
  <c r="Q2977" i="2"/>
  <c r="L175" i="2"/>
  <c r="C81" i="2"/>
  <c r="U78" i="2"/>
  <c r="S2448" i="2"/>
  <c r="P1101" i="2"/>
  <c r="C2295" i="2"/>
  <c r="M2344" i="2"/>
  <c r="L1153" i="2"/>
  <c r="N991" i="2"/>
  <c r="U1243" i="2"/>
  <c r="C256" i="2"/>
  <c r="O469" i="2"/>
  <c r="E2728" i="2"/>
  <c r="E843" i="2"/>
  <c r="J1897" i="2"/>
  <c r="U1089" i="2"/>
  <c r="E1934" i="2"/>
  <c r="L1624" i="2"/>
  <c r="E1091" i="2"/>
  <c r="D1401" i="2"/>
  <c r="O1856" i="2"/>
  <c r="D1569" i="2"/>
  <c r="O1037" i="2"/>
  <c r="G749" i="2"/>
  <c r="O1095" i="2"/>
  <c r="T2153" i="2"/>
  <c r="Q528" i="2"/>
  <c r="V1384" i="2"/>
  <c r="E948" i="2"/>
  <c r="R653" i="2"/>
  <c r="G658" i="2"/>
  <c r="J211" i="2"/>
  <c r="U1711" i="2"/>
  <c r="C1664" i="2"/>
  <c r="H1154" i="2"/>
  <c r="G2167" i="2"/>
  <c r="G1278" i="2"/>
  <c r="V467" i="2"/>
  <c r="O1728" i="2"/>
  <c r="C1950" i="2"/>
  <c r="Q1894" i="2"/>
  <c r="G2507" i="2"/>
  <c r="P66" i="2"/>
  <c r="F1387" i="2"/>
  <c r="F3099" i="2"/>
  <c r="M448" i="2"/>
  <c r="K1577" i="2"/>
  <c r="H2104" i="2"/>
  <c r="E1518" i="2"/>
  <c r="K1288" i="2"/>
  <c r="D1586" i="2"/>
  <c r="J627" i="2"/>
  <c r="M3075" i="2"/>
  <c r="C967" i="2"/>
  <c r="Q327" i="2"/>
  <c r="O2148" i="2"/>
  <c r="F3" i="2"/>
  <c r="O1128" i="2"/>
  <c r="M1196" i="2"/>
  <c r="F597" i="2"/>
  <c r="V171" i="2"/>
  <c r="F2226" i="2"/>
  <c r="N508" i="2"/>
  <c r="P3105" i="2"/>
  <c r="K1937" i="2"/>
  <c r="H3288" i="2"/>
  <c r="P631" i="2"/>
  <c r="O44" i="2"/>
  <c r="G406" i="2"/>
  <c r="K433" i="2"/>
  <c r="J974" i="2"/>
  <c r="D2640" i="2"/>
  <c r="R1374" i="2"/>
  <c r="W841" i="2"/>
  <c r="V1312" i="2"/>
  <c r="C370" i="2"/>
  <c r="W1087" i="2"/>
  <c r="P233" i="2"/>
  <c r="L2134" i="2"/>
  <c r="U2442" i="2"/>
  <c r="E679" i="2"/>
  <c r="Q2076" i="2"/>
  <c r="M66" i="2"/>
  <c r="S1530" i="2"/>
  <c r="E1304" i="2"/>
  <c r="S1930" i="2"/>
  <c r="F1911" i="2"/>
  <c r="D409" i="2"/>
  <c r="T1561" i="2"/>
  <c r="N1680" i="2"/>
  <c r="W406" i="2"/>
  <c r="J410" i="2"/>
  <c r="T2565" i="2"/>
  <c r="F59" i="2"/>
  <c r="H1544" i="2"/>
  <c r="N1777" i="2"/>
  <c r="G2245" i="2"/>
  <c r="T2299" i="2"/>
  <c r="D838" i="2"/>
  <c r="W119" i="2"/>
  <c r="J954" i="2"/>
  <c r="T279" i="2"/>
  <c r="C171" i="2"/>
  <c r="C1530" i="2"/>
  <c r="P1209" i="2"/>
  <c r="D254" i="2"/>
  <c r="T382" i="2"/>
  <c r="K488" i="2"/>
  <c r="K2203" i="2"/>
  <c r="W656" i="2"/>
  <c r="Q1223" i="2"/>
  <c r="G1045" i="2"/>
  <c r="I1746" i="2"/>
  <c r="D997" i="2"/>
  <c r="F1074" i="2"/>
  <c r="W233" i="2"/>
  <c r="U1092" i="2"/>
  <c r="V543" i="2"/>
  <c r="G2003" i="2"/>
  <c r="R2369" i="2"/>
  <c r="J1153" i="2"/>
  <c r="T1942" i="2"/>
  <c r="U997" i="2"/>
  <c r="K1093" i="2"/>
  <c r="I1461" i="2"/>
  <c r="R1621" i="2"/>
  <c r="G2496" i="2"/>
  <c r="S3225" i="2"/>
  <c r="C1867" i="2"/>
  <c r="K238" i="2"/>
  <c r="I518" i="2"/>
  <c r="W587" i="2"/>
  <c r="M195" i="2"/>
  <c r="M2944" i="2"/>
  <c r="L2514" i="2"/>
  <c r="T2227" i="2"/>
  <c r="S50" i="2"/>
  <c r="G1088" i="2"/>
  <c r="U2416" i="2"/>
  <c r="M335" i="2"/>
  <c r="S2785" i="2"/>
  <c r="D1196" i="2"/>
  <c r="K1327" i="2"/>
  <c r="L472" i="2"/>
  <c r="D2097" i="2"/>
  <c r="Q703" i="2"/>
  <c r="Q405" i="2"/>
  <c r="L692" i="2"/>
  <c r="U877" i="2"/>
  <c r="C445" i="2"/>
  <c r="H740" i="2"/>
  <c r="H2381" i="2"/>
  <c r="D1620" i="2"/>
  <c r="D1661" i="2"/>
  <c r="W551" i="2"/>
  <c r="P1897" i="2"/>
  <c r="F1643" i="2"/>
  <c r="R1679" i="2"/>
  <c r="C142" i="2"/>
  <c r="K1044" i="2"/>
  <c r="L2460" i="2"/>
  <c r="T76" i="2"/>
  <c r="M2365" i="2"/>
  <c r="R351" i="2"/>
  <c r="G2323" i="2"/>
  <c r="I1511" i="2"/>
  <c r="S187" i="2"/>
  <c r="S1318" i="2"/>
  <c r="U721" i="2"/>
  <c r="R327" i="2"/>
  <c r="W1922" i="2"/>
  <c r="P1011" i="2"/>
  <c r="M958" i="2"/>
  <c r="F40" i="2"/>
  <c r="L746" i="2"/>
  <c r="R912" i="2"/>
  <c r="E1394" i="2"/>
  <c r="O710" i="2"/>
  <c r="V1774" i="2"/>
  <c r="M1668" i="2"/>
  <c r="C1255" i="2"/>
  <c r="R2486" i="2"/>
  <c r="G1649" i="2"/>
  <c r="H236" i="2"/>
  <c r="D1036" i="2"/>
  <c r="Q200" i="2"/>
  <c r="D687" i="2"/>
  <c r="P701" i="2"/>
  <c r="K2961" i="2"/>
  <c r="L1141" i="2"/>
  <c r="F932" i="2"/>
  <c r="R525" i="2"/>
  <c r="V2553" i="2"/>
  <c r="J2141" i="2"/>
  <c r="Q2323" i="2"/>
  <c r="S17" i="2"/>
  <c r="N1072" i="2"/>
  <c r="T2435" i="2"/>
  <c r="D1907" i="2"/>
  <c r="T50" i="2"/>
  <c r="Q1881" i="2"/>
  <c r="M2665" i="2"/>
  <c r="D920" i="2"/>
  <c r="N1076" i="2"/>
  <c r="I2340" i="2"/>
  <c r="R25" i="2"/>
  <c r="O1401" i="2"/>
  <c r="I499" i="2"/>
  <c r="Q919" i="2"/>
  <c r="L1745" i="2"/>
  <c r="U966" i="2"/>
  <c r="R323" i="2"/>
  <c r="G1778" i="2"/>
  <c r="I924" i="2"/>
  <c r="F1704" i="2"/>
  <c r="V991" i="2"/>
  <c r="E809" i="2"/>
  <c r="U7" i="2"/>
  <c r="N2370" i="2"/>
  <c r="Q1165" i="2"/>
  <c r="V215" i="2"/>
  <c r="P3019" i="2"/>
  <c r="Q2038" i="2"/>
  <c r="J3084" i="2"/>
  <c r="E316" i="2"/>
  <c r="J1686" i="2"/>
  <c r="D422" i="2"/>
  <c r="C373" i="2"/>
  <c r="V348" i="2"/>
  <c r="C1383" i="2"/>
  <c r="O1490" i="2"/>
  <c r="H44" i="2"/>
  <c r="Q633" i="2"/>
  <c r="J2664" i="2"/>
  <c r="F381" i="2"/>
  <c r="Q1191" i="2"/>
  <c r="F1626" i="2"/>
  <c r="P1558" i="2"/>
  <c r="D1762" i="2"/>
  <c r="U2876" i="2"/>
  <c r="P1238" i="2"/>
  <c r="W323" i="2"/>
  <c r="C148" i="2"/>
  <c r="C1445" i="2"/>
  <c r="T1183" i="2"/>
  <c r="V317" i="2"/>
  <c r="C271" i="2"/>
  <c r="F2547" i="2"/>
  <c r="Q122" i="2"/>
  <c r="U1337" i="2"/>
  <c r="P2057" i="2"/>
  <c r="G2116" i="2"/>
  <c r="E1101" i="2"/>
  <c r="L2375" i="2"/>
  <c r="O1917" i="2"/>
  <c r="S1753" i="2"/>
  <c r="K1528" i="2"/>
  <c r="P2989" i="2"/>
  <c r="U2879" i="2"/>
  <c r="H876" i="2"/>
  <c r="S338" i="2"/>
  <c r="T2790" i="2"/>
  <c r="D844" i="2"/>
  <c r="W955" i="2"/>
  <c r="L735" i="2"/>
  <c r="K177" i="2"/>
  <c r="H211" i="2"/>
  <c r="P2462" i="2"/>
  <c r="L2908" i="2"/>
  <c r="I1802" i="2"/>
  <c r="M399" i="2"/>
  <c r="H1133" i="2"/>
  <c r="J176" i="2"/>
  <c r="H2831" i="2"/>
  <c r="C819" i="2"/>
  <c r="H1068" i="2"/>
  <c r="O1827" i="2"/>
  <c r="E2232" i="2"/>
  <c r="M614" i="2"/>
  <c r="R2007" i="2"/>
  <c r="S200" i="2"/>
  <c r="S821" i="2"/>
  <c r="O2259" i="2"/>
  <c r="S580" i="2"/>
  <c r="N1879" i="2"/>
  <c r="U518" i="2"/>
  <c r="F488" i="2"/>
  <c r="K1638" i="2"/>
  <c r="J135" i="2"/>
  <c r="I239" i="2"/>
  <c r="W2151" i="2"/>
  <c r="P1233" i="2"/>
  <c r="M54" i="2"/>
  <c r="U94" i="2"/>
  <c r="C2211" i="2"/>
  <c r="Q1384" i="2"/>
  <c r="E1638" i="2"/>
  <c r="F179" i="2"/>
  <c r="E1948" i="2"/>
  <c r="K1194" i="2"/>
  <c r="M1265" i="2"/>
  <c r="S1027" i="2"/>
  <c r="G948" i="2"/>
  <c r="P281" i="2"/>
  <c r="M167" i="2"/>
  <c r="R2105" i="2"/>
  <c r="H284" i="2"/>
  <c r="K142" i="2"/>
  <c r="E2506" i="2"/>
  <c r="H1866" i="2"/>
  <c r="I186" i="2"/>
  <c r="C320" i="2"/>
  <c r="P2024" i="2"/>
  <c r="O2067" i="2"/>
  <c r="E1437" i="2"/>
  <c r="I416" i="2"/>
  <c r="R1380" i="2"/>
  <c r="S2257" i="2"/>
  <c r="S112" i="2"/>
  <c r="K530" i="2"/>
  <c r="D1153" i="2"/>
  <c r="J466" i="2"/>
  <c r="C929" i="2"/>
  <c r="E1822" i="2"/>
  <c r="G841" i="2"/>
  <c r="G1277" i="2"/>
  <c r="L1000" i="2"/>
  <c r="D1681" i="2"/>
  <c r="P1162" i="2"/>
  <c r="L1361" i="2"/>
  <c r="O3070" i="2"/>
  <c r="I2504" i="2"/>
  <c r="R2806" i="2"/>
  <c r="F1620" i="2"/>
  <c r="L1378" i="2"/>
  <c r="O1041" i="2"/>
  <c r="R2525" i="2"/>
  <c r="F1202" i="2"/>
  <c r="E1772" i="2"/>
  <c r="L684" i="2"/>
  <c r="E2394" i="2"/>
  <c r="J1415" i="2"/>
  <c r="D1343" i="2"/>
  <c r="D309" i="2"/>
  <c r="L648" i="2"/>
  <c r="P574" i="2"/>
  <c r="C90" i="2"/>
  <c r="P3006" i="2"/>
  <c r="S220" i="2"/>
  <c r="H104" i="2"/>
  <c r="R736" i="2"/>
  <c r="H1671" i="2"/>
  <c r="L2092" i="2"/>
  <c r="O556" i="2"/>
  <c r="R219" i="2"/>
  <c r="U1447" i="2"/>
  <c r="O262" i="2"/>
  <c r="J682" i="2"/>
  <c r="N1913" i="2"/>
  <c r="K1441" i="2"/>
  <c r="L2037" i="2"/>
  <c r="H552" i="2"/>
  <c r="S853" i="2"/>
  <c r="I463" i="2"/>
  <c r="U2254" i="2"/>
  <c r="I1315" i="2"/>
  <c r="P967" i="2"/>
  <c r="V1630" i="2"/>
  <c r="R1167" i="2"/>
  <c r="G2196" i="2"/>
  <c r="I777" i="2"/>
  <c r="Q824" i="2"/>
  <c r="Q970" i="2"/>
  <c r="L869" i="2"/>
  <c r="C671" i="2"/>
  <c r="W1895" i="2"/>
  <c r="Q677" i="2"/>
  <c r="N2427" i="2"/>
  <c r="M2735" i="2"/>
  <c r="W2191" i="2"/>
  <c r="K1835" i="2"/>
  <c r="R2017" i="2"/>
  <c r="J1171" i="2"/>
  <c r="T696" i="2"/>
  <c r="U418" i="2"/>
  <c r="M1755" i="2"/>
  <c r="F1051" i="2"/>
  <c r="G1420" i="2"/>
  <c r="K850" i="2"/>
  <c r="R349" i="2"/>
  <c r="J1586" i="2"/>
  <c r="S502" i="2"/>
  <c r="Q1343" i="2"/>
  <c r="S349" i="2"/>
  <c r="G1007" i="2"/>
  <c r="I107" i="2"/>
  <c r="Q2205" i="2"/>
  <c r="R1205" i="2"/>
  <c r="V845" i="2"/>
  <c r="K1677" i="2"/>
  <c r="Q2769" i="2"/>
  <c r="N1962" i="2"/>
  <c r="P1132" i="2"/>
  <c r="I1169" i="2"/>
  <c r="E4" i="2"/>
  <c r="T456" i="2"/>
  <c r="K1237" i="2"/>
  <c r="T2618" i="2"/>
  <c r="V1568" i="2"/>
  <c r="V2431" i="2"/>
  <c r="N2522" i="2"/>
  <c r="E665" i="2"/>
  <c r="U1250" i="2"/>
  <c r="D6" i="2"/>
  <c r="H1380" i="2"/>
  <c r="W1275" i="2"/>
  <c r="U1149" i="2"/>
  <c r="K39" i="2"/>
  <c r="L981" i="2"/>
  <c r="P555" i="2"/>
  <c r="Q589" i="2"/>
  <c r="S169" i="2"/>
  <c r="F1253" i="2"/>
  <c r="E351" i="2"/>
  <c r="C64" i="2"/>
  <c r="M650" i="2"/>
  <c r="V1290" i="2"/>
  <c r="E2518" i="2"/>
  <c r="Q3043" i="2"/>
  <c r="D140" i="2"/>
  <c r="T1616" i="2"/>
  <c r="S2121" i="2"/>
  <c r="N348" i="2"/>
  <c r="L2117" i="2"/>
  <c r="O605" i="2"/>
  <c r="Q942" i="2"/>
  <c r="C1055" i="2"/>
  <c r="K1365" i="2"/>
  <c r="R1340" i="2"/>
  <c r="G626" i="2"/>
  <c r="C464" i="2"/>
  <c r="L569" i="2"/>
  <c r="D624" i="2"/>
  <c r="N1905" i="2"/>
  <c r="C13" i="2"/>
  <c r="F1826" i="2"/>
  <c r="Q1816" i="2"/>
  <c r="J1298" i="2"/>
  <c r="O71" i="2"/>
  <c r="J2195" i="2"/>
  <c r="N679" i="2"/>
  <c r="S1212" i="2"/>
  <c r="O1481" i="2"/>
  <c r="D1624" i="2"/>
  <c r="C88" i="2"/>
  <c r="H288" i="2"/>
  <c r="T924" i="2"/>
  <c r="L770" i="2"/>
  <c r="O1724" i="2"/>
  <c r="M1346" i="2"/>
  <c r="N1163" i="2"/>
  <c r="K218" i="2"/>
  <c r="W1549" i="2"/>
  <c r="J675" i="2"/>
  <c r="I2435" i="2"/>
  <c r="I1891" i="2"/>
  <c r="T496" i="2"/>
  <c r="G1905" i="2"/>
  <c r="W206" i="2"/>
  <c r="V1159" i="2"/>
  <c r="H2294" i="2"/>
  <c r="N2433" i="2"/>
  <c r="D1356" i="2"/>
  <c r="N1331" i="2"/>
  <c r="U2887" i="2"/>
  <c r="E1298" i="2"/>
  <c r="P2856" i="2"/>
  <c r="G2461" i="2"/>
  <c r="U277" i="2"/>
  <c r="E54" i="2"/>
  <c r="E2340" i="2"/>
  <c r="L507" i="2"/>
  <c r="K281" i="2"/>
  <c r="W139" i="2"/>
  <c r="L2221" i="2"/>
  <c r="M558" i="2"/>
  <c r="C2261" i="2"/>
  <c r="M738" i="2"/>
  <c r="W1085" i="2"/>
  <c r="H669" i="2"/>
  <c r="U502" i="2"/>
  <c r="R999" i="2"/>
  <c r="E2450" i="2"/>
  <c r="R309" i="2"/>
  <c r="R1368" i="2"/>
  <c r="M959" i="2"/>
  <c r="K723" i="2"/>
  <c r="R856" i="2"/>
  <c r="T1327" i="2"/>
  <c r="M1508" i="2"/>
  <c r="S1299" i="2"/>
  <c r="D435" i="2"/>
  <c r="R374" i="2"/>
  <c r="G1374" i="2"/>
  <c r="K1592" i="2"/>
  <c r="H341" i="2"/>
  <c r="I968" i="2"/>
  <c r="K895" i="2"/>
  <c r="O1666" i="2"/>
  <c r="G2338" i="2"/>
  <c r="F2024" i="2"/>
  <c r="G389" i="2"/>
  <c r="P257" i="2"/>
  <c r="C682" i="2"/>
  <c r="U892" i="2"/>
  <c r="S491" i="2"/>
  <c r="N500" i="2"/>
  <c r="K1536" i="2"/>
  <c r="U170" i="2"/>
  <c r="I2237" i="2"/>
  <c r="O1127" i="2"/>
  <c r="C2632" i="2"/>
  <c r="O1521" i="2"/>
  <c r="F1205" i="2"/>
  <c r="T2050" i="2"/>
  <c r="G2618" i="2"/>
  <c r="J1868" i="2"/>
  <c r="J616" i="2"/>
  <c r="C504" i="2"/>
  <c r="O1886" i="2"/>
  <c r="U1458" i="2"/>
  <c r="E1378" i="2"/>
  <c r="G2263" i="2"/>
  <c r="U599" i="2"/>
  <c r="L2211" i="2"/>
  <c r="M1257" i="2"/>
  <c r="R430" i="2"/>
  <c r="R1311" i="2"/>
  <c r="H367" i="2"/>
  <c r="D2380" i="2"/>
  <c r="R48" i="2"/>
  <c r="I1664" i="2"/>
  <c r="U550" i="2"/>
  <c r="S783" i="2"/>
  <c r="K19" i="2"/>
  <c r="K2377" i="2"/>
  <c r="I2758" i="2"/>
  <c r="M1554" i="2"/>
  <c r="K645" i="2"/>
  <c r="J39" i="2"/>
  <c r="K297" i="2"/>
  <c r="J1192" i="2"/>
  <c r="Q2185" i="2"/>
  <c r="L2563" i="2"/>
  <c r="M2139" i="2"/>
  <c r="H2073" i="2"/>
  <c r="L215" i="2"/>
  <c r="W2069" i="2"/>
  <c r="D643" i="2"/>
  <c r="Q378" i="2"/>
  <c r="V2254" i="2"/>
  <c r="N2549" i="2"/>
  <c r="Q2170" i="2"/>
  <c r="O2597" i="2"/>
  <c r="O470" i="2"/>
  <c r="V1464" i="2"/>
  <c r="T1145" i="2"/>
  <c r="I890" i="2"/>
  <c r="I1233" i="2"/>
  <c r="D1991" i="2"/>
  <c r="M296" i="2"/>
  <c r="Q204" i="2"/>
  <c r="K729" i="2"/>
  <c r="G185" i="2"/>
  <c r="V47" i="2"/>
  <c r="R1691" i="2"/>
  <c r="F386" i="2"/>
  <c r="P1073" i="2"/>
  <c r="J2704" i="2"/>
  <c r="L98" i="2"/>
  <c r="M36" i="2"/>
  <c r="Q2723" i="2"/>
  <c r="L184" i="2"/>
  <c r="J1019" i="2"/>
  <c r="V2416" i="2"/>
  <c r="G1538" i="2"/>
  <c r="I388" i="2"/>
  <c r="E1475" i="2"/>
  <c r="L2404" i="2"/>
  <c r="O2210" i="2"/>
  <c r="F344" i="2"/>
  <c r="G1728" i="2"/>
  <c r="O3462" i="2"/>
  <c r="J2726" i="2"/>
  <c r="H2615" i="2"/>
  <c r="R1730" i="2"/>
  <c r="G1101" i="2"/>
  <c r="K242" i="2"/>
  <c r="S688" i="2"/>
  <c r="T1037" i="2"/>
  <c r="N445" i="2"/>
  <c r="T1604" i="2"/>
  <c r="N918" i="2"/>
  <c r="S1296" i="2"/>
  <c r="V1868" i="2"/>
  <c r="W1791" i="2"/>
  <c r="O447" i="2"/>
  <c r="H1856" i="2"/>
  <c r="V12" i="2"/>
  <c r="O885" i="2"/>
  <c r="Q2218" i="2"/>
  <c r="N822" i="2"/>
  <c r="R166" i="2"/>
  <c r="E1354" i="2"/>
  <c r="R618" i="2"/>
  <c r="T2670" i="2"/>
  <c r="H628" i="2"/>
  <c r="O2048" i="2"/>
  <c r="E2017" i="2"/>
  <c r="U46" i="2"/>
  <c r="F1094" i="2"/>
  <c r="O2484" i="2"/>
  <c r="K1712" i="2"/>
  <c r="K1319" i="2"/>
  <c r="F1017" i="2"/>
  <c r="J1407" i="2"/>
  <c r="H212" i="2"/>
  <c r="I31" i="2"/>
  <c r="W2232" i="2"/>
  <c r="Q1575" i="2"/>
  <c r="H265" i="2"/>
  <c r="V228" i="2"/>
  <c r="Q1982" i="2"/>
  <c r="D1072" i="2"/>
  <c r="P1063" i="2"/>
  <c r="E578" i="2"/>
  <c r="N2323" i="2"/>
  <c r="I842" i="2"/>
  <c r="U119" i="2"/>
  <c r="I19" i="2"/>
  <c r="O1515" i="2"/>
  <c r="K896" i="2"/>
  <c r="C1388" i="2"/>
  <c r="R1680" i="2"/>
  <c r="I1594" i="2"/>
  <c r="D1248" i="2"/>
  <c r="D1986" i="2"/>
  <c r="H1089" i="2"/>
  <c r="R1668" i="2"/>
  <c r="M1208" i="2"/>
  <c r="V316" i="2"/>
  <c r="P3334" i="2"/>
  <c r="L316" i="2"/>
  <c r="H1521" i="2"/>
  <c r="F1491" i="2"/>
  <c r="D2653" i="2"/>
  <c r="S2439" i="2"/>
  <c r="K2220" i="2"/>
  <c r="O1251" i="2"/>
  <c r="W952" i="2"/>
  <c r="U1561" i="2"/>
  <c r="D1897" i="2"/>
  <c r="M726" i="2"/>
  <c r="S1166" i="2"/>
  <c r="C742" i="2"/>
  <c r="C89" i="2"/>
  <c r="S1041" i="2"/>
  <c r="T1009" i="2"/>
  <c r="V11" i="2"/>
  <c r="H206" i="2"/>
  <c r="K922" i="2"/>
  <c r="R88" i="2"/>
  <c r="O1032" i="2"/>
  <c r="D1796" i="2"/>
  <c r="F289" i="2"/>
  <c r="M842" i="2"/>
  <c r="D175" i="2"/>
  <c r="D2567" i="2"/>
  <c r="L1069" i="2"/>
  <c r="J87" i="2"/>
  <c r="Q385" i="2"/>
  <c r="P1907" i="2"/>
  <c r="P82" i="2"/>
  <c r="G252" i="2"/>
  <c r="F1740" i="2"/>
  <c r="M1952" i="2"/>
  <c r="P2712" i="2"/>
  <c r="W327" i="2"/>
  <c r="T1718" i="2"/>
  <c r="M491" i="2"/>
  <c r="V1296" i="2"/>
  <c r="V125" i="2"/>
  <c r="G2175" i="2"/>
  <c r="T1042" i="2"/>
  <c r="U380" i="2"/>
  <c r="W1480" i="2"/>
  <c r="Q446" i="2"/>
  <c r="T320" i="2"/>
  <c r="W3170" i="2"/>
  <c r="W959" i="2"/>
  <c r="O1947" i="2"/>
  <c r="O1945" i="2"/>
  <c r="V1010" i="2"/>
  <c r="S600" i="2"/>
  <c r="U38" i="2"/>
  <c r="E1185" i="2"/>
  <c r="T1369" i="2"/>
  <c r="N2151" i="2"/>
  <c r="V17" i="2"/>
  <c r="J1605" i="2"/>
  <c r="I1593" i="2"/>
  <c r="O1697" i="2"/>
  <c r="M776" i="2"/>
  <c r="I1132" i="2"/>
  <c r="I304" i="2"/>
  <c r="R1364" i="2"/>
  <c r="F2025" i="2"/>
  <c r="G262" i="2"/>
  <c r="C1548" i="2"/>
  <c r="K3034" i="2"/>
  <c r="I487" i="2"/>
  <c r="J582" i="2"/>
  <c r="F2306" i="2"/>
  <c r="M1324" i="2"/>
  <c r="W2165" i="2"/>
  <c r="N1238" i="2"/>
  <c r="S382" i="2"/>
  <c r="V723" i="2"/>
  <c r="I1151" i="2"/>
  <c r="N167" i="2"/>
  <c r="K1955" i="2"/>
  <c r="I1023" i="2"/>
  <c r="R82" i="2"/>
  <c r="K2067" i="2"/>
  <c r="M1801" i="2"/>
  <c r="Q1882" i="2"/>
  <c r="Q166" i="2"/>
  <c r="K1600" i="2"/>
  <c r="G422" i="2"/>
  <c r="F654" i="2"/>
  <c r="K2030" i="2"/>
  <c r="D1467" i="2"/>
  <c r="S201" i="2"/>
  <c r="G650" i="2"/>
  <c r="R1140" i="2"/>
  <c r="S599" i="2"/>
  <c r="D936" i="2"/>
  <c r="W569" i="2"/>
  <c r="D928" i="2"/>
  <c r="W1970" i="2"/>
  <c r="U2368" i="2"/>
  <c r="Q2156" i="2"/>
  <c r="D1124" i="2"/>
  <c r="K1489" i="2"/>
  <c r="S1982" i="2"/>
  <c r="D1258" i="2"/>
  <c r="S1087" i="2"/>
  <c r="R949" i="2"/>
  <c r="V2316" i="2"/>
  <c r="H542" i="2"/>
  <c r="Q388" i="2"/>
  <c r="K1134" i="2"/>
  <c r="T1412" i="2"/>
  <c r="N1365" i="2"/>
  <c r="Q900" i="2"/>
  <c r="J1789" i="2"/>
  <c r="V29" i="2"/>
  <c r="S49" i="2"/>
  <c r="G403" i="2"/>
  <c r="O865" i="2"/>
  <c r="R216" i="2"/>
  <c r="V123" i="2"/>
  <c r="O778" i="2"/>
  <c r="C2840" i="2"/>
  <c r="J352" i="2"/>
  <c r="I900" i="2"/>
  <c r="M1147" i="2"/>
  <c r="L1068" i="2"/>
  <c r="O515" i="2"/>
  <c r="F1584" i="2"/>
  <c r="S907" i="2"/>
  <c r="H1536" i="2"/>
  <c r="J381" i="2"/>
  <c r="C313" i="2"/>
  <c r="F2579" i="2"/>
  <c r="T367" i="2"/>
  <c r="M1244" i="2"/>
  <c r="W2426" i="2"/>
  <c r="W1263" i="2"/>
  <c r="K349" i="2"/>
  <c r="K949" i="2"/>
  <c r="K1313" i="2"/>
  <c r="D1481" i="2"/>
  <c r="T588" i="2"/>
  <c r="L932" i="2"/>
  <c r="W851" i="2"/>
  <c r="E2563" i="2"/>
  <c r="H2345" i="2"/>
  <c r="G1773" i="2"/>
  <c r="J602" i="2"/>
  <c r="W1215" i="2"/>
  <c r="G164" i="2"/>
  <c r="O1768" i="2"/>
  <c r="M775" i="2"/>
  <c r="H510" i="2"/>
  <c r="H1455" i="2"/>
  <c r="K694" i="2"/>
  <c r="Q1246" i="2"/>
  <c r="V754" i="2"/>
  <c r="W726" i="2"/>
  <c r="G453" i="2"/>
  <c r="F2307" i="2"/>
  <c r="S1424" i="2"/>
  <c r="G2312" i="2"/>
  <c r="D457" i="2"/>
  <c r="Q889" i="2"/>
  <c r="S118" i="2"/>
  <c r="N1846" i="2"/>
  <c r="V729" i="2"/>
  <c r="F1245" i="2"/>
  <c r="E1201" i="2"/>
  <c r="P124" i="2"/>
  <c r="L1365" i="2"/>
  <c r="V1285" i="2"/>
  <c r="Q346" i="2"/>
  <c r="V2670" i="2"/>
  <c r="Q492" i="2"/>
  <c r="Q2353" i="2"/>
  <c r="E899" i="2"/>
  <c r="T471" i="2"/>
  <c r="O966" i="2"/>
  <c r="N455" i="2"/>
  <c r="D285" i="2"/>
  <c r="E604" i="2"/>
  <c r="H1672" i="2"/>
  <c r="S702" i="2"/>
  <c r="S1159" i="2"/>
  <c r="C1833" i="2"/>
  <c r="M1534" i="2"/>
  <c r="I2054" i="2"/>
  <c r="L502" i="2"/>
  <c r="I148" i="2"/>
  <c r="C1569" i="2"/>
  <c r="K187" i="2"/>
  <c r="W581" i="2"/>
  <c r="V447" i="2"/>
  <c r="C713" i="2"/>
  <c r="P2395" i="2"/>
  <c r="R2187" i="2"/>
  <c r="I256" i="2"/>
  <c r="U1533" i="2"/>
  <c r="C330" i="2"/>
  <c r="C1598" i="2"/>
  <c r="S1310" i="2"/>
  <c r="D2564" i="2"/>
  <c r="S2228" i="2"/>
  <c r="V800" i="2"/>
  <c r="D1232" i="2"/>
  <c r="S1602" i="2"/>
  <c r="M477" i="2"/>
  <c r="U633" i="2"/>
  <c r="N139" i="2"/>
  <c r="D3101" i="2"/>
  <c r="C1007" i="2"/>
  <c r="P2777" i="2"/>
  <c r="F163" i="2"/>
  <c r="Q1348" i="2"/>
  <c r="O1161" i="2"/>
  <c r="S171" i="2"/>
  <c r="M732" i="2"/>
  <c r="C191" i="2"/>
  <c r="O897" i="2"/>
  <c r="N81" i="2"/>
  <c r="F710" i="2"/>
  <c r="O2068" i="2"/>
  <c r="R2020" i="2"/>
  <c r="U976" i="2"/>
  <c r="P1721" i="2"/>
  <c r="P2900" i="2"/>
  <c r="W2472" i="2"/>
  <c r="K1579" i="2"/>
  <c r="G2138" i="2"/>
  <c r="E259" i="2"/>
  <c r="I2233" i="2"/>
  <c r="R947" i="2"/>
  <c r="M216" i="2"/>
  <c r="D1379" i="2"/>
  <c r="N2942" i="2"/>
  <c r="N2109" i="2"/>
  <c r="D1545" i="2"/>
  <c r="H1029" i="2"/>
  <c r="C697" i="2"/>
  <c r="G1303" i="2"/>
  <c r="N2595" i="2"/>
  <c r="I323" i="2"/>
  <c r="U1595" i="2"/>
  <c r="P1539" i="2"/>
  <c r="R748" i="2"/>
  <c r="G1910" i="2"/>
  <c r="I665" i="2"/>
  <c r="V809" i="2"/>
  <c r="K1671" i="2"/>
  <c r="J607" i="2"/>
  <c r="W1433" i="2"/>
  <c r="I2680" i="2"/>
  <c r="M828" i="2"/>
  <c r="J903" i="2"/>
  <c r="T1248" i="2"/>
  <c r="N1265" i="2"/>
  <c r="H693" i="2"/>
  <c r="D1131" i="2"/>
  <c r="F305" i="2"/>
  <c r="I875" i="2"/>
  <c r="F240" i="2"/>
  <c r="H336" i="2"/>
  <c r="F2495" i="2"/>
  <c r="I621" i="2"/>
  <c r="L1630" i="2"/>
  <c r="G388" i="2"/>
  <c r="V700" i="2"/>
  <c r="F498" i="2"/>
  <c r="O2714" i="2"/>
  <c r="Q912" i="2"/>
  <c r="K1222" i="2"/>
  <c r="J930" i="2"/>
  <c r="G1670" i="2"/>
  <c r="J2384" i="2"/>
  <c r="J384" i="2"/>
  <c r="U1193" i="2"/>
  <c r="H2221" i="2"/>
  <c r="C1429" i="2"/>
  <c r="O2338" i="2"/>
  <c r="W52" i="2"/>
  <c r="K662" i="2"/>
  <c r="V871" i="2"/>
  <c r="M94" i="2"/>
  <c r="E1516" i="2"/>
  <c r="M2309" i="2"/>
  <c r="V1515" i="2"/>
  <c r="F1420" i="2"/>
  <c r="Q1447" i="2"/>
  <c r="E868" i="2"/>
  <c r="D1449" i="2"/>
  <c r="C639" i="2"/>
  <c r="L900" i="2"/>
  <c r="P3094" i="2"/>
  <c r="E1108" i="2"/>
  <c r="E2225" i="2"/>
  <c r="U1493" i="2"/>
  <c r="F3060" i="2"/>
  <c r="S1265" i="2"/>
  <c r="L817" i="2"/>
  <c r="F1895" i="2"/>
  <c r="J774" i="2"/>
  <c r="L1569" i="2"/>
  <c r="D646" i="2"/>
  <c r="F319" i="2"/>
  <c r="D21" i="2"/>
  <c r="C1512" i="2"/>
  <c r="T69" i="2"/>
  <c r="V507" i="2"/>
  <c r="H1572" i="2"/>
  <c r="M1595" i="2"/>
  <c r="W93" i="2"/>
  <c r="C770" i="2"/>
  <c r="L344" i="2"/>
  <c r="U1075" i="2"/>
  <c r="R1760" i="2"/>
  <c r="N1215" i="2"/>
  <c r="P1681" i="2"/>
  <c r="H866" i="2"/>
  <c r="K1016" i="2"/>
  <c r="D2307" i="2"/>
  <c r="D1384" i="2"/>
  <c r="D2820" i="2"/>
  <c r="E1257" i="2"/>
  <c r="U224" i="2"/>
  <c r="O1405" i="2"/>
  <c r="J1422" i="2"/>
  <c r="W1823" i="2"/>
  <c r="L148" i="2"/>
  <c r="P2019" i="2"/>
  <c r="Q922" i="2"/>
  <c r="T406" i="2"/>
  <c r="W296" i="2"/>
  <c r="F8" i="2"/>
  <c r="F971" i="2"/>
  <c r="O733" i="2"/>
  <c r="U374" i="2"/>
  <c r="G748" i="2"/>
  <c r="J126" i="2"/>
  <c r="E223" i="2"/>
  <c r="N720" i="2"/>
  <c r="U2310" i="2"/>
  <c r="P1429" i="2"/>
  <c r="N41" i="2"/>
  <c r="J481" i="2"/>
  <c r="S1775" i="2"/>
  <c r="H1732" i="2"/>
  <c r="V675" i="2"/>
  <c r="U2300" i="2"/>
  <c r="R210" i="2"/>
  <c r="T2668" i="2"/>
  <c r="L1405" i="2"/>
  <c r="M504" i="2"/>
  <c r="M1445" i="2"/>
  <c r="T3068" i="2"/>
  <c r="D533" i="2"/>
  <c r="H528" i="2"/>
  <c r="N1876" i="2"/>
  <c r="U1863" i="2"/>
  <c r="T1481" i="2"/>
  <c r="F1190" i="2"/>
  <c r="P2658" i="2"/>
  <c r="V2318" i="2"/>
  <c r="R1687" i="2"/>
  <c r="D1771" i="2"/>
  <c r="L1941" i="2"/>
  <c r="M2092" i="2"/>
  <c r="C606" i="2"/>
  <c r="U2228" i="2"/>
  <c r="D2255" i="2"/>
  <c r="L771" i="2"/>
  <c r="J1536" i="2"/>
  <c r="L66" i="2"/>
  <c r="O321" i="2"/>
  <c r="Q1272" i="2"/>
  <c r="J1517" i="2"/>
  <c r="N220" i="2"/>
  <c r="L384" i="2"/>
  <c r="Q1488" i="2"/>
  <c r="P922" i="2"/>
  <c r="F1516" i="2"/>
  <c r="E125" i="2"/>
  <c r="T723" i="2"/>
  <c r="P594" i="2"/>
  <c r="L1217" i="2"/>
  <c r="R926" i="2"/>
  <c r="R270" i="2"/>
  <c r="P1848" i="2"/>
  <c r="H2224" i="2"/>
  <c r="R122" i="2"/>
  <c r="P2848" i="2"/>
  <c r="J1365" i="2"/>
  <c r="P1037" i="2"/>
  <c r="K383" i="2"/>
  <c r="S1427" i="2"/>
  <c r="D1062" i="2"/>
  <c r="R271" i="2"/>
  <c r="I533" i="2"/>
  <c r="L909" i="2"/>
  <c r="J1048" i="2"/>
  <c r="U1699" i="2"/>
  <c r="H2979" i="2"/>
  <c r="D2084" i="2"/>
  <c r="E2184" i="2"/>
  <c r="I105" i="2"/>
  <c r="H376" i="2"/>
  <c r="J2181" i="2"/>
  <c r="F2152" i="2"/>
  <c r="L29" i="2"/>
  <c r="P2362" i="2"/>
  <c r="F114" i="2"/>
  <c r="W2049" i="2"/>
  <c r="K953" i="2"/>
  <c r="D1547" i="2"/>
  <c r="S2528" i="2"/>
  <c r="W2005" i="2"/>
  <c r="U1320" i="2"/>
  <c r="M1463" i="2"/>
  <c r="N36" i="2"/>
  <c r="V22" i="2"/>
  <c r="I817" i="2"/>
  <c r="D1127" i="2"/>
  <c r="E2291" i="2"/>
  <c r="J1619" i="2"/>
  <c r="E477" i="2"/>
  <c r="S1926" i="2"/>
  <c r="V2376" i="2"/>
  <c r="M268" i="2"/>
  <c r="D2698" i="2"/>
  <c r="N3254" i="2"/>
  <c r="E1349" i="2"/>
  <c r="S2135" i="2"/>
  <c r="D230" i="2"/>
  <c r="E2106" i="2"/>
  <c r="L2234" i="2"/>
  <c r="V580" i="2"/>
  <c r="T1091" i="2"/>
  <c r="J1083" i="2"/>
  <c r="R1623" i="2"/>
  <c r="T323" i="2"/>
  <c r="I296" i="2"/>
  <c r="N3261" i="2"/>
  <c r="S2409" i="2"/>
  <c r="M3323" i="2"/>
  <c r="V1318" i="2"/>
  <c r="N1942" i="2"/>
  <c r="W2912" i="2"/>
  <c r="M635" i="2"/>
  <c r="L70" i="2"/>
  <c r="M372" i="2"/>
  <c r="K55" i="2"/>
  <c r="N1790" i="2"/>
  <c r="S2563" i="2"/>
  <c r="H484" i="2"/>
  <c r="M1966" i="2"/>
  <c r="R1300" i="2"/>
  <c r="L2017" i="2"/>
  <c r="L142" i="2"/>
  <c r="G2046" i="2"/>
  <c r="U2111" i="2"/>
  <c r="D74" i="2"/>
  <c r="R2785" i="2"/>
  <c r="O1618" i="2"/>
  <c r="G1982" i="2"/>
  <c r="T2135" i="2"/>
  <c r="N1103" i="2"/>
  <c r="K125" i="2"/>
  <c r="P318" i="2"/>
  <c r="Q45" i="2"/>
  <c r="W1161" i="2"/>
  <c r="L920" i="2"/>
  <c r="T148" i="2"/>
  <c r="L1948" i="2"/>
  <c r="L73" i="2"/>
  <c r="F700" i="2"/>
  <c r="J2542" i="2"/>
  <c r="F2051" i="2"/>
  <c r="O1382" i="2"/>
  <c r="O1427" i="2"/>
  <c r="E529" i="2"/>
  <c r="L108" i="2"/>
  <c r="V2595" i="2"/>
  <c r="I412" i="2"/>
  <c r="G47" i="2"/>
  <c r="C2958" i="2"/>
  <c r="W528" i="2"/>
  <c r="R2573" i="2"/>
  <c r="E1869" i="2"/>
  <c r="G537" i="2"/>
  <c r="V1927" i="2"/>
  <c r="T2479" i="2"/>
  <c r="S1281" i="2"/>
  <c r="T2176" i="2"/>
  <c r="T1058" i="2"/>
  <c r="P2274" i="2"/>
  <c r="H840" i="2"/>
  <c r="N718" i="2"/>
  <c r="T1128" i="2"/>
  <c r="I2359" i="2"/>
  <c r="I606" i="2"/>
  <c r="P264" i="2"/>
  <c r="S392" i="2"/>
  <c r="P1905" i="2"/>
  <c r="F196" i="2"/>
  <c r="N701" i="2"/>
  <c r="H302" i="2"/>
  <c r="L2860" i="2"/>
  <c r="H260" i="2"/>
  <c r="I3293" i="2"/>
  <c r="N2314" i="2"/>
  <c r="P646" i="2"/>
  <c r="F2106" i="2"/>
  <c r="K1447" i="2"/>
  <c r="J724" i="2"/>
  <c r="P767" i="2"/>
  <c r="V115" i="2"/>
  <c r="Q1284" i="2"/>
  <c r="G1650" i="2"/>
  <c r="L54" i="2"/>
  <c r="S604" i="2"/>
  <c r="P2674" i="2"/>
  <c r="D496" i="2"/>
  <c r="M715" i="2"/>
  <c r="P246" i="2"/>
  <c r="R887" i="2"/>
  <c r="M1728" i="2"/>
  <c r="J1035" i="2"/>
  <c r="Q1265" i="2"/>
  <c r="L1231" i="2"/>
  <c r="E2237" i="2"/>
  <c r="M35" i="2"/>
  <c r="F2403" i="2"/>
  <c r="R1912" i="2"/>
  <c r="J1741" i="2"/>
  <c r="F703" i="2"/>
  <c r="P2408" i="2"/>
  <c r="P193" i="2"/>
  <c r="N177" i="2"/>
  <c r="W2056" i="2"/>
  <c r="L1243" i="2"/>
  <c r="E2132" i="2"/>
  <c r="M838" i="2"/>
  <c r="E548" i="2"/>
  <c r="W225" i="2"/>
  <c r="F516" i="2"/>
  <c r="C736" i="2"/>
  <c r="O842" i="2"/>
  <c r="V1443" i="2"/>
  <c r="G833" i="2"/>
  <c r="P3211" i="2"/>
  <c r="J136" i="2"/>
  <c r="J2369" i="2"/>
  <c r="I1693" i="2"/>
  <c r="K2055" i="2"/>
  <c r="T1721" i="2"/>
  <c r="V1497" i="2"/>
  <c r="M129" i="2"/>
  <c r="P1016" i="2"/>
  <c r="L1753" i="2"/>
  <c r="L1922" i="2"/>
  <c r="V2448" i="2"/>
  <c r="J2273" i="2"/>
  <c r="W428" i="2"/>
  <c r="S922" i="2"/>
  <c r="V973" i="2"/>
  <c r="D2602" i="2"/>
  <c r="T2134" i="2"/>
  <c r="C563" i="2"/>
  <c r="Q1522" i="2"/>
  <c r="U796" i="2"/>
  <c r="I259" i="2"/>
  <c r="Q215" i="2"/>
  <c r="R1184" i="2"/>
  <c r="Q1938" i="2"/>
  <c r="J845" i="2"/>
  <c r="R2295" i="2"/>
  <c r="R2811" i="2"/>
  <c r="U390" i="2"/>
  <c r="O1017" i="2"/>
  <c r="K58" i="2"/>
  <c r="P73" i="2"/>
  <c r="R1827" i="2"/>
  <c r="F917" i="2"/>
  <c r="F304" i="2"/>
  <c r="T1414" i="2"/>
  <c r="O31" i="2"/>
  <c r="M382" i="2"/>
  <c r="K3" i="2"/>
  <c r="O77" i="2"/>
  <c r="K334" i="2"/>
  <c r="F1448" i="2"/>
  <c r="C181" i="2"/>
  <c r="K1027" i="2"/>
  <c r="E693" i="2"/>
  <c r="R1952" i="2"/>
  <c r="T189" i="2"/>
  <c r="K2069" i="2"/>
  <c r="S79" i="2"/>
  <c r="F936" i="2"/>
  <c r="C778" i="2"/>
  <c r="Q322" i="2"/>
  <c r="W1450" i="2"/>
  <c r="D2273" i="2"/>
  <c r="H2278" i="2"/>
  <c r="W35" i="2"/>
  <c r="C2475" i="2"/>
  <c r="U844" i="2"/>
  <c r="L1971" i="2"/>
  <c r="Q3092" i="2"/>
  <c r="N1301" i="2"/>
  <c r="G2595" i="2"/>
  <c r="I2726" i="2"/>
  <c r="T1516" i="2"/>
  <c r="K2594" i="2"/>
  <c r="F594" i="2"/>
  <c r="G942" i="2"/>
  <c r="M208" i="2"/>
  <c r="T61" i="2"/>
  <c r="T2845" i="2"/>
  <c r="I972" i="2"/>
  <c r="D284" i="2"/>
  <c r="H1989" i="2"/>
  <c r="E359" i="2"/>
  <c r="Q743" i="2"/>
  <c r="F34" i="2"/>
  <c r="D1008" i="2"/>
  <c r="E734" i="2"/>
  <c r="K2300" i="2"/>
  <c r="L1367" i="2"/>
  <c r="P312" i="2"/>
  <c r="K2090" i="2"/>
  <c r="T1491" i="2"/>
  <c r="I1789" i="2"/>
  <c r="C1689" i="2"/>
  <c r="E576" i="2"/>
  <c r="G121" i="2"/>
  <c r="K1980" i="2"/>
  <c r="E188" i="2"/>
  <c r="D14" i="2"/>
  <c r="D691" i="2"/>
  <c r="U544" i="2"/>
  <c r="N191" i="2"/>
  <c r="D1654" i="2"/>
  <c r="L1120" i="2"/>
  <c r="S941" i="2"/>
  <c r="N51" i="2"/>
  <c r="U2144" i="2"/>
  <c r="G778" i="2"/>
  <c r="V218" i="2"/>
  <c r="J1015" i="2"/>
  <c r="C1319" i="2"/>
  <c r="F2532" i="2"/>
  <c r="L1394" i="2"/>
  <c r="L97" i="2"/>
  <c r="F2452" i="2"/>
  <c r="T449" i="2"/>
  <c r="T146" i="2"/>
  <c r="S104" i="2"/>
  <c r="D1274" i="2"/>
  <c r="K960" i="2"/>
  <c r="N1248" i="2"/>
  <c r="M2502" i="2"/>
  <c r="R2249" i="2"/>
  <c r="G2567" i="2"/>
  <c r="E1557" i="2"/>
  <c r="S71" i="2"/>
  <c r="E1404" i="2"/>
  <c r="L482" i="2"/>
  <c r="I1703" i="2"/>
  <c r="F1908" i="2"/>
  <c r="Q22" i="2"/>
  <c r="T776" i="2"/>
  <c r="R940" i="2"/>
  <c r="F2766" i="2"/>
  <c r="W76" i="2"/>
  <c r="U1034" i="2"/>
  <c r="L1692" i="2"/>
  <c r="E237" i="2"/>
  <c r="V2964" i="2"/>
  <c r="H2262" i="2"/>
  <c r="O2970" i="2"/>
  <c r="L657" i="2"/>
  <c r="R347" i="2"/>
  <c r="O451" i="2"/>
  <c r="I2938" i="2"/>
  <c r="W521" i="2"/>
  <c r="F1633" i="2"/>
  <c r="S453" i="2"/>
  <c r="Q1568" i="2"/>
  <c r="K359" i="2"/>
  <c r="E2745" i="2"/>
  <c r="M810" i="2"/>
  <c r="D2156" i="2"/>
  <c r="J1338" i="2"/>
  <c r="T1945" i="2"/>
  <c r="M1187" i="2"/>
  <c r="K3136" i="2"/>
  <c r="M159" i="2"/>
  <c r="N1644" i="2"/>
  <c r="W174" i="2"/>
  <c r="O682" i="2"/>
  <c r="H1175" i="2"/>
  <c r="M944" i="2"/>
  <c r="L402" i="2"/>
  <c r="P141" i="2"/>
  <c r="M2258" i="2"/>
  <c r="N2471" i="2"/>
  <c r="K409" i="2"/>
  <c r="F2084" i="2"/>
  <c r="N710" i="2"/>
  <c r="P917" i="2"/>
  <c r="Q612" i="2"/>
  <c r="C593" i="2"/>
  <c r="D1517" i="2"/>
  <c r="I618" i="2"/>
  <c r="U292" i="2"/>
  <c r="P851" i="2"/>
  <c r="M913" i="2"/>
  <c r="K74" i="2"/>
  <c r="T727" i="2"/>
  <c r="I1831" i="2"/>
  <c r="S309" i="2"/>
  <c r="U226" i="2"/>
  <c r="D981" i="2"/>
  <c r="M1723" i="2"/>
  <c r="I364" i="2"/>
  <c r="V794" i="2"/>
  <c r="V1619" i="2"/>
  <c r="D193" i="2"/>
  <c r="F735" i="2"/>
  <c r="V1260" i="2"/>
  <c r="V1161" i="2"/>
  <c r="S178" i="2"/>
  <c r="G474" i="2"/>
  <c r="N574" i="2"/>
  <c r="J1713" i="2"/>
  <c r="S739" i="2"/>
  <c r="K876" i="2"/>
  <c r="N463" i="2"/>
  <c r="S2970" i="2"/>
  <c r="N2039" i="2"/>
  <c r="W1475" i="2"/>
  <c r="R880" i="2"/>
  <c r="R1750" i="2"/>
  <c r="F89" i="2"/>
  <c r="I1989" i="2"/>
  <c r="W2404" i="2"/>
  <c r="L737" i="2"/>
  <c r="L1313" i="2"/>
  <c r="E1085" i="2"/>
  <c r="O1794" i="2"/>
  <c r="S13" i="2"/>
  <c r="T535" i="2"/>
  <c r="F1687" i="2"/>
  <c r="U300" i="2"/>
  <c r="N2385" i="2"/>
  <c r="W2330" i="2"/>
  <c r="C1648" i="2"/>
  <c r="U2000" i="2"/>
  <c r="J323" i="2"/>
  <c r="O685" i="2"/>
  <c r="F1480" i="2"/>
  <c r="T503" i="2"/>
  <c r="W1954" i="2"/>
  <c r="N1023" i="2"/>
  <c r="F1380" i="2"/>
  <c r="N2472" i="2"/>
  <c r="C621" i="2"/>
  <c r="J1975" i="2"/>
  <c r="H992" i="2"/>
  <c r="C368" i="2"/>
  <c r="C60" i="2"/>
  <c r="Q1620" i="2"/>
  <c r="R212" i="2"/>
  <c r="M1785" i="2"/>
  <c r="H203" i="2"/>
  <c r="L1970" i="2"/>
  <c r="S156" i="2"/>
  <c r="I1377" i="2"/>
  <c r="E1672" i="2"/>
  <c r="J482" i="2"/>
  <c r="E1286" i="2"/>
  <c r="O1204" i="2"/>
  <c r="I1443" i="2"/>
  <c r="L421" i="2"/>
  <c r="I655" i="2"/>
  <c r="U1651" i="2"/>
  <c r="O547" i="2"/>
  <c r="D1106" i="2"/>
  <c r="N2585" i="2"/>
  <c r="K2046" i="2"/>
  <c r="I2625" i="2"/>
  <c r="P1928" i="2"/>
  <c r="I231" i="2"/>
  <c r="I1485" i="2"/>
  <c r="V918" i="2"/>
  <c r="E1276" i="2"/>
  <c r="S356" i="2"/>
  <c r="P1236" i="2"/>
  <c r="L2186" i="2"/>
  <c r="Q276" i="2"/>
  <c r="E106" i="2"/>
  <c r="R693" i="2"/>
  <c r="R356" i="2"/>
  <c r="C1097" i="2"/>
  <c r="T160" i="2"/>
  <c r="P935" i="2"/>
  <c r="S977" i="2"/>
  <c r="K1229" i="2"/>
  <c r="J727" i="2"/>
  <c r="T1926" i="2"/>
  <c r="G1275" i="2"/>
  <c r="G2114" i="2"/>
  <c r="J1211" i="2"/>
  <c r="Q130" i="2"/>
  <c r="C172" i="2"/>
  <c r="C611" i="2"/>
  <c r="G2469" i="2"/>
  <c r="F1149" i="2"/>
  <c r="K1276" i="2"/>
  <c r="G605" i="2"/>
  <c r="G339" i="2"/>
  <c r="K2705" i="2"/>
  <c r="G2386" i="2"/>
  <c r="M2206" i="2"/>
  <c r="F586" i="2"/>
  <c r="N832" i="2"/>
  <c r="F2915" i="2"/>
  <c r="W393" i="2"/>
  <c r="F709" i="2"/>
  <c r="W872" i="2"/>
  <c r="M1449" i="2"/>
  <c r="L80" i="2"/>
  <c r="F2237" i="2"/>
  <c r="E1532" i="2"/>
  <c r="M3363" i="2"/>
  <c r="L1090" i="2"/>
  <c r="V311" i="2"/>
  <c r="L892" i="2"/>
  <c r="M2215" i="2"/>
  <c r="R735" i="2"/>
  <c r="H190" i="2"/>
  <c r="L1157" i="2"/>
  <c r="N1287" i="2"/>
  <c r="R2333" i="2"/>
  <c r="H315" i="2"/>
  <c r="P777" i="2"/>
  <c r="J19" i="2"/>
  <c r="N2235" i="2"/>
  <c r="D1170" i="2"/>
  <c r="C1114" i="2"/>
  <c r="R85" i="2"/>
  <c r="U1997" i="2"/>
  <c r="W920" i="2"/>
  <c r="W227" i="2"/>
  <c r="M88" i="2"/>
  <c r="K773" i="2"/>
  <c r="M2063" i="2"/>
  <c r="D1468" i="2"/>
  <c r="F33" i="2"/>
  <c r="M1048" i="2"/>
  <c r="J2239" i="2"/>
  <c r="W2358" i="2"/>
  <c r="L2644" i="2"/>
  <c r="O986" i="2"/>
  <c r="M1074" i="2"/>
  <c r="C3118" i="2"/>
  <c r="M125" i="2"/>
  <c r="Q1608" i="2"/>
  <c r="Q1081" i="2"/>
  <c r="F1280" i="2"/>
  <c r="K1358" i="2"/>
  <c r="H2076" i="2"/>
  <c r="S2281" i="2"/>
  <c r="Q2936" i="2"/>
  <c r="K255" i="2"/>
  <c r="D2763" i="2"/>
  <c r="U653" i="2"/>
  <c r="G11" i="2"/>
  <c r="G1181" i="2"/>
  <c r="N134" i="2"/>
  <c r="C942" i="2"/>
  <c r="H2727" i="2"/>
  <c r="V2588" i="2"/>
  <c r="U3153" i="2"/>
  <c r="F2140" i="2"/>
  <c r="C1001" i="2"/>
  <c r="U952" i="2"/>
  <c r="C2251" i="2"/>
  <c r="E493" i="2"/>
  <c r="C1836" i="2"/>
  <c r="J161" i="2"/>
  <c r="G433" i="2"/>
  <c r="L1727" i="2"/>
  <c r="U1847" i="2"/>
  <c r="O395" i="2"/>
  <c r="I1002" i="2"/>
  <c r="K1576" i="2"/>
  <c r="R2513" i="2"/>
  <c r="J1362" i="2"/>
  <c r="N56" i="2"/>
  <c r="D1812" i="2"/>
  <c r="O1570" i="2"/>
  <c r="E2973" i="2"/>
  <c r="F675" i="2"/>
  <c r="J1074" i="2"/>
  <c r="T891" i="2"/>
  <c r="S381" i="2"/>
  <c r="I2112" i="2"/>
  <c r="O1580" i="2"/>
  <c r="U669" i="2"/>
  <c r="R1960" i="2"/>
  <c r="I823" i="2"/>
  <c r="M300" i="2"/>
  <c r="G629" i="2"/>
  <c r="H887" i="2"/>
  <c r="I1728" i="2"/>
  <c r="S2261" i="2"/>
  <c r="E1936" i="2"/>
  <c r="J364" i="2"/>
  <c r="J1080" i="2"/>
  <c r="C1081" i="2"/>
  <c r="P2163" i="2"/>
  <c r="T21" i="2"/>
  <c r="W1204" i="2"/>
  <c r="V882" i="2"/>
  <c r="C2105" i="2"/>
  <c r="F1039" i="2"/>
  <c r="R2289" i="2"/>
  <c r="M569" i="2"/>
  <c r="I1328" i="2"/>
  <c r="W2288" i="2"/>
  <c r="G599" i="2"/>
  <c r="J573" i="2"/>
  <c r="H533" i="2"/>
  <c r="J1428" i="2"/>
  <c r="U1290" i="2"/>
  <c r="E1602" i="2"/>
  <c r="W665" i="2"/>
  <c r="O283" i="2"/>
  <c r="O700" i="2"/>
  <c r="W476" i="2"/>
  <c r="M1180" i="2"/>
  <c r="P2880" i="2"/>
  <c r="F150" i="2"/>
  <c r="R301" i="2"/>
  <c r="M583" i="2"/>
  <c r="P1155" i="2"/>
  <c r="N1504" i="2"/>
  <c r="G1529" i="2"/>
  <c r="U1698" i="2"/>
  <c r="U2855" i="2"/>
  <c r="D2102" i="2"/>
  <c r="J1948" i="2"/>
  <c r="R2824" i="2"/>
  <c r="V2015" i="2"/>
  <c r="M1450" i="2"/>
  <c r="N1318" i="2"/>
  <c r="P1262" i="2"/>
  <c r="N169" i="2"/>
  <c r="W2517" i="2"/>
  <c r="N886" i="2"/>
  <c r="F2318" i="2"/>
  <c r="F2126" i="2"/>
  <c r="V336" i="2"/>
  <c r="D603" i="2"/>
  <c r="T681" i="2"/>
  <c r="C28" i="2"/>
  <c r="T2775" i="2"/>
  <c r="D864" i="2"/>
  <c r="S360" i="2"/>
  <c r="O1828" i="2"/>
  <c r="P531" i="2"/>
  <c r="P338" i="2"/>
  <c r="K1128" i="2"/>
  <c r="J871" i="2"/>
  <c r="F198" i="2"/>
  <c r="T1388" i="2"/>
  <c r="W1516" i="2"/>
  <c r="L3304" i="2"/>
  <c r="G421" i="2"/>
  <c r="G614" i="2"/>
  <c r="T1763" i="2"/>
  <c r="G1470" i="2"/>
  <c r="E2880" i="2"/>
  <c r="Q2523" i="2"/>
  <c r="E2194" i="2"/>
  <c r="F2749" i="2"/>
  <c r="H2063" i="2"/>
  <c r="F187" i="2"/>
  <c r="G159" i="2"/>
  <c r="L1109" i="2"/>
  <c r="R715" i="2"/>
  <c r="K38" i="2"/>
  <c r="J1207" i="2"/>
  <c r="F2211" i="2"/>
  <c r="Q1347" i="2"/>
  <c r="I2098" i="2"/>
  <c r="L1051" i="2"/>
  <c r="S499" i="2"/>
  <c r="P2409" i="2"/>
  <c r="D1471" i="2"/>
  <c r="U2511" i="2"/>
  <c r="W1686" i="2"/>
  <c r="L1245" i="2"/>
  <c r="P848" i="2"/>
  <c r="C1973" i="2"/>
  <c r="E378" i="2"/>
  <c r="H1142" i="2"/>
  <c r="W357" i="2"/>
  <c r="C2045" i="2"/>
  <c r="I727" i="2"/>
  <c r="K1789" i="2"/>
  <c r="W602" i="2"/>
  <c r="S2010" i="2"/>
  <c r="G3198" i="2"/>
  <c r="L638" i="2"/>
  <c r="N881" i="2"/>
  <c r="F593" i="2"/>
  <c r="J890" i="2"/>
  <c r="L654" i="2"/>
  <c r="T120" i="2"/>
  <c r="D213" i="2"/>
  <c r="N1445" i="2"/>
  <c r="U1375" i="2"/>
  <c r="F974" i="2"/>
  <c r="H1802" i="2"/>
  <c r="G33" i="2"/>
  <c r="G2408" i="2"/>
  <c r="W2196" i="2"/>
  <c r="N772" i="2"/>
  <c r="O310" i="2"/>
  <c r="S946" i="2"/>
  <c r="D170" i="2"/>
  <c r="U571" i="2"/>
  <c r="D2728" i="2"/>
  <c r="W2402" i="2"/>
  <c r="R2395" i="2"/>
  <c r="C75" i="2"/>
  <c r="S740" i="2"/>
  <c r="I1547" i="2"/>
  <c r="R1288" i="2"/>
  <c r="J2134" i="2"/>
  <c r="R14" i="2"/>
  <c r="J2080" i="2"/>
  <c r="E241" i="2"/>
  <c r="Q1212" i="2"/>
  <c r="C1582" i="2"/>
  <c r="S3197" i="2"/>
  <c r="E646" i="2"/>
  <c r="G2106" i="2"/>
  <c r="K108" i="2"/>
  <c r="U914" i="2"/>
  <c r="O13" i="2"/>
  <c r="V428" i="2"/>
  <c r="F2317" i="2"/>
  <c r="K837" i="2"/>
  <c r="Q43" i="2"/>
  <c r="Q605" i="2"/>
  <c r="K3033" i="2"/>
  <c r="N441" i="2"/>
  <c r="C808" i="2"/>
  <c r="W658" i="2"/>
  <c r="H987" i="2"/>
  <c r="V102" i="2"/>
  <c r="M356" i="2"/>
  <c r="D2656" i="2"/>
  <c r="H121" i="2"/>
  <c r="C2163" i="2"/>
  <c r="L2810" i="2"/>
  <c r="O2163" i="2"/>
  <c r="Q583" i="2"/>
  <c r="I2918" i="2"/>
  <c r="F551" i="2"/>
  <c r="D620" i="2"/>
  <c r="I159" i="2"/>
  <c r="C1084" i="2"/>
  <c r="V1175" i="2"/>
  <c r="W904" i="2"/>
  <c r="R453" i="2"/>
  <c r="P1945" i="2"/>
  <c r="R372" i="2"/>
  <c r="N1441" i="2"/>
  <c r="U1575" i="2"/>
  <c r="K1535" i="2"/>
  <c r="T101" i="2"/>
  <c r="M25" i="2"/>
  <c r="U1579" i="2"/>
  <c r="T1536" i="2"/>
  <c r="N3490" i="2"/>
  <c r="L2248" i="2"/>
  <c r="F1907" i="2"/>
  <c r="H1657" i="2"/>
  <c r="C650" i="2"/>
  <c r="U747" i="2"/>
  <c r="K664" i="2"/>
  <c r="E758" i="2"/>
  <c r="O1416" i="2"/>
  <c r="S584" i="2"/>
  <c r="S1309" i="2"/>
  <c r="P114" i="2"/>
  <c r="O198" i="2"/>
  <c r="C566" i="2"/>
  <c r="I286" i="2"/>
  <c r="H2762" i="2"/>
  <c r="C695" i="2"/>
  <c r="U1733" i="2"/>
  <c r="U1723" i="2"/>
  <c r="L2096" i="2"/>
  <c r="D2348" i="2"/>
  <c r="V1392" i="2"/>
  <c r="W361" i="2"/>
  <c r="Q1690" i="2"/>
  <c r="G40" i="2"/>
  <c r="Q2621" i="2"/>
  <c r="W1288" i="2"/>
  <c r="E345" i="2"/>
  <c r="D1224" i="2"/>
  <c r="R1123" i="2"/>
  <c r="V751" i="2"/>
  <c r="F606" i="2"/>
  <c r="D115" i="2"/>
  <c r="Q1800" i="2"/>
  <c r="S2629" i="2"/>
  <c r="C1094" i="2"/>
  <c r="W2317" i="2"/>
  <c r="D1218" i="2"/>
  <c r="P1158" i="2"/>
  <c r="C2013" i="2"/>
  <c r="S3018" i="2"/>
  <c r="F393" i="2"/>
  <c r="N1439" i="2"/>
  <c r="F328" i="2"/>
  <c r="G861" i="2"/>
  <c r="P1182" i="2"/>
  <c r="O554" i="2"/>
  <c r="W2720" i="2"/>
  <c r="E297" i="2"/>
  <c r="S1893" i="2"/>
  <c r="C2270" i="2"/>
  <c r="H1352" i="2"/>
  <c r="M935" i="2"/>
  <c r="F1303" i="2"/>
  <c r="L1129" i="2"/>
  <c r="P689" i="2"/>
  <c r="G884" i="2"/>
  <c r="N1063" i="2"/>
  <c r="D1202" i="2"/>
  <c r="T668" i="2"/>
  <c r="O3046" i="2"/>
  <c r="C1441" i="2"/>
  <c r="P207" i="2"/>
  <c r="G652" i="2"/>
  <c r="C228" i="2"/>
  <c r="F1143" i="2"/>
  <c r="C1393" i="2"/>
  <c r="Q2308" i="2"/>
  <c r="C597" i="2"/>
  <c r="R128" i="2"/>
  <c r="E2171" i="2"/>
  <c r="O1990" i="2"/>
  <c r="H676" i="2"/>
  <c r="G1816" i="2"/>
  <c r="O737" i="2"/>
  <c r="W486" i="2"/>
  <c r="C1203" i="2"/>
  <c r="J2275" i="2"/>
  <c r="D967" i="2"/>
  <c r="G245" i="2"/>
  <c r="R5" i="2"/>
  <c r="L2081" i="2"/>
  <c r="O173" i="2"/>
  <c r="P992" i="2"/>
  <c r="U35" i="2"/>
  <c r="N1789" i="2"/>
  <c r="H1308" i="2"/>
  <c r="G2080" i="2"/>
  <c r="W1544" i="2"/>
  <c r="R1950" i="2"/>
  <c r="J291" i="2"/>
  <c r="T1771" i="2"/>
  <c r="H2282" i="2"/>
  <c r="E1069" i="2"/>
  <c r="Q392" i="2"/>
  <c r="V907" i="2"/>
  <c r="J1018" i="2"/>
  <c r="G1999" i="2"/>
  <c r="G873" i="2"/>
  <c r="T1173" i="2"/>
  <c r="E2914" i="2"/>
  <c r="L1011" i="2"/>
  <c r="V2103" i="2"/>
  <c r="N2169" i="2"/>
  <c r="S759" i="2"/>
  <c r="H409" i="2"/>
  <c r="W798" i="2"/>
  <c r="I2127" i="2"/>
  <c r="F473" i="2"/>
  <c r="K2371" i="2"/>
  <c r="K2994" i="2"/>
  <c r="M512" i="2"/>
  <c r="P1041" i="2"/>
  <c r="D1699" i="2"/>
  <c r="E2832" i="2"/>
  <c r="U1215" i="2"/>
  <c r="O1923" i="2"/>
  <c r="D1259" i="2"/>
  <c r="L3026" i="2"/>
  <c r="R976" i="2"/>
  <c r="J2223" i="2"/>
  <c r="D1899" i="2"/>
  <c r="F857" i="2"/>
  <c r="K825" i="2"/>
  <c r="N1104" i="2"/>
  <c r="W2296" i="2"/>
  <c r="P320" i="2"/>
  <c r="H1836" i="2"/>
  <c r="M1705" i="2"/>
  <c r="Q2458" i="2"/>
  <c r="I1890" i="2"/>
  <c r="E145" i="2"/>
  <c r="L1755" i="2"/>
  <c r="P1557" i="2"/>
  <c r="W442" i="2"/>
  <c r="L1894" i="2"/>
  <c r="C1613" i="2"/>
  <c r="J1501" i="2"/>
  <c r="J783" i="2"/>
  <c r="E249" i="2"/>
  <c r="N1385" i="2"/>
  <c r="F431" i="2"/>
  <c r="I711" i="2"/>
  <c r="S130" i="2"/>
  <c r="F1545" i="2"/>
  <c r="F1592" i="2"/>
  <c r="G1395" i="2"/>
  <c r="M165" i="2"/>
  <c r="D292" i="2"/>
  <c r="V2292" i="2"/>
  <c r="I1830" i="2"/>
  <c r="O1850" i="2"/>
  <c r="L1089" i="2"/>
  <c r="F1526" i="2"/>
  <c r="L1673" i="2"/>
  <c r="V262" i="2"/>
  <c r="I123" i="2"/>
  <c r="O1044" i="2"/>
  <c r="Q323" i="2"/>
  <c r="R1504" i="2"/>
  <c r="O1505" i="2"/>
  <c r="K644" i="2"/>
  <c r="L1862" i="2"/>
  <c r="P4" i="2"/>
  <c r="H1393" i="2"/>
  <c r="W777" i="2"/>
  <c r="R143" i="2"/>
  <c r="N102" i="2"/>
  <c r="C1734" i="2"/>
  <c r="E186" i="2"/>
  <c r="R711" i="2"/>
  <c r="W1010" i="2"/>
  <c r="V95" i="2"/>
  <c r="S58" i="2"/>
  <c r="L653" i="2"/>
  <c r="Q736" i="2"/>
  <c r="M2585" i="2"/>
  <c r="O2488" i="2"/>
  <c r="D310" i="2"/>
  <c r="N466" i="2"/>
  <c r="W713" i="2"/>
  <c r="L851" i="2"/>
  <c r="P1813" i="2"/>
  <c r="K1837" i="2"/>
  <c r="T97" i="2"/>
  <c r="P910" i="2"/>
  <c r="N1918" i="2"/>
  <c r="R794" i="2"/>
  <c r="D1414" i="2"/>
  <c r="F1604" i="2"/>
  <c r="C601" i="2"/>
  <c r="D2756" i="2"/>
  <c r="Q131" i="2"/>
  <c r="P566" i="2"/>
  <c r="O1454" i="2"/>
  <c r="T309" i="2"/>
  <c r="G2659" i="2"/>
  <c r="T421" i="2"/>
  <c r="N282" i="2"/>
  <c r="G1534" i="2"/>
  <c r="N302" i="2"/>
  <c r="F1068" i="2"/>
  <c r="C3144" i="2"/>
  <c r="H589" i="2"/>
  <c r="U1042" i="2"/>
  <c r="Q577" i="2"/>
  <c r="U1926" i="2"/>
  <c r="J230" i="2"/>
  <c r="H26" i="2"/>
  <c r="S394" i="2"/>
  <c r="N162" i="2"/>
  <c r="G29" i="2"/>
  <c r="V2445" i="2"/>
  <c r="Q1298" i="2"/>
  <c r="H775" i="2"/>
  <c r="E2254" i="2"/>
  <c r="I747" i="2"/>
  <c r="D1708" i="2"/>
  <c r="C2141" i="2"/>
  <c r="V1592" i="2"/>
  <c r="I288" i="2"/>
  <c r="V2327" i="2"/>
  <c r="C1765" i="2"/>
  <c r="R1396" i="2"/>
  <c r="C1470" i="2"/>
  <c r="S793" i="2"/>
  <c r="F1080" i="2"/>
  <c r="E118" i="2"/>
  <c r="V1829" i="2"/>
  <c r="L2717" i="2"/>
  <c r="M1411" i="2"/>
  <c r="O461" i="2"/>
  <c r="N1607" i="2"/>
  <c r="T66" i="2"/>
  <c r="T432" i="2"/>
  <c r="K612" i="2"/>
  <c r="W1163" i="2"/>
  <c r="S2642" i="2"/>
  <c r="I2476" i="2"/>
  <c r="C435" i="2"/>
  <c r="G1400" i="2"/>
  <c r="Q828" i="2"/>
  <c r="L1352" i="2"/>
  <c r="Q2264" i="2"/>
  <c r="F695" i="2"/>
  <c r="U1852" i="2"/>
  <c r="J713" i="2"/>
  <c r="K1258" i="2"/>
  <c r="K326" i="2"/>
  <c r="S2208" i="2"/>
  <c r="P83" i="2"/>
  <c r="V1107" i="2"/>
  <c r="U2747" i="2"/>
  <c r="K67" i="2"/>
  <c r="V570" i="2"/>
  <c r="P2067" i="2"/>
  <c r="N1650" i="2"/>
  <c r="L115" i="2"/>
  <c r="G1179" i="2"/>
  <c r="K357" i="2"/>
  <c r="V2458" i="2"/>
  <c r="P437" i="2"/>
  <c r="I1150" i="2"/>
  <c r="J1995" i="2"/>
  <c r="C959" i="2"/>
  <c r="P2913" i="2"/>
  <c r="D453" i="2"/>
  <c r="C2366" i="2"/>
  <c r="G351" i="2"/>
  <c r="S1214" i="2"/>
  <c r="R1546" i="2"/>
  <c r="E387" i="2"/>
  <c r="H1183" i="2"/>
  <c r="O1187" i="2"/>
  <c r="I1737" i="2"/>
  <c r="T2180" i="2"/>
  <c r="I1575" i="2"/>
  <c r="N1811" i="2"/>
  <c r="O1317" i="2"/>
  <c r="G1365" i="2"/>
  <c r="P1050" i="2"/>
  <c r="C1382" i="2"/>
  <c r="N1373" i="2"/>
  <c r="F479" i="2"/>
  <c r="E1300" i="2"/>
  <c r="E2085" i="2"/>
  <c r="S2015" i="2"/>
  <c r="Q2349" i="2"/>
  <c r="N295" i="2"/>
  <c r="P3095" i="2"/>
  <c r="S2001" i="2"/>
  <c r="I481" i="2"/>
  <c r="E1558" i="2"/>
  <c r="F2525" i="2"/>
  <c r="N210" i="2"/>
  <c r="H468" i="2"/>
  <c r="U551" i="2"/>
  <c r="M93" i="2"/>
  <c r="T2285" i="2"/>
  <c r="V490" i="2"/>
  <c r="T501" i="2"/>
  <c r="J3055" i="2"/>
  <c r="C1601" i="2"/>
  <c r="V1319" i="2"/>
  <c r="J1470" i="2"/>
  <c r="E9" i="2"/>
  <c r="E292" i="2"/>
  <c r="T2241" i="2"/>
  <c r="I2618" i="2"/>
  <c r="L283" i="2"/>
  <c r="R2766" i="2"/>
  <c r="H2198" i="2"/>
  <c r="W100" i="2"/>
  <c r="L1804" i="2"/>
  <c r="F1069" i="2"/>
  <c r="R1508" i="2"/>
  <c r="L535" i="2"/>
  <c r="Q1446" i="2"/>
  <c r="G598" i="2"/>
  <c r="Q1220" i="2"/>
  <c r="G176" i="2"/>
  <c r="R1249" i="2"/>
  <c r="V1826" i="2"/>
  <c r="W1599" i="2"/>
  <c r="K1472" i="2"/>
  <c r="T592" i="2"/>
  <c r="E1848" i="2"/>
  <c r="U889" i="2"/>
  <c r="W534" i="2"/>
  <c r="P171" i="2"/>
  <c r="H1447" i="2"/>
  <c r="C484" i="2"/>
  <c r="G309" i="2"/>
  <c r="H3151" i="2"/>
  <c r="H1532" i="2"/>
  <c r="E431" i="2"/>
  <c r="R1234" i="2"/>
  <c r="G153" i="2"/>
  <c r="R1418" i="2"/>
  <c r="F1546" i="2"/>
  <c r="W691" i="2"/>
  <c r="C966" i="2"/>
  <c r="H1917" i="2"/>
  <c r="R842" i="2"/>
  <c r="E284" i="2"/>
  <c r="O658" i="2"/>
  <c r="D883" i="2"/>
  <c r="L2399" i="2"/>
  <c r="G82" i="2"/>
  <c r="I93" i="2"/>
  <c r="M1331" i="2"/>
  <c r="D706" i="2"/>
  <c r="V263" i="2"/>
  <c r="I2640" i="2"/>
  <c r="H1186" i="2"/>
  <c r="F2868" i="2"/>
  <c r="E2628" i="2"/>
  <c r="T113" i="2"/>
  <c r="I2412" i="2"/>
  <c r="R1894" i="2"/>
  <c r="Q1322" i="2"/>
  <c r="O955" i="2"/>
  <c r="R2471" i="2"/>
  <c r="Q1073" i="2"/>
  <c r="E1159" i="2"/>
  <c r="H1834" i="2"/>
  <c r="J2013" i="2"/>
  <c r="G156" i="2"/>
  <c r="G1591" i="2"/>
  <c r="U2205" i="2"/>
  <c r="I1725" i="2"/>
  <c r="M694" i="2"/>
  <c r="Q939" i="2"/>
  <c r="Q210" i="2"/>
  <c r="F827" i="2"/>
  <c r="J1909" i="2"/>
  <c r="D573" i="2"/>
  <c r="E1433" i="2"/>
  <c r="V1092" i="2"/>
  <c r="Q1341" i="2"/>
  <c r="G2161" i="2"/>
  <c r="M44" i="2"/>
  <c r="C403" i="2"/>
  <c r="N132" i="2"/>
  <c r="D223" i="2"/>
  <c r="P628" i="2"/>
  <c r="O570" i="2"/>
  <c r="R768" i="2"/>
  <c r="R1092" i="2"/>
  <c r="D526" i="2"/>
  <c r="W1472" i="2"/>
  <c r="L2158" i="2"/>
  <c r="K1198" i="2"/>
  <c r="E62" i="2"/>
  <c r="J180" i="2"/>
  <c r="G134" i="2"/>
  <c r="U2718" i="2"/>
  <c r="F1770" i="2"/>
  <c r="S800" i="2"/>
  <c r="F510" i="2"/>
  <c r="G2487" i="2"/>
  <c r="Q2021" i="2"/>
  <c r="R1126" i="2"/>
  <c r="I960" i="2"/>
  <c r="T1614" i="2"/>
  <c r="M555" i="2"/>
  <c r="G1397" i="2"/>
  <c r="H452" i="2"/>
  <c r="L372" i="2"/>
  <c r="K2877" i="2"/>
  <c r="F822" i="2"/>
  <c r="K1514" i="2"/>
  <c r="M537" i="2"/>
  <c r="S868" i="2"/>
  <c r="S565" i="2"/>
  <c r="L1503" i="2"/>
  <c r="M2109" i="2"/>
  <c r="G1297" i="2"/>
  <c r="O1598" i="2"/>
  <c r="G2160" i="2"/>
  <c r="V1929" i="2"/>
  <c r="O2592" i="2"/>
  <c r="S283" i="2"/>
  <c r="C1743" i="2"/>
  <c r="W1649" i="2"/>
  <c r="G2439" i="2"/>
  <c r="J893" i="2"/>
  <c r="P1240" i="2"/>
  <c r="G257" i="2"/>
  <c r="E1509" i="2"/>
  <c r="T843" i="2"/>
  <c r="R1435" i="2"/>
  <c r="S2788" i="2"/>
  <c r="G1416" i="2"/>
  <c r="I444" i="2"/>
  <c r="T1761" i="2"/>
  <c r="G718" i="2"/>
  <c r="P307" i="2"/>
  <c r="M1155" i="2"/>
  <c r="M839" i="2"/>
  <c r="Q1258" i="2"/>
  <c r="W354" i="2"/>
  <c r="D1672" i="2"/>
  <c r="G133" i="2"/>
  <c r="T2328" i="2"/>
  <c r="G1984" i="2"/>
  <c r="F2441" i="2"/>
  <c r="C274" i="2"/>
  <c r="P1291" i="2"/>
  <c r="I129" i="2"/>
  <c r="P1656" i="2"/>
  <c r="J269" i="2"/>
  <c r="N1924" i="2"/>
  <c r="O2551" i="2"/>
  <c r="G855" i="2"/>
  <c r="S685" i="2"/>
  <c r="W50" i="2"/>
  <c r="G1784" i="2"/>
  <c r="N388" i="2"/>
  <c r="G199" i="2"/>
  <c r="I1527" i="2"/>
  <c r="E1347" i="2"/>
  <c r="P58" i="2"/>
  <c r="Q425" i="2"/>
  <c r="V444" i="2"/>
  <c r="C1757" i="2"/>
  <c r="V138" i="2"/>
  <c r="V2583" i="2"/>
  <c r="G2977" i="2"/>
  <c r="J1114" i="2"/>
  <c r="N120" i="2"/>
  <c r="R895" i="2"/>
  <c r="N190" i="2"/>
  <c r="M1820" i="2"/>
  <c r="P618" i="2"/>
  <c r="N893" i="2"/>
  <c r="T815" i="2"/>
  <c r="T548" i="2"/>
  <c r="L991" i="2"/>
  <c r="V82" i="2"/>
  <c r="H1942" i="2"/>
  <c r="F941" i="2"/>
  <c r="T476" i="2"/>
  <c r="W1586" i="2"/>
  <c r="O1674" i="2"/>
  <c r="Q2320" i="2"/>
  <c r="C1182" i="2"/>
  <c r="F671" i="2"/>
  <c r="E670" i="2"/>
  <c r="C686" i="2"/>
  <c r="U2311" i="2"/>
  <c r="S80" i="2"/>
  <c r="G828" i="2"/>
  <c r="T1420" i="2"/>
  <c r="E2135" i="2"/>
  <c r="H1677" i="2"/>
  <c r="P1127" i="2"/>
  <c r="Q1064" i="2"/>
  <c r="V1729" i="2"/>
  <c r="G160" i="2"/>
  <c r="Q1797" i="2"/>
  <c r="F1806" i="2"/>
  <c r="Q1932" i="2"/>
  <c r="V79" i="2"/>
  <c r="O1233" i="2"/>
  <c r="T1551" i="2"/>
  <c r="J2954" i="2"/>
  <c r="E74" i="2"/>
  <c r="D352" i="2"/>
  <c r="E2813" i="2"/>
  <c r="I1990" i="2"/>
  <c r="V1061" i="2"/>
  <c r="H2" i="2"/>
  <c r="E89" i="2"/>
  <c r="W507" i="2"/>
  <c r="D1169" i="2"/>
  <c r="G1705" i="2"/>
  <c r="H1114" i="2"/>
  <c r="H605" i="2"/>
  <c r="P198" i="2"/>
  <c r="Q1439" i="2"/>
  <c r="F493" i="2"/>
  <c r="T912" i="2"/>
  <c r="E1679" i="2"/>
  <c r="N1713" i="2"/>
  <c r="R2047" i="2"/>
  <c r="K799" i="2"/>
  <c r="N1705" i="2"/>
  <c r="J2734" i="2"/>
  <c r="H2138" i="2"/>
  <c r="Q1500" i="2"/>
  <c r="N236" i="2"/>
  <c r="T1512" i="2"/>
  <c r="E1307" i="2"/>
  <c r="K160" i="2"/>
  <c r="E1661" i="2"/>
  <c r="C153" i="2"/>
  <c r="L1909" i="2"/>
  <c r="L808" i="2"/>
  <c r="O1611" i="2"/>
  <c r="G1573" i="2"/>
  <c r="D2095" i="2"/>
  <c r="Q822" i="2"/>
  <c r="K1022" i="2"/>
  <c r="O785" i="2"/>
  <c r="N985" i="2"/>
  <c r="P1189" i="2"/>
  <c r="L146" i="2"/>
  <c r="R969" i="2"/>
  <c r="P152" i="2"/>
  <c r="G50" i="2"/>
  <c r="S1997" i="2"/>
  <c r="Q799" i="2"/>
  <c r="Q1214" i="2"/>
  <c r="H1502" i="2"/>
  <c r="E1732" i="2"/>
  <c r="P736" i="2"/>
  <c r="K910" i="2"/>
  <c r="L1334" i="2"/>
  <c r="S897" i="2"/>
  <c r="M2127" i="2"/>
  <c r="V1288" i="2"/>
  <c r="Q1194" i="2"/>
  <c r="V1613" i="2"/>
  <c r="W824" i="2"/>
  <c r="Q884" i="2"/>
  <c r="W2121" i="2"/>
  <c r="H1862" i="2"/>
  <c r="K535" i="2"/>
  <c r="D1845" i="2"/>
  <c r="T1816" i="2"/>
  <c r="P2291" i="2"/>
  <c r="V2071" i="2"/>
  <c r="J1832" i="2"/>
  <c r="P1072" i="2"/>
  <c r="T204" i="2"/>
  <c r="G2531" i="2"/>
  <c r="E1425" i="2"/>
  <c r="H77" i="2"/>
  <c r="C1184" i="2"/>
  <c r="L392" i="2"/>
  <c r="N405" i="2"/>
  <c r="W467" i="2"/>
  <c r="R379" i="2"/>
  <c r="L2025" i="2"/>
  <c r="L1581" i="2"/>
  <c r="F2142" i="2"/>
  <c r="G600" i="2"/>
  <c r="H2178" i="2"/>
  <c r="J1795" i="2"/>
  <c r="M1573" i="2"/>
  <c r="O751" i="2"/>
  <c r="N1310" i="2"/>
  <c r="S2442" i="2"/>
  <c r="L2675" i="2"/>
  <c r="M111" i="2"/>
  <c r="C354" i="2"/>
  <c r="N2465" i="2"/>
  <c r="F3238" i="2"/>
  <c r="U384" i="2"/>
  <c r="K413" i="2"/>
  <c r="S126" i="2"/>
  <c r="U1584" i="2"/>
  <c r="P958" i="2"/>
  <c r="D845" i="2"/>
  <c r="L179" i="2"/>
  <c r="M464" i="2"/>
  <c r="Q2888" i="2"/>
  <c r="M534" i="2"/>
  <c r="E1497" i="2"/>
  <c r="J2781" i="2"/>
  <c r="W1514" i="2"/>
  <c r="K1147" i="2"/>
  <c r="U1105" i="2"/>
  <c r="Q2643" i="2"/>
  <c r="Q1365" i="2"/>
  <c r="H625" i="2"/>
  <c r="K2793" i="2"/>
  <c r="E1229" i="2"/>
  <c r="P316" i="2"/>
  <c r="C1507" i="2"/>
  <c r="U2108" i="2"/>
  <c r="V1047" i="2"/>
  <c r="O228" i="2"/>
  <c r="J148" i="2"/>
  <c r="Q1648" i="2"/>
  <c r="I1030" i="2"/>
  <c r="G2384" i="2"/>
  <c r="O509" i="2"/>
  <c r="W760" i="2"/>
  <c r="F1642" i="2"/>
  <c r="U387" i="2"/>
  <c r="K1727" i="2"/>
  <c r="D1368" i="2"/>
  <c r="P998" i="2"/>
  <c r="O2011" i="2"/>
  <c r="U765" i="2"/>
  <c r="H828" i="2"/>
  <c r="C223" i="2"/>
  <c r="W25" i="2"/>
  <c r="U2102" i="2"/>
  <c r="I1113" i="2"/>
  <c r="E832" i="2"/>
  <c r="F1561" i="2"/>
  <c r="D167" i="2"/>
  <c r="D2760" i="2"/>
  <c r="U1322" i="2"/>
  <c r="Q1478" i="2"/>
  <c r="W1003" i="2"/>
  <c r="K7" i="2"/>
  <c r="N2020" i="2"/>
  <c r="P2035" i="2"/>
  <c r="U72" i="2"/>
  <c r="R2374" i="2"/>
  <c r="G2105" i="2"/>
  <c r="V1356" i="2"/>
  <c r="T2221" i="2"/>
  <c r="N2524" i="2"/>
  <c r="I1956" i="2"/>
  <c r="L1300" i="2"/>
  <c r="S1553" i="2"/>
  <c r="V769" i="2"/>
  <c r="F1742" i="2"/>
  <c r="L14" i="2"/>
  <c r="I37" i="2"/>
  <c r="T1152" i="2"/>
  <c r="D502" i="2"/>
  <c r="I815" i="2"/>
  <c r="W2326" i="2"/>
  <c r="K1652" i="2"/>
  <c r="E787" i="2"/>
  <c r="O2001" i="2"/>
  <c r="S259" i="2"/>
  <c r="G1232" i="2"/>
  <c r="J1236" i="2"/>
  <c r="R853" i="2"/>
  <c r="R719" i="2"/>
  <c r="Q50" i="2"/>
  <c r="V1292" i="2"/>
  <c r="G2170" i="2"/>
  <c r="S883" i="2"/>
  <c r="R1227" i="2"/>
  <c r="S1436" i="2"/>
  <c r="M714" i="2"/>
  <c r="G699" i="2"/>
  <c r="M783" i="2"/>
  <c r="O1895" i="2"/>
  <c r="F746" i="2"/>
  <c r="D368" i="2"/>
  <c r="C17" i="2"/>
  <c r="G2468" i="2"/>
  <c r="N180" i="2"/>
  <c r="P2469" i="2"/>
  <c r="V267" i="2"/>
  <c r="L1837" i="2"/>
  <c r="K1333" i="2"/>
  <c r="L118" i="2"/>
  <c r="R1362" i="2"/>
  <c r="E1991" i="2"/>
  <c r="V1905" i="2"/>
  <c r="G2623" i="2"/>
  <c r="D2727" i="2"/>
  <c r="V1020" i="2"/>
  <c r="Q2538" i="2"/>
  <c r="F2153" i="2"/>
  <c r="P1693" i="2"/>
  <c r="P528" i="2"/>
  <c r="R51" i="2"/>
  <c r="I336" i="2"/>
  <c r="G1471" i="2"/>
  <c r="H1702" i="2"/>
  <c r="H1103" i="2"/>
  <c r="C879" i="2"/>
  <c r="H813" i="2"/>
  <c r="L891" i="2"/>
  <c r="W1437" i="2"/>
  <c r="Q2964" i="2"/>
  <c r="K159" i="2"/>
  <c r="S582" i="2"/>
  <c r="N1654" i="2"/>
  <c r="T1583" i="2"/>
  <c r="W1781" i="2"/>
  <c r="C2220" i="2"/>
  <c r="N2179" i="2"/>
  <c r="Q59" i="2"/>
  <c r="R1661" i="2"/>
  <c r="K917" i="2"/>
  <c r="R1156" i="2"/>
  <c r="J2507" i="2"/>
  <c r="G1201" i="2"/>
  <c r="U1773" i="2"/>
  <c r="I1440" i="2"/>
  <c r="U33" i="2"/>
  <c r="R28" i="2"/>
  <c r="P1164" i="2"/>
  <c r="S2635" i="2"/>
  <c r="Q2142" i="2"/>
  <c r="L451" i="2"/>
  <c r="S1443" i="2"/>
  <c r="J1724" i="2"/>
  <c r="R600" i="2"/>
  <c r="T2289" i="2"/>
  <c r="C1401" i="2"/>
  <c r="R751" i="2"/>
  <c r="F185" i="2"/>
  <c r="P951" i="2"/>
  <c r="J3067" i="2"/>
  <c r="C1199" i="2"/>
  <c r="W1318" i="2"/>
  <c r="T1667" i="2"/>
  <c r="K1523" i="2"/>
  <c r="N2615" i="2"/>
  <c r="G1058" i="2"/>
  <c r="D680" i="2"/>
  <c r="S1481" i="2"/>
  <c r="H1471" i="2"/>
  <c r="F1662" i="2"/>
  <c r="H2546" i="2"/>
  <c r="P1597" i="2"/>
  <c r="C47" i="2"/>
  <c r="Q1942" i="2"/>
  <c r="H282" i="2"/>
  <c r="L1293" i="2"/>
  <c r="K2819" i="2"/>
  <c r="L2039" i="2"/>
  <c r="F1665" i="2"/>
  <c r="V649" i="2"/>
  <c r="Q834" i="2"/>
  <c r="O1384" i="2"/>
  <c r="C1493" i="2"/>
  <c r="M1672" i="2"/>
  <c r="W126" i="2"/>
  <c r="O1779" i="2"/>
  <c r="Q1404" i="2"/>
  <c r="O164" i="2"/>
  <c r="I1752" i="2"/>
  <c r="D1784" i="2"/>
  <c r="K1815" i="2"/>
  <c r="P838" i="2"/>
  <c r="R76" i="2"/>
  <c r="F1416" i="2"/>
  <c r="R2001" i="2"/>
  <c r="F3075" i="2"/>
  <c r="C1153" i="2"/>
  <c r="U839" i="2"/>
  <c r="R2076" i="2"/>
  <c r="G1447" i="2"/>
  <c r="I408" i="2"/>
  <c r="F1458" i="2"/>
  <c r="F1590" i="2"/>
  <c r="J390" i="2"/>
  <c r="O285" i="2"/>
  <c r="U624" i="2"/>
  <c r="I1822" i="2"/>
  <c r="R561" i="2"/>
  <c r="N2362" i="2"/>
  <c r="L613" i="2"/>
  <c r="G1817" i="2"/>
  <c r="O2" i="2"/>
  <c r="K2746" i="2"/>
  <c r="L362" i="2"/>
  <c r="U910" i="2"/>
  <c r="V2003" i="2"/>
  <c r="M389" i="2"/>
  <c r="T759" i="2"/>
  <c r="W1306" i="2"/>
  <c r="K254" i="2"/>
  <c r="N96" i="2"/>
  <c r="U1938" i="2"/>
  <c r="V3008" i="2"/>
  <c r="G2445" i="2"/>
  <c r="O1021" i="2"/>
  <c r="G2399" i="2"/>
  <c r="F1228" i="2"/>
  <c r="P216" i="2"/>
  <c r="C2007" i="2"/>
  <c r="W2058" i="2"/>
  <c r="F596" i="2"/>
  <c r="R1787" i="2"/>
  <c r="M1361" i="2"/>
  <c r="C1474" i="2"/>
  <c r="M850" i="2"/>
  <c r="M562" i="2"/>
  <c r="S28" i="2"/>
  <c r="O1024" i="2"/>
  <c r="R613" i="2"/>
  <c r="F290" i="2"/>
  <c r="V294" i="2"/>
  <c r="R2925" i="2"/>
  <c r="O2700" i="2"/>
  <c r="M43" i="2"/>
  <c r="G196" i="2"/>
  <c r="U1171" i="2"/>
  <c r="H1557" i="2"/>
  <c r="M1225" i="2"/>
  <c r="T1730" i="2"/>
  <c r="C575" i="2"/>
  <c r="U1678" i="2"/>
  <c r="I92" i="2"/>
  <c r="F642" i="2"/>
  <c r="G670" i="2"/>
  <c r="F1553" i="2"/>
  <c r="C1059" i="2"/>
  <c r="C341" i="2"/>
  <c r="F784" i="2"/>
  <c r="U2742" i="2"/>
  <c r="P1197" i="2"/>
  <c r="T53" i="2"/>
  <c r="L1775" i="2"/>
  <c r="V241" i="2"/>
  <c r="W264" i="2"/>
  <c r="T868" i="2"/>
  <c r="O267" i="2"/>
  <c r="D2522" i="2"/>
  <c r="F1352" i="2"/>
  <c r="O895" i="2"/>
  <c r="S441" i="2"/>
  <c r="E386" i="2"/>
  <c r="C990" i="2"/>
  <c r="U314" i="2"/>
  <c r="T1272" i="2"/>
  <c r="V953" i="2"/>
  <c r="K1868" i="2"/>
  <c r="L1769" i="2"/>
  <c r="P805" i="2"/>
  <c r="T321" i="2"/>
  <c r="F3101" i="2"/>
  <c r="H324" i="2"/>
  <c r="Q1361" i="2"/>
  <c r="M100" i="2"/>
  <c r="U2006" i="2"/>
  <c r="D1518" i="2"/>
  <c r="C910" i="2"/>
  <c r="E1652" i="2"/>
  <c r="S2008" i="2"/>
  <c r="H1601" i="2"/>
  <c r="L443" i="2"/>
  <c r="C882" i="2"/>
  <c r="U867" i="2"/>
  <c r="P2486" i="2"/>
  <c r="L1059" i="2"/>
  <c r="W892" i="2"/>
  <c r="W2076" i="2"/>
  <c r="T55" i="2"/>
  <c r="U667" i="2"/>
  <c r="G2184" i="2"/>
  <c r="K220" i="2"/>
  <c r="R659" i="2"/>
  <c r="S879" i="2"/>
  <c r="I539" i="2"/>
  <c r="L2325" i="2"/>
  <c r="J38" i="2"/>
  <c r="M2311" i="2"/>
  <c r="E1380" i="2"/>
  <c r="E1895" i="2"/>
  <c r="R11" i="2"/>
  <c r="N1125" i="2"/>
  <c r="T2476" i="2"/>
  <c r="U2261" i="2"/>
  <c r="C2581" i="2"/>
  <c r="U458" i="2"/>
  <c r="K724" i="2"/>
  <c r="K1507" i="2"/>
  <c r="M1616" i="2"/>
  <c r="P382" i="2"/>
  <c r="G481" i="2"/>
  <c r="O1902" i="2"/>
  <c r="L312" i="2"/>
  <c r="T1257" i="2"/>
  <c r="T1178" i="2"/>
  <c r="F471" i="2"/>
  <c r="E1024" i="2"/>
  <c r="R1071" i="2"/>
  <c r="K50" i="2"/>
  <c r="Q447" i="2"/>
  <c r="L2341" i="2"/>
  <c r="Q1850" i="2"/>
  <c r="E2219" i="2"/>
  <c r="P493" i="2"/>
  <c r="G130" i="2"/>
  <c r="I460" i="2"/>
  <c r="I1935" i="2"/>
  <c r="P1339" i="2"/>
  <c r="I1220" i="2"/>
  <c r="N2733" i="2"/>
  <c r="P2216" i="2"/>
  <c r="U1460" i="2"/>
  <c r="S248" i="2"/>
  <c r="G594" i="2"/>
  <c r="O1687" i="2"/>
  <c r="F1408" i="2"/>
  <c r="I1102" i="2"/>
  <c r="O524" i="2"/>
  <c r="D1030" i="2"/>
  <c r="G211" i="2"/>
  <c r="J340" i="2"/>
  <c r="Q1097" i="2"/>
  <c r="S2669" i="2"/>
  <c r="O569" i="2"/>
  <c r="R2070" i="2"/>
  <c r="E1129" i="2"/>
  <c r="T2044" i="2"/>
  <c r="L132" i="2"/>
  <c r="S386" i="2"/>
  <c r="U852" i="2"/>
  <c r="Q1832" i="2"/>
  <c r="U411" i="2"/>
  <c r="W2256" i="2"/>
  <c r="R1236" i="2"/>
  <c r="O2885" i="2"/>
  <c r="S2512" i="2"/>
  <c r="T979" i="2"/>
  <c r="J2486" i="2"/>
  <c r="R246" i="2"/>
  <c r="H731" i="2"/>
  <c r="R1143" i="2"/>
  <c r="L1173" i="2"/>
  <c r="N121" i="2"/>
  <c r="K2400" i="2"/>
  <c r="S1037" i="2"/>
  <c r="I763" i="2"/>
  <c r="O490" i="2"/>
  <c r="S2539" i="2"/>
  <c r="W1897" i="2"/>
  <c r="O1151" i="2"/>
  <c r="O223" i="2"/>
  <c r="H814" i="2"/>
  <c r="R545" i="2"/>
  <c r="F730" i="2"/>
  <c r="V900" i="2"/>
  <c r="T760" i="2"/>
  <c r="N2744" i="2"/>
  <c r="L731" i="2"/>
  <c r="O293" i="2"/>
  <c r="S1809" i="2"/>
  <c r="H11" i="2"/>
  <c r="J559" i="2"/>
  <c r="C1977" i="2"/>
  <c r="D472" i="2"/>
  <c r="E1064" i="2"/>
  <c r="N2423" i="2"/>
  <c r="R12" i="2"/>
  <c r="H787" i="2"/>
  <c r="R1218" i="2"/>
  <c r="O177" i="2"/>
  <c r="P1456" i="2"/>
  <c r="S443" i="2"/>
  <c r="R1650" i="2"/>
  <c r="W2963" i="2"/>
  <c r="W1055" i="2"/>
  <c r="T1269" i="2"/>
  <c r="N1862" i="2"/>
  <c r="S2139" i="2"/>
  <c r="T541" i="2"/>
  <c r="C737" i="2"/>
  <c r="P1301" i="2"/>
  <c r="F578" i="2"/>
  <c r="I2012" i="2"/>
  <c r="D1971" i="2"/>
  <c r="T1521" i="2"/>
  <c r="R1855" i="2"/>
  <c r="L1282" i="2"/>
  <c r="K2072" i="2"/>
  <c r="R1663" i="2"/>
  <c r="Q916" i="2"/>
  <c r="K630" i="2"/>
  <c r="K870" i="2"/>
  <c r="Q804" i="2"/>
  <c r="U244" i="2"/>
  <c r="L1938" i="2"/>
  <c r="P632" i="2"/>
  <c r="J1097" i="2"/>
  <c r="K1851" i="2"/>
  <c r="M1364" i="2"/>
  <c r="F448" i="2"/>
  <c r="I158" i="2"/>
  <c r="C152" i="2"/>
  <c r="S2620" i="2"/>
  <c r="W1722" i="2"/>
  <c r="K2" i="2"/>
  <c r="G667" i="2"/>
  <c r="K1291" i="2"/>
  <c r="V733" i="2"/>
  <c r="O2719" i="2"/>
  <c r="C1688" i="2"/>
  <c r="G19" i="2"/>
  <c r="G99" i="2"/>
  <c r="L55" i="2"/>
  <c r="W134" i="2"/>
  <c r="L617" i="2"/>
  <c r="H541" i="2"/>
  <c r="S182" i="2"/>
  <c r="Q1132" i="2"/>
  <c r="D2875" i="2"/>
  <c r="S152" i="2"/>
  <c r="J526" i="2"/>
  <c r="Q584" i="2"/>
  <c r="U31" i="2"/>
  <c r="V195" i="2"/>
  <c r="T62" i="2"/>
  <c r="H1179" i="2"/>
  <c r="M1034" i="2"/>
  <c r="V239" i="2"/>
  <c r="J2261" i="2"/>
  <c r="G1382" i="2"/>
  <c r="E362" i="2"/>
  <c r="F673" i="2"/>
  <c r="V724" i="2"/>
  <c r="K181" i="2"/>
  <c r="I1031" i="2"/>
  <c r="O748" i="2"/>
  <c r="G2277" i="2"/>
  <c r="T795" i="2"/>
  <c r="W1122" i="2"/>
  <c r="C738" i="2"/>
  <c r="V589" i="2"/>
  <c r="C1157" i="2"/>
  <c r="W2503" i="2"/>
  <c r="R98" i="2"/>
  <c r="T2238" i="2"/>
  <c r="M2659" i="2"/>
  <c r="W1563" i="2"/>
  <c r="L586" i="2"/>
  <c r="R175" i="2"/>
  <c r="S1454" i="2"/>
  <c r="M374" i="2"/>
  <c r="O932" i="2"/>
  <c r="H381" i="2"/>
  <c r="V237" i="2"/>
  <c r="Q1017" i="2"/>
  <c r="Q1856" i="2"/>
  <c r="N1727" i="2"/>
  <c r="Q356" i="2"/>
  <c r="H349" i="2"/>
  <c r="V1845" i="2"/>
  <c r="Q49" i="2"/>
  <c r="Q2125" i="2"/>
  <c r="C2048" i="2"/>
  <c r="R896" i="2"/>
  <c r="P510" i="2"/>
  <c r="E2065" i="2"/>
  <c r="M667" i="2"/>
  <c r="S543" i="2"/>
  <c r="G1067" i="2"/>
  <c r="K267" i="2"/>
  <c r="K602" i="2"/>
  <c r="E1978" i="2"/>
  <c r="T14" i="2"/>
  <c r="I2520" i="2"/>
  <c r="L3009" i="2"/>
  <c r="I840" i="2"/>
  <c r="C2545" i="2"/>
  <c r="J1305" i="2"/>
  <c r="V256" i="2"/>
  <c r="O245" i="2"/>
  <c r="G858" i="2"/>
  <c r="P70" i="2"/>
  <c r="P1009" i="2"/>
  <c r="F535" i="2"/>
  <c r="T1048" i="2"/>
  <c r="M1710" i="2"/>
  <c r="E1599" i="2"/>
  <c r="S1189" i="2"/>
  <c r="N1550" i="2"/>
  <c r="W995" i="2"/>
  <c r="T137" i="2"/>
  <c r="U1396" i="2"/>
  <c r="H154" i="2"/>
  <c r="Q768" i="2"/>
  <c r="H2122" i="2"/>
  <c r="H2875" i="2"/>
  <c r="K1978" i="2"/>
  <c r="V694" i="2"/>
  <c r="I1903" i="2"/>
  <c r="D1021" i="2"/>
  <c r="M1574" i="2"/>
  <c r="S265" i="2"/>
  <c r="I1215" i="2"/>
  <c r="N1775" i="2"/>
  <c r="T1418" i="2"/>
  <c r="D1765" i="2"/>
  <c r="S2285" i="2"/>
  <c r="D1277" i="2"/>
  <c r="D750" i="2"/>
  <c r="G1818" i="2"/>
  <c r="K2438" i="2"/>
  <c r="S1025" i="2"/>
  <c r="P208" i="2"/>
  <c r="U1693" i="2"/>
  <c r="V250" i="2"/>
  <c r="T1991" i="2"/>
  <c r="L1515" i="2"/>
  <c r="J1483" i="2"/>
  <c r="U1487" i="2"/>
  <c r="E2587" i="2"/>
  <c r="M15" i="2"/>
  <c r="V731" i="2"/>
  <c r="R2341" i="2"/>
  <c r="H1059" i="2"/>
  <c r="M996" i="2"/>
  <c r="V150" i="2"/>
  <c r="P1212" i="2"/>
  <c r="I3145" i="2"/>
  <c r="P1006" i="2"/>
  <c r="H1508" i="2"/>
  <c r="D841" i="2"/>
  <c r="R284" i="2"/>
  <c r="W2409" i="2"/>
  <c r="W333" i="2"/>
  <c r="S430" i="2"/>
  <c r="I2336" i="2"/>
  <c r="W1706" i="2"/>
  <c r="E1292" i="2"/>
  <c r="R855" i="2"/>
  <c r="P1005" i="2"/>
  <c r="P2404" i="2"/>
  <c r="G367" i="2"/>
  <c r="W384" i="2"/>
  <c r="E23" i="2"/>
  <c r="R941" i="2"/>
  <c r="W1025" i="2"/>
  <c r="K907" i="2"/>
  <c r="K70" i="2"/>
  <c r="E2734" i="2"/>
  <c r="N1207" i="2"/>
  <c r="H3323" i="2"/>
  <c r="V572" i="2"/>
  <c r="H2855" i="2"/>
  <c r="F1277" i="2"/>
  <c r="V897" i="2"/>
  <c r="P93" i="2"/>
  <c r="S572" i="2"/>
  <c r="E621" i="2"/>
  <c r="U691" i="2"/>
  <c r="V1357" i="2"/>
  <c r="P903" i="2"/>
  <c r="I553" i="2"/>
  <c r="I2083" i="2"/>
  <c r="E41" i="2"/>
  <c r="F1204" i="2"/>
  <c r="K201" i="2"/>
  <c r="E3338" i="2"/>
  <c r="M2202" i="2"/>
  <c r="W972" i="2"/>
  <c r="F627" i="2"/>
  <c r="R449" i="2"/>
  <c r="E920" i="2"/>
  <c r="E2393" i="2"/>
  <c r="L616" i="2"/>
  <c r="O1963" i="2"/>
  <c r="T1746" i="2"/>
  <c r="V2068" i="2"/>
  <c r="G1690" i="2"/>
  <c r="V309" i="2"/>
  <c r="T1342" i="2"/>
  <c r="D2040" i="2"/>
  <c r="C1883" i="2"/>
  <c r="W2671" i="2"/>
  <c r="U333" i="2"/>
  <c r="I216" i="2"/>
  <c r="T896" i="2"/>
  <c r="M1271" i="2"/>
  <c r="F841" i="2"/>
  <c r="D1817" i="2"/>
  <c r="D294" i="2"/>
  <c r="D275" i="2"/>
  <c r="Q1743" i="2"/>
  <c r="F464" i="2"/>
  <c r="Q782" i="2"/>
  <c r="F181" i="2"/>
  <c r="G253" i="2"/>
  <c r="L458" i="2"/>
  <c r="R2317" i="2"/>
  <c r="E1686" i="2"/>
  <c r="Q1089" i="2"/>
  <c r="D1182" i="2"/>
  <c r="P607" i="2"/>
  <c r="R1209" i="2"/>
  <c r="L228" i="2"/>
  <c r="R2717" i="2"/>
  <c r="M2045" i="2"/>
  <c r="J2338" i="2"/>
  <c r="S928" i="2"/>
  <c r="R579" i="2"/>
  <c r="R302" i="2"/>
  <c r="K1743" i="2"/>
  <c r="T1456" i="2"/>
  <c r="S744" i="2"/>
  <c r="C528" i="2"/>
  <c r="C193" i="2"/>
  <c r="T817" i="2"/>
  <c r="S2758" i="2"/>
  <c r="T2157" i="2"/>
  <c r="H2842" i="2"/>
  <c r="N1940" i="2"/>
  <c r="K581" i="2"/>
  <c r="V1117" i="2"/>
  <c r="S915" i="2"/>
  <c r="F1510" i="2"/>
  <c r="J1427" i="2"/>
  <c r="J578" i="2"/>
  <c r="U534" i="2"/>
  <c r="R1228" i="2"/>
  <c r="D1674" i="2"/>
  <c r="L521" i="2"/>
  <c r="Q226" i="2"/>
  <c r="C2347" i="2"/>
  <c r="M1087" i="2"/>
  <c r="Q3438" i="2"/>
  <c r="G932" i="2"/>
  <c r="U61" i="2"/>
  <c r="K165" i="2"/>
  <c r="U959" i="2"/>
  <c r="U2185" i="2"/>
  <c r="V530" i="2"/>
  <c r="W2882" i="2"/>
  <c r="H838" i="2"/>
  <c r="P94" i="2"/>
  <c r="G2908" i="2"/>
  <c r="Q1464" i="2"/>
  <c r="U2439" i="2"/>
  <c r="E37" i="2"/>
  <c r="M823" i="2"/>
  <c r="U269" i="2"/>
  <c r="R535" i="2"/>
  <c r="U2160" i="2"/>
  <c r="C1951" i="2"/>
  <c r="C1721" i="2"/>
  <c r="P13" i="2"/>
  <c r="R1011" i="2"/>
  <c r="Q2139" i="2"/>
  <c r="G285" i="2"/>
  <c r="L1258" i="2"/>
  <c r="K2065" i="2"/>
  <c r="P255" i="2"/>
  <c r="H1421" i="2"/>
  <c r="G2041" i="2"/>
  <c r="C385" i="2"/>
  <c r="W1005" i="2"/>
  <c r="S99" i="2"/>
  <c r="D374" i="2"/>
  <c r="N2527" i="2"/>
  <c r="Q30" i="2"/>
  <c r="R2413" i="2"/>
  <c r="P393" i="2"/>
  <c r="D1832" i="2"/>
  <c r="V2279" i="2"/>
  <c r="I2365" i="2"/>
  <c r="E2649" i="2"/>
  <c r="E667" i="2"/>
  <c r="Q74" i="2"/>
  <c r="C1251" i="2"/>
  <c r="S1334" i="2"/>
  <c r="L47" i="2"/>
  <c r="M957" i="2"/>
  <c r="R641" i="2"/>
  <c r="K446" i="2"/>
  <c r="U566" i="2"/>
  <c r="D915" i="2"/>
  <c r="O879" i="2"/>
  <c r="I94" i="2"/>
  <c r="N1700" i="2"/>
  <c r="C1318" i="2"/>
  <c r="D1488" i="2"/>
  <c r="E1224" i="2"/>
  <c r="J1626" i="2"/>
  <c r="E792" i="2"/>
  <c r="E1943" i="2"/>
  <c r="S1537" i="2"/>
  <c r="K386" i="2"/>
  <c r="V1884" i="2"/>
  <c r="N1050" i="2"/>
  <c r="W544" i="2"/>
  <c r="O287" i="2"/>
  <c r="J1210" i="2"/>
  <c r="Q2647" i="2"/>
  <c r="S576" i="2"/>
  <c r="D262" i="2"/>
  <c r="K795" i="2"/>
  <c r="L1768" i="2"/>
  <c r="T1119" i="2"/>
  <c r="Q1673" i="2"/>
  <c r="U939" i="2"/>
  <c r="F2512" i="2"/>
  <c r="R2423" i="2"/>
  <c r="H98" i="2"/>
  <c r="R9" i="2"/>
  <c r="G1730" i="2"/>
  <c r="J48" i="2"/>
  <c r="Q2181" i="2"/>
  <c r="F788" i="2"/>
  <c r="V981" i="2"/>
  <c r="U2994" i="2"/>
  <c r="J1562" i="2"/>
  <c r="M176" i="2"/>
  <c r="V395" i="2"/>
  <c r="K962" i="2"/>
  <c r="U1842" i="2"/>
  <c r="R492" i="2"/>
  <c r="D2812" i="2"/>
  <c r="L685" i="2"/>
  <c r="G1043" i="2"/>
  <c r="F1540" i="2"/>
  <c r="L1287" i="2"/>
  <c r="R339" i="2"/>
  <c r="S2540" i="2"/>
  <c r="T2066" i="2"/>
  <c r="W249" i="2"/>
  <c r="S1093" i="2"/>
  <c r="H617" i="2"/>
  <c r="I907" i="2"/>
  <c r="P2231" i="2"/>
  <c r="G166" i="2"/>
  <c r="C324" i="2"/>
  <c r="P1389" i="2"/>
  <c r="J1111" i="2"/>
  <c r="C2006" i="2"/>
  <c r="S758" i="2"/>
  <c r="D1296" i="2"/>
  <c r="J975" i="2"/>
  <c r="S1778" i="2"/>
  <c r="J1180" i="2"/>
  <c r="V1727" i="2"/>
  <c r="G1587" i="2"/>
  <c r="E151" i="2"/>
  <c r="S1765" i="2"/>
  <c r="K117" i="2"/>
  <c r="J999" i="2"/>
  <c r="P559" i="2"/>
  <c r="U552" i="2"/>
  <c r="O1619" i="2"/>
  <c r="E2776" i="2"/>
  <c r="E1431" i="2"/>
  <c r="K275" i="2"/>
  <c r="T1921" i="2"/>
  <c r="H159" i="2"/>
  <c r="H296" i="2"/>
  <c r="S1267" i="2"/>
  <c r="S1978" i="2"/>
  <c r="E198" i="2"/>
  <c r="P1741" i="2"/>
  <c r="L2453" i="2"/>
  <c r="R1782" i="2"/>
  <c r="M1013" i="2"/>
  <c r="W564" i="2"/>
  <c r="E577" i="2"/>
  <c r="O818" i="2"/>
  <c r="J422" i="2"/>
  <c r="M560" i="2"/>
  <c r="T1674" i="2"/>
  <c r="D1310" i="2"/>
  <c r="R1817" i="2"/>
  <c r="N2779" i="2"/>
  <c r="J2043" i="2"/>
  <c r="P1570" i="2"/>
  <c r="I50" i="2"/>
  <c r="E2395" i="2"/>
  <c r="K1074" i="2"/>
  <c r="M1398" i="2"/>
  <c r="C2311" i="2"/>
  <c r="O2195" i="2"/>
  <c r="K1820" i="2"/>
  <c r="G1016" i="2"/>
  <c r="E182" i="2"/>
  <c r="L2189" i="2"/>
  <c r="I591" i="2"/>
  <c r="G192" i="2"/>
  <c r="P550" i="2"/>
  <c r="F199" i="2"/>
  <c r="P406" i="2"/>
  <c r="U110" i="2"/>
  <c r="P1526" i="2"/>
  <c r="M1171" i="2"/>
  <c r="H1047" i="2"/>
  <c r="T207" i="2"/>
  <c r="H811" i="2"/>
  <c r="P1818" i="2"/>
  <c r="S176" i="2"/>
  <c r="G2053" i="2"/>
  <c r="Q801" i="2"/>
  <c r="O217" i="2"/>
  <c r="F2598" i="2"/>
  <c r="V1948" i="2"/>
  <c r="F1785" i="2"/>
  <c r="K2370" i="2"/>
  <c r="N994" i="2"/>
  <c r="K2333" i="2"/>
  <c r="F1925" i="2"/>
  <c r="J1251" i="2"/>
  <c r="V1910" i="2"/>
  <c r="V1825" i="2"/>
  <c r="C178" i="2"/>
  <c r="U1570" i="2"/>
  <c r="D1792" i="2"/>
  <c r="U459" i="2"/>
  <c r="N2558" i="2"/>
  <c r="H698" i="2"/>
  <c r="M2766" i="2"/>
  <c r="R1231" i="2"/>
  <c r="N421" i="2"/>
  <c r="N1752" i="2"/>
  <c r="U1691" i="2"/>
  <c r="G76" i="2"/>
  <c r="I792" i="2"/>
  <c r="E226" i="2"/>
  <c r="G415" i="2"/>
  <c r="H1546" i="2"/>
  <c r="P1762" i="2"/>
  <c r="Q337" i="2"/>
  <c r="U2135" i="2"/>
  <c r="U1423" i="2"/>
  <c r="Q72" i="2"/>
  <c r="S245" i="2"/>
  <c r="H1288" i="2"/>
  <c r="Q1721" i="2"/>
  <c r="E308" i="2"/>
  <c r="I1911" i="2"/>
  <c r="O117" i="2"/>
  <c r="J2497" i="2"/>
  <c r="D340" i="2"/>
  <c r="G684" i="2"/>
  <c r="S3058" i="2"/>
  <c r="T2857" i="2"/>
  <c r="S1339" i="2"/>
  <c r="L291" i="2"/>
  <c r="P445" i="2"/>
  <c r="W951" i="2"/>
  <c r="J1577" i="2"/>
  <c r="F1272" i="2"/>
  <c r="W2511" i="2"/>
  <c r="R1791" i="2"/>
  <c r="W1356" i="2"/>
  <c r="U399" i="2"/>
  <c r="V2457" i="2"/>
  <c r="U24" i="2"/>
  <c r="Q1454" i="2"/>
  <c r="C825" i="2"/>
  <c r="F1804" i="2"/>
  <c r="V2002" i="2"/>
  <c r="P38" i="2"/>
  <c r="V1814" i="2"/>
  <c r="H1706" i="2"/>
  <c r="N1084" i="2"/>
  <c r="O1813" i="2"/>
  <c r="T1089" i="2"/>
  <c r="H1514" i="2"/>
  <c r="J2641" i="2"/>
  <c r="I1279" i="2"/>
  <c r="D1331" i="2"/>
  <c r="N1106" i="2"/>
  <c r="I1588" i="2"/>
  <c r="N1758" i="2"/>
  <c r="V25" i="2"/>
  <c r="S1813" i="2"/>
  <c r="O449" i="2"/>
  <c r="O984" i="2"/>
  <c r="N241" i="2"/>
  <c r="R2193" i="2"/>
  <c r="W936" i="2"/>
  <c r="U295" i="2"/>
  <c r="V920" i="2"/>
  <c r="S1817" i="2"/>
  <c r="N315" i="2"/>
  <c r="V1685" i="2"/>
  <c r="M193" i="2"/>
  <c r="K629" i="2"/>
  <c r="C962" i="2"/>
  <c r="I1718" i="2"/>
  <c r="C2234" i="2"/>
  <c r="N2058" i="2"/>
  <c r="R2847" i="2"/>
  <c r="G2949" i="2"/>
  <c r="W1793" i="2"/>
  <c r="J1993" i="2"/>
  <c r="V333" i="2"/>
  <c r="T1501" i="2"/>
  <c r="G2104" i="2"/>
  <c r="V2658" i="2"/>
  <c r="R2618" i="2"/>
  <c r="U692" i="2"/>
  <c r="O1240" i="2"/>
  <c r="L1930" i="2"/>
  <c r="T123" i="2"/>
  <c r="T173" i="2"/>
  <c r="L91" i="2"/>
  <c r="O1193" i="2"/>
  <c r="M956" i="2"/>
  <c r="N293" i="2"/>
  <c r="R1444" i="2"/>
  <c r="H1903" i="2"/>
  <c r="O2993" i="2"/>
  <c r="H292" i="2"/>
  <c r="L879" i="2"/>
  <c r="J1069" i="2"/>
  <c r="V526" i="2"/>
  <c r="M1162" i="2"/>
  <c r="K1642" i="2"/>
  <c r="V1439" i="2"/>
  <c r="T1347" i="2"/>
  <c r="T319" i="2"/>
  <c r="K296" i="2"/>
  <c r="K8" i="2"/>
  <c r="N2223" i="2"/>
  <c r="O679" i="2"/>
  <c r="S88" i="2"/>
  <c r="Q734" i="2"/>
  <c r="O1438" i="2"/>
  <c r="C1480" i="2"/>
  <c r="H2258" i="2"/>
  <c r="F1175" i="2"/>
  <c r="D1378" i="2"/>
  <c r="H462" i="2"/>
  <c r="E2564" i="2"/>
  <c r="F1712" i="2"/>
  <c r="V432" i="2"/>
  <c r="C1124" i="2"/>
  <c r="U162" i="2"/>
  <c r="E2489" i="2"/>
  <c r="H782" i="2"/>
  <c r="L712" i="2"/>
  <c r="H30" i="2"/>
  <c r="F652" i="2"/>
  <c r="K1606" i="2"/>
  <c r="E569" i="2"/>
  <c r="E1627" i="2"/>
  <c r="N2525" i="2"/>
  <c r="U506" i="2"/>
  <c r="J404" i="2"/>
  <c r="V2330" i="2"/>
  <c r="I1196" i="2"/>
  <c r="L2125" i="2"/>
  <c r="H626" i="2"/>
  <c r="R649" i="2"/>
  <c r="E709" i="2"/>
  <c r="R299" i="2"/>
  <c r="E1000" i="2"/>
  <c r="H19" i="2"/>
  <c r="R564" i="2"/>
  <c r="O522" i="2"/>
  <c r="K1504" i="2"/>
  <c r="J664" i="2"/>
  <c r="M651" i="2"/>
  <c r="H2144" i="2"/>
  <c r="Q2693" i="2"/>
  <c r="F2297" i="2"/>
  <c r="G994" i="2"/>
  <c r="E64" i="2"/>
  <c r="L1477" i="2"/>
  <c r="I850" i="2"/>
  <c r="P761" i="2"/>
  <c r="M2736" i="2"/>
  <c r="E510" i="2"/>
  <c r="G342" i="2"/>
  <c r="C790" i="2"/>
  <c r="C1189" i="2"/>
  <c r="J1183" i="2"/>
  <c r="Q1208" i="2"/>
  <c r="K1346" i="2"/>
  <c r="F886" i="2"/>
  <c r="O474" i="2"/>
  <c r="T1711" i="2"/>
  <c r="K2811" i="2"/>
  <c r="E442" i="2"/>
  <c r="O1514" i="2"/>
  <c r="F1913" i="2"/>
  <c r="U559" i="2"/>
  <c r="G103" i="2"/>
  <c r="E1949" i="2"/>
  <c r="L1419" i="2"/>
  <c r="D1400" i="2"/>
  <c r="E197" i="2"/>
  <c r="J453" i="2"/>
  <c r="M1609" i="2"/>
  <c r="R2665" i="2"/>
  <c r="U10" i="2"/>
  <c r="O611" i="2"/>
  <c r="G1317" i="2"/>
  <c r="I1045" i="2"/>
  <c r="C500" i="2"/>
  <c r="I175" i="2"/>
  <c r="O1125" i="2"/>
  <c r="I274" i="2"/>
  <c r="H392" i="2"/>
  <c r="E830" i="2"/>
  <c r="F763" i="2"/>
  <c r="G1566" i="2"/>
  <c r="O2495" i="2"/>
  <c r="S1196" i="2"/>
  <c r="M1316" i="2"/>
  <c r="W156" i="2"/>
  <c r="O1484" i="2"/>
  <c r="U92" i="2"/>
  <c r="L2865" i="2"/>
  <c r="D1426" i="2"/>
  <c r="H1620" i="2"/>
  <c r="L850" i="2"/>
  <c r="M476" i="2"/>
  <c r="H505" i="2"/>
  <c r="C1685" i="2"/>
  <c r="H2406" i="2"/>
  <c r="M1418" i="2"/>
  <c r="R1022" i="2"/>
  <c r="V728" i="2"/>
  <c r="J109" i="2"/>
  <c r="S70" i="2"/>
  <c r="E78" i="2"/>
  <c r="T705" i="2"/>
  <c r="K832" i="2"/>
  <c r="Q1538" i="2"/>
  <c r="E638" i="2"/>
  <c r="I1135" i="2"/>
  <c r="V919" i="2"/>
  <c r="D2571" i="2"/>
  <c r="E104" i="2"/>
  <c r="M225" i="2"/>
  <c r="Q2278" i="2"/>
  <c r="I2211" i="2"/>
  <c r="F168" i="2"/>
  <c r="E1642" i="2"/>
  <c r="L2127" i="2"/>
  <c r="M391" i="2"/>
  <c r="G410" i="2"/>
  <c r="R702" i="2"/>
  <c r="F1336" i="2"/>
  <c r="P824" i="2"/>
  <c r="O100" i="2"/>
  <c r="T1888" i="2"/>
  <c r="C92" i="2"/>
  <c r="U97" i="2"/>
  <c r="R663" i="2"/>
  <c r="P491" i="2"/>
  <c r="F1918" i="2"/>
  <c r="M1667" i="2"/>
  <c r="T2772" i="2"/>
  <c r="L1399" i="2"/>
  <c r="F15" i="2"/>
  <c r="S1442" i="2"/>
  <c r="W993" i="2"/>
  <c r="M266" i="2"/>
  <c r="L1596" i="2"/>
  <c r="H860" i="2"/>
  <c r="I353" i="2"/>
  <c r="P68" i="2"/>
  <c r="G609" i="2"/>
  <c r="G308" i="2"/>
  <c r="H1615" i="2"/>
  <c r="S114" i="2"/>
  <c r="R4" i="2"/>
  <c r="D1627" i="2"/>
  <c r="U1937" i="2"/>
  <c r="E2751" i="2"/>
  <c r="Q2979" i="2"/>
  <c r="N5" i="2"/>
  <c r="O205" i="2"/>
  <c r="C2003" i="2"/>
  <c r="R1125" i="2"/>
  <c r="U1299" i="2"/>
  <c r="P963" i="2"/>
  <c r="K681" i="2"/>
  <c r="S268" i="2"/>
  <c r="K690" i="2"/>
  <c r="U2022" i="2"/>
  <c r="L2576" i="2"/>
  <c r="V2145" i="2"/>
  <c r="K311" i="2"/>
  <c r="H2170" i="2"/>
  <c r="G2054" i="2"/>
  <c r="L1498" i="2"/>
  <c r="E158" i="2"/>
  <c r="K3072" i="2"/>
  <c r="E1752" i="2"/>
  <c r="Q172" i="2"/>
  <c r="V1063" i="2"/>
  <c r="C170" i="2"/>
  <c r="W1454" i="2"/>
  <c r="I1086" i="2"/>
  <c r="J1382" i="2"/>
  <c r="D1221" i="2"/>
  <c r="F1415" i="2"/>
  <c r="P1098" i="2"/>
  <c r="V604" i="2"/>
  <c r="T2261" i="2"/>
  <c r="L1269" i="2"/>
  <c r="I3209" i="2"/>
  <c r="U869" i="2"/>
  <c r="C1852" i="2"/>
  <c r="L196" i="2"/>
  <c r="S451" i="2"/>
  <c r="I1473" i="2"/>
  <c r="G565" i="2"/>
  <c r="H1304" i="2"/>
  <c r="P2330" i="2"/>
  <c r="N12" i="2"/>
  <c r="D73" i="2"/>
  <c r="J885" i="2"/>
  <c r="P2238" i="2"/>
  <c r="E739" i="2"/>
  <c r="W652" i="2"/>
  <c r="V558" i="2"/>
  <c r="W338" i="2"/>
  <c r="M646" i="2"/>
  <c r="H2017" i="2"/>
  <c r="W2937" i="2"/>
  <c r="F884" i="2"/>
  <c r="I1487" i="2"/>
  <c r="M471" i="2"/>
  <c r="W1409" i="2"/>
  <c r="E1401" i="2"/>
  <c r="T1531" i="2"/>
  <c r="C3025" i="2"/>
  <c r="C1202" i="2"/>
  <c r="K2277" i="2"/>
  <c r="Q1179" i="2"/>
  <c r="E2088" i="2"/>
  <c r="P1770" i="2"/>
  <c r="K2233" i="2"/>
  <c r="K1575" i="2"/>
  <c r="W2500" i="2"/>
  <c r="N931" i="2"/>
  <c r="F1053" i="2"/>
  <c r="C1866" i="2"/>
  <c r="Q1747" i="2"/>
  <c r="H267" i="2"/>
  <c r="S1040" i="2"/>
  <c r="T202" i="2"/>
  <c r="D486" i="2"/>
  <c r="J1128" i="2"/>
  <c r="T253" i="2"/>
  <c r="M2656" i="2"/>
  <c r="R2015" i="2"/>
  <c r="D493" i="2"/>
  <c r="I575" i="2"/>
  <c r="L270" i="2"/>
  <c r="J1742" i="2"/>
  <c r="R30" i="2"/>
  <c r="D604" i="2"/>
  <c r="K517" i="2"/>
  <c r="W1279" i="2"/>
  <c r="J2287" i="2"/>
  <c r="D1694" i="2"/>
  <c r="Q1860" i="2"/>
  <c r="I2380" i="2"/>
  <c r="W542" i="2"/>
  <c r="E2287" i="2"/>
  <c r="D400" i="2"/>
  <c r="D962" i="2"/>
  <c r="V1214" i="2"/>
  <c r="W379" i="2"/>
  <c r="Q586" i="2"/>
  <c r="R1653" i="2"/>
  <c r="W1508" i="2"/>
  <c r="T1837" i="2"/>
  <c r="G846" i="2"/>
  <c r="N490" i="2"/>
  <c r="E1808" i="2"/>
  <c r="G432" i="2"/>
  <c r="C295" i="2"/>
  <c r="G1291" i="2"/>
  <c r="E2251" i="2"/>
  <c r="G165" i="2"/>
  <c r="E1189" i="2"/>
  <c r="S1466" i="2"/>
  <c r="K589" i="2"/>
  <c r="W2027" i="2"/>
  <c r="G2493" i="2"/>
  <c r="P1109" i="2"/>
  <c r="N2965" i="2"/>
  <c r="F2074" i="2"/>
  <c r="P3" i="2"/>
  <c r="P680" i="2"/>
  <c r="H328" i="2"/>
  <c r="H431" i="2"/>
  <c r="U2820" i="2"/>
  <c r="L112" i="2"/>
  <c r="M1344" i="2"/>
  <c r="C470" i="2"/>
  <c r="G2018" i="2"/>
  <c r="H1208" i="2"/>
  <c r="E2037" i="2"/>
  <c r="T3212" i="2"/>
  <c r="S1597" i="2"/>
  <c r="N1535" i="2"/>
  <c r="P1584" i="2"/>
  <c r="V2797" i="2"/>
  <c r="S1839" i="2"/>
  <c r="V795" i="2"/>
  <c r="F1310" i="2"/>
  <c r="P1602" i="2"/>
  <c r="N703" i="2"/>
  <c r="I1408" i="2"/>
  <c r="L221" i="2"/>
  <c r="J2012" i="2"/>
  <c r="M819" i="2"/>
  <c r="P2074" i="2"/>
  <c r="E107" i="2"/>
  <c r="V244" i="2"/>
  <c r="T407" i="2"/>
  <c r="M896" i="2"/>
  <c r="M52" i="2"/>
  <c r="M1824" i="2"/>
  <c r="O1270" i="2"/>
  <c r="G1745" i="2"/>
  <c r="G340" i="2"/>
  <c r="K241" i="2"/>
  <c r="G59" i="2"/>
  <c r="Q698" i="2"/>
  <c r="D1704" i="2"/>
  <c r="E1476" i="2"/>
  <c r="G2451" i="2"/>
  <c r="G911" i="2"/>
  <c r="M2562" i="2"/>
  <c r="E1252" i="2"/>
  <c r="W1138" i="2"/>
  <c r="N810" i="2"/>
  <c r="L2138" i="2"/>
  <c r="E2418" i="2"/>
  <c r="T1772" i="2"/>
  <c r="E1135" i="2"/>
  <c r="O2443" i="2"/>
  <c r="Q2216" i="2"/>
  <c r="D54" i="2"/>
  <c r="W1218" i="2"/>
  <c r="W579" i="2"/>
  <c r="P334" i="2"/>
  <c r="G1219" i="2"/>
  <c r="F1551" i="2"/>
  <c r="W2658" i="2"/>
  <c r="S279" i="2"/>
  <c r="S817" i="2"/>
  <c r="C1718" i="2"/>
  <c r="Q790" i="2"/>
  <c r="W2802" i="2"/>
  <c r="I98" i="2"/>
  <c r="M510" i="2"/>
  <c r="M2786" i="2"/>
  <c r="F968" i="2"/>
  <c r="H180" i="2"/>
  <c r="Q829" i="2"/>
  <c r="J1730" i="2"/>
  <c r="Q298" i="2"/>
  <c r="J1550" i="2"/>
  <c r="R1357" i="2"/>
  <c r="F1998" i="2"/>
  <c r="U2236" i="2"/>
  <c r="J1005" i="2"/>
  <c r="U470" i="2"/>
  <c r="J370" i="2"/>
  <c r="H1096" i="2"/>
  <c r="C945" i="2"/>
  <c r="P1668" i="2"/>
  <c r="E2632" i="2"/>
  <c r="F2040" i="2"/>
  <c r="I1994" i="2"/>
  <c r="M551" i="2"/>
  <c r="V945" i="2"/>
  <c r="N485" i="2"/>
  <c r="F1401" i="2"/>
  <c r="C194" i="2"/>
  <c r="F999" i="2"/>
  <c r="V2666" i="2"/>
  <c r="S2275" i="2"/>
  <c r="S1202" i="2"/>
  <c r="Q2500" i="2"/>
  <c r="F1259" i="2"/>
  <c r="T974" i="2"/>
  <c r="M1148" i="2"/>
  <c r="Q435" i="2"/>
  <c r="G5" i="2"/>
  <c r="K725" i="2"/>
  <c r="L938" i="2"/>
  <c r="J225" i="2"/>
  <c r="C3141" i="2"/>
  <c r="V338" i="2"/>
  <c r="M2759" i="2"/>
  <c r="M1350" i="2"/>
  <c r="J301" i="2"/>
  <c r="D1297" i="2"/>
  <c r="S591" i="2"/>
  <c r="C684" i="2"/>
  <c r="M1121" i="2"/>
  <c r="U661" i="2"/>
  <c r="D347" i="2"/>
  <c r="V470" i="2"/>
  <c r="G1746" i="2"/>
  <c r="G1514" i="2"/>
  <c r="S194" i="2"/>
  <c r="G450" i="2"/>
  <c r="K1828" i="2"/>
  <c r="J579" i="2"/>
  <c r="K2969" i="2"/>
  <c r="I1510" i="2"/>
  <c r="L1635" i="2"/>
  <c r="Q10" i="2"/>
  <c r="M883" i="2"/>
  <c r="J1335" i="2"/>
  <c r="G2204" i="2"/>
  <c r="D4" i="2"/>
  <c r="T1143" i="2"/>
  <c r="H1893" i="2"/>
  <c r="N2076" i="2"/>
  <c r="G1807" i="2"/>
  <c r="R598" i="2"/>
  <c r="C989" i="2"/>
  <c r="D357" i="2"/>
  <c r="D752" i="2"/>
  <c r="Q546" i="2"/>
  <c r="V436" i="2"/>
  <c r="P1942" i="2"/>
  <c r="I685" i="2"/>
  <c r="I298" i="2"/>
  <c r="I342" i="2"/>
  <c r="G195" i="2"/>
  <c r="H766" i="2"/>
  <c r="D293" i="2"/>
  <c r="S1174" i="2"/>
  <c r="R504" i="2"/>
  <c r="N422" i="2"/>
  <c r="T2552" i="2"/>
  <c r="K1511" i="2"/>
  <c r="T1587" i="2"/>
  <c r="P327" i="2"/>
  <c r="P1610" i="2"/>
  <c r="E1517" i="2"/>
  <c r="U816" i="2"/>
  <c r="E1044" i="2"/>
  <c r="V288" i="2"/>
  <c r="U1061" i="2"/>
  <c r="P439" i="2"/>
  <c r="I834" i="2"/>
  <c r="J692" i="2"/>
  <c r="D1422" i="2"/>
  <c r="C1443" i="2"/>
  <c r="M97" i="2"/>
  <c r="G1399" i="2"/>
  <c r="K1497" i="2"/>
  <c r="U1037" i="2"/>
  <c r="L268" i="2"/>
  <c r="O497" i="2"/>
  <c r="F2030" i="2"/>
  <c r="L1130" i="2"/>
  <c r="N1487" i="2"/>
  <c r="W1777" i="2"/>
  <c r="E453" i="2"/>
  <c r="U343" i="2"/>
  <c r="M1887" i="2"/>
  <c r="Q1941" i="2"/>
  <c r="M978" i="2"/>
  <c r="N658" i="2"/>
  <c r="D1078" i="2"/>
  <c r="O2343" i="2"/>
  <c r="H365" i="2"/>
  <c r="T561" i="2"/>
  <c r="K978" i="2"/>
  <c r="I1330" i="2"/>
  <c r="N179" i="2"/>
  <c r="V1913" i="2"/>
  <c r="K1279" i="2"/>
  <c r="V1425" i="2"/>
  <c r="V31" i="2"/>
  <c r="W2396" i="2"/>
  <c r="J749" i="2"/>
  <c r="M577" i="2"/>
  <c r="O1821" i="2"/>
  <c r="I1235" i="2"/>
  <c r="U1335" i="2"/>
  <c r="Q591" i="2"/>
  <c r="N1627" i="2"/>
  <c r="M1404" i="2"/>
  <c r="I508" i="2"/>
  <c r="R2553" i="2"/>
  <c r="N1721" i="2"/>
  <c r="I1984" i="2"/>
  <c r="T995" i="2"/>
  <c r="E1027" i="2"/>
  <c r="G2336" i="2"/>
  <c r="F1340" i="2"/>
  <c r="P2096" i="2"/>
  <c r="T1186" i="2"/>
  <c r="T1328" i="2"/>
  <c r="L1049" i="2"/>
  <c r="H1501" i="2"/>
  <c r="U1119" i="2"/>
  <c r="W595" i="2"/>
  <c r="K440" i="2"/>
  <c r="V1306" i="2"/>
  <c r="K992" i="2"/>
  <c r="U965" i="2"/>
  <c r="M997" i="2"/>
  <c r="W1225" i="2"/>
  <c r="P1759" i="2"/>
  <c r="J535" i="2"/>
  <c r="S602" i="2"/>
  <c r="Q733" i="2"/>
  <c r="R2328" i="2"/>
  <c r="Q2435" i="2"/>
  <c r="N355" i="2"/>
  <c r="Q2081" i="2"/>
  <c r="V2340" i="2"/>
  <c r="E1845" i="2"/>
  <c r="U1124" i="2"/>
  <c r="C2165" i="2"/>
  <c r="K1440" i="2"/>
  <c r="C2403" i="2"/>
  <c r="Q1950" i="2"/>
  <c r="M436" i="2"/>
  <c r="G2672" i="2"/>
  <c r="C2716" i="2"/>
  <c r="T411" i="2"/>
  <c r="L917" i="2"/>
  <c r="F909" i="2"/>
  <c r="Q2269" i="2"/>
  <c r="P2284" i="2"/>
  <c r="J398" i="2"/>
  <c r="W883" i="2"/>
  <c r="P652" i="2"/>
  <c r="N1091" i="2"/>
  <c r="U615" i="2"/>
  <c r="F1349" i="2"/>
  <c r="O333" i="2"/>
  <c r="T925" i="2"/>
  <c r="I1636" i="2"/>
  <c r="L359" i="2"/>
  <c r="M2209" i="2"/>
  <c r="S2207" i="2"/>
  <c r="Q2947" i="2"/>
  <c r="U53" i="2"/>
  <c r="E335" i="2"/>
  <c r="C2469" i="2"/>
  <c r="O689" i="2"/>
  <c r="T126" i="2"/>
  <c r="G83" i="2"/>
  <c r="Q1326" i="2"/>
  <c r="G280" i="2"/>
  <c r="J835" i="2"/>
  <c r="T661" i="2"/>
  <c r="G100" i="2"/>
  <c r="O787" i="2"/>
  <c r="D425" i="2"/>
  <c r="I761" i="2"/>
  <c r="V1722" i="2"/>
  <c r="C24" i="2"/>
  <c r="M763" i="2"/>
  <c r="V1539" i="2"/>
  <c r="Q1060" i="2"/>
  <c r="O3" i="2"/>
  <c r="F1819" i="2"/>
  <c r="W348" i="2"/>
  <c r="P453" i="2"/>
  <c r="O1133" i="2"/>
  <c r="P351" i="2"/>
  <c r="D248" i="2"/>
  <c r="I922" i="2"/>
  <c r="G396" i="2"/>
  <c r="T536" i="2"/>
  <c r="L2006" i="2"/>
  <c r="J2095" i="2"/>
  <c r="D1032" i="2"/>
  <c r="E2286" i="2"/>
  <c r="G1582" i="2"/>
  <c r="N742" i="2"/>
  <c r="S173" i="2"/>
  <c r="I1048" i="2"/>
  <c r="L1529" i="2"/>
  <c r="J125" i="2"/>
  <c r="R779" i="2"/>
  <c r="T1988" i="2"/>
  <c r="I302" i="2"/>
  <c r="H1763" i="2"/>
  <c r="G1575" i="2"/>
  <c r="O667" i="2"/>
  <c r="C1356" i="2"/>
  <c r="V616" i="2"/>
  <c r="S2489" i="2"/>
  <c r="F787" i="2"/>
  <c r="W745" i="2"/>
  <c r="F778" i="2"/>
  <c r="Q1338" i="2"/>
  <c r="J860" i="2"/>
  <c r="P1239" i="2"/>
  <c r="E1103" i="2"/>
  <c r="W133" i="2"/>
  <c r="D833" i="2"/>
  <c r="N2775" i="2"/>
  <c r="G713" i="2"/>
  <c r="H1383" i="2"/>
  <c r="D385" i="2"/>
  <c r="J1754" i="2"/>
  <c r="W850" i="2"/>
  <c r="U5" i="2"/>
  <c r="F1957" i="2"/>
  <c r="U2184" i="2"/>
  <c r="R428" i="2"/>
  <c r="U1629" i="2"/>
  <c r="W1357" i="2"/>
  <c r="P239" i="2"/>
  <c r="F242" i="2"/>
  <c r="Q972" i="2"/>
  <c r="R1316" i="2"/>
  <c r="V1030" i="2"/>
  <c r="E1986" i="2"/>
  <c r="G379" i="2"/>
  <c r="J2359" i="2"/>
  <c r="G88" i="2"/>
  <c r="E612" i="2"/>
  <c r="W129" i="2"/>
  <c r="D1893" i="2"/>
  <c r="U309" i="2"/>
  <c r="C1218" i="2"/>
  <c r="J1857" i="2"/>
  <c r="S921" i="2"/>
  <c r="O368" i="2"/>
  <c r="G1019" i="2"/>
  <c r="F2206" i="2"/>
  <c r="F2686" i="2"/>
  <c r="G2158" i="2"/>
  <c r="V1028" i="2"/>
  <c r="E1426" i="2"/>
  <c r="F1222" i="2"/>
  <c r="N1188" i="2"/>
  <c r="J261" i="2"/>
  <c r="T1232" i="2"/>
  <c r="P2629" i="2"/>
  <c r="D2542" i="2"/>
  <c r="S1271" i="2"/>
  <c r="W2813" i="2"/>
  <c r="E978" i="2"/>
  <c r="T796" i="2"/>
  <c r="F2131" i="2"/>
  <c r="I505" i="2"/>
  <c r="S1184" i="2"/>
  <c r="F1396" i="2"/>
  <c r="E544" i="2"/>
  <c r="W201" i="2"/>
  <c r="P1395" i="2"/>
  <c r="F409" i="2"/>
  <c r="C876" i="2"/>
  <c r="K1741" i="2"/>
  <c r="V258" i="2"/>
  <c r="E984" i="2"/>
  <c r="W601" i="2"/>
  <c r="I371" i="2"/>
  <c r="N1170" i="2"/>
  <c r="G1305" i="2"/>
  <c r="S803" i="2"/>
  <c r="J1914" i="2"/>
  <c r="Q37" i="2"/>
  <c r="O2823" i="2"/>
  <c r="K742" i="2"/>
  <c r="O1244" i="2"/>
  <c r="T1665" i="2"/>
  <c r="U2592" i="2"/>
  <c r="U12" i="2"/>
  <c r="K970" i="2"/>
  <c r="W1287" i="2"/>
  <c r="R164" i="2"/>
  <c r="H913" i="2"/>
  <c r="H1518" i="2"/>
  <c r="P1077" i="2"/>
  <c r="F1653" i="2"/>
  <c r="N1312" i="2"/>
  <c r="I1066" i="2"/>
  <c r="J838" i="2"/>
  <c r="P357" i="2"/>
  <c r="V555" i="2"/>
  <c r="K1151" i="2"/>
  <c r="V1415" i="2"/>
  <c r="Q60" i="2"/>
  <c r="F2020" i="2"/>
  <c r="I1845" i="2"/>
  <c r="N698" i="2"/>
  <c r="E22" i="2"/>
  <c r="K788" i="2"/>
  <c r="C516" i="2"/>
  <c r="P1483" i="2"/>
  <c r="V2712" i="2"/>
  <c r="G2319" i="2"/>
  <c r="D916" i="2"/>
  <c r="O2397" i="2"/>
  <c r="R366" i="2"/>
  <c r="L2124" i="2"/>
  <c r="I1983" i="2"/>
  <c r="T3040" i="2"/>
  <c r="W2207" i="2"/>
  <c r="U2613" i="2"/>
  <c r="K2778" i="2"/>
  <c r="K2948" i="2"/>
  <c r="U837" i="2"/>
  <c r="V1370" i="2"/>
  <c r="N3016" i="2"/>
  <c r="G1235" i="2"/>
  <c r="Q1170" i="2"/>
  <c r="O2212" i="2"/>
  <c r="U846" i="2"/>
  <c r="L1136" i="2"/>
  <c r="R1749" i="2"/>
  <c r="O356" i="2"/>
  <c r="S1026" i="2"/>
  <c r="D1107" i="2"/>
  <c r="O1034" i="2"/>
  <c r="J1651" i="2"/>
  <c r="F781" i="2"/>
  <c r="N163" i="2"/>
  <c r="L1538" i="2"/>
  <c r="C3214" i="2"/>
  <c r="O628" i="2"/>
  <c r="K688" i="2"/>
  <c r="U2087" i="2"/>
  <c r="C776" i="2"/>
  <c r="F1967" i="2"/>
  <c r="S746" i="2"/>
  <c r="G378" i="2"/>
  <c r="C143" i="2"/>
  <c r="D1280" i="2"/>
  <c r="G1298" i="2"/>
  <c r="E415" i="2"/>
  <c r="R3222" i="2"/>
  <c r="G21" i="2"/>
  <c r="E2780" i="2"/>
  <c r="D2750" i="2"/>
  <c r="U2686" i="2"/>
  <c r="D2568" i="2"/>
  <c r="L200" i="2"/>
  <c r="O1710" i="2"/>
  <c r="F1105" i="2"/>
  <c r="C1657" i="2"/>
  <c r="N1479" i="2"/>
  <c r="K2510" i="2"/>
  <c r="D431" i="2"/>
  <c r="R1383" i="2"/>
  <c r="F355" i="2"/>
  <c r="N1321" i="2"/>
  <c r="G966" i="2"/>
  <c r="P297" i="2"/>
  <c r="O74" i="2"/>
  <c r="N1844" i="2"/>
  <c r="R1582" i="2"/>
  <c r="J1525" i="2"/>
  <c r="Q2628" i="2"/>
  <c r="M699" i="2"/>
  <c r="S670" i="2"/>
  <c r="I1297" i="2"/>
  <c r="G788" i="2"/>
  <c r="Q2517" i="2"/>
  <c r="N1560" i="2"/>
  <c r="Q744" i="2"/>
  <c r="D947" i="2"/>
  <c r="J455" i="2"/>
  <c r="F1851" i="2"/>
  <c r="Q205" i="2"/>
  <c r="C1381" i="2"/>
  <c r="L875" i="2"/>
  <c r="R1770" i="2"/>
  <c r="U1121" i="2"/>
  <c r="O1333" i="2"/>
  <c r="I242" i="2"/>
  <c r="K1036" i="2"/>
  <c r="H1578" i="2"/>
  <c r="C1282" i="2"/>
  <c r="P1924" i="2"/>
  <c r="Q206" i="2"/>
  <c r="M788" i="2"/>
  <c r="H2299" i="2"/>
  <c r="I2301" i="2"/>
  <c r="R283" i="2"/>
  <c r="W1815" i="2"/>
  <c r="T529" i="2"/>
  <c r="R643" i="2"/>
  <c r="F241" i="2"/>
  <c r="J959" i="2"/>
  <c r="N256" i="2"/>
  <c r="O139" i="2"/>
  <c r="T1258" i="2"/>
  <c r="O936" i="2"/>
  <c r="T1066" i="2"/>
  <c r="P2437" i="2"/>
  <c r="M541" i="2"/>
  <c r="C1048" i="2"/>
  <c r="V2189" i="2"/>
  <c r="S1667" i="2"/>
  <c r="K46" i="2"/>
  <c r="I1699" i="2"/>
  <c r="W829" i="2"/>
  <c r="D476" i="2"/>
  <c r="R2739" i="2"/>
  <c r="Q91" i="2"/>
  <c r="U415" i="2"/>
  <c r="D505" i="2"/>
  <c r="K903" i="2"/>
  <c r="M480" i="2"/>
  <c r="W590" i="2"/>
  <c r="F2295" i="2"/>
  <c r="U1377" i="2"/>
  <c r="I552" i="2"/>
  <c r="P1912" i="2"/>
  <c r="N385" i="2"/>
  <c r="M425" i="2"/>
  <c r="M983" i="2"/>
  <c r="P679" i="2"/>
  <c r="I951" i="2"/>
  <c r="G2345" i="2"/>
  <c r="D957" i="2"/>
  <c r="U1941" i="2"/>
  <c r="I88" i="2"/>
  <c r="F1033" i="2"/>
  <c r="E742" i="2"/>
  <c r="L1234" i="2"/>
  <c r="O2564" i="2"/>
  <c r="K80" i="2"/>
  <c r="C1850" i="2"/>
  <c r="O2129" i="2"/>
  <c r="S1586" i="2"/>
  <c r="Q1625" i="2"/>
  <c r="V1823" i="2"/>
  <c r="K1050" i="2"/>
  <c r="S1023" i="2"/>
  <c r="Q2563" i="2"/>
  <c r="E1203" i="2"/>
  <c r="W1887" i="2"/>
  <c r="V2496" i="2"/>
  <c r="S2965" i="2"/>
  <c r="I731" i="2"/>
  <c r="F1072" i="2"/>
  <c r="D2005" i="2"/>
  <c r="E253" i="2"/>
  <c r="E2086" i="2"/>
  <c r="M369" i="2"/>
  <c r="V1516" i="2"/>
  <c r="E2722" i="2"/>
  <c r="O1078" i="2"/>
  <c r="D1093" i="2"/>
  <c r="F1061" i="2"/>
  <c r="D1017" i="2"/>
  <c r="T36" i="2"/>
  <c r="L411" i="2"/>
  <c r="D1289" i="2"/>
  <c r="T2813" i="2"/>
  <c r="W188" i="2"/>
  <c r="V232" i="2"/>
  <c r="L1795" i="2"/>
  <c r="S1440" i="2"/>
  <c r="R878" i="2"/>
  <c r="H755" i="2"/>
  <c r="E1882" i="2"/>
  <c r="U1866" i="2"/>
  <c r="P1220" i="2"/>
  <c r="H1387" i="2"/>
  <c r="M413" i="2"/>
  <c r="W1366" i="2"/>
  <c r="P1995" i="2"/>
  <c r="S131" i="2"/>
  <c r="J964" i="2"/>
  <c r="O115" i="2"/>
  <c r="K613" i="2"/>
  <c r="W3167" i="2"/>
  <c r="D985" i="2"/>
  <c r="K259" i="2"/>
  <c r="F2033" i="2"/>
  <c r="D135" i="2"/>
  <c r="F1507" i="2"/>
  <c r="H109" i="2"/>
  <c r="V1553" i="2"/>
  <c r="H644" i="2"/>
  <c r="R1103" i="2"/>
  <c r="J413" i="2"/>
  <c r="T1169" i="2"/>
  <c r="G1875" i="2"/>
  <c r="D86" i="2"/>
  <c r="C2888" i="2"/>
  <c r="P890" i="2"/>
  <c r="N1094" i="2"/>
  <c r="K1348" i="2"/>
  <c r="C565" i="2"/>
  <c r="F1047" i="2"/>
  <c r="T1792" i="2"/>
  <c r="L1886" i="2"/>
  <c r="F171" i="2"/>
  <c r="W2718" i="2"/>
  <c r="P139" i="2"/>
  <c r="L673" i="2"/>
  <c r="O1832" i="2"/>
  <c r="H2333" i="2"/>
  <c r="J351" i="2"/>
  <c r="S1314" i="2"/>
  <c r="T1714" i="2"/>
  <c r="K989" i="2"/>
  <c r="U294" i="2"/>
  <c r="P1686" i="2"/>
  <c r="V798" i="2"/>
  <c r="V676" i="2"/>
  <c r="V81" i="2"/>
  <c r="E321" i="2"/>
  <c r="Q1984" i="2"/>
  <c r="M3234" i="2"/>
  <c r="T211" i="2"/>
  <c r="H1263" i="2"/>
  <c r="M289" i="2"/>
  <c r="W2412" i="2"/>
  <c r="J361" i="2"/>
  <c r="H1132" i="2"/>
  <c r="P741" i="2"/>
  <c r="T2144" i="2"/>
  <c r="G2229" i="2"/>
  <c r="I375" i="2"/>
  <c r="J575" i="2"/>
  <c r="Q1149" i="2"/>
  <c r="U3182" i="2"/>
  <c r="C1725" i="2"/>
  <c r="U1097" i="2"/>
  <c r="D1917" i="2"/>
  <c r="D2662" i="2"/>
  <c r="T569" i="2"/>
  <c r="J1176" i="2"/>
  <c r="O1711" i="2"/>
  <c r="W1839" i="2"/>
  <c r="J1259" i="2"/>
  <c r="N960" i="2"/>
  <c r="W92" i="2"/>
  <c r="Q1067" i="2"/>
  <c r="Q219" i="2"/>
  <c r="J377" i="2"/>
  <c r="V1821" i="2"/>
  <c r="Q2037" i="2"/>
  <c r="U635" i="2"/>
  <c r="C1770" i="2"/>
  <c r="M1549" i="2"/>
  <c r="O641" i="2"/>
  <c r="R575" i="2"/>
  <c r="H833" i="2"/>
  <c r="O2026" i="2"/>
  <c r="Q47" i="2"/>
  <c r="R142" i="2"/>
  <c r="R1958" i="2"/>
  <c r="T935" i="2"/>
  <c r="F2613" i="2"/>
  <c r="D2494" i="2"/>
  <c r="M976" i="2"/>
  <c r="P629" i="2"/>
  <c r="J1331" i="2"/>
  <c r="L117" i="2"/>
  <c r="F1117" i="2"/>
  <c r="J1041" i="2"/>
  <c r="H1822" i="2"/>
  <c r="O1721" i="2"/>
  <c r="M2010" i="2"/>
  <c r="K1882" i="2"/>
  <c r="D2236" i="2"/>
  <c r="U1872" i="2"/>
  <c r="N2599" i="2"/>
  <c r="T1333" i="2"/>
  <c r="Q12" i="2"/>
  <c r="D27" i="2"/>
  <c r="H316" i="2"/>
  <c r="C1621" i="2"/>
  <c r="M1665" i="2"/>
  <c r="T2645" i="2"/>
  <c r="V2867" i="2"/>
  <c r="O367" i="2"/>
  <c r="C1680" i="2"/>
  <c r="N1352" i="2"/>
  <c r="M294" i="2"/>
  <c r="M455" i="2"/>
  <c r="W1216" i="2"/>
  <c r="H1731" i="2"/>
  <c r="O845" i="2"/>
  <c r="C1243" i="2"/>
  <c r="L501" i="2"/>
  <c r="L2100" i="2"/>
  <c r="L946" i="2"/>
  <c r="C303" i="2"/>
  <c r="W625" i="2"/>
  <c r="C1922" i="2"/>
  <c r="P1249" i="2"/>
  <c r="O2089" i="2"/>
  <c r="K1269" i="2"/>
  <c r="O1012" i="2"/>
  <c r="D630" i="2"/>
  <c r="U1168" i="2"/>
  <c r="I2190" i="2"/>
  <c r="C629" i="2"/>
  <c r="K566" i="2"/>
  <c r="R901" i="2"/>
  <c r="J166" i="2"/>
  <c r="S1550" i="2"/>
  <c r="T315" i="2"/>
  <c r="R1484" i="2"/>
  <c r="O64" i="2"/>
  <c r="D1561" i="2"/>
  <c r="N618" i="2"/>
  <c r="T777" i="2"/>
  <c r="N1712" i="2"/>
  <c r="L1459" i="2"/>
  <c r="V1181" i="2"/>
  <c r="V565" i="2"/>
  <c r="H357" i="2"/>
  <c r="G1127" i="2"/>
  <c r="G452" i="2"/>
  <c r="D984" i="2"/>
  <c r="O303" i="2"/>
  <c r="T955" i="2"/>
  <c r="D3167" i="2"/>
  <c r="W1842" i="2"/>
  <c r="U280" i="2"/>
  <c r="U2069" i="2"/>
  <c r="F1071" i="2"/>
  <c r="Q161" i="2"/>
  <c r="J1395" i="2"/>
  <c r="R287" i="2"/>
  <c r="F44" i="2"/>
  <c r="D1457" i="2"/>
  <c r="J59" i="2"/>
  <c r="W2479" i="2"/>
  <c r="M2174" i="2"/>
  <c r="K431" i="2"/>
  <c r="F520" i="2"/>
  <c r="F1678" i="2"/>
  <c r="F1792" i="2"/>
  <c r="W1305" i="2"/>
  <c r="R1077" i="2"/>
  <c r="C3061" i="2"/>
  <c r="K2336" i="2"/>
  <c r="R2705" i="2"/>
  <c r="J1706" i="2"/>
  <c r="W1054" i="2"/>
  <c r="W3029" i="2"/>
  <c r="J76" i="2"/>
  <c r="G2599" i="2"/>
  <c r="D908" i="2"/>
  <c r="V1955" i="2"/>
  <c r="P544" i="2"/>
  <c r="R1390" i="2"/>
  <c r="T1113" i="2"/>
  <c r="W1045" i="2"/>
  <c r="I1208" i="2"/>
  <c r="D329" i="2"/>
  <c r="W671" i="2"/>
  <c r="Q2063" i="2"/>
  <c r="J1903" i="2"/>
  <c r="F737" i="2"/>
  <c r="U2535" i="2"/>
  <c r="E1068" i="2"/>
  <c r="K900" i="2"/>
  <c r="D1731" i="2"/>
  <c r="S1107" i="2"/>
  <c r="J249" i="2"/>
  <c r="L1553" i="2"/>
  <c r="N110" i="2"/>
  <c r="M1686" i="2"/>
  <c r="M445" i="2"/>
  <c r="S401" i="2"/>
  <c r="E3295" i="2"/>
  <c r="Q579" i="2"/>
  <c r="O2628" i="2"/>
  <c r="M2518" i="2"/>
  <c r="K1178" i="2"/>
  <c r="V1405" i="2"/>
  <c r="U129" i="2"/>
  <c r="J972" i="2"/>
  <c r="W293" i="2"/>
  <c r="F282" i="2"/>
  <c r="U1189" i="2"/>
  <c r="H1436" i="2"/>
  <c r="H1609" i="2"/>
  <c r="Q1865" i="2"/>
  <c r="W1499" i="2"/>
  <c r="P2333" i="2"/>
  <c r="R724" i="2"/>
  <c r="D1119" i="2"/>
  <c r="D509" i="2"/>
  <c r="H829" i="2"/>
  <c r="O1184" i="2"/>
  <c r="P1124" i="2"/>
  <c r="W1681" i="2"/>
  <c r="K2099" i="2"/>
  <c r="S162" i="2"/>
  <c r="Q715" i="2"/>
  <c r="L1002" i="2"/>
  <c r="D692" i="2"/>
  <c r="H2613" i="2"/>
  <c r="H126" i="2"/>
  <c r="L62" i="2"/>
  <c r="S1823" i="2"/>
  <c r="E1736" i="2"/>
  <c r="D2510" i="2"/>
  <c r="L373" i="2"/>
  <c r="U1596" i="2"/>
  <c r="K1227" i="2"/>
  <c r="V2019" i="2"/>
  <c r="S872" i="2"/>
  <c r="N1950" i="2"/>
  <c r="N98" i="2"/>
  <c r="R126" i="2"/>
  <c r="L1818" i="2"/>
  <c r="R2541" i="2"/>
  <c r="I1486" i="2"/>
  <c r="H895" i="2"/>
  <c r="F1976" i="2"/>
  <c r="M1239" i="2"/>
  <c r="D1849" i="2"/>
  <c r="O1194" i="2"/>
  <c r="F1903" i="2"/>
  <c r="V2025" i="2"/>
  <c r="R523" i="2"/>
  <c r="U2644" i="2"/>
  <c r="E1205" i="2"/>
  <c r="W804" i="2"/>
  <c r="W1474" i="2"/>
  <c r="R2343" i="2"/>
  <c r="H1911" i="2"/>
  <c r="F1794" i="2"/>
  <c r="R780" i="2"/>
  <c r="M2232" i="2"/>
  <c r="Q1142" i="2"/>
  <c r="G1394" i="2"/>
  <c r="C2520" i="2"/>
  <c r="H2347" i="2"/>
  <c r="Q607" i="2"/>
  <c r="M2037" i="2"/>
  <c r="E389" i="2"/>
  <c r="I128" i="2"/>
  <c r="U1911" i="2"/>
  <c r="L1671" i="2"/>
  <c r="I2214" i="2"/>
  <c r="K1589" i="2"/>
  <c r="V65" i="2"/>
  <c r="H3089" i="2"/>
  <c r="F753" i="2"/>
  <c r="V217" i="2"/>
  <c r="F2761" i="2"/>
  <c r="U608" i="2"/>
  <c r="R162" i="2"/>
  <c r="G540" i="2"/>
  <c r="I1580" i="2"/>
  <c r="C623" i="2"/>
  <c r="F1431" i="2"/>
  <c r="N472" i="2"/>
  <c r="J213" i="2"/>
  <c r="M1135" i="2"/>
  <c r="U359" i="2"/>
  <c r="K221" i="2"/>
  <c r="V1547" i="2"/>
  <c r="P709" i="2"/>
  <c r="J2172" i="2"/>
  <c r="V518" i="2"/>
  <c r="R1490" i="2"/>
  <c r="Q879" i="2"/>
  <c r="J1797" i="2"/>
  <c r="I1358" i="2"/>
  <c r="N2512" i="2"/>
  <c r="I2660" i="2"/>
  <c r="R125" i="2"/>
  <c r="V1519" i="2"/>
  <c r="V1088" i="2"/>
  <c r="I1126" i="2"/>
  <c r="D2660" i="2"/>
  <c r="I2439" i="2"/>
  <c r="F838" i="2"/>
  <c r="S533" i="2"/>
  <c r="J1627" i="2"/>
  <c r="U811" i="2"/>
  <c r="M2714" i="2"/>
  <c r="I1825" i="2"/>
  <c r="U2321" i="2"/>
  <c r="P1807" i="2"/>
  <c r="E1428" i="2"/>
  <c r="T952" i="2"/>
  <c r="V175" i="2"/>
  <c r="G154" i="2"/>
  <c r="T963" i="2"/>
  <c r="C2133" i="2"/>
  <c r="W1245" i="2"/>
  <c r="F216" i="2"/>
  <c r="Q1463" i="2"/>
  <c r="D1848" i="2"/>
  <c r="W459" i="2"/>
  <c r="J1468" i="2"/>
  <c r="U460" i="2"/>
  <c r="C1538" i="2"/>
  <c r="G1970" i="2"/>
  <c r="R623" i="2"/>
  <c r="T1242" i="2"/>
  <c r="L928" i="2"/>
  <c r="G1460" i="2"/>
  <c r="I194" i="2"/>
  <c r="V547" i="2"/>
  <c r="D2032" i="2"/>
  <c r="V2310" i="2"/>
  <c r="P2832" i="2"/>
  <c r="U1930" i="2"/>
  <c r="M1642" i="2"/>
  <c r="H63" i="2"/>
  <c r="K1293" i="2"/>
  <c r="V587" i="2"/>
  <c r="D256" i="2"/>
  <c r="D1658" i="2"/>
  <c r="U1908" i="2"/>
  <c r="F1052" i="2"/>
  <c r="W977" i="2"/>
  <c r="L2239" i="2"/>
  <c r="M674" i="2"/>
  <c r="F785" i="2"/>
  <c r="U1161" i="2"/>
  <c r="Q761" i="2"/>
  <c r="L1034" i="2"/>
  <c r="N2027" i="2"/>
  <c r="D1382" i="2"/>
  <c r="C1961" i="2"/>
  <c r="R591" i="2"/>
  <c r="I1875" i="2"/>
  <c r="D214" i="2"/>
  <c r="L1026" i="2"/>
  <c r="H726" i="2"/>
  <c r="H640" i="2"/>
  <c r="C96" i="2"/>
  <c r="E1650" i="2"/>
  <c r="E2470" i="2"/>
  <c r="V1163" i="2"/>
  <c r="I2607" i="2"/>
  <c r="M363" i="2"/>
  <c r="H2681" i="2"/>
  <c r="K480" i="2"/>
  <c r="Q196" i="2"/>
  <c r="N727" i="2"/>
  <c r="K1525" i="2"/>
  <c r="O2553" i="2"/>
  <c r="P2496" i="2"/>
  <c r="G685" i="2"/>
  <c r="W2600" i="2"/>
  <c r="P871" i="2"/>
  <c r="J1115" i="2"/>
  <c r="U1796" i="2"/>
  <c r="C1404" i="2"/>
  <c r="W2855" i="2"/>
  <c r="O664" i="2"/>
  <c r="J221" i="2"/>
  <c r="H1724" i="2"/>
  <c r="C938" i="2"/>
  <c r="F1461" i="2"/>
  <c r="U1014" i="2"/>
  <c r="T324" i="2"/>
  <c r="M274" i="2"/>
  <c r="D366" i="2"/>
  <c r="N3043" i="2"/>
  <c r="N638" i="2"/>
  <c r="M241" i="2"/>
  <c r="D1484" i="2"/>
  <c r="S2510" i="2"/>
  <c r="O583" i="2"/>
  <c r="Q1251" i="2"/>
  <c r="G539" i="2"/>
  <c r="K11" i="2"/>
  <c r="Q2570" i="2"/>
  <c r="G939" i="2"/>
  <c r="V4" i="2"/>
  <c r="H560" i="2"/>
  <c r="U104" i="2"/>
  <c r="U655" i="2"/>
  <c r="H1271" i="2"/>
  <c r="E27" i="2"/>
  <c r="J1983" i="2"/>
  <c r="S874" i="2"/>
  <c r="I305" i="2"/>
  <c r="W751" i="2"/>
  <c r="R435" i="2"/>
  <c r="O612" i="2"/>
  <c r="O1669" i="2"/>
  <c r="N2155" i="2"/>
  <c r="R211" i="2"/>
  <c r="H441" i="2"/>
  <c r="U1353" i="2"/>
  <c r="U1276" i="2"/>
  <c r="G607" i="2"/>
  <c r="I995" i="2"/>
  <c r="V2263" i="2"/>
  <c r="V866" i="2"/>
  <c r="S789" i="2"/>
  <c r="G1407" i="2"/>
  <c r="I657" i="2"/>
  <c r="S1686" i="2"/>
  <c r="T455" i="2"/>
  <c r="D2039" i="2"/>
  <c r="U1249" i="2"/>
  <c r="I626" i="2"/>
  <c r="G141" i="2"/>
  <c r="W304" i="2"/>
  <c r="J2090" i="2"/>
  <c r="D1210" i="2"/>
  <c r="U1230" i="2"/>
  <c r="P1530" i="2"/>
  <c r="W3035" i="2"/>
  <c r="K2136" i="2"/>
  <c r="G1013" i="2"/>
  <c r="F91" i="2"/>
  <c r="R34" i="2"/>
  <c r="O1014" i="2"/>
  <c r="V1112" i="2"/>
  <c r="V403" i="2"/>
  <c r="I1850" i="2"/>
  <c r="H902" i="2"/>
  <c r="J1433" i="2"/>
  <c r="N1973" i="2"/>
  <c r="Q338" i="2"/>
  <c r="D2369" i="2"/>
  <c r="S1758" i="2"/>
  <c r="K1241" i="2"/>
  <c r="L2896" i="2"/>
  <c r="C241" i="2"/>
  <c r="F1316" i="2"/>
  <c r="C1802" i="2"/>
  <c r="O326" i="2"/>
  <c r="D1417" i="2"/>
  <c r="O2404" i="2"/>
  <c r="T1602" i="2"/>
  <c r="G823" i="2"/>
  <c r="R790" i="2"/>
  <c r="K2996" i="2"/>
  <c r="I638" i="2"/>
  <c r="W2105" i="2"/>
  <c r="J1361" i="2"/>
  <c r="S251" i="2"/>
  <c r="L294" i="2"/>
  <c r="M1395" i="2"/>
  <c r="N730" i="2"/>
  <c r="J1199" i="2"/>
  <c r="J2007" i="2"/>
  <c r="U776" i="2"/>
  <c r="F1414" i="2"/>
  <c r="U1342" i="2"/>
  <c r="L1207" i="2"/>
  <c r="U1942" i="2"/>
  <c r="I2573" i="2"/>
  <c r="P1113" i="2"/>
  <c r="L1925" i="2"/>
  <c r="K209" i="2"/>
  <c r="M862" i="2"/>
  <c r="D1114" i="2"/>
  <c r="J548" i="2"/>
  <c r="W89" i="2"/>
  <c r="M808" i="2"/>
  <c r="J3138" i="2"/>
  <c r="J1485" i="2"/>
  <c r="P1273" i="2"/>
  <c r="H874" i="2"/>
  <c r="E401" i="2"/>
  <c r="G2006" i="2"/>
  <c r="P484" i="2"/>
  <c r="L1617" i="2"/>
  <c r="T277" i="2"/>
  <c r="R1264" i="2"/>
  <c r="J1219" i="2"/>
  <c r="M653" i="2"/>
  <c r="O2238" i="2"/>
  <c r="F2434" i="2"/>
  <c r="C2473" i="2"/>
  <c r="G1469" i="2"/>
  <c r="Q65" i="2"/>
  <c r="P408" i="2"/>
  <c r="P1305" i="2"/>
  <c r="M829" i="2"/>
  <c r="L254" i="2"/>
  <c r="C275" i="2"/>
  <c r="O494" i="2"/>
  <c r="S1995" i="2"/>
  <c r="P2104" i="2"/>
  <c r="J3035" i="2"/>
  <c r="P471" i="2"/>
  <c r="H64" i="2"/>
  <c r="O2221" i="2"/>
  <c r="V2190" i="2"/>
  <c r="C1174" i="2"/>
  <c r="C1826" i="2"/>
  <c r="Q917" i="2"/>
  <c r="Q183" i="2"/>
  <c r="G321" i="2"/>
  <c r="V99" i="2"/>
  <c r="S2272" i="2"/>
  <c r="P343" i="2"/>
  <c r="F1698" i="2"/>
  <c r="H2010" i="2"/>
  <c r="Q3181" i="2"/>
  <c r="N443" i="2"/>
  <c r="Q1061" i="2"/>
  <c r="O2185" i="2"/>
  <c r="H574" i="2"/>
  <c r="O1092" i="2"/>
  <c r="F1394" i="2"/>
  <c r="C2092" i="2"/>
  <c r="P535" i="2"/>
  <c r="F468" i="2"/>
  <c r="G282" i="2"/>
  <c r="P1761" i="2"/>
  <c r="D489" i="2"/>
  <c r="N345" i="2"/>
  <c r="P2188" i="2"/>
  <c r="N713" i="2"/>
  <c r="D653" i="2"/>
  <c r="W1865" i="2"/>
  <c r="K816" i="2"/>
  <c r="S1655" i="2"/>
  <c r="K1707" i="2"/>
  <c r="D891" i="2"/>
  <c r="O278" i="2"/>
  <c r="N360" i="2"/>
  <c r="C843" i="2"/>
  <c r="F2218" i="2"/>
  <c r="I820" i="2"/>
  <c r="H1312" i="2"/>
  <c r="V1442" i="2"/>
  <c r="H2205" i="2"/>
  <c r="E2851" i="2"/>
  <c r="V1355" i="2"/>
  <c r="N351" i="2"/>
  <c r="R2278" i="2"/>
  <c r="L100" i="2"/>
  <c r="R772" i="2"/>
  <c r="E2265" i="2"/>
  <c r="V443" i="2"/>
  <c r="D339" i="2"/>
  <c r="L677" i="2"/>
  <c r="G1849" i="2"/>
  <c r="O1146" i="2"/>
  <c r="V2132" i="2"/>
  <c r="Q1177" i="2"/>
  <c r="Q1803" i="2"/>
  <c r="J1364" i="2"/>
  <c r="O1753" i="2"/>
  <c r="V889" i="2"/>
  <c r="T1259" i="2"/>
  <c r="Q3057" i="2"/>
  <c r="J1615" i="2"/>
  <c r="I1745" i="2"/>
  <c r="P363" i="2"/>
  <c r="L1411" i="2"/>
  <c r="T757" i="2"/>
  <c r="E50" i="2"/>
  <c r="O254" i="2"/>
  <c r="L1169" i="2"/>
  <c r="G247" i="2"/>
  <c r="C2118" i="2"/>
  <c r="P1612" i="2"/>
  <c r="K355" i="2"/>
  <c r="W2905" i="2"/>
  <c r="V2423" i="2"/>
  <c r="W748" i="2"/>
  <c r="M1562" i="2"/>
  <c r="O1509" i="2"/>
  <c r="T2052" i="2"/>
  <c r="L2383" i="2"/>
  <c r="D1139" i="2"/>
  <c r="J1746" i="2"/>
  <c r="J777" i="2"/>
  <c r="D2464" i="2"/>
  <c r="U202" i="2"/>
  <c r="R111" i="2"/>
  <c r="C610" i="2"/>
  <c r="M21" i="2"/>
  <c r="H2000" i="2"/>
  <c r="J863" i="2"/>
  <c r="V549" i="2"/>
  <c r="T330" i="2"/>
  <c r="J71" i="2"/>
  <c r="V641" i="2"/>
  <c r="F517" i="2"/>
  <c r="K2553" i="2"/>
  <c r="K1266" i="2"/>
  <c r="C2201" i="2"/>
  <c r="E1801" i="2"/>
  <c r="M2302" i="2"/>
  <c r="L1107" i="2"/>
  <c r="R2940" i="2"/>
  <c r="R838" i="2"/>
  <c r="I258" i="2"/>
  <c r="N181" i="2"/>
  <c r="W1082" i="2"/>
  <c r="D306" i="2"/>
  <c r="Q665" i="2"/>
  <c r="L2292" i="2"/>
  <c r="E1545" i="2"/>
  <c r="G746" i="2"/>
  <c r="L3183" i="2"/>
  <c r="H428" i="2"/>
  <c r="V652" i="2"/>
  <c r="L1445" i="2"/>
  <c r="O1862" i="2"/>
  <c r="U1468" i="2"/>
  <c r="I55" i="2"/>
  <c r="N342" i="2"/>
  <c r="E300" i="2"/>
  <c r="K3294" i="2"/>
  <c r="M1740" i="2"/>
  <c r="J1997" i="2"/>
  <c r="E425" i="2"/>
  <c r="U568" i="2"/>
  <c r="S2155" i="2"/>
  <c r="J2215" i="2"/>
  <c r="Q699" i="2"/>
  <c r="I852" i="2"/>
  <c r="U1116" i="2"/>
  <c r="G1282" i="2"/>
  <c r="G2565" i="2"/>
  <c r="O2096" i="2"/>
  <c r="J132" i="2"/>
  <c r="T1260" i="2"/>
  <c r="G92" i="2"/>
  <c r="N2596" i="2"/>
  <c r="U289" i="2"/>
  <c r="I930" i="2"/>
  <c r="G2417" i="2"/>
  <c r="P8" i="2"/>
  <c r="I858" i="2"/>
  <c r="H2475" i="2"/>
  <c r="G127" i="2"/>
  <c r="V1748" i="2"/>
  <c r="N660" i="2"/>
  <c r="T1355" i="2"/>
  <c r="I876" i="2"/>
  <c r="E85" i="2"/>
  <c r="L1520" i="2"/>
  <c r="H2179" i="2"/>
  <c r="U1362" i="2"/>
  <c r="H2859" i="2"/>
  <c r="J2716" i="2"/>
  <c r="F2790" i="2"/>
  <c r="N1187" i="2"/>
  <c r="C1374" i="2"/>
  <c r="T144" i="2"/>
  <c r="G1517" i="2"/>
  <c r="V908" i="2"/>
  <c r="H748" i="2"/>
  <c r="E1914" i="2"/>
  <c r="F1919" i="2"/>
  <c r="O580" i="2"/>
  <c r="U279" i="2"/>
  <c r="N1671" i="2"/>
  <c r="C1678" i="2"/>
  <c r="R1733" i="2"/>
  <c r="C1056" i="2"/>
  <c r="D1667" i="2"/>
  <c r="V2322" i="2"/>
  <c r="H2865" i="2"/>
  <c r="S1961" i="2"/>
  <c r="T443" i="2"/>
  <c r="C1490" i="2"/>
  <c r="F1360" i="2"/>
  <c r="N148" i="2"/>
  <c r="E572" i="2"/>
  <c r="G1414" i="2"/>
  <c r="E1104" i="2"/>
  <c r="U1240" i="2"/>
  <c r="O1472" i="2"/>
  <c r="H2426" i="2"/>
  <c r="N625" i="2"/>
  <c r="F360" i="2"/>
  <c r="M227" i="2"/>
  <c r="G869" i="2"/>
  <c r="J733" i="2"/>
  <c r="G249" i="2"/>
  <c r="U1278" i="2"/>
  <c r="S160" i="2"/>
  <c r="O2208" i="2"/>
  <c r="F1036" i="2"/>
  <c r="R1028" i="2"/>
  <c r="N183" i="2"/>
  <c r="H627" i="2"/>
  <c r="S1980" i="2"/>
  <c r="T1100" i="2"/>
  <c r="D1702" i="2"/>
  <c r="R116" i="2"/>
  <c r="N72" i="2"/>
  <c r="G3006" i="2"/>
  <c r="Q655" i="2"/>
  <c r="U1225" i="2"/>
  <c r="K2037" i="2"/>
  <c r="L1058" i="2"/>
  <c r="E1123" i="2"/>
  <c r="E1441" i="2"/>
  <c r="S489" i="2"/>
  <c r="H593" i="2"/>
  <c r="C2972" i="2"/>
  <c r="M891" i="2"/>
  <c r="D1768" i="2"/>
  <c r="W215" i="2"/>
  <c r="S314" i="2"/>
  <c r="V2789" i="2"/>
  <c r="N2263" i="2"/>
  <c r="M622" i="2"/>
  <c r="G2405" i="2"/>
  <c r="T184" i="2"/>
  <c r="Q2548" i="2"/>
  <c r="S578" i="2"/>
  <c r="L640" i="2"/>
  <c r="G2610" i="2"/>
  <c r="I511" i="2"/>
  <c r="U2578" i="2"/>
  <c r="F154" i="2"/>
  <c r="G1601" i="2"/>
  <c r="J643" i="2"/>
  <c r="I1873" i="2"/>
  <c r="W1281" i="2"/>
  <c r="D2149" i="2"/>
  <c r="L2554" i="2"/>
  <c r="W1536" i="2"/>
  <c r="H804" i="2"/>
  <c r="S1580" i="2"/>
  <c r="T1829" i="2"/>
  <c r="I411" i="2"/>
  <c r="G2280" i="2"/>
  <c r="K717" i="2"/>
  <c r="E2039" i="2"/>
  <c r="H446" i="2"/>
  <c r="F948" i="2"/>
  <c r="S1659" i="2"/>
  <c r="D1133" i="2"/>
  <c r="E1048" i="2"/>
  <c r="G1433" i="2"/>
  <c r="T1188" i="2"/>
  <c r="N373" i="2"/>
  <c r="L669" i="2"/>
  <c r="F2335" i="2"/>
  <c r="L757" i="2"/>
  <c r="J1630" i="2"/>
  <c r="N1138" i="2"/>
  <c r="O507" i="2"/>
  <c r="V1353" i="2"/>
  <c r="E2475" i="2"/>
  <c r="N1112" i="2"/>
  <c r="V1551" i="2"/>
  <c r="D1857" i="2"/>
  <c r="W882" i="2"/>
  <c r="M1634" i="2"/>
  <c r="D500" i="2"/>
  <c r="T811" i="2"/>
  <c r="K2462" i="2"/>
  <c r="Q1886" i="2"/>
  <c r="R2933" i="2"/>
  <c r="N2196" i="2"/>
  <c r="U431" i="2"/>
  <c r="C1872" i="2"/>
  <c r="S2490" i="2"/>
  <c r="O1062" i="2"/>
  <c r="G17" i="2"/>
  <c r="S1584" i="2"/>
  <c r="C2757" i="2"/>
  <c r="I44" i="2"/>
  <c r="H2160" i="2"/>
  <c r="V2673" i="2"/>
  <c r="S656" i="2"/>
  <c r="J327" i="2"/>
  <c r="H1693" i="2"/>
  <c r="K1252" i="2"/>
  <c r="U332" i="2"/>
  <c r="D2015" i="2"/>
  <c r="W2636" i="2"/>
  <c r="O1170" i="2"/>
  <c r="Q656" i="2"/>
  <c r="Q101" i="2"/>
  <c r="F863" i="2"/>
  <c r="W401" i="2"/>
  <c r="C2088" i="2"/>
  <c r="F2289" i="2"/>
  <c r="D1033" i="2"/>
  <c r="T2362" i="2"/>
  <c r="S878" i="2"/>
  <c r="H2021" i="2"/>
  <c r="F430" i="2"/>
  <c r="P888" i="2"/>
  <c r="M387" i="2"/>
  <c r="N1160" i="2"/>
  <c r="I26" i="2"/>
  <c r="P1615" i="2"/>
  <c r="J1386" i="2"/>
  <c r="W1217" i="2"/>
  <c r="C2547" i="2"/>
  <c r="G1939" i="2"/>
  <c r="C1119" i="2"/>
  <c r="V887" i="2"/>
  <c r="P355" i="2"/>
  <c r="V1170" i="2"/>
  <c r="T89" i="2"/>
  <c r="E264" i="2"/>
  <c r="V577" i="2"/>
  <c r="O2653" i="2"/>
  <c r="T1396" i="2"/>
  <c r="J546" i="2"/>
  <c r="R1845" i="2"/>
  <c r="T145" i="2"/>
  <c r="E2362" i="2"/>
  <c r="M230" i="2"/>
  <c r="S1435" i="2"/>
  <c r="P53" i="2"/>
  <c r="G231" i="2"/>
  <c r="T389" i="2"/>
  <c r="U1228" i="2"/>
  <c r="P2512" i="2"/>
  <c r="E63" i="2"/>
  <c r="P1550" i="2"/>
  <c r="F140" i="2"/>
  <c r="V8" i="2"/>
  <c r="L1698" i="2"/>
  <c r="Q2266" i="2"/>
  <c r="N906" i="2"/>
  <c r="G302" i="2"/>
  <c r="P61" i="2"/>
  <c r="C2452" i="2"/>
  <c r="J665" i="2"/>
  <c r="L435" i="2"/>
  <c r="T1440" i="2"/>
  <c r="O271" i="2"/>
  <c r="L121" i="2"/>
  <c r="O229" i="2"/>
  <c r="K1354" i="2"/>
  <c r="G289" i="2"/>
  <c r="G1496" i="2"/>
  <c r="Q464" i="2"/>
  <c r="Q2062" i="2"/>
  <c r="Q148" i="2"/>
  <c r="P1004" i="2"/>
  <c r="T2273" i="2"/>
  <c r="C2082" i="2"/>
  <c r="M1068" i="2"/>
  <c r="V1644" i="2"/>
  <c r="S1151" i="2"/>
  <c r="E2183" i="2"/>
  <c r="V2135" i="2"/>
  <c r="T711" i="2"/>
  <c r="M2315" i="2"/>
  <c r="D312" i="2"/>
  <c r="D1388" i="2"/>
  <c r="J1044" i="2"/>
  <c r="P556" i="2"/>
  <c r="D2018" i="2"/>
  <c r="K1366" i="2"/>
  <c r="H2259" i="2"/>
  <c r="M1075" i="2"/>
  <c r="H959" i="2"/>
  <c r="P2964" i="2"/>
  <c r="D1056" i="2"/>
  <c r="L1891" i="2"/>
  <c r="D1544" i="2"/>
  <c r="J3325" i="2"/>
  <c r="J1372" i="2"/>
  <c r="Q1746" i="2"/>
  <c r="Q621" i="2"/>
  <c r="K506" i="2"/>
  <c r="K482" i="2"/>
  <c r="I1205" i="2"/>
  <c r="U963" i="2"/>
  <c r="U510" i="2"/>
  <c r="K1502" i="2"/>
  <c r="J2762" i="2"/>
  <c r="Q1781" i="2"/>
  <c r="F1878" i="2"/>
  <c r="U541" i="2"/>
  <c r="V2030" i="2"/>
  <c r="H146" i="2"/>
  <c r="S2481" i="2"/>
  <c r="R319" i="2"/>
  <c r="M1405" i="2"/>
  <c r="R289" i="2"/>
  <c r="T809" i="2"/>
  <c r="U1158" i="2"/>
  <c r="W1369" i="2"/>
  <c r="R1408" i="2"/>
  <c r="K1694" i="2"/>
  <c r="D1887" i="2"/>
  <c r="F1885" i="2"/>
  <c r="G329" i="2"/>
  <c r="G1204" i="2"/>
  <c r="R609" i="2"/>
  <c r="K2774" i="2"/>
  <c r="H1500" i="2"/>
  <c r="L250" i="2"/>
  <c r="H527" i="2"/>
  <c r="U595" i="2"/>
  <c r="K1898" i="2"/>
  <c r="I2464" i="2"/>
  <c r="D1574" i="2"/>
  <c r="O404" i="2"/>
  <c r="F887" i="2"/>
  <c r="G465" i="2"/>
  <c r="J687" i="2"/>
  <c r="K1601" i="2"/>
  <c r="E1212" i="2"/>
  <c r="F486" i="2"/>
  <c r="G148" i="2"/>
  <c r="W724" i="2"/>
  <c r="L2509" i="2"/>
  <c r="D1128" i="2"/>
  <c r="R306" i="2"/>
  <c r="R280" i="2"/>
  <c r="F1860" i="2"/>
  <c r="U318" i="2"/>
  <c r="U1951" i="2"/>
  <c r="T1316" i="2"/>
  <c r="L627" i="2"/>
  <c r="K2615" i="2"/>
  <c r="U1063" i="2"/>
  <c r="Q542" i="2"/>
  <c r="D276" i="2"/>
  <c r="I1464" i="2"/>
  <c r="D2783" i="2"/>
  <c r="K235" i="2"/>
  <c r="T735" i="2"/>
  <c r="H27" i="2"/>
  <c r="J1579" i="2"/>
  <c r="T348" i="2"/>
  <c r="Q339" i="2"/>
  <c r="L353" i="2"/>
  <c r="Q1063" i="2"/>
  <c r="U2147" i="2"/>
  <c r="D151" i="2"/>
  <c r="K1784" i="2"/>
  <c r="O1695" i="2"/>
  <c r="L304" i="2"/>
  <c r="D2036" i="2"/>
  <c r="E703" i="2"/>
  <c r="N1795" i="2"/>
  <c r="Q80" i="2"/>
  <c r="G2513" i="2"/>
  <c r="H257" i="2"/>
  <c r="N338" i="2"/>
  <c r="O125" i="2"/>
  <c r="D1058" i="2"/>
  <c r="N109" i="2"/>
  <c r="Q2149" i="2"/>
  <c r="T612" i="2"/>
  <c r="O1705" i="2"/>
  <c r="U243" i="2"/>
  <c r="P1749" i="2"/>
  <c r="Q1476" i="2"/>
  <c r="D2082" i="2"/>
  <c r="S222" i="2"/>
  <c r="P374" i="2"/>
  <c r="S1395" i="2"/>
  <c r="M1847" i="2"/>
  <c r="R2023" i="2"/>
  <c r="P2456" i="2"/>
  <c r="J628" i="2"/>
  <c r="F148" i="2"/>
  <c r="O1747" i="2"/>
  <c r="U843" i="2"/>
  <c r="W1084" i="2"/>
  <c r="Q982" i="2"/>
  <c r="W403" i="2"/>
  <c r="M1353" i="2"/>
  <c r="L1128" i="2"/>
  <c r="T1626" i="2"/>
  <c r="M281" i="2"/>
  <c r="M31" i="2"/>
  <c r="G298" i="2"/>
  <c r="V1631" i="2"/>
  <c r="D2949" i="2"/>
  <c r="D601" i="2"/>
  <c r="H1841" i="2"/>
  <c r="J882" i="2"/>
  <c r="S290" i="2"/>
  <c r="N1601" i="2"/>
  <c r="E1405" i="2"/>
  <c r="M642" i="2"/>
  <c r="E170" i="2"/>
  <c r="Q238" i="2"/>
  <c r="V2711" i="2"/>
  <c r="E2773" i="2"/>
  <c r="U1812" i="2"/>
  <c r="N202" i="2"/>
  <c r="F273" i="2"/>
  <c r="N593" i="2"/>
  <c r="L397" i="2"/>
  <c r="Q372" i="2"/>
  <c r="M466" i="2"/>
  <c r="W468" i="2"/>
  <c r="O994" i="2"/>
  <c r="E1878" i="2"/>
  <c r="E2157" i="2"/>
  <c r="N1359" i="2"/>
  <c r="N2699" i="2"/>
  <c r="V575" i="2"/>
  <c r="I1252" i="2"/>
  <c r="N2183" i="2"/>
  <c r="D266" i="2"/>
  <c r="J1034" i="2"/>
  <c r="H691" i="2"/>
  <c r="M3108" i="2"/>
  <c r="N1459" i="2"/>
  <c r="V2664" i="2"/>
  <c r="S1340" i="2"/>
  <c r="J416" i="2"/>
  <c r="H1341" i="2"/>
  <c r="C1755" i="2"/>
  <c r="Q1115" i="2"/>
  <c r="G246" i="2"/>
  <c r="T1422" i="2"/>
  <c r="M2316" i="2"/>
  <c r="J2540" i="2"/>
  <c r="W2115" i="2"/>
  <c r="N1768" i="2"/>
  <c r="C569" i="2"/>
  <c r="K2049" i="2"/>
  <c r="I879" i="2"/>
  <c r="J32" i="2"/>
  <c r="E2073" i="2"/>
  <c r="L2222" i="2"/>
  <c r="V1018" i="2"/>
  <c r="H272" i="2"/>
  <c r="F2748" i="2"/>
  <c r="U495" i="2"/>
  <c r="M1520" i="2"/>
  <c r="P1959" i="2"/>
  <c r="L840" i="2"/>
  <c r="J528" i="2"/>
  <c r="V1390" i="2"/>
  <c r="R438" i="2"/>
  <c r="G983" i="2"/>
  <c r="K943" i="2"/>
  <c r="P244" i="2"/>
  <c r="G221" i="2"/>
  <c r="P934" i="2"/>
  <c r="W1620" i="2"/>
  <c r="I2757" i="2"/>
  <c r="E924" i="2"/>
  <c r="O1522" i="2"/>
  <c r="K871" i="2"/>
  <c r="N2940" i="2"/>
  <c r="Q1178" i="2"/>
  <c r="M2257" i="2"/>
  <c r="E3225" i="2"/>
  <c r="S1230" i="2"/>
  <c r="V242" i="2"/>
  <c r="M79" i="2"/>
  <c r="F683" i="2"/>
  <c r="C2278" i="2"/>
  <c r="D2711" i="2"/>
  <c r="T641" i="2"/>
  <c r="T206" i="2"/>
  <c r="M611" i="2"/>
  <c r="Q68" i="2"/>
  <c r="O425" i="2"/>
  <c r="S1303" i="2"/>
  <c r="Q1635" i="2"/>
  <c r="H174" i="2"/>
  <c r="H408" i="2"/>
  <c r="M1621" i="2"/>
  <c r="M495" i="2"/>
  <c r="T767" i="2"/>
  <c r="K1018" i="2"/>
  <c r="P1554" i="2"/>
  <c r="W2240" i="2"/>
  <c r="V2044" i="2"/>
  <c r="O2375" i="2"/>
  <c r="E1227" i="2"/>
  <c r="F410" i="2"/>
  <c r="M1117" i="2"/>
  <c r="S887" i="2"/>
  <c r="D348" i="2"/>
  <c r="T461" i="2"/>
  <c r="U1054" i="2"/>
  <c r="Q432" i="2"/>
  <c r="S865" i="2"/>
  <c r="N606" i="2"/>
  <c r="K2444" i="2"/>
  <c r="W2506" i="2"/>
  <c r="W834" i="2"/>
  <c r="H263" i="2"/>
  <c r="V1342" i="2"/>
  <c r="G1458" i="2"/>
  <c r="T2538" i="2"/>
  <c r="H1410" i="2"/>
  <c r="D3209" i="2"/>
  <c r="I374" i="2"/>
  <c r="C1363" i="2"/>
  <c r="H1005" i="2"/>
  <c r="G189" i="2"/>
  <c r="P120" i="2"/>
  <c r="E698" i="2"/>
  <c r="K901" i="2"/>
  <c r="F2129" i="2"/>
  <c r="Q693" i="2"/>
  <c r="K244" i="2"/>
  <c r="R2523" i="2"/>
  <c r="T1337" i="2"/>
  <c r="F28" i="2"/>
  <c r="F892" i="2"/>
  <c r="L572" i="2"/>
  <c r="U264" i="2"/>
  <c r="I2632" i="2"/>
  <c r="U2114" i="2"/>
  <c r="M1173" i="2"/>
  <c r="C2675" i="2"/>
  <c r="P109" i="2"/>
  <c r="T3030" i="2"/>
  <c r="F1301" i="2"/>
  <c r="U2473" i="2"/>
  <c r="C2181" i="2"/>
  <c r="G25" i="2"/>
  <c r="Q247" i="2"/>
  <c r="F2407" i="2"/>
  <c r="U2431" i="2"/>
  <c r="K594" i="2"/>
  <c r="T1039" i="2"/>
  <c r="W299" i="2"/>
  <c r="D2718" i="2"/>
  <c r="G459" i="2"/>
  <c r="M1654" i="2"/>
  <c r="N368" i="2"/>
  <c r="D1015" i="2"/>
  <c r="J107" i="2"/>
  <c r="N2" i="2"/>
  <c r="N1370" i="2"/>
  <c r="V330" i="2"/>
  <c r="T559" i="2"/>
  <c r="E428" i="2"/>
  <c r="S2749" i="2"/>
  <c r="G183" i="2"/>
  <c r="F361" i="2"/>
  <c r="I119" i="2"/>
  <c r="J407" i="2"/>
  <c r="Q445" i="2"/>
  <c r="M1093" i="2"/>
  <c r="C1952" i="2"/>
  <c r="O123" i="2"/>
  <c r="W494" i="2"/>
  <c r="J3105" i="2"/>
  <c r="O1532" i="2"/>
  <c r="O1138" i="2"/>
  <c r="E614" i="2"/>
  <c r="C1599" i="2"/>
  <c r="K206" i="2"/>
  <c r="D1359" i="2"/>
  <c r="J13" i="2"/>
  <c r="M1442" i="2"/>
  <c r="F98" i="2"/>
  <c r="H426" i="2"/>
  <c r="O2720" i="2"/>
  <c r="E886" i="2"/>
  <c r="Q611" i="2"/>
  <c r="L1222" i="2"/>
  <c r="W2627" i="2"/>
  <c r="W368" i="2"/>
  <c r="P295" i="2"/>
  <c r="P706" i="2"/>
  <c r="V109" i="2"/>
  <c r="I847" i="2"/>
  <c r="U2491" i="2"/>
  <c r="L363" i="2"/>
  <c r="T1467" i="2"/>
  <c r="L645" i="2"/>
  <c r="W2535" i="2"/>
  <c r="U449" i="2"/>
  <c r="J1923" i="2"/>
  <c r="I1016" i="2"/>
  <c r="V1305" i="2"/>
  <c r="Q246" i="2"/>
  <c r="L976" i="2"/>
  <c r="Q2214" i="2"/>
  <c r="S1240" i="2"/>
  <c r="N362" i="2"/>
  <c r="F2528" i="2"/>
  <c r="G1850" i="2"/>
  <c r="Q657" i="2"/>
  <c r="H2743" i="2"/>
  <c r="K85" i="2"/>
  <c r="S308" i="2"/>
  <c r="Q1496" i="2"/>
  <c r="M800" i="2"/>
  <c r="R1384" i="2"/>
  <c r="O1129" i="2"/>
  <c r="C282" i="2"/>
  <c r="P49" i="2"/>
  <c r="V2186" i="2"/>
  <c r="G1847" i="2"/>
  <c r="E1864" i="2"/>
  <c r="M1927" i="2"/>
  <c r="J360" i="2"/>
  <c r="W51" i="2"/>
  <c r="U1413" i="2"/>
  <c r="I2760" i="2"/>
  <c r="Q1799" i="2"/>
  <c r="P1979" i="2"/>
  <c r="G1153" i="2"/>
  <c r="E1612" i="2"/>
  <c r="H18" i="2"/>
  <c r="W1600" i="2"/>
  <c r="U2094" i="2"/>
  <c r="H1130" i="2"/>
  <c r="C489" i="2"/>
  <c r="R2567" i="2"/>
  <c r="K1373" i="2"/>
  <c r="L1450" i="2"/>
  <c r="I636" i="2"/>
  <c r="U420" i="2"/>
  <c r="J1442" i="2"/>
  <c r="M375" i="2"/>
  <c r="N1558" i="2"/>
  <c r="C2571" i="2"/>
  <c r="K948" i="2"/>
  <c r="W95" i="2"/>
  <c r="J1311" i="2"/>
  <c r="O1496" i="2"/>
  <c r="F1745" i="2"/>
  <c r="T826" i="2"/>
  <c r="R1906" i="2"/>
  <c r="W2261" i="2"/>
  <c r="M60" i="2"/>
  <c r="V52" i="2"/>
  <c r="O1100" i="2"/>
  <c r="M1486" i="2"/>
  <c r="P366" i="2"/>
  <c r="U1670" i="2"/>
  <c r="L198" i="2"/>
  <c r="H1994" i="2"/>
  <c r="R1658" i="2"/>
  <c r="R242" i="2"/>
  <c r="G1606" i="2"/>
  <c r="R1929" i="2"/>
  <c r="E2030" i="2"/>
  <c r="E1785" i="2"/>
  <c r="C1717" i="2"/>
  <c r="E1684" i="2"/>
  <c r="T789" i="2"/>
  <c r="I1509" i="2"/>
  <c r="G2141" i="2"/>
  <c r="S461" i="2"/>
  <c r="H781" i="2"/>
  <c r="K1610" i="2"/>
  <c r="I1300" i="2"/>
  <c r="T2141" i="2"/>
  <c r="I1462" i="2"/>
  <c r="G1096" i="2"/>
  <c r="F2196" i="2"/>
  <c r="K550" i="2"/>
  <c r="F1261" i="2"/>
  <c r="C222" i="2"/>
  <c r="L2991" i="2"/>
  <c r="I1010" i="2"/>
  <c r="P538" i="2"/>
  <c r="T435" i="2"/>
  <c r="L766" i="2"/>
  <c r="T965" i="2"/>
  <c r="E2513" i="2"/>
  <c r="R1899" i="2"/>
  <c r="V957" i="2"/>
  <c r="U1281" i="2"/>
  <c r="W848" i="2"/>
  <c r="G1319" i="2"/>
  <c r="D729" i="2"/>
  <c r="V91" i="2"/>
  <c r="G1562" i="2"/>
  <c r="M657" i="2"/>
  <c r="L913" i="2"/>
  <c r="K502" i="2"/>
  <c r="F2359" i="2"/>
  <c r="J1547" i="2"/>
  <c r="D1902" i="2"/>
  <c r="R168" i="2"/>
  <c r="F490" i="2"/>
  <c r="V220" i="2"/>
  <c r="M1256" i="2"/>
  <c r="I1259" i="2"/>
  <c r="N2088" i="2"/>
  <c r="Q2256" i="2"/>
  <c r="F2468" i="2"/>
  <c r="P440" i="2"/>
  <c r="L2033" i="2"/>
  <c r="I992" i="2"/>
  <c r="R1163" i="2"/>
  <c r="C685" i="2"/>
  <c r="E568" i="2"/>
  <c r="H1752" i="2"/>
  <c r="C890" i="2"/>
  <c r="D1543" i="2"/>
  <c r="N367" i="2"/>
  <c r="U1810" i="2"/>
  <c r="N80" i="2"/>
  <c r="S2714" i="2"/>
  <c r="Q331" i="2"/>
  <c r="J1506" i="2"/>
  <c r="E1362" i="2"/>
  <c r="V984" i="2"/>
  <c r="O943" i="2"/>
  <c r="C901" i="2"/>
  <c r="D55" i="2"/>
  <c r="V363" i="2"/>
  <c r="N166" i="2"/>
  <c r="G243" i="2"/>
  <c r="L1266" i="2"/>
  <c r="P1188" i="2"/>
  <c r="K941" i="2"/>
  <c r="L889" i="2"/>
  <c r="F1283" i="2"/>
  <c r="I2194" i="2"/>
  <c r="N1124" i="2"/>
  <c r="P900" i="2"/>
  <c r="E1811" i="2"/>
  <c r="H2654" i="2"/>
  <c r="U2330" i="2"/>
  <c r="V105" i="2"/>
  <c r="M924" i="2"/>
  <c r="M796" i="2"/>
  <c r="H697" i="2"/>
  <c r="H125" i="2"/>
  <c r="R256" i="2"/>
  <c r="E301" i="2"/>
  <c r="J2283" i="2"/>
  <c r="T2190" i="2"/>
  <c r="O85" i="2"/>
  <c r="C230" i="2"/>
  <c r="W312" i="2"/>
  <c r="T400" i="2"/>
  <c r="C2969" i="2"/>
  <c r="P1200" i="2"/>
  <c r="O1280" i="2"/>
  <c r="M1596" i="2"/>
  <c r="U2003" i="2"/>
  <c r="U1893" i="2"/>
  <c r="R2644" i="2"/>
  <c r="M2400" i="2"/>
  <c r="F2263" i="2"/>
  <c r="O398" i="2"/>
  <c r="S1743" i="2"/>
  <c r="T274" i="2"/>
  <c r="U2133" i="2"/>
  <c r="P1255" i="2"/>
  <c r="M1998" i="2"/>
  <c r="O519" i="2"/>
  <c r="I661" i="2"/>
  <c r="N1738" i="2"/>
  <c r="I2565" i="2"/>
  <c r="K2304" i="2"/>
  <c r="C188" i="2"/>
  <c r="Q1289" i="2"/>
  <c r="E193" i="2"/>
  <c r="U2326" i="2"/>
  <c r="E227" i="2"/>
  <c r="K1015" i="2"/>
  <c r="J2398" i="2"/>
  <c r="M687" i="2"/>
  <c r="P204" i="2"/>
  <c r="M2745" i="2"/>
  <c r="F1511" i="2"/>
  <c r="U2705" i="2"/>
  <c r="M1930" i="2"/>
  <c r="I551" i="2"/>
  <c r="P834" i="2"/>
  <c r="R1045" i="2"/>
  <c r="M739" i="2"/>
  <c r="K1844" i="2"/>
  <c r="K831" i="2"/>
  <c r="M1193" i="2"/>
  <c r="M628" i="2"/>
  <c r="H1774" i="2"/>
  <c r="E411" i="2"/>
  <c r="F2001" i="2"/>
  <c r="W2384" i="2"/>
  <c r="E985" i="2"/>
  <c r="V1454" i="2"/>
  <c r="U1307" i="2"/>
  <c r="S1353" i="2"/>
  <c r="H1679" i="2"/>
  <c r="F1439" i="2"/>
  <c r="D1721" i="2"/>
  <c r="I297" i="2"/>
  <c r="W380" i="2"/>
  <c r="T270" i="2"/>
  <c r="W20" i="2"/>
  <c r="S3126" i="2"/>
  <c r="C607" i="2"/>
  <c r="O200" i="2"/>
  <c r="P2148" i="2"/>
  <c r="S1163" i="2"/>
  <c r="E968" i="2"/>
  <c r="C872" i="2"/>
  <c r="R2056" i="2"/>
  <c r="H1178" i="2"/>
  <c r="F1914" i="2"/>
  <c r="H1389" i="2"/>
  <c r="O2445" i="2"/>
  <c r="J790" i="2"/>
  <c r="T2782" i="2"/>
  <c r="N1939" i="2"/>
  <c r="K143" i="2"/>
  <c r="W667" i="2"/>
  <c r="C512" i="2"/>
  <c r="F182" i="2"/>
  <c r="T922" i="2"/>
  <c r="U739" i="2"/>
  <c r="J1482" i="2"/>
  <c r="P282" i="2"/>
  <c r="E58" i="2"/>
  <c r="P1279" i="2"/>
  <c r="J1028" i="2"/>
  <c r="D438" i="2"/>
  <c r="K1078" i="2"/>
  <c r="R1021" i="2"/>
  <c r="W169" i="2"/>
  <c r="L733" i="2"/>
  <c r="D1855" i="2"/>
  <c r="I1517" i="2"/>
  <c r="D2906" i="2"/>
  <c r="R1518" i="2"/>
  <c r="R2507" i="2"/>
  <c r="W1541" i="2"/>
  <c r="H339" i="2"/>
  <c r="V58" i="2"/>
  <c r="Q1867" i="2"/>
  <c r="M1563" i="2"/>
  <c r="D174" i="2"/>
  <c r="T203" i="2"/>
  <c r="R1078" i="2"/>
  <c r="M589" i="2"/>
  <c r="R353" i="2"/>
  <c r="H2880" i="2"/>
  <c r="L2700" i="2"/>
  <c r="P104" i="2"/>
  <c r="F307" i="2"/>
  <c r="W819" i="2"/>
  <c r="T452" i="2"/>
  <c r="F2789" i="2"/>
  <c r="L1943" i="2"/>
  <c r="V1545" i="2"/>
  <c r="C2342" i="2"/>
  <c r="L1825" i="2"/>
  <c r="V161" i="2"/>
  <c r="R1988" i="2"/>
  <c r="U1977" i="2"/>
  <c r="W913" i="2"/>
  <c r="R1290" i="2"/>
  <c r="E364" i="2"/>
  <c r="S2403" i="2"/>
  <c r="V2587" i="2"/>
  <c r="Q1586" i="2"/>
  <c r="L232" i="2"/>
  <c r="F924" i="2"/>
  <c r="K1060" i="2"/>
  <c r="O3179" i="2"/>
  <c r="I2541" i="2"/>
  <c r="F67" i="2"/>
  <c r="R1139" i="2"/>
  <c r="F2220" i="2"/>
  <c r="R132" i="2"/>
  <c r="P1879" i="2"/>
  <c r="M128" i="2"/>
  <c r="O3060" i="2"/>
  <c r="N657" i="2"/>
  <c r="P2776" i="2"/>
  <c r="U225" i="2"/>
  <c r="R200" i="2"/>
  <c r="F592" i="2"/>
  <c r="Q1303" i="2"/>
  <c r="K1913" i="2"/>
  <c r="N94" i="2"/>
  <c r="K2234" i="2"/>
  <c r="I228" i="2"/>
  <c r="U437" i="2"/>
  <c r="J294" i="2"/>
  <c r="I1584" i="2"/>
  <c r="O1552" i="2"/>
  <c r="O566" i="2"/>
  <c r="U346" i="2"/>
  <c r="W917" i="2"/>
  <c r="L309" i="2"/>
  <c r="P1396" i="2"/>
  <c r="N872" i="2"/>
  <c r="T1890" i="2"/>
  <c r="V18" i="2"/>
  <c r="H1984" i="2"/>
  <c r="V814" i="2"/>
  <c r="I1100" i="2"/>
  <c r="T234" i="2"/>
  <c r="Q2224" i="2"/>
  <c r="K2769" i="2"/>
  <c r="Q472" i="2"/>
  <c r="I2334" i="2"/>
  <c r="N1646" i="2"/>
  <c r="N344" i="2"/>
  <c r="T1226" i="2"/>
  <c r="J1480" i="2"/>
  <c r="F2389" i="2"/>
  <c r="W1592" i="2"/>
  <c r="I531" i="2"/>
  <c r="W718" i="2"/>
  <c r="G1089" i="2"/>
  <c r="V541" i="2"/>
  <c r="C1479" i="2"/>
  <c r="P1900" i="2"/>
  <c r="U1607" i="2"/>
  <c r="C646" i="2"/>
  <c r="M2106" i="2"/>
  <c r="M863" i="2"/>
  <c r="Q963" i="2"/>
  <c r="L2281" i="2"/>
  <c r="G358" i="2"/>
  <c r="T950" i="2"/>
  <c r="H460" i="2"/>
  <c r="N2621" i="2"/>
  <c r="J1302" i="2"/>
  <c r="H847" i="2"/>
  <c r="D2578" i="2"/>
  <c r="N260" i="2"/>
  <c r="M2414" i="2"/>
  <c r="I1455" i="2"/>
  <c r="K1278" i="2"/>
  <c r="S1646" i="2"/>
  <c r="I2287" i="2"/>
  <c r="J538" i="2"/>
  <c r="N2316" i="2"/>
  <c r="M2831" i="2"/>
  <c r="P2156" i="2"/>
  <c r="J709" i="2"/>
  <c r="G104" i="2"/>
  <c r="V1838" i="2"/>
  <c r="U610" i="2"/>
  <c r="K1941" i="2"/>
  <c r="R474" i="2"/>
  <c r="M212" i="2"/>
  <c r="N536" i="2"/>
  <c r="K303" i="2"/>
  <c r="M282" i="2"/>
  <c r="L237" i="2"/>
  <c r="N760" i="2"/>
  <c r="V872" i="2"/>
  <c r="N237" i="2"/>
  <c r="L722" i="2"/>
  <c r="F2691" i="2"/>
  <c r="R925" i="2"/>
  <c r="V1308" i="2"/>
  <c r="T750" i="2"/>
  <c r="E290" i="2"/>
  <c r="R602" i="2"/>
  <c r="L1523" i="2"/>
  <c r="C288" i="2"/>
  <c r="J73" i="2"/>
  <c r="D2449" i="2"/>
  <c r="U1067" i="2"/>
  <c r="N940" i="2"/>
  <c r="H903" i="2"/>
  <c r="C1453" i="2"/>
  <c r="O1334" i="2"/>
  <c r="H1707" i="2"/>
  <c r="D15" i="2"/>
  <c r="O1775" i="2"/>
  <c r="F1032" i="2"/>
  <c r="W562" i="2"/>
  <c r="T719" i="2"/>
  <c r="E620" i="2"/>
  <c r="H105" i="2"/>
  <c r="P1027" i="2"/>
  <c r="G306" i="2"/>
  <c r="S597" i="2"/>
  <c r="P2554" i="2"/>
  <c r="Q8" i="2"/>
  <c r="I1168" i="2"/>
  <c r="N956" i="2"/>
  <c r="P2603" i="2"/>
  <c r="I843" i="2"/>
  <c r="T2137" i="2"/>
  <c r="L758" i="2"/>
  <c r="H3088" i="2"/>
  <c r="W395" i="2"/>
  <c r="C1420" i="2"/>
  <c r="D1110" i="2"/>
  <c r="I2099" i="2"/>
  <c r="M199" i="2"/>
  <c r="L550" i="2"/>
  <c r="N683" i="2"/>
  <c r="N1579" i="2"/>
  <c r="P898" i="2"/>
  <c r="C433" i="2"/>
  <c r="D1741" i="2"/>
  <c r="I1098" i="2"/>
  <c r="W1566" i="2"/>
  <c r="I936" i="2"/>
  <c r="E2047" i="2"/>
  <c r="J326" i="2"/>
  <c r="V1029" i="2"/>
  <c r="W210" i="2"/>
  <c r="U158" i="2"/>
  <c r="K718" i="2"/>
  <c r="V1790" i="2"/>
  <c r="W582" i="2"/>
  <c r="G1515" i="2"/>
  <c r="Q2166" i="2"/>
  <c r="N2834" i="2"/>
  <c r="E302" i="2"/>
  <c r="T1172" i="2"/>
  <c r="M1648" i="2"/>
  <c r="J842" i="2"/>
  <c r="G2571" i="2"/>
  <c r="U684" i="2"/>
  <c r="D966" i="2"/>
  <c r="K1761" i="2"/>
  <c r="E885" i="2"/>
  <c r="F482" i="2"/>
  <c r="V1999" i="2"/>
  <c r="F48" i="2"/>
  <c r="R847" i="2"/>
  <c r="S2344" i="2"/>
  <c r="V933" i="2"/>
  <c r="Q2298" i="2"/>
  <c r="K2109" i="2"/>
  <c r="W1258" i="2"/>
  <c r="N1506" i="2"/>
  <c r="H1348" i="2"/>
  <c r="Q1626" i="2"/>
  <c r="F2062" i="2"/>
  <c r="R657" i="2"/>
  <c r="N1284" i="2"/>
  <c r="J1429" i="2"/>
  <c r="D708" i="2"/>
  <c r="F2337" i="2"/>
  <c r="C1272" i="2"/>
  <c r="P1734" i="2"/>
  <c r="S75" i="2"/>
  <c r="F3037" i="2"/>
  <c r="E1471" i="2"/>
  <c r="J1699" i="2"/>
  <c r="C2532" i="2"/>
  <c r="E458" i="2"/>
  <c r="I2742" i="2"/>
  <c r="C2427" i="2"/>
  <c r="W97" i="2"/>
  <c r="L1777" i="2"/>
  <c r="J53" i="2"/>
  <c r="G1646" i="2"/>
  <c r="L2054" i="2"/>
  <c r="U572" i="2"/>
  <c r="R1559" i="2"/>
  <c r="T506" i="2"/>
  <c r="M116" i="2"/>
  <c r="J1919" i="2"/>
  <c r="V331" i="2"/>
  <c r="I97" i="2"/>
  <c r="G354" i="2"/>
  <c r="G222" i="2"/>
  <c r="F2213" i="2"/>
  <c r="W1680" i="2"/>
  <c r="N2923" i="2"/>
  <c r="O3241" i="2"/>
  <c r="V1326" i="2"/>
  <c r="H318" i="2"/>
  <c r="V767" i="2"/>
  <c r="R2590" i="2"/>
  <c r="H1024" i="2"/>
  <c r="M1390" i="2"/>
  <c r="F1544" i="2"/>
  <c r="R610" i="2"/>
  <c r="T1713" i="2"/>
  <c r="S1324" i="2"/>
  <c r="D1929" i="2"/>
  <c r="U2273" i="2"/>
  <c r="J2086" i="2"/>
  <c r="Q229" i="2"/>
  <c r="P504" i="2"/>
  <c r="T90" i="2"/>
  <c r="W687" i="2"/>
  <c r="E2528" i="2"/>
  <c r="W247" i="2"/>
  <c r="U1309" i="2"/>
  <c r="D61" i="2"/>
  <c r="J499" i="2"/>
  <c r="D384" i="2"/>
  <c r="P2336" i="2"/>
  <c r="E245" i="2"/>
  <c r="Q777" i="2"/>
  <c r="W1591" i="2"/>
  <c r="E456" i="2"/>
  <c r="D781" i="2"/>
  <c r="E3079" i="2"/>
  <c r="H2647" i="2"/>
  <c r="S391" i="2"/>
  <c r="D441" i="2"/>
  <c r="T1797" i="2"/>
  <c r="O2126" i="2"/>
  <c r="G1837" i="2"/>
  <c r="F416" i="2"/>
  <c r="D1123" i="2"/>
  <c r="K45" i="2"/>
  <c r="V1621" i="2"/>
  <c r="T528" i="2"/>
  <c r="T92" i="2"/>
  <c r="N613" i="2"/>
  <c r="Q212" i="2"/>
  <c r="L1786" i="2"/>
  <c r="P1261" i="2"/>
  <c r="M65" i="2"/>
  <c r="I1296" i="2"/>
  <c r="L1602" i="2"/>
  <c r="T1629" i="2"/>
  <c r="H66" i="2"/>
  <c r="F1485" i="2"/>
  <c r="N251" i="2"/>
  <c r="N2424" i="2"/>
  <c r="J991" i="2"/>
  <c r="D2639" i="2"/>
  <c r="U207" i="2"/>
  <c r="U1133" i="2"/>
  <c r="W1528" i="2"/>
  <c r="T228" i="2"/>
  <c r="M894" i="2"/>
  <c r="J188" i="2"/>
  <c r="M1543" i="2"/>
  <c r="F576" i="2"/>
  <c r="H1449" i="2"/>
  <c r="M689" i="2"/>
  <c r="U2212" i="2"/>
  <c r="N1575" i="2"/>
  <c r="K495" i="2"/>
  <c r="G710" i="2"/>
  <c r="C2376" i="2"/>
  <c r="T250" i="2"/>
  <c r="S778" i="2"/>
  <c r="U2164" i="2"/>
  <c r="V1510" i="2"/>
  <c r="O1237" i="2"/>
  <c r="J2792" i="2"/>
  <c r="I934" i="2"/>
  <c r="T754" i="2"/>
  <c r="D2923" i="2"/>
  <c r="U1156" i="2"/>
  <c r="K448" i="2"/>
  <c r="W5" i="2"/>
  <c r="E229" i="2"/>
  <c r="V793" i="2"/>
  <c r="F234" i="2"/>
  <c r="I1236" i="2"/>
  <c r="Q1752" i="2"/>
  <c r="V516" i="2"/>
  <c r="P2929" i="2"/>
  <c r="H1663" i="2"/>
  <c r="J677" i="2"/>
  <c r="H100" i="2"/>
  <c r="K3373" i="2"/>
  <c r="T1623" i="2"/>
  <c r="J1011" i="2"/>
  <c r="H251" i="2"/>
  <c r="F159" i="2"/>
  <c r="P1463" i="2"/>
  <c r="I637" i="2"/>
  <c r="J599" i="2"/>
  <c r="E683" i="2"/>
  <c r="E1597" i="2"/>
  <c r="R708" i="2"/>
  <c r="T805" i="2"/>
  <c r="S2520" i="2"/>
  <c r="Q880" i="2"/>
  <c r="H940" i="2"/>
  <c r="G2199" i="2"/>
  <c r="H1662" i="2"/>
  <c r="L398" i="2"/>
  <c r="G813" i="2"/>
  <c r="M993" i="2"/>
  <c r="N1263" i="2"/>
  <c r="Q1870" i="2"/>
  <c r="D432" i="2"/>
  <c r="D480" i="2"/>
  <c r="I2528" i="2"/>
  <c r="N1147" i="2"/>
  <c r="O2574" i="2"/>
  <c r="L1056" i="2"/>
  <c r="Q1579" i="2"/>
  <c r="Q1767" i="2"/>
  <c r="F2709" i="2"/>
  <c r="F1181" i="2"/>
  <c r="K3302" i="2"/>
  <c r="L935" i="2"/>
  <c r="F1521" i="2"/>
  <c r="M290" i="2"/>
  <c r="S1198" i="2"/>
  <c r="L1440" i="2"/>
  <c r="D424" i="2"/>
  <c r="K2747" i="2"/>
  <c r="I635" i="2"/>
  <c r="H58" i="2"/>
  <c r="G857" i="2"/>
  <c r="L785" i="2"/>
  <c r="G2218" i="2"/>
  <c r="T18" i="2"/>
  <c r="I642" i="2"/>
  <c r="K455" i="2"/>
  <c r="C803" i="2"/>
  <c r="O1292" i="2"/>
  <c r="C2334" i="2"/>
  <c r="K886" i="2"/>
  <c r="E2414" i="2"/>
  <c r="L668" i="2"/>
  <c r="J1224" i="2"/>
  <c r="U1180" i="2"/>
  <c r="P1677" i="2"/>
  <c r="F638" i="2"/>
  <c r="E2130" i="2"/>
  <c r="O713" i="2"/>
  <c r="I439" i="2"/>
  <c r="K555" i="2"/>
  <c r="F502" i="2"/>
  <c r="D323" i="2"/>
  <c r="C2022" i="2"/>
  <c r="W1187" i="2"/>
  <c r="G2021" i="2"/>
  <c r="E423" i="2"/>
  <c r="G2373" i="2"/>
  <c r="P2520" i="2"/>
  <c r="L665" i="2"/>
  <c r="G374" i="2"/>
  <c r="Q2129" i="2"/>
  <c r="R759" i="2"/>
  <c r="L1152" i="2"/>
  <c r="M1991" i="2"/>
  <c r="P1372" i="2"/>
  <c r="E19" i="2"/>
  <c r="T2133" i="2"/>
  <c r="G1409" i="2"/>
  <c r="L1314" i="2"/>
  <c r="N198" i="2"/>
  <c r="T2665" i="2"/>
  <c r="E230" i="2"/>
  <c r="I178" i="2"/>
  <c r="Q81" i="2"/>
  <c r="I2089" i="2"/>
  <c r="W2287" i="2"/>
  <c r="K1318" i="2"/>
  <c r="U102" i="2"/>
  <c r="H2415" i="2"/>
  <c r="O439" i="2"/>
  <c r="P1476" i="2"/>
  <c r="V2829" i="2"/>
  <c r="R102" i="2"/>
  <c r="C2500" i="2"/>
  <c r="J24" i="2"/>
  <c r="K2261" i="2"/>
  <c r="T870" i="2"/>
  <c r="L351" i="2"/>
  <c r="O1682" i="2"/>
  <c r="R2027" i="2"/>
  <c r="J2113" i="2"/>
  <c r="I712" i="2"/>
  <c r="T1806" i="2"/>
  <c r="F2829" i="2"/>
  <c r="L2279" i="2"/>
  <c r="J1235" i="2"/>
  <c r="J604" i="2"/>
  <c r="F1388" i="2"/>
  <c r="R307" i="2"/>
  <c r="G1662" i="2"/>
  <c r="W797" i="2"/>
  <c r="O376" i="2"/>
  <c r="I1981" i="2"/>
  <c r="I696" i="2"/>
  <c r="G696" i="2"/>
  <c r="J1170" i="2"/>
  <c r="U947" i="2"/>
  <c r="U2605" i="2"/>
  <c r="P211" i="2"/>
  <c r="R2347" i="2"/>
  <c r="R1217" i="2"/>
  <c r="S634" i="2"/>
  <c r="O1113" i="2"/>
  <c r="L1187" i="2"/>
  <c r="V503" i="2"/>
  <c r="I1314" i="2"/>
  <c r="H884" i="2"/>
  <c r="C43" i="2"/>
  <c r="P633" i="2"/>
  <c r="D1111" i="2"/>
  <c r="M1641" i="2"/>
  <c r="O1879" i="2"/>
  <c r="H1417" i="2"/>
  <c r="M403" i="2"/>
  <c r="N2310" i="2"/>
  <c r="U1253" i="2"/>
  <c r="W1934" i="2"/>
  <c r="K174" i="2"/>
  <c r="T867" i="2"/>
  <c r="R822" i="2"/>
  <c r="K1933" i="2"/>
  <c r="O2434" i="2"/>
  <c r="I1295" i="2"/>
  <c r="S488" i="2"/>
  <c r="U1206" i="2"/>
  <c r="V1757" i="2"/>
  <c r="O99" i="2"/>
  <c r="E1175" i="2"/>
  <c r="S335" i="2"/>
  <c r="I208" i="2"/>
  <c r="I14" i="2"/>
  <c r="H1432" i="2"/>
  <c r="E580" i="2"/>
  <c r="Q2394" i="2"/>
  <c r="C999" i="2"/>
  <c r="R1535" i="2"/>
  <c r="U2940" i="2"/>
  <c r="L249" i="2"/>
  <c r="H115" i="2"/>
  <c r="F867" i="2"/>
  <c r="K1470" i="2"/>
  <c r="S1002" i="2"/>
  <c r="N399" i="2"/>
  <c r="I2262" i="2"/>
  <c r="F768" i="2"/>
  <c r="U507" i="2"/>
  <c r="C2518" i="2"/>
  <c r="S263" i="2"/>
  <c r="J2006" i="2"/>
  <c r="D2165" i="2"/>
  <c r="O2400" i="2"/>
  <c r="R1507" i="2"/>
  <c r="L236" i="2"/>
  <c r="R909" i="2"/>
  <c r="F491" i="2"/>
  <c r="M707" i="2"/>
  <c r="H737" i="2"/>
  <c r="V1810" i="2"/>
  <c r="L2549" i="2"/>
  <c r="J1051" i="2"/>
  <c r="W2147" i="2"/>
  <c r="S74" i="2"/>
  <c r="T1769" i="2"/>
  <c r="V2203" i="2"/>
  <c r="C955" i="2"/>
  <c r="V1835" i="2"/>
  <c r="H1976" i="2"/>
  <c r="W836" i="2"/>
  <c r="D1910" i="2"/>
  <c r="C314" i="2"/>
  <c r="W152" i="2"/>
  <c r="O576" i="2"/>
  <c r="T2030" i="2"/>
  <c r="P148" i="2"/>
  <c r="P1565" i="2"/>
  <c r="P1131" i="2"/>
  <c r="U1298" i="2"/>
  <c r="P946" i="2"/>
  <c r="K280" i="2"/>
  <c r="M347" i="2"/>
  <c r="E3141" i="2"/>
  <c r="L56" i="2"/>
  <c r="T756" i="2"/>
  <c r="C2176" i="2"/>
  <c r="C2001" i="2"/>
  <c r="J2232" i="2"/>
  <c r="U3128" i="2"/>
  <c r="S12" i="2"/>
  <c r="N1647" i="2"/>
  <c r="S1502" i="2"/>
  <c r="M599" i="2"/>
  <c r="T1757" i="2"/>
  <c r="T2778" i="2"/>
  <c r="N2587" i="2"/>
  <c r="O642" i="2"/>
  <c r="V145" i="2"/>
  <c r="L341" i="2"/>
  <c r="Q567" i="2"/>
  <c r="K1085" i="2"/>
  <c r="I1227" i="2"/>
  <c r="O69" i="2"/>
  <c r="Q57" i="2"/>
  <c r="K1200" i="2"/>
  <c r="K1443" i="2"/>
  <c r="U473" i="2"/>
  <c r="J1731" i="2"/>
  <c r="J2070" i="2"/>
  <c r="T434" i="2"/>
  <c r="P1701" i="2"/>
  <c r="M2695" i="2"/>
  <c r="K1062" i="2"/>
  <c r="M1882" i="2"/>
  <c r="I436" i="2"/>
  <c r="H228" i="2"/>
  <c r="W1262" i="2"/>
  <c r="I538" i="2"/>
  <c r="L322" i="2"/>
  <c r="G2535" i="2"/>
  <c r="V2574" i="2"/>
  <c r="W817" i="2"/>
  <c r="H2603" i="2"/>
  <c r="P223" i="2"/>
  <c r="S1429" i="2"/>
  <c r="P3063" i="2"/>
  <c r="V2329" i="2"/>
  <c r="E608" i="2"/>
  <c r="F2588" i="2"/>
  <c r="F399" i="2"/>
  <c r="U526" i="2"/>
  <c r="M787" i="2"/>
  <c r="T1652" i="2"/>
  <c r="S1328" i="2"/>
  <c r="D1317" i="2"/>
  <c r="D1090" i="2"/>
  <c r="H2106" i="2"/>
  <c r="H2095" i="2"/>
  <c r="Q1166" i="2"/>
  <c r="M1339" i="2"/>
  <c r="P428" i="2"/>
  <c r="P1646" i="2"/>
  <c r="R2496" i="2"/>
  <c r="Q840" i="2"/>
  <c r="Q1203" i="2"/>
  <c r="P2607" i="2"/>
  <c r="G2231" i="2"/>
  <c r="N3415" i="2"/>
  <c r="F849" i="2"/>
  <c r="C460" i="2"/>
  <c r="K1708" i="2"/>
  <c r="S1905" i="2"/>
  <c r="T262" i="2"/>
  <c r="I1936" i="2"/>
  <c r="K501" i="2"/>
  <c r="P2814" i="2"/>
  <c r="G60" i="2"/>
  <c r="G2301" i="2"/>
  <c r="W742" i="2"/>
  <c r="D2162" i="2"/>
  <c r="O10" i="2"/>
  <c r="S727" i="2"/>
  <c r="R313" i="2"/>
  <c r="K1402" i="2"/>
  <c r="S1098" i="2"/>
  <c r="H2830" i="2"/>
  <c r="D1190" i="2"/>
  <c r="H1035" i="2"/>
  <c r="F1725" i="2"/>
  <c r="F1685" i="2"/>
  <c r="R1682" i="2"/>
  <c r="O2171" i="2"/>
  <c r="H60" i="2"/>
  <c r="T153" i="2"/>
  <c r="N156" i="2"/>
  <c r="V1718" i="2"/>
  <c r="G117" i="2"/>
  <c r="E1932" i="2"/>
  <c r="M1189" i="2"/>
  <c r="N814" i="2"/>
  <c r="F364" i="2"/>
  <c r="U408" i="2"/>
  <c r="N2373" i="2"/>
  <c r="P599" i="2"/>
  <c r="C319" i="2"/>
  <c r="P800" i="2"/>
  <c r="H848" i="2"/>
  <c r="T2100" i="2"/>
  <c r="H157" i="2"/>
  <c r="J2111" i="2"/>
  <c r="R2305" i="2"/>
  <c r="V2401" i="2"/>
  <c r="W689" i="2"/>
  <c r="F1537" i="2"/>
  <c r="S978" i="2"/>
  <c r="P638" i="2"/>
  <c r="S1236" i="2"/>
  <c r="T2635" i="2"/>
  <c r="L1619" i="2"/>
  <c r="T1572" i="2"/>
  <c r="L1004" i="2"/>
  <c r="L1040" i="2"/>
  <c r="D1941" i="2"/>
  <c r="T1157" i="2"/>
  <c r="P620" i="2"/>
  <c r="U679" i="2"/>
  <c r="E1173" i="2"/>
  <c r="T1096" i="2"/>
  <c r="Q558" i="2"/>
  <c r="R267" i="2"/>
  <c r="T1005" i="2"/>
  <c r="R2709" i="2"/>
  <c r="Q261" i="2"/>
  <c r="O2991" i="2"/>
  <c r="H873" i="2"/>
  <c r="L1148" i="2"/>
  <c r="D1180" i="2"/>
  <c r="R1734" i="2"/>
  <c r="Q748" i="2"/>
  <c r="P1865" i="2"/>
  <c r="I755" i="2"/>
  <c r="U2861" i="2"/>
  <c r="F614" i="2"/>
  <c r="G492" i="2"/>
  <c r="P795" i="2"/>
  <c r="R1008" i="2"/>
  <c r="S2296" i="2"/>
  <c r="C469" i="2"/>
  <c r="R2342" i="2"/>
  <c r="H1894" i="2"/>
  <c r="T2151" i="2"/>
  <c r="K1330" i="2"/>
  <c r="K168" i="2"/>
  <c r="K559" i="2"/>
  <c r="Q1534" i="2"/>
  <c r="V210" i="2"/>
  <c r="T517" i="2"/>
  <c r="L1578" i="2"/>
  <c r="V821" i="2"/>
  <c r="H1283" i="2"/>
  <c r="K1958" i="2"/>
  <c r="H1340" i="2"/>
  <c r="Q2133" i="2"/>
  <c r="N2453" i="2"/>
</calcChain>
</file>

<file path=xl/comments1.xml><?xml version="1.0" encoding="utf-8"?>
<comments xmlns="http://schemas.openxmlformats.org/spreadsheetml/2006/main">
  <authors>
    <author>dora ramirez</author>
  </authors>
  <commentList>
    <comment ref="A1" authorId="0" shapeId="0">
      <text>
        <r>
          <rPr>
            <b/>
            <sz val="9"/>
            <color indexed="81"/>
            <rFont val="Tahoma"/>
            <family val="2"/>
          </rPr>
          <t>dora ramirez:</t>
        </r>
        <r>
          <rPr>
            <sz val="9"/>
            <color indexed="81"/>
            <rFont val="Tahoma"/>
            <family val="2"/>
          </rPr>
          <t xml:space="preserve">
Nombre de la sociedad a presentar </t>
        </r>
      </text>
    </comment>
  </commentList>
</comments>
</file>

<file path=xl/sharedStrings.xml><?xml version="1.0" encoding="utf-8"?>
<sst xmlns="http://schemas.openxmlformats.org/spreadsheetml/2006/main" count="8157" uniqueCount="7786">
  <si>
    <t>Activo</t>
  </si>
  <si>
    <t>Activo Circulante</t>
  </si>
  <si>
    <t>Efectivo</t>
  </si>
  <si>
    <t>Bancos/Tesorería</t>
  </si>
  <si>
    <t>Inventarios</t>
  </si>
  <si>
    <t>Almacenes</t>
  </si>
  <si>
    <t>Total Activos Circulantes</t>
  </si>
  <si>
    <t>Activo No Circulante</t>
  </si>
  <si>
    <t>Terrenos</t>
  </si>
  <si>
    <t>Bienes Muebles</t>
  </si>
  <si>
    <t>Activos Intangibles</t>
  </si>
  <si>
    <t>Activos Diferidos</t>
  </si>
  <si>
    <t>Total de Activos</t>
  </si>
  <si>
    <t>Pasivo</t>
  </si>
  <si>
    <t>Pasivo Circulante</t>
  </si>
  <si>
    <t>Títulos y Valores a Corto Plazo</t>
  </si>
  <si>
    <t>Pasivos Diferidos a Corto Plazo</t>
  </si>
  <si>
    <t>Provisiones a Corto Plazo</t>
  </si>
  <si>
    <t>Total de Pasivos Circulantes</t>
  </si>
  <si>
    <t>Pasivo No Circulante</t>
  </si>
  <si>
    <t>Cuentas por Pagar a Largo Plazo</t>
  </si>
  <si>
    <t>Documentos por Pagar a Largo Plazo</t>
  </si>
  <si>
    <t>Pasivos Diferidos a Largo Plazo</t>
  </si>
  <si>
    <t>Provisiones a Largo Plazo</t>
  </si>
  <si>
    <t>Total de Pasivos no Circulantes</t>
  </si>
  <si>
    <t>Total de Pasivo</t>
  </si>
  <si>
    <t>Hacienda Pública/Patrimonio</t>
  </si>
  <si>
    <t>Aportaciones</t>
  </si>
  <si>
    <t>Hacienda Pública/Patrimonio Contribuido</t>
  </si>
  <si>
    <t>Donaciones de Capital</t>
  </si>
  <si>
    <t>Actualizaciones de la Hacienda Pública/ Patrimonio</t>
  </si>
  <si>
    <t>Revalúos</t>
  </si>
  <si>
    <t>Reservas</t>
  </si>
  <si>
    <t>Hacienda Pública/Patrimonio Generado</t>
  </si>
  <si>
    <t>Resultados de Ejercicios Anteriores</t>
  </si>
  <si>
    <t>Rectificaciones de Resultados de Ejercicios Anteriores</t>
  </si>
  <si>
    <t>Total Hacienda Pública /Patrimonio</t>
  </si>
  <si>
    <t>Total de Pasivo y Hacienda Pública/Patrimonio</t>
  </si>
  <si>
    <t>Estado de Situación Financiera</t>
  </si>
  <si>
    <t>(En pesos)</t>
  </si>
  <si>
    <t>GOBIERNO DEL ESTADO DE SONORA</t>
  </si>
  <si>
    <t>Selección vacía</t>
  </si>
  <si>
    <t>Cuenta de mayor</t>
  </si>
  <si>
    <t/>
  </si>
  <si>
    <t>Total Debito Actual</t>
  </si>
  <si>
    <t>Total Credito Actual</t>
  </si>
  <si>
    <t>Saldo Actual</t>
  </si>
  <si>
    <t>Saldo Dic</t>
  </si>
  <si>
    <t>Total Debito Anterior</t>
  </si>
  <si>
    <t>Total Credito Anterior</t>
  </si>
  <si>
    <t>Saldo Anterior</t>
  </si>
  <si>
    <t>Saldo DicA</t>
  </si>
  <si>
    <t>Estados Financieros</t>
  </si>
  <si>
    <t>GSON</t>
  </si>
  <si>
    <t>Balance General</t>
  </si>
  <si>
    <t>GSONA</t>
  </si>
  <si>
    <t>GSON1</t>
  </si>
  <si>
    <t>GSON11</t>
  </si>
  <si>
    <t>Efectivo y Equivalen</t>
  </si>
  <si>
    <t>GSON111</t>
  </si>
  <si>
    <t>GSON1111</t>
  </si>
  <si>
    <t>GSON1112</t>
  </si>
  <si>
    <t>GSON/1112010012</t>
  </si>
  <si>
    <t>GSON/1112030012</t>
  </si>
  <si>
    <t>GSON/1112030013</t>
  </si>
  <si>
    <t>GSON/1112030032</t>
  </si>
  <si>
    <t>GSON/1112030033</t>
  </si>
  <si>
    <t>GSON/1112080010</t>
  </si>
  <si>
    <t>GSON/1112080011</t>
  </si>
  <si>
    <t>GSON/1112080013</t>
  </si>
  <si>
    <t>Derechos a Recibir B</t>
  </si>
  <si>
    <t>GSON113</t>
  </si>
  <si>
    <t>Anticipo a Prov X Ad</t>
  </si>
  <si>
    <t>GSON1131</t>
  </si>
  <si>
    <t>Activo NO Circulante</t>
  </si>
  <si>
    <t>GSON12</t>
  </si>
  <si>
    <t>Bienes Inmuebles, In</t>
  </si>
  <si>
    <t>GSON123</t>
  </si>
  <si>
    <t>GSON1231</t>
  </si>
  <si>
    <t>Construcciones en Pr</t>
  </si>
  <si>
    <t>GSON1236</t>
  </si>
  <si>
    <t>GSON/1236262201</t>
  </si>
  <si>
    <t>GSON124</t>
  </si>
  <si>
    <t>Mobiliario y Equipo</t>
  </si>
  <si>
    <t>GSON1241</t>
  </si>
  <si>
    <t>GSON/1241151101</t>
  </si>
  <si>
    <t>GSON1244</t>
  </si>
  <si>
    <t>GSON/1244154101</t>
  </si>
  <si>
    <t>Otros Activos no Cir</t>
  </si>
  <si>
    <t>GSON129</t>
  </si>
  <si>
    <t>Pasivo y Capital</t>
  </si>
  <si>
    <t>GSON2-3</t>
  </si>
  <si>
    <t>GSON2</t>
  </si>
  <si>
    <t>GSON21</t>
  </si>
  <si>
    <t>Cuentas por Pagar a</t>
  </si>
  <si>
    <t>GSON211</t>
  </si>
  <si>
    <t>Proveedores x Pagar</t>
  </si>
  <si>
    <t>GSON2112</t>
  </si>
  <si>
    <t>Retenciones y Contri</t>
  </si>
  <si>
    <t>GSON2117</t>
  </si>
  <si>
    <t>Hacienda Pública/Pat</t>
  </si>
  <si>
    <t>GSON3</t>
  </si>
  <si>
    <t>GSON31</t>
  </si>
  <si>
    <t>Estado de Resultados</t>
  </si>
  <si>
    <t>GSON4-5</t>
  </si>
  <si>
    <t>Gastos y Otros Pérdi</t>
  </si>
  <si>
    <t>GSON5</t>
  </si>
  <si>
    <t>Gastos de Funcionami</t>
  </si>
  <si>
    <t>GSON51</t>
  </si>
  <si>
    <t>Materiales y Suminis</t>
  </si>
  <si>
    <t>GSON512</t>
  </si>
  <si>
    <t>Materiales d'Admon,E</t>
  </si>
  <si>
    <t>GSON5121</t>
  </si>
  <si>
    <t>Otros Gastos y Pérdi</t>
  </si>
  <si>
    <t>GSON55</t>
  </si>
  <si>
    <t>Otros Gastos</t>
  </si>
  <si>
    <t>GSON559</t>
  </si>
  <si>
    <t>Otros Gastos Varios</t>
  </si>
  <si>
    <t>GSON5599</t>
  </si>
  <si>
    <t>Cuentas de Orden Con</t>
  </si>
  <si>
    <t>GSON7</t>
  </si>
  <si>
    <t>Bienes en Concesiona</t>
  </si>
  <si>
    <t>GSON76</t>
  </si>
  <si>
    <t>CONTRATO COMODATO BI</t>
  </si>
  <si>
    <t>Cuentas de Orden Pre</t>
  </si>
  <si>
    <t>GSON8</t>
  </si>
  <si>
    <t>Ley de Egresos</t>
  </si>
  <si>
    <t>GSON82</t>
  </si>
  <si>
    <t>GSON/8210000000</t>
  </si>
  <si>
    <t>GSON/8220000000</t>
  </si>
  <si>
    <t>GSON/8230000000</t>
  </si>
  <si>
    <t>GSON/8240000000</t>
  </si>
  <si>
    <t>GSON/8250000000</t>
  </si>
  <si>
    <t>GSON/8250000001</t>
  </si>
  <si>
    <t>GSON/8260000000</t>
  </si>
  <si>
    <t>GSON/8270000000</t>
  </si>
  <si>
    <t>Resultado por Posición Monetaria</t>
  </si>
  <si>
    <t>Resultado por Tenencia de Activos no Monetarios</t>
  </si>
  <si>
    <t>S Act - S Ant</t>
  </si>
  <si>
    <t>S Ant - S Act</t>
  </si>
  <si>
    <t>ORA</t>
  </si>
  <si>
    <t>APA</t>
  </si>
  <si>
    <t>ORP</t>
  </si>
  <si>
    <t>APP</t>
  </si>
  <si>
    <t>BJ 02 INGRESOS</t>
  </si>
  <si>
    <t>GSON/1112020021</t>
  </si>
  <si>
    <t>GSON/1112030011</t>
  </si>
  <si>
    <t>GSON/1112030021</t>
  </si>
  <si>
    <t>GSON/1112030031</t>
  </si>
  <si>
    <t>SA 37 EGRESOS TR</t>
  </si>
  <si>
    <t>GSON/1112150373</t>
  </si>
  <si>
    <t>Edificios no Habitac</t>
  </si>
  <si>
    <t>GSON1233</t>
  </si>
  <si>
    <t>Estimación por Pérdida o Deterioro de Activos Circulantes</t>
  </si>
  <si>
    <t>Derechos a Recibir Efectivo o Equivalentes a Largo Plazo</t>
  </si>
  <si>
    <t>Total de Activos No Circulantes</t>
  </si>
  <si>
    <t>Fondos y Bienes de Terceros en Garantía y/o Administración a Corto Plazo</t>
  </si>
  <si>
    <t>Fondos y Bienes de Terceros en Garantía y/o en Administración a Largo Plazo</t>
  </si>
  <si>
    <t>Resultados del Ejercicio (Ahorro/ Desahorro)</t>
  </si>
  <si>
    <t>Exceso o Insuficiencia en la Actualización de la Hacienda
Pública/Patrimonio</t>
  </si>
  <si>
    <t>CAJA CHICA 1</t>
  </si>
  <si>
    <t>GSON/1111300001</t>
  </si>
  <si>
    <t>GSON/1112030010</t>
  </si>
  <si>
    <t>GSON/1112030015</t>
  </si>
  <si>
    <t>GSON/1112030020</t>
  </si>
  <si>
    <t>GSON/1112030023</t>
  </si>
  <si>
    <t>GSON/1112030030</t>
  </si>
  <si>
    <t>GSON/1112030231</t>
  </si>
  <si>
    <t>BC 51 SALDO CTA BAN</t>
  </si>
  <si>
    <t>GSON/1112030510</t>
  </si>
  <si>
    <t>BC 51 INGRESOS</t>
  </si>
  <si>
    <t>GSON/1112030511</t>
  </si>
  <si>
    <t>BC 51 EGRESOS TR</t>
  </si>
  <si>
    <t>GSON/1112030513</t>
  </si>
  <si>
    <t>GSON/1112030514</t>
  </si>
  <si>
    <t>BC 59 SALDO CTA BAN</t>
  </si>
  <si>
    <t>GSON/1112030590</t>
  </si>
  <si>
    <t>BC 59 INGRESOS</t>
  </si>
  <si>
    <t>GSON/1112030591</t>
  </si>
  <si>
    <t>BC 59 EGRESOS TR</t>
  </si>
  <si>
    <t>GSON/1112030593</t>
  </si>
  <si>
    <t>GSON/1112030594</t>
  </si>
  <si>
    <t>BC 62 SALDO CTA BAN</t>
  </si>
  <si>
    <t>GSON/1112030620</t>
  </si>
  <si>
    <t>BC 62 INGRESOS</t>
  </si>
  <si>
    <t>GSON/1112030621</t>
  </si>
  <si>
    <t>BC 63 SALDO CTA BAN</t>
  </si>
  <si>
    <t>GSON/1112030630</t>
  </si>
  <si>
    <t>BC 63 INGRESOS</t>
  </si>
  <si>
    <t>GSON/1112030631</t>
  </si>
  <si>
    <t>BC 63 EGRESOS TR</t>
  </si>
  <si>
    <t>GSON/1112030633</t>
  </si>
  <si>
    <t>GSON/1112030634</t>
  </si>
  <si>
    <t>BC 64 SALDO CTA BAN</t>
  </si>
  <si>
    <t>GSON/1112030640</t>
  </si>
  <si>
    <t>BC 64 INGRESOS</t>
  </si>
  <si>
    <t>GSON/1112030641</t>
  </si>
  <si>
    <t>BC 64 EGRESOS TR</t>
  </si>
  <si>
    <t>GSON/1112030643</t>
  </si>
  <si>
    <t>GSON/1112030644</t>
  </si>
  <si>
    <t>BC 65 SALDO CTA BAN</t>
  </si>
  <si>
    <t>GSON/1112030650</t>
  </si>
  <si>
    <t>BC 65 INGRESOS</t>
  </si>
  <si>
    <t>GSON/1112030651</t>
  </si>
  <si>
    <t>BC 65 EGRESOS TR</t>
  </si>
  <si>
    <t>GSON/1112030653</t>
  </si>
  <si>
    <t>GSON/1112030654</t>
  </si>
  <si>
    <t>BC 67 SALDO CTA BAN</t>
  </si>
  <si>
    <t>GSON/1112030670</t>
  </si>
  <si>
    <t>BC 67 INGRESOS</t>
  </si>
  <si>
    <t>GSON/1112030671</t>
  </si>
  <si>
    <t>BC 69 SALDO CTA BAN</t>
  </si>
  <si>
    <t>GSON/1112030690</t>
  </si>
  <si>
    <t>BC 69 INGRESOS</t>
  </si>
  <si>
    <t>GSON/1112030691</t>
  </si>
  <si>
    <t>BC 70 SALDO CTA BAN</t>
  </si>
  <si>
    <t>GSON/1112030700</t>
  </si>
  <si>
    <t>BC 70 INGRESOS</t>
  </si>
  <si>
    <t>GSON/1112030701</t>
  </si>
  <si>
    <t>BR 01 EGRESOS TR</t>
  </si>
  <si>
    <t>GSON/1112070013</t>
  </si>
  <si>
    <t>GSON/1112080012</t>
  </si>
  <si>
    <t>GSON/1112080060</t>
  </si>
  <si>
    <t>GSON/1112080061</t>
  </si>
  <si>
    <t>BX 17  SALDO CTA BAN</t>
  </si>
  <si>
    <t>GSON/1112080170</t>
  </si>
  <si>
    <t>BX 17  INGRESOS</t>
  </si>
  <si>
    <t>GSON/1112080171</t>
  </si>
  <si>
    <t>BX 17  EGRESOS TR</t>
  </si>
  <si>
    <t>GSON/1112080173</t>
  </si>
  <si>
    <t>GSON/1112080174</t>
  </si>
  <si>
    <t>BX 18  SALDO CTA BAN</t>
  </si>
  <si>
    <t>GSON/1112080180</t>
  </si>
  <si>
    <t>BX 18  INGRESOS</t>
  </si>
  <si>
    <t>GSON/1112080181</t>
  </si>
  <si>
    <t>BX 18  EGRESOS TR</t>
  </si>
  <si>
    <t>GSON/1112080183</t>
  </si>
  <si>
    <t>BX 19  SALDO CTA BAN</t>
  </si>
  <si>
    <t>GSON/1112080190</t>
  </si>
  <si>
    <t>BX 19  EGRESOS TR</t>
  </si>
  <si>
    <t>GSON/1112080193</t>
  </si>
  <si>
    <t>BX 20  SALDO CTA BAN</t>
  </si>
  <si>
    <t>GSON/1112080200</t>
  </si>
  <si>
    <t>BX 20  INGRESOS</t>
  </si>
  <si>
    <t>GSON/1112080201</t>
  </si>
  <si>
    <t>BX 20  EGRESOS TR</t>
  </si>
  <si>
    <t>GSON/1112080203</t>
  </si>
  <si>
    <t>BX 21  SALDO CTA BAN</t>
  </si>
  <si>
    <t>GSON/1112080210</t>
  </si>
  <si>
    <t>BX 21  INGRESOS</t>
  </si>
  <si>
    <t>GSON/1112080211</t>
  </si>
  <si>
    <t>BX 22  SALDO CTA BAN</t>
  </si>
  <si>
    <t>GSON/1112080220</t>
  </si>
  <si>
    <t>BX 22  EGRESOS TR</t>
  </si>
  <si>
    <t>GSON/1112080223</t>
  </si>
  <si>
    <t>BX 23  SALDO CTA BAN</t>
  </si>
  <si>
    <t>GSON/1112080230</t>
  </si>
  <si>
    <t>BX 23  EGRESOS TR</t>
  </si>
  <si>
    <t>GSON/1112080233</t>
  </si>
  <si>
    <t>BX 24  SALDO CTA BAN</t>
  </si>
  <si>
    <t>GSON/1112080240</t>
  </si>
  <si>
    <t>BX 24  EGRESOS TR</t>
  </si>
  <si>
    <t>GSON/1112080243</t>
  </si>
  <si>
    <t>BX 25  SALDO CTA BAN</t>
  </si>
  <si>
    <t>GSON/1112080250</t>
  </si>
  <si>
    <t>BX 25  INGRESOS</t>
  </si>
  <si>
    <t>GSON/1112080251</t>
  </si>
  <si>
    <t>BX 25  EGRESOS TR</t>
  </si>
  <si>
    <t>GSON/1112080253</t>
  </si>
  <si>
    <t>BX 26  SALDO CTA BAN</t>
  </si>
  <si>
    <t>GSON/1112080260</t>
  </si>
  <si>
    <t>BX 26  INGRESOS</t>
  </si>
  <si>
    <t>GSON/1112080261</t>
  </si>
  <si>
    <t>BX 26  EGRESOS TR</t>
  </si>
  <si>
    <t>GSON/1112080263</t>
  </si>
  <si>
    <t>BX 27  SALDO CTA BAN</t>
  </si>
  <si>
    <t>GSON/1112080270</t>
  </si>
  <si>
    <t>BX 27  EGRESOS TR</t>
  </si>
  <si>
    <t>GSON/1112080273</t>
  </si>
  <si>
    <t>BX 28  SALDO CTA BAN</t>
  </si>
  <si>
    <t>GSON/1112080280</t>
  </si>
  <si>
    <t>BX 28  EGRESOS TR</t>
  </si>
  <si>
    <t>GSON/1112080283</t>
  </si>
  <si>
    <t>BX 29  SALDO CTA BAN</t>
  </si>
  <si>
    <t>GSON/1112080290</t>
  </si>
  <si>
    <t>BX 29  EGRESOS TR</t>
  </si>
  <si>
    <t>GSON/1112080293</t>
  </si>
  <si>
    <t>BX 30  SALDO CTA BAN</t>
  </si>
  <si>
    <t>GSON/1112080300</t>
  </si>
  <si>
    <t>BX 30  INGRESOS</t>
  </si>
  <si>
    <t>GSON/1112080301</t>
  </si>
  <si>
    <t>BX 30  EGRESOS TR</t>
  </si>
  <si>
    <t>GSON/1112080303</t>
  </si>
  <si>
    <t>GSON/1112110010</t>
  </si>
  <si>
    <t>GSON/1112110011</t>
  </si>
  <si>
    <t>GSON/1112110013</t>
  </si>
  <si>
    <t>GSON/1112110014</t>
  </si>
  <si>
    <t>SA 37 SALDO CTA BAN</t>
  </si>
  <si>
    <t>GSON/1112150370</t>
  </si>
  <si>
    <t>SA 37 INGRESOS</t>
  </si>
  <si>
    <t>GSON/1112150371</t>
  </si>
  <si>
    <t>GSON/1112150372</t>
  </si>
  <si>
    <t>SA 46 SALDO CTA BAN</t>
  </si>
  <si>
    <t>GSON/1112150460</t>
  </si>
  <si>
    <t>GSON/1112150462</t>
  </si>
  <si>
    <t>SA 68 SALDO CTA BAN</t>
  </si>
  <si>
    <t>GSON/1112150680</t>
  </si>
  <si>
    <t>SA 68 INGRESOS</t>
  </si>
  <si>
    <t>GSON/1112150681</t>
  </si>
  <si>
    <t>SA 68 EGRESOS TR</t>
  </si>
  <si>
    <t>GSON/1112150683</t>
  </si>
  <si>
    <t>GSON/1112150684</t>
  </si>
  <si>
    <t>SA 69 SALDO CTA BAN</t>
  </si>
  <si>
    <t>GSON/1112150690</t>
  </si>
  <si>
    <t>SA 69 INGRESOS</t>
  </si>
  <si>
    <t>GSON/1112150691</t>
  </si>
  <si>
    <t>SA 69 EGRESOS TR</t>
  </si>
  <si>
    <t>GSON/1112150693</t>
  </si>
  <si>
    <t>GSON/1112150694</t>
  </si>
  <si>
    <t>SA 71 SALDO CTA BAN</t>
  </si>
  <si>
    <t>GSON/1112150710</t>
  </si>
  <si>
    <t>SA 71 INGRESOS</t>
  </si>
  <si>
    <t>GSON/1112150711</t>
  </si>
  <si>
    <t>SA 74 SALDO CTA BAN</t>
  </si>
  <si>
    <t>GSON/1112150740</t>
  </si>
  <si>
    <t>SA 74 INGRESOS</t>
  </si>
  <si>
    <t>GSON/1112150741</t>
  </si>
  <si>
    <t>GSON/1112150744</t>
  </si>
  <si>
    <t>GSON/1131100001</t>
  </si>
  <si>
    <t>GSON115</t>
  </si>
  <si>
    <t>Almacén de Materiale</t>
  </si>
  <si>
    <t>GSON1151</t>
  </si>
  <si>
    <t>GSON/1151100021</t>
  </si>
  <si>
    <t>GSON/1231158101</t>
  </si>
  <si>
    <t>GSON/1233158301</t>
  </si>
  <si>
    <t>GSON1235</t>
  </si>
  <si>
    <t>GSON/1236562501</t>
  </si>
  <si>
    <t>GSON1242</t>
  </si>
  <si>
    <t>EQPOS Y APARATOS</t>
  </si>
  <si>
    <t>GSON/1242152101</t>
  </si>
  <si>
    <t>Vehículos y Equipo d</t>
  </si>
  <si>
    <t>GSON125</t>
  </si>
  <si>
    <t>Software</t>
  </si>
  <si>
    <t>GSON1251</t>
  </si>
  <si>
    <t>SOFTWARE</t>
  </si>
  <si>
    <t>GSON/1251159101</t>
  </si>
  <si>
    <t>GSON/2112100001</t>
  </si>
  <si>
    <t>Participaciones y Ap</t>
  </si>
  <si>
    <t>GSON2114</t>
  </si>
  <si>
    <t>GSON/2114100001</t>
  </si>
  <si>
    <t>RET ISR HONORARIOS</t>
  </si>
  <si>
    <t>GSON/2117110001</t>
  </si>
  <si>
    <t>GSON/2117110002</t>
  </si>
  <si>
    <t>RETENCION IVA</t>
  </si>
  <si>
    <t>GSON/2117110004</t>
  </si>
  <si>
    <t>RETENCION 5 AL MILLA</t>
  </si>
  <si>
    <t>GSON/2117410001</t>
  </si>
  <si>
    <t>RETENCION 2 AL MILLA</t>
  </si>
  <si>
    <t>GSON/2117410002</t>
  </si>
  <si>
    <t>RETENCION ICIC</t>
  </si>
  <si>
    <t>GSON/2117420001</t>
  </si>
  <si>
    <t>GSON/2117420002</t>
  </si>
  <si>
    <t>RETENCION CECOP</t>
  </si>
  <si>
    <t>GSON/2117420003</t>
  </si>
  <si>
    <t>RETENCION FIE</t>
  </si>
  <si>
    <t>GSON/2117420004</t>
  </si>
  <si>
    <t>Documentos por Pagar</t>
  </si>
  <si>
    <t>GSON212</t>
  </si>
  <si>
    <t>Documentos Comercial</t>
  </si>
  <si>
    <t>GSON2121</t>
  </si>
  <si>
    <t>GSON/2121100001</t>
  </si>
  <si>
    <t>Fondos y Bienes de T</t>
  </si>
  <si>
    <t>GSON216</t>
  </si>
  <si>
    <t>Fondos en Administra</t>
  </si>
  <si>
    <t>GSON2162</t>
  </si>
  <si>
    <t>GSON/2162100008</t>
  </si>
  <si>
    <t>Otros Pasivos a Cort</t>
  </si>
  <si>
    <t>GSON219</t>
  </si>
  <si>
    <t>Otros Pasivos Circul</t>
  </si>
  <si>
    <t>GSON2199</t>
  </si>
  <si>
    <t>Pasivo NO Circulante</t>
  </si>
  <si>
    <t>GSON22</t>
  </si>
  <si>
    <t>GSON/5121211011</t>
  </si>
  <si>
    <t>GSON/5121212011</t>
  </si>
  <si>
    <t>GSON/5121216011</t>
  </si>
  <si>
    <t>Materiales y Artic d</t>
  </si>
  <si>
    <t>GSON5124</t>
  </si>
  <si>
    <t>Combustibles, Lubric</t>
  </si>
  <si>
    <t>GSON5126</t>
  </si>
  <si>
    <t>COMBUSTIBLES</t>
  </si>
  <si>
    <t>GSON/5126261011</t>
  </si>
  <si>
    <t>Servicios Generales</t>
  </si>
  <si>
    <t>GSON513</t>
  </si>
  <si>
    <t>Servicios Básicos</t>
  </si>
  <si>
    <t>GSON5131</t>
  </si>
  <si>
    <t>GSON/5131311011</t>
  </si>
  <si>
    <t>GSON/5131315011</t>
  </si>
  <si>
    <t>Servicios de Arrenda</t>
  </si>
  <si>
    <t>GSON5132</t>
  </si>
  <si>
    <t>GSON/5132322011</t>
  </si>
  <si>
    <t>Serv d'Inst, Rep, Mt</t>
  </si>
  <si>
    <t>GSON5135</t>
  </si>
  <si>
    <t>Serv de Traslado y V</t>
  </si>
  <si>
    <t>GSON5137</t>
  </si>
  <si>
    <t>GSON/5599109992</t>
  </si>
  <si>
    <t>Inversión Pública</t>
  </si>
  <si>
    <t>GSON/7630100001</t>
  </si>
  <si>
    <t>GSON/7640100001</t>
  </si>
  <si>
    <t>Resultado total</t>
  </si>
  <si>
    <t>GSON/1111100000</t>
  </si>
  <si>
    <t>CAJA CHICA 2</t>
  </si>
  <si>
    <t>GSON/1111300002</t>
  </si>
  <si>
    <t>AF 01 INGRESOS</t>
  </si>
  <si>
    <t>GSON/1112010011</t>
  </si>
  <si>
    <t>AF 02 SALDO CTA BAN</t>
  </si>
  <si>
    <t>GSON/1112010020</t>
  </si>
  <si>
    <t>GSON/1112030041</t>
  </si>
  <si>
    <t>GSON/1112030043</t>
  </si>
  <si>
    <t>GSON/1112030491</t>
  </si>
  <si>
    <t>BN 67 INGRESOS</t>
  </si>
  <si>
    <t>GSON/1112060671</t>
  </si>
  <si>
    <t>BN 76 INGRESOS</t>
  </si>
  <si>
    <t>GSON/1112060761</t>
  </si>
  <si>
    <t>GSON/1112080031</t>
  </si>
  <si>
    <t>GSON/1112080033</t>
  </si>
  <si>
    <t>GSON/1112080050</t>
  </si>
  <si>
    <t>GSON/1112080051</t>
  </si>
  <si>
    <t>GSON/1112110020</t>
  </si>
  <si>
    <t>HS 02   INGRESOS</t>
  </si>
  <si>
    <t>GSON/1112110021</t>
  </si>
  <si>
    <t>HS 23   INGRESOS</t>
  </si>
  <si>
    <t>GSON/1112110231</t>
  </si>
  <si>
    <t>IB 02   INGRESOS</t>
  </si>
  <si>
    <t>GSON/1112120021</t>
  </si>
  <si>
    <t>SA 67 INGRESOS</t>
  </si>
  <si>
    <t>GSON/1112150671</t>
  </si>
  <si>
    <t>GSON/1112990012</t>
  </si>
  <si>
    <t>Inversiones Temporal</t>
  </si>
  <si>
    <t>GSON1114</t>
  </si>
  <si>
    <t>GSON/1114100001</t>
  </si>
  <si>
    <t>Fondos con Afectació</t>
  </si>
  <si>
    <t>GSON1115</t>
  </si>
  <si>
    <t>FDO RESERVA FINAN</t>
  </si>
  <si>
    <t>GSON/1115100001</t>
  </si>
  <si>
    <t>Derechos a Recibir E</t>
  </si>
  <si>
    <t>GSON112</t>
  </si>
  <si>
    <t>Cuentas por Cobrar a</t>
  </si>
  <si>
    <t>GSON1122</t>
  </si>
  <si>
    <t>PARTICIPACIONES</t>
  </si>
  <si>
    <t>GSON/1122300081</t>
  </si>
  <si>
    <t>Deudores Diversos po</t>
  </si>
  <si>
    <t>GSON1123</t>
  </si>
  <si>
    <t>GSON/1123100001</t>
  </si>
  <si>
    <t>Ingresos por Recuper</t>
  </si>
  <si>
    <t>GSON1124</t>
  </si>
  <si>
    <t>GSON/1124100013</t>
  </si>
  <si>
    <t>IPR ACCESORIOS</t>
  </si>
  <si>
    <t>GSON/1124100017</t>
  </si>
  <si>
    <t>GSON/1124100018</t>
  </si>
  <si>
    <t>GSON/1124100019</t>
  </si>
  <si>
    <t>GSON/1124100041</t>
  </si>
  <si>
    <t>GSON/1124100043</t>
  </si>
  <si>
    <t>GSON/1124100045</t>
  </si>
  <si>
    <t>GSON/1124100061</t>
  </si>
  <si>
    <t>GSON/1124100069</t>
  </si>
  <si>
    <t>Infraestrucutra</t>
  </si>
  <si>
    <t>GSON1234</t>
  </si>
  <si>
    <t>GSON/1235161102</t>
  </si>
  <si>
    <t>Depreciación, Deteri</t>
  </si>
  <si>
    <t>GSON126</t>
  </si>
  <si>
    <t>Depreciación Acumula</t>
  </si>
  <si>
    <t>GSON1263</t>
  </si>
  <si>
    <t>GSON/1263100001</t>
  </si>
  <si>
    <t>Bienes en Comodato</t>
  </si>
  <si>
    <t>GSON1293</t>
  </si>
  <si>
    <t>GSON/1293100001</t>
  </si>
  <si>
    <t>Servicios Personales</t>
  </si>
  <si>
    <t>GSON2111</t>
  </si>
  <si>
    <t>GSON/2111100001</t>
  </si>
  <si>
    <t>Int, Com y otr Gtos</t>
  </si>
  <si>
    <t>GSON2116</t>
  </si>
  <si>
    <t>GSON/2116100001</t>
  </si>
  <si>
    <t>RETENCION ISPT</t>
  </si>
  <si>
    <t>GSON/2117110005</t>
  </si>
  <si>
    <t>GSON/2117310001</t>
  </si>
  <si>
    <t>RET FDO PENS Y JUBS</t>
  </si>
  <si>
    <t>GSON/2117310002</t>
  </si>
  <si>
    <t>PENSION ALIMENTICIA</t>
  </si>
  <si>
    <t>GSON/2121100002</t>
  </si>
  <si>
    <t>Otros Documentos x P</t>
  </si>
  <si>
    <t>GSON2129</t>
  </si>
  <si>
    <t>DOC AMORT DEUDA CP</t>
  </si>
  <si>
    <t>Porción a Corto Plaz</t>
  </si>
  <si>
    <t>GSON213</t>
  </si>
  <si>
    <t>Porción a CP de la D</t>
  </si>
  <si>
    <t>GSON2131</t>
  </si>
  <si>
    <t>Porc a CP de Tít y V</t>
  </si>
  <si>
    <t>GSON21311</t>
  </si>
  <si>
    <t>GSON/2131100001</t>
  </si>
  <si>
    <t>GSON/2131100002</t>
  </si>
  <si>
    <t>Hacienda Pública / P</t>
  </si>
  <si>
    <t>GSON32</t>
  </si>
  <si>
    <t>Resultados de Ejerci</t>
  </si>
  <si>
    <t>GSON322</t>
  </si>
  <si>
    <t>GSON/3220000001</t>
  </si>
  <si>
    <t>GSON/3220000002</t>
  </si>
  <si>
    <t>GSON/3220000011</t>
  </si>
  <si>
    <t>Ingresos y Otros Ben</t>
  </si>
  <si>
    <t>GSON4</t>
  </si>
  <si>
    <t>Ingresos de Gestión</t>
  </si>
  <si>
    <t>GSON41</t>
  </si>
  <si>
    <t>Impuestos</t>
  </si>
  <si>
    <t>GSON411</t>
  </si>
  <si>
    <t>Impuestos Sobre los</t>
  </si>
  <si>
    <t>GSON4111</t>
  </si>
  <si>
    <t>GSON/4111110101</t>
  </si>
  <si>
    <t>Impuestos Sobre la P</t>
  </si>
  <si>
    <t>GSON4113</t>
  </si>
  <si>
    <t>IMP TRASL DOM BIEN M</t>
  </si>
  <si>
    <t>GSON/4113130101</t>
  </si>
  <si>
    <t>Accesorios de Impues</t>
  </si>
  <si>
    <t>GSON4117</t>
  </si>
  <si>
    <t>RECARGOS  IMPUESTOS</t>
  </si>
  <si>
    <t>GSON/4117170101</t>
  </si>
  <si>
    <t>Otros Impuestos</t>
  </si>
  <si>
    <t>GSON4119</t>
  </si>
  <si>
    <t>GSON/4119180101</t>
  </si>
  <si>
    <t>GSON/4119180201</t>
  </si>
  <si>
    <t>GSON/4119180301</t>
  </si>
  <si>
    <t>Derechos</t>
  </si>
  <si>
    <t>GSON414</t>
  </si>
  <si>
    <t>Der x uso, Goce, Apr</t>
  </si>
  <si>
    <t>GSON4141</t>
  </si>
  <si>
    <t>GSON/4141410101</t>
  </si>
  <si>
    <t>GSON/4141410201</t>
  </si>
  <si>
    <t>Derechos por Prestac</t>
  </si>
  <si>
    <t>GSON4143</t>
  </si>
  <si>
    <t>EX LIC VTA BEB CON A</t>
  </si>
  <si>
    <t>GSON/4143430201</t>
  </si>
  <si>
    <t>SERVICIOS  GANADERÍA</t>
  </si>
  <si>
    <t>GSON/4143430301</t>
  </si>
  <si>
    <t>GSON/4143430401</t>
  </si>
  <si>
    <t>LEY DE AC INFORM PÚB</t>
  </si>
  <si>
    <t>GSON/4143430402</t>
  </si>
  <si>
    <t>GSON/4143430501</t>
  </si>
  <si>
    <t>GSON/4143430601</t>
  </si>
  <si>
    <t>GSON/4143430701</t>
  </si>
  <si>
    <t>GSON/4143430702</t>
  </si>
  <si>
    <t>GSON/4143430801</t>
  </si>
  <si>
    <t>GSON/4143430802</t>
  </si>
  <si>
    <t>GSON/4143430803</t>
  </si>
  <si>
    <t>GSON/4143430805</t>
  </si>
  <si>
    <t>GSON/4143431101</t>
  </si>
  <si>
    <t>SERVICIOS  CEDES</t>
  </si>
  <si>
    <t>GSON/4143431203</t>
  </si>
  <si>
    <t>GSON/4143431205</t>
  </si>
  <si>
    <t>Accesorios de Derech</t>
  </si>
  <si>
    <t>GSON4144</t>
  </si>
  <si>
    <t>RECARGOS DE DERECHOS</t>
  </si>
  <si>
    <t>GSON/4144450101</t>
  </si>
  <si>
    <t>Productos de Tipo Co</t>
  </si>
  <si>
    <t>GSON415</t>
  </si>
  <si>
    <t>Prod Der uso y Apr b</t>
  </si>
  <si>
    <t>GSON4151</t>
  </si>
  <si>
    <t>GSON/4151510201</t>
  </si>
  <si>
    <t>Aprovechamientos de</t>
  </si>
  <si>
    <t>GSON416</t>
  </si>
  <si>
    <t>Accesorios de Aprove</t>
  </si>
  <si>
    <t>GSON4168</t>
  </si>
  <si>
    <t>GSON/4168610801</t>
  </si>
  <si>
    <t>Ing no Compren Frac</t>
  </si>
  <si>
    <t>GSON419</t>
  </si>
  <si>
    <t>Imp no Comp e'Frac L</t>
  </si>
  <si>
    <t>GSON4191</t>
  </si>
  <si>
    <t>GSON/4191190101</t>
  </si>
  <si>
    <t>Cont Mej,Der,Prod y</t>
  </si>
  <si>
    <t>GSON4192</t>
  </si>
  <si>
    <t>GSON/4192690101</t>
  </si>
  <si>
    <t>Partic, Agrup, Trans</t>
  </si>
  <si>
    <t>GSON42</t>
  </si>
  <si>
    <t>GSON421</t>
  </si>
  <si>
    <t>Participaciones</t>
  </si>
  <si>
    <t>GSON4211</t>
  </si>
  <si>
    <t>GSON/4211810101</t>
  </si>
  <si>
    <t>GSON511</t>
  </si>
  <si>
    <t>Remuneraciones al Pe</t>
  </si>
  <si>
    <t>GSON5112</t>
  </si>
  <si>
    <t>HONORARIOS</t>
  </si>
  <si>
    <t>GSON/5112121011</t>
  </si>
  <si>
    <t>GSON/5121214011</t>
  </si>
  <si>
    <t>Servicios Prof, Cien</t>
  </si>
  <si>
    <t>GSON5133</t>
  </si>
  <si>
    <t>Transf, Asigna, Subs</t>
  </si>
  <si>
    <t>GSON52</t>
  </si>
  <si>
    <t>Transferencias Inter</t>
  </si>
  <si>
    <t>GSON521</t>
  </si>
  <si>
    <t>GSON53</t>
  </si>
  <si>
    <t>GSON531</t>
  </si>
  <si>
    <t>Interes, Comisiones</t>
  </si>
  <si>
    <t>GSON54</t>
  </si>
  <si>
    <t>Intereses de la Deud</t>
  </si>
  <si>
    <t>GSON541</t>
  </si>
  <si>
    <t>GSON5411</t>
  </si>
  <si>
    <t>GSON/5411921013</t>
  </si>
  <si>
    <t>GSON/5411921014</t>
  </si>
  <si>
    <t>Comisiones de la Deu</t>
  </si>
  <si>
    <t>GSON542</t>
  </si>
  <si>
    <t>Comisones de la Deud</t>
  </si>
  <si>
    <t>GSON5421</t>
  </si>
  <si>
    <t>GSON/5421931013</t>
  </si>
  <si>
    <t>Gastos de la Deuda P</t>
  </si>
  <si>
    <t>GSON543</t>
  </si>
  <si>
    <t>Gasto de la Deuda Pú</t>
  </si>
  <si>
    <t>GSON5431</t>
  </si>
  <si>
    <t>GSON/5431941013</t>
  </si>
  <si>
    <t>Ley de Ingresos</t>
  </si>
  <si>
    <t>GSON81</t>
  </si>
  <si>
    <t>GSON/8120000000</t>
  </si>
  <si>
    <t>GSON/8140000000</t>
  </si>
  <si>
    <t>GSON/8140000001</t>
  </si>
  <si>
    <t>GSON/8150000000</t>
  </si>
  <si>
    <t>GSON/8260000001</t>
  </si>
  <si>
    <t>No asignado Cuenta de mayor(s)</t>
  </si>
  <si>
    <t>BC 71 SALDO CTA BAN</t>
  </si>
  <si>
    <t>GSON/1112030710</t>
  </si>
  <si>
    <t>BC 71 INGRESOS</t>
  </si>
  <si>
    <t>GSON/1112030711</t>
  </si>
  <si>
    <t>GSON/1112060011</t>
  </si>
  <si>
    <t>HS 24   INGRESOS</t>
  </si>
  <si>
    <t>GSON/1112110241</t>
  </si>
  <si>
    <t>GSON/1124100015</t>
  </si>
  <si>
    <t>GSON/4113130401</t>
  </si>
  <si>
    <t>Impuestos Sobre Nómi</t>
  </si>
  <si>
    <t>GSON4115</t>
  </si>
  <si>
    <t>ISRTP</t>
  </si>
  <si>
    <t>GSON/4115150101</t>
  </si>
  <si>
    <t>SERVICIOS ORDINARIOS</t>
  </si>
  <si>
    <t>GSON/4143431001</t>
  </si>
  <si>
    <t>GSON/4143431204</t>
  </si>
  <si>
    <t>GSON/4143431301</t>
  </si>
  <si>
    <t>GSON/4143431401</t>
  </si>
  <si>
    <t>GSON/4143431501</t>
  </si>
  <si>
    <t>GSON/5411921023</t>
  </si>
  <si>
    <t>CAJA CHICA 3</t>
  </si>
  <si>
    <t>GSON/1111300003</t>
  </si>
  <si>
    <t>GSON/1112030091</t>
  </si>
  <si>
    <t>GSON/1112030171</t>
  </si>
  <si>
    <t>GSON/1112030251</t>
  </si>
  <si>
    <t>GSON/1112030281</t>
  </si>
  <si>
    <t>GSON/1112030900</t>
  </si>
  <si>
    <t>GSON/1112030901</t>
  </si>
  <si>
    <t>BN 05 SALDO CTA BAN</t>
  </si>
  <si>
    <t>GSON/1112060050</t>
  </si>
  <si>
    <t>BN 05 INGRESOS</t>
  </si>
  <si>
    <t>GSON/1112060051</t>
  </si>
  <si>
    <t>BN 05 EGRESOS TR</t>
  </si>
  <si>
    <t>GSON/1112060053</t>
  </si>
  <si>
    <t>GSON/1112060054</t>
  </si>
  <si>
    <t>BN 05 INT GANADOS</t>
  </si>
  <si>
    <t>GSON/1112060055</t>
  </si>
  <si>
    <t>BN 33 INGRESOS</t>
  </si>
  <si>
    <t>GSON/1112060331</t>
  </si>
  <si>
    <t>GSON/1112070012</t>
  </si>
  <si>
    <t>GSON/1112080030</t>
  </si>
  <si>
    <t>GSON/1112080081</t>
  </si>
  <si>
    <t>GSON/1112110012</t>
  </si>
  <si>
    <t>SC 01 EGRESOS TR</t>
  </si>
  <si>
    <t>GSON/1112160013</t>
  </si>
  <si>
    <t>Otros Efectivos y Eq</t>
  </si>
  <si>
    <t>GSON1119</t>
  </si>
  <si>
    <t>GSON/1119100002</t>
  </si>
  <si>
    <t>CONVENIOS</t>
  </si>
  <si>
    <t>GSON/1122300083</t>
  </si>
  <si>
    <t>GSON/1122300093</t>
  </si>
  <si>
    <t>TR&amp;M FALTANTE CAJERO</t>
  </si>
  <si>
    <t>GSON/1123200001</t>
  </si>
  <si>
    <t>GSON/1124100011</t>
  </si>
  <si>
    <t>GSON/1124100052</t>
  </si>
  <si>
    <t>GSON/2112100002</t>
  </si>
  <si>
    <t>PROV DEVENGADO CP</t>
  </si>
  <si>
    <t>GSON/2112100003</t>
  </si>
  <si>
    <t>GSON/2162200006</t>
  </si>
  <si>
    <t>GSON/2162200007</t>
  </si>
  <si>
    <t>GSON/2162200008</t>
  </si>
  <si>
    <t>GSON/2162200009</t>
  </si>
  <si>
    <t>GSON/2162200013</t>
  </si>
  <si>
    <t>GSON/2199100001</t>
  </si>
  <si>
    <t>Deuda Pública a LP</t>
  </si>
  <si>
    <t>GSON223</t>
  </si>
  <si>
    <t>Préstamos de Deuda P</t>
  </si>
  <si>
    <t>GSON2233</t>
  </si>
  <si>
    <t>PRESTAMOS DEUD INT</t>
  </si>
  <si>
    <t>GSON/2233100001</t>
  </si>
  <si>
    <t>IGCIPS</t>
  </si>
  <si>
    <t>GSON/4113130201</t>
  </si>
  <si>
    <t>REV LIC VTA B CON AL</t>
  </si>
  <si>
    <t>GSON/4143430202</t>
  </si>
  <si>
    <t>GSON/4143430203</t>
  </si>
  <si>
    <t>GSON/4143430204</t>
  </si>
  <si>
    <t>GSON/4143430804</t>
  </si>
  <si>
    <t>GSON/4143430901</t>
  </si>
  <si>
    <t>GSON/4143430902</t>
  </si>
  <si>
    <t>GSON/4143430904</t>
  </si>
  <si>
    <t>SERVICIOS URGENTES</t>
  </si>
  <si>
    <t>GSON/4143431002</t>
  </si>
  <si>
    <t>SERVICIO CATASTRAL</t>
  </si>
  <si>
    <t>GSON/4143431201</t>
  </si>
  <si>
    <t>OTROS SERVICIOS</t>
  </si>
  <si>
    <t>GSON/4143431701</t>
  </si>
  <si>
    <t>Incentivos Derivados</t>
  </si>
  <si>
    <t>GSON4161</t>
  </si>
  <si>
    <t>GSON/4161610104</t>
  </si>
  <si>
    <t>GSON/4161610109</t>
  </si>
  <si>
    <t>GSON4212</t>
  </si>
  <si>
    <t>GSON/4212820102</t>
  </si>
  <si>
    <t>Convenios</t>
  </si>
  <si>
    <t>GSON4213</t>
  </si>
  <si>
    <t>GSON/4213830101</t>
  </si>
  <si>
    <t>Transferencias, Asig</t>
  </si>
  <si>
    <t>GSON422</t>
  </si>
  <si>
    <t>Subsidios y Subvenci</t>
  </si>
  <si>
    <t>GSON4223</t>
  </si>
  <si>
    <t>Otros Ingresos y Ben</t>
  </si>
  <si>
    <t>GSON43</t>
  </si>
  <si>
    <t>GSON439</t>
  </si>
  <si>
    <t>GSON4399</t>
  </si>
  <si>
    <t>GSON/4399520101</t>
  </si>
  <si>
    <t>Servicios Fin, Banca</t>
  </si>
  <si>
    <t>GSON5134</t>
  </si>
  <si>
    <t>GSON/5134341011</t>
  </si>
  <si>
    <t>GSON/8130000000</t>
  </si>
  <si>
    <t>Gobierno Estado de Sonora</t>
  </si>
  <si>
    <t>2015</t>
  </si>
  <si>
    <t>Saldo Anterior-1</t>
  </si>
  <si>
    <t>S Ant - S Ant-1</t>
  </si>
  <si>
    <t>S Ant-1 - S Ant</t>
  </si>
  <si>
    <t>ORA Ant</t>
  </si>
  <si>
    <t>APA Ant</t>
  </si>
  <si>
    <t>ORP Ant</t>
  </si>
  <si>
    <t>APP Ant</t>
  </si>
  <si>
    <t>GSON/1111100002</t>
  </si>
  <si>
    <t>AF 01 SALDO CTA BAN</t>
  </si>
  <si>
    <t>GSON/1112010010</t>
  </si>
  <si>
    <t>BJ 01 SALDO CTA BAN</t>
  </si>
  <si>
    <t>GSON/1112020010</t>
  </si>
  <si>
    <t>BJ 03 SALDO CTA BAN</t>
  </si>
  <si>
    <t>GSON/1112020030</t>
  </si>
  <si>
    <t>BJ 03 INGRESOS</t>
  </si>
  <si>
    <t>GSON/1112020031</t>
  </si>
  <si>
    <t>GSON/1112020032</t>
  </si>
  <si>
    <t>BJ 03 EGRESOS TR</t>
  </si>
  <si>
    <t>GSON/1112020033</t>
  </si>
  <si>
    <t>GSON/1112020034</t>
  </si>
  <si>
    <t>GSON/1112030014</t>
  </si>
  <si>
    <t>GSON/1112030025</t>
  </si>
  <si>
    <t>GSON/1112030034</t>
  </si>
  <si>
    <t>GSON/1112030035</t>
  </si>
  <si>
    <t>GSON/1112030040</t>
  </si>
  <si>
    <t>GSON/1112030060</t>
  </si>
  <si>
    <t>GSON/1112030061</t>
  </si>
  <si>
    <t>GSON/1112030070</t>
  </si>
  <si>
    <t>GSON/1112030071</t>
  </si>
  <si>
    <t>GSON/1112030080</t>
  </si>
  <si>
    <t>GSON/1112030081</t>
  </si>
  <si>
    <t>GSON/1112030090</t>
  </si>
  <si>
    <t>GSON/1112030100</t>
  </si>
  <si>
    <t>GSON/1112030101</t>
  </si>
  <si>
    <t>GSON/1112030120</t>
  </si>
  <si>
    <t>GSON/1112030121</t>
  </si>
  <si>
    <t>BC 14 SALDO CTA BAN</t>
  </si>
  <si>
    <t>GSON/1112030140</t>
  </si>
  <si>
    <t>GSON/1112030141</t>
  </si>
  <si>
    <t>GSON/1112030170</t>
  </si>
  <si>
    <t>GSON/1112030174</t>
  </si>
  <si>
    <t>GSON/1112030180</t>
  </si>
  <si>
    <t>GSON/1112030181</t>
  </si>
  <si>
    <t>GSON/1112030203</t>
  </si>
  <si>
    <t>GSON/1112030230</t>
  </si>
  <si>
    <t>GSON/1112030240</t>
  </si>
  <si>
    <t>GSON/1112030241</t>
  </si>
  <si>
    <t>GSON/1112030250</t>
  </si>
  <si>
    <t>GSON/1112030280</t>
  </si>
  <si>
    <t>GSON/1112030290</t>
  </si>
  <si>
    <t>GSON/1112030291</t>
  </si>
  <si>
    <t>GSON/1112030300</t>
  </si>
  <si>
    <t>GSON/1112030301</t>
  </si>
  <si>
    <t>GSON/1112030310</t>
  </si>
  <si>
    <t>GSON/1112030311</t>
  </si>
  <si>
    <t>GSON/1112030320</t>
  </si>
  <si>
    <t>GSON/1112030321</t>
  </si>
  <si>
    <t>GSON/1112030340</t>
  </si>
  <si>
    <t>GSON/1112030341</t>
  </si>
  <si>
    <t>GSON/1112030350</t>
  </si>
  <si>
    <t>GSON/1112030351</t>
  </si>
  <si>
    <t>GSON/1112030370</t>
  </si>
  <si>
    <t>GSON/1112030371</t>
  </si>
  <si>
    <t>GSON/1112030380</t>
  </si>
  <si>
    <t>GSON/1112030381</t>
  </si>
  <si>
    <t>GSON/1112030390</t>
  </si>
  <si>
    <t>GSON/1112030391</t>
  </si>
  <si>
    <t>GSON/1112030490</t>
  </si>
  <si>
    <t>GSON/1112030492</t>
  </si>
  <si>
    <t>GSON/1112030493</t>
  </si>
  <si>
    <t>GSON/1112030494</t>
  </si>
  <si>
    <t>GSON/1112030500</t>
  </si>
  <si>
    <t>GSON/1112030501</t>
  </si>
  <si>
    <t>GSON/1112030503</t>
  </si>
  <si>
    <t>GSON/1112030504</t>
  </si>
  <si>
    <t>BC 51 IVA Y COMISION</t>
  </si>
  <si>
    <t>BC 52 SALDO CTA BAN</t>
  </si>
  <si>
    <t>GSON/1112030520</t>
  </si>
  <si>
    <t>BC 52 INGRESOS</t>
  </si>
  <si>
    <t>GSON/1112030521</t>
  </si>
  <si>
    <t>BC 52 EGRESOS TR</t>
  </si>
  <si>
    <t>GSON/1112030523</t>
  </si>
  <si>
    <t>BC 52 IVA Y COMISION</t>
  </si>
  <si>
    <t>GSON/1112030524</t>
  </si>
  <si>
    <t>BC 53 SALDO CTA BAN</t>
  </si>
  <si>
    <t>GSON/1112030530</t>
  </si>
  <si>
    <t>BC 53 INGRESOS</t>
  </si>
  <si>
    <t>GSON/1112030531</t>
  </si>
  <si>
    <t>BC 53 EGRESOS TR</t>
  </si>
  <si>
    <t>GSON/1112030533</t>
  </si>
  <si>
    <t>BC 53 IVA Y COMISION</t>
  </si>
  <si>
    <t>GSON/1112030534</t>
  </si>
  <si>
    <t>BC 55 SALDO CTA BAN</t>
  </si>
  <si>
    <t>GSON/1112030550</t>
  </si>
  <si>
    <t>BC 55 INGRESOS</t>
  </si>
  <si>
    <t>GSON/1112030551</t>
  </si>
  <si>
    <t>BC 55 IVA Y COMISION</t>
  </si>
  <si>
    <t>GSON/1112030554</t>
  </si>
  <si>
    <t>BC 56 SALDO CTA BAN</t>
  </si>
  <si>
    <t>GSON/1112030560</t>
  </si>
  <si>
    <t>BC 56 INGRESOS</t>
  </si>
  <si>
    <t>GSON/1112030561</t>
  </si>
  <si>
    <t>BC 56 EGRESOS CHEQUE</t>
  </si>
  <si>
    <t>GSON/1112030562</t>
  </si>
  <si>
    <t>BC 56 IVA Y COMISION</t>
  </si>
  <si>
    <t>GSON/1112030564</t>
  </si>
  <si>
    <t>BC 57 SALDO CTA BAN</t>
  </si>
  <si>
    <t>GSON/1112030570</t>
  </si>
  <si>
    <t>BC 57 INGRESOS</t>
  </si>
  <si>
    <t>GSON/1112030571</t>
  </si>
  <si>
    <t>BC 58 SALDO CTA BAN</t>
  </si>
  <si>
    <t>GSON/1112030580</t>
  </si>
  <si>
    <t>BC 58 INGRESOS</t>
  </si>
  <si>
    <t>GSON/1112030581</t>
  </si>
  <si>
    <t>BC 58 EGRESOS TR</t>
  </si>
  <si>
    <t>GSON/1112030583</t>
  </si>
  <si>
    <t>GSON/1112030584</t>
  </si>
  <si>
    <t>BC 60 SALDO CTA BAN</t>
  </si>
  <si>
    <t>GSON/1112030600</t>
  </si>
  <si>
    <t>BC 60 INGRESOS</t>
  </si>
  <si>
    <t>GSON/1112030601</t>
  </si>
  <si>
    <t>GSON/1112030604</t>
  </si>
  <si>
    <t>BC 61 SALDO CTA BAN</t>
  </si>
  <si>
    <t>GSON/1112030610</t>
  </si>
  <si>
    <t>BC 61 INGRESOS</t>
  </si>
  <si>
    <t>GSON/1112030611</t>
  </si>
  <si>
    <t>GSON/1112030614</t>
  </si>
  <si>
    <t>BC 66 SALDO CTA BAN</t>
  </si>
  <si>
    <t>GSON/1112030660</t>
  </si>
  <si>
    <t>BC 66 INGRESOS</t>
  </si>
  <si>
    <t>GSON/1112030661</t>
  </si>
  <si>
    <t>BC 67 EGRESOS TR</t>
  </si>
  <si>
    <t>GSON/1112030673</t>
  </si>
  <si>
    <t>GSON/1112030674</t>
  </si>
  <si>
    <t>BC 68 SALDO CTA BAN</t>
  </si>
  <si>
    <t>GSON/1112030680</t>
  </si>
  <si>
    <t>BC 68 INGRESOS</t>
  </si>
  <si>
    <t>GSON/1112030681</t>
  </si>
  <si>
    <t>BC 70 EGRESOS TR</t>
  </si>
  <si>
    <t>GSON/1112030703</t>
  </si>
  <si>
    <t>BC 72 SALDO CTA BAN</t>
  </si>
  <si>
    <t>GSON/1112030720</t>
  </si>
  <si>
    <t>BC 72 INGRESOS</t>
  </si>
  <si>
    <t>GSON/1112030721</t>
  </si>
  <si>
    <t>BC 73 SALDO CTA BAN</t>
  </si>
  <si>
    <t>GSON/1112030730</t>
  </si>
  <si>
    <t>BC 73 INGRESOS</t>
  </si>
  <si>
    <t>GSON/1112030731</t>
  </si>
  <si>
    <t>BC 74 SALDO CTA BAN</t>
  </si>
  <si>
    <t>GSON/1112030740</t>
  </si>
  <si>
    <t>BC 74 INGRESOS</t>
  </si>
  <si>
    <t>GSON/1112030741</t>
  </si>
  <si>
    <t>BC 75 SALDO CTA BAN</t>
  </si>
  <si>
    <t>GSON/1112030750</t>
  </si>
  <si>
    <t>BC 75 INGRESOS</t>
  </si>
  <si>
    <t>GSON/1112030751</t>
  </si>
  <si>
    <t>BC 76 SALDO CTA BAN</t>
  </si>
  <si>
    <t>GSON/1112030760</t>
  </si>
  <si>
    <t>BC 76 INGRESOS</t>
  </si>
  <si>
    <t>GSON/1112030761</t>
  </si>
  <si>
    <t>BC 77 SALDO CTA BAN</t>
  </si>
  <si>
    <t>GSON/1112030770</t>
  </si>
  <si>
    <t>BC 77 INGRESOS</t>
  </si>
  <si>
    <t>GSON/1112030771</t>
  </si>
  <si>
    <t>BC 78 SALDO CTA BAN</t>
  </si>
  <si>
    <t>GSON/1112030780</t>
  </si>
  <si>
    <t>BC 78 INGRESOS</t>
  </si>
  <si>
    <t>GSON/1112030781</t>
  </si>
  <si>
    <t>BC 80 SALDO CTA BAN</t>
  </si>
  <si>
    <t>GSON/1112030800</t>
  </si>
  <si>
    <t>BC 80 INGRESOS</t>
  </si>
  <si>
    <t>GSON/1112030801</t>
  </si>
  <si>
    <t>BC 82 SALDO CTA BAN</t>
  </si>
  <si>
    <t>GSON/1112030820</t>
  </si>
  <si>
    <t>BC 82 INGRESOS</t>
  </si>
  <si>
    <t>GSON/1112030821</t>
  </si>
  <si>
    <t>GSON/1112030824</t>
  </si>
  <si>
    <t>BC 84 SALDO CTA BAN</t>
  </si>
  <si>
    <t>GSON/1112030840</t>
  </si>
  <si>
    <t>BC 84 INGRESOS</t>
  </si>
  <si>
    <t>GSON/1112030841</t>
  </si>
  <si>
    <t>BC 85 SALDO CTA BAN</t>
  </si>
  <si>
    <t>GSON/1112030850</t>
  </si>
  <si>
    <t>BC 85 INGRESOS</t>
  </si>
  <si>
    <t>GSON/1112030851</t>
  </si>
  <si>
    <t>GSON/1112030910</t>
  </si>
  <si>
    <t>GSON/1112030911</t>
  </si>
  <si>
    <t>GSON/1112030923</t>
  </si>
  <si>
    <t>GSON/1112030930</t>
  </si>
  <si>
    <t>GSON/1112030931</t>
  </si>
  <si>
    <t>GSON/1112030940</t>
  </si>
  <si>
    <t>GSON/1112030941</t>
  </si>
  <si>
    <t>GSON/1112030944</t>
  </si>
  <si>
    <t>GSON/1112030960</t>
  </si>
  <si>
    <t>GSON/1112030961</t>
  </si>
  <si>
    <t>BC 97 SALDO CTA BAN</t>
  </si>
  <si>
    <t>GSON/1112030970</t>
  </si>
  <si>
    <t>BC 97 INGRESOS</t>
  </si>
  <si>
    <t>GSON/1112030971</t>
  </si>
  <si>
    <t>GSON/1112030974</t>
  </si>
  <si>
    <t>BC 98 SALDO CTA BAN</t>
  </si>
  <si>
    <t>GSON/1112030980</t>
  </si>
  <si>
    <t>BC 98 INGRESOS</t>
  </si>
  <si>
    <t>GSON/1112030981</t>
  </si>
  <si>
    <t>GSON/1112030984</t>
  </si>
  <si>
    <t>BC 100 SALDO CTA BAN</t>
  </si>
  <si>
    <t>GSON/1112031000</t>
  </si>
  <si>
    <t>BC 100 INGRESOS</t>
  </si>
  <si>
    <t>GSON/1112031001</t>
  </si>
  <si>
    <t>BC 101 SALDO CTA BAN</t>
  </si>
  <si>
    <t>GSON/1112031010</t>
  </si>
  <si>
    <t>BC 101 INGRESOS</t>
  </si>
  <si>
    <t>GSON/1112031011</t>
  </si>
  <si>
    <t>BJ 01 INGRESOS</t>
  </si>
  <si>
    <t>GSON/1112060010</t>
  </si>
  <si>
    <t>GSON/1112060013</t>
  </si>
  <si>
    <t>GSON/1112060014</t>
  </si>
  <si>
    <t>GSON/1112060015</t>
  </si>
  <si>
    <t>BN 02 INGRESOS</t>
  </si>
  <si>
    <t>GSON/1112060021</t>
  </si>
  <si>
    <t>BN 02 EGRESOS TR</t>
  </si>
  <si>
    <t>GSON/1112060023</t>
  </si>
  <si>
    <t>BN 17 SALDO CTA BAN</t>
  </si>
  <si>
    <t>GSON/1112060170</t>
  </si>
  <si>
    <t>BN 17 INGRESOS</t>
  </si>
  <si>
    <t>GSON/1112060171</t>
  </si>
  <si>
    <t>BN 17 EGRESOS TR</t>
  </si>
  <si>
    <t>GSON/1112060173</t>
  </si>
  <si>
    <t>GSON/1112060174</t>
  </si>
  <si>
    <t>BN 17 INT GANADOS</t>
  </si>
  <si>
    <t>GSON/1112060175</t>
  </si>
  <si>
    <t>BN 20 EGRESOS TR</t>
  </si>
  <si>
    <t>GSON/1112060203</t>
  </si>
  <si>
    <t>BN 45 SALDO CTA BAN</t>
  </si>
  <si>
    <t>GSON/1112060450</t>
  </si>
  <si>
    <t>GSON/1112060452</t>
  </si>
  <si>
    <t>BN 67 SALDO CTA BAN</t>
  </si>
  <si>
    <t>GSON/1112060670</t>
  </si>
  <si>
    <t>GSON/1112060672</t>
  </si>
  <si>
    <t>BN 67 EGRESOS TR</t>
  </si>
  <si>
    <t>GSON/1112060673</t>
  </si>
  <si>
    <t>GSON/1112060674</t>
  </si>
  <si>
    <t>BN 67 INT GANADOS</t>
  </si>
  <si>
    <t>GSON/1112060675</t>
  </si>
  <si>
    <t>BN 70 SALDO CTA BAN</t>
  </si>
  <si>
    <t>GSON/1112060700</t>
  </si>
  <si>
    <t>BN 70 INGRESOS</t>
  </si>
  <si>
    <t>GSON/1112060701</t>
  </si>
  <si>
    <t>BN 81 INGRESOS</t>
  </si>
  <si>
    <t>GSON/1112060811</t>
  </si>
  <si>
    <t>BR 01 SALDO CTA BAN</t>
  </si>
  <si>
    <t>GSON/1112070010</t>
  </si>
  <si>
    <t>BR 01 INGRESOS</t>
  </si>
  <si>
    <t>GSON/1112070011</t>
  </si>
  <si>
    <t>BR 01 INT GANADOS</t>
  </si>
  <si>
    <t>GSON/1112070015</t>
  </si>
  <si>
    <t>BR 02 SALDO CTA BAN</t>
  </si>
  <si>
    <t>GSON/1112070020</t>
  </si>
  <si>
    <t>BR 02 INT GANADOS</t>
  </si>
  <si>
    <t>GSON/1112070025</t>
  </si>
  <si>
    <t>BR 03 SALDO CTA BAN</t>
  </si>
  <si>
    <t>GSON/1112070030</t>
  </si>
  <si>
    <t>BR 03 INT GANADOS</t>
  </si>
  <si>
    <t>GSON/1112070035</t>
  </si>
  <si>
    <t>BR 04 SALDO CTA BAN</t>
  </si>
  <si>
    <t>GSON/1112070040</t>
  </si>
  <si>
    <t>BR 04 INT GANADOS</t>
  </si>
  <si>
    <t>GSON/1112070045</t>
  </si>
  <si>
    <t>BR 05 SALDO CTA BAN</t>
  </si>
  <si>
    <t>GSON/1112070050</t>
  </si>
  <si>
    <t>BR 05 INT GANADOS</t>
  </si>
  <si>
    <t>GSON/1112070055</t>
  </si>
  <si>
    <t>BR 06 SALDO CTA BAN</t>
  </si>
  <si>
    <t>GSON/1112070060</t>
  </si>
  <si>
    <t>BR 06 INT GANADOS</t>
  </si>
  <si>
    <t>GSON/1112070065</t>
  </si>
  <si>
    <t>BR 07 SALDO CTA BAN</t>
  </si>
  <si>
    <t>GSON/1112070070</t>
  </si>
  <si>
    <t>BR 07 INT GANADOS</t>
  </si>
  <si>
    <t>GSON/1112070075</t>
  </si>
  <si>
    <t>BR 08 SALDO CTA BAN</t>
  </si>
  <si>
    <t>GSON/1112070080</t>
  </si>
  <si>
    <t>BR 08 INT GANADOS</t>
  </si>
  <si>
    <t>GSON/1112070085</t>
  </si>
  <si>
    <t>BR 09 SALDO CTA BAN</t>
  </si>
  <si>
    <t>GSON/1112070090</t>
  </si>
  <si>
    <t>BR 09 INT GANADOS</t>
  </si>
  <si>
    <t>GSON/1112070095</t>
  </si>
  <si>
    <t>BR 10 SALDO CTA BAN</t>
  </si>
  <si>
    <t>GSON/1112070100</t>
  </si>
  <si>
    <t>BR 10 INT GANADOS</t>
  </si>
  <si>
    <t>GSON/1112070105</t>
  </si>
  <si>
    <t>BR 11 SALDO CTA BAN</t>
  </si>
  <si>
    <t>GSON/1112070110</t>
  </si>
  <si>
    <t>BR 11 INT GANADOS</t>
  </si>
  <si>
    <t>GSON/1112070115</t>
  </si>
  <si>
    <t>BR 12 SALDO CTA BAN</t>
  </si>
  <si>
    <t>GSON/1112070120</t>
  </si>
  <si>
    <t>BR 12 INT GANADOS</t>
  </si>
  <si>
    <t>GSON/1112070125</t>
  </si>
  <si>
    <t>BR 13 SALDO CTA BAN</t>
  </si>
  <si>
    <t>GSON/1112070130</t>
  </si>
  <si>
    <t>BR 13 INT GANADOS</t>
  </si>
  <si>
    <t>GSON/1112070135</t>
  </si>
  <si>
    <t>BR 14 SALDO CTA BAN</t>
  </si>
  <si>
    <t>GSON/1112070140</t>
  </si>
  <si>
    <t>GSON/1112070142</t>
  </si>
  <si>
    <t>BR 14 INT GANADOS</t>
  </si>
  <si>
    <t>GSON/1112070145</t>
  </si>
  <si>
    <t>BR 16 SALDO CTA BAN</t>
  </si>
  <si>
    <t>GSON/1112070160</t>
  </si>
  <si>
    <t>BR 16 INT GANADOS</t>
  </si>
  <si>
    <t>GSON/1112070165</t>
  </si>
  <si>
    <t>BR 17 SALDO CTA BAN</t>
  </si>
  <si>
    <t>GSON/1112070170</t>
  </si>
  <si>
    <t>GSON/1112070174</t>
  </si>
  <si>
    <t>BR 17 INT GANADOS</t>
  </si>
  <si>
    <t>GSON/1112070175</t>
  </si>
  <si>
    <t>BR 18 SALDO CTA BAN</t>
  </si>
  <si>
    <t>GSON/1112070180</t>
  </si>
  <si>
    <t>BR 18 INT GANADOS</t>
  </si>
  <si>
    <t>GSON/1112070185</t>
  </si>
  <si>
    <t>BR 19 SALDO CTA BAN</t>
  </si>
  <si>
    <t>GSON/1112070190</t>
  </si>
  <si>
    <t>GSON/1112070194</t>
  </si>
  <si>
    <t>BR 19 INT GANADOS</t>
  </si>
  <si>
    <t>GSON/1112070195</t>
  </si>
  <si>
    <t>BR 23 SALDO CTA BAN</t>
  </si>
  <si>
    <t>GSON/1112070200</t>
  </si>
  <si>
    <t>BR 23 INT GANADOS</t>
  </si>
  <si>
    <t>GSON/1112070205</t>
  </si>
  <si>
    <t>BR 24 SALDO CTA BAN</t>
  </si>
  <si>
    <t>GSON/1112070210</t>
  </si>
  <si>
    <t>BR 24 INT GANADOS</t>
  </si>
  <si>
    <t>GSON/1112070215</t>
  </si>
  <si>
    <t>BR 25 SALDO CTA BAN</t>
  </si>
  <si>
    <t>GSON/1112070250</t>
  </si>
  <si>
    <t>BR 25 INT GANADOS</t>
  </si>
  <si>
    <t>GSON/1112070255</t>
  </si>
  <si>
    <t>BR 26 SALDO CTA BAN</t>
  </si>
  <si>
    <t>GSON/1112070260</t>
  </si>
  <si>
    <t>BR 26 INT GANADOS</t>
  </si>
  <si>
    <t>GSON/1112070265</t>
  </si>
  <si>
    <t>GSON/1112080015</t>
  </si>
  <si>
    <t>GSON/1112080053</t>
  </si>
  <si>
    <t>GSON/1112080055</t>
  </si>
  <si>
    <t>BX 33  INGRESOS</t>
  </si>
  <si>
    <t>GSON/1112080331</t>
  </si>
  <si>
    <t>BX 34  INGRESOS</t>
  </si>
  <si>
    <t>GSON/1112080341</t>
  </si>
  <si>
    <t>BX 36  INGRESOS</t>
  </si>
  <si>
    <t>GSON/1112080361</t>
  </si>
  <si>
    <t>BX 37  INGRESOS</t>
  </si>
  <si>
    <t>GSON/1112080371</t>
  </si>
  <si>
    <t>BX 38  INGRESOS</t>
  </si>
  <si>
    <t>GSON/1112080381</t>
  </si>
  <si>
    <t>BX 41  INGRESOS</t>
  </si>
  <si>
    <t>GSON/1112080411</t>
  </si>
  <si>
    <t>BX 42  INGRESOS</t>
  </si>
  <si>
    <t>GSON/1112080421</t>
  </si>
  <si>
    <t>BX 44  INGRESOS</t>
  </si>
  <si>
    <t>GSON/1112080441</t>
  </si>
  <si>
    <t>GSON/1112110015</t>
  </si>
  <si>
    <t>GSON/1112110024</t>
  </si>
  <si>
    <t>GSON/1112110030</t>
  </si>
  <si>
    <t>HS 03   INGRESOS</t>
  </si>
  <si>
    <t>GSON/1112110031</t>
  </si>
  <si>
    <t>HS 03   EGRESOS TR</t>
  </si>
  <si>
    <t>GSON/1112110033</t>
  </si>
  <si>
    <t>GSON/1112110034</t>
  </si>
  <si>
    <t>GSON/1112110060</t>
  </si>
  <si>
    <t>GSON/1112110062</t>
  </si>
  <si>
    <t>GSON/1112110064</t>
  </si>
  <si>
    <t>GSON/1112110070</t>
  </si>
  <si>
    <t>GSON/1112110074</t>
  </si>
  <si>
    <t>GSON/1112110080</t>
  </si>
  <si>
    <t>GSON/1112110084</t>
  </si>
  <si>
    <t>GSON/1112110090</t>
  </si>
  <si>
    <t>HS 09   INT GANADOS</t>
  </si>
  <si>
    <t>GSON/1112110095</t>
  </si>
  <si>
    <t>GSON/1112110100</t>
  </si>
  <si>
    <t>HS 10   INT GANADOS</t>
  </si>
  <si>
    <t>GSON/1112110105</t>
  </si>
  <si>
    <t>GSON/1112110210</t>
  </si>
  <si>
    <t>HS 21   INGRESOS</t>
  </si>
  <si>
    <t>GSON/1112110211</t>
  </si>
  <si>
    <t>GSON/1112110220</t>
  </si>
  <si>
    <t>HS 22   INGRESOS</t>
  </si>
  <si>
    <t>GSON/1112110221</t>
  </si>
  <si>
    <t>HS 22   EGRESOS TR</t>
  </si>
  <si>
    <t>GSON/1112110223</t>
  </si>
  <si>
    <t>GSON/1112110224</t>
  </si>
  <si>
    <t>GSON/1112110230</t>
  </si>
  <si>
    <t>HS 23   EGRESOS TR</t>
  </si>
  <si>
    <t>GSON/1112110233</t>
  </si>
  <si>
    <t>GSON/1112110234</t>
  </si>
  <si>
    <t>GSON/1112110240</t>
  </si>
  <si>
    <t>HS 24   EGRESOS TR</t>
  </si>
  <si>
    <t>GSON/1112110243</t>
  </si>
  <si>
    <t>GSON/1112110244</t>
  </si>
  <si>
    <t>GSON/1112110250</t>
  </si>
  <si>
    <t>HS 25   EGRESOS TR</t>
  </si>
  <si>
    <t>GSON/1112110253</t>
  </si>
  <si>
    <t>GSON/1112110260</t>
  </si>
  <si>
    <t>HS 26   EGRESOS TR</t>
  </si>
  <si>
    <t>GSON/1112110263</t>
  </si>
  <si>
    <t>GSON/1112130010</t>
  </si>
  <si>
    <t>IN 01   INGRESOS</t>
  </si>
  <si>
    <t>GSON/1112130011</t>
  </si>
  <si>
    <t>IN 01   EGRESOS TR</t>
  </si>
  <si>
    <t>GSON/1112130013</t>
  </si>
  <si>
    <t>GSON/1112130050</t>
  </si>
  <si>
    <t>IN 05   INGRESOS</t>
  </si>
  <si>
    <t>GSON/1112130051</t>
  </si>
  <si>
    <t>IN 05   EGRESOS TR</t>
  </si>
  <si>
    <t>GSON/1112130053</t>
  </si>
  <si>
    <t>IX 01 EGRESOS TR</t>
  </si>
  <si>
    <t>GSON/1112140013</t>
  </si>
  <si>
    <t>SA 03 SALDO CTA BAN</t>
  </si>
  <si>
    <t>GSON/1112150030</t>
  </si>
  <si>
    <t>SA 03 INGRESOS</t>
  </si>
  <si>
    <t>GSON/1112150031</t>
  </si>
  <si>
    <t>SA 03 EGRESOS TR</t>
  </si>
  <si>
    <t>GSON/1112150033</t>
  </si>
  <si>
    <t>SA 05 INGRESOS</t>
  </si>
  <si>
    <t>GSON/1112150051</t>
  </si>
  <si>
    <t>SA 66 SALDO CTA BAN</t>
  </si>
  <si>
    <t>GSON/1112150660</t>
  </si>
  <si>
    <t>SA 66 INGRESOS</t>
  </si>
  <si>
    <t>GSON/1112150661</t>
  </si>
  <si>
    <t>SA 67 SALDO CTA BAN</t>
  </si>
  <si>
    <t>GSON/1112150670</t>
  </si>
  <si>
    <t>SA 67 EGRESOS TR</t>
  </si>
  <si>
    <t>GSON/1112150673</t>
  </si>
  <si>
    <t>GSON/1112150674</t>
  </si>
  <si>
    <t>SA 75 SALDO CTA BAN</t>
  </si>
  <si>
    <t>GSON/1112150750</t>
  </si>
  <si>
    <t>GSON/1112150754</t>
  </si>
  <si>
    <t>SA 76 SALDO CTA BAN</t>
  </si>
  <si>
    <t>GSON/1112150760</t>
  </si>
  <si>
    <t>SA 76 INGRESOS</t>
  </si>
  <si>
    <t>GSON/1112150761</t>
  </si>
  <si>
    <t>SA 77 INGRESOS</t>
  </si>
  <si>
    <t>GSON/1112150771</t>
  </si>
  <si>
    <t>SA 78 SALDO CTA BAN</t>
  </si>
  <si>
    <t>GSON/1112150780</t>
  </si>
  <si>
    <t>SA 78 INGRESOS</t>
  </si>
  <si>
    <t>GSON/1112150781</t>
  </si>
  <si>
    <t>GSON/1112150784</t>
  </si>
  <si>
    <t>SA 80 INGRESOS</t>
  </si>
  <si>
    <t>GSON/1112150801</t>
  </si>
  <si>
    <t>SA100 SLDO CTA BAN</t>
  </si>
  <si>
    <t>GSON/1112151000</t>
  </si>
  <si>
    <t>SA100 INGRESOS</t>
  </si>
  <si>
    <t>GSON/1112151001</t>
  </si>
  <si>
    <t>SA102 SLDO CTA BAN</t>
  </si>
  <si>
    <t>GSON/1112151020</t>
  </si>
  <si>
    <t>SA102 INGRESOS</t>
  </si>
  <si>
    <t>GSON/1112151021</t>
  </si>
  <si>
    <t>GSON/1112151024</t>
  </si>
  <si>
    <t>SC 02 EGRESOS TR</t>
  </si>
  <si>
    <t>GSON/1112160023</t>
  </si>
  <si>
    <t>SC 11 SALDO CTA BAN</t>
  </si>
  <si>
    <t>GSON/1112160110</t>
  </si>
  <si>
    <t>SC 11 INGRESOS</t>
  </si>
  <si>
    <t>GSON/1112160111</t>
  </si>
  <si>
    <t>VX 01 INGRESOS</t>
  </si>
  <si>
    <t>GSON/1112170011</t>
  </si>
  <si>
    <t>NOM VIRTUAL EGRESOS</t>
  </si>
  <si>
    <t>INVERSIONES TEMPORAL</t>
  </si>
  <si>
    <t>Depósitos de Fondos</t>
  </si>
  <si>
    <t>GSON1116</t>
  </si>
  <si>
    <t>BC108 SLDO CTA BAN</t>
  </si>
  <si>
    <t>GSON/1116031080</t>
  </si>
  <si>
    <t>BC108 INGRESOS</t>
  </si>
  <si>
    <t>GSON/1116031081</t>
  </si>
  <si>
    <t>BC108 EGRESOS TR</t>
  </si>
  <si>
    <t>GSON/1116031083</t>
  </si>
  <si>
    <t>SA 01 SALDO CTA BAN</t>
  </si>
  <si>
    <t>GSON/1116150010</t>
  </si>
  <si>
    <t>SA 01 INGRESOS</t>
  </si>
  <si>
    <t>GSON/1116150011</t>
  </si>
  <si>
    <t>SA 44 SALDO CTA BAN</t>
  </si>
  <si>
    <t>GSON/1116150440</t>
  </si>
  <si>
    <t>SA 44 INGRESOS</t>
  </si>
  <si>
    <t>GSON/1116150441</t>
  </si>
  <si>
    <t>OTROS EFECTIVOS Y EQ</t>
  </si>
  <si>
    <t>GSON/1119100001</t>
  </si>
  <si>
    <t>OTROS INGS NO PPTAL</t>
  </si>
  <si>
    <t>SUBSIDIOS Y SUBVENC</t>
  </si>
  <si>
    <t>DEUDOR DIVS X COBRAR</t>
  </si>
  <si>
    <t>DEUDOR DIVS SALDO</t>
  </si>
  <si>
    <t>GSON/1123100006</t>
  </si>
  <si>
    <t>IMPTO SOBRE INGRESOS</t>
  </si>
  <si>
    <t>IMPTO PRODUCC CONSUM</t>
  </si>
  <si>
    <t>IMPTO NOMINA ASIMILA</t>
  </si>
  <si>
    <t>ACCESORIOS</t>
  </si>
  <si>
    <t>OTROS IMPUESTOS</t>
  </si>
  <si>
    <t>IMPTO NO COMPR EFAP</t>
  </si>
  <si>
    <t>IPR DER BIEN DOM PUB</t>
  </si>
  <si>
    <t>IPR DER PRES SERV</t>
  </si>
  <si>
    <t>IPR PRODUCTOS TC</t>
  </si>
  <si>
    <t>GSON/1124100051</t>
  </si>
  <si>
    <t>IPR PRODUCTOS  CAPIT</t>
  </si>
  <si>
    <t>IPR APROVECHAMIENTO</t>
  </si>
  <si>
    <t>IPR APROV NO COMPR</t>
  </si>
  <si>
    <t>Deudores por Anticip</t>
  </si>
  <si>
    <t>GSON1125</t>
  </si>
  <si>
    <t>FDO ROTATORIO SLDO</t>
  </si>
  <si>
    <t>GSON/1125100001</t>
  </si>
  <si>
    <t>ANT PR BIENES Y PS</t>
  </si>
  <si>
    <t>ANT PROVEEDORES SDO</t>
  </si>
  <si>
    <t>GSON/1131100002</t>
  </si>
  <si>
    <t>Anticipo a Contratis</t>
  </si>
  <si>
    <t>GSON1134</t>
  </si>
  <si>
    <t>ANT CONTRATISTAS</t>
  </si>
  <si>
    <t>GSON/1134100001</t>
  </si>
  <si>
    <t>ANT CONTRATISTAS SDO</t>
  </si>
  <si>
    <t>GSON/1134100002</t>
  </si>
  <si>
    <t>Otros Derch a Recibi</t>
  </si>
  <si>
    <t>GSON1139</t>
  </si>
  <si>
    <t>ANT DEP GARAN SLDO</t>
  </si>
  <si>
    <t>MTLS ADMON EMI DCTOS</t>
  </si>
  <si>
    <t>GSON122</t>
  </si>
  <si>
    <t>Otros Derech a Rec E</t>
  </si>
  <si>
    <t>GSON1229</t>
  </si>
  <si>
    <t>GSON/1229100002</t>
  </si>
  <si>
    <t>TERRENOS</t>
  </si>
  <si>
    <t>Viviendas</t>
  </si>
  <si>
    <t>GSON1232</t>
  </si>
  <si>
    <t>VIVIENDAS SALDO</t>
  </si>
  <si>
    <t>GSON/1232158200</t>
  </si>
  <si>
    <t>EDIF NO HABITAC SLDO</t>
  </si>
  <si>
    <t>GSON/1233158300</t>
  </si>
  <si>
    <t>EDIFIC NO HABITACION</t>
  </si>
  <si>
    <t>INFRA CARRETERA SLDO</t>
  </si>
  <si>
    <t>GSON/1234100000</t>
  </si>
  <si>
    <t>EDIF HABIT PROC SDO</t>
  </si>
  <si>
    <t>GSON/1235161100</t>
  </si>
  <si>
    <t>EHP REMOD Y MEJORAM</t>
  </si>
  <si>
    <t>GSON/1235161101</t>
  </si>
  <si>
    <t>EHP CONST Y AMPLIAC</t>
  </si>
  <si>
    <t>EDIF NO HAB PROC SDO</t>
  </si>
  <si>
    <t>GSON/1235261200</t>
  </si>
  <si>
    <t>ABAST AGUA PETRO SDO</t>
  </si>
  <si>
    <t>GSON/1235361300</t>
  </si>
  <si>
    <t>DIVISION TERRENOS SL</t>
  </si>
  <si>
    <t>GSON/1235461400</t>
  </si>
  <si>
    <t>OBRAS DE CABEZA</t>
  </si>
  <si>
    <t>GSON/1235461407</t>
  </si>
  <si>
    <t>INDIRECTOS DIVS TERR</t>
  </si>
  <si>
    <t>GSON/1235461424</t>
  </si>
  <si>
    <t>VIAS COMUNICAC SDO</t>
  </si>
  <si>
    <t>GSON/1235561500</t>
  </si>
  <si>
    <t>OTRAS CONSTR SLD</t>
  </si>
  <si>
    <t>GSON/1235661600</t>
  </si>
  <si>
    <t>BP EDIF NO HABIT SLD</t>
  </si>
  <si>
    <t>GSON/1236262200</t>
  </si>
  <si>
    <t>BP CONSTRUCCION</t>
  </si>
  <si>
    <t>BP CONSTR VIAS SLDO</t>
  </si>
  <si>
    <t>GSON/1236562500</t>
  </si>
  <si>
    <t>BP RECONSTRUCCIÓN</t>
  </si>
  <si>
    <t>GSON/1236562503</t>
  </si>
  <si>
    <t>BP OTRAS CONSTR SLDO</t>
  </si>
  <si>
    <t>GSON/1236662600</t>
  </si>
  <si>
    <t>BP TRAB ACABADOS SDO</t>
  </si>
  <si>
    <t>GSON/1236962900</t>
  </si>
  <si>
    <t>Otros Bienes Inmuebl</t>
  </si>
  <si>
    <t>GSON1239</t>
  </si>
  <si>
    <t>OTROS B INMUEB SLDO</t>
  </si>
  <si>
    <t>GSON/1239158900</t>
  </si>
  <si>
    <t>MUEBLES OFNA SLDO</t>
  </si>
  <si>
    <t>GSON/1241151100</t>
  </si>
  <si>
    <t>MUEBLES OFNA Y ESTAN</t>
  </si>
  <si>
    <t>MUEBLE EX OFNA Y EST</t>
  </si>
  <si>
    <t>GSON/1241251201</t>
  </si>
  <si>
    <t>EQ COMPUTO SLDO</t>
  </si>
  <si>
    <t>GSON/1241351500</t>
  </si>
  <si>
    <t>EQ COMPUTO Y TECNOL</t>
  </si>
  <si>
    <t>GSON/1241351501</t>
  </si>
  <si>
    <t>OTROS MOB SLDO</t>
  </si>
  <si>
    <t>GSON/1241951900</t>
  </si>
  <si>
    <t>EQ DE ADMON</t>
  </si>
  <si>
    <t>GSON/1241951901</t>
  </si>
  <si>
    <t>MOB Y EQ ESCUELA LAB</t>
  </si>
  <si>
    <t>GSON/1241951902</t>
  </si>
  <si>
    <t>EQ Y APARATOS SLDO</t>
  </si>
  <si>
    <t>GSON/1242152100</t>
  </si>
  <si>
    <t>CAMARAS FOTOGR SLD</t>
  </si>
  <si>
    <t>GSON/1242352300</t>
  </si>
  <si>
    <t>CAMARA FOTO Y VIDEO</t>
  </si>
  <si>
    <t>GSON/1242352301</t>
  </si>
  <si>
    <t>OTRO MOB Y EQ SLDO</t>
  </si>
  <si>
    <t>GSON/1242952900</t>
  </si>
  <si>
    <t>Equipo e Instrumenta</t>
  </si>
  <si>
    <t>GSON1243</t>
  </si>
  <si>
    <t>EQ MEDICO Y LAB SLDO</t>
  </si>
  <si>
    <t>GSON/1243153100</t>
  </si>
  <si>
    <t>EQ MEDICO Y LABORAT</t>
  </si>
  <si>
    <t>GSON/1243153101</t>
  </si>
  <si>
    <t>INSTR MEDICO SLDO</t>
  </si>
  <si>
    <t>GSON/1243253200</t>
  </si>
  <si>
    <t>AUTO Y EQ TERR SDO</t>
  </si>
  <si>
    <t>GSON/1244154100</t>
  </si>
  <si>
    <t>AUTO Y EQ TERRESTRE</t>
  </si>
  <si>
    <t>CARROC Y REMOL SLDO</t>
  </si>
  <si>
    <t>GSON/1244254200</t>
  </si>
  <si>
    <t>Maquinaria, Otros Eq</t>
  </si>
  <si>
    <t>GSON1246</t>
  </si>
  <si>
    <t>MAQ Y EQ AGRO SLDO</t>
  </si>
  <si>
    <t>GSON/1246156100</t>
  </si>
  <si>
    <t>MAQ Y EQ INDUST SLDO</t>
  </si>
  <si>
    <t>GSON/1246256200</t>
  </si>
  <si>
    <t>MAQ Y EQ CONS SLDO</t>
  </si>
  <si>
    <t>GSON/1246356300</t>
  </si>
  <si>
    <t>MAQ Y EQ CONSTRUCC</t>
  </si>
  <si>
    <t>GSON/1246356301</t>
  </si>
  <si>
    <t>SIST AC CALEF SLDO</t>
  </si>
  <si>
    <t>GSON/1246456400</t>
  </si>
  <si>
    <t>SIST AC CALEF CAP</t>
  </si>
  <si>
    <t>GSON/1246456401</t>
  </si>
  <si>
    <t>GSON/1246556500</t>
  </si>
  <si>
    <t>GSON/1246556501</t>
  </si>
  <si>
    <t>EQ GENERACION  SLDO</t>
  </si>
  <si>
    <t>GSON/1246656600</t>
  </si>
  <si>
    <t>EQ GENERACION ELECTR</t>
  </si>
  <si>
    <t>GSON/1246656601</t>
  </si>
  <si>
    <t>HERRAMIENTAS SLDO</t>
  </si>
  <si>
    <t>GSON/1246756700</t>
  </si>
  <si>
    <t>OTROS EQUIPOS SLD</t>
  </si>
  <si>
    <t>GSON/1246956900</t>
  </si>
  <si>
    <t>Colecciones, Obras d</t>
  </si>
  <si>
    <t>GSON1247</t>
  </si>
  <si>
    <t>BIENES ARTISTI SLDO</t>
  </si>
  <si>
    <t>GSON/1247151300</t>
  </si>
  <si>
    <t>BIENES ARTISTICOS</t>
  </si>
  <si>
    <t>GSON/1247151301</t>
  </si>
  <si>
    <t>Activos Biológicos</t>
  </si>
  <si>
    <t>GSON1248</t>
  </si>
  <si>
    <t>SOFTWARE SLDO</t>
  </si>
  <si>
    <t>GSON/1251159100</t>
  </si>
  <si>
    <t>Licencias</t>
  </si>
  <si>
    <t>GSON1254</t>
  </si>
  <si>
    <t>Licencias Informátic</t>
  </si>
  <si>
    <t>GSON12541</t>
  </si>
  <si>
    <t>LICENCIAS INFO SLDO</t>
  </si>
  <si>
    <t>GSON/1254159700</t>
  </si>
  <si>
    <t>GSON1261</t>
  </si>
  <si>
    <t>DEPN BIENES INMUEBLE</t>
  </si>
  <si>
    <t>GSON/1261100001</t>
  </si>
  <si>
    <t>GSON1262</t>
  </si>
  <si>
    <t>DEPN INFRAESTRUCTURA</t>
  </si>
  <si>
    <t>GSON/1262100001</t>
  </si>
  <si>
    <t>DEPN BIENES MUEBLES</t>
  </si>
  <si>
    <t>Deterioro Acumulado</t>
  </si>
  <si>
    <t>GSON1264</t>
  </si>
  <si>
    <t>DETER ACTIVOS BIOLOG</t>
  </si>
  <si>
    <t>GSON/1264100001</t>
  </si>
  <si>
    <t>Amortización Acumula</t>
  </si>
  <si>
    <t>GSON1265</t>
  </si>
  <si>
    <t>AMORT INTANGIBLES</t>
  </si>
  <si>
    <t>GSON/1265100001</t>
  </si>
  <si>
    <t>GSON127</t>
  </si>
  <si>
    <t>Estudios, Formulació</t>
  </si>
  <si>
    <t>GSON1271</t>
  </si>
  <si>
    <t>EST Y PROYECTO SDO</t>
  </si>
  <si>
    <t>GSON/1271163000</t>
  </si>
  <si>
    <t>BIENES EN COMODATO</t>
  </si>
  <si>
    <t>SERVICIO PERSONAL CP</t>
  </si>
  <si>
    <t>SERV PERSONAL SLDO</t>
  </si>
  <si>
    <t>GSON/2111100004</t>
  </si>
  <si>
    <t>PROVEEDORES CP</t>
  </si>
  <si>
    <t>FUNCIONARIOS CP</t>
  </si>
  <si>
    <t>CONTRATISTA DEVENGO</t>
  </si>
  <si>
    <t>GSON/2113100002</t>
  </si>
  <si>
    <t>Contratistas por Obr</t>
  </si>
  <si>
    <t>GSON2113</t>
  </si>
  <si>
    <t>CONTRATISTAS CP</t>
  </si>
  <si>
    <t>GSON/2113100001</t>
  </si>
  <si>
    <t>PART Y APORT CP</t>
  </si>
  <si>
    <t>INT COMISION Y OTROS</t>
  </si>
  <si>
    <t>RET ISR ARRENDAMTO</t>
  </si>
  <si>
    <t>RET SISTEMA SEG SOC</t>
  </si>
  <si>
    <t>APORT SIST SEG SOC</t>
  </si>
  <si>
    <t>GSON/2117310003</t>
  </si>
  <si>
    <t>RET NOMINA EMPLEADOS</t>
  </si>
  <si>
    <t>GSON/2117320001</t>
  </si>
  <si>
    <t>RET NOM MAGISTERIO</t>
  </si>
  <si>
    <t>GSON/2117320002</t>
  </si>
  <si>
    <t>AJUSTES SEGURO VIDA</t>
  </si>
  <si>
    <t>GSON/2117320004</t>
  </si>
  <si>
    <t>GSON/2117320007</t>
  </si>
  <si>
    <t>RET UNISON Y CONTRAL</t>
  </si>
  <si>
    <t>RETEN UNIVERSAL</t>
  </si>
  <si>
    <t>GSON/2117420008</t>
  </si>
  <si>
    <t>Devoluciones de la L</t>
  </si>
  <si>
    <t>GSON2118</t>
  </si>
  <si>
    <t>DEV LEYING UNICA VEZ</t>
  </si>
  <si>
    <t>GSON/2118100003</t>
  </si>
  <si>
    <t>Otras Cuentas por Pa</t>
  </si>
  <si>
    <t>GSON2119</t>
  </si>
  <si>
    <t>APORT ISSSTESON ORG</t>
  </si>
  <si>
    <t>GSON/2119900008</t>
  </si>
  <si>
    <t>APORT PEN Y JUB ORG</t>
  </si>
  <si>
    <t>GSON/2119900009</t>
  </si>
  <si>
    <t>RET ISSSTESON PODER</t>
  </si>
  <si>
    <t>GSON/2119900022</t>
  </si>
  <si>
    <t>DOC X PAG ESTATAL CP</t>
  </si>
  <si>
    <t>GSON/2121100004</t>
  </si>
  <si>
    <t>PORC CP DEUDA ESTAT</t>
  </si>
  <si>
    <t>PORC CP DEUDA FED</t>
  </si>
  <si>
    <t>APORT VOLUNTARIA</t>
  </si>
  <si>
    <t>TR&amp;M APORT BOMBEROS</t>
  </si>
  <si>
    <t>TR&amp;M APORTACION DIF</t>
  </si>
  <si>
    <t>TR&amp;M APORT CRUZ ROJA</t>
  </si>
  <si>
    <t>TR&amp;M APORT CUL Y JUV</t>
  </si>
  <si>
    <t>TR&amp;M OTROS INGRESOS</t>
  </si>
  <si>
    <t>TR&amp;M RETENCIONES</t>
  </si>
  <si>
    <t>GSON/2162200018</t>
  </si>
  <si>
    <t>SOBRANTE CAJA RECAUD</t>
  </si>
  <si>
    <t>RESUL DEL EJERCICIO</t>
  </si>
  <si>
    <t>GSON/3210000001</t>
  </si>
  <si>
    <t>RES EJER ANTERIORES</t>
  </si>
  <si>
    <t>RESUL EJERCICIO 2004</t>
  </si>
  <si>
    <t>RESUL EJERCICIO 2006</t>
  </si>
  <si>
    <t>GSON/3220000004</t>
  </si>
  <si>
    <t>RESUL EJERCICIO 2007</t>
  </si>
  <si>
    <t>GSON/3220000005</t>
  </si>
  <si>
    <t>RESUL EJERCICIO 2008</t>
  </si>
  <si>
    <t>GSON/3220000006</t>
  </si>
  <si>
    <t>RESUL EJERCICIO 2011</t>
  </si>
  <si>
    <t>GSON/3220000009</t>
  </si>
  <si>
    <t>RESUL EJERCICIO 2012</t>
  </si>
  <si>
    <t>GSON/3220000010</t>
  </si>
  <si>
    <t>RESUL EJERCICIO 2013</t>
  </si>
  <si>
    <t>RESUL EJERCICIO 2014</t>
  </si>
  <si>
    <t>GSON/3220000012</t>
  </si>
  <si>
    <t>IMP S/INGR OB PREMIO</t>
  </si>
  <si>
    <t>IEPS JUEGOS C/APUEST</t>
  </si>
  <si>
    <t>GSON/4113130301</t>
  </si>
  <si>
    <t>IMPTO PRES SERV HOSP</t>
  </si>
  <si>
    <t>MULTAS DE IMPUESTOS</t>
  </si>
  <si>
    <t>GSON/4117170102</t>
  </si>
  <si>
    <t>GTOS EJEC IMPUESTOS</t>
  </si>
  <si>
    <t>GSON/4117170103</t>
  </si>
  <si>
    <t>IMPTO PARA UNISON</t>
  </si>
  <si>
    <t>CONTRIBUCION CECOP</t>
  </si>
  <si>
    <t>CONTR INFRA EDUCATIV</t>
  </si>
  <si>
    <t>CONCESION INMUEBLES</t>
  </si>
  <si>
    <t>ARREN BIEN INMUEBLE</t>
  </si>
  <si>
    <t>OTROS DIR BEBIDAS</t>
  </si>
  <si>
    <t>CAN LIC VTA BEBIDA</t>
  </si>
  <si>
    <t>SER CONSTAN ARCHIVO</t>
  </si>
  <si>
    <t>SERV DIR DE NOTARIAS</t>
  </si>
  <si>
    <t>SERV DOCUM Y ARCHIVO</t>
  </si>
  <si>
    <t>SERV DE PUBLICACIÓN</t>
  </si>
  <si>
    <t>SUSC Y VTA BOLETINES</t>
  </si>
  <si>
    <t>EXP PLACAS CIRCULAC</t>
  </si>
  <si>
    <t>CANJE PLACAS CIRCULA</t>
  </si>
  <si>
    <t>REVALIDACION PLACAS</t>
  </si>
  <si>
    <t>EXP LICENCIAS CONDUC</t>
  </si>
  <si>
    <t>OTROS SERV VEHICULAR</t>
  </si>
  <si>
    <t>EXPED O ADJUD CONC</t>
  </si>
  <si>
    <t>REV ANUAL CONCESIÓN</t>
  </si>
  <si>
    <t>OTROS SERV AUTOTRANS</t>
  </si>
  <si>
    <t>SERV REGISTRO CIVIL</t>
  </si>
  <si>
    <t>SERV PRES SRÍA SALUD</t>
  </si>
  <si>
    <t>SERV PRES SEC</t>
  </si>
  <si>
    <t>SERV SRIO EJEC GOB</t>
  </si>
  <si>
    <t>SERV SRIA CONT GRAL</t>
  </si>
  <si>
    <t>SERV UNIDAD PROT CIV</t>
  </si>
  <si>
    <t>SERVICIOS PRES PGJE</t>
  </si>
  <si>
    <t>GSON/4143431601</t>
  </si>
  <si>
    <t>MULTAS DE DERECHOS</t>
  </si>
  <si>
    <t>GSON/4144450102</t>
  </si>
  <si>
    <t>GASTOS EJ DERECHOS</t>
  </si>
  <si>
    <t>GSON/4144450103</t>
  </si>
  <si>
    <t>UTIL DIVID E INTER</t>
  </si>
  <si>
    <t>OTR  PROD TIPO CORR</t>
  </si>
  <si>
    <t>GSON/4151510301</t>
  </si>
  <si>
    <t>ACTOSFISCIMPTOFED</t>
  </si>
  <si>
    <t>GSON/4161610101</t>
  </si>
  <si>
    <t>NOT.YCOBIMPTOFED</t>
  </si>
  <si>
    <t>GSON/4161610102</t>
  </si>
  <si>
    <t>ISRENAJTERRYCON</t>
  </si>
  <si>
    <t>ACTOSMATCOM.EXT.</t>
  </si>
  <si>
    <t>GSON/4161610105</t>
  </si>
  <si>
    <t>IMPTO.S/AUT.NUEVOS</t>
  </si>
  <si>
    <t>GSON/4161610106</t>
  </si>
  <si>
    <t>FDOCOMREPEC/INTER</t>
  </si>
  <si>
    <t>GSON/4161610108</t>
  </si>
  <si>
    <t>IEPSGASOLYDIESEL</t>
  </si>
  <si>
    <t>GSON/4161610113</t>
  </si>
  <si>
    <t>INCENTECON.ZOFEMAT</t>
  </si>
  <si>
    <t>GSON/4161610114</t>
  </si>
  <si>
    <t>Multas</t>
  </si>
  <si>
    <t>GSON4162</t>
  </si>
  <si>
    <t>GSON/4162610201</t>
  </si>
  <si>
    <t>MULTASFEDERALES</t>
  </si>
  <si>
    <t>GSON/4162610202</t>
  </si>
  <si>
    <t>GSON/4168610802</t>
  </si>
  <si>
    <t>Otros Aprovechamient</t>
  </si>
  <si>
    <t>GSON4169</t>
  </si>
  <si>
    <t>GSON/4169610901</t>
  </si>
  <si>
    <t>FONDOGRALPARTICIP.</t>
  </si>
  <si>
    <t>PARASER.EDUC.EST.</t>
  </si>
  <si>
    <t>APFRÉGEPROTSOCS</t>
  </si>
  <si>
    <t>GSON/4223930101</t>
  </si>
  <si>
    <t>FIDEFED/MPIO(FIDEM)</t>
  </si>
  <si>
    <t>GSON/4223930109</t>
  </si>
  <si>
    <t>ENBINNOSRÉGDP</t>
  </si>
  <si>
    <t>GSON5111</t>
  </si>
  <si>
    <t>SUELDOS</t>
  </si>
  <si>
    <t>GSON/5111113011</t>
  </si>
  <si>
    <t>GSON/5111113062</t>
  </si>
  <si>
    <t>GSON/5111113071</t>
  </si>
  <si>
    <t>GSON/5111113131</t>
  </si>
  <si>
    <t>EVENTUAL</t>
  </si>
  <si>
    <t>GSON/5112122011</t>
  </si>
  <si>
    <t>Remuneraciones Adici</t>
  </si>
  <si>
    <t>GSON5113</t>
  </si>
  <si>
    <t>GSON/5113131011</t>
  </si>
  <si>
    <t>Seguridad Social</t>
  </si>
  <si>
    <t>GSON5114</t>
  </si>
  <si>
    <t>GSON/5114141021</t>
  </si>
  <si>
    <t>GSON/5114141031</t>
  </si>
  <si>
    <t>GSON/5114141041</t>
  </si>
  <si>
    <t>GSON/5114141061</t>
  </si>
  <si>
    <t>GSON/5114141071</t>
  </si>
  <si>
    <t>GSON/5114141081</t>
  </si>
  <si>
    <t>GSON/5114144021</t>
  </si>
  <si>
    <t>Otras Prestaciones S</t>
  </si>
  <si>
    <t>GSON5115</t>
  </si>
  <si>
    <t>GSON/5115151011</t>
  </si>
  <si>
    <t>GSON/5115159011</t>
  </si>
  <si>
    <t>GSON/5121217011</t>
  </si>
  <si>
    <t>GAS</t>
  </si>
  <si>
    <t>GSON/5131312011</t>
  </si>
  <si>
    <t>GSON/5131313011</t>
  </si>
  <si>
    <t>GSON/5132321011</t>
  </si>
  <si>
    <t>GSON/5133338011</t>
  </si>
  <si>
    <t>INSTALACIONES</t>
  </si>
  <si>
    <t>GSON/5135353011</t>
  </si>
  <si>
    <t>GSON/5135359011</t>
  </si>
  <si>
    <t>GSON/5137371011</t>
  </si>
  <si>
    <t>Asignaciones al Sect</t>
  </si>
  <si>
    <t>GSON5211</t>
  </si>
  <si>
    <t>GSON/5211414011</t>
  </si>
  <si>
    <t>Part d'Federación a</t>
  </si>
  <si>
    <t>GSON5311</t>
  </si>
  <si>
    <t>GSON/5311811011</t>
  </si>
  <si>
    <t>Estim, Depre, Deter,</t>
  </si>
  <si>
    <t>GSON551</t>
  </si>
  <si>
    <t>Depreciación de Bien</t>
  </si>
  <si>
    <t>GSON5513</t>
  </si>
  <si>
    <t>DEPRECIACION DE BIEN</t>
  </si>
  <si>
    <t>GSON/5513100001</t>
  </si>
  <si>
    <t>Depreciación de Infr</t>
  </si>
  <si>
    <t>GSON5514</t>
  </si>
  <si>
    <t>DEPRECIACION DE INFR</t>
  </si>
  <si>
    <t>GSON/5514100001</t>
  </si>
  <si>
    <t>GSON5515</t>
  </si>
  <si>
    <t>GSON/5515100001</t>
  </si>
  <si>
    <t>Amortización de Acti</t>
  </si>
  <si>
    <t>GSON5517</t>
  </si>
  <si>
    <t>GSON/5517100001</t>
  </si>
  <si>
    <t>Avales y Garantías</t>
  </si>
  <si>
    <t>GSON73</t>
  </si>
  <si>
    <t>GSON/8110000000</t>
  </si>
  <si>
    <t>GSON/8240000001</t>
  </si>
  <si>
    <t>AF 01 EGRESOS TR</t>
  </si>
  <si>
    <t>GSON/1112010013</t>
  </si>
  <si>
    <t>AF 02 INGRESOS</t>
  </si>
  <si>
    <t>GSON/1112010021</t>
  </si>
  <si>
    <t>BC 35 INGRESOS</t>
  </si>
  <si>
    <t>BC 62 EGRESOS TR</t>
  </si>
  <si>
    <t>GSON/1112030623</t>
  </si>
  <si>
    <t>BN 21 EGRESOS TR</t>
  </si>
  <si>
    <t>GSON/1112060213</t>
  </si>
  <si>
    <t>BX 21  EGRESOS TR</t>
  </si>
  <si>
    <t>GSON/1112080213</t>
  </si>
  <si>
    <t>HS 02   EGRESOS TR</t>
  </si>
  <si>
    <t>GSON/1112110023</t>
  </si>
  <si>
    <t>HS 02   INT GANADOS</t>
  </si>
  <si>
    <t>GSON/1112110025</t>
  </si>
  <si>
    <t>SA 45 INGRESOS</t>
  </si>
  <si>
    <t>GSON/1112150451</t>
  </si>
  <si>
    <t>GSON/1112150692</t>
  </si>
  <si>
    <t>GSON/1112160012</t>
  </si>
  <si>
    <t>SC 11 EGRESOS TR</t>
  </si>
  <si>
    <t>GSON/1112160113</t>
  </si>
  <si>
    <t>ANT DEP GARANTIA CP</t>
  </si>
  <si>
    <t>GSON/1139100001</t>
  </si>
  <si>
    <t>Donaciones de Capita</t>
  </si>
  <si>
    <t>GSON312</t>
  </si>
  <si>
    <t>DONACIONES DE CAP</t>
  </si>
  <si>
    <t>GSON/3120000001</t>
  </si>
  <si>
    <t>GSON/5114141011</t>
  </si>
  <si>
    <t>GSON/5114141051</t>
  </si>
  <si>
    <t>GSON/5114142011</t>
  </si>
  <si>
    <t>GSON/5114143011</t>
  </si>
  <si>
    <t>GSON/5121217021</t>
  </si>
  <si>
    <t>GSON/5421931014</t>
  </si>
  <si>
    <t>GSON/5599109991</t>
  </si>
  <si>
    <t>GSON/5599109993</t>
  </si>
  <si>
    <t>GSON56</t>
  </si>
  <si>
    <t>Inversión Pública no</t>
  </si>
  <si>
    <t>GSON561</t>
  </si>
  <si>
    <t>Construcción en Bien</t>
  </si>
  <si>
    <t>GSON5611</t>
  </si>
  <si>
    <t>GSON/5611000001</t>
  </si>
  <si>
    <t>GSON/1111100004</t>
  </si>
  <si>
    <t>BJ 02 SALDO CTA BAN</t>
  </si>
  <si>
    <t>GSON/1112020020</t>
  </si>
  <si>
    <t>GSON/1112020024</t>
  </si>
  <si>
    <t>BJ 02 INT GANADOS</t>
  </si>
  <si>
    <t>GSON/1112020025</t>
  </si>
  <si>
    <t>GSON/1112030045</t>
  </si>
  <si>
    <t>GSON/1112030270</t>
  </si>
  <si>
    <t>GSON/1112030330</t>
  </si>
  <si>
    <t>GSON/1112030331</t>
  </si>
  <si>
    <t>BC 51 EGRESOS CHEQUE</t>
  </si>
  <si>
    <t>GSON/1112030512</t>
  </si>
  <si>
    <t>GSON/1112030912</t>
  </si>
  <si>
    <t>BC117 SLDO CTA BAN</t>
  </si>
  <si>
    <t>GSON/1112031170</t>
  </si>
  <si>
    <t>BC117 EGRESOS TR</t>
  </si>
  <si>
    <t>GSON/1112031173</t>
  </si>
  <si>
    <t>GSON/1112031270</t>
  </si>
  <si>
    <t>GSON/1112031271</t>
  </si>
  <si>
    <t>BM 02 INGRESOS</t>
  </si>
  <si>
    <t>GSON/1112050021</t>
  </si>
  <si>
    <t>BN 35 SALDO CTA BAN</t>
  </si>
  <si>
    <t>GSON/1112060350</t>
  </si>
  <si>
    <t>BN 35 INGRESOS</t>
  </si>
  <si>
    <t>GSON/1112060351</t>
  </si>
  <si>
    <t>BN 35 EGRESOS TR</t>
  </si>
  <si>
    <t>GSON/1112060353</t>
  </si>
  <si>
    <t>GSON/1112060482</t>
  </si>
  <si>
    <t>BN 72 SALDO CTA BAN</t>
  </si>
  <si>
    <t>GSON/1112060720</t>
  </si>
  <si>
    <t>BN 72 EGRESOS TR</t>
  </si>
  <si>
    <t>GSON/1112060723</t>
  </si>
  <si>
    <t>GSON/1112060890</t>
  </si>
  <si>
    <t>GSON/1112060892</t>
  </si>
  <si>
    <t>GSON/1112060893</t>
  </si>
  <si>
    <t>GSON/1112060894</t>
  </si>
  <si>
    <t>GSON/1112070014</t>
  </si>
  <si>
    <t>BR 14 INGRESOS</t>
  </si>
  <si>
    <t>GSON/1112070141</t>
  </si>
  <si>
    <t>BR 14 EGRESOS TR</t>
  </si>
  <si>
    <t>GSON/1112070143</t>
  </si>
  <si>
    <t>BR 23 EGRESOS TR</t>
  </si>
  <si>
    <t>GSON/1112070203</t>
  </si>
  <si>
    <t>GSON/1112070204</t>
  </si>
  <si>
    <t>BR 25 INGRESOS</t>
  </si>
  <si>
    <t>GSON/1112070251</t>
  </si>
  <si>
    <t>BR 25 EGRESOS TR</t>
  </si>
  <si>
    <t>GSON/1112070253</t>
  </si>
  <si>
    <t>BX 40  SALDO CTA BAN</t>
  </si>
  <si>
    <t>GSON/1112080400</t>
  </si>
  <si>
    <t>BX 40  INGRESOS</t>
  </si>
  <si>
    <t>GSON/1112080401</t>
  </si>
  <si>
    <t>BX 43  SALDO CTA BAN</t>
  </si>
  <si>
    <t>GSON/1112080430</t>
  </si>
  <si>
    <t>BX 43  INGRESOS</t>
  </si>
  <si>
    <t>GSON/1112080431</t>
  </si>
  <si>
    <t>GSON/1112080434</t>
  </si>
  <si>
    <t>HS 09   INGRESOS</t>
  </si>
  <si>
    <t>GSON/1112110091</t>
  </si>
  <si>
    <t>SA 04 SALDO CTA BAN</t>
  </si>
  <si>
    <t>GSON/1112150040</t>
  </si>
  <si>
    <t>GSON/1112150044</t>
  </si>
  <si>
    <t>SA 04 INT GANADOS</t>
  </si>
  <si>
    <t>GSON/1112150045</t>
  </si>
  <si>
    <t>GSON/1112150374</t>
  </si>
  <si>
    <t>GSON/1112150764</t>
  </si>
  <si>
    <t>SC 50 EGRESOS TR</t>
  </si>
  <si>
    <t>GSON/1112160503</t>
  </si>
  <si>
    <t>VX 01 SALDO CTA BAN</t>
  </si>
  <si>
    <t>GSON/1112170010</t>
  </si>
  <si>
    <t>VX 01 EGRESOS TR</t>
  </si>
  <si>
    <t>GSON/1112170013</t>
  </si>
  <si>
    <t>GSON/1112990033</t>
  </si>
  <si>
    <t>SA 01 EGRESOS TR</t>
  </si>
  <si>
    <t>GSON/1116150013</t>
  </si>
  <si>
    <t>SA 36 SALDO CTA BAN</t>
  </si>
  <si>
    <t>GSON/1116150360</t>
  </si>
  <si>
    <t>SA 36 INGRESOS</t>
  </si>
  <si>
    <t>GSON/1116150361</t>
  </si>
  <si>
    <t>DEUDOR CH DEVUELTOS</t>
  </si>
  <si>
    <t>GSON/1123100003</t>
  </si>
  <si>
    <t>ANT PART ESTATALES</t>
  </si>
  <si>
    <t>GSON/1125100004</t>
  </si>
  <si>
    <t>ENHP CONSTRUCCION</t>
  </si>
  <si>
    <t>GSON/1235261201</t>
  </si>
  <si>
    <t>INFRA Y EQ ALCANTAR</t>
  </si>
  <si>
    <t>GSON/1235461409</t>
  </si>
  <si>
    <t>GSON/2117420009</t>
  </si>
  <si>
    <t>GSON/2118100004</t>
  </si>
  <si>
    <t>GSON/2162200020</t>
  </si>
  <si>
    <t>Indemnizaciones</t>
  </si>
  <si>
    <t>GSON4163</t>
  </si>
  <si>
    <t>INDEMNIZACIONES</t>
  </si>
  <si>
    <t>GSON/4163610301</t>
  </si>
  <si>
    <t>ENERGIA ELECTRICA</t>
  </si>
  <si>
    <t>GSON/5137371012</t>
  </si>
  <si>
    <t>GSON/5137375011</t>
  </si>
  <si>
    <t>GSON5212</t>
  </si>
  <si>
    <t>GSON/5212415031</t>
  </si>
  <si>
    <t>Ayudas Sociales</t>
  </si>
  <si>
    <t>GSON524</t>
  </si>
  <si>
    <t>Ayudas Soc a Institu</t>
  </si>
  <si>
    <t>GSON5243</t>
  </si>
  <si>
    <t>GSON/5243445021</t>
  </si>
  <si>
    <t>GSON/5311812011</t>
  </si>
  <si>
    <t>GSON/5311815011</t>
  </si>
  <si>
    <t>GSON/5311815021</t>
  </si>
  <si>
    <t>GSON/5311815031</t>
  </si>
  <si>
    <t>GSON/5311815041</t>
  </si>
  <si>
    <t>GSON/5311815051</t>
  </si>
  <si>
    <t>GSON/5311815061</t>
  </si>
  <si>
    <t>Part de las Ent Fed</t>
  </si>
  <si>
    <t>GSON5312</t>
  </si>
  <si>
    <t>GSON/5312813011</t>
  </si>
  <si>
    <t>GSON/5312813021</t>
  </si>
  <si>
    <t>GSON/5312813031</t>
  </si>
  <si>
    <t>GSON/5312813041</t>
  </si>
  <si>
    <t>GSON/5312813051</t>
  </si>
  <si>
    <t>1..16</t>
  </si>
  <si>
    <t>2016</t>
  </si>
  <si>
    <t>CONV CP IMPTO S/PROD</t>
  </si>
  <si>
    <t>GSON/1124200013</t>
  </si>
  <si>
    <t>Pasivos Diferidos a</t>
  </si>
  <si>
    <t>GSON215</t>
  </si>
  <si>
    <t>Otros Pasivos Diferi</t>
  </si>
  <si>
    <t>GSON2159</t>
  </si>
  <si>
    <t>CONV FIS ESTATAL CP</t>
  </si>
  <si>
    <t>GSON/2159100001</t>
  </si>
  <si>
    <t>08/04/2017</t>
  </si>
  <si>
    <t>CAJAS RECAUD SDO</t>
  </si>
  <si>
    <t>CAJAS REC EFECTIVO</t>
  </si>
  <si>
    <t>GSON/1111100001</t>
  </si>
  <si>
    <t>CAJAS REC CHEQUE</t>
  </si>
  <si>
    <t>CAJAS REC EFE CH TB</t>
  </si>
  <si>
    <t>FONDOS FIJOS DE CAJA</t>
  </si>
  <si>
    <t>GSON/1111200001</t>
  </si>
  <si>
    <t>CAJA CHICA 4</t>
  </si>
  <si>
    <t>GSON/1111300004</t>
  </si>
  <si>
    <t>CAJA CHICA 5</t>
  </si>
  <si>
    <t>GSON/1111300005</t>
  </si>
  <si>
    <t>CAJA CHICA 6</t>
  </si>
  <si>
    <t>GSON/1111300006</t>
  </si>
  <si>
    <t>CAJA CHICA 7</t>
  </si>
  <si>
    <t>GSON/1111300007</t>
  </si>
  <si>
    <t>CAJA CHICA 9</t>
  </si>
  <si>
    <t>GSON/1111300009</t>
  </si>
  <si>
    <t>CAJA CHICA 10</t>
  </si>
  <si>
    <t>GSON/1111300010</t>
  </si>
  <si>
    <t>CAJA CHICA 11</t>
  </si>
  <si>
    <t>GSON/1111300011</t>
  </si>
  <si>
    <t>CAJA CHICA 12</t>
  </si>
  <si>
    <t>GSON/1111300012</t>
  </si>
  <si>
    <t>CAJA CHICA 13</t>
  </si>
  <si>
    <t>GSON/1111300013</t>
  </si>
  <si>
    <t>CAJA CHICA 14</t>
  </si>
  <si>
    <t>GSON/1111300014</t>
  </si>
  <si>
    <t>CAJA CHICA 15</t>
  </si>
  <si>
    <t>GSON/1111300015</t>
  </si>
  <si>
    <t>CAJA CHICA 16</t>
  </si>
  <si>
    <t>GSON/1111300016</t>
  </si>
  <si>
    <t>CAJA CHICA 17</t>
  </si>
  <si>
    <t>GSON/1111300017</t>
  </si>
  <si>
    <t>CAJA CHICA 18</t>
  </si>
  <si>
    <t>GSON/1111300018</t>
  </si>
  <si>
    <t>CAJA CHICA 19</t>
  </si>
  <si>
    <t>GSON/1111300019</t>
  </si>
  <si>
    <t>CAJA CHICA 20</t>
  </si>
  <si>
    <t>GSON/1111300020</t>
  </si>
  <si>
    <t>CAJA CHICA 21</t>
  </si>
  <si>
    <t>GSON/1111300021</t>
  </si>
  <si>
    <t>CAJA CHICA 22</t>
  </si>
  <si>
    <t>GSON/1111300022</t>
  </si>
  <si>
    <t>CAJA CHICA 24</t>
  </si>
  <si>
    <t>GSON/1111300024</t>
  </si>
  <si>
    <t>CAJA CHICA 25</t>
  </si>
  <si>
    <t>GSON/1111300025</t>
  </si>
  <si>
    <t>CAJA CHICA 26</t>
  </si>
  <si>
    <t>GSON/1111300026</t>
  </si>
  <si>
    <t>CAJA CHICA 28</t>
  </si>
  <si>
    <t>GSON/1111300028</t>
  </si>
  <si>
    <t>CAJA CHICA 29</t>
  </si>
  <si>
    <t>GSON/1111300029</t>
  </si>
  <si>
    <t>CAJA CHICA 30</t>
  </si>
  <si>
    <t>GSON/1111300030</t>
  </si>
  <si>
    <t>CAJA CHICA 31</t>
  </si>
  <si>
    <t>GSON/1111300031</t>
  </si>
  <si>
    <t>CAJA CHICA 32</t>
  </si>
  <si>
    <t>GSON/1111300032</t>
  </si>
  <si>
    <t>CAJA CHICA 33</t>
  </si>
  <si>
    <t>GSON/1111300033</t>
  </si>
  <si>
    <t>CAJA CHICA 34</t>
  </si>
  <si>
    <t>GSON/1111300034</t>
  </si>
  <si>
    <t>CAJA CHICA 35</t>
  </si>
  <si>
    <t>GSON/1111300035</t>
  </si>
  <si>
    <t>CAJA CHICA 36</t>
  </si>
  <si>
    <t>GSON/1111300036</t>
  </si>
  <si>
    <t>CAJA CHICA 37</t>
  </si>
  <si>
    <t>GSON/1111300037</t>
  </si>
  <si>
    <t>CAJA CHICA 38</t>
  </si>
  <si>
    <t>GSON/1111300038</t>
  </si>
  <si>
    <t>CAJA CHICA 39</t>
  </si>
  <si>
    <t>GSON/1111300039</t>
  </si>
  <si>
    <t>CAJA CHICA 40</t>
  </si>
  <si>
    <t>GSON/1111300040</t>
  </si>
  <si>
    <t>CAJA CHICA 41</t>
  </si>
  <si>
    <t>GSON/1111300041</t>
  </si>
  <si>
    <t>CAJA CHICA 42</t>
  </si>
  <si>
    <t>GSON/1111300042</t>
  </si>
  <si>
    <t>CAJA CHICA 43</t>
  </si>
  <si>
    <t>GSON/1111300043</t>
  </si>
  <si>
    <t>CAJA CHICA 44</t>
  </si>
  <si>
    <t>GSON/1111300044</t>
  </si>
  <si>
    <t>CAJA CHICA 45</t>
  </si>
  <si>
    <t>GSON/1111300045</t>
  </si>
  <si>
    <t>CAJA CHICA 46</t>
  </si>
  <si>
    <t>GSON/1111300046</t>
  </si>
  <si>
    <t>CAJA CHICA 47</t>
  </si>
  <si>
    <t>GSON/1111300047</t>
  </si>
  <si>
    <t>CAJA CHICA 48</t>
  </si>
  <si>
    <t>GSON/1111300048</t>
  </si>
  <si>
    <t>CAJA CHICA 49</t>
  </si>
  <si>
    <t>GSON/1111300049</t>
  </si>
  <si>
    <t>CAJA CHICA 51</t>
  </si>
  <si>
    <t>GSON/1111300051</t>
  </si>
  <si>
    <t>CAJA CHICA 52</t>
  </si>
  <si>
    <t>GSON/1111300052</t>
  </si>
  <si>
    <t>CAJA CHICA 53</t>
  </si>
  <si>
    <t>GSON/1111300053</t>
  </si>
  <si>
    <t>CAJA CHICA 55</t>
  </si>
  <si>
    <t>GSON/1111300055</t>
  </si>
  <si>
    <t>CAJA CHICA 56</t>
  </si>
  <si>
    <t>GSON/1111300056</t>
  </si>
  <si>
    <t>CAJA CHICA 57</t>
  </si>
  <si>
    <t>GSON/1111300057</t>
  </si>
  <si>
    <t>CAJA CHICA 58</t>
  </si>
  <si>
    <t>GSON/1111300058</t>
  </si>
  <si>
    <t>CAJA CHICA 59</t>
  </si>
  <si>
    <t>GSON/1111300059</t>
  </si>
  <si>
    <t>CAJA CHICA 60</t>
  </si>
  <si>
    <t>GSON/1111300060</t>
  </si>
  <si>
    <t>CAJA CHICA 61</t>
  </si>
  <si>
    <t>GSON/1111300061</t>
  </si>
  <si>
    <t>CAJA CHICA 62</t>
  </si>
  <si>
    <t>GSON/1111300062</t>
  </si>
  <si>
    <t>AF 01 EGRESOS CHEQUE</t>
  </si>
  <si>
    <t>AF 01 IVA Y COMISION</t>
  </si>
  <si>
    <t>GSON/1112010014</t>
  </si>
  <si>
    <t>BJ 02 IVA Y COMISION</t>
  </si>
  <si>
    <t>BJ 03 EGRESOS CHEQUE</t>
  </si>
  <si>
    <t>BJ 03 IVA Y COMISION</t>
  </si>
  <si>
    <t>BJ 03 INT GANADOS</t>
  </si>
  <si>
    <t>GSON/1112020035</t>
  </si>
  <si>
    <t>BJ 04 SALDO CTA BAN</t>
  </si>
  <si>
    <t>GSON/1112020040</t>
  </si>
  <si>
    <t>BJ 04 INGRESOS</t>
  </si>
  <si>
    <t>GSON/1112020041</t>
  </si>
  <si>
    <t>BJ 04 INT GANADOS</t>
  </si>
  <si>
    <t>GSON/1112020045</t>
  </si>
  <si>
    <t>BM 001 SALDO CTA BAN</t>
  </si>
  <si>
    <t>BM 001 INGRESOS</t>
  </si>
  <si>
    <t>BM 001 EGRESOS CHEQU</t>
  </si>
  <si>
    <t>BM 001 EGRESOS TR</t>
  </si>
  <si>
    <t>BM 001 IVA Y COMISIO</t>
  </si>
  <si>
    <t>BM 001 INT GANADOS</t>
  </si>
  <si>
    <t>BM 002 SALDO CTA BAN</t>
  </si>
  <si>
    <t>BM 002 INGRESOS</t>
  </si>
  <si>
    <t>BM 002 EGRESOS TR</t>
  </si>
  <si>
    <t>BM 002 IVA Y COMISIO</t>
  </si>
  <si>
    <t>GSON/1112030024</t>
  </si>
  <si>
    <t>BM 002 INT GANADOS</t>
  </si>
  <si>
    <t>BM 003 SALDO CTA BAN</t>
  </si>
  <si>
    <t>BM 003 INGRESOS</t>
  </si>
  <si>
    <t>BM 003 EGRESOS CHEQU</t>
  </si>
  <si>
    <t>BM 003 EGRESOS TR</t>
  </si>
  <si>
    <t>BM 003 IVA Y COMISIO</t>
  </si>
  <si>
    <t>BM 003 INT GANADOS</t>
  </si>
  <si>
    <t>BM 004 SALDO CTA BAN</t>
  </si>
  <si>
    <t>BM 004 INGRESOS</t>
  </si>
  <si>
    <t>BM 004 EGRESOS TR</t>
  </si>
  <si>
    <t>BM 004 INT GANADOS</t>
  </si>
  <si>
    <t>BM 006 SALDO CTA BAN</t>
  </si>
  <si>
    <t>BM 006 INGRESOS</t>
  </si>
  <si>
    <t>BM 006 IVA Y COMISIO</t>
  </si>
  <si>
    <t>GSON/1112030064</t>
  </si>
  <si>
    <t>BM 006 INT GANADOS</t>
  </si>
  <si>
    <t>GSON/1112030065</t>
  </si>
  <si>
    <t>BM 007 SALDO CTA BAN</t>
  </si>
  <si>
    <t>BM 007 INGRESOS</t>
  </si>
  <si>
    <t>BM 007 IVA Y COMISIO</t>
  </si>
  <si>
    <t>GSON/1112030074</t>
  </si>
  <si>
    <t>BM 007 INT GANADOS</t>
  </si>
  <si>
    <t>GSON/1112030075</t>
  </si>
  <si>
    <t>BM 008 SALDO CTA BAN</t>
  </si>
  <si>
    <t>BM 008 INGRESOS</t>
  </si>
  <si>
    <t>BM 008 INT GANADOS</t>
  </si>
  <si>
    <t>GSON/1112030085</t>
  </si>
  <si>
    <t>BM 009 SALDO CTA BAN</t>
  </si>
  <si>
    <t>BM 009 INGRESOS</t>
  </si>
  <si>
    <t>BM 009 INT GANADOS</t>
  </si>
  <si>
    <t>GSON/1112030095</t>
  </si>
  <si>
    <t>BM 010 SALDO CTA BAN</t>
  </si>
  <si>
    <t>BM 010 INGRESOS</t>
  </si>
  <si>
    <t>BM 010 INT GANADOS</t>
  </si>
  <si>
    <t>GSON/1112030105</t>
  </si>
  <si>
    <t>BM 011 SALDO CTA BAN</t>
  </si>
  <si>
    <t>GSON/1112030110</t>
  </si>
  <si>
    <t>BM 011 EGRESOS TR</t>
  </si>
  <si>
    <t>GSON/1112030113</t>
  </si>
  <si>
    <t>BM 012 SALDO CTA BAN</t>
  </si>
  <si>
    <t>BM 012 INGRESOS</t>
  </si>
  <si>
    <t>BM 012 EGRESOS TR</t>
  </si>
  <si>
    <t>GSON/1112030123</t>
  </si>
  <si>
    <t>BM 012 INT GANADOS</t>
  </si>
  <si>
    <t>GSON/1112030125</t>
  </si>
  <si>
    <t>BM 013 SALDO CTA BAN</t>
  </si>
  <si>
    <t>GSON/1112030130</t>
  </si>
  <si>
    <t>BM 013 EGRESOS TR</t>
  </si>
  <si>
    <t>GSON/1112030133</t>
  </si>
  <si>
    <t>BM 014 INGRESOS</t>
  </si>
  <si>
    <t>BM 014 INT GANADOS</t>
  </si>
  <si>
    <t>GSON/1112030145</t>
  </si>
  <si>
    <t>BM 016 SALDO CTA BAN</t>
  </si>
  <si>
    <t>GSON/1112030160</t>
  </si>
  <si>
    <t>BM 016 INGRESOS</t>
  </si>
  <si>
    <t>GSON/1112030161</t>
  </si>
  <si>
    <t>BM 016 EGRESOS TR</t>
  </si>
  <si>
    <t>GSON/1112030163</t>
  </si>
  <si>
    <t>BM 016 IVA Y COMISIO</t>
  </si>
  <si>
    <t>GSON/1112030164</t>
  </si>
  <si>
    <t>BM 016 INT GANADOS</t>
  </si>
  <si>
    <t>GSON/1112030165</t>
  </si>
  <si>
    <t>BM 017 SALDO CTA BAN</t>
  </si>
  <si>
    <t>BM 017 INGRESOS</t>
  </si>
  <si>
    <t>BM 017 IVA Y COMISIO</t>
  </si>
  <si>
    <t>BM 017 INT GANADOS</t>
  </si>
  <si>
    <t>GSON/1112030175</t>
  </si>
  <si>
    <t>BM 018 SALDO CTA BAN</t>
  </si>
  <si>
    <t>BM 018 INGRESOS</t>
  </si>
  <si>
    <t>BM 018 INT GANADOS</t>
  </si>
  <si>
    <t>GSON/1112030185</t>
  </si>
  <si>
    <t>BM 019 SALDO CTA BAN</t>
  </si>
  <si>
    <t>GSON/1112030190</t>
  </si>
  <si>
    <t>BM 019 EGRESOS TR</t>
  </si>
  <si>
    <t>GSON/1112030193</t>
  </si>
  <si>
    <t>BM 020 SALDO CTA BAN</t>
  </si>
  <si>
    <t>GSON/1112030200</t>
  </si>
  <si>
    <t>BM 020 EGRESOS TR</t>
  </si>
  <si>
    <t>BM 022 SALDO CTA BAN</t>
  </si>
  <si>
    <t>GSON/1112030220</t>
  </si>
  <si>
    <t>BM 022 EGRESOS TR</t>
  </si>
  <si>
    <t>GSON/1112030223</t>
  </si>
  <si>
    <t>BM 023 SALDO CTA BAN</t>
  </si>
  <si>
    <t>BM 023 INGRESOS</t>
  </si>
  <si>
    <t>BM 023 INT GANADOS</t>
  </si>
  <si>
    <t>GSON/1112030235</t>
  </si>
  <si>
    <t>BM 024 SALDO CTA BAN</t>
  </si>
  <si>
    <t>BM 024 INGRESOS</t>
  </si>
  <si>
    <t>BM 024 EGRESOS CHEQU</t>
  </si>
  <si>
    <t>GSON/1112030242</t>
  </si>
  <si>
    <t>BM 024 EGRESOS TR</t>
  </si>
  <si>
    <t>GSON/1112030243</t>
  </si>
  <si>
    <t>BM 024 IVA Y COMISIO</t>
  </si>
  <si>
    <t>GSON/1112030244</t>
  </si>
  <si>
    <t>BM 024 INT GANADOS</t>
  </si>
  <si>
    <t>GSON/1112030245</t>
  </si>
  <si>
    <t>BM 025 SALDO CTA BAN</t>
  </si>
  <si>
    <t>BM 025 INGRESOS</t>
  </si>
  <si>
    <t>BM 025 IVA Y COMISIO</t>
  </si>
  <si>
    <t>GSON/1112030254</t>
  </si>
  <si>
    <t>BM 025 INT GANADOS</t>
  </si>
  <si>
    <t>GSON/1112030255</t>
  </si>
  <si>
    <t>BM 026 SALDO CTA BAN</t>
  </si>
  <si>
    <t>GSON/1112030260</t>
  </si>
  <si>
    <t>BM 027 SALDO CTA BAN</t>
  </si>
  <si>
    <t>BM 028 SALDO CTA BAN</t>
  </si>
  <si>
    <t>BM 028 INGRESOS</t>
  </si>
  <si>
    <t>BM 028 INT GANADOS</t>
  </si>
  <si>
    <t>GSON/1112030285</t>
  </si>
  <si>
    <t>BM 029 SALDO CTA BAN</t>
  </si>
  <si>
    <t>BM 029 INGRESOS</t>
  </si>
  <si>
    <t>BM 029 EGRESOS TR</t>
  </si>
  <si>
    <t>GSON/1112030293</t>
  </si>
  <si>
    <t>BM 029 INT GANADOS</t>
  </si>
  <si>
    <t>GSON/1112030295</t>
  </si>
  <si>
    <t>BM 030 SALDO CTA BAN</t>
  </si>
  <si>
    <t>BM 030 INGRESOS</t>
  </si>
  <si>
    <t>BM 030 EGRESOS TR</t>
  </si>
  <si>
    <t>GSON/1112030303</t>
  </si>
  <si>
    <t>BM 030 INT GANADOS</t>
  </si>
  <si>
    <t>GSON/1112030305</t>
  </si>
  <si>
    <t>BM 031 SALDO CTA BAN</t>
  </si>
  <si>
    <t>BM 031 INGRESOS</t>
  </si>
  <si>
    <t>BM 031 EGRESOS TR</t>
  </si>
  <si>
    <t>GSON/1112030313</t>
  </si>
  <si>
    <t>BM 031 INT GANADOS</t>
  </si>
  <si>
    <t>GSON/1112030315</t>
  </si>
  <si>
    <t>BM 032 SALDO CTA BAN</t>
  </si>
  <si>
    <t>BM 032 INGRESOS</t>
  </si>
  <si>
    <t>BM 032 EGRESOS TR</t>
  </si>
  <si>
    <t>GSON/1112030323</t>
  </si>
  <si>
    <t>BM 032 INT GANADOS</t>
  </si>
  <si>
    <t>GSON/1112030325</t>
  </si>
  <si>
    <t>BM 033 SALDO CTA BAN</t>
  </si>
  <si>
    <t>BM 033 INGRESOS</t>
  </si>
  <si>
    <t>BM 033 EGRESOS TR</t>
  </si>
  <si>
    <t>GSON/1112030333</t>
  </si>
  <si>
    <t>BM 033 INT GANADOS</t>
  </si>
  <si>
    <t>GSON/1112030335</t>
  </si>
  <si>
    <t>BM 034 SALDO CTA BAN</t>
  </si>
  <si>
    <t>BM 034 INGRESOS</t>
  </si>
  <si>
    <t>BM 034 EGRESOS TR</t>
  </si>
  <si>
    <t>GSON/1112030343</t>
  </si>
  <si>
    <t>BM 034 INT GANADOS</t>
  </si>
  <si>
    <t>GSON/1112030345</t>
  </si>
  <si>
    <t>BM 035 SALDO CTA BAN</t>
  </si>
  <si>
    <t>BC 35 EGRESOS TR</t>
  </si>
  <si>
    <t>GSON/1112030353</t>
  </si>
  <si>
    <t>BC 35 INT GANADOS</t>
  </si>
  <si>
    <t>GSON/1112030355</t>
  </si>
  <si>
    <t>BC 36 SALDO CTA BAN</t>
  </si>
  <si>
    <t>GSON/1112030360</t>
  </si>
  <si>
    <t>BC 36 INT GANADOS</t>
  </si>
  <si>
    <t>GSON/1112030365</t>
  </si>
  <si>
    <t>BM 037 SALDO CTA BAN</t>
  </si>
  <si>
    <t>BM 037 INGRESOS</t>
  </si>
  <si>
    <t>BM 037 EGRESOS TR</t>
  </si>
  <si>
    <t>GSON/1112030373</t>
  </si>
  <si>
    <t>BM 037 INT GANADOS</t>
  </si>
  <si>
    <t>GSON/1112030375</t>
  </si>
  <si>
    <t>BM 038 SALDO CTA BAN</t>
  </si>
  <si>
    <t>BM 038 INGRESOS</t>
  </si>
  <si>
    <t>BM 038 EGRESOS TR</t>
  </si>
  <si>
    <t>GSON/1112030383</t>
  </si>
  <si>
    <t>BM 038 INT GANADOS</t>
  </si>
  <si>
    <t>GSON/1112030385</t>
  </si>
  <si>
    <t>BM 039 SALDO CTA BAN</t>
  </si>
  <si>
    <t>BM 039 INGRESOS</t>
  </si>
  <si>
    <t>BM 039 EGRESOS CHEQU</t>
  </si>
  <si>
    <t>GSON/1112030392</t>
  </si>
  <si>
    <t>BM 039 INT GANADOS</t>
  </si>
  <si>
    <t>GSON/1112030395</t>
  </si>
  <si>
    <t>BM 049 SALDO CTA BAN</t>
  </si>
  <si>
    <t>BM 049 INGRESOS</t>
  </si>
  <si>
    <t>BM 049 EGRESOS CHEQU</t>
  </si>
  <si>
    <t>BM 049 EGRESOS TR</t>
  </si>
  <si>
    <t>BM 049 IVA Y COMISIO</t>
  </si>
  <si>
    <t>BM 050 SALDO CTA BAN</t>
  </si>
  <si>
    <t>BM 050 INGRESOS</t>
  </si>
  <si>
    <t>BM 050 EGRESOS CHEQU</t>
  </si>
  <si>
    <t>GSON/1112030502</t>
  </si>
  <si>
    <t>BM 050 EGRESOS TR</t>
  </si>
  <si>
    <t>BM 050 IVA Y COMISIO</t>
  </si>
  <si>
    <t>BC 52 EGRESOS CHEQUE</t>
  </si>
  <si>
    <t>GSON/1112030522</t>
  </si>
  <si>
    <t>BC 53 EGRESOS CHEQUE</t>
  </si>
  <si>
    <t>GSON/1112030532</t>
  </si>
  <si>
    <t>BC 55 EGRESOS CHEQUE</t>
  </si>
  <si>
    <t>GSON/1112030552</t>
  </si>
  <si>
    <t>BC 55 EGRESOS TR</t>
  </si>
  <si>
    <t>GSON/1112030553</t>
  </si>
  <si>
    <t>BC 56 EGRESOS TR</t>
  </si>
  <si>
    <t>GSON/1112030563</t>
  </si>
  <si>
    <t>BC 57 EGRESOS TR</t>
  </si>
  <si>
    <t>GSON/1112030573</t>
  </si>
  <si>
    <t>BC 57 IVA Y COMISION</t>
  </si>
  <si>
    <t>GSON/1112030574</t>
  </si>
  <si>
    <t>BC 58 EGRESOS CHEQUE</t>
  </si>
  <si>
    <t>GSON/1112030582</t>
  </si>
  <si>
    <t>BC 58 IVA Y COMISION</t>
  </si>
  <si>
    <t>BC 59 EGRESOS CHEQUE</t>
  </si>
  <si>
    <t>GSON/1112030592</t>
  </si>
  <si>
    <t>BC 59 IVA Y COMISION</t>
  </si>
  <si>
    <t>BC 60 EGRESOS CHEQUE</t>
  </si>
  <si>
    <t>GSON/1112030602</t>
  </si>
  <si>
    <t>BC 60 EGRESOS TR</t>
  </si>
  <si>
    <t>GSON/1112030603</t>
  </si>
  <si>
    <t>BC 60 IVA Y COMISION</t>
  </si>
  <si>
    <t>BC 61 EGRESOS CHEQUE</t>
  </si>
  <si>
    <t>GSON/1112030612</t>
  </si>
  <si>
    <t>BC 61 EGRESOS TR</t>
  </si>
  <si>
    <t>GSON/1112030613</t>
  </si>
  <si>
    <t>BC 61 IVA Y COMISION</t>
  </si>
  <si>
    <t>BC 62 IVA Y COMISION</t>
  </si>
  <si>
    <t>GSON/1112030624</t>
  </si>
  <si>
    <t>BC 63 EGRESOS CHEQUE</t>
  </si>
  <si>
    <t>GSON/1112030632</t>
  </si>
  <si>
    <t>BC 63 IVA Y COMISION</t>
  </si>
  <si>
    <t>BC 63 INT GANADOS</t>
  </si>
  <si>
    <t>GSON/1112030635</t>
  </si>
  <si>
    <t>BC 64 EGRESOS CHEQUE</t>
  </si>
  <si>
    <t>GSON/1112030642</t>
  </si>
  <si>
    <t>BC 64 IVA Y COMISION</t>
  </si>
  <si>
    <t>BC 65 EGRESOS CHEQUE</t>
  </si>
  <si>
    <t>GSON/1112030652</t>
  </si>
  <si>
    <t>BC 65 IVA Y COMISION</t>
  </si>
  <si>
    <t>BC 66 EGRESOS CHEQUE</t>
  </si>
  <si>
    <t>GSON/1112030662</t>
  </si>
  <si>
    <t>BC 66 EGRESOS TR</t>
  </si>
  <si>
    <t>GSON/1112030663</t>
  </si>
  <si>
    <t>BC 66 IVA Y COMISION</t>
  </si>
  <si>
    <t>GSON/1112030664</t>
  </si>
  <si>
    <t>BC 67 EGRESOS CHEQUE</t>
  </si>
  <si>
    <t>GSON/1112030672</t>
  </si>
  <si>
    <t>BC 67 IVA Y COMISION</t>
  </si>
  <si>
    <t>BC 68 EGRESOS CHEQUE</t>
  </si>
  <si>
    <t>GSON/1112030682</t>
  </si>
  <si>
    <t>BC 68 EGRESOS TR</t>
  </si>
  <si>
    <t>GSON/1112030683</t>
  </si>
  <si>
    <t>BC 68 IVA Y COMISION</t>
  </si>
  <si>
    <t>GSON/1112030684</t>
  </si>
  <si>
    <t>BC 69 EGRESOS TR</t>
  </si>
  <si>
    <t>GSON/1112030693</t>
  </si>
  <si>
    <t>BC 69 IVA Y COMISION</t>
  </si>
  <si>
    <t>GSON/1112030694</t>
  </si>
  <si>
    <t>BC 70 IVA Y COMISION</t>
  </si>
  <si>
    <t>GSON/1112030704</t>
  </si>
  <si>
    <t>BC 70 INT GANADOS</t>
  </si>
  <si>
    <t>GSON/1112030705</t>
  </si>
  <si>
    <t>BC 71 EGRESOS TR</t>
  </si>
  <si>
    <t>GSON/1112030713</t>
  </si>
  <si>
    <t>BC 71 IVA Y COMISION</t>
  </si>
  <si>
    <t>GSON/1112030714</t>
  </si>
  <si>
    <t>BC 72 EGRESOS TR</t>
  </si>
  <si>
    <t>GSON/1112030723</t>
  </si>
  <si>
    <t>BC 72 IVA Y COMISION</t>
  </si>
  <si>
    <t>GSON/1112030724</t>
  </si>
  <si>
    <t>BC 73 EGRESOS CHEQUE</t>
  </si>
  <si>
    <t>GSON/1112030732</t>
  </si>
  <si>
    <t>BC 73 EGRESOS TR</t>
  </si>
  <si>
    <t>GSON/1112030733</t>
  </si>
  <si>
    <t>BC 73 IVA Y COMISION</t>
  </si>
  <si>
    <t>GSON/1112030734</t>
  </si>
  <si>
    <t>BC 74 EGRESOS TR</t>
  </si>
  <si>
    <t>GSON/1112030743</t>
  </si>
  <si>
    <t>BC 74 IVA Y COMISION</t>
  </si>
  <si>
    <t>GSON/1112030744</t>
  </si>
  <si>
    <t>BC 75 EGRESOS CHEQUE</t>
  </si>
  <si>
    <t>GSON/1112030752</t>
  </si>
  <si>
    <t>BC 75 EGRESOS TR</t>
  </si>
  <si>
    <t>GSON/1112030753</t>
  </si>
  <si>
    <t>BC 75 IVA Y COMISION</t>
  </si>
  <si>
    <t>GSON/1112030754</t>
  </si>
  <si>
    <t>BC 76 EGRESOS CHEQUE</t>
  </si>
  <si>
    <t>GSON/1112030762</t>
  </si>
  <si>
    <t>BC 76 EGRESOS TR</t>
  </si>
  <si>
    <t>GSON/1112030763</t>
  </si>
  <si>
    <t>BC 76 IVA Y COMISION</t>
  </si>
  <si>
    <t>GSON/1112030764</t>
  </si>
  <si>
    <t>BC 77 EGRESOS TR</t>
  </si>
  <si>
    <t>GSON/1112030773</t>
  </si>
  <si>
    <t>BC 77 IVA Y COMISION</t>
  </si>
  <si>
    <t>GSON/1112030774</t>
  </si>
  <si>
    <t>BC 78 EGRESOS TR</t>
  </si>
  <si>
    <t>GSON/1112030783</t>
  </si>
  <si>
    <t>BC 78 IVA Y COMISION</t>
  </si>
  <si>
    <t>GSON/1112030784</t>
  </si>
  <si>
    <t>BC 79 SALDO CTA BAN</t>
  </si>
  <si>
    <t>GSON/1112030790</t>
  </si>
  <si>
    <t>BC 79 INGRESOS</t>
  </si>
  <si>
    <t>GSON/1112030791</t>
  </si>
  <si>
    <t>BC 79 EGRESOS TR</t>
  </si>
  <si>
    <t>GSON/1112030793</t>
  </si>
  <si>
    <t>BC 79 IVA Y COMISION</t>
  </si>
  <si>
    <t>GSON/1112030794</t>
  </si>
  <si>
    <t>BC 80 EGRESOS TR</t>
  </si>
  <si>
    <t>GSON/1112030803</t>
  </si>
  <si>
    <t>BC 80 IVA Y COMISION</t>
  </si>
  <si>
    <t>GSON/1112030804</t>
  </si>
  <si>
    <t>BC 82 EGRESOS TR</t>
  </si>
  <si>
    <t>GSON/1112030823</t>
  </si>
  <si>
    <t>BC 82 IVA Y COMISION</t>
  </si>
  <si>
    <t>BC 83 SALDO CTA BAN</t>
  </si>
  <si>
    <t>GSON/1112030830</t>
  </si>
  <si>
    <t>BC 83 INGRESOS</t>
  </si>
  <si>
    <t>GSON/1112030831</t>
  </si>
  <si>
    <t>BC 83 EGRESOS TR</t>
  </si>
  <si>
    <t>GSON/1112030833</t>
  </si>
  <si>
    <t>BC 84 EGRESOS TR</t>
  </si>
  <si>
    <t>GSON/1112030843</t>
  </si>
  <si>
    <t>BC 84 IVA Y COMISION</t>
  </si>
  <si>
    <t>GSON/1112030844</t>
  </si>
  <si>
    <t>BC 85 EGRESOS TR</t>
  </si>
  <si>
    <t>GSON/1112030853</t>
  </si>
  <si>
    <t>BC 85 IVA Y COMISION</t>
  </si>
  <si>
    <t>GSON/1112030854</t>
  </si>
  <si>
    <t>BBVA 90 SDO CTA BAN</t>
  </si>
  <si>
    <t>BBVA 90 INGRESOS</t>
  </si>
  <si>
    <t>BBVA 90 INT GANADOS</t>
  </si>
  <si>
    <t>GSON/1112030905</t>
  </si>
  <si>
    <t>BBVA 91 SDO CTA BAN</t>
  </si>
  <si>
    <t>BBVA 91 INGRESOS</t>
  </si>
  <si>
    <t>BBVA 91 EGRESOS CHEQ</t>
  </si>
  <si>
    <t>BBVA 91 EGRESOS TR</t>
  </si>
  <si>
    <t>GSON/1112030913</t>
  </si>
  <si>
    <t>BBVA 91 IVA Y COMISI</t>
  </si>
  <si>
    <t>GSON/1112030914</t>
  </si>
  <si>
    <t>BBVA 91 INT GANADOS</t>
  </si>
  <si>
    <t>GSON/1112030915</t>
  </si>
  <si>
    <t>BBVA 92 SDO CTA BAN</t>
  </si>
  <si>
    <t>GSON/1112030920</t>
  </si>
  <si>
    <t>BBVA 92 INGRESOS</t>
  </si>
  <si>
    <t>GSON/1112030921</t>
  </si>
  <si>
    <t>BBVA 92 EGRESOS TR</t>
  </si>
  <si>
    <t>BBVA 92 IVA Y COMISI</t>
  </si>
  <si>
    <t>GSON/1112030924</t>
  </si>
  <si>
    <t>BBVA 92 INT GANADOS</t>
  </si>
  <si>
    <t>GSON/1112030925</t>
  </si>
  <si>
    <t>BBVA 93 SDO CTA BAN</t>
  </si>
  <si>
    <t>BBVA 93 INGRESOS</t>
  </si>
  <si>
    <t>BBVA 93 EGRESOS CHEQ</t>
  </si>
  <si>
    <t>GSON/1112030932</t>
  </si>
  <si>
    <t>BBVA 93 EGRESOS TR</t>
  </si>
  <si>
    <t>GSON/1112030933</t>
  </si>
  <si>
    <t>BBVA 93 INT GANADOS</t>
  </si>
  <si>
    <t>GSON/1112030935</t>
  </si>
  <si>
    <t>BBVA 94 SDO CTA BAN</t>
  </si>
  <si>
    <t>BBVA 94 INGRESOS</t>
  </si>
  <si>
    <t>BBVA 94 EGRESOS CHEQ</t>
  </si>
  <si>
    <t>GSON/1112030942</t>
  </si>
  <si>
    <t>BBVA 94 EGRESOS TR</t>
  </si>
  <si>
    <t>GSON/1112030943</t>
  </si>
  <si>
    <t>BBVA 94 IVA Y COMISI</t>
  </si>
  <si>
    <t>BBVA 94 INT GANADOS</t>
  </si>
  <si>
    <t>GSON/1112030945</t>
  </si>
  <si>
    <t>BBVA 95 SDO CTA BAN</t>
  </si>
  <si>
    <t>GSON/1112030950</t>
  </si>
  <si>
    <t>BBVA 95 EGRESOS TR</t>
  </si>
  <si>
    <t>GSON/1112030953</t>
  </si>
  <si>
    <t>BBVA 96 SDO CTA BAN</t>
  </si>
  <si>
    <t>BBVA 96 INGRESOS</t>
  </si>
  <si>
    <t>BBVA 96 EGRESOS TR</t>
  </si>
  <si>
    <t>GSON/1112030963</t>
  </si>
  <si>
    <t>BBVA 96 INT GANADOS</t>
  </si>
  <si>
    <t>GSON/1112030965</t>
  </si>
  <si>
    <t>BC 97 IVA Y COMISION</t>
  </si>
  <si>
    <t>BC 97 INT GANADOS</t>
  </si>
  <si>
    <t>GSON/1112030975</t>
  </si>
  <si>
    <t>BC 98 EGRESOS TR</t>
  </si>
  <si>
    <t>GSON/1112030983</t>
  </si>
  <si>
    <t>BC 98 IVA Y COMISION</t>
  </si>
  <si>
    <t>BC 98 INT GANADOS</t>
  </si>
  <si>
    <t>GSON/1112030985</t>
  </si>
  <si>
    <t>BC 100 EGRESOS CHEQU</t>
  </si>
  <si>
    <t>GSON/1112031002</t>
  </si>
  <si>
    <t>BC 100 EGRESOS TR</t>
  </si>
  <si>
    <t>GSON/1112031003</t>
  </si>
  <si>
    <t>BC 100 INT GANADOS</t>
  </si>
  <si>
    <t>GSON/1112031005</t>
  </si>
  <si>
    <t>BC 101 EGRESOS TR</t>
  </si>
  <si>
    <t>GSON/1112031013</t>
  </si>
  <si>
    <t>BC 101 INT GANADOS</t>
  </si>
  <si>
    <t>GSON/1112031015</t>
  </si>
  <si>
    <t>BC102 SALDO CTA BAN</t>
  </si>
  <si>
    <t>GSON/1112031020</t>
  </si>
  <si>
    <t>BC102 INGRESOS</t>
  </si>
  <si>
    <t>GSON/1112031021</t>
  </si>
  <si>
    <t>BC102 EGRESOS TR</t>
  </si>
  <si>
    <t>GSON/1112031023</t>
  </si>
  <si>
    <t>BC102 INT GANADOS</t>
  </si>
  <si>
    <t>GSON/1112031025</t>
  </si>
  <si>
    <t>BC103 SALDO CTA BAN</t>
  </si>
  <si>
    <t>GSON/1112031030</t>
  </si>
  <si>
    <t>BC103 INGRESOS</t>
  </si>
  <si>
    <t>GSON/1112031031</t>
  </si>
  <si>
    <t>BC103 EGRESOS TR</t>
  </si>
  <si>
    <t>GSON/1112031033</t>
  </si>
  <si>
    <t>BC103 INT GANADOS</t>
  </si>
  <si>
    <t>GSON/1112031035</t>
  </si>
  <si>
    <t>BC104 SLDO CTA BAN</t>
  </si>
  <si>
    <t>GSON/1112031040</t>
  </si>
  <si>
    <t>BC104 INT GANADOS</t>
  </si>
  <si>
    <t>GSON/1112031045</t>
  </si>
  <si>
    <t>BC110 SALDO CTA BAN</t>
  </si>
  <si>
    <t>GSON/1112031100</t>
  </si>
  <si>
    <t>BC110 INGRESOS</t>
  </si>
  <si>
    <t>GSON/1112031101</t>
  </si>
  <si>
    <t>BC110 EGRESOS TR</t>
  </si>
  <si>
    <t>GSON/1112031103</t>
  </si>
  <si>
    <t>BC110 INT GANADOS</t>
  </si>
  <si>
    <t>GSON/1112031105</t>
  </si>
  <si>
    <t>BC111 SALDO CTA BAN</t>
  </si>
  <si>
    <t>GSON/1112031110</t>
  </si>
  <si>
    <t>BC111 INGRESOS</t>
  </si>
  <si>
    <t>GSON/1112031111</t>
  </si>
  <si>
    <t>BC111 EGRESOS CHEQUE</t>
  </si>
  <si>
    <t>GSON/1112031112</t>
  </si>
  <si>
    <t>BC111 EGRESOS TR</t>
  </si>
  <si>
    <t>GSON/1112031113</t>
  </si>
  <si>
    <t>BC111 INT GANADOS</t>
  </si>
  <si>
    <t>GSON/1112031115</t>
  </si>
  <si>
    <t>BC112 SLDO CTA BAN</t>
  </si>
  <si>
    <t>GSON/1112031120</t>
  </si>
  <si>
    <t>BC112 INGRESOS</t>
  </si>
  <si>
    <t>GSON/1112031121</t>
  </si>
  <si>
    <t>BC112 EGRESOS CHEQUE</t>
  </si>
  <si>
    <t>GSON/1112031122</t>
  </si>
  <si>
    <t>BC112 EGRESOS TR</t>
  </si>
  <si>
    <t>GSON/1112031123</t>
  </si>
  <si>
    <t>BC112 IVA Y COMISION</t>
  </si>
  <si>
    <t>GSON/1112031124</t>
  </si>
  <si>
    <t>BC112 INT GANADOS</t>
  </si>
  <si>
    <t>GSON/1112031125</t>
  </si>
  <si>
    <t>BC114 SLDO CTA BAN</t>
  </si>
  <si>
    <t>GSON/1112031140</t>
  </si>
  <si>
    <t>BC114 INGRESOS</t>
  </si>
  <si>
    <t>GSON/1112031141</t>
  </si>
  <si>
    <t>BC114 EGRESOS CHEQUE</t>
  </si>
  <si>
    <t>GSON/1112031142</t>
  </si>
  <si>
    <t>BC114 EGRESOS TR</t>
  </si>
  <si>
    <t>GSON/1112031143</t>
  </si>
  <si>
    <t>BC114 INT GANADOS</t>
  </si>
  <si>
    <t>GSON/1112031145</t>
  </si>
  <si>
    <t>BC115 SLDO CTA BAN</t>
  </si>
  <si>
    <t>GSON/1112031150</t>
  </si>
  <si>
    <t>BC115 INGRESOS</t>
  </si>
  <si>
    <t>GSON/1112031151</t>
  </si>
  <si>
    <t>BC115 EGRESOS TR</t>
  </si>
  <si>
    <t>GSON/1112031153</t>
  </si>
  <si>
    <t>BC115 INT GANADOS</t>
  </si>
  <si>
    <t>GSON/1112031155</t>
  </si>
  <si>
    <t>BC116 SLDO CTA BAN</t>
  </si>
  <si>
    <t>GSON/1112031160</t>
  </si>
  <si>
    <t>BC116 INGRESOS</t>
  </si>
  <si>
    <t>GSON/1112031161</t>
  </si>
  <si>
    <t>BC116 EGRESOS TR</t>
  </si>
  <si>
    <t>GSON/1112031163</t>
  </si>
  <si>
    <t>BC116 INT GANADOS</t>
  </si>
  <si>
    <t>GSON/1112031165</t>
  </si>
  <si>
    <t>BC117 INGRESOS</t>
  </si>
  <si>
    <t>GSON/1112031171</t>
  </si>
  <si>
    <t>BC117 INT GANADOS</t>
  </si>
  <si>
    <t>GSON/1112031175</t>
  </si>
  <si>
    <t>BC118 SLDO CTA BAN</t>
  </si>
  <si>
    <t>GSON/1112031180</t>
  </si>
  <si>
    <t>BC118 INGRESOS</t>
  </si>
  <si>
    <t>GSON/1112031181</t>
  </si>
  <si>
    <t>BC118 EGRESOS TR</t>
  </si>
  <si>
    <t>GSON/1112031183</t>
  </si>
  <si>
    <t>BC118 INT GANADOS</t>
  </si>
  <si>
    <t>GSON/1112031185</t>
  </si>
  <si>
    <t>BC119 SLDO CTA BAN</t>
  </si>
  <si>
    <t>GSON/1112031190</t>
  </si>
  <si>
    <t>BC119 INGRESOS</t>
  </si>
  <si>
    <t>GSON/1112031191</t>
  </si>
  <si>
    <t>BC119 EGRESOS TR</t>
  </si>
  <si>
    <t>GSON/1112031193</t>
  </si>
  <si>
    <t>BC119 IVA Y COMISION</t>
  </si>
  <si>
    <t>GSON/1112031194</t>
  </si>
  <si>
    <t>BC119 INT GANADOS</t>
  </si>
  <si>
    <t>GSON/1112031195</t>
  </si>
  <si>
    <t>BC120 SLDO CTA BAN</t>
  </si>
  <si>
    <t>GSON/1112031200</t>
  </si>
  <si>
    <t>BC120 INGRESOS</t>
  </si>
  <si>
    <t>GSON/1112031201</t>
  </si>
  <si>
    <t>BC120 EGRESOS TR</t>
  </si>
  <si>
    <t>GSON/1112031203</t>
  </si>
  <si>
    <t>BC120 INT GANADOS</t>
  </si>
  <si>
    <t>GSON/1112031205</t>
  </si>
  <si>
    <t>BC121 SLDO CTA BAN</t>
  </si>
  <si>
    <t>GSON/1112031210</t>
  </si>
  <si>
    <t>BC121 INGRESOS</t>
  </si>
  <si>
    <t>GSON/1112031211</t>
  </si>
  <si>
    <t>BC121 EGRESOS TR</t>
  </si>
  <si>
    <t>GSON/1112031213</t>
  </si>
  <si>
    <t>BC121 INT GANADOS</t>
  </si>
  <si>
    <t>GSON/1112031215</t>
  </si>
  <si>
    <t>BC122 SLDO CTA BAN</t>
  </si>
  <si>
    <t>GSON/1112031220</t>
  </si>
  <si>
    <t>BC122 INGRESOS</t>
  </si>
  <si>
    <t>GSON/1112031221</t>
  </si>
  <si>
    <t>BC122 EGRESOS TR</t>
  </si>
  <si>
    <t>GSON/1112031223</t>
  </si>
  <si>
    <t>BC122 INT GANADOS</t>
  </si>
  <si>
    <t>GSON/1112031225</t>
  </si>
  <si>
    <t>BC123 SLDO CTA BAN</t>
  </si>
  <si>
    <t>GSON/1112031230</t>
  </si>
  <si>
    <t>BC123 INGRESOS</t>
  </si>
  <si>
    <t>GSON/1112031231</t>
  </si>
  <si>
    <t>BC123 EGRESOS TR</t>
  </si>
  <si>
    <t>GSON/1112031233</t>
  </si>
  <si>
    <t>BC123 INT GANADOS</t>
  </si>
  <si>
    <t>GSON/1112031235</t>
  </si>
  <si>
    <t>BC124 SLDO CTA BAN</t>
  </si>
  <si>
    <t>GSON/1112031240</t>
  </si>
  <si>
    <t>BC124 INGRESOS</t>
  </si>
  <si>
    <t>GSON/1112031241</t>
  </si>
  <si>
    <t>BC124 EGRESOS TR</t>
  </si>
  <si>
    <t>GSON/1112031243</t>
  </si>
  <si>
    <t>BC124 INT GANADOS</t>
  </si>
  <si>
    <t>GSON/1112031245</t>
  </si>
  <si>
    <t>BC125 SLDO CTA BAN</t>
  </si>
  <si>
    <t>GSON/1112031250</t>
  </si>
  <si>
    <t>BC125 INGRESOS</t>
  </si>
  <si>
    <t>GSON/1112031251</t>
  </si>
  <si>
    <t>BC125 EGRESOS TR</t>
  </si>
  <si>
    <t>GSON/1112031253</t>
  </si>
  <si>
    <t>BC125 INT GANADOS</t>
  </si>
  <si>
    <t>GSON/1112031255</t>
  </si>
  <si>
    <t>BC126 SLDO CTA BAN</t>
  </si>
  <si>
    <t>GSON/1112031260</t>
  </si>
  <si>
    <t>BC126 INGRESOS</t>
  </si>
  <si>
    <t>GSON/1112031261</t>
  </si>
  <si>
    <t>BC126 EGRESOS TR</t>
  </si>
  <si>
    <t>GSON/1112031263</t>
  </si>
  <si>
    <t>BC126 INT GANADOS</t>
  </si>
  <si>
    <t>GSON/1112031265</t>
  </si>
  <si>
    <t>BC127 SLDO CTA BAN</t>
  </si>
  <si>
    <t>BC127 INGRESOS</t>
  </si>
  <si>
    <t>BC127 EGRESOS TR</t>
  </si>
  <si>
    <t>GSON/1112031273</t>
  </si>
  <si>
    <t>BC127 INT GANADOS</t>
  </si>
  <si>
    <t>GSON/1112031275</t>
  </si>
  <si>
    <t>BC128 SLDO CTA BAN</t>
  </si>
  <si>
    <t>GSON/1112031280</t>
  </si>
  <si>
    <t>BC128 INGRESOS</t>
  </si>
  <si>
    <t>GSON/1112031281</t>
  </si>
  <si>
    <t>BC128 EGRESOS CHEQUE</t>
  </si>
  <si>
    <t>GSON/1112031282</t>
  </si>
  <si>
    <t>BC128 EGRESOS TR</t>
  </si>
  <si>
    <t>GSON/1112031283</t>
  </si>
  <si>
    <t>BC128 INT GANADOS</t>
  </si>
  <si>
    <t>GSON/1112031285</t>
  </si>
  <si>
    <t>BC129 SLDO CTA BAN</t>
  </si>
  <si>
    <t>GSON/1112031290</t>
  </si>
  <si>
    <t>BC129 INGRESOS</t>
  </si>
  <si>
    <t>GSON/1112031291</t>
  </si>
  <si>
    <t>BC129 EGRESOS TR</t>
  </si>
  <si>
    <t>GSON/1112031293</t>
  </si>
  <si>
    <t>BC129 INT GANADOS</t>
  </si>
  <si>
    <t>GSON/1112031295</t>
  </si>
  <si>
    <t>BC130 SLDO CTA BAN</t>
  </si>
  <si>
    <t>GSON/1112031300</t>
  </si>
  <si>
    <t>BC130 INGRESOS</t>
  </si>
  <si>
    <t>GSON/1112031301</t>
  </si>
  <si>
    <t>BC131 SLDO CTA BAN</t>
  </si>
  <si>
    <t>GSON/1112031310</t>
  </si>
  <si>
    <t>BC131 INGRESOS</t>
  </si>
  <si>
    <t>GSON/1112031311</t>
  </si>
  <si>
    <t>BC131 EGRESOS CHEQUE</t>
  </si>
  <si>
    <t>GSON/1112031312</t>
  </si>
  <si>
    <t>BC131 EGRESOS TR</t>
  </si>
  <si>
    <t>GSON/1112031313</t>
  </si>
  <si>
    <t>BC131 IVA Y COMISION</t>
  </si>
  <si>
    <t>GSON/1112031314</t>
  </si>
  <si>
    <t>BC132 SLDO CTA BAN</t>
  </si>
  <si>
    <t>GSON/1112031320</t>
  </si>
  <si>
    <t>BC132 INGRESOS</t>
  </si>
  <si>
    <t>GSON/1112031321</t>
  </si>
  <si>
    <t>BC132 EGRESOS CHEQUE</t>
  </si>
  <si>
    <t>GSON/1112031322</t>
  </si>
  <si>
    <t>BC132 EGRESOS TR</t>
  </si>
  <si>
    <t>GSON/1112031323</t>
  </si>
  <si>
    <t>BC132 IVA Y COMISION</t>
  </si>
  <si>
    <t>GSON/1112031324</t>
  </si>
  <si>
    <t>BC133 SLDO CTA BAN</t>
  </si>
  <si>
    <t>GSON/1112031330</t>
  </si>
  <si>
    <t>BC133 INGRESOS</t>
  </si>
  <si>
    <t>GSON/1112031331</t>
  </si>
  <si>
    <t>BC133 EGRESOS TR</t>
  </si>
  <si>
    <t>GSON/1112031333</t>
  </si>
  <si>
    <t>BC133 INT GANADOS</t>
  </si>
  <si>
    <t>GSON/1112031335</t>
  </si>
  <si>
    <t>BC134 SLDO CTA BAN</t>
  </si>
  <si>
    <t>GSON/1112031340</t>
  </si>
  <si>
    <t>BC134 INGRESOS</t>
  </si>
  <si>
    <t>GSON/1112031341</t>
  </si>
  <si>
    <t>BC134 EGRESOS CHEQUE</t>
  </si>
  <si>
    <t>GSON/1112031342</t>
  </si>
  <si>
    <t>BC134 EGRESOS TR</t>
  </si>
  <si>
    <t>GSON/1112031343</t>
  </si>
  <si>
    <t>BC134 INT GANADOS</t>
  </si>
  <si>
    <t>GSON/1112031345</t>
  </si>
  <si>
    <t>BC135 SLDO CTA BAN</t>
  </si>
  <si>
    <t>GSON/1112031350</t>
  </si>
  <si>
    <t>BC135 INGRESOS</t>
  </si>
  <si>
    <t>GSON/1112031351</t>
  </si>
  <si>
    <t>BC135 EGRESOS TR</t>
  </si>
  <si>
    <t>GSON/1112031353</t>
  </si>
  <si>
    <t>BC135 INT GANADOS</t>
  </si>
  <si>
    <t>GSON/1112031355</t>
  </si>
  <si>
    <t>BC136 SLDO CTA BAN</t>
  </si>
  <si>
    <t>GSON/1112031360</t>
  </si>
  <si>
    <t>BC136 INGRESOS</t>
  </si>
  <si>
    <t>GSON/1112031361</t>
  </si>
  <si>
    <t>BC136 EGRESOS TR</t>
  </si>
  <si>
    <t>GSON/1112031363</t>
  </si>
  <si>
    <t>BC136 INT GANADOS</t>
  </si>
  <si>
    <t>GSON/1112031365</t>
  </si>
  <si>
    <t>BC137 SLDO CTA BAN</t>
  </si>
  <si>
    <t>GSON/1112031370</t>
  </si>
  <si>
    <t>BC137 INGRESOS</t>
  </si>
  <si>
    <t>GSON/1112031371</t>
  </si>
  <si>
    <t>BC137 EGRESOS TR</t>
  </si>
  <si>
    <t>GSON/1112031373</t>
  </si>
  <si>
    <t>BC137 INT GANADOS</t>
  </si>
  <si>
    <t>GSON/1112031375</t>
  </si>
  <si>
    <t>BC140 SLDO CTA BAN</t>
  </si>
  <si>
    <t>GSON/1112031400</t>
  </si>
  <si>
    <t>BC140 INGRESOS</t>
  </si>
  <si>
    <t>GSON/1112031401</t>
  </si>
  <si>
    <t>BC140 EGRESOS TR</t>
  </si>
  <si>
    <t>GSON/1112031403</t>
  </si>
  <si>
    <t>BC140 INT GANADOS</t>
  </si>
  <si>
    <t>GSON/1112031405</t>
  </si>
  <si>
    <t>BC141 SLDO CTA BAN</t>
  </si>
  <si>
    <t>GSON/1112031410</t>
  </si>
  <si>
    <t>BC141 INGRESOS</t>
  </si>
  <si>
    <t>GSON/1112031411</t>
  </si>
  <si>
    <t>BC141 EGRESOS TR</t>
  </si>
  <si>
    <t>GSON/1112031413</t>
  </si>
  <si>
    <t>BC141 INT GANADOS</t>
  </si>
  <si>
    <t>GSON/1112031415</t>
  </si>
  <si>
    <t>BC143 SLDO CTA BAN</t>
  </si>
  <si>
    <t>GSON/1112031430</t>
  </si>
  <si>
    <t>BC143 INGRESOS</t>
  </si>
  <si>
    <t>GSON/1112031431</t>
  </si>
  <si>
    <t>BC143 EGRESOS TR</t>
  </si>
  <si>
    <t>GSON/1112031433</t>
  </si>
  <si>
    <t>BC143 INT GANADOS</t>
  </si>
  <si>
    <t>GSON/1112031435</t>
  </si>
  <si>
    <t>BC144 SLDO CTA BAN</t>
  </si>
  <si>
    <t>GSON/1112031440</t>
  </si>
  <si>
    <t>BC144 INGRESOS</t>
  </si>
  <si>
    <t>GSON/1112031441</t>
  </si>
  <si>
    <t>BC144 EGRESOS TR</t>
  </si>
  <si>
    <t>GSON/1112031443</t>
  </si>
  <si>
    <t>BC144 INT GANADOS</t>
  </si>
  <si>
    <t>GSON/1112031445</t>
  </si>
  <si>
    <t>BC146 INGRESOS</t>
  </si>
  <si>
    <t>GSON/1112031461</t>
  </si>
  <si>
    <t>BC147 SLDO CTA BAN</t>
  </si>
  <si>
    <t>GSON/1112031470</t>
  </si>
  <si>
    <t>BC147 INGRESOS</t>
  </si>
  <si>
    <t>GSON/1112031471</t>
  </si>
  <si>
    <t>BC147 EGRESOS CHEQUE</t>
  </si>
  <si>
    <t>GSON/1112031472</t>
  </si>
  <si>
    <t>BC147 EGRESOS TR</t>
  </si>
  <si>
    <t>GSON/1112031473</t>
  </si>
  <si>
    <t>BC147 INT GANADOS</t>
  </si>
  <si>
    <t>GSON/1112031475</t>
  </si>
  <si>
    <t>BC148 SLDO CTA BAN</t>
  </si>
  <si>
    <t>GSON/1112031480</t>
  </si>
  <si>
    <t>BC148 INGRESOS</t>
  </si>
  <si>
    <t>GSON/1112031481</t>
  </si>
  <si>
    <t>BC148 EGRESOS TR</t>
  </si>
  <si>
    <t>GSON/1112031483</t>
  </si>
  <si>
    <t>BC148 INT GANADOS</t>
  </si>
  <si>
    <t>GSON/1112031485</t>
  </si>
  <si>
    <t>BC149 SLDO CTA BAN</t>
  </si>
  <si>
    <t>GSON/1112031490</t>
  </si>
  <si>
    <t>BC149 INGRESOS</t>
  </si>
  <si>
    <t>GSON/1112031491</t>
  </si>
  <si>
    <t>BC149 EGRESOS TR</t>
  </si>
  <si>
    <t>GSON/1112031493</t>
  </si>
  <si>
    <t>BC149 INT GANADOS</t>
  </si>
  <si>
    <t>GSON/1112031495</t>
  </si>
  <si>
    <t>BC150 SLDO CTA BAN</t>
  </si>
  <si>
    <t>GSON/1112031500</t>
  </si>
  <si>
    <t>BC150 INGRESOS</t>
  </si>
  <si>
    <t>GSON/1112031501</t>
  </si>
  <si>
    <t>BC150 EGRESOS CHEQUE</t>
  </si>
  <si>
    <t>GSON/1112031502</t>
  </si>
  <si>
    <t>BC150 EGRESOS TR</t>
  </si>
  <si>
    <t>GSON/1112031503</t>
  </si>
  <si>
    <t>BC150 INT GANADOS</t>
  </si>
  <si>
    <t>GSON/1112031505</t>
  </si>
  <si>
    <t>BC151 SLDO CTA BAN</t>
  </si>
  <si>
    <t>GSON/1112031510</t>
  </si>
  <si>
    <t>BC151 INGRESOS</t>
  </si>
  <si>
    <t>GSON/1112031511</t>
  </si>
  <si>
    <t>BC151 EGRESOS TR</t>
  </si>
  <si>
    <t>GSON/1112031513</t>
  </si>
  <si>
    <t>BC151 INT GANADOS</t>
  </si>
  <si>
    <t>GSON/1112031515</t>
  </si>
  <si>
    <t>BC152 SLDO CTA BAN</t>
  </si>
  <si>
    <t>GSON/1112031520</t>
  </si>
  <si>
    <t>BC152 INGRESOS</t>
  </si>
  <si>
    <t>GSON/1112031521</t>
  </si>
  <si>
    <t>BC152 EGRESOS TR</t>
  </si>
  <si>
    <t>GSON/1112031523</t>
  </si>
  <si>
    <t>BC152 INT GANADOS</t>
  </si>
  <si>
    <t>GSON/1112031525</t>
  </si>
  <si>
    <t>BC153 SLDO CTA BAN</t>
  </si>
  <si>
    <t>GSON/1112031530</t>
  </si>
  <si>
    <t>BC153 INGRESOS</t>
  </si>
  <si>
    <t>GSON/1112031531</t>
  </si>
  <si>
    <t>GSON/1112031533</t>
  </si>
  <si>
    <t>BC153 INT GANADOS</t>
  </si>
  <si>
    <t>GSON/1112031535</t>
  </si>
  <si>
    <t>BC154 SLDO CTA BAN</t>
  </si>
  <si>
    <t>GSON/1112031540</t>
  </si>
  <si>
    <t>BC154 INGRESOS</t>
  </si>
  <si>
    <t>GSON/1112031541</t>
  </si>
  <si>
    <t>BC154 EGRESOS TR</t>
  </si>
  <si>
    <t>GSON/1112031543</t>
  </si>
  <si>
    <t>BC154 INT GANADOS</t>
  </si>
  <si>
    <t>GSON/1112031545</t>
  </si>
  <si>
    <t>BC155 SLDO CTA BAN</t>
  </si>
  <si>
    <t>GSON/1112031550</t>
  </si>
  <si>
    <t>BC155 INGRESOS</t>
  </si>
  <si>
    <t>GSON/1112031551</t>
  </si>
  <si>
    <t>BC155 EGRESOS TR</t>
  </si>
  <si>
    <t>GSON/1112031553</t>
  </si>
  <si>
    <t>BC155 INT GANADOS</t>
  </si>
  <si>
    <t>GSON/1112031555</t>
  </si>
  <si>
    <t>BC156 SLDO CTA BAN</t>
  </si>
  <si>
    <t>GSON/1112031560</t>
  </si>
  <si>
    <t>GSON/1112031561</t>
  </si>
  <si>
    <t>BC156 EGRESOS TR</t>
  </si>
  <si>
    <t>GSON/1112031563</t>
  </si>
  <si>
    <t>BC156 INT GANADOS</t>
  </si>
  <si>
    <t>GSON/1112031565</t>
  </si>
  <si>
    <t>BC157 SLDO CTA BAN</t>
  </si>
  <si>
    <t>GSON/1112031570</t>
  </si>
  <si>
    <t>BC157 INGRESOS</t>
  </si>
  <si>
    <t>GSON/1112031571</t>
  </si>
  <si>
    <t>BC157 EGRESOS TR</t>
  </si>
  <si>
    <t>GSON/1112031573</t>
  </si>
  <si>
    <t>BC157 INT GANADOS</t>
  </si>
  <si>
    <t>GSON/1112031575</t>
  </si>
  <si>
    <t>BC158 SLDO CTA BAN</t>
  </si>
  <si>
    <t>GSON/1112031580</t>
  </si>
  <si>
    <t>BC158 INGRESOS</t>
  </si>
  <si>
    <t>GSON/1112031581</t>
  </si>
  <si>
    <t>BC158 EGRESOS TR</t>
  </si>
  <si>
    <t>GSON/1112031583</t>
  </si>
  <si>
    <t>BC158 INT GANADOS</t>
  </si>
  <si>
    <t>GSON/1112031585</t>
  </si>
  <si>
    <t>BC159 SLDO CTA BAN</t>
  </si>
  <si>
    <t>GSON/1112031590</t>
  </si>
  <si>
    <t>BC159 INGRESOS</t>
  </si>
  <si>
    <t>GSON/1112031591</t>
  </si>
  <si>
    <t>BC159 EGRESOS TR</t>
  </si>
  <si>
    <t>GSON/1112031593</t>
  </si>
  <si>
    <t>BC159 INT GANADOS</t>
  </si>
  <si>
    <t>GSON/1112031595</t>
  </si>
  <si>
    <t>BC160 SLDO CTA BAN</t>
  </si>
  <si>
    <t>GSON/1112031600</t>
  </si>
  <si>
    <t>BC160 INGRESOS</t>
  </si>
  <si>
    <t>GSON/1112031601</t>
  </si>
  <si>
    <t>BC160 EGRESOS CHEQUE</t>
  </si>
  <si>
    <t>GSON/1112031602</t>
  </si>
  <si>
    <t>BC160 EGRESOS TR</t>
  </si>
  <si>
    <t>GSON/1112031603</t>
  </si>
  <si>
    <t>BC160 INT GANADOS</t>
  </si>
  <si>
    <t>GSON/1112031605</t>
  </si>
  <si>
    <t>BC161 SLDO CTA BAN</t>
  </si>
  <si>
    <t>GSON/1112031610</t>
  </si>
  <si>
    <t>BC161 INGRESOS</t>
  </si>
  <si>
    <t>GSON/1112031611</t>
  </si>
  <si>
    <t>BC161 EGRESOS CHEQUE</t>
  </si>
  <si>
    <t>GSON/1112031612</t>
  </si>
  <si>
    <t>BC161 EGRESOS TR</t>
  </si>
  <si>
    <t>GSON/1112031613</t>
  </si>
  <si>
    <t>BC161 IVA Y COMISION</t>
  </si>
  <si>
    <t>GSON/1112031614</t>
  </si>
  <si>
    <t>BC161 INT GANADOS</t>
  </si>
  <si>
    <t>GSON/1112031615</t>
  </si>
  <si>
    <t>BC162 SLDO CTA BAN</t>
  </si>
  <si>
    <t>GSON/1112031620</t>
  </si>
  <si>
    <t>BC162 INGRESOS</t>
  </si>
  <si>
    <t>GSON/1112031621</t>
  </si>
  <si>
    <t>BC162 EGRESOS TR</t>
  </si>
  <si>
    <t>GSON/1112031623</t>
  </si>
  <si>
    <t>BC162 INT GANADOS</t>
  </si>
  <si>
    <t>GSON/1112031625</t>
  </si>
  <si>
    <t>BC163 SLDO CTA BAN</t>
  </si>
  <si>
    <t>GSON/1112031630</t>
  </si>
  <si>
    <t>BC163 INGRESOS</t>
  </si>
  <si>
    <t>GSON/1112031631</t>
  </si>
  <si>
    <t>BC163 EGRESOS TR</t>
  </si>
  <si>
    <t>GSON/1112031633</t>
  </si>
  <si>
    <t>BC163 INT GANADOS</t>
  </si>
  <si>
    <t>GSON/1112031635</t>
  </si>
  <si>
    <t>BC164 SLDO CTA BAN</t>
  </si>
  <si>
    <t>GSON/1112031640</t>
  </si>
  <si>
    <t>BC164 INGRESOS</t>
  </si>
  <si>
    <t>GSON/1112031641</t>
  </si>
  <si>
    <t>BC164 EGRESOS TR</t>
  </si>
  <si>
    <t>GSON/1112031643</t>
  </si>
  <si>
    <t>BC164 INT GANADOS</t>
  </si>
  <si>
    <t>GSON/1112031645</t>
  </si>
  <si>
    <t>BC165 SLDO CTA BAN</t>
  </si>
  <si>
    <t>GSON/1112031650</t>
  </si>
  <si>
    <t>BC165 INGRESOS</t>
  </si>
  <si>
    <t>GSON/1112031651</t>
  </si>
  <si>
    <t>BC165 EGRESOS CHEQUE</t>
  </si>
  <si>
    <t>GSON/1112031652</t>
  </si>
  <si>
    <t>BC165 EGRESOS TR</t>
  </si>
  <si>
    <t>GSON/1112031653</t>
  </si>
  <si>
    <t>BC166 SLDO CTA BAN</t>
  </si>
  <si>
    <t>GSON/1112031660</t>
  </si>
  <si>
    <t>BC166 INGRESOS</t>
  </si>
  <si>
    <t>GSON/1112031661</t>
  </si>
  <si>
    <t>BC166 INT GANADOS</t>
  </si>
  <si>
    <t>GSON/1112031665</t>
  </si>
  <si>
    <t>BC167 SLDO CTA BAN</t>
  </si>
  <si>
    <t>GSON/1112031670</t>
  </si>
  <si>
    <t>BC167 INGRESOS</t>
  </si>
  <si>
    <t>GSON/1112031671</t>
  </si>
  <si>
    <t>BC167 EGRESOS CHEQUE</t>
  </si>
  <si>
    <t>GSON/1112031672</t>
  </si>
  <si>
    <t>BC167 EGRESOS TR</t>
  </si>
  <si>
    <t>GSON/1112031673</t>
  </si>
  <si>
    <t>BC167 IVA Y COMISION</t>
  </si>
  <si>
    <t>GSON/1112031674</t>
  </si>
  <si>
    <t>GSON/1112040010</t>
  </si>
  <si>
    <t>GSON/1112040011</t>
  </si>
  <si>
    <t>BJ 01 INT GANADOS</t>
  </si>
  <si>
    <t>GSON/1112040015</t>
  </si>
  <si>
    <t>BM 02 SALDO CTA BAN</t>
  </si>
  <si>
    <t>GSON/1112050020</t>
  </si>
  <si>
    <t>BM 02 EGRESOS TR</t>
  </si>
  <si>
    <t>GSON/1112050023</t>
  </si>
  <si>
    <t>BM 02 IVA Y COMISION</t>
  </si>
  <si>
    <t>GSON/1112050024</t>
  </si>
  <si>
    <t>BM 02 INT GANADOS</t>
  </si>
  <si>
    <t>GSON/1112050025</t>
  </si>
  <si>
    <t>BM 03 SALDO CTA BAN</t>
  </si>
  <si>
    <t>GSON/1112050030</t>
  </si>
  <si>
    <t>BM 03 INGRESOS</t>
  </si>
  <si>
    <t>GSON/1112050031</t>
  </si>
  <si>
    <t>BM 03 EGRESOS CHEQUE</t>
  </si>
  <si>
    <t>GSON/1112050032</t>
  </si>
  <si>
    <t>BM 03 EGRESOS TR</t>
  </si>
  <si>
    <t>GSON/1112050033</t>
  </si>
  <si>
    <t>BM 03 IVA Y COMISION</t>
  </si>
  <si>
    <t>GSON/1112050034</t>
  </si>
  <si>
    <t>BM 03 INT GANADOS</t>
  </si>
  <si>
    <t>GSON/1112050035</t>
  </si>
  <si>
    <t>BB 001 SALDO CTA BAN</t>
  </si>
  <si>
    <t>BB 001 INGRESOS</t>
  </si>
  <si>
    <t>BB 001 EGRESOS TR</t>
  </si>
  <si>
    <t>BB 001 IVA Y COMISIO</t>
  </si>
  <si>
    <t>BB 001 INT GANADOS</t>
  </si>
  <si>
    <t>BN 02 SALDO CTA BAN</t>
  </si>
  <si>
    <t>GSON/1112060020</t>
  </si>
  <si>
    <t>BN 02 IVA Y COMISION</t>
  </si>
  <si>
    <t>GSON/1112060024</t>
  </si>
  <si>
    <t>BN 02 INT GANADOS</t>
  </si>
  <si>
    <t>GSON/1112060025</t>
  </si>
  <si>
    <t>BN 03 SALDO CTA BAN</t>
  </si>
  <si>
    <t>GSON/1112060030</t>
  </si>
  <si>
    <t>BN 03 INGRESOS</t>
  </si>
  <si>
    <t>GSON/1112060031</t>
  </si>
  <si>
    <t>BN 03 EGRESOS TR</t>
  </si>
  <si>
    <t>GSON/1112060033</t>
  </si>
  <si>
    <t>BN 03 IVA Y COMISION</t>
  </si>
  <si>
    <t>GSON/1112060034</t>
  </si>
  <si>
    <t>BN 04 SALDO CTA BAN</t>
  </si>
  <si>
    <t>GSON/1112060040</t>
  </si>
  <si>
    <t>BN 04 INGRESOS</t>
  </si>
  <si>
    <t>GSON/1112060041</t>
  </si>
  <si>
    <t>BN 04 EGRESOS TR</t>
  </si>
  <si>
    <t>GSON/1112060043</t>
  </si>
  <si>
    <t>BN 04 IVA Y COMISION</t>
  </si>
  <si>
    <t>GSON/1112060044</t>
  </si>
  <si>
    <t>BN 05 EGRESOS CHEQUE</t>
  </si>
  <si>
    <t>GSON/1112060052</t>
  </si>
  <si>
    <t>BN 05 IVA Y COMISION</t>
  </si>
  <si>
    <t>BN 06 SALDO CTA BAN</t>
  </si>
  <si>
    <t>GSON/1112060060</t>
  </si>
  <si>
    <t>BN 06 INGRESOS</t>
  </si>
  <si>
    <t>GSON/1112060061</t>
  </si>
  <si>
    <t>BN 06 IVA Y COMISION</t>
  </si>
  <si>
    <t>GSON/1112060064</t>
  </si>
  <si>
    <t>BN 06 INT GANADOS</t>
  </si>
  <si>
    <t>GSON/1112060065</t>
  </si>
  <si>
    <t>BN 07 SALDO CTA BAN</t>
  </si>
  <si>
    <t>GSON/1112060070</t>
  </si>
  <si>
    <t>BN 07 INGRESOS</t>
  </si>
  <si>
    <t>GSON/1112060071</t>
  </si>
  <si>
    <t>BN 07 IVA Y COMISION</t>
  </si>
  <si>
    <t>GSON/1112060074</t>
  </si>
  <si>
    <t>BN 07 INT GANADOS</t>
  </si>
  <si>
    <t>GSON/1112060075</t>
  </si>
  <si>
    <t>BN 08 SALDO CTA BAN</t>
  </si>
  <si>
    <t>GSON/1112060080</t>
  </si>
  <si>
    <t>BN 08 INGRESOS</t>
  </si>
  <si>
    <t>GSON/1112060081</t>
  </si>
  <si>
    <t>BN 08 EGRESOS TR</t>
  </si>
  <si>
    <t>GSON/1112060083</t>
  </si>
  <si>
    <t>BN 08 IVA Y COMISION</t>
  </si>
  <si>
    <t>GSON/1112060084</t>
  </si>
  <si>
    <t>BN 08 INT GANADOS</t>
  </si>
  <si>
    <t>GSON/1112060085</t>
  </si>
  <si>
    <t>BN 09 SALDO CTA BAN</t>
  </si>
  <si>
    <t>GSON/1112060090</t>
  </si>
  <si>
    <t>BN 09 INGRESOS</t>
  </si>
  <si>
    <t>GSON/1112060091</t>
  </si>
  <si>
    <t>BN 09 IVA Y COMISION</t>
  </si>
  <si>
    <t>GSON/1112060094</t>
  </si>
  <si>
    <t>BN 09 INT GANADOS</t>
  </si>
  <si>
    <t>GSON/1112060095</t>
  </si>
  <si>
    <t>BN 10 SALDO CTA BAN</t>
  </si>
  <si>
    <t>GSON/1112060100</t>
  </si>
  <si>
    <t>BN 10 INGRESOS</t>
  </si>
  <si>
    <t>GSON/1112060101</t>
  </si>
  <si>
    <t>BN 10 EGRESOS CHEQUE</t>
  </si>
  <si>
    <t>GSON/1112060102</t>
  </si>
  <si>
    <t>BN 10 EGRESOS TR</t>
  </si>
  <si>
    <t>GSON/1112060103</t>
  </si>
  <si>
    <t>BN 10 IVA Y COMISION</t>
  </si>
  <si>
    <t>GSON/1112060104</t>
  </si>
  <si>
    <t>BN 10 INT GANADOS</t>
  </si>
  <si>
    <t>GSON/1112060105</t>
  </si>
  <si>
    <t>BN 12 SALDO CTA BAN</t>
  </si>
  <si>
    <t>GSON/1112060120</t>
  </si>
  <si>
    <t>BN 12 INGRESOS</t>
  </si>
  <si>
    <t>GSON/1112060121</t>
  </si>
  <si>
    <t>BN 12 EGRESOS TR</t>
  </si>
  <si>
    <t>GSON/1112060123</t>
  </si>
  <si>
    <t>BN 12 IVA Y COMISION</t>
  </si>
  <si>
    <t>GSON/1112060124</t>
  </si>
  <si>
    <t>BN 12 INT GANADOS</t>
  </si>
  <si>
    <t>GSON/1112060125</t>
  </si>
  <si>
    <t>BN 13 SALDO CTA BAN</t>
  </si>
  <si>
    <t>GSON/1112060130</t>
  </si>
  <si>
    <t>BN 13 INGRESOS</t>
  </si>
  <si>
    <t>GSON/1112060131</t>
  </si>
  <si>
    <t>BN 13 IVA Y COMISION</t>
  </si>
  <si>
    <t>GSON/1112060134</t>
  </si>
  <si>
    <t>BN 13 INT GANADOS</t>
  </si>
  <si>
    <t>GSON/1112060135</t>
  </si>
  <si>
    <t>BN 14 SALDO CTA BAN</t>
  </si>
  <si>
    <t>GSON/1112060140</t>
  </si>
  <si>
    <t>BN 14 INGRESOS</t>
  </si>
  <si>
    <t>GSON/1112060141</t>
  </si>
  <si>
    <t>BN 14 EGRESOS TR</t>
  </si>
  <si>
    <t>GSON/1112060143</t>
  </si>
  <si>
    <t>BN 14 IVA Y COMISION</t>
  </si>
  <si>
    <t>GSON/1112060144</t>
  </si>
  <si>
    <t>BN 14 INT GANADOS</t>
  </si>
  <si>
    <t>GSON/1112060145</t>
  </si>
  <si>
    <t>BN 15 SALDO CTA BAN</t>
  </si>
  <si>
    <t>GSON/1112060150</t>
  </si>
  <si>
    <t>BN 15 INGRESOS</t>
  </si>
  <si>
    <t>GSON/1112060151</t>
  </si>
  <si>
    <t>BN 15 EGRESOS CHEQUE</t>
  </si>
  <si>
    <t>GSON/1112060152</t>
  </si>
  <si>
    <t>BN 15 EGRESOS TR</t>
  </si>
  <si>
    <t>GSON/1112060153</t>
  </si>
  <si>
    <t>BN 15 IVA Y COMISION</t>
  </si>
  <si>
    <t>GSON/1112060154</t>
  </si>
  <si>
    <t>BN 15 INT GANADOS</t>
  </si>
  <si>
    <t>GSON/1112060155</t>
  </si>
  <si>
    <t>BN 16 SALDO CTA BAN</t>
  </si>
  <si>
    <t>GSON/1112060160</t>
  </si>
  <si>
    <t>BN 16 INGRESOS</t>
  </si>
  <si>
    <t>GSON/1112060161</t>
  </si>
  <si>
    <t>BN 16 IVA Y COMISION</t>
  </si>
  <si>
    <t>GSON/1112060164</t>
  </si>
  <si>
    <t>BN 16 INT GANADOS</t>
  </si>
  <si>
    <t>GSON/1112060165</t>
  </si>
  <si>
    <t>BN 17 IVA Y COMISION</t>
  </si>
  <si>
    <t>BN 18 SALDO CTA BAN</t>
  </si>
  <si>
    <t>GSON/1112060180</t>
  </si>
  <si>
    <t>BN 18 INGRESOS</t>
  </si>
  <si>
    <t>GSON/1112060181</t>
  </si>
  <si>
    <t>BN 18 IVA Y COMISION</t>
  </si>
  <si>
    <t>GSON/1112060184</t>
  </si>
  <si>
    <t>BN 18 INT GANADOS</t>
  </si>
  <si>
    <t>GSON/1112060185</t>
  </si>
  <si>
    <t>BN 19 SALDO CTA BAN</t>
  </si>
  <si>
    <t>GSON/1112060190</t>
  </si>
  <si>
    <t>BN 19 INGRESOS</t>
  </si>
  <si>
    <t>GSON/1112060191</t>
  </si>
  <si>
    <t>BN 19 EGRESOS TR</t>
  </si>
  <si>
    <t>GSON/1112060193</t>
  </si>
  <si>
    <t>BN 19 IVA Y COMISION</t>
  </si>
  <si>
    <t>GSON/1112060194</t>
  </si>
  <si>
    <t>BN 19 INT GANADOS</t>
  </si>
  <si>
    <t>GSON/1112060195</t>
  </si>
  <si>
    <t>BN 20 SALDO CTA BAN</t>
  </si>
  <si>
    <t>GSON/1112060200</t>
  </si>
  <si>
    <t>BN 20 INGRESOS</t>
  </si>
  <si>
    <t>GSON/1112060201</t>
  </si>
  <si>
    <t>BN 20 IVA Y COMISION</t>
  </si>
  <si>
    <t>GSON/1112060204</t>
  </si>
  <si>
    <t>BN 20 INT GANADOS</t>
  </si>
  <si>
    <t>GSON/1112060205</t>
  </si>
  <si>
    <t>BN 21 SALDO CTA BAN</t>
  </si>
  <si>
    <t>GSON/1112060210</t>
  </si>
  <si>
    <t>BN 21 INGRESOS</t>
  </si>
  <si>
    <t>GSON/1112060211</t>
  </si>
  <si>
    <t>BN 21 IVA Y COMISION</t>
  </si>
  <si>
    <t>GSON/1112060214</t>
  </si>
  <si>
    <t>BN 21 INT GANADOS</t>
  </si>
  <si>
    <t>GSON/1112060215</t>
  </si>
  <si>
    <t>BN 22 SALDO CTA BAN</t>
  </si>
  <si>
    <t>GSON/1112060220</t>
  </si>
  <si>
    <t>BN 22 INGRESOS</t>
  </si>
  <si>
    <t>GSON/1112060221</t>
  </si>
  <si>
    <t>BN 22 EGRESOS TR</t>
  </si>
  <si>
    <t>GSON/1112060223</t>
  </si>
  <si>
    <t>BN 22 IVA Y COMISION</t>
  </si>
  <si>
    <t>GSON/1112060224</t>
  </si>
  <si>
    <t>BN 22 INT GANADOS</t>
  </si>
  <si>
    <t>GSON/1112060225</t>
  </si>
  <si>
    <t>BN 23 SALDO CTA BAN</t>
  </si>
  <si>
    <t>GSON/1112060230</t>
  </si>
  <si>
    <t>BN 23 INGRESOS</t>
  </si>
  <si>
    <t>GSON/1112060231</t>
  </si>
  <si>
    <t>BN 23 EGRESOS TR</t>
  </si>
  <si>
    <t>GSON/1112060233</t>
  </si>
  <si>
    <t>BN 23 IVA Y COMISION</t>
  </si>
  <si>
    <t>GSON/1112060234</t>
  </si>
  <si>
    <t>BN 23 INT GANADOS</t>
  </si>
  <si>
    <t>GSON/1112060235</t>
  </si>
  <si>
    <t>BN 24 SALDO CTA BAN</t>
  </si>
  <si>
    <t>GSON/1112060240</t>
  </si>
  <si>
    <t>BN 24 INGRESOS</t>
  </si>
  <si>
    <t>GSON/1112060241</t>
  </si>
  <si>
    <t>BN 24 EGRESOS TR</t>
  </si>
  <si>
    <t>GSON/1112060243</t>
  </si>
  <si>
    <t>BN 24 INT GANADOS</t>
  </si>
  <si>
    <t>GSON/1112060245</t>
  </si>
  <si>
    <t>BN 26 SALDO CTA BAN</t>
  </si>
  <si>
    <t>GSON/1112060260</t>
  </si>
  <si>
    <t>BN 26 INGRESOS</t>
  </si>
  <si>
    <t>GSON/1112060261</t>
  </si>
  <si>
    <t>BN 26 EGRESOS TR</t>
  </si>
  <si>
    <t>GSON/1112060263</t>
  </si>
  <si>
    <t>BN 26 IVA Y COMISION</t>
  </si>
  <si>
    <t>GSON/1112060264</t>
  </si>
  <si>
    <t>BN 27 SALDO CTA BAN</t>
  </si>
  <si>
    <t>GSON/1112060270</t>
  </si>
  <si>
    <t>BN 27 INGRESOS</t>
  </si>
  <si>
    <t>GSON/1112060271</t>
  </si>
  <si>
    <t>BN 27 EGRESOS TR</t>
  </si>
  <si>
    <t>GSON/1112060273</t>
  </si>
  <si>
    <t>BN 27 IVA Y COMISION</t>
  </si>
  <si>
    <t>GSON/1112060274</t>
  </si>
  <si>
    <t>BN 27 INT GANADOS</t>
  </si>
  <si>
    <t>GSON/1112060275</t>
  </si>
  <si>
    <t>GSON/1112060280</t>
  </si>
  <si>
    <t>BN 28 INGRESOS</t>
  </si>
  <si>
    <t>GSON/1112060281</t>
  </si>
  <si>
    <t>BN 28 EGRESOS TR</t>
  </si>
  <si>
    <t>GSON/1112060283</t>
  </si>
  <si>
    <t>BN 28 IVA Y COMISION</t>
  </si>
  <si>
    <t>GSON/1112060284</t>
  </si>
  <si>
    <t>BN 28 INT GANADOS</t>
  </si>
  <si>
    <t>GSON/1112060285</t>
  </si>
  <si>
    <t>BN 29 SALDO CTA BAN</t>
  </si>
  <si>
    <t>GSON/1112060290</t>
  </si>
  <si>
    <t>BN 29 INGRESOS</t>
  </si>
  <si>
    <t>GSON/1112060291</t>
  </si>
  <si>
    <t>BN 29 IVA Y COMISION</t>
  </si>
  <si>
    <t>GSON/1112060294</t>
  </si>
  <si>
    <t>BN 29 INT GANADOS</t>
  </si>
  <si>
    <t>GSON/1112060295</t>
  </si>
  <si>
    <t>BN 30 SALDO CTA BAN</t>
  </si>
  <si>
    <t>GSON/1112060300</t>
  </si>
  <si>
    <t>BN 30 INGRESOS</t>
  </si>
  <si>
    <t>GSON/1112060301</t>
  </si>
  <si>
    <t>BN 30 EGRESOS TR</t>
  </si>
  <si>
    <t>GSON/1112060303</t>
  </si>
  <si>
    <t>BN 30 IVA Y COMISION</t>
  </si>
  <si>
    <t>GSON/1112060304</t>
  </si>
  <si>
    <t>BN 30 INT GANADOS</t>
  </si>
  <si>
    <t>GSON/1112060305</t>
  </si>
  <si>
    <t>BN 31 SALDO CTA BAN</t>
  </si>
  <si>
    <t>GSON/1112060310</t>
  </si>
  <si>
    <t>BN 31 INGRESOS</t>
  </si>
  <si>
    <t>GSON/1112060311</t>
  </si>
  <si>
    <t>BN 31 EGRESOS TR</t>
  </si>
  <si>
    <t>GSON/1112060313</t>
  </si>
  <si>
    <t>BN 31 IVA Y COMISION</t>
  </si>
  <si>
    <t>GSON/1112060314</t>
  </si>
  <si>
    <t>BN 31 INT GANADOS</t>
  </si>
  <si>
    <t>GSON/1112060315</t>
  </si>
  <si>
    <t>BN 32 SALDO CTA BAN</t>
  </si>
  <si>
    <t>GSON/1112060320</t>
  </si>
  <si>
    <t>BN 32 INGRESOS</t>
  </si>
  <si>
    <t>GSON/1112060321</t>
  </si>
  <si>
    <t>BN 32 EGRESOS TR</t>
  </si>
  <si>
    <t>GSON/1112060323</t>
  </si>
  <si>
    <t>BN 32 IVA Y COMISION</t>
  </si>
  <si>
    <t>GSON/1112060324</t>
  </si>
  <si>
    <t>BN 32 INT GANADOS</t>
  </si>
  <si>
    <t>GSON/1112060325</t>
  </si>
  <si>
    <t>BN 33 SALDO CTA BAN</t>
  </si>
  <si>
    <t>GSON/1112060330</t>
  </si>
  <si>
    <t>BN 33 EGRESOS TR</t>
  </si>
  <si>
    <t>GSON/1112060333</t>
  </si>
  <si>
    <t>BN 33 IVA Y COMISION</t>
  </si>
  <si>
    <t>GSON/1112060334</t>
  </si>
  <si>
    <t>BN 33 INT GANADOS</t>
  </si>
  <si>
    <t>GSON/1112060335</t>
  </si>
  <si>
    <t>BN 34 SALDO CTA BAN</t>
  </si>
  <si>
    <t>GSON/1112060340</t>
  </si>
  <si>
    <t>BN 34 INGRESOS</t>
  </si>
  <si>
    <t>GSON/1112060341</t>
  </si>
  <si>
    <t>BN 34 EGRESOS TR</t>
  </si>
  <si>
    <t>GSON/1112060343</t>
  </si>
  <si>
    <t>BN 34 IVA Y COMISION</t>
  </si>
  <si>
    <t>GSON/1112060344</t>
  </si>
  <si>
    <t>BN 34 INT GANADOS</t>
  </si>
  <si>
    <t>GSON/1112060345</t>
  </si>
  <si>
    <t>BN 35 EGRESOS CHEQUE</t>
  </si>
  <si>
    <t>GSON/1112060352</t>
  </si>
  <si>
    <t>BN 35 IVA Y COMISION</t>
  </si>
  <si>
    <t>GSON/1112060354</t>
  </si>
  <si>
    <t>BN 35 INT GANADOS</t>
  </si>
  <si>
    <t>GSON/1112060355</t>
  </si>
  <si>
    <t>BN 36 SALDO CTA BAN</t>
  </si>
  <si>
    <t>GSON/1112060360</t>
  </si>
  <si>
    <t>BN 36 INGRESOS</t>
  </si>
  <si>
    <t>GSON/1112060361</t>
  </si>
  <si>
    <t>BN 36 EGRESOS TR</t>
  </si>
  <si>
    <t>GSON/1112060363</t>
  </si>
  <si>
    <t>BN 36 IVA Y COMISION</t>
  </si>
  <si>
    <t>GSON/1112060364</t>
  </si>
  <si>
    <t>BN 36 INT GANADOS</t>
  </si>
  <si>
    <t>GSON/1112060365</t>
  </si>
  <si>
    <t>BN 37 SALDO CTA BAN</t>
  </si>
  <si>
    <t>GSON/1112060370</t>
  </si>
  <si>
    <t>BN 37 INGRESOS</t>
  </si>
  <si>
    <t>GSON/1112060371</t>
  </si>
  <si>
    <t>BN 37 EGRESOS CHEQUE</t>
  </si>
  <si>
    <t>GSON/1112060372</t>
  </si>
  <si>
    <t>BN 37 EGRESOS TR</t>
  </si>
  <si>
    <t>GSON/1112060373</t>
  </si>
  <si>
    <t>BN 37 IVA Y COMISION</t>
  </si>
  <si>
    <t>GSON/1112060374</t>
  </si>
  <si>
    <t>BN 37 INT GANADOS</t>
  </si>
  <si>
    <t>GSON/1112060375</t>
  </si>
  <si>
    <t>BN 38 SALDO CTA BAN</t>
  </si>
  <si>
    <t>GSON/1112060380</t>
  </si>
  <si>
    <t>BN 38 INGRESOS</t>
  </si>
  <si>
    <t>GSON/1112060381</t>
  </si>
  <si>
    <t>BN 38 EGRESOS TR</t>
  </si>
  <si>
    <t>GSON/1112060383</t>
  </si>
  <si>
    <t>BN 38 IVA Y COMISION</t>
  </si>
  <si>
    <t>GSON/1112060384</t>
  </si>
  <si>
    <t>BN 38 INT GANADOS</t>
  </si>
  <si>
    <t>GSON/1112060385</t>
  </si>
  <si>
    <t>BN 39 SALDO CTA BAN</t>
  </si>
  <si>
    <t>GSON/1112060390</t>
  </si>
  <si>
    <t>BN 39 INGRESOS</t>
  </si>
  <si>
    <t>GSON/1112060391</t>
  </si>
  <si>
    <t>BN 39 EGRESOS TR</t>
  </si>
  <si>
    <t>GSON/1112060393</t>
  </si>
  <si>
    <t>BN 39 IVA Y COMISION</t>
  </si>
  <si>
    <t>GSON/1112060394</t>
  </si>
  <si>
    <t>BN 39 INT GANADOS</t>
  </si>
  <si>
    <t>GSON/1112060395</t>
  </si>
  <si>
    <t>BN 40 SALDO CTA BAN</t>
  </si>
  <si>
    <t>GSON/1112060400</t>
  </si>
  <si>
    <t>BN 40 INGRESOS</t>
  </si>
  <si>
    <t>GSON/1112060401</t>
  </si>
  <si>
    <t>BN 40 IVA Y COMISION</t>
  </si>
  <si>
    <t>GSON/1112060404</t>
  </si>
  <si>
    <t>BN 40 INT GANADOS</t>
  </si>
  <si>
    <t>GSON/1112060405</t>
  </si>
  <si>
    <t>BN 41 SALDO CTA BAN</t>
  </si>
  <si>
    <t>GSON/1112060410</t>
  </si>
  <si>
    <t>BN 41 INGRESOS</t>
  </si>
  <si>
    <t>GSON/1112060411</t>
  </si>
  <si>
    <t>BN 41 EGRESOS CHEQUE</t>
  </si>
  <si>
    <t>GSON/1112060412</t>
  </si>
  <si>
    <t>BN 41 EGRESOS TR</t>
  </si>
  <si>
    <t>GSON/1112060413</t>
  </si>
  <si>
    <t>BN 41 IVA Y COMISION</t>
  </si>
  <si>
    <t>GSON/1112060414</t>
  </si>
  <si>
    <t>BN 41 INT GANADOS</t>
  </si>
  <si>
    <t>GSON/1112060415</t>
  </si>
  <si>
    <t>BN 42 SALDO CTA BAN</t>
  </si>
  <si>
    <t>GSON/1112060420</t>
  </si>
  <si>
    <t>BN 42 INGRESOS</t>
  </si>
  <si>
    <t>GSON/1112060421</t>
  </si>
  <si>
    <t>BN 42 EGRESOS TR</t>
  </si>
  <si>
    <t>GSON/1112060423</t>
  </si>
  <si>
    <t>BN 42 IVA Y COMISION</t>
  </si>
  <si>
    <t>GSON/1112060424</t>
  </si>
  <si>
    <t>BN 42 INT GANADOS</t>
  </si>
  <si>
    <t>GSON/1112060425</t>
  </si>
  <si>
    <t>BN 43 SALDO CTA BAN</t>
  </si>
  <si>
    <t>GSON/1112060430</t>
  </si>
  <si>
    <t>BN 43 INGRESOS</t>
  </si>
  <si>
    <t>GSON/1112060431</t>
  </si>
  <si>
    <t>BN 43 IVA Y COMISION</t>
  </si>
  <si>
    <t>GSON/1112060434</t>
  </si>
  <si>
    <t>BN 43 INT GANADOS</t>
  </si>
  <si>
    <t>GSON/1112060435</t>
  </si>
  <si>
    <t>BN 44 SALDO CTA BAN</t>
  </si>
  <si>
    <t>GSON/1112060440</t>
  </si>
  <si>
    <t>BN 44 INGRESOS</t>
  </si>
  <si>
    <t>GSON/1112060441</t>
  </si>
  <si>
    <t>BN 44 IVA Y COMISION</t>
  </si>
  <si>
    <t>GSON/1112060444</t>
  </si>
  <si>
    <t>BN 44 INT GANADOS</t>
  </si>
  <si>
    <t>GSON/1112060445</t>
  </si>
  <si>
    <t>BN 45 INGRESOS</t>
  </si>
  <si>
    <t>GSON/1112060451</t>
  </si>
  <si>
    <t>BN 45 EGRESOS CHEQUE</t>
  </si>
  <si>
    <t>BN 45 EGRESOS TR</t>
  </si>
  <si>
    <t>GSON/1112060453</t>
  </si>
  <si>
    <t>BN 45 IVA Y COMISION</t>
  </si>
  <si>
    <t>GSON/1112060454</t>
  </si>
  <si>
    <t>BN 45 INT GANADOS</t>
  </si>
  <si>
    <t>GSON/1112060455</t>
  </si>
  <si>
    <t>BN 46 SALDO CTA BAN</t>
  </si>
  <si>
    <t>GSON/1112060460</t>
  </si>
  <si>
    <t>BN 46 INGRESOS</t>
  </si>
  <si>
    <t>GSON/1112060461</t>
  </si>
  <si>
    <t>BN 46 EGRESOS TR</t>
  </si>
  <si>
    <t>GSON/1112060463</t>
  </si>
  <si>
    <t>BN 46 IVA Y COMISION</t>
  </si>
  <si>
    <t>GSON/1112060464</t>
  </si>
  <si>
    <t>BN 46 INT GANADOS</t>
  </si>
  <si>
    <t>GSON/1112060465</t>
  </si>
  <si>
    <t>BN 47 SALDO CTA BAN</t>
  </si>
  <si>
    <t>GSON/1112060470</t>
  </si>
  <si>
    <t>BN 47 INGRESOS</t>
  </si>
  <si>
    <t>GSON/1112060471</t>
  </si>
  <si>
    <t>BN 47 EGRESOS TR</t>
  </si>
  <si>
    <t>GSON/1112060473</t>
  </si>
  <si>
    <t>BN 47 IVA Y COMISION</t>
  </si>
  <si>
    <t>GSON/1112060474</t>
  </si>
  <si>
    <t>BN 47 INT GANADOS</t>
  </si>
  <si>
    <t>GSON/1112060475</t>
  </si>
  <si>
    <t>BN 48 SALDO CTA BAN</t>
  </si>
  <si>
    <t>GSON/1112060480</t>
  </si>
  <si>
    <t>BN 48 INGRESOS</t>
  </si>
  <si>
    <t>GSON/1112060481</t>
  </si>
  <si>
    <t>BN 48 EGRESOS CHEQUE</t>
  </si>
  <si>
    <t>BN 48 EGRESOS TR</t>
  </si>
  <si>
    <t>GSON/1112060483</t>
  </si>
  <si>
    <t>BN 48 IVA Y COMISION</t>
  </si>
  <si>
    <t>GSON/1112060484</t>
  </si>
  <si>
    <t>BN 48 INT GANADOS</t>
  </si>
  <si>
    <t>GSON/1112060485</t>
  </si>
  <si>
    <t>BN 49 SALDO CTA BAN</t>
  </si>
  <si>
    <t>GSON/1112060490</t>
  </si>
  <si>
    <t>BN 49 INGRESOS</t>
  </si>
  <si>
    <t>GSON/1112060491</t>
  </si>
  <si>
    <t>BN 49 EGRESOS TR</t>
  </si>
  <si>
    <t>GSON/1112060493</t>
  </si>
  <si>
    <t>BN 49 IVA Y COMISION</t>
  </si>
  <si>
    <t>GSON/1112060494</t>
  </si>
  <si>
    <t>BN 49 INT GANADOS</t>
  </si>
  <si>
    <t>GSON/1112060495</t>
  </si>
  <si>
    <t>BN 65 INGRESOS</t>
  </si>
  <si>
    <t>GSON/1112060651</t>
  </si>
  <si>
    <t>BN 65 EGRESOS TR</t>
  </si>
  <si>
    <t>GSON/1112060653</t>
  </si>
  <si>
    <t>BN 66 SALDO CTA BAN</t>
  </si>
  <si>
    <t>GSON/1112060660</t>
  </si>
  <si>
    <t>BN 66 INGRESOS</t>
  </si>
  <si>
    <t>GSON/1112060661</t>
  </si>
  <si>
    <t>BN 66 EGRESOS TR</t>
  </si>
  <si>
    <t>GSON/1112060663</t>
  </si>
  <si>
    <t>BN 66 IVA Y COMISION</t>
  </si>
  <si>
    <t>GSON/1112060664</t>
  </si>
  <si>
    <t>BN 66 INT GANADOS</t>
  </si>
  <si>
    <t>GSON/1112060665</t>
  </si>
  <si>
    <t>BN 67 EGRESOS CHEQUE</t>
  </si>
  <si>
    <t>BN 67 IVA Y COMISION</t>
  </si>
  <si>
    <t>BN 69 SALDO CTA BAN</t>
  </si>
  <si>
    <t>GSON/1112060690</t>
  </si>
  <si>
    <t>BN 69 INGRESOS</t>
  </si>
  <si>
    <t>GSON/1112060691</t>
  </si>
  <si>
    <t>BN 69 EGRESOS TR</t>
  </si>
  <si>
    <t>GSON/1112060693</t>
  </si>
  <si>
    <t>BN 69 IVA Y COMISION</t>
  </si>
  <si>
    <t>GSON/1112060694</t>
  </si>
  <si>
    <t>BN 69 INT GANADOS</t>
  </si>
  <si>
    <t>GSON/1112060695</t>
  </si>
  <si>
    <t>BN 70 EGRESOS CHEQUE</t>
  </si>
  <si>
    <t>GSON/1112060702</t>
  </si>
  <si>
    <t>BN 70 EGRESOS TR</t>
  </si>
  <si>
    <t>GSON/1112060703</t>
  </si>
  <si>
    <t>BN 70 IVA Y COMISION</t>
  </si>
  <si>
    <t>GSON/1112060704</t>
  </si>
  <si>
    <t>BN 70 INT GANADOS</t>
  </si>
  <si>
    <t>GSON/1112060705</t>
  </si>
  <si>
    <t>BN 71 SALDO CTA BAN</t>
  </si>
  <si>
    <t>GSON/1112060710</t>
  </si>
  <si>
    <t>BN 71 INGRESOS</t>
  </si>
  <si>
    <t>GSON/1112060711</t>
  </si>
  <si>
    <t>BN 71 EGRESOS TR</t>
  </si>
  <si>
    <t>GSON/1112060713</t>
  </si>
  <si>
    <t>BN 71 IVA Y COMISION</t>
  </si>
  <si>
    <t>GSON/1112060714</t>
  </si>
  <si>
    <t>BN 72 INGRESOS</t>
  </si>
  <si>
    <t>GSON/1112060721</t>
  </si>
  <si>
    <t>BN 72 EGRESOS CHEQUE</t>
  </si>
  <si>
    <t>GSON/1112060722</t>
  </si>
  <si>
    <t>BN 72 IVA Y COMISION</t>
  </si>
  <si>
    <t>GSON/1112060724</t>
  </si>
  <si>
    <t>BN 73 SALDO CTA BAN</t>
  </si>
  <si>
    <t>GSON/1112060730</t>
  </si>
  <si>
    <t>BN 73 INGRESOS</t>
  </si>
  <si>
    <t>GSON/1112060731</t>
  </si>
  <si>
    <t>BN 73 EGRESOS TR</t>
  </si>
  <si>
    <t>GSON/1112060733</t>
  </si>
  <si>
    <t>BN 73 IVA Y COMISION</t>
  </si>
  <si>
    <t>GSON/1112060734</t>
  </si>
  <si>
    <t>BN 74 SALDO CTA BAN</t>
  </si>
  <si>
    <t>GSON/1112060740</t>
  </si>
  <si>
    <t>BN 74 INGRESOS</t>
  </si>
  <si>
    <t>GSON/1112060741</t>
  </si>
  <si>
    <t>BN 74 IVA Y COMISION</t>
  </si>
  <si>
    <t>GSON/1112060744</t>
  </si>
  <si>
    <t>BN 76 SALDO CTA BAN</t>
  </si>
  <si>
    <t>GSON/1112060760</t>
  </si>
  <si>
    <t>BN 76 EGRESOS TR</t>
  </si>
  <si>
    <t>GSON/1112060763</t>
  </si>
  <si>
    <t>BN 76 IVA Y COMISION</t>
  </si>
  <si>
    <t>GSON/1112060764</t>
  </si>
  <si>
    <t>BN 78 SALDO CTA BAN</t>
  </si>
  <si>
    <t>GSON/1112060780</t>
  </si>
  <si>
    <t>BN 78 INGRESOS</t>
  </si>
  <si>
    <t>GSON/1112060781</t>
  </si>
  <si>
    <t>BN 78 EGRESOS CHEQUE</t>
  </si>
  <si>
    <t>GSON/1112060782</t>
  </si>
  <si>
    <t>BN 78 EGRESOS TR</t>
  </si>
  <si>
    <t>GSON/1112060783</t>
  </si>
  <si>
    <t>BN 78 IVA Y COMISION</t>
  </si>
  <si>
    <t>GSON/1112060784</t>
  </si>
  <si>
    <t>BN 78 INT GANADOS</t>
  </si>
  <si>
    <t>GSON/1112060785</t>
  </si>
  <si>
    <t>BN 79 SALDO CTA BAN</t>
  </si>
  <si>
    <t>GSON/1112060790</t>
  </si>
  <si>
    <t>BN 79 INGRESOS</t>
  </si>
  <si>
    <t>GSON/1112060791</t>
  </si>
  <si>
    <t>BN 79 EGRESOS TR</t>
  </si>
  <si>
    <t>GSON/1112060793</t>
  </si>
  <si>
    <t>BN 79 IVA Y COMISION</t>
  </si>
  <si>
    <t>GSON/1112060794</t>
  </si>
  <si>
    <t>BN 79 INT GANADOS</t>
  </si>
  <si>
    <t>GSON/1112060795</t>
  </si>
  <si>
    <t>BN 80 SALDO CTA BAN</t>
  </si>
  <si>
    <t>GSON/1112060800</t>
  </si>
  <si>
    <t>BN 80 INGRESOS</t>
  </si>
  <si>
    <t>GSON/1112060801</t>
  </si>
  <si>
    <t>BN 80 EGRESOS TR</t>
  </si>
  <si>
    <t>GSON/1112060803</t>
  </si>
  <si>
    <t>BN 80 IVA Y COMISION</t>
  </si>
  <si>
    <t>GSON/1112060804</t>
  </si>
  <si>
    <t>BN 80 INT GANADOS</t>
  </si>
  <si>
    <t>GSON/1112060805</t>
  </si>
  <si>
    <t>BN 81 SALDO CTA BAN</t>
  </si>
  <si>
    <t>GSON/1112060810</t>
  </si>
  <si>
    <t>BN 81 EGRESOS CHEQUE</t>
  </si>
  <si>
    <t>GSON/1112060812</t>
  </si>
  <si>
    <t>BN 81 EGRESOS TR</t>
  </si>
  <si>
    <t>GSON/1112060813</t>
  </si>
  <si>
    <t>BN 81 IVA Y COMISION</t>
  </si>
  <si>
    <t>GSON/1112060814</t>
  </si>
  <si>
    <t>BN 81 INT GANADOS</t>
  </si>
  <si>
    <t>GSON/1112060815</t>
  </si>
  <si>
    <t>BN 82 SALDO CTA BAN</t>
  </si>
  <si>
    <t>GSON/1112060820</t>
  </si>
  <si>
    <t>BN 82 INGRESOS</t>
  </si>
  <si>
    <t>GSON/1112060821</t>
  </si>
  <si>
    <t>BN 82 EGRESOS CHEQUE</t>
  </si>
  <si>
    <t>GSON/1112060822</t>
  </si>
  <si>
    <t>BN 82 EGRESOS TR</t>
  </si>
  <si>
    <t>GSON/1112060823</t>
  </si>
  <si>
    <t>BN 82 IVA Y COMISION</t>
  </si>
  <si>
    <t>GSON/1112060824</t>
  </si>
  <si>
    <t>BN 82 INT GANADOS</t>
  </si>
  <si>
    <t>GSON/1112060825</t>
  </si>
  <si>
    <t>BN 83 SALDO CTA BAN</t>
  </si>
  <si>
    <t>GSON/1112060830</t>
  </si>
  <si>
    <t>BN 83 INGRESOS</t>
  </si>
  <si>
    <t>GSON/1112060831</t>
  </si>
  <si>
    <t>BN 83 EGRESOS CHEQUE</t>
  </si>
  <si>
    <t>GSON/1112060832</t>
  </si>
  <si>
    <t>BN 83 EGRESOS TR</t>
  </si>
  <si>
    <t>GSON/1112060833</t>
  </si>
  <si>
    <t>BN 83 IVA Y COMISION</t>
  </si>
  <si>
    <t>GSON/1112060834</t>
  </si>
  <si>
    <t>BN 83 INT GANADOS</t>
  </si>
  <si>
    <t>GSON/1112060835</t>
  </si>
  <si>
    <t>BN 84 SALDO CTA BAN</t>
  </si>
  <si>
    <t>GSON/1112060840</t>
  </si>
  <si>
    <t>BN 84 INGRESOS</t>
  </si>
  <si>
    <t>GSON/1112060841</t>
  </si>
  <si>
    <t>BN 84 EGRESOS CHEQUE</t>
  </si>
  <si>
    <t>GSON/1112060842</t>
  </si>
  <si>
    <t>BN 84 EGRESOS TR</t>
  </si>
  <si>
    <t>GSON/1112060843</t>
  </si>
  <si>
    <t>BN 84 IVA Y COMISION</t>
  </si>
  <si>
    <t>GSON/1112060844</t>
  </si>
  <si>
    <t>BN 84 INT GANADOS</t>
  </si>
  <si>
    <t>GSON/1112060845</t>
  </si>
  <si>
    <t>BN 85 SALDO CTA BAN</t>
  </si>
  <si>
    <t>GSON/1112060850</t>
  </si>
  <si>
    <t>BN 85 INGRESOS</t>
  </si>
  <si>
    <t>GSON/1112060851</t>
  </si>
  <si>
    <t>BN 85 EGRESOS TR</t>
  </si>
  <si>
    <t>GSON/1112060853</t>
  </si>
  <si>
    <t>BN 85 IVA Y COMISION</t>
  </si>
  <si>
    <t>GSON/1112060854</t>
  </si>
  <si>
    <t>BN 85 INT GANADOS</t>
  </si>
  <si>
    <t>GSON/1112060855</t>
  </si>
  <si>
    <t>BN 86 SALDO CTA BAN</t>
  </si>
  <si>
    <t>GSON/1112060860</t>
  </si>
  <si>
    <t>BN 86 INGRESOS</t>
  </si>
  <si>
    <t>GSON/1112060861</t>
  </si>
  <si>
    <t>BN 86 EGRESOS TR</t>
  </si>
  <si>
    <t>GSON/1112060863</t>
  </si>
  <si>
    <t>BN 86 IVA Y COMISION</t>
  </si>
  <si>
    <t>GSON/1112060864</t>
  </si>
  <si>
    <t>BN 86 INT GANADOS</t>
  </si>
  <si>
    <t>GSON/1112060865</t>
  </si>
  <si>
    <t>BN 87 SALDO CTA BAN</t>
  </si>
  <si>
    <t>GSON/1112060870</t>
  </si>
  <si>
    <t>BN 87 INGRESOS</t>
  </si>
  <si>
    <t>GSON/1112060871</t>
  </si>
  <si>
    <t>BN 87 EGRESOS TR</t>
  </si>
  <si>
    <t>GSON/1112060873</t>
  </si>
  <si>
    <t>BN 87 IVA Y COMISION</t>
  </si>
  <si>
    <t>GSON/1112060874</t>
  </si>
  <si>
    <t>BN 87 INT GANADOS</t>
  </si>
  <si>
    <t>GSON/1112060875</t>
  </si>
  <si>
    <t>BN 88 SALDO CTA BAN</t>
  </si>
  <si>
    <t>GSON/1112060880</t>
  </si>
  <si>
    <t>BN 88 INGRESOS</t>
  </si>
  <si>
    <t>GSON/1112060881</t>
  </si>
  <si>
    <t>BN 88 EGRESOS TR</t>
  </si>
  <si>
    <t>GSON/1112060883</t>
  </si>
  <si>
    <t>BN 88 IVA Y COMISION</t>
  </si>
  <si>
    <t>GSON/1112060884</t>
  </si>
  <si>
    <t>BN 88 INT GANADOS</t>
  </si>
  <si>
    <t>GSON/1112060885</t>
  </si>
  <si>
    <t>BN 89 SALDO CTA BAN</t>
  </si>
  <si>
    <t>BN 89 INGRESOS</t>
  </si>
  <si>
    <t>GSON/1112060891</t>
  </si>
  <si>
    <t>BN 89 EGRESOS CHEQUE</t>
  </si>
  <si>
    <t>BN 89 EGRESOS TR</t>
  </si>
  <si>
    <t>BN 89 IVA Y COMISION</t>
  </si>
  <si>
    <t>BN 89 INT GANADOS</t>
  </si>
  <si>
    <t>GSON/1112060895</t>
  </si>
  <si>
    <t>BN 90 SALDO CTA BAN</t>
  </si>
  <si>
    <t>GSON/1112060900</t>
  </si>
  <si>
    <t>BN 90 INGRESOS</t>
  </si>
  <si>
    <t>GSON/1112060901</t>
  </si>
  <si>
    <t>BN 90 EGRESOS TR</t>
  </si>
  <si>
    <t>GSON/1112060903</t>
  </si>
  <si>
    <t>BN 90 IVA Y COMISION</t>
  </si>
  <si>
    <t>GSON/1112060904</t>
  </si>
  <si>
    <t>BN 90 INT GANADOS</t>
  </si>
  <si>
    <t>GSON/1112060905</t>
  </si>
  <si>
    <t>BN 91 SALDO CTA BAN</t>
  </si>
  <si>
    <t>GSON/1112060910</t>
  </si>
  <si>
    <t>BN 91 INGRESOS</t>
  </si>
  <si>
    <t>GSON/1112060911</t>
  </si>
  <si>
    <t>BN 91 EGRESOS CHEQUE</t>
  </si>
  <si>
    <t>GSON/1112060912</t>
  </si>
  <si>
    <t>BN 91 EGRESOS TR</t>
  </si>
  <si>
    <t>GSON/1112060913</t>
  </si>
  <si>
    <t>BN 91 IVA Y COMISION</t>
  </si>
  <si>
    <t>GSON/1112060914</t>
  </si>
  <si>
    <t>BN 91 INT GANADOS</t>
  </si>
  <si>
    <t>GSON/1112060915</t>
  </si>
  <si>
    <t>BN 92 SALDO CTA BAN</t>
  </si>
  <si>
    <t>GSON/1112060920</t>
  </si>
  <si>
    <t>BN 92 INGRESOS</t>
  </si>
  <si>
    <t>GSON/1112060921</t>
  </si>
  <si>
    <t>BN 92 EGRESOS CHEQUE</t>
  </si>
  <si>
    <t>GSON/1112060922</t>
  </si>
  <si>
    <t>BN 92 EGRESOS TR</t>
  </si>
  <si>
    <t>GSON/1112060923</t>
  </si>
  <si>
    <t>BN 92 IVA Y COMISION</t>
  </si>
  <si>
    <t>GSON/1112060924</t>
  </si>
  <si>
    <t>BN 92 INT GANADOS</t>
  </si>
  <si>
    <t>GSON/1112060925</t>
  </si>
  <si>
    <t>BN 94 SALDO CTA BAN</t>
  </si>
  <si>
    <t>GSON/1112060940</t>
  </si>
  <si>
    <t>BN 94 INGRESOS</t>
  </si>
  <si>
    <t>GSON/1112060941</t>
  </si>
  <si>
    <t>BN 94 EGRESOS TR</t>
  </si>
  <si>
    <t>GSON/1112060943</t>
  </si>
  <si>
    <t>BN 94 IVA Y COMISION</t>
  </si>
  <si>
    <t>GSON/1112060944</t>
  </si>
  <si>
    <t>BN 94 INT GANADOS</t>
  </si>
  <si>
    <t>GSON/1112060945</t>
  </si>
  <si>
    <t>BN 95 SALDO CTA BAN</t>
  </si>
  <si>
    <t>GSON/1112060950</t>
  </si>
  <si>
    <t>BN 95 INGRESOS</t>
  </si>
  <si>
    <t>GSON/1112060951</t>
  </si>
  <si>
    <t>BN 95 EGRESOS TR</t>
  </si>
  <si>
    <t>GSON/1112060953</t>
  </si>
  <si>
    <t>BN 95 IVA Y COMISION</t>
  </si>
  <si>
    <t>GSON/1112060954</t>
  </si>
  <si>
    <t>BN 95 INT GANADOS</t>
  </si>
  <si>
    <t>GSON/1112060955</t>
  </si>
  <si>
    <t>BN 96 SALDO CTA BAN</t>
  </si>
  <si>
    <t>GSON/1112060960</t>
  </si>
  <si>
    <t>BN 96 INGRESOS</t>
  </si>
  <si>
    <t>GSON/1112060961</t>
  </si>
  <si>
    <t>BN 96 EGRESOS TR</t>
  </si>
  <si>
    <t>GSON/1112060963</t>
  </si>
  <si>
    <t>BN 96 IVA Y COMISION</t>
  </si>
  <si>
    <t>GSON/1112060964</t>
  </si>
  <si>
    <t>BN 96 INT GANADOS</t>
  </si>
  <si>
    <t>GSON/1112060965</t>
  </si>
  <si>
    <t>BN 97 SALDO CTA BAN</t>
  </si>
  <si>
    <t>GSON/1112060970</t>
  </si>
  <si>
    <t>BN 97 INGRESOS</t>
  </si>
  <si>
    <t>GSON/1112060971</t>
  </si>
  <si>
    <t>BN 97 EGRESOS TR</t>
  </si>
  <si>
    <t>GSON/1112060973</t>
  </si>
  <si>
    <t>BN 97 IVA Y COMISION</t>
  </si>
  <si>
    <t>GSON/1112060974</t>
  </si>
  <si>
    <t>BN 97 INT GANADOS</t>
  </si>
  <si>
    <t>GSON/1112060975</t>
  </si>
  <si>
    <t>BN 98 SALDO CTA BAN</t>
  </si>
  <si>
    <t>GSON/1112060980</t>
  </si>
  <si>
    <t>BN 98 INGRESOS</t>
  </si>
  <si>
    <t>GSON/1112060981</t>
  </si>
  <si>
    <t>BN 98 EGRESOS CHEQUE</t>
  </si>
  <si>
    <t>GSON/1112060982</t>
  </si>
  <si>
    <t>BN 98 EGRESOS TR</t>
  </si>
  <si>
    <t>GSON/1112060983</t>
  </si>
  <si>
    <t>BN 98 IVA Y COMISION</t>
  </si>
  <si>
    <t>GSON/1112060984</t>
  </si>
  <si>
    <t>BN 98 INT GANADOS</t>
  </si>
  <si>
    <t>GSON/1112060985</t>
  </si>
  <si>
    <t>BN 99 SALDO CTA BAN</t>
  </si>
  <si>
    <t>GSON/1112060990</t>
  </si>
  <si>
    <t>BN 99 INGRESOS</t>
  </si>
  <si>
    <t>GSON/1112060991</t>
  </si>
  <si>
    <t>BN 99 EGRESOS CHEQUE</t>
  </si>
  <si>
    <t>GSON/1112060992</t>
  </si>
  <si>
    <t>BN 99 EGRESOS TR</t>
  </si>
  <si>
    <t>GSON/1112060993</t>
  </si>
  <si>
    <t>BN 99 IVA Y COMISION</t>
  </si>
  <si>
    <t>GSON/1112060994</t>
  </si>
  <si>
    <t>BN 99 INT GANADOS</t>
  </si>
  <si>
    <t>GSON/1112060995</t>
  </si>
  <si>
    <t>BN 102 SALDO CTA BAN</t>
  </si>
  <si>
    <t>GSON/1112061020</t>
  </si>
  <si>
    <t>BN 102 INGRESOS</t>
  </si>
  <si>
    <t>GSON/1112061021</t>
  </si>
  <si>
    <t>BN 102 EGRESOS TR</t>
  </si>
  <si>
    <t>GSON/1112061023</t>
  </si>
  <si>
    <t>BN 102 IVA Y COMISIO</t>
  </si>
  <si>
    <t>GSON/1112061024</t>
  </si>
  <si>
    <t>BN 102 INT GANADOS</t>
  </si>
  <si>
    <t>GSON/1112061025</t>
  </si>
  <si>
    <t>BN 103 SALDO CTA BAN</t>
  </si>
  <si>
    <t>GSON/1112061030</t>
  </si>
  <si>
    <t>BN 103 INGRESOS</t>
  </si>
  <si>
    <t>GSON/1112061031</t>
  </si>
  <si>
    <t>BN 103 EGRESOS CHEQU</t>
  </si>
  <si>
    <t>GSON/1112061032</t>
  </si>
  <si>
    <t>BN 103 EGRESOS TR</t>
  </si>
  <si>
    <t>GSON/1112061033</t>
  </si>
  <si>
    <t>BN 103 IVA Y COMISIO</t>
  </si>
  <si>
    <t>GSON/1112061034</t>
  </si>
  <si>
    <t>BN 103 INT GANADOS</t>
  </si>
  <si>
    <t>GSON/1112061035</t>
  </si>
  <si>
    <t>BN 104 SALDO CTA BAN</t>
  </si>
  <si>
    <t>GSON/1112061040</t>
  </si>
  <si>
    <t>BN 104 INGRESOS</t>
  </si>
  <si>
    <t>GSON/1112061041</t>
  </si>
  <si>
    <t>BN 104 EGRESOS CH</t>
  </si>
  <si>
    <t>GSON/1112061042</t>
  </si>
  <si>
    <t>BN 104 EGRESOS TR</t>
  </si>
  <si>
    <t>GSON/1112061043</t>
  </si>
  <si>
    <t>BN 104 IVA Y COMISIO</t>
  </si>
  <si>
    <t>GSON/1112061044</t>
  </si>
  <si>
    <t>BN 104 INT GANADOS</t>
  </si>
  <si>
    <t>GSON/1112061045</t>
  </si>
  <si>
    <t>BN 105 SALDO CTA BAN</t>
  </si>
  <si>
    <t>GSON/1112061050</t>
  </si>
  <si>
    <t>BN 105 INGRESOS</t>
  </si>
  <si>
    <t>GSON/1112061051</t>
  </si>
  <si>
    <t>BN 105 EGRESOS TR</t>
  </si>
  <si>
    <t>GSON/1112061053</t>
  </si>
  <si>
    <t>BN 105 IVA Y COMISIO</t>
  </si>
  <si>
    <t>GSON/1112061054</t>
  </si>
  <si>
    <t>BN 105 INT GANADOS</t>
  </si>
  <si>
    <t>GSON/1112061055</t>
  </si>
  <si>
    <t>BN 106 SALDO CTA BAN</t>
  </si>
  <si>
    <t>GSON/1112061060</t>
  </si>
  <si>
    <t>BN 106 INGRESOS</t>
  </si>
  <si>
    <t>GSON/1112061061</t>
  </si>
  <si>
    <t>BN 106 EGRESOS TR</t>
  </si>
  <si>
    <t>GSON/1112061063</t>
  </si>
  <si>
    <t>BN 106 IVA Y COMISIO</t>
  </si>
  <si>
    <t>GSON/1112061064</t>
  </si>
  <si>
    <t>BN 106 INT GANADOS</t>
  </si>
  <si>
    <t>GSON/1112061065</t>
  </si>
  <si>
    <t>BN 107 SALDO CTA BAN</t>
  </si>
  <si>
    <t>GSON/1112061070</t>
  </si>
  <si>
    <t>BN 107 INGRESOS</t>
  </si>
  <si>
    <t>GSON/1112061071</t>
  </si>
  <si>
    <t>BN 107 EGRESOS TR</t>
  </si>
  <si>
    <t>GSON/1112061073</t>
  </si>
  <si>
    <t>BN 107 IVA Y COMISIO</t>
  </si>
  <si>
    <t>GSON/1112061074</t>
  </si>
  <si>
    <t>BN 107 INT GANADOS</t>
  </si>
  <si>
    <t>GSON/1112061075</t>
  </si>
  <si>
    <t>BN 108 SALDO CTA BAN</t>
  </si>
  <si>
    <t>GSON/1112061080</t>
  </si>
  <si>
    <t>BN 108 INGRESOS</t>
  </si>
  <si>
    <t>GSON/1112061081</t>
  </si>
  <si>
    <t>BN 108 EGRESOS TR</t>
  </si>
  <si>
    <t>GSON/1112061083</t>
  </si>
  <si>
    <t>BN 108 IVA Y COMISIO</t>
  </si>
  <si>
    <t>GSON/1112061084</t>
  </si>
  <si>
    <t>BN 108 INT GANADOS</t>
  </si>
  <si>
    <t>GSON/1112061085</t>
  </si>
  <si>
    <t>BN 109 SALDO CTA BAN</t>
  </si>
  <si>
    <t>GSON/1112061090</t>
  </si>
  <si>
    <t>BN 109 INGRESOS</t>
  </si>
  <si>
    <t>GSON/1112061091</t>
  </si>
  <si>
    <t>BN 109 EGRESOS TR</t>
  </si>
  <si>
    <t>GSON/1112061093</t>
  </si>
  <si>
    <t>BN 109 IVA Y COMISIO</t>
  </si>
  <si>
    <t>GSON/1112061094</t>
  </si>
  <si>
    <t>BN 109 INT GANADOS</t>
  </si>
  <si>
    <t>GSON/1112061095</t>
  </si>
  <si>
    <t>BN 110 SALDO CTA BAN</t>
  </si>
  <si>
    <t>GSON/1112061100</t>
  </si>
  <si>
    <t>BN 110 INGRESOS</t>
  </si>
  <si>
    <t>GSON/1112061101</t>
  </si>
  <si>
    <t>BN 110 EGRESOS TR</t>
  </si>
  <si>
    <t>GSON/1112061103</t>
  </si>
  <si>
    <t>BN 110 IVA Y COMISIO</t>
  </si>
  <si>
    <t>GSON/1112061104</t>
  </si>
  <si>
    <t>BN 110 INT GANADOS</t>
  </si>
  <si>
    <t>GSON/1112061105</t>
  </si>
  <si>
    <t>BN 111 SALDO CTA BAN</t>
  </si>
  <si>
    <t>GSON/1112061110</t>
  </si>
  <si>
    <t>BN 111 INGRESOS</t>
  </si>
  <si>
    <t>GSON/1112061111</t>
  </si>
  <si>
    <t>BN 111 EGRESOS TR</t>
  </si>
  <si>
    <t>GSON/1112061113</t>
  </si>
  <si>
    <t>BN 111 IVA Y COMISIO</t>
  </si>
  <si>
    <t>GSON/1112061114</t>
  </si>
  <si>
    <t>BN 111 INT GANADOS</t>
  </si>
  <si>
    <t>GSON/1112061115</t>
  </si>
  <si>
    <t>BN 112 SALDO CTA BAN</t>
  </si>
  <si>
    <t>GSON/1112061120</t>
  </si>
  <si>
    <t>BN 112 INGRESOS</t>
  </si>
  <si>
    <t>GSON/1112061121</t>
  </si>
  <si>
    <t>BN 112 EGRESOS TR</t>
  </si>
  <si>
    <t>GSON/1112061123</t>
  </si>
  <si>
    <t>BN 112 IVA Y COMISIO</t>
  </si>
  <si>
    <t>GSON/1112061124</t>
  </si>
  <si>
    <t>BN 112 INT GANADOS</t>
  </si>
  <si>
    <t>GSON/1112061125</t>
  </si>
  <si>
    <t>BN 113 SALDO CTA BAN</t>
  </si>
  <si>
    <t>GSON/1112061130</t>
  </si>
  <si>
    <t>BN 113 INGRESOS</t>
  </si>
  <si>
    <t>GSON/1112061131</t>
  </si>
  <si>
    <t>BN 113 EGRESOS TR</t>
  </si>
  <si>
    <t>GSON/1112061133</t>
  </si>
  <si>
    <t>BN 113 IVA Y COMISIO</t>
  </si>
  <si>
    <t>GSON/1112061134</t>
  </si>
  <si>
    <t>BN 113 INT GANADOS</t>
  </si>
  <si>
    <t>GSON/1112061135</t>
  </si>
  <si>
    <t>BN 114 SALDO CTA BAN</t>
  </si>
  <si>
    <t>GSON/1112061140</t>
  </si>
  <si>
    <t>BN 114 INGRESOS</t>
  </si>
  <si>
    <t>GSON/1112061141</t>
  </si>
  <si>
    <t>BN 114 EGRESOS TR</t>
  </si>
  <si>
    <t>GSON/1112061143</t>
  </si>
  <si>
    <t>BN 114 IVA Y COMISIO</t>
  </si>
  <si>
    <t>GSON/1112061144</t>
  </si>
  <si>
    <t>BN 114 INT GANADOS</t>
  </si>
  <si>
    <t>GSON/1112061145</t>
  </si>
  <si>
    <t>BN 115 EGRESOS TR</t>
  </si>
  <si>
    <t>GSON/1112061153</t>
  </si>
  <si>
    <t>BN 116 SALDO CTA BAN</t>
  </si>
  <si>
    <t>GSON/1112061160</t>
  </si>
  <si>
    <t>BN 116 INGRESOS</t>
  </si>
  <si>
    <t>GSON/1112061161</t>
  </si>
  <si>
    <t>BN 116 EGRESOS TR</t>
  </si>
  <si>
    <t>GSON/1112061163</t>
  </si>
  <si>
    <t>BN 116 IVA Y COMISIO</t>
  </si>
  <si>
    <t>GSON/1112061164</t>
  </si>
  <si>
    <t>BN 116 INT GANADOS</t>
  </si>
  <si>
    <t>GSON/1112061165</t>
  </si>
  <si>
    <t>BN 117 SALDO CTA BAN</t>
  </si>
  <si>
    <t>GSON/1112061170</t>
  </si>
  <si>
    <t>BN 117 INGRESOS</t>
  </si>
  <si>
    <t>GSON/1112061171</t>
  </si>
  <si>
    <t>BN 117 IVA Y COMISIO</t>
  </si>
  <si>
    <t>GSON/1112061174</t>
  </si>
  <si>
    <t>BN 117 INT GANADOS</t>
  </si>
  <si>
    <t>GSON/1112061175</t>
  </si>
  <si>
    <t>BN 118 SALDO CTA BAN</t>
  </si>
  <si>
    <t>GSON/1112061180</t>
  </si>
  <si>
    <t>BN 118 INGRESOS</t>
  </si>
  <si>
    <t>GSON/1112061181</t>
  </si>
  <si>
    <t>BN 118 IVA Y COMISIO</t>
  </si>
  <si>
    <t>GSON/1112061184</t>
  </si>
  <si>
    <t>BN 119 SALDO CTA BAN</t>
  </si>
  <si>
    <t>GSON/1112061190</t>
  </si>
  <si>
    <t>BN 119 INGRESOS</t>
  </si>
  <si>
    <t>GSON/1112061191</t>
  </si>
  <si>
    <t>BN 119 IVA Y COMISIO</t>
  </si>
  <si>
    <t>GSON/1112061194</t>
  </si>
  <si>
    <t>BN 120 SALDO CTA BAN</t>
  </si>
  <si>
    <t>GSON/1112061200</t>
  </si>
  <si>
    <t>BN 120 INGRESOS</t>
  </si>
  <si>
    <t>GSON/1112061201</t>
  </si>
  <si>
    <t>BN 120 IVA Y COMISIO</t>
  </si>
  <si>
    <t>GSON/1112061204</t>
  </si>
  <si>
    <t>BN 121 SALDO CTA BAN</t>
  </si>
  <si>
    <t>GSON/1112061210</t>
  </si>
  <si>
    <t>BN 121 INGRESOS</t>
  </si>
  <si>
    <t>GSON/1112061211</t>
  </si>
  <si>
    <t>BN 121 EGRESOS TR</t>
  </si>
  <si>
    <t>GSON/1112061213</t>
  </si>
  <si>
    <t>BN 121 IVA Y COMISIO</t>
  </si>
  <si>
    <t>GSON/1112061214</t>
  </si>
  <si>
    <t>BN 121 INT GANADOS</t>
  </si>
  <si>
    <t>GSON/1112061215</t>
  </si>
  <si>
    <t>BN 122 SALDO CTA BAN</t>
  </si>
  <si>
    <t>GSON/1112061220</t>
  </si>
  <si>
    <t>BN 122 INGRESOS</t>
  </si>
  <si>
    <t>GSON/1112061221</t>
  </si>
  <si>
    <t>BN 122 EGRESOS TR</t>
  </si>
  <si>
    <t>GSON/1112061223</t>
  </si>
  <si>
    <t>BN 122 IVA Y COMISIO</t>
  </si>
  <si>
    <t>GSON/1112061224</t>
  </si>
  <si>
    <t>BN 122 INT GANADOS</t>
  </si>
  <si>
    <t>GSON/1112061225</t>
  </si>
  <si>
    <t>BN 123 SALDO CTA BAN</t>
  </si>
  <si>
    <t>GSON/1112061230</t>
  </si>
  <si>
    <t>BN 123 INGRESOS</t>
  </si>
  <si>
    <t>GSON/1112061231</t>
  </si>
  <si>
    <t>BN 123 EGRESOS TR</t>
  </si>
  <si>
    <t>GSON/1112061233</t>
  </si>
  <si>
    <t>BN 123 IVA Y COMISIO</t>
  </si>
  <si>
    <t>GSON/1112061234</t>
  </si>
  <si>
    <t>BN 123 INT GANADOS</t>
  </si>
  <si>
    <t>GSON/1112061235</t>
  </si>
  <si>
    <t>BN 124 SALDO CTA BAN</t>
  </si>
  <si>
    <t>GSON/1112061240</t>
  </si>
  <si>
    <t>BN 124 INGRESOS</t>
  </si>
  <si>
    <t>GSON/1112061241</t>
  </si>
  <si>
    <t>BN 124 IVA Y COMISIO</t>
  </si>
  <si>
    <t>GSON/1112061244</t>
  </si>
  <si>
    <t>BN 125 SALDO CTA BAN</t>
  </si>
  <si>
    <t>GSON/1112061250</t>
  </si>
  <si>
    <t>BN 125 INGRESOS</t>
  </si>
  <si>
    <t>GSON/1112061251</t>
  </si>
  <si>
    <t>BN 125 EGRESOS TR</t>
  </si>
  <si>
    <t>GSON/1112061253</t>
  </si>
  <si>
    <t>BN 125 IVA Y COMISIO</t>
  </si>
  <si>
    <t>GSON/1112061254</t>
  </si>
  <si>
    <t>BN 125 INT GANADOS</t>
  </si>
  <si>
    <t>GSON/1112061255</t>
  </si>
  <si>
    <t>BN 126 SALDO CTA BAN</t>
  </si>
  <si>
    <t>GSON/1112061260</t>
  </si>
  <si>
    <t>BN 126 INGRESOS</t>
  </si>
  <si>
    <t>GSON/1112061261</t>
  </si>
  <si>
    <t>BN 126 EGRESOS TR</t>
  </si>
  <si>
    <t>GSON/1112061263</t>
  </si>
  <si>
    <t>BN 126 IVA Y COMISIO</t>
  </si>
  <si>
    <t>GSON/1112061264</t>
  </si>
  <si>
    <t>BN 126 INT GANADOS</t>
  </si>
  <si>
    <t>GSON/1112061265</t>
  </si>
  <si>
    <t>BN 127 SALDO CTA BAN</t>
  </si>
  <si>
    <t>GSON/1112061270</t>
  </si>
  <si>
    <t>BN 127 INGRESOS</t>
  </si>
  <si>
    <t>GSON/1112061271</t>
  </si>
  <si>
    <t>BN 127 EGRESOS TR</t>
  </si>
  <si>
    <t>GSON/1112061273</t>
  </si>
  <si>
    <t>BN 127 IVA Y COMISIO</t>
  </si>
  <si>
    <t>GSON/1112061274</t>
  </si>
  <si>
    <t>BN 127 INT GANADOS</t>
  </si>
  <si>
    <t>GSON/1112061275</t>
  </si>
  <si>
    <t>BN 128 SALDO CTA BAN</t>
  </si>
  <si>
    <t>GSON/1112061280</t>
  </si>
  <si>
    <t>BN 128 INGRESOS</t>
  </si>
  <si>
    <t>GSON/1112061281</t>
  </si>
  <si>
    <t>BN 128 EGRESOS TR</t>
  </si>
  <si>
    <t>GSON/1112061283</t>
  </si>
  <si>
    <t>BN 128 IVA Y COMISIO</t>
  </si>
  <si>
    <t>GSON/1112061284</t>
  </si>
  <si>
    <t>BN 128 INT GANADOS</t>
  </si>
  <si>
    <t>GSON/1112061285</t>
  </si>
  <si>
    <t>BN 129 SALDO CTA BAN</t>
  </si>
  <si>
    <t>GSON/1112061290</t>
  </si>
  <si>
    <t>BN 129 INGRESOS</t>
  </si>
  <si>
    <t>GSON/1112061291</t>
  </si>
  <si>
    <t>BN 129 IVA Y COMISIO</t>
  </si>
  <si>
    <t>GSON/1112061294</t>
  </si>
  <si>
    <t>BN 130 SALDO CTA BAN</t>
  </si>
  <si>
    <t>GSON/1112061300</t>
  </si>
  <si>
    <t>BN 130 INGRESOS</t>
  </si>
  <si>
    <t>GSON/1112061301</t>
  </si>
  <si>
    <t>BN 130 EGRESOS TR</t>
  </si>
  <si>
    <t>GSON/1112061303</t>
  </si>
  <si>
    <t>BN 130 INT GANADOS</t>
  </si>
  <si>
    <t>GSON/1112061305</t>
  </si>
  <si>
    <t>BN 131 SALDO CTA BAN</t>
  </si>
  <si>
    <t>GSON/1112061310</t>
  </si>
  <si>
    <t>BN 131 INGRESOS</t>
  </si>
  <si>
    <t>GSON/1112061311</t>
  </si>
  <si>
    <t>BN 131 EGRESOS TR</t>
  </si>
  <si>
    <t>GSON/1112061313</t>
  </si>
  <si>
    <t>BN 131 IVA Y COMISIO</t>
  </si>
  <si>
    <t>GSON/1112061314</t>
  </si>
  <si>
    <t>BN 131 INT GANADOS</t>
  </si>
  <si>
    <t>GSON/1112061315</t>
  </si>
  <si>
    <t>BN 132 SALDO CTA BAN</t>
  </si>
  <si>
    <t>GSON/1112061320</t>
  </si>
  <si>
    <t>BN 132 INGRESOS</t>
  </si>
  <si>
    <t>GSON/1112061321</t>
  </si>
  <si>
    <t>BN 132 EGRESOS TR</t>
  </si>
  <si>
    <t>GSON/1112061323</t>
  </si>
  <si>
    <t>BN 132 IVA Y COMISIO</t>
  </si>
  <si>
    <t>GSON/1112061324</t>
  </si>
  <si>
    <t>BN 132 INT GANADOS</t>
  </si>
  <si>
    <t>GSON/1112061325</t>
  </si>
  <si>
    <t>BN 133 SALDO CTA BAN</t>
  </si>
  <si>
    <t>GSON/1112061330</t>
  </si>
  <si>
    <t>BN 133 INGRESOS</t>
  </si>
  <si>
    <t>GSON/1112061331</t>
  </si>
  <si>
    <t>BN 133 EGRESOS TR</t>
  </si>
  <si>
    <t>GSON/1112061333</t>
  </si>
  <si>
    <t>BN 133 IVA Y COMISIO</t>
  </si>
  <si>
    <t>GSON/1112061334</t>
  </si>
  <si>
    <t>BN 133 INT GANADOS</t>
  </si>
  <si>
    <t>GSON/1112061335</t>
  </si>
  <si>
    <t>BN 134 SALDO CTA BAN</t>
  </si>
  <si>
    <t>GSON/1112061340</t>
  </si>
  <si>
    <t>BN 134 INGRESOS</t>
  </si>
  <si>
    <t>GSON/1112061341</t>
  </si>
  <si>
    <t>BN 134 EGRESOS TR</t>
  </si>
  <si>
    <t>GSON/1112061343</t>
  </si>
  <si>
    <t>BN 134 IVA Y COMISIO</t>
  </si>
  <si>
    <t>GSON/1112061344</t>
  </si>
  <si>
    <t>BN 134 INT GANADOS</t>
  </si>
  <si>
    <t>GSON/1112061345</t>
  </si>
  <si>
    <t>BN 135 SALDO CTA BAN</t>
  </si>
  <si>
    <t>GSON/1112061350</t>
  </si>
  <si>
    <t>BN 135 IVA Y COMISIO</t>
  </si>
  <si>
    <t>GSON/1112061354</t>
  </si>
  <si>
    <t>BN 136 SALDO CTA BAN</t>
  </si>
  <si>
    <t>GSON/1112061360</t>
  </si>
  <si>
    <t>BN 136 INGRESOS</t>
  </si>
  <si>
    <t>GSON/1112061361</t>
  </si>
  <si>
    <t>BN 136 EGRESOS TR</t>
  </si>
  <si>
    <t>GSON/1112061363</t>
  </si>
  <si>
    <t>BN 136 IVA Y COMISIO</t>
  </si>
  <si>
    <t>GSON/1112061364</t>
  </si>
  <si>
    <t>BN 136 INT GANADOS</t>
  </si>
  <si>
    <t>GSON/1112061365</t>
  </si>
  <si>
    <t>BN 137 SALDO CTA BAN</t>
  </si>
  <si>
    <t>GSON/1112061370</t>
  </si>
  <si>
    <t>BN 137 INGRESOS</t>
  </si>
  <si>
    <t>GSON/1112061371</t>
  </si>
  <si>
    <t>BN 137 EGRESOS CHEQU</t>
  </si>
  <si>
    <t>GSON/1112061372</t>
  </si>
  <si>
    <t>BN 137 EGRESOS TR</t>
  </si>
  <si>
    <t>GSON/1112061373</t>
  </si>
  <si>
    <t>BN 137 IVA Y COMISIO</t>
  </si>
  <si>
    <t>GSON/1112061374</t>
  </si>
  <si>
    <t>BN 137 INT GANADOS</t>
  </si>
  <si>
    <t>GSON/1112061375</t>
  </si>
  <si>
    <t>BN 138 SALDO CTA BAN</t>
  </si>
  <si>
    <t>GSON/1112061380</t>
  </si>
  <si>
    <t>BN 138 INGRESOS</t>
  </si>
  <si>
    <t>GSON/1112061381</t>
  </si>
  <si>
    <t>BN 138 IVA Y COMISIO</t>
  </si>
  <si>
    <t>GSON/1112061384</t>
  </si>
  <si>
    <t>BN 139 SALDO CTA BAN</t>
  </si>
  <si>
    <t>GSON/1112061390</t>
  </si>
  <si>
    <t>BN 139 INGRESOS</t>
  </si>
  <si>
    <t>GSON/1112061391</t>
  </si>
  <si>
    <t>BN 139 EGRESOS TR</t>
  </si>
  <si>
    <t>GSON/1112061393</t>
  </si>
  <si>
    <t>BN 139 IVA Y COMISIO</t>
  </si>
  <si>
    <t>GSON/1112061394</t>
  </si>
  <si>
    <t>BN 139 INT GANADOS</t>
  </si>
  <si>
    <t>GSON/1112061395</t>
  </si>
  <si>
    <t>BN 140 SALDO CTA BAN</t>
  </si>
  <si>
    <t>GSON/1112061400</t>
  </si>
  <si>
    <t>BN 140 INGRESOS</t>
  </si>
  <si>
    <t>GSON/1112061401</t>
  </si>
  <si>
    <t>BN 140 EGRESOS TR</t>
  </si>
  <si>
    <t>GSON/1112061403</t>
  </si>
  <si>
    <t>BN 140 IVA Y COMISIO</t>
  </si>
  <si>
    <t>GSON/1112061404</t>
  </si>
  <si>
    <t>BN 140 INT GANADOS</t>
  </si>
  <si>
    <t>GSON/1112061405</t>
  </si>
  <si>
    <t>BN 141 SALDO CTA BAN</t>
  </si>
  <si>
    <t>GSON/1112061410</t>
  </si>
  <si>
    <t>BN 141 INGRESOS</t>
  </si>
  <si>
    <t>GSON/1112061411</t>
  </si>
  <si>
    <t>BN 141 EGRESOS TR</t>
  </si>
  <si>
    <t>GSON/1112061413</t>
  </si>
  <si>
    <t>BN 141 IVA Y COMISIO</t>
  </si>
  <si>
    <t>GSON/1112061414</t>
  </si>
  <si>
    <t>BN 141 INT GANADOS</t>
  </si>
  <si>
    <t>GSON/1112061415</t>
  </si>
  <si>
    <t>BN 142 SALDO CTA BAN</t>
  </si>
  <si>
    <t>GSON/1112061420</t>
  </si>
  <si>
    <t>BN 142 IVA Y COMISIO</t>
  </si>
  <si>
    <t>GSON/1112061424</t>
  </si>
  <si>
    <t>BN 143 SALDO CTA BAN</t>
  </si>
  <si>
    <t>GSON/1112061430</t>
  </si>
  <si>
    <t>BN 143 INGRESOS</t>
  </si>
  <si>
    <t>GSON/1112061431</t>
  </si>
  <si>
    <t>BN 143 EGRESOS TR</t>
  </si>
  <si>
    <t>GSON/1112061433</t>
  </si>
  <si>
    <t>BN 143 IVA Y COMISIO</t>
  </si>
  <si>
    <t>GSON/1112061434</t>
  </si>
  <si>
    <t>BN 143 INT GANADOS</t>
  </si>
  <si>
    <t>GSON/1112061435</t>
  </si>
  <si>
    <t>BN 144 SALDO CTA BAN</t>
  </si>
  <si>
    <t>GSON/1112061440</t>
  </si>
  <si>
    <t>BN 144 IVA Y COMISIO</t>
  </si>
  <si>
    <t>GSON/1112061444</t>
  </si>
  <si>
    <t>BN 145 SALDO CTA BAN</t>
  </si>
  <si>
    <t>GSON/1112061450</t>
  </si>
  <si>
    <t>BN 145 INGRESOS</t>
  </si>
  <si>
    <t>GSON/1112061451</t>
  </si>
  <si>
    <t>BN 145 IVA Y COMISIO</t>
  </si>
  <si>
    <t>GSON/1112061454</t>
  </si>
  <si>
    <t>BN 145 INT GANADOS</t>
  </si>
  <si>
    <t>GSON/1112061455</t>
  </si>
  <si>
    <t>BN 150 SALDO CTA BAN</t>
  </si>
  <si>
    <t>GSON/1112061500</t>
  </si>
  <si>
    <t>BN 150 INGRESOS</t>
  </si>
  <si>
    <t>GSON/1112061501</t>
  </si>
  <si>
    <t>BN 151 SALDO CTA BAN</t>
  </si>
  <si>
    <t>GSON/1112061510</t>
  </si>
  <si>
    <t>BN 151 INGRESOS</t>
  </si>
  <si>
    <t>GSON/1112061511</t>
  </si>
  <si>
    <t>BN 152 SALDO CTA BAN</t>
  </si>
  <si>
    <t>GSON/1112061520</t>
  </si>
  <si>
    <t>BN 152 INGRESOS</t>
  </si>
  <si>
    <t>GSON/1112061521</t>
  </si>
  <si>
    <t>BN 153 SALDO CTA BAN</t>
  </si>
  <si>
    <t>GSON/1112061530</t>
  </si>
  <si>
    <t>BN 153 IVA Y COMISIO</t>
  </si>
  <si>
    <t>GSON/1112061534</t>
  </si>
  <si>
    <t>BN 154 SALDO CTA BAN</t>
  </si>
  <si>
    <t>GSON/1112061540</t>
  </si>
  <si>
    <t>BN 154 IVA Y COMISIO</t>
  </si>
  <si>
    <t>GSON/1112061544</t>
  </si>
  <si>
    <t>BR 01 EGRESOS CHEQUE</t>
  </si>
  <si>
    <t>BR 01 IVA Y COMISION</t>
  </si>
  <si>
    <t>BR 02 INGRESOS</t>
  </si>
  <si>
    <t>GSON/1112070021</t>
  </si>
  <si>
    <t>BR 02 EGRESOS CHEQUE</t>
  </si>
  <si>
    <t>GSON/1112070022</t>
  </si>
  <si>
    <t>BR 02 EGRESOS TR</t>
  </si>
  <si>
    <t>GSON/1112070023</t>
  </si>
  <si>
    <t>BR 02 IVA Y COMISION</t>
  </si>
  <si>
    <t>GSON/1112070024</t>
  </si>
  <si>
    <t>BR 03 INGRESOS</t>
  </si>
  <si>
    <t>GSON/1112070031</t>
  </si>
  <si>
    <t>BR 04 INGRESOS</t>
  </si>
  <si>
    <t>GSON/1112070041</t>
  </si>
  <si>
    <t>BR 05 EGRESOS TR</t>
  </si>
  <si>
    <t>GSON/1112070053</t>
  </si>
  <si>
    <t>BR 05 IVA Y COMISION</t>
  </si>
  <si>
    <t>GSON/1112070054</t>
  </si>
  <si>
    <t>BR 07 INGRESOS</t>
  </si>
  <si>
    <t>GSON/1112070071</t>
  </si>
  <si>
    <t>BR 08 EGRESOS TR</t>
  </si>
  <si>
    <t>GSON/1112070083</t>
  </si>
  <si>
    <t>BR 09 INGRESOS</t>
  </si>
  <si>
    <t>GSON/1112070091</t>
  </si>
  <si>
    <t>BR 09 EGRESOS TR</t>
  </si>
  <si>
    <t>GSON/1112070093</t>
  </si>
  <si>
    <t>BR 10 INGRESOS</t>
  </si>
  <si>
    <t>GSON/1112070101</t>
  </si>
  <si>
    <t>BR 11 INGRESOS</t>
  </si>
  <si>
    <t>GSON/1112070111</t>
  </si>
  <si>
    <t>BR 11 EGRESOS CHEQUE</t>
  </si>
  <si>
    <t>GSON/1112070112</t>
  </si>
  <si>
    <t>BR 11 EGRESOS TR</t>
  </si>
  <si>
    <t>GSON/1112070113</t>
  </si>
  <si>
    <t>BR 11 IVA Y COMISION</t>
  </si>
  <si>
    <t>GSON/1112070114</t>
  </si>
  <si>
    <t>BR 12 INGRESOS</t>
  </si>
  <si>
    <t>GSON/1112070121</t>
  </si>
  <si>
    <t>BR 13 INGRESOS</t>
  </si>
  <si>
    <t>GSON/1112070131</t>
  </si>
  <si>
    <t>BR 14 EGRESOS CHEQUE</t>
  </si>
  <si>
    <t>BR 14 IVA Y COMISION</t>
  </si>
  <si>
    <t>GSON/1112070144</t>
  </si>
  <si>
    <t>BR 15 INGRESOS</t>
  </si>
  <si>
    <t>GSON/1112070151</t>
  </si>
  <si>
    <t>BR 16 INGRESOS</t>
  </si>
  <si>
    <t>GSON/1112070161</t>
  </si>
  <si>
    <t>BR 16 IVA Y COMISION</t>
  </si>
  <si>
    <t>GSON/1112070164</t>
  </si>
  <si>
    <t>BR 17 INGRESOS</t>
  </si>
  <si>
    <t>GSON/1112070171</t>
  </si>
  <si>
    <t>BR 17 EGRESOS TR</t>
  </si>
  <si>
    <t>GSON/1112070173</t>
  </si>
  <si>
    <t>BR 17 IVA Y COMISION</t>
  </si>
  <si>
    <t>BR 19 INGRESOS</t>
  </si>
  <si>
    <t>GSON/1112070191</t>
  </si>
  <si>
    <t>BR 19 EGRESOS TR</t>
  </si>
  <si>
    <t>GSON/1112070193</t>
  </si>
  <si>
    <t>BR 19 IVA Y COMISION</t>
  </si>
  <si>
    <t>BR 23 INGRESOS</t>
  </si>
  <si>
    <t>GSON/1112070201</t>
  </si>
  <si>
    <t>BR 23 EGRESOS CHEQUE</t>
  </si>
  <si>
    <t>GSON/1112070202</t>
  </si>
  <si>
    <t>BR 23 IVA Y COMISION</t>
  </si>
  <si>
    <t>BR 25 IVA Y COMISION</t>
  </si>
  <si>
    <t>GSON/1112070254</t>
  </si>
  <si>
    <t>BR 26 INGRESOS</t>
  </si>
  <si>
    <t>GSON/1112070261</t>
  </si>
  <si>
    <t>BR 26 EGRESOS CHEQUE</t>
  </si>
  <si>
    <t>GSON/1112070262</t>
  </si>
  <si>
    <t>BR 26 EGRESOS TR</t>
  </si>
  <si>
    <t>GSON/1112070263</t>
  </si>
  <si>
    <t>BR 26 IVA Y COMISION</t>
  </si>
  <si>
    <t>GSON/1112070264</t>
  </si>
  <si>
    <t>BR 27 SALDO CTA BAN</t>
  </si>
  <si>
    <t>GSON/1112070270</t>
  </si>
  <si>
    <t>BR 27 INGRESOS</t>
  </si>
  <si>
    <t>GSON/1112070271</t>
  </si>
  <si>
    <t>BR 27 EGRESOS TR</t>
  </si>
  <si>
    <t>GSON/1112070273</t>
  </si>
  <si>
    <t>BR 27 IVA Y COMISION</t>
  </si>
  <si>
    <t>GSON/1112070274</t>
  </si>
  <si>
    <t>BR 27 INT GANADOS</t>
  </si>
  <si>
    <t>GSON/1112070275</t>
  </si>
  <si>
    <t>BR 28 SALDO CTA BAN</t>
  </si>
  <si>
    <t>GSON/1112070280</t>
  </si>
  <si>
    <t>BR 28 INGRESOS</t>
  </si>
  <si>
    <t>GSON/1112070281</t>
  </si>
  <si>
    <t>BR 28 EGRESOS TR</t>
  </si>
  <si>
    <t>GSON/1112070283</t>
  </si>
  <si>
    <t>BR 28 IVA Y COMISION</t>
  </si>
  <si>
    <t>GSON/1112070284</t>
  </si>
  <si>
    <t>BR 28 INT GANADOS</t>
  </si>
  <si>
    <t>GSON/1112070285</t>
  </si>
  <si>
    <t>BR 29 SALDO CTA BAN</t>
  </si>
  <si>
    <t>GSON/1112070290</t>
  </si>
  <si>
    <t>BR 29 INGRESOS</t>
  </si>
  <si>
    <t>GSON/1112070291</t>
  </si>
  <si>
    <t>BR 29 EGRESOS TR</t>
  </si>
  <si>
    <t>GSON/1112070293</t>
  </si>
  <si>
    <t>BR 29 IVA Y COMISION</t>
  </si>
  <si>
    <t>GSON/1112070294</t>
  </si>
  <si>
    <t>BR 29 INT GANADOS</t>
  </si>
  <si>
    <t>GSON/1112070295</t>
  </si>
  <si>
    <t>BR 30 SALDO CTA BAN</t>
  </si>
  <si>
    <t>GSON/1112070300</t>
  </si>
  <si>
    <t>BR 30 INGRESOS</t>
  </si>
  <si>
    <t>GSON/1112070301</t>
  </si>
  <si>
    <t>BR 30 EGRESOS TR</t>
  </si>
  <si>
    <t>GSON/1112070303</t>
  </si>
  <si>
    <t>BR 30 IVA Y COMISION</t>
  </si>
  <si>
    <t>GSON/1112070304</t>
  </si>
  <si>
    <t>BR 30 INT GANADOS</t>
  </si>
  <si>
    <t>GSON/1112070305</t>
  </si>
  <si>
    <t>BX 001 SALDO CTA BAN</t>
  </si>
  <si>
    <t>BX 001 INGRESOS</t>
  </si>
  <si>
    <t>BX 001 EGRESOS CHEQU</t>
  </si>
  <si>
    <t>BX 001 EGRESOS TR</t>
  </si>
  <si>
    <t>BX 001 IVA Y COMISIO</t>
  </si>
  <si>
    <t>GSON/1112080014</t>
  </si>
  <si>
    <t>BX 001 INT GANADOS</t>
  </si>
  <si>
    <t>BX 003 SALDO CTA BAN</t>
  </si>
  <si>
    <t>BX 003 INGRESOS</t>
  </si>
  <si>
    <t>BX 003 EGRESOS TR</t>
  </si>
  <si>
    <t>BX 003 IVA Y COMISIO</t>
  </si>
  <si>
    <t>GSON/1112080034</t>
  </si>
  <si>
    <t>BX 003 INT GANADOS</t>
  </si>
  <si>
    <t>GSON/1112080035</t>
  </si>
  <si>
    <t>BX 004 SALDO CTA BAN</t>
  </si>
  <si>
    <t>GSON/1112080040</t>
  </si>
  <si>
    <t>BX 004 EGRESOS TR</t>
  </si>
  <si>
    <t>GSON/1112080043</t>
  </si>
  <si>
    <t>BX 004 IVA Y COMISIO</t>
  </si>
  <si>
    <t>GSON/1112080044</t>
  </si>
  <si>
    <t>BX 005 SALDO CTA BAN</t>
  </si>
  <si>
    <t>BX 005 INGRESOS</t>
  </si>
  <si>
    <t>BX 005 EGRESOS TR</t>
  </si>
  <si>
    <t>BX 005 INT GANADOS</t>
  </si>
  <si>
    <t>BX 006 SALDO CTA BAN</t>
  </si>
  <si>
    <t>BX 006 INGRESOS</t>
  </si>
  <si>
    <t>BX 006 IVA Y COMISIO</t>
  </si>
  <si>
    <t>GSON/1112080064</t>
  </si>
  <si>
    <t>BX 006 INT GANADOS</t>
  </si>
  <si>
    <t>GSON/1112080065</t>
  </si>
  <si>
    <t>BX 007 SALDO CTA BAN</t>
  </si>
  <si>
    <t>GSON/1112080070</t>
  </si>
  <si>
    <t>BX 007 EGRESOS TR</t>
  </si>
  <si>
    <t>GSON/1112080073</t>
  </si>
  <si>
    <t>BX 007 IVA Y COMISIO</t>
  </si>
  <si>
    <t>GSON/1112080074</t>
  </si>
  <si>
    <t>BX 007 INT GANADOS</t>
  </si>
  <si>
    <t>GSON/1112080075</t>
  </si>
  <si>
    <t>BX 008 SALDO CTA BAN</t>
  </si>
  <si>
    <t>GSON/1112080080</t>
  </si>
  <si>
    <t>BX 008 INGRESOS</t>
  </si>
  <si>
    <t>BX 008 EGRESOS TR</t>
  </si>
  <si>
    <t>GSON/1112080083</t>
  </si>
  <si>
    <t>BX 008 IVA Y COMISIO</t>
  </si>
  <si>
    <t>GSON/1112080084</t>
  </si>
  <si>
    <t>BX 008 INT GANADOS</t>
  </si>
  <si>
    <t>GSON/1112080085</t>
  </si>
  <si>
    <t>BX 010 SALDO CTA BAN</t>
  </si>
  <si>
    <t>GSON/1112080100</t>
  </si>
  <si>
    <t>BX 010 INGRESOS</t>
  </si>
  <si>
    <t>GSON/1112080101</t>
  </si>
  <si>
    <t>BX 010 EGRESOS TR</t>
  </si>
  <si>
    <t>GSON/1112080103</t>
  </si>
  <si>
    <t>BX 12  INT GANADOS</t>
  </si>
  <si>
    <t>GSON/1112080125</t>
  </si>
  <si>
    <t>BX 13  INGRESOS</t>
  </si>
  <si>
    <t>GSON/1112080131</t>
  </si>
  <si>
    <t>BX 17  IVA Y COMISIO</t>
  </si>
  <si>
    <t>BX 31  SALDO CTA BAN</t>
  </si>
  <si>
    <t>GSON/1112080310</t>
  </si>
  <si>
    <t>BX 31  INGRESOS</t>
  </si>
  <si>
    <t>GSON/1112080311</t>
  </si>
  <si>
    <t>BX 31  EGRESOS TR</t>
  </si>
  <si>
    <t>GSON/1112080313</t>
  </si>
  <si>
    <t>BX 31  INT GANADOS</t>
  </si>
  <si>
    <t>GSON/1112080315</t>
  </si>
  <si>
    <t>BX 32  SALDO CTA BAN</t>
  </si>
  <si>
    <t>GSON/1112080320</t>
  </si>
  <si>
    <t>BX 32  INGRESOS</t>
  </si>
  <si>
    <t>GSON/1112080321</t>
  </si>
  <si>
    <t>BX 32  IVA Y COMISIO</t>
  </si>
  <si>
    <t>GSON/1112080324</t>
  </si>
  <si>
    <t>BX 33  SALDO CTA BAN</t>
  </si>
  <si>
    <t>GSON/1112080330</t>
  </si>
  <si>
    <t>BX 33  EGRESOS TR</t>
  </si>
  <si>
    <t>GSON/1112080333</t>
  </si>
  <si>
    <t>BX 33  IVA Y COMISIO</t>
  </si>
  <si>
    <t>GSON/1112080334</t>
  </si>
  <si>
    <t>BX 34  SALDO CTA BAN</t>
  </si>
  <si>
    <t>GSON/1112080340</t>
  </si>
  <si>
    <t>BX 34  IVA Y COMISIO</t>
  </si>
  <si>
    <t>GSON/1112080344</t>
  </si>
  <si>
    <t>BX 35  SALDO CTA BAN</t>
  </si>
  <si>
    <t>GSON/1112080350</t>
  </si>
  <si>
    <t>BX 35  INGRESOS</t>
  </si>
  <si>
    <t>GSON/1112080351</t>
  </si>
  <si>
    <t>BX 35  EGRESOS TR</t>
  </si>
  <si>
    <t>GSON/1112080353</t>
  </si>
  <si>
    <t>BX 35  IVA Y COMISIO</t>
  </si>
  <si>
    <t>GSON/1112080354</t>
  </si>
  <si>
    <t>BX 36  SALDO CTA BAN</t>
  </si>
  <si>
    <t>GSON/1112080360</t>
  </si>
  <si>
    <t>BX 36  IVA Y COMISIO</t>
  </si>
  <si>
    <t>GSON/1112080364</t>
  </si>
  <si>
    <t>BX 37  SALDO CTA BAN</t>
  </si>
  <si>
    <t>GSON/1112080370</t>
  </si>
  <si>
    <t>BX 37  EGRESOS TR</t>
  </si>
  <si>
    <t>GSON/1112080373</t>
  </si>
  <si>
    <t>BX 37  IVA Y COMISIO</t>
  </si>
  <si>
    <t>GSON/1112080374</t>
  </si>
  <si>
    <t>BX 38  SALDO CTA BAN</t>
  </si>
  <si>
    <t>GSON/1112080380</t>
  </si>
  <si>
    <t>BX 38  IVA Y COMISIO</t>
  </si>
  <si>
    <t>GSON/1112080384</t>
  </si>
  <si>
    <t>BX 39  SALDO CTA BAN</t>
  </si>
  <si>
    <t>GSON/1112080390</t>
  </si>
  <si>
    <t>BX 39  INGRESOS</t>
  </si>
  <si>
    <t>GSON/1112080391</t>
  </si>
  <si>
    <t>BX 39  EGRESOS TR</t>
  </si>
  <si>
    <t>GSON/1112080393</t>
  </si>
  <si>
    <t>BX 39  IVA Y COMISIO</t>
  </si>
  <si>
    <t>GSON/1112080394</t>
  </si>
  <si>
    <t>BX 40  EGRESOS TR</t>
  </si>
  <si>
    <t>GSON/1112080403</t>
  </si>
  <si>
    <t>BX 40  IVA Y COMISIO</t>
  </si>
  <si>
    <t>GSON/1112080404</t>
  </si>
  <si>
    <t>BX 41  SALDO CTA BAN</t>
  </si>
  <si>
    <t>GSON/1112080410</t>
  </si>
  <si>
    <t>BX 41  IVA Y COMISIO</t>
  </si>
  <si>
    <t>GSON/1112080414</t>
  </si>
  <si>
    <t>BX 42  SALDO CTA BAN</t>
  </si>
  <si>
    <t>GSON/1112080420</t>
  </si>
  <si>
    <t>BX 42  IVA Y COMISIO</t>
  </si>
  <si>
    <t>GSON/1112080424</t>
  </si>
  <si>
    <t>BX 43  IVA Y COMISIO</t>
  </si>
  <si>
    <t>BX 44  SALDO CTA BAN</t>
  </si>
  <si>
    <t>GSON/1112080440</t>
  </si>
  <si>
    <t>BX 44  EGRESOS TR</t>
  </si>
  <si>
    <t>GSON/1112080443</t>
  </si>
  <si>
    <t>BX 44  IVA Y COMISIO</t>
  </si>
  <si>
    <t>GSON/1112080444</t>
  </si>
  <si>
    <t>BX 46  SALDO CTA BAN</t>
  </si>
  <si>
    <t>GSON/1112080460</t>
  </si>
  <si>
    <t>BX 46  INGRESOS</t>
  </si>
  <si>
    <t>GSON/1112080461</t>
  </si>
  <si>
    <t>BX 46  INT GANADOS</t>
  </si>
  <si>
    <t>GSON/1112080465</t>
  </si>
  <si>
    <t>CI 03  SALDO CTA BAN</t>
  </si>
  <si>
    <t>GSON/1112090030</t>
  </si>
  <si>
    <t>CI 03  IVA Y COMISIO</t>
  </si>
  <si>
    <t>GSON/1112090034</t>
  </si>
  <si>
    <t>CI 03  INT GANADOS</t>
  </si>
  <si>
    <t>GSON/1112090035</t>
  </si>
  <si>
    <t>EV 01  SALDO CTA BAN</t>
  </si>
  <si>
    <t>GSON/1112100010</t>
  </si>
  <si>
    <t>EV  01   INGRESOS</t>
  </si>
  <si>
    <t>GSON/1112100011</t>
  </si>
  <si>
    <t>EV  01   EGRESOS TR</t>
  </si>
  <si>
    <t>GSON/1112100013</t>
  </si>
  <si>
    <t>EV  01   INT GANADOS</t>
  </si>
  <si>
    <t>GSON/1112100015</t>
  </si>
  <si>
    <t>HS 001 SALDO CTA BAN</t>
  </si>
  <si>
    <t>HS 001 INGRESOS</t>
  </si>
  <si>
    <t>HS 001 EGRESOS CHEQU</t>
  </si>
  <si>
    <t>HS 001 EGRESOS TR</t>
  </si>
  <si>
    <t>HS 001 IVA Y COMISIO</t>
  </si>
  <si>
    <t>HS 001 INT GANADOS</t>
  </si>
  <si>
    <t>HS 02  SALDO CTA BAN</t>
  </si>
  <si>
    <t>HS 02   IVA Y COMISI</t>
  </si>
  <si>
    <t>HS 03  SALDO CTA BAN</t>
  </si>
  <si>
    <t>HS 03   IVA Y COMISI</t>
  </si>
  <si>
    <t>HS 03   INT GANADOS</t>
  </si>
  <si>
    <t>GSON/1112110035</t>
  </si>
  <si>
    <t>HS 04  SALDO CTA BAN</t>
  </si>
  <si>
    <t>GSON/1112110040</t>
  </si>
  <si>
    <t>HS 04   EGRESOS TR</t>
  </si>
  <si>
    <t>GSON/1112110043</t>
  </si>
  <si>
    <t>HS 04   IVA Y COMISI</t>
  </si>
  <si>
    <t>GSON/1112110044</t>
  </si>
  <si>
    <t>HS 06   SLDO CTA BAN</t>
  </si>
  <si>
    <t>HS 06   INGRESOS</t>
  </si>
  <si>
    <t>GSON/1112110061</t>
  </si>
  <si>
    <t>HS 06   EGRESOS CHEQ</t>
  </si>
  <si>
    <t>HS 06   IVA Y COMISI</t>
  </si>
  <si>
    <t>HS 06   INT GANADOS</t>
  </si>
  <si>
    <t>GSON/1112110065</t>
  </si>
  <si>
    <t>HS 07  SALDO CTA BAN</t>
  </si>
  <si>
    <t>HS 07   INGRESOS</t>
  </si>
  <si>
    <t>GSON/1112110071</t>
  </si>
  <si>
    <t>HS 07   IVA Y COMISI</t>
  </si>
  <si>
    <t>HS 08  SALDO CTA BAN</t>
  </si>
  <si>
    <t>HS 08   INGRESOS</t>
  </si>
  <si>
    <t>GSON/1112110081</t>
  </si>
  <si>
    <t>HS 08   EGRESOS TR</t>
  </si>
  <si>
    <t>GSON/1112110083</t>
  </si>
  <si>
    <t>HS 08   IVA Y COMISI</t>
  </si>
  <si>
    <t>HS 08   INT GANADOS</t>
  </si>
  <si>
    <t>GSON/1112110085</t>
  </si>
  <si>
    <t>HS 09  SALDO CTA BAN</t>
  </si>
  <si>
    <t>HS 09   EGRESOS CHEQ</t>
  </si>
  <si>
    <t>GSON/1112110092</t>
  </si>
  <si>
    <t>HS 09   EGRESOS TR</t>
  </si>
  <si>
    <t>GSON/1112110093</t>
  </si>
  <si>
    <t>HS 09   IVA Y COMISI</t>
  </si>
  <si>
    <t>GSON/1112110094</t>
  </si>
  <si>
    <t>HS 10  SALDO CTA BAN</t>
  </si>
  <si>
    <t>HS 10   IVA Y COMISI</t>
  </si>
  <si>
    <t>GSON/1112110104</t>
  </si>
  <si>
    <t>HS 11   IVA Y COMISI</t>
  </si>
  <si>
    <t>GSON/1112110114</t>
  </si>
  <si>
    <t>HS 14  SALDO CTA BAN</t>
  </si>
  <si>
    <t>GSON/1112110140</t>
  </si>
  <si>
    <t>HS 14   IVA Y COMISI</t>
  </si>
  <si>
    <t>GSON/1112110144</t>
  </si>
  <si>
    <t>HS 14   INT GANADOS</t>
  </si>
  <si>
    <t>GSON/1112110145</t>
  </si>
  <si>
    <t>HS 16  SALDO CTA BAN</t>
  </si>
  <si>
    <t>GSON/1112110160</t>
  </si>
  <si>
    <t>HS 16   INGRESOS</t>
  </si>
  <si>
    <t>GSON/1112110161</t>
  </si>
  <si>
    <t>HS 16   EGRESOS TR</t>
  </si>
  <si>
    <t>GSON/1112110163</t>
  </si>
  <si>
    <t>HS 16   IVA Y COMISI</t>
  </si>
  <si>
    <t>GSON/1112110164</t>
  </si>
  <si>
    <t>HS 16   INT GANADOS</t>
  </si>
  <si>
    <t>GSON/1112110165</t>
  </si>
  <si>
    <t>HS 21  SALDO CTA BAN</t>
  </si>
  <si>
    <t>HS 21   EGRESOS TR</t>
  </si>
  <si>
    <t>GSON/1112110213</t>
  </si>
  <si>
    <t>HS 21   IVA Y COMISI</t>
  </si>
  <si>
    <t>GSON/1112110214</t>
  </si>
  <si>
    <t>HS 22  SALDO CTA BAN</t>
  </si>
  <si>
    <t>HS 22   IVA Y COMISI</t>
  </si>
  <si>
    <t>HS 23  SALDO CTA BAN</t>
  </si>
  <si>
    <t>HS 23   IVA Y COMISI</t>
  </si>
  <si>
    <t>HS 24  SALDO CTA BAN</t>
  </si>
  <si>
    <t>HS 24   IVA Y COMISI</t>
  </si>
  <si>
    <t>HS 25   SLDO CTA BAN</t>
  </si>
  <si>
    <t>HS 26   SLDO CTA BAN</t>
  </si>
  <si>
    <t>HS 27   SLDO CTA BAN</t>
  </si>
  <si>
    <t>GSON/1112110270</t>
  </si>
  <si>
    <t>HS 27   INGRESOS</t>
  </si>
  <si>
    <t>GSON/1112110271</t>
  </si>
  <si>
    <t>HS 27   EGRESOS TR</t>
  </si>
  <si>
    <t>GSON/1112110273</t>
  </si>
  <si>
    <t>HS 27   IVA Y COMISI</t>
  </si>
  <si>
    <t>GSON/1112110274</t>
  </si>
  <si>
    <t>HS 27   INT GANADOS</t>
  </si>
  <si>
    <t>GSON/1112110275</t>
  </si>
  <si>
    <t>HS 28   SLDO CTA BAN</t>
  </si>
  <si>
    <t>GSON/1112110280</t>
  </si>
  <si>
    <t>HS 28   INGRESOS</t>
  </si>
  <si>
    <t>GSON/1112110281</t>
  </si>
  <si>
    <t>HS 28   EGRESOS CHEQ</t>
  </si>
  <si>
    <t>GSON/1112110282</t>
  </si>
  <si>
    <t>HS 28   EGRESOS TR</t>
  </si>
  <si>
    <t>GSON/1112110283</t>
  </si>
  <si>
    <t>HS 28   IVA Y COMISI</t>
  </si>
  <si>
    <t>GSON/1112110284</t>
  </si>
  <si>
    <t>HS 28   INT GANADOS</t>
  </si>
  <si>
    <t>GSON/1112110285</t>
  </si>
  <si>
    <t>HS 29   SLDO CTA BAN</t>
  </si>
  <si>
    <t>GSON/1112110290</t>
  </si>
  <si>
    <t>HS 29   INGRESOS</t>
  </si>
  <si>
    <t>GSON/1112110291</t>
  </si>
  <si>
    <t>HS 29   EGRESOS TR</t>
  </si>
  <si>
    <t>GSON/1112110293</t>
  </si>
  <si>
    <t>HS 29   IVA Y COMISI</t>
  </si>
  <si>
    <t>GSON/1112110294</t>
  </si>
  <si>
    <t>HS 29   INT GANADOS</t>
  </si>
  <si>
    <t>GSON/1112110295</t>
  </si>
  <si>
    <t>HS 30   SLDO CTA BAN</t>
  </si>
  <si>
    <t>GSON/1112110300</t>
  </si>
  <si>
    <t>HS 30   INGRESOS</t>
  </si>
  <si>
    <t>GSON/1112110301</t>
  </si>
  <si>
    <t>HS 30   EGRESOS CHEQ</t>
  </si>
  <si>
    <t>GSON/1112110302</t>
  </si>
  <si>
    <t>HS 30   EGRESOS TR</t>
  </si>
  <si>
    <t>GSON/1112110303</t>
  </si>
  <si>
    <t>HS 30   IVA Y COMISI</t>
  </si>
  <si>
    <t>GSON/1112110304</t>
  </si>
  <si>
    <t>HS 30   INT GANADOS</t>
  </si>
  <si>
    <t>GSON/1112110305</t>
  </si>
  <si>
    <t>HS 32   SLDO CTA BAN</t>
  </si>
  <si>
    <t>GSON/1112110320</t>
  </si>
  <si>
    <t>HS 32   INGRESOS</t>
  </si>
  <si>
    <t>GSON/1112110321</t>
  </si>
  <si>
    <t>HS 32   EGRESOS TR</t>
  </si>
  <si>
    <t>GSON/1112110323</t>
  </si>
  <si>
    <t>HS 32   IVA Y COMISI</t>
  </si>
  <si>
    <t>GSON/1112110324</t>
  </si>
  <si>
    <t>HS 32   INT GANADOS</t>
  </si>
  <si>
    <t>GSON/1112110325</t>
  </si>
  <si>
    <t>HS 34   SLDO CTA BAN</t>
  </si>
  <si>
    <t>GSON/1112110340</t>
  </si>
  <si>
    <t>HS 34   INGRESOS</t>
  </si>
  <si>
    <t>GSON/1112110341</t>
  </si>
  <si>
    <t>HS 34   EGRESOS TR</t>
  </si>
  <si>
    <t>GSON/1112110343</t>
  </si>
  <si>
    <t>HS 34   IVA Y COMISI</t>
  </si>
  <si>
    <t>GSON/1112110344</t>
  </si>
  <si>
    <t>HS 34   INT GANADOS</t>
  </si>
  <si>
    <t>GSON/1112110345</t>
  </si>
  <si>
    <t>HS 35   SLDO CTA BAN</t>
  </si>
  <si>
    <t>GSON/1112110350</t>
  </si>
  <si>
    <t>HS 35   INGRESOS</t>
  </si>
  <si>
    <t>GSON/1112110351</t>
  </si>
  <si>
    <t>HS 35   EGRESOS TR</t>
  </si>
  <si>
    <t>GSON/1112110353</t>
  </si>
  <si>
    <t>HS 35   IVA Y COMISI</t>
  </si>
  <si>
    <t>GSON/1112110354</t>
  </si>
  <si>
    <t>HS 35   INT GANADOS</t>
  </si>
  <si>
    <t>GSON/1112110355</t>
  </si>
  <si>
    <t>HS 36   SLDO CTA BAN</t>
  </si>
  <si>
    <t>GSON/1112110360</t>
  </si>
  <si>
    <t>HS 36   INGRESOS</t>
  </si>
  <si>
    <t>GSON/1112110361</t>
  </si>
  <si>
    <t>HS 36   EGRESOS TR</t>
  </si>
  <si>
    <t>GSON/1112110363</t>
  </si>
  <si>
    <t>HS 36   IVA Y COMISI</t>
  </si>
  <si>
    <t>GSON/1112110364</t>
  </si>
  <si>
    <t>HS 36   INT GANADOS</t>
  </si>
  <si>
    <t>GSON/1112110365</t>
  </si>
  <si>
    <t>HS 37   SLDO CTA BAN</t>
  </si>
  <si>
    <t>GSON/1112110370</t>
  </si>
  <si>
    <t>HS 37   INGRESOS</t>
  </si>
  <si>
    <t>GSON/1112110371</t>
  </si>
  <si>
    <t>HS 37   EGRESOS TR</t>
  </si>
  <si>
    <t>GSON/1112110373</t>
  </si>
  <si>
    <t>HS 37   IVA Y COMISI</t>
  </si>
  <si>
    <t>GSON/1112110374</t>
  </si>
  <si>
    <t>HS 37   INT GANADOS</t>
  </si>
  <si>
    <t>GSON/1112110375</t>
  </si>
  <si>
    <t>HS 38   SLDO CTA BAN</t>
  </si>
  <si>
    <t>GSON/1112110380</t>
  </si>
  <si>
    <t>HS 38   INGRESOS</t>
  </si>
  <si>
    <t>GSON/1112110381</t>
  </si>
  <si>
    <t>HS 38   EGRESOS TR</t>
  </si>
  <si>
    <t>GSON/1112110383</t>
  </si>
  <si>
    <t>HS 38   IVA Y COMISI</t>
  </si>
  <si>
    <t>GSON/1112110384</t>
  </si>
  <si>
    <t>HS 38   INT GANADOS</t>
  </si>
  <si>
    <t>GSON/1112110385</t>
  </si>
  <si>
    <t>HS 39   SLDO CTA BAN</t>
  </si>
  <si>
    <t>GSON/1112110390</t>
  </si>
  <si>
    <t>HS 39   INGRESOS</t>
  </si>
  <si>
    <t>GSON/1112110391</t>
  </si>
  <si>
    <t>HS 39   EGRESOS TR</t>
  </si>
  <si>
    <t>GSON/1112110393</t>
  </si>
  <si>
    <t>HS 39   IVA Y COMISI</t>
  </si>
  <si>
    <t>GSON/1112110394</t>
  </si>
  <si>
    <t>HS 39   INT GANADOS</t>
  </si>
  <si>
    <t>GSON/1112110395</t>
  </si>
  <si>
    <t>HS 40   INGRESOS</t>
  </si>
  <si>
    <t>GSON/1112110401</t>
  </si>
  <si>
    <t>HS 42   SLDO CTA BAN</t>
  </si>
  <si>
    <t>GSON/1112110420</t>
  </si>
  <si>
    <t>HS 42   INGRESOS</t>
  </si>
  <si>
    <t>GSON/1112110421</t>
  </si>
  <si>
    <t>HS 42   EGRESOS TR</t>
  </si>
  <si>
    <t>GSON/1112110423</t>
  </si>
  <si>
    <t>HS 42   IVA Y COMISI</t>
  </si>
  <si>
    <t>GSON/1112110424</t>
  </si>
  <si>
    <t>HS 42   INT GANADOS</t>
  </si>
  <si>
    <t>GSON/1112110425</t>
  </si>
  <si>
    <t>HS 44   SLDO CTA BAN</t>
  </si>
  <si>
    <t>GSON/1112110440</t>
  </si>
  <si>
    <t>HS 44   INGRESOS</t>
  </si>
  <si>
    <t>GSON/1112110441</t>
  </si>
  <si>
    <t>HS 44   EGRESOS TR</t>
  </si>
  <si>
    <t>GSON/1112110443</t>
  </si>
  <si>
    <t>HS 44   IVA Y COMISI</t>
  </si>
  <si>
    <t>GSON/1112110444</t>
  </si>
  <si>
    <t>HS 44   INT GANADOS</t>
  </si>
  <si>
    <t>GSON/1112110445</t>
  </si>
  <si>
    <t>HS 45   SLDO CTA BAN</t>
  </si>
  <si>
    <t>GSON/1112110450</t>
  </si>
  <si>
    <t>HS 45   INGRESOS</t>
  </si>
  <si>
    <t>GSON/1112110451</t>
  </si>
  <si>
    <t>HS 45   EGRESOS TR</t>
  </si>
  <si>
    <t>GSON/1112110453</t>
  </si>
  <si>
    <t>HS 46  SLDO CTA BAN</t>
  </si>
  <si>
    <t>GSON/1112110460</t>
  </si>
  <si>
    <t>HS 46  INGRESOS</t>
  </si>
  <si>
    <t>GSON/1112110461</t>
  </si>
  <si>
    <t>HS 46  EGRESOS CHEQ</t>
  </si>
  <si>
    <t>GSON/1112110462</t>
  </si>
  <si>
    <t>HS 46  EGRESOS TR</t>
  </si>
  <si>
    <t>GSON/1112110463</t>
  </si>
  <si>
    <t>HS 46  IVA Y COMISI</t>
  </si>
  <si>
    <t>GSON/1112110464</t>
  </si>
  <si>
    <t>HS 46  INT GANADOS</t>
  </si>
  <si>
    <t>GSON/1112110465</t>
  </si>
  <si>
    <t>HS 47  SLDO CTA BAN</t>
  </si>
  <si>
    <t>GSON/1112110470</t>
  </si>
  <si>
    <t>HS 47  INGRESOS</t>
  </si>
  <si>
    <t>GSON/1112110471</t>
  </si>
  <si>
    <t>HS 47  EGRESOS TR</t>
  </si>
  <si>
    <t>GSON/1112110473</t>
  </si>
  <si>
    <t>HS 47  IVA Y COMISI</t>
  </si>
  <si>
    <t>GSON/1112110474</t>
  </si>
  <si>
    <t>HS 47  INT GANADOS</t>
  </si>
  <si>
    <t>GSON/1112110475</t>
  </si>
  <si>
    <t>HS 48 SLDO CTA BAN</t>
  </si>
  <si>
    <t>GSON/1112110480</t>
  </si>
  <si>
    <t>HS 48INGRESOS</t>
  </si>
  <si>
    <t>GSON/1112110481</t>
  </si>
  <si>
    <t>HS 48 EGRESOS TR</t>
  </si>
  <si>
    <t>GSON/1112110483</t>
  </si>
  <si>
    <t>HS 48 IVA Y COMISI</t>
  </si>
  <si>
    <t>GSON/1112110484</t>
  </si>
  <si>
    <t>HS 48 INT GANADOS</t>
  </si>
  <si>
    <t>GSON/1112110485</t>
  </si>
  <si>
    <t>HS 48   SLDO CTA BAN</t>
  </si>
  <si>
    <t>GSON/1112110490</t>
  </si>
  <si>
    <t>HS 48   INGRESOS</t>
  </si>
  <si>
    <t>GSON/1112110491</t>
  </si>
  <si>
    <t>HS 48   IVA Y COMISI</t>
  </si>
  <si>
    <t>GSON/1112110494</t>
  </si>
  <si>
    <t>HS050 SALDO CTA BAN</t>
  </si>
  <si>
    <t>GSON/1112110500</t>
  </si>
  <si>
    <t>HS 50 INGRESOS</t>
  </si>
  <si>
    <t>GSON/1112110501</t>
  </si>
  <si>
    <t>HS 50   EGRESOS TR</t>
  </si>
  <si>
    <t>GSON/1112110503</t>
  </si>
  <si>
    <t>HS 50   IVA Y COMISI</t>
  </si>
  <si>
    <t>GSON/1112110504</t>
  </si>
  <si>
    <t>HS 50   INT GANADOS</t>
  </si>
  <si>
    <t>GSON/1112110505</t>
  </si>
  <si>
    <t>HS 51 SLDO CTA BAN</t>
  </si>
  <si>
    <t>GSON/1112110510</t>
  </si>
  <si>
    <t>HS 50   INGRESOS</t>
  </si>
  <si>
    <t>GSON/1112110511</t>
  </si>
  <si>
    <t>HS 51   IVA Y COMISI</t>
  </si>
  <si>
    <t>GSON/1112110514</t>
  </si>
  <si>
    <t>HS 51   INT GANADOS</t>
  </si>
  <si>
    <t>GSON/1112110515</t>
  </si>
  <si>
    <t>HS 52   SLDO CTA BAN</t>
  </si>
  <si>
    <t>GSON/1112110520</t>
  </si>
  <si>
    <t>HS 52   INGRESOS</t>
  </si>
  <si>
    <t>GSON/1112110521</t>
  </si>
  <si>
    <t>HS 52   EGRESOS TR</t>
  </si>
  <si>
    <t>GSON/1112110523</t>
  </si>
  <si>
    <t>HS 52   IVA Y COMISI</t>
  </si>
  <si>
    <t>GSON/1112110524</t>
  </si>
  <si>
    <t>HS 52   INT GANADOS</t>
  </si>
  <si>
    <t>GSON/1112110525</t>
  </si>
  <si>
    <t>HS 53   SLDO CTA BAN</t>
  </si>
  <si>
    <t>GSON/1112110530</t>
  </si>
  <si>
    <t>HS 53   INGRESOS</t>
  </si>
  <si>
    <t>GSON/1112110531</t>
  </si>
  <si>
    <t>HS 53   IVA Y COMISI</t>
  </si>
  <si>
    <t>GSON/1112110534</t>
  </si>
  <si>
    <t>IB 01   SLDO CTA BAN</t>
  </si>
  <si>
    <t>GSON/1112120010</t>
  </si>
  <si>
    <t>IB 01   IVA Y COMISI</t>
  </si>
  <si>
    <t>GSON/1112120014</t>
  </si>
  <si>
    <t>IB 01   INT GANADOS</t>
  </si>
  <si>
    <t>GSON/1112120015</t>
  </si>
  <si>
    <t>IB 03 SLDO CTA BAN</t>
  </si>
  <si>
    <t>GSON/1112120030</t>
  </si>
  <si>
    <t>IB 03 INGRESOS</t>
  </si>
  <si>
    <t>GSON/1112120031</t>
  </si>
  <si>
    <t>IB 03 EGRESOS TR</t>
  </si>
  <si>
    <t>GSON/1112120033</t>
  </si>
  <si>
    <t>IB 03 IVA Y COMISI</t>
  </si>
  <si>
    <t>GSON/1112120034</t>
  </si>
  <si>
    <t>IB 03 INT GANADOS</t>
  </si>
  <si>
    <t>GSON/1112120035</t>
  </si>
  <si>
    <t>IN 01   SLDO CTA BAN</t>
  </si>
  <si>
    <t>IN 01   IVA Y COMISI</t>
  </si>
  <si>
    <t>GSON/1112130014</t>
  </si>
  <si>
    <t>IN 01   INT GANADOS</t>
  </si>
  <si>
    <t>GSON/1112130015</t>
  </si>
  <si>
    <t>IN 03   SLDO CTA BAN</t>
  </si>
  <si>
    <t>GSON/1112130030</t>
  </si>
  <si>
    <t>IN 03   EGRESOS TR</t>
  </si>
  <si>
    <t>GSON/1112130033</t>
  </si>
  <si>
    <t>IN 03   INT GANADOS</t>
  </si>
  <si>
    <t>GSON/1112130035</t>
  </si>
  <si>
    <t>IN 05   SLDO CTA BAN</t>
  </si>
  <si>
    <t>IN 05   INT GANADOS</t>
  </si>
  <si>
    <t>GSON/1112130055</t>
  </si>
  <si>
    <t>IN 06   SLDO CTA BAN</t>
  </si>
  <si>
    <t>GSON/1112130060</t>
  </si>
  <si>
    <t>IN 06   EGRESOS TR</t>
  </si>
  <si>
    <t>GSON/1112130063</t>
  </si>
  <si>
    <t>IN 06   INT GANADOS</t>
  </si>
  <si>
    <t>GSON/1112130065</t>
  </si>
  <si>
    <t>IN 08   SLDO CTA BAN</t>
  </si>
  <si>
    <t>GSON/1112130080</t>
  </si>
  <si>
    <t>IN 08   INGRESOS</t>
  </si>
  <si>
    <t>GSON/1112130081</t>
  </si>
  <si>
    <t>IN 08   EGRESOS TR</t>
  </si>
  <si>
    <t>GSON/1112130083</t>
  </si>
  <si>
    <t>IN 08   INT GANADOS</t>
  </si>
  <si>
    <t>GSON/1112130085</t>
  </si>
  <si>
    <t>IN 09   SLDO CTA BAN</t>
  </si>
  <si>
    <t>GSON/1112130090</t>
  </si>
  <si>
    <t>IN 09   INT GANADOS</t>
  </si>
  <si>
    <t>GSON/1112130095</t>
  </si>
  <si>
    <t>IN 10   SLDO CTA BAN</t>
  </si>
  <si>
    <t>GSON/1112130100</t>
  </si>
  <si>
    <t>IN 10   INT GANADOS</t>
  </si>
  <si>
    <t>GSON/1112130105</t>
  </si>
  <si>
    <t>IN 11   SLDO CTA BAN</t>
  </si>
  <si>
    <t>GSON/1112130110</t>
  </si>
  <si>
    <t>IN 17   SLDO CTA BAN</t>
  </si>
  <si>
    <t>GSON/1112130170</t>
  </si>
  <si>
    <t>IN 17   INGRESOS</t>
  </si>
  <si>
    <t>GSON/1112130171</t>
  </si>
  <si>
    <t>IN 17   EGRESOS CHEQ</t>
  </si>
  <si>
    <t>GSON/1112130172</t>
  </si>
  <si>
    <t>IN 17   EGRESOS TR</t>
  </si>
  <si>
    <t>GSON/1112130173</t>
  </si>
  <si>
    <t>IN 17   INT GANADOS</t>
  </si>
  <si>
    <t>GSON/1112130175</t>
  </si>
  <si>
    <t>IN 18   SLDO CTA BAN</t>
  </si>
  <si>
    <t>GSON/1112130180</t>
  </si>
  <si>
    <t>IN 18   INGRESOS</t>
  </si>
  <si>
    <t>GSON/1112130181</t>
  </si>
  <si>
    <t>IN 18   EGRESOS TR</t>
  </si>
  <si>
    <t>GSON/1112130183</t>
  </si>
  <si>
    <t>IN 18   INT GANADOS</t>
  </si>
  <si>
    <t>GSON/1112130185</t>
  </si>
  <si>
    <t>IN 20   SLDO CTA BAN</t>
  </si>
  <si>
    <t>GSON/1112130200</t>
  </si>
  <si>
    <t>IN 20   INGRESOS</t>
  </si>
  <si>
    <t>GSON/1112130201</t>
  </si>
  <si>
    <t>IN 20   EGRESOS TR</t>
  </si>
  <si>
    <t>GSON/1112130203</t>
  </si>
  <si>
    <t>IN 20   IVA Y COMISI</t>
  </si>
  <si>
    <t>GSON/1112130204</t>
  </si>
  <si>
    <t>IN 20   INT GANADOS</t>
  </si>
  <si>
    <t>GSON/1112130205</t>
  </si>
  <si>
    <t>IN 21   INGRESOS</t>
  </si>
  <si>
    <t>GSON/1112130211</t>
  </si>
  <si>
    <t>IN 22   SLDO CTA BAN</t>
  </si>
  <si>
    <t>GSON/1112130220</t>
  </si>
  <si>
    <t>IN 22   INGRESOS</t>
  </si>
  <si>
    <t>GSON/1112130221</t>
  </si>
  <si>
    <t>IN 22   EGRESOS TR</t>
  </si>
  <si>
    <t>GSON/1112130223</t>
  </si>
  <si>
    <t>IN 22   INT GANADOS</t>
  </si>
  <si>
    <t>GSON/1112130225</t>
  </si>
  <si>
    <t>IN 23   SLDO CTA BAN</t>
  </si>
  <si>
    <t>GSON/1112130230</t>
  </si>
  <si>
    <t>IN 23   INGRESOS</t>
  </si>
  <si>
    <t>GSON/1112130231</t>
  </si>
  <si>
    <t>IN 23   EGRESOS TR</t>
  </si>
  <si>
    <t>GSON/1112130233</t>
  </si>
  <si>
    <t>IN 23   INT GANADOS</t>
  </si>
  <si>
    <t>GSON/1112130235</t>
  </si>
  <si>
    <t>IN 24   SLDO CTA BAN</t>
  </si>
  <si>
    <t>GSON/1112130240</t>
  </si>
  <si>
    <t>IN 24   INGRESOS</t>
  </si>
  <si>
    <t>GSON/1112130241</t>
  </si>
  <si>
    <t>IN 24   EGRESOS TR</t>
  </si>
  <si>
    <t>GSON/1112130243</t>
  </si>
  <si>
    <t>IN 24   INT GANADOS</t>
  </si>
  <si>
    <t>GSON/1112130245</t>
  </si>
  <si>
    <t>IN 25   SLDO CTA BAN</t>
  </si>
  <si>
    <t>GSON/1112130250</t>
  </si>
  <si>
    <t>IN 25   INGRESOS</t>
  </si>
  <si>
    <t>GSON/1112130251</t>
  </si>
  <si>
    <t>IN 25   EGRESOS TR</t>
  </si>
  <si>
    <t>GSON/1112130253</t>
  </si>
  <si>
    <t>IN 25   INT GANADOS</t>
  </si>
  <si>
    <t>GSON/1112130255</t>
  </si>
  <si>
    <t>IN 26   SLDO CTA BAN</t>
  </si>
  <si>
    <t>GSON/1112130260</t>
  </si>
  <si>
    <t>IN 26   INGRESOS</t>
  </si>
  <si>
    <t>GSON/1112130261</t>
  </si>
  <si>
    <t>IN 26   EGRESOS TR</t>
  </si>
  <si>
    <t>GSON/1112130263</t>
  </si>
  <si>
    <t>IN 26   INT GANADOS</t>
  </si>
  <si>
    <t>GSON/1112130265</t>
  </si>
  <si>
    <t>IN 27   SLDO CTA BAN</t>
  </si>
  <si>
    <t>GSON/1112130270</t>
  </si>
  <si>
    <t>IN 27   INGRESOS</t>
  </si>
  <si>
    <t>GSON/1112130271</t>
  </si>
  <si>
    <t>IN 27   EGRESOS TR</t>
  </si>
  <si>
    <t>GSON/1112130273</t>
  </si>
  <si>
    <t>IN 27   INT GANADOS</t>
  </si>
  <si>
    <t>GSON/1112130275</t>
  </si>
  <si>
    <t>IN 28   SLDO CTA BAN</t>
  </si>
  <si>
    <t>GSON/1112130280</t>
  </si>
  <si>
    <t>IN 28   INGRESOS</t>
  </si>
  <si>
    <t>GSON/1112130281</t>
  </si>
  <si>
    <t>IN 28   EGRESOS TR</t>
  </si>
  <si>
    <t>GSON/1112130283</t>
  </si>
  <si>
    <t>IN 28   INT GANADOS</t>
  </si>
  <si>
    <t>GSON/1112130285</t>
  </si>
  <si>
    <t>IN 29   SLDO CTA BAN</t>
  </si>
  <si>
    <t>GSON/1112130290</t>
  </si>
  <si>
    <t>IN 29   INGRESOS</t>
  </si>
  <si>
    <t>GSON/1112130291</t>
  </si>
  <si>
    <t>IN 29   EGRESOS TR</t>
  </si>
  <si>
    <t>GSON/1112130293</t>
  </si>
  <si>
    <t>IN 29   INT GANADOS</t>
  </si>
  <si>
    <t>GSON/1112130295</t>
  </si>
  <si>
    <t>GSON/1112130300</t>
  </si>
  <si>
    <t>GSON/1112130301</t>
  </si>
  <si>
    <t>GSON/1112130305</t>
  </si>
  <si>
    <t>IN 31   SLDO CTA BAN</t>
  </si>
  <si>
    <t>GSON/1112130310</t>
  </si>
  <si>
    <t>IN 31   INGRESOS</t>
  </si>
  <si>
    <t>GSON/1112130311</t>
  </si>
  <si>
    <t>IN 31   INT GANADOS</t>
  </si>
  <si>
    <t>GSON/1112130315</t>
  </si>
  <si>
    <t>IN 32   SLDO CTA BAN</t>
  </si>
  <si>
    <t>GSON/1112130320</t>
  </si>
  <si>
    <t>IN 32   INGRESOS</t>
  </si>
  <si>
    <t>GSON/1112130321</t>
  </si>
  <si>
    <t>IN 32   INT GANADOS</t>
  </si>
  <si>
    <t>GSON/1112130325</t>
  </si>
  <si>
    <t>IN 33   SLDO CTA BAN</t>
  </si>
  <si>
    <t>GSON/1112130330</t>
  </si>
  <si>
    <t>IN 33   INGRESOS</t>
  </si>
  <si>
    <t>GSON/1112130331</t>
  </si>
  <si>
    <t>IN 33   INT GANADOS</t>
  </si>
  <si>
    <t>GSON/1112130335</t>
  </si>
  <si>
    <t>IN 34   SLDO CTA BAN</t>
  </si>
  <si>
    <t>GSON/1112130340</t>
  </si>
  <si>
    <t>IN 34   INGRESOS</t>
  </si>
  <si>
    <t>GSON/1112130341</t>
  </si>
  <si>
    <t>IN 34   EGRESOS CHEQ</t>
  </si>
  <si>
    <t>GSON/1112130342</t>
  </si>
  <si>
    <t>IN 34   EGRESOS TR</t>
  </si>
  <si>
    <t>GSON/1112130343</t>
  </si>
  <si>
    <t>IN 34   INT GANADOS</t>
  </si>
  <si>
    <t>GSON/1112130345</t>
  </si>
  <si>
    <t>IN 35   SLDO CTA BAN</t>
  </si>
  <si>
    <t>GSON/1112130350</t>
  </si>
  <si>
    <t>IN 35   INGRESOS</t>
  </si>
  <si>
    <t>GSON/1112130351</t>
  </si>
  <si>
    <t>IN 35   EGRESOS TR</t>
  </si>
  <si>
    <t>GSON/1112130353</t>
  </si>
  <si>
    <t>IN 35   INT GANADOS</t>
  </si>
  <si>
    <t>GSON/1112130355</t>
  </si>
  <si>
    <t>IX 01 SALDO CTA BAN</t>
  </si>
  <si>
    <t>GSON/1112140010</t>
  </si>
  <si>
    <t>IX 01 INGRESOS</t>
  </si>
  <si>
    <t>GSON/1112140011</t>
  </si>
  <si>
    <t>IX 01 IVA Y COMISION</t>
  </si>
  <si>
    <t>GSON/1112140014</t>
  </si>
  <si>
    <t>IX 01 INT GANADOS</t>
  </si>
  <si>
    <t>GSON/1112140015</t>
  </si>
  <si>
    <t>IX 02 INGRESOS</t>
  </si>
  <si>
    <t>GSON/1112140021</t>
  </si>
  <si>
    <t>IX 02 EGRESOS TR</t>
  </si>
  <si>
    <t>GSON/1112140023</t>
  </si>
  <si>
    <t>SA 03 IVA Y COMISION</t>
  </si>
  <si>
    <t>GSON/1112150034</t>
  </si>
  <si>
    <t>SA 03 INT GANADOS</t>
  </si>
  <si>
    <t>GSON/1112150035</t>
  </si>
  <si>
    <t>SA 04 IVA Y COMISION</t>
  </si>
  <si>
    <t>SA 05 SALDO CTA BAN</t>
  </si>
  <si>
    <t>GSON/1112150050</t>
  </si>
  <si>
    <t>SA 05 IVA Y COMISION</t>
  </si>
  <si>
    <t>GSON/1112150054</t>
  </si>
  <si>
    <t>SA 06 SALDO CTA BAN</t>
  </si>
  <si>
    <t>GSON/1112150060</t>
  </si>
  <si>
    <t>SA 06 INGRESOS</t>
  </si>
  <si>
    <t>GSON/1112150061</t>
  </si>
  <si>
    <t>SA 06 EGRESOS TR</t>
  </si>
  <si>
    <t>GSON/1112150063</t>
  </si>
  <si>
    <t>SA 06 INT GANADOS</t>
  </si>
  <si>
    <t>GSON/1112150065</t>
  </si>
  <si>
    <t>SA 07 SALDO CTA BAN</t>
  </si>
  <si>
    <t>GSON/1112150070</t>
  </si>
  <si>
    <t>SA 07 INGRESOS</t>
  </si>
  <si>
    <t>GSON/1112150071</t>
  </si>
  <si>
    <t>SA 07 IVA Y COMISION</t>
  </si>
  <si>
    <t>GSON/1112150074</t>
  </si>
  <si>
    <t>SA 07 INT GANADOS</t>
  </si>
  <si>
    <t>GSON/1112150075</t>
  </si>
  <si>
    <t>SA 08 SALDO CTA BAN</t>
  </si>
  <si>
    <t>GSON/1112150080</t>
  </si>
  <si>
    <t>SA 08 IVA Y COMISION</t>
  </si>
  <si>
    <t>GSON/1112150084</t>
  </si>
  <si>
    <t>SA 08 INT GANADOS</t>
  </si>
  <si>
    <t>GSON/1112150085</t>
  </si>
  <si>
    <t>SA 09 SALDO CTA BAN</t>
  </si>
  <si>
    <t>GSON/1112150090</t>
  </si>
  <si>
    <t>SA 09 INGRESOS</t>
  </si>
  <si>
    <t>GSON/1112150091</t>
  </si>
  <si>
    <t>SA 09 EGRESOS TR</t>
  </si>
  <si>
    <t>GSON/1112150093</t>
  </si>
  <si>
    <t>SA 09 IVA Y COMISION</t>
  </si>
  <si>
    <t>GSON/1112150094</t>
  </si>
  <si>
    <t>SA 09 INT GANADOS</t>
  </si>
  <si>
    <t>GSON/1112150095</t>
  </si>
  <si>
    <t>SA 10 INGRESOS</t>
  </si>
  <si>
    <t>GSON/1112150101</t>
  </si>
  <si>
    <t>SA 11 SALDO CTA BAN</t>
  </si>
  <si>
    <t>GSON/1112150110</t>
  </si>
  <si>
    <t>SA 11 INGRESOS</t>
  </si>
  <si>
    <t>GSON/1112150111</t>
  </si>
  <si>
    <t>SA 11 EGRESOS TR</t>
  </si>
  <si>
    <t>GSON/1112150113</t>
  </si>
  <si>
    <t>SA 11 IVA Y COMISION</t>
  </si>
  <si>
    <t>GSON/1112150114</t>
  </si>
  <si>
    <t>SA 11 INT GANADOS</t>
  </si>
  <si>
    <t>GSON/1112150115</t>
  </si>
  <si>
    <t>SA 12 SALDO CTA BAN</t>
  </si>
  <si>
    <t>GSON/1112150120</t>
  </si>
  <si>
    <t>SA 12 IVA Y COMISION</t>
  </si>
  <si>
    <t>GSON/1112150124</t>
  </si>
  <si>
    <t>SA 12 INT GANADOS</t>
  </si>
  <si>
    <t>GSON/1112150125</t>
  </si>
  <si>
    <t>SA 13 SALDO CTA BAN</t>
  </si>
  <si>
    <t>GSON/1112150130</t>
  </si>
  <si>
    <t>SA 13 IVA Y COMIS</t>
  </si>
  <si>
    <t>GSON/1112150134</t>
  </si>
  <si>
    <t>SA 13 INT GANADOS</t>
  </si>
  <si>
    <t>GSON/1112150135</t>
  </si>
  <si>
    <t>SA 14 SALDO CTA BAN</t>
  </si>
  <si>
    <t>GSON/1112150140</t>
  </si>
  <si>
    <t>SA 14 INGRESOS</t>
  </si>
  <si>
    <t>GSON/1112150141</t>
  </si>
  <si>
    <t>SA 14 IVA Y COMISION</t>
  </si>
  <si>
    <t>GSON/1112150144</t>
  </si>
  <si>
    <t>SA 14 INT GANADOS</t>
  </si>
  <si>
    <t>GSON/1112150145</t>
  </si>
  <si>
    <t>SA 15 SALDO CTA BAN</t>
  </si>
  <si>
    <t>GSON/1112150150</t>
  </si>
  <si>
    <t>SA 15 INGRESOS</t>
  </si>
  <si>
    <t>GSON/1112150151</t>
  </si>
  <si>
    <t>SA 15 EGRESOS TR</t>
  </si>
  <si>
    <t>GSON/1112150153</t>
  </si>
  <si>
    <t>SA 15 IVA Y COMISION</t>
  </si>
  <si>
    <t>GSON/1112150154</t>
  </si>
  <si>
    <t>SA 15 INT GANADOS</t>
  </si>
  <si>
    <t>GSON/1112150155</t>
  </si>
  <si>
    <t>SA 17 SALDO CTA BAN</t>
  </si>
  <si>
    <t>GSON/1112150170</t>
  </si>
  <si>
    <t>SA 17 EGRESOS TR</t>
  </si>
  <si>
    <t>GSON/1112150173</t>
  </si>
  <si>
    <t>SA 17 IVA Y COMISION</t>
  </si>
  <si>
    <t>GSON/1112150174</t>
  </si>
  <si>
    <t>SA 17 INT GANADOS</t>
  </si>
  <si>
    <t>GSON/1112150175</t>
  </si>
  <si>
    <t>SA 18 SALDO CTA BAN</t>
  </si>
  <si>
    <t>GSON/1112150180</t>
  </si>
  <si>
    <t>SA 18 IVA Y COMISION</t>
  </si>
  <si>
    <t>GSON/1112150184</t>
  </si>
  <si>
    <t>SA 18 INT GANADOS</t>
  </si>
  <si>
    <t>GSON/1112150185</t>
  </si>
  <si>
    <t>SA 19 SALDO CTA BAN</t>
  </si>
  <si>
    <t>GSON/1112150190</t>
  </si>
  <si>
    <t>SA 19 IVA Y COMISION</t>
  </si>
  <si>
    <t>GSON/1112150194</t>
  </si>
  <si>
    <t>SA 24 SALDO CTA BAN</t>
  </si>
  <si>
    <t>GSON/1112150240</t>
  </si>
  <si>
    <t>SA 24 IVA Y COMISION</t>
  </si>
  <si>
    <t>GSON/1112150244</t>
  </si>
  <si>
    <t>SA 24 INT GANADOS</t>
  </si>
  <si>
    <t>GSON/1112150245</t>
  </si>
  <si>
    <t>SA 26 SALDO CTA BAN</t>
  </si>
  <si>
    <t>GSON/1112150260</t>
  </si>
  <si>
    <t>SA 26 IVA Y COMISION</t>
  </si>
  <si>
    <t>GSON/1112150264</t>
  </si>
  <si>
    <t>SA 26 INT GANADOS</t>
  </si>
  <si>
    <t>GSON/1112150265</t>
  </si>
  <si>
    <t>SA 27 SALDO CTA BAN</t>
  </si>
  <si>
    <t>GSON/1112150270</t>
  </si>
  <si>
    <t>SA 27 INGRESOS</t>
  </si>
  <si>
    <t>GSON/1112150271</t>
  </si>
  <si>
    <t>SA 27 IVA Y COMISION</t>
  </si>
  <si>
    <t>GSON/1112150274</t>
  </si>
  <si>
    <t>SA 27 INT GANADOS</t>
  </si>
  <si>
    <t>GSON/1112150275</t>
  </si>
  <si>
    <t>SA 28 SALDO CTA BAN</t>
  </si>
  <si>
    <t>GSON/1112150280</t>
  </si>
  <si>
    <t>SA 28 IVA Y COMISION</t>
  </si>
  <si>
    <t>GSON/1112150284</t>
  </si>
  <si>
    <t>SA 28 INT GANADOS</t>
  </si>
  <si>
    <t>GSON/1112150285</t>
  </si>
  <si>
    <t>SA 29 SALDO CTA BAN</t>
  </si>
  <si>
    <t>GSON/1112150290</t>
  </si>
  <si>
    <t>SA 29 IVA Y COMISION</t>
  </si>
  <si>
    <t>GSON/1112150294</t>
  </si>
  <si>
    <t>SA 29 INT GANADOS</t>
  </si>
  <si>
    <t>GSON/1112150295</t>
  </si>
  <si>
    <t>SA 30 IVA Y COMISION</t>
  </si>
  <si>
    <t>GSON/1112150304</t>
  </si>
  <si>
    <t>SA 31 SALDO CTA BAN</t>
  </si>
  <si>
    <t>GSON/1112150310</t>
  </si>
  <si>
    <t>SA 34 SALDO CTA BAN</t>
  </si>
  <si>
    <t>GSON/1112150340</t>
  </si>
  <si>
    <t>SA 34 IVA Y COMISION</t>
  </si>
  <si>
    <t>GSON/1112150344</t>
  </si>
  <si>
    <t>SA 34 INT GANADOS</t>
  </si>
  <si>
    <t>GSON/1112150345</t>
  </si>
  <si>
    <t>SA 35 INT GANADOS</t>
  </si>
  <si>
    <t>GSON/1112150355</t>
  </si>
  <si>
    <t>SA 37 EGRESOS CHEQUE</t>
  </si>
  <si>
    <t>SA 37 IVA Y COMISION</t>
  </si>
  <si>
    <t>SA 37 INT GANADOS</t>
  </si>
  <si>
    <t>GSON/1112150375</t>
  </si>
  <si>
    <t>SA 39 SALDO CTA BAN</t>
  </si>
  <si>
    <t>GSON/1112150390</t>
  </si>
  <si>
    <t>SA 39 IVA Y COMISION</t>
  </si>
  <si>
    <t>GSON/1112150394</t>
  </si>
  <si>
    <t>SA 39 INT GANADOS</t>
  </si>
  <si>
    <t>GSON/1112150395</t>
  </si>
  <si>
    <t>SA 40 SALDO CTA BAN</t>
  </si>
  <si>
    <t>GSON/1112150400</t>
  </si>
  <si>
    <t>SA 40 INGRESOS</t>
  </si>
  <si>
    <t>GSON/1112150401</t>
  </si>
  <si>
    <t>SA 40 EGRESOS TR</t>
  </si>
  <si>
    <t>GSON/1112150403</t>
  </si>
  <si>
    <t>SA 40 IVA Y COMISION</t>
  </si>
  <si>
    <t>GSON/1112150404</t>
  </si>
  <si>
    <t>SA 40 INT GANADOS</t>
  </si>
  <si>
    <t>GSON/1112150405</t>
  </si>
  <si>
    <t>SA 41 SALDO CTA BAN</t>
  </si>
  <si>
    <t>GSON/1112150410</t>
  </si>
  <si>
    <t>SA 41 IVA Y COMISION</t>
  </si>
  <si>
    <t>GSON/1112150414</t>
  </si>
  <si>
    <t>SA 42 SALDO CTA BAN</t>
  </si>
  <si>
    <t>GSON/1112150420</t>
  </si>
  <si>
    <t>SA 42 INGRESOS</t>
  </si>
  <si>
    <t>GSON/1112150421</t>
  </si>
  <si>
    <t>SA 42 EGRESOS TR</t>
  </si>
  <si>
    <t>GSON/1112150423</t>
  </si>
  <si>
    <t>SA 42 IVA Y COMISION</t>
  </si>
  <si>
    <t>GSON/1112150424</t>
  </si>
  <si>
    <t>SA 42 INT GANADOS</t>
  </si>
  <si>
    <t>GSON/1112150425</t>
  </si>
  <si>
    <t>SA 45 SALDO CTA BAN</t>
  </si>
  <si>
    <t>GSON/1112150450</t>
  </si>
  <si>
    <t>SA 45 EGRESOS TR</t>
  </si>
  <si>
    <t>GSON/1112150453</t>
  </si>
  <si>
    <t>SA 45 IVA Y COMISION</t>
  </si>
  <si>
    <t>GSON/1112150454</t>
  </si>
  <si>
    <t>SA 45 INT GANADOS</t>
  </si>
  <si>
    <t>GSON/1112150455</t>
  </si>
  <si>
    <t>SA 46 INGRESOS</t>
  </si>
  <si>
    <t>GSON/1112150461</t>
  </si>
  <si>
    <t>SA 46 EGRESOS CHEQUE</t>
  </si>
  <si>
    <t>SA 46 EGRESOS TR</t>
  </si>
  <si>
    <t>GSON/1112150463</t>
  </si>
  <si>
    <t>SA 46 IVA Y COMISION</t>
  </si>
  <si>
    <t>GSON/1112150464</t>
  </si>
  <si>
    <t>SA 46 INT GANADOS</t>
  </si>
  <si>
    <t>GSON/1112150465</t>
  </si>
  <si>
    <t>SA 47 SALDO CTA BAN</t>
  </si>
  <si>
    <t>GSON/1112150470</t>
  </si>
  <si>
    <t>SA 47 INGRESOS</t>
  </si>
  <si>
    <t>GSON/1112150471</t>
  </si>
  <si>
    <t>SA 47 EGRESOS TR</t>
  </si>
  <si>
    <t>GSON/1112150473</t>
  </si>
  <si>
    <t>SA 47 IVA Y COMISION</t>
  </si>
  <si>
    <t>GSON/1112150474</t>
  </si>
  <si>
    <t>SA 47 INT GANADOS</t>
  </si>
  <si>
    <t>GSON/1112150475</t>
  </si>
  <si>
    <t>SA 54 SALDO CTA BAN</t>
  </si>
  <si>
    <t>GSON/1112150540</t>
  </si>
  <si>
    <t>SA 54 IVA Y COMISION</t>
  </si>
  <si>
    <t>GSON/1112150544</t>
  </si>
  <si>
    <t>SA 54 INT GANADOS</t>
  </si>
  <si>
    <t>GSON/1112150545</t>
  </si>
  <si>
    <t>SA 55 SALDO CTA BAN</t>
  </si>
  <si>
    <t>GSON/1112150550</t>
  </si>
  <si>
    <t>SA 55 EGRESOS CHEQUE</t>
  </si>
  <si>
    <t>GSON/1112150552</t>
  </si>
  <si>
    <t>SA 55 IVA Y COMISION</t>
  </si>
  <si>
    <t>GSON/1112150554</t>
  </si>
  <si>
    <t>SA 55 INT GANADOS</t>
  </si>
  <si>
    <t>GSON/1112150555</t>
  </si>
  <si>
    <t>SA 56 SALDO CTA BAN</t>
  </si>
  <si>
    <t>GSON/1112150560</t>
  </si>
  <si>
    <t>SA 56 IVA Y COMISION</t>
  </si>
  <si>
    <t>GSON/1112150564</t>
  </si>
  <si>
    <t>SA 56 INT GANADOS</t>
  </si>
  <si>
    <t>GSON/1112150565</t>
  </si>
  <si>
    <t>SA 59 SALDO CTA BAN</t>
  </si>
  <si>
    <t>GSON/1112150590</t>
  </si>
  <si>
    <t>SA 59 INGRESOS</t>
  </si>
  <si>
    <t>GSON/1112150591</t>
  </si>
  <si>
    <t>SA 59 EGRESOS TR</t>
  </si>
  <si>
    <t>GSON/1112150593</t>
  </si>
  <si>
    <t>SA 59 IVA Y COMISION</t>
  </si>
  <si>
    <t>GSON/1112150594</t>
  </si>
  <si>
    <t>SA 59 INT GANADOS</t>
  </si>
  <si>
    <t>GSON/1112150595</t>
  </si>
  <si>
    <t>SA 60 SALDO CTA BAN</t>
  </si>
  <si>
    <t>GSON/1112150600</t>
  </si>
  <si>
    <t>SA 60 INGRESOS</t>
  </si>
  <si>
    <t>GSON/1112150601</t>
  </si>
  <si>
    <t>SA 60 EGRESOS TR</t>
  </si>
  <si>
    <t>GSON/1112150603</t>
  </si>
  <si>
    <t>SA 60 IVA Y COMISION</t>
  </si>
  <si>
    <t>GSON/1112150604</t>
  </si>
  <si>
    <t>SA 60 INT GANADOS</t>
  </si>
  <si>
    <t>GSON/1112150605</t>
  </si>
  <si>
    <t>SA 66 EGRESOS TR</t>
  </si>
  <si>
    <t>GSON/1112150663</t>
  </si>
  <si>
    <t>SA 66 IVA Y COMISION</t>
  </si>
  <si>
    <t>GSON/1112150664</t>
  </si>
  <si>
    <t>SA 67 IVA Y COMISION</t>
  </si>
  <si>
    <t>SA 68 IVA Y COMISION</t>
  </si>
  <si>
    <t>SA 69 EGRESOS CHEQUE</t>
  </si>
  <si>
    <t>SA 69 IVA Y COMISION</t>
  </si>
  <si>
    <t>SA 70 SALDO CTA BAN</t>
  </si>
  <si>
    <t>GSON/1112150700</t>
  </si>
  <si>
    <t>SA 70 INGRESOS</t>
  </si>
  <si>
    <t>GSON/1112150701</t>
  </si>
  <si>
    <t>SA 70 EGRESOS TR</t>
  </si>
  <si>
    <t>GSON/1112150703</t>
  </si>
  <si>
    <t>SA 70 IVA Y COMISION</t>
  </si>
  <si>
    <t>GSON/1112150704</t>
  </si>
  <si>
    <t>SA 71 IVA Y COMISION</t>
  </si>
  <si>
    <t>GSON/1112150714</t>
  </si>
  <si>
    <t>SA 72 SALDO CTA BAN</t>
  </si>
  <si>
    <t>GSON/1112150720</t>
  </si>
  <si>
    <t>SA 72 INGRESOS</t>
  </si>
  <si>
    <t>GSON/1112150721</t>
  </si>
  <si>
    <t>SA 72 EGRESOS TR</t>
  </si>
  <si>
    <t>GSON/1112150723</t>
  </si>
  <si>
    <t>SA 72 IVA Y COMISION</t>
  </si>
  <si>
    <t>GSON/1112150724</t>
  </si>
  <si>
    <t>SA 72 INT GANADOS</t>
  </si>
  <si>
    <t>GSON/1112150725</t>
  </si>
  <si>
    <t>SA 73 SALDO CTA BAN</t>
  </si>
  <si>
    <t>GSON/1112150730</t>
  </si>
  <si>
    <t>SA 73 INGRESOS</t>
  </si>
  <si>
    <t>GSON/1112150731</t>
  </si>
  <si>
    <t>SA 73 IVA Y COMISION</t>
  </si>
  <si>
    <t>GSON/1112150734</t>
  </si>
  <si>
    <t>SA 74 EGRESOS TR</t>
  </si>
  <si>
    <t>GSON/1112150743</t>
  </si>
  <si>
    <t>SA 74 IVA Y COMISION</t>
  </si>
  <si>
    <t>SA 75 INGRESOS</t>
  </si>
  <si>
    <t>GSON/1112150751</t>
  </si>
  <si>
    <t>SA 75 EGRESOS TR</t>
  </si>
  <si>
    <t>GSON/1112150753</t>
  </si>
  <si>
    <t>SA 75 IVA Y COMISION</t>
  </si>
  <si>
    <t>SA 76 IVA Y COMISION</t>
  </si>
  <si>
    <t>SA 77 SALDO CTA BAN</t>
  </si>
  <si>
    <t>GSON/1112150770</t>
  </si>
  <si>
    <t>SA 77 EGRESOS TR</t>
  </si>
  <si>
    <t>GSON/1112150773</t>
  </si>
  <si>
    <t>SA 77 IVA Y COMISION</t>
  </si>
  <si>
    <t>GSON/1112150774</t>
  </si>
  <si>
    <t>SA 78 EGRESOS TR</t>
  </si>
  <si>
    <t>GSON/1112150783</t>
  </si>
  <si>
    <t>SA 78 IVA Y COMISION</t>
  </si>
  <si>
    <t>SA 79 SALDO CTA BAN</t>
  </si>
  <si>
    <t>GSON/1112150790</t>
  </si>
  <si>
    <t>SA 79 INGRESOS</t>
  </si>
  <si>
    <t>GSON/1112150791</t>
  </si>
  <si>
    <t>SA 79 IVA Y COMISION</t>
  </si>
  <si>
    <t>GSON/1112150794</t>
  </si>
  <si>
    <t>SA 80 SALDO CTA BAN</t>
  </si>
  <si>
    <t>GSON/1112150800</t>
  </si>
  <si>
    <t>SA 80 EGRESOS TR</t>
  </si>
  <si>
    <t>GSON/1112150803</t>
  </si>
  <si>
    <t>SA 80 IVA Y COMISION</t>
  </si>
  <si>
    <t>GSON/1112150804</t>
  </si>
  <si>
    <t>SA 95 SLDO CTA BAN</t>
  </si>
  <si>
    <t>GSON/1112150950</t>
  </si>
  <si>
    <t>SA 95 IVA Y COMISION</t>
  </si>
  <si>
    <t>GSON/1112150954</t>
  </si>
  <si>
    <t>SA 96 SLDO CTA BAN</t>
  </si>
  <si>
    <t>GSON/1112150960</t>
  </si>
  <si>
    <t>SA 96 INGRESOS</t>
  </si>
  <si>
    <t>GSON/1112150961</t>
  </si>
  <si>
    <t>SA 96 EGRESOS CHEQUE</t>
  </si>
  <si>
    <t>GSON/1112150962</t>
  </si>
  <si>
    <t>SA 96 EGRESOS TR</t>
  </si>
  <si>
    <t>GSON/1112150963</t>
  </si>
  <si>
    <t>SA 96 IVA Y COMISION</t>
  </si>
  <si>
    <t>GSON/1112150964</t>
  </si>
  <si>
    <t>SA 96 INT GANADOS</t>
  </si>
  <si>
    <t>GSON/1112150965</t>
  </si>
  <si>
    <t>SA 97 SLDO CTA BAN</t>
  </si>
  <si>
    <t>GSON/1112150970</t>
  </si>
  <si>
    <t>SA 97 EGRESOS CHEQUE</t>
  </si>
  <si>
    <t>GSON/1112150972</t>
  </si>
  <si>
    <t>SA 97 EGRESOS TR</t>
  </si>
  <si>
    <t>GSON/1112150973</t>
  </si>
  <si>
    <t>SA 97 IVA Y COMISION</t>
  </si>
  <si>
    <t>GSON/1112150974</t>
  </si>
  <si>
    <t>SA 97 INT GANADOS</t>
  </si>
  <si>
    <t>GSON/1112150975</t>
  </si>
  <si>
    <t>SA 98 SLDO CTA BAN</t>
  </si>
  <si>
    <t>GSON/1112150980</t>
  </si>
  <si>
    <t>SA 98 EGRESOS CHEQUE</t>
  </si>
  <si>
    <t>GSON/1112150982</t>
  </si>
  <si>
    <t>SA 98 EGRESOS TR</t>
  </si>
  <si>
    <t>GSON/1112150983</t>
  </si>
  <si>
    <t>SA 98 IVA Y COMISION</t>
  </si>
  <si>
    <t>GSON/1112150984</t>
  </si>
  <si>
    <t>SA 98 INT GANADOS</t>
  </si>
  <si>
    <t>GSON/1112150985</t>
  </si>
  <si>
    <t>SA100 EGRESOS CHEQUE</t>
  </si>
  <si>
    <t>GSON/1112151002</t>
  </si>
  <si>
    <t>SA100 EGRESOS TR</t>
  </si>
  <si>
    <t>GSON/1112151003</t>
  </si>
  <si>
    <t>SA100 IVA Y COMISION</t>
  </si>
  <si>
    <t>GSON/1112151004</t>
  </si>
  <si>
    <t>SA100 INT GANADOS</t>
  </si>
  <si>
    <t>GSON/1112151005</t>
  </si>
  <si>
    <t>SA101 SLDO CTA BAN</t>
  </si>
  <si>
    <t>GSON/1112151010</t>
  </si>
  <si>
    <t>SA101 INGRESOS</t>
  </si>
  <si>
    <t>GSON/1112151011</t>
  </si>
  <si>
    <t>SA101 EGRESOS TR</t>
  </si>
  <si>
    <t>GSON/1112151013</t>
  </si>
  <si>
    <t>SA101 IVA Y COMISION</t>
  </si>
  <si>
    <t>GSON/1112151014</t>
  </si>
  <si>
    <t>SA101 INT GANADOS</t>
  </si>
  <si>
    <t>GSON/1112151015</t>
  </si>
  <si>
    <t>SA102 EGRESOS TR</t>
  </si>
  <si>
    <t>GSON/1112151023</t>
  </si>
  <si>
    <t>SA102 IVA Y COMISION</t>
  </si>
  <si>
    <t>SA102 INT GANADOS</t>
  </si>
  <si>
    <t>GSON/1112151025</t>
  </si>
  <si>
    <t>SA103 SLDO CTA BAN</t>
  </si>
  <si>
    <t>GSON/1112151030</t>
  </si>
  <si>
    <t>SA103 INGRESOS</t>
  </si>
  <si>
    <t>GSON/1112151031</t>
  </si>
  <si>
    <t>SA103 INT GANADOS</t>
  </si>
  <si>
    <t>GSON/1112151035</t>
  </si>
  <si>
    <t>SA104 SLDO CTA BAN</t>
  </si>
  <si>
    <t>GSON/1112151040</t>
  </si>
  <si>
    <t>SA104 IVA Y COMISION</t>
  </si>
  <si>
    <t>GSON/1112151044</t>
  </si>
  <si>
    <t>SA105 SLDO CTA BAN</t>
  </si>
  <si>
    <t>GSON/1112151050</t>
  </si>
  <si>
    <t>SA105 IVA Y COMISION</t>
  </si>
  <si>
    <t>GSON/1112151054</t>
  </si>
  <si>
    <t>SA106 SLDO CTA BAN</t>
  </si>
  <si>
    <t>GSON/1112151060</t>
  </si>
  <si>
    <t>SA106 INGRESOS</t>
  </si>
  <si>
    <t>GSON/1112151061</t>
  </si>
  <si>
    <t>SA106 EGRESOS TR</t>
  </si>
  <si>
    <t>GSON/1112151063</t>
  </si>
  <si>
    <t>SA106 IVA Y COMISION</t>
  </si>
  <si>
    <t>GSON/1112151064</t>
  </si>
  <si>
    <t>SA106 INT GANADOS</t>
  </si>
  <si>
    <t>GSON/1112151065</t>
  </si>
  <si>
    <t>SA107 SLDO CTA BAN</t>
  </si>
  <si>
    <t>GSON/1112151070</t>
  </si>
  <si>
    <t>SA107 INGRESOS</t>
  </si>
  <si>
    <t>GSON/1112151071</t>
  </si>
  <si>
    <t>SA107 IVA Y COMISION</t>
  </si>
  <si>
    <t>GSON/1112151074</t>
  </si>
  <si>
    <t>SA107 INT GANADOS</t>
  </si>
  <si>
    <t>GSON/1112151075</t>
  </si>
  <si>
    <t>SA110 SLDO CTA BAN</t>
  </si>
  <si>
    <t>GSON/1112151100</t>
  </si>
  <si>
    <t>SA110 INGRESOS</t>
  </si>
  <si>
    <t>GSON/1112151101</t>
  </si>
  <si>
    <t>SA110 EGRESOS CHEQUE</t>
  </si>
  <si>
    <t>GSON/1112151102</t>
  </si>
  <si>
    <t>SA110 EGRESOS TR</t>
  </si>
  <si>
    <t>GSON/1112151103</t>
  </si>
  <si>
    <t>SA110 IVA Y COMISION</t>
  </si>
  <si>
    <t>GSON/1112151104</t>
  </si>
  <si>
    <t>SA110 INT GANADOS</t>
  </si>
  <si>
    <t>GSON/1112151105</t>
  </si>
  <si>
    <t>SA111 SLDO CTA BAN</t>
  </si>
  <si>
    <t>GSON/1112151110</t>
  </si>
  <si>
    <t>SA111 INGRESOS</t>
  </si>
  <si>
    <t>GSON/1112151111</t>
  </si>
  <si>
    <t>SA111 IVA Y COMISION</t>
  </si>
  <si>
    <t>GSON/1112151114</t>
  </si>
  <si>
    <t>SA112 SLDO CTA BAN</t>
  </si>
  <si>
    <t>GSON/1112151120</t>
  </si>
  <si>
    <t>SA112 EGRESOS CHEQUE</t>
  </si>
  <si>
    <t>GSON/1112151122</t>
  </si>
  <si>
    <t>SA112 EGRESOS TR</t>
  </si>
  <si>
    <t>GSON/1112151123</t>
  </si>
  <si>
    <t>SA112 IVA Y COMISION</t>
  </si>
  <si>
    <t>GSON/1112151124</t>
  </si>
  <si>
    <t>SA112 INT GANADOS</t>
  </si>
  <si>
    <t>GSON/1112151125</t>
  </si>
  <si>
    <t>SA113 SLDO CTA BAN</t>
  </si>
  <si>
    <t>GSON/1112151130</t>
  </si>
  <si>
    <t>SA113 EGRESOS TR</t>
  </si>
  <si>
    <t>GSON/1112151133</t>
  </si>
  <si>
    <t>SA113 INT GANADOS</t>
  </si>
  <si>
    <t>GSON/1112151135</t>
  </si>
  <si>
    <t>SA114 SLDO CTA BAN</t>
  </si>
  <si>
    <t>GSON/1112151140</t>
  </si>
  <si>
    <t>SA114 EGRESOS TR</t>
  </si>
  <si>
    <t>GSON/1112151143</t>
  </si>
  <si>
    <t>SA115 SLDO CTA BAN</t>
  </si>
  <si>
    <t>GSON/1112151150</t>
  </si>
  <si>
    <t>SA115 EGRESOS CHEQUE</t>
  </si>
  <si>
    <t>GSON/1112151152</t>
  </si>
  <si>
    <t>SA115 IVA Y COMISION</t>
  </si>
  <si>
    <t>GSON/1112151154</t>
  </si>
  <si>
    <t>SA116 SLDO CTA BAN</t>
  </si>
  <si>
    <t>GSON/1112151160</t>
  </si>
  <si>
    <t>SA116 EGRESOS CHEQUE</t>
  </si>
  <si>
    <t>GSON/1112151162</t>
  </si>
  <si>
    <t>SA116 IVA Y COMISION</t>
  </si>
  <si>
    <t>GSON/1112151164</t>
  </si>
  <si>
    <t>SA116 INT GANADOS</t>
  </si>
  <si>
    <t>GSON/1112151165</t>
  </si>
  <si>
    <t>SA121 SLDO CTA BAN</t>
  </si>
  <si>
    <t>GSON/1112151210</t>
  </si>
  <si>
    <t>SA121 INGRESOS</t>
  </si>
  <si>
    <t>GSON/1112151211</t>
  </si>
  <si>
    <t>SA121 EGRESOS TR</t>
  </si>
  <si>
    <t>GSON/1112151213</t>
  </si>
  <si>
    <t>SA121 IVA Y COMISION</t>
  </si>
  <si>
    <t>GSON/1112151214</t>
  </si>
  <si>
    <t>SA121 INT GANADOS</t>
  </si>
  <si>
    <t>GSON/1112151215</t>
  </si>
  <si>
    <t>SA122 SLDO CTA BAN</t>
  </si>
  <si>
    <t>GSON/1112151220</t>
  </si>
  <si>
    <t>SA122 EGRESOS CHEQUE</t>
  </si>
  <si>
    <t>GSON/1112151222</t>
  </si>
  <si>
    <t>SA122 EGRESOS TR</t>
  </si>
  <si>
    <t>GSON/1112151223</t>
  </si>
  <si>
    <t>SA122 IVA Y COMISION</t>
  </si>
  <si>
    <t>GSON/1112151224</t>
  </si>
  <si>
    <t>SA122 INT GANADOS</t>
  </si>
  <si>
    <t>GSON/1112151225</t>
  </si>
  <si>
    <t>SA123 SLDO CTA BAN</t>
  </si>
  <si>
    <t>GSON/1112151230</t>
  </si>
  <si>
    <t>SA123 EGRESOS CHEQUE</t>
  </si>
  <si>
    <t>GSON/1112151232</t>
  </si>
  <si>
    <t>SA123 IVA Y COMISION</t>
  </si>
  <si>
    <t>GSON/1112151234</t>
  </si>
  <si>
    <t>SA123 INT GANADOS</t>
  </si>
  <si>
    <t>GSON/1112151235</t>
  </si>
  <si>
    <t>SA124 SLDO CTA BAN</t>
  </si>
  <si>
    <t>GSON/1112151240</t>
  </si>
  <si>
    <t>SA124 INGRESOS</t>
  </si>
  <si>
    <t>GSON/1112151241</t>
  </si>
  <si>
    <t>SA124 EGRESOS TR</t>
  </si>
  <si>
    <t>GSON/1112151243</t>
  </si>
  <si>
    <t>SA124 INT GANADOS</t>
  </si>
  <si>
    <t>GSON/1112151245</t>
  </si>
  <si>
    <t>SA126 SLDO CTA BAN</t>
  </si>
  <si>
    <t>GSON/1112151260</t>
  </si>
  <si>
    <t>SA126 INGRESOS</t>
  </si>
  <si>
    <t>GSON/1112151261</t>
  </si>
  <si>
    <t>SA126 EGRESOS TR</t>
  </si>
  <si>
    <t>GSON/1112151263</t>
  </si>
  <si>
    <t>SA126 INT GANADOS</t>
  </si>
  <si>
    <t>GSON/1112151265</t>
  </si>
  <si>
    <t>SA 127 SALDO CTA BAN</t>
  </si>
  <si>
    <t>GSON/1112151270</t>
  </si>
  <si>
    <t>SA 127 INGRESOS</t>
  </si>
  <si>
    <t>GSON/1112151271</t>
  </si>
  <si>
    <t>SA 127 EGRESOS TR</t>
  </si>
  <si>
    <t>GSON/1112151273</t>
  </si>
  <si>
    <t>SA 127 IVA Y COMIS</t>
  </si>
  <si>
    <t>GSON/1112151274</t>
  </si>
  <si>
    <t>SA 127 INT GANADOS</t>
  </si>
  <si>
    <t>GSON/1112151275</t>
  </si>
  <si>
    <t>SA129 SLDO CTA BAN</t>
  </si>
  <si>
    <t>GSON/1112151290</t>
  </si>
  <si>
    <t>SA129 INGRESOS</t>
  </si>
  <si>
    <t>GSON/1112151291</t>
  </si>
  <si>
    <t>SA129 EGRESOS TR</t>
  </si>
  <si>
    <t>GSON/1112151293</t>
  </si>
  <si>
    <t>SA129 INT GANADOS</t>
  </si>
  <si>
    <t>GSON/1112151295</t>
  </si>
  <si>
    <t>SA130 SLDO CTA BAN</t>
  </si>
  <si>
    <t>GSON/1112151300</t>
  </si>
  <si>
    <t>SA130 INGRESOS</t>
  </si>
  <si>
    <t>GSON/1112151301</t>
  </si>
  <si>
    <t>SA130 EGRESOS TR</t>
  </si>
  <si>
    <t>GSON/1112151303</t>
  </si>
  <si>
    <t>SA130 INT GANADOS</t>
  </si>
  <si>
    <t>GSON/1112151305</t>
  </si>
  <si>
    <t>SA131 SLDO CTA BAN</t>
  </si>
  <si>
    <t>GSON/1112151310</t>
  </si>
  <si>
    <t>SA131 INGRESOS</t>
  </si>
  <si>
    <t>GSON/1112151311</t>
  </si>
  <si>
    <t>SA131 EGRESOS TR</t>
  </si>
  <si>
    <t>GSON/1112151313</t>
  </si>
  <si>
    <t>SA131 INT GANADOS</t>
  </si>
  <si>
    <t>GSON/1112151315</t>
  </si>
  <si>
    <t>SA132 SLDO CTA BAN</t>
  </si>
  <si>
    <t>GSON/1112151320</t>
  </si>
  <si>
    <t>SA132 INGRESOS</t>
  </si>
  <si>
    <t>GSON/1112151321</t>
  </si>
  <si>
    <t>SA132 EGRESOS TR</t>
  </si>
  <si>
    <t>GSON/1112151323</t>
  </si>
  <si>
    <t>SA132 IVA Y COMISION</t>
  </si>
  <si>
    <t>GSON/1112151324</t>
  </si>
  <si>
    <t>SA132 INT GANADOS</t>
  </si>
  <si>
    <t>GSON/1112151325</t>
  </si>
  <si>
    <t>SA133 SLDO CTA BAN</t>
  </si>
  <si>
    <t>GSON/1112151330</t>
  </si>
  <si>
    <t>SA133 INGRESOS</t>
  </si>
  <si>
    <t>GSON/1112151331</t>
  </si>
  <si>
    <t>SA133 EGRESOS TR</t>
  </si>
  <si>
    <t>GSON/1112151333</t>
  </si>
  <si>
    <t>SA133 IVA Y COMISION</t>
  </si>
  <si>
    <t>GSON/1112151334</t>
  </si>
  <si>
    <t>SA133 INT GANADOS</t>
  </si>
  <si>
    <t>GSON/1112151335</t>
  </si>
  <si>
    <t>SA134 SLDO CTA BAN</t>
  </si>
  <si>
    <t>GSON/1112151340</t>
  </si>
  <si>
    <t>SA134 INGRESOS</t>
  </si>
  <si>
    <t>GSON/1112151341</t>
  </si>
  <si>
    <t>SA134 EGRESOS TR</t>
  </si>
  <si>
    <t>GSON/1112151343</t>
  </si>
  <si>
    <t>SA134 IVA Y COMISION</t>
  </si>
  <si>
    <t>GSON/1112151344</t>
  </si>
  <si>
    <t>SA134 INT GANADOS</t>
  </si>
  <si>
    <t>GSON/1112151345</t>
  </si>
  <si>
    <t>SA135 SLDO CTA BAN</t>
  </si>
  <si>
    <t>GSON/1112151350</t>
  </si>
  <si>
    <t>SA135 INGRESOS</t>
  </si>
  <si>
    <t>GSON/1112151351</t>
  </si>
  <si>
    <t>SA135 EGRESOS TR</t>
  </si>
  <si>
    <t>GSON/1112151353</t>
  </si>
  <si>
    <t>SA135 IVA Y COMISION</t>
  </si>
  <si>
    <t>GSON/1112151354</t>
  </si>
  <si>
    <t>SA135 INT GANADOS</t>
  </si>
  <si>
    <t>GSON/1112151355</t>
  </si>
  <si>
    <t>SA136 SLDO CTA BAN</t>
  </si>
  <si>
    <t>GSON/1112151360</t>
  </si>
  <si>
    <t>SA136 INGRESOS</t>
  </si>
  <si>
    <t>GSON/1112151361</t>
  </si>
  <si>
    <t>SA136 EGRESOS TR</t>
  </si>
  <si>
    <t>GSON/1112151363</t>
  </si>
  <si>
    <t>SA136 INT GANADOS</t>
  </si>
  <si>
    <t>GSON/1112151365</t>
  </si>
  <si>
    <t>SA137 SLDO CTA BAN</t>
  </si>
  <si>
    <t>GSON/1112151370</t>
  </si>
  <si>
    <t>SA137 INGRESOS</t>
  </si>
  <si>
    <t>GSON/1112151371</t>
  </si>
  <si>
    <t>SA137 EGRESOS TR</t>
  </si>
  <si>
    <t>GSON/1112151373</t>
  </si>
  <si>
    <t>SA137 INT GANADOS</t>
  </si>
  <si>
    <t>GSON/1112151375</t>
  </si>
  <si>
    <t>SA138 SLDO CTA BAN</t>
  </si>
  <si>
    <t>GSON/1112151380</t>
  </si>
  <si>
    <t>SA138 INGRESOS</t>
  </si>
  <si>
    <t>GSON/1112151381</t>
  </si>
  <si>
    <t>SA138 EGRESOS CHEQUE</t>
  </si>
  <si>
    <t>GSON/1112151382</t>
  </si>
  <si>
    <t>SA138 EGRESOS TR</t>
  </si>
  <si>
    <t>GSON/1112151383</t>
  </si>
  <si>
    <t>SA138 IVA Y COMISION</t>
  </si>
  <si>
    <t>GSON/1112151384</t>
  </si>
  <si>
    <t>SA138 INT GANADOS</t>
  </si>
  <si>
    <t>GSON/1112151385</t>
  </si>
  <si>
    <t>SA139 SLDO CTA BAN</t>
  </si>
  <si>
    <t>GSON/1112151390</t>
  </si>
  <si>
    <t>SA139 INGRESOS</t>
  </si>
  <si>
    <t>GSON/1112151391</t>
  </si>
  <si>
    <t>SA139 EGRESOS TR</t>
  </si>
  <si>
    <t>GSON/1112151393</t>
  </si>
  <si>
    <t>SA139 IVA Y COMISION</t>
  </si>
  <si>
    <t>GSON/1112151394</t>
  </si>
  <si>
    <t>SA139 INT GANADOS</t>
  </si>
  <si>
    <t>GSON/1112151395</t>
  </si>
  <si>
    <t>SA140 SLDO CTA BAN</t>
  </si>
  <si>
    <t>GSON/1112151400</t>
  </si>
  <si>
    <t>SA140 INGRESOS</t>
  </si>
  <si>
    <t>GSON/1112151401</t>
  </si>
  <si>
    <t>SA140 EGRESOS TR</t>
  </si>
  <si>
    <t>GSON/1112151403</t>
  </si>
  <si>
    <t>SA140 IVA Y COMISION</t>
  </si>
  <si>
    <t>GSON/1112151404</t>
  </si>
  <si>
    <t>SA140 INT GANADOS</t>
  </si>
  <si>
    <t>GSON/1112151405</t>
  </si>
  <si>
    <t>SA142 SLDO CTA BAN</t>
  </si>
  <si>
    <t>GSON/1112151420</t>
  </si>
  <si>
    <t>SA142 INGRESOS</t>
  </si>
  <si>
    <t>GSON/1112151421</t>
  </si>
  <si>
    <t>SA142 EGRESOS TR</t>
  </si>
  <si>
    <t>GSON/1112151423</t>
  </si>
  <si>
    <t>SA142 IVA Y COMISION</t>
  </si>
  <si>
    <t>GSON/1112151424</t>
  </si>
  <si>
    <t>SA142 INT GANADOS</t>
  </si>
  <si>
    <t>GSON/1112151425</t>
  </si>
  <si>
    <t>SA143 SLDO CTA BAN</t>
  </si>
  <si>
    <t>GSON/1112151430</t>
  </si>
  <si>
    <t>SA143 INGRESOS</t>
  </si>
  <si>
    <t>GSON/1112151431</t>
  </si>
  <si>
    <t>SA143 EGRESOS CHEQUE</t>
  </si>
  <si>
    <t>GSON/1112151432</t>
  </si>
  <si>
    <t>SA143 EGRESOS TR</t>
  </si>
  <si>
    <t>GSON/1112151433</t>
  </si>
  <si>
    <t>SA143 IVA Y COMISION</t>
  </si>
  <si>
    <t>GSON/1112151434</t>
  </si>
  <si>
    <t>SA143 INT GANADOS</t>
  </si>
  <si>
    <t>GSON/1112151435</t>
  </si>
  <si>
    <t>SA145 SLDO CTA BAN</t>
  </si>
  <si>
    <t>GSON/1112151450</t>
  </si>
  <si>
    <t>SA145 INGRESOS</t>
  </si>
  <si>
    <t>GSON/1112151451</t>
  </si>
  <si>
    <t>SA145 EGRESOS TR</t>
  </si>
  <si>
    <t>GSON/1112151453</t>
  </si>
  <si>
    <t>SA145 IVA Y COMISION</t>
  </si>
  <si>
    <t>GSON/1112151454</t>
  </si>
  <si>
    <t>SA145 INT GANADOS</t>
  </si>
  <si>
    <t>GSON/1112151455</t>
  </si>
  <si>
    <t>SA149 SLDO CTA BAN</t>
  </si>
  <si>
    <t>GSON/1112151490</t>
  </si>
  <si>
    <t>SA149 INGRESOS</t>
  </si>
  <si>
    <t>GSON/1112151491</t>
  </si>
  <si>
    <t>SA149 EGRESOS TR</t>
  </si>
  <si>
    <t>GSON/1112151493</t>
  </si>
  <si>
    <t>SA149 IVA Y COMISION</t>
  </si>
  <si>
    <t>GSON/1112151494</t>
  </si>
  <si>
    <t>SA149 INT GANADOS</t>
  </si>
  <si>
    <t>GSON/1112151495</t>
  </si>
  <si>
    <t>SA150 SLDO CTA BAN</t>
  </si>
  <si>
    <t>GSON/1112151500</t>
  </si>
  <si>
    <t>SA150 INGRESOS</t>
  </si>
  <si>
    <t>GSON/1112151501</t>
  </si>
  <si>
    <t>SA150 EGRESOS TR</t>
  </si>
  <si>
    <t>GSON/1112151503</t>
  </si>
  <si>
    <t>SA150 IVA Y COMISION</t>
  </si>
  <si>
    <t>GSON/1112151504</t>
  </si>
  <si>
    <t>SA150 INT GANADOS</t>
  </si>
  <si>
    <t>GSON/1112151505</t>
  </si>
  <si>
    <t>SA151 SLDO CTA BAN</t>
  </si>
  <si>
    <t>GSON/1112151510</t>
  </si>
  <si>
    <t>SA151 INGRESOS</t>
  </si>
  <si>
    <t>GSON/1112151511</t>
  </si>
  <si>
    <t>SA151 EGRESOS TR</t>
  </si>
  <si>
    <t>GSON/1112151513</t>
  </si>
  <si>
    <t>SA151 IVA Y COMISION</t>
  </si>
  <si>
    <t>GSON/1112151514</t>
  </si>
  <si>
    <t>SA151 INT GANADOS</t>
  </si>
  <si>
    <t>GSON/1112151515</t>
  </si>
  <si>
    <t>SA152 SLDO CTA BAN</t>
  </si>
  <si>
    <t>GSON/1112151520</t>
  </si>
  <si>
    <t>SA152 INGRESOS</t>
  </si>
  <si>
    <t>GSON/1112151521</t>
  </si>
  <si>
    <t>SA152 EGRESOS TR</t>
  </si>
  <si>
    <t>GSON/1112151523</t>
  </si>
  <si>
    <t>SA152 INT GANADOS</t>
  </si>
  <si>
    <t>GSON/1112151525</t>
  </si>
  <si>
    <t>SA153 SLDO CTA BAN</t>
  </si>
  <si>
    <t>GSON/1112151530</t>
  </si>
  <si>
    <t>SA153 INGRESOS</t>
  </si>
  <si>
    <t>GSON/1112151531</t>
  </si>
  <si>
    <t>SA153 EGRESOS TR</t>
  </si>
  <si>
    <t>GSON/1112151533</t>
  </si>
  <si>
    <t>SA153 IVA Y COMISION</t>
  </si>
  <si>
    <t>GSON/1112151534</t>
  </si>
  <si>
    <t>SA153 INT GANADOS</t>
  </si>
  <si>
    <t>GSON/1112151535</t>
  </si>
  <si>
    <t>SA154 SLDO CTA BAN</t>
  </si>
  <si>
    <t>GSON/1112151540</t>
  </si>
  <si>
    <t>SA154 INGRESOS</t>
  </si>
  <si>
    <t>GSON/1112151541</t>
  </si>
  <si>
    <t>SA154 EGRESOS TR</t>
  </si>
  <si>
    <t>GSON/1112151543</t>
  </si>
  <si>
    <t>SA154 IVA Y COMISION</t>
  </si>
  <si>
    <t>GSON/1112151544</t>
  </si>
  <si>
    <t>SA154 INT GANADOS</t>
  </si>
  <si>
    <t>GSON/1112151545</t>
  </si>
  <si>
    <t>SA155 SLDO CTA BAN</t>
  </si>
  <si>
    <t>GSON/1112151550</t>
  </si>
  <si>
    <t>SA155 INGRESOS</t>
  </si>
  <si>
    <t>GSON/1112151551</t>
  </si>
  <si>
    <t>SA155 EGRESOS TR</t>
  </si>
  <si>
    <t>GSON/1112151553</t>
  </si>
  <si>
    <t>SA155 INT GANADOS</t>
  </si>
  <si>
    <t>GSON/1112151555</t>
  </si>
  <si>
    <t>SA156 SLDO CTA BAN</t>
  </si>
  <si>
    <t>GSON/1112151560</t>
  </si>
  <si>
    <t>SA156 INGRESOS</t>
  </si>
  <si>
    <t>GSON/1112151561</t>
  </si>
  <si>
    <t>SA156 EGRESOS TR</t>
  </si>
  <si>
    <t>GSON/1112151563</t>
  </si>
  <si>
    <t>SA156 IVA Y COMISION</t>
  </si>
  <si>
    <t>GSON/1112151564</t>
  </si>
  <si>
    <t>SA156 INT GANADOS</t>
  </si>
  <si>
    <t>GSON/1112151565</t>
  </si>
  <si>
    <t>SA157 SLDO CTA BAN</t>
  </si>
  <si>
    <t>GSON/1112151570</t>
  </si>
  <si>
    <t>SA157 INGRESOS</t>
  </si>
  <si>
    <t>GSON/1112151571</t>
  </si>
  <si>
    <t>SA157 EGRESOS TR</t>
  </si>
  <si>
    <t>GSON/1112151573</t>
  </si>
  <si>
    <t>SA157 IVA Y COMISION</t>
  </si>
  <si>
    <t>GSON/1112151574</t>
  </si>
  <si>
    <t>SA157 INT GANADOS</t>
  </si>
  <si>
    <t>GSON/1112151575</t>
  </si>
  <si>
    <t>SA158 SLDO CTA BAN</t>
  </si>
  <si>
    <t>GSON/1112151580</t>
  </si>
  <si>
    <t>SA158 INGRESOS</t>
  </si>
  <si>
    <t>GSON/1112151581</t>
  </si>
  <si>
    <t>SA158 EGRESOS TR</t>
  </si>
  <si>
    <t>GSON/1112151583</t>
  </si>
  <si>
    <t>SA158 IVA Y COMISION</t>
  </si>
  <si>
    <t>GSON/1112151584</t>
  </si>
  <si>
    <t>SA158 INT GANADOS</t>
  </si>
  <si>
    <t>GSON/1112151585</t>
  </si>
  <si>
    <t>SA159 SLDO CTA BAN</t>
  </si>
  <si>
    <t>GSON/1112151590</t>
  </si>
  <si>
    <t>SA159 INGRESOS</t>
  </si>
  <si>
    <t>GSON/1112151591</t>
  </si>
  <si>
    <t>SA159 EGRESOS CHEQUE</t>
  </si>
  <si>
    <t>GSON/1112151592</t>
  </si>
  <si>
    <t>SA159 EGRESOS TR</t>
  </si>
  <si>
    <t>GSON/1112151593</t>
  </si>
  <si>
    <t>SA159 IVA Y COMISION</t>
  </si>
  <si>
    <t>GSON/1112151594</t>
  </si>
  <si>
    <t>SA159 INT GANADOS</t>
  </si>
  <si>
    <t>GSON/1112151595</t>
  </si>
  <si>
    <t>SA160 SLDO CTA BAN</t>
  </si>
  <si>
    <t>GSON/1112151600</t>
  </si>
  <si>
    <t>SA160 INGRESOS</t>
  </si>
  <si>
    <t>GSON/1112151601</t>
  </si>
  <si>
    <t>SA160 EGRESOS CHEQUE</t>
  </si>
  <si>
    <t>GSON/1112151602</t>
  </si>
  <si>
    <t>SA160 EGRESOS TR</t>
  </si>
  <si>
    <t>GSON/1112151603</t>
  </si>
  <si>
    <t>SA160 INT GANADOS</t>
  </si>
  <si>
    <t>GSON/1112151605</t>
  </si>
  <si>
    <t>SA162 SLDO CTA BAN</t>
  </si>
  <si>
    <t>GSON/1112151620</t>
  </si>
  <si>
    <t>SA162 INGRESOS</t>
  </si>
  <si>
    <t>GSON/1112151621</t>
  </si>
  <si>
    <t>SA162 EGRESOS TR</t>
  </si>
  <si>
    <t>GSON/1112151623</t>
  </si>
  <si>
    <t>SA162 IVA Y COMISION</t>
  </si>
  <si>
    <t>GSON/1112151624</t>
  </si>
  <si>
    <t>SA165 INT GANADOS</t>
  </si>
  <si>
    <t>GSON/1112151625</t>
  </si>
  <si>
    <t>SA163 SLDO CTA BAN</t>
  </si>
  <si>
    <t>GSON/1112151630</t>
  </si>
  <si>
    <t>SA163 INGRESOS</t>
  </si>
  <si>
    <t>GSON/1112151631</t>
  </si>
  <si>
    <t>SA163 EGRESOS TR</t>
  </si>
  <si>
    <t>GSON/1112151633</t>
  </si>
  <si>
    <t>SA163 IVA Y COMISION</t>
  </si>
  <si>
    <t>GSON/1112151634</t>
  </si>
  <si>
    <t>SA163 INT GANADOS</t>
  </si>
  <si>
    <t>GSON/1112151635</t>
  </si>
  <si>
    <t>SA164 SLDO CTA BAN</t>
  </si>
  <si>
    <t>GSON/1112151640</t>
  </si>
  <si>
    <t>SA164 INGRESOS</t>
  </si>
  <si>
    <t>GSON/1112151641</t>
  </si>
  <si>
    <t>SA164 EGRESOS TR</t>
  </si>
  <si>
    <t>GSON/1112151643</t>
  </si>
  <si>
    <t>SA164 IVA Y COMISION</t>
  </si>
  <si>
    <t>GSON/1112151644</t>
  </si>
  <si>
    <t>SA164 INT GANADOS</t>
  </si>
  <si>
    <t>GSON/1112151645</t>
  </si>
  <si>
    <t>SA165 SLDO CTA BAN</t>
  </si>
  <si>
    <t>GSON/1112151650</t>
  </si>
  <si>
    <t>SA165 INGRESOS</t>
  </si>
  <si>
    <t>GSON/1112151651</t>
  </si>
  <si>
    <t>SA165 EGRESOS TR</t>
  </si>
  <si>
    <t>GSON/1112151653</t>
  </si>
  <si>
    <t>SA165 IVA Y COMISION</t>
  </si>
  <si>
    <t>GSON/1112151654</t>
  </si>
  <si>
    <t>GSON/1112151655</t>
  </si>
  <si>
    <t>SA166 SLDO CTA BAN</t>
  </si>
  <si>
    <t>GSON/1112151660</t>
  </si>
  <si>
    <t>SA166 INGRESOS</t>
  </si>
  <si>
    <t>GSON/1112151661</t>
  </si>
  <si>
    <t>SA166 EGRESOS TR</t>
  </si>
  <si>
    <t>GSON/1112151663</t>
  </si>
  <si>
    <t>SA166 IVA Y COMISION</t>
  </si>
  <si>
    <t>GSON/1112151664</t>
  </si>
  <si>
    <t>SA166 INT GANADOS</t>
  </si>
  <si>
    <t>GSON/1112151665</t>
  </si>
  <si>
    <t>SA167 SLDO CTA BAN</t>
  </si>
  <si>
    <t>GSON/1112151670</t>
  </si>
  <si>
    <t>SA167 INGRESOS</t>
  </si>
  <si>
    <t>GSON/1112151671</t>
  </si>
  <si>
    <t>SA167 EGRESOS TR</t>
  </si>
  <si>
    <t>GSON/1112151673</t>
  </si>
  <si>
    <t>SA167 IVA Y COMISION</t>
  </si>
  <si>
    <t>GSON/1112151674</t>
  </si>
  <si>
    <t>SA167 INT GANADOS</t>
  </si>
  <si>
    <t>GSON/1112151675</t>
  </si>
  <si>
    <t>SA169 SLDO CTA BAN</t>
  </si>
  <si>
    <t>GSON/1112151690</t>
  </si>
  <si>
    <t>SA169 INGRESOS</t>
  </si>
  <si>
    <t>GSON/1112151691</t>
  </si>
  <si>
    <t>SA169 EGRESOS TR</t>
  </si>
  <si>
    <t>GSON/1112151693</t>
  </si>
  <si>
    <t>SA169 IVA Y COMISION</t>
  </si>
  <si>
    <t>GSON/1112151694</t>
  </si>
  <si>
    <t>SA169 INT GANADOS</t>
  </si>
  <si>
    <t>GSON/1112151695</t>
  </si>
  <si>
    <t>SA170 SLDO CTA BAN</t>
  </si>
  <si>
    <t>GSON/1112151700</t>
  </si>
  <si>
    <t>SA170 INGRESOS</t>
  </si>
  <si>
    <t>GSON/1112151701</t>
  </si>
  <si>
    <t>SA170 EGRESOS TR</t>
  </si>
  <si>
    <t>GSON/1112151703</t>
  </si>
  <si>
    <t>SA170 IVA Y COMISION</t>
  </si>
  <si>
    <t>GSON/1112151704</t>
  </si>
  <si>
    <t>SA170 INT GANADOS</t>
  </si>
  <si>
    <t>GSON/1112151705</t>
  </si>
  <si>
    <t>SA172 SLDO CTA BAN</t>
  </si>
  <si>
    <t>GSON/1112151720</t>
  </si>
  <si>
    <t>SA172 INGRESOS</t>
  </si>
  <si>
    <t>GSON/1112151721</t>
  </si>
  <si>
    <t>SA172 EGRESOS TR</t>
  </si>
  <si>
    <t>GSON/1112151723</t>
  </si>
  <si>
    <t>SA172 IVA Y COMISION</t>
  </si>
  <si>
    <t>GSON/1112151724</t>
  </si>
  <si>
    <t>SA172 INT GANADOS</t>
  </si>
  <si>
    <t>GSON/1112151725</t>
  </si>
  <si>
    <t>SA173 EGRESOS TR</t>
  </si>
  <si>
    <t>GSON/1112151733</t>
  </si>
  <si>
    <t>SA174 EGRESOS TR</t>
  </si>
  <si>
    <t>GSON/1112151743</t>
  </si>
  <si>
    <t>SA175 SLDO CTA BAN</t>
  </si>
  <si>
    <t>GSON/1112151750</t>
  </si>
  <si>
    <t>SA175 INGRESOS</t>
  </si>
  <si>
    <t>GSON/1112151751</t>
  </si>
  <si>
    <t>SA176 SLDO CTA BAN</t>
  </si>
  <si>
    <t>GSON/1112151760</t>
  </si>
  <si>
    <t>SA176 INGRESOS</t>
  </si>
  <si>
    <t>GSON/1112151761</t>
  </si>
  <si>
    <t>SC 01 SALDO CTA BAN</t>
  </si>
  <si>
    <t>GSON/1112160010</t>
  </si>
  <si>
    <t>SC 01 INGRESOS</t>
  </si>
  <si>
    <t>GSON/1112160011</t>
  </si>
  <si>
    <t>SC 01 EGRESOS CHEQUE</t>
  </si>
  <si>
    <t>SC 01 IVA Y COMISION</t>
  </si>
  <si>
    <t>GSON/1112160014</t>
  </si>
  <si>
    <t>SC 02 SALDO CTA BAN</t>
  </si>
  <si>
    <t>GSON/1112160020</t>
  </si>
  <si>
    <t>SC 02 INGRESOS</t>
  </si>
  <si>
    <t>GSON/1112160021</t>
  </si>
  <si>
    <t>SC 02 IVA Y COMISION</t>
  </si>
  <si>
    <t>GSON/1112160024</t>
  </si>
  <si>
    <t>SC 03 SALDO CTA BAN</t>
  </si>
  <si>
    <t>GSON/1112160030</t>
  </si>
  <si>
    <t>SC 03 INT GANADOS</t>
  </si>
  <si>
    <t>GSON/1112160035</t>
  </si>
  <si>
    <t>SC 04 SALDO CTA BAN</t>
  </si>
  <si>
    <t>GSON/1112160040</t>
  </si>
  <si>
    <t>SC 05 SALDO CTA BAN</t>
  </si>
  <si>
    <t>GSON/1112160050</t>
  </si>
  <si>
    <t>SC 05 INGRESOS</t>
  </si>
  <si>
    <t>GSON/1112160051</t>
  </si>
  <si>
    <t>SC 05 INT GANADOS</t>
  </si>
  <si>
    <t>GSON/1112160055</t>
  </si>
  <si>
    <t>SC 06 SALDO CTA BAN</t>
  </si>
  <si>
    <t>GSON/1112160060</t>
  </si>
  <si>
    <t>SC 06 EGRESOS TR</t>
  </si>
  <si>
    <t>GSON/1112160063</t>
  </si>
  <si>
    <t>SC 07 SALDO CTA BAN</t>
  </si>
  <si>
    <t>GSON/1112160070</t>
  </si>
  <si>
    <t>SC 07 INGRESOS</t>
  </si>
  <si>
    <t>GSON/1112160071</t>
  </si>
  <si>
    <t>SC 07 EGRESOS TR</t>
  </si>
  <si>
    <t>GSON/1112160073</t>
  </si>
  <si>
    <t>SC 07 IVA Y COMISION</t>
  </si>
  <si>
    <t>GSON/1112160074</t>
  </si>
  <si>
    <t>SC 07 INT GANADOS</t>
  </si>
  <si>
    <t>GSON/1112160075</t>
  </si>
  <si>
    <t>SC 08 SALDO CTA BAN</t>
  </si>
  <si>
    <t>GSON/1112160080</t>
  </si>
  <si>
    <t>SC 08 INT GANADOS</t>
  </si>
  <si>
    <t>GSON/1112160085</t>
  </si>
  <si>
    <t>SC 11 EGRESOS CHEQUE</t>
  </si>
  <si>
    <t>GSON/1112160112</t>
  </si>
  <si>
    <t>SC 11 INT GANADOS</t>
  </si>
  <si>
    <t>GSON/1112160115</t>
  </si>
  <si>
    <t>SC 12 SALDO CTA BAN</t>
  </si>
  <si>
    <t>GSON/1112160120</t>
  </si>
  <si>
    <t>SC 12 INT GANADOS</t>
  </si>
  <si>
    <t>GSON/1112160125</t>
  </si>
  <si>
    <t>SC 13 SALDO CTA BAN</t>
  </si>
  <si>
    <t>GSON/1112160130</t>
  </si>
  <si>
    <t>SC 14 IVA Y COMISION</t>
  </si>
  <si>
    <t>GSON/1112160144</t>
  </si>
  <si>
    <t>SC 15 SALDO CTA BAN</t>
  </si>
  <si>
    <t>GSON/1112160150</t>
  </si>
  <si>
    <t>SC 15 EGRESOS TR</t>
  </si>
  <si>
    <t>GSON/1112160153</t>
  </si>
  <si>
    <t>SC 15 INT GANADOS</t>
  </si>
  <si>
    <t>GSON/1112160155</t>
  </si>
  <si>
    <t>SC 16 SALDO CTA BAN</t>
  </si>
  <si>
    <t>GSON/1112160160</t>
  </si>
  <si>
    <t>SC 16 INT GANADOS</t>
  </si>
  <si>
    <t>GSON/1112160165</t>
  </si>
  <si>
    <t>SC 18 SALDO CTA BAN</t>
  </si>
  <si>
    <t>GSON/1112160180</t>
  </si>
  <si>
    <t>SC 18 INGRESOS</t>
  </si>
  <si>
    <t>GSON/1112160181</t>
  </si>
  <si>
    <t>SC 18 EGRESOS TR</t>
  </si>
  <si>
    <t>GSON/1112160183</t>
  </si>
  <si>
    <t>SC 18 IVA Y COMISION</t>
  </si>
  <si>
    <t>GSON/1112160184</t>
  </si>
  <si>
    <t>SC 18 INT GANADOS</t>
  </si>
  <si>
    <t>GSON/1112160185</t>
  </si>
  <si>
    <t>SC 19 SALDO CTA BAN</t>
  </si>
  <si>
    <t>GSON/1112160190</t>
  </si>
  <si>
    <t>SC 19 INGRESOS</t>
  </si>
  <si>
    <t>GSON/1112160191</t>
  </si>
  <si>
    <t>SC 19 EGRESOS CHEQUE</t>
  </si>
  <si>
    <t>GSON/1112160192</t>
  </si>
  <si>
    <t>SC 19 EGRESOS TR</t>
  </si>
  <si>
    <t>GSON/1112160193</t>
  </si>
  <si>
    <t>SC 19 IVA Y COMISION</t>
  </si>
  <si>
    <t>GSON/1112160194</t>
  </si>
  <si>
    <t>SC 19 INT GANADOS</t>
  </si>
  <si>
    <t>GSON/1112160195</t>
  </si>
  <si>
    <t>SC 20 SALDO CTA BAN</t>
  </si>
  <si>
    <t>GSON/1112160200</t>
  </si>
  <si>
    <t>SC 20 INGRESOS</t>
  </si>
  <si>
    <t>GSON/1112160201</t>
  </si>
  <si>
    <t>SC 20 EGRESOS TR</t>
  </si>
  <si>
    <t>GSON/1112160203</t>
  </si>
  <si>
    <t>SC 20 IVA Y COMISION</t>
  </si>
  <si>
    <t>GSON/1112160204</t>
  </si>
  <si>
    <t>SC 20 INT GANADOS</t>
  </si>
  <si>
    <t>GSON/1112160205</t>
  </si>
  <si>
    <t>SC 21 SALDO CTA BAN</t>
  </si>
  <si>
    <t>GSON/1112160210</t>
  </si>
  <si>
    <t>SC 21 INGRESOS</t>
  </si>
  <si>
    <t>GSON/1112160211</t>
  </si>
  <si>
    <t>SC 21 EGRESOS CHEQUE</t>
  </si>
  <si>
    <t>GSON/1112160212</t>
  </si>
  <si>
    <t>SC 21 EGRESOS TR</t>
  </si>
  <si>
    <t>GSON/1112160213</t>
  </si>
  <si>
    <t>SC 21 IVA Y COMISION</t>
  </si>
  <si>
    <t>GSON/1112160214</t>
  </si>
  <si>
    <t>SC 21 INT GANADOS</t>
  </si>
  <si>
    <t>GSON/1112160215</t>
  </si>
  <si>
    <t>SC 22 SALDO CTA BAN</t>
  </si>
  <si>
    <t>GSON/1112160220</t>
  </si>
  <si>
    <t>SC 22 INGRESOS</t>
  </si>
  <si>
    <t>GSON/1112160221</t>
  </si>
  <si>
    <t>SC 22 EGRESOS CHEQUE</t>
  </si>
  <si>
    <t>GSON/1112160222</t>
  </si>
  <si>
    <t>SC 22 EGRESOS TR</t>
  </si>
  <si>
    <t>GSON/1112160223</t>
  </si>
  <si>
    <t>SC 22 IVA Y COMISION</t>
  </si>
  <si>
    <t>GSON/1112160224</t>
  </si>
  <si>
    <t>SC 22 INT GANADOS</t>
  </si>
  <si>
    <t>GSON/1112160225</t>
  </si>
  <si>
    <t>SC 23 SALDO CTA BAN</t>
  </si>
  <si>
    <t>GSON/1112160230</t>
  </si>
  <si>
    <t>SC 23 INGRESOS</t>
  </si>
  <si>
    <t>GSON/1112160231</t>
  </si>
  <si>
    <t>SC 23 EGRESOS TR</t>
  </si>
  <si>
    <t>GSON/1112160233</t>
  </si>
  <si>
    <t>SC 23 IVA Y COMISION</t>
  </si>
  <si>
    <t>GSON/1112160234</t>
  </si>
  <si>
    <t>SC 23 INT GANADOS</t>
  </si>
  <si>
    <t>GSON/1112160235</t>
  </si>
  <si>
    <t>SC 24 SALDO CTA BAN</t>
  </si>
  <si>
    <t>GSON/1112160240</t>
  </si>
  <si>
    <t>SC 24 EGRESOS TR</t>
  </si>
  <si>
    <t>GSON/1112160243</t>
  </si>
  <si>
    <t>SC 24 IVA Y COMISION</t>
  </si>
  <si>
    <t>GSON/1112160244</t>
  </si>
  <si>
    <t>SC 26 SALDO CTA BAN</t>
  </si>
  <si>
    <t>GSON/1112160260</t>
  </si>
  <si>
    <t>SC 26 EGRESOS TR</t>
  </si>
  <si>
    <t>GSON/1112160263</t>
  </si>
  <si>
    <t>SC 26 INT GANADOS</t>
  </si>
  <si>
    <t>GSON/1112160265</t>
  </si>
  <si>
    <t>SC 27 SALDO CTA BAN</t>
  </si>
  <si>
    <t>GSON/1112160270</t>
  </si>
  <si>
    <t>SC 27 EGRESOS TR</t>
  </si>
  <si>
    <t>GSON/1112160273</t>
  </si>
  <si>
    <t>SC 27 IVA Y COMISION</t>
  </si>
  <si>
    <t>GSON/1112160274</t>
  </si>
  <si>
    <t>SC 28 SALDO CTA BAN</t>
  </si>
  <si>
    <t>GSON/1112160280</t>
  </si>
  <si>
    <t>SC 28 INGRESOS</t>
  </si>
  <si>
    <t>GSON/1112160281</t>
  </si>
  <si>
    <t>SC 28 EGRESOS TR</t>
  </si>
  <si>
    <t>GSON/1112160283</t>
  </si>
  <si>
    <t>SC 28 IVA Y COMISION</t>
  </si>
  <si>
    <t>GSON/1112160284</t>
  </si>
  <si>
    <t>SC 28 INT GANADOS</t>
  </si>
  <si>
    <t>GSON/1112160285</t>
  </si>
  <si>
    <t>SC 29 SALDO CTA BAN</t>
  </si>
  <si>
    <t>GSON/1112160290</t>
  </si>
  <si>
    <t>SC 29 INGRESOS</t>
  </si>
  <si>
    <t>GSON/1112160291</t>
  </si>
  <si>
    <t>SC 29 EGRESOS TR</t>
  </si>
  <si>
    <t>GSON/1112160293</t>
  </si>
  <si>
    <t>SC 29 IVA Y COMISION</t>
  </si>
  <si>
    <t>GSON/1112160294</t>
  </si>
  <si>
    <t>SC 29 INT GANADOS</t>
  </si>
  <si>
    <t>GSON/1112160295</t>
  </si>
  <si>
    <t>SC 30 SALDO CTA BAN</t>
  </si>
  <si>
    <t>GSON/1112160300</t>
  </si>
  <si>
    <t>SC 30 INGRESOS</t>
  </si>
  <si>
    <t>GSON/1112160301</t>
  </si>
  <si>
    <t>SC 30 EGRESOS CHEQUE</t>
  </si>
  <si>
    <t>GSON/1112160302</t>
  </si>
  <si>
    <t>SC 30 EGRESOS TR</t>
  </si>
  <si>
    <t>GSON/1112160303</t>
  </si>
  <si>
    <t>SC 30 IVA Y COMISION</t>
  </si>
  <si>
    <t>GSON/1112160304</t>
  </si>
  <si>
    <t>SC 30 INT GANADOS</t>
  </si>
  <si>
    <t>GSON/1112160305</t>
  </si>
  <si>
    <t>SC 47 INGRESOS</t>
  </si>
  <si>
    <t>GSON/1112160471</t>
  </si>
  <si>
    <t>SC 48 SALDO CTA BAN</t>
  </si>
  <si>
    <t>GSON/1112160480</t>
  </si>
  <si>
    <t>SC 48 INGRESOS</t>
  </si>
  <si>
    <t>GSON/1112160481</t>
  </si>
  <si>
    <t>SC 48 EGRESOS TR</t>
  </si>
  <si>
    <t>GSON/1112160483</t>
  </si>
  <si>
    <t>SC 48 INT GANADOS</t>
  </si>
  <si>
    <t>GSON/1112160485</t>
  </si>
  <si>
    <t>SC 49 SALDO CTA BAN</t>
  </si>
  <si>
    <t>GSON/1112160490</t>
  </si>
  <si>
    <t>SC 49 INGRESOS</t>
  </si>
  <si>
    <t>GSON/1112160491</t>
  </si>
  <si>
    <t>SC 49 EGRESOS TR</t>
  </si>
  <si>
    <t>GSON/1112160493</t>
  </si>
  <si>
    <t>SC 49 IVA Y COMISION</t>
  </si>
  <si>
    <t>GSON/1112160494</t>
  </si>
  <si>
    <t>SC 49 INT GANADOS</t>
  </si>
  <si>
    <t>GSON/1112160495</t>
  </si>
  <si>
    <t>SC 50 SALDO CTA BAN</t>
  </si>
  <si>
    <t>GSON/1112160500</t>
  </si>
  <si>
    <t>SC 50 INGRESOS</t>
  </si>
  <si>
    <t>GSON/1112160501</t>
  </si>
  <si>
    <t>SC 50 IVA Y COMISION</t>
  </si>
  <si>
    <t>GSON/1112160504</t>
  </si>
  <si>
    <t>SC 50 INT GANADOS</t>
  </si>
  <si>
    <t>GSON/1112160505</t>
  </si>
  <si>
    <t>SC 51 SALDO CTA BAN</t>
  </si>
  <si>
    <t>GSON/1112160510</t>
  </si>
  <si>
    <t>SC 51 EGRESOS TR</t>
  </si>
  <si>
    <t>GSON/1112160513</t>
  </si>
  <si>
    <t>SC 51 IVA Y COMISION</t>
  </si>
  <si>
    <t>GSON/1112160514</t>
  </si>
  <si>
    <t>SC 52 SALDO CTA BAN</t>
  </si>
  <si>
    <t>GSON/1112160520</t>
  </si>
  <si>
    <t>SC 52 INGRESOS</t>
  </si>
  <si>
    <t>GSON/1112160521</t>
  </si>
  <si>
    <t>SC 52 EGRESOS TR</t>
  </si>
  <si>
    <t>GSON/1112160523</t>
  </si>
  <si>
    <t>SC 52 IVA Y COMISION</t>
  </si>
  <si>
    <t>GSON/1112160524</t>
  </si>
  <si>
    <t>VX 01 INT GANADOS</t>
  </si>
  <si>
    <t>GSON/1112170015</t>
  </si>
  <si>
    <t>MV 01   SLDO CTA BAN</t>
  </si>
  <si>
    <t>GSON/1112180010</t>
  </si>
  <si>
    <t>MV 01   INGRESOS</t>
  </si>
  <si>
    <t>GSON/1112180011</t>
  </si>
  <si>
    <t>MV 01   EGRESOS TR</t>
  </si>
  <si>
    <t>GSON/1112180013</t>
  </si>
  <si>
    <t>MV 01   IVA Y COMISI</t>
  </si>
  <si>
    <t>GSON/1112180014</t>
  </si>
  <si>
    <t>MV 01   INT GANADOS</t>
  </si>
  <si>
    <t>GSON/1112180015</t>
  </si>
  <si>
    <t>MV 02   SLDO CTA BAN</t>
  </si>
  <si>
    <t>GSON/1112180020</t>
  </si>
  <si>
    <t>MV 02   INGRESOS</t>
  </si>
  <si>
    <t>GSON/1112180021</t>
  </si>
  <si>
    <t>MV 02   EGRESOS TR</t>
  </si>
  <si>
    <t>GSON/1112180023</t>
  </si>
  <si>
    <t>MV 02   IVA Y COMISI</t>
  </si>
  <si>
    <t>GSON/1112180024</t>
  </si>
  <si>
    <t>BANCO SALDOS</t>
  </si>
  <si>
    <t>GSON/1112190010</t>
  </si>
  <si>
    <t>SA125 SLDO CTA BAN</t>
  </si>
  <si>
    <t>GSON/1112551250</t>
  </si>
  <si>
    <t>SA125 INGRESOS</t>
  </si>
  <si>
    <t>GSON/1112551251</t>
  </si>
  <si>
    <t>SA125 EGRESOS CHEQUE</t>
  </si>
  <si>
    <t>GSON/1112551252</t>
  </si>
  <si>
    <t>SA125 EGRESOS TR</t>
  </si>
  <si>
    <t>GSON/1112551253</t>
  </si>
  <si>
    <t>SA125 INT GANADOS</t>
  </si>
  <si>
    <t>GSON/1112551255</t>
  </si>
  <si>
    <t>APORT VIRTUAL SS</t>
  </si>
  <si>
    <t>GSON/1112990013</t>
  </si>
  <si>
    <t>ING VIRTUAL EGRESOS</t>
  </si>
  <si>
    <t>GSON/1112990022</t>
  </si>
  <si>
    <t>BANCO CLARIFICACION</t>
  </si>
  <si>
    <t>GSON/1112990031</t>
  </si>
  <si>
    <t>REC VIRTUAL INGRESOS</t>
  </si>
  <si>
    <t>GSON/1112990032</t>
  </si>
  <si>
    <t>CLA VIRTUAL DE EGRES</t>
  </si>
  <si>
    <t>BC 99 SALDO CTA BAN</t>
  </si>
  <si>
    <t>GSON/1116030990</t>
  </si>
  <si>
    <t>BC 99 INGRESOS</t>
  </si>
  <si>
    <t>GSON/1116030991</t>
  </si>
  <si>
    <t>BC 99 EGRESOS CHEQUE</t>
  </si>
  <si>
    <t>GSON/1116030992</t>
  </si>
  <si>
    <t>BC 99 EGRESOS TR</t>
  </si>
  <si>
    <t>GSON/1116030993</t>
  </si>
  <si>
    <t>BC 99 IVA Y COMISION</t>
  </si>
  <si>
    <t>GSON/1116030994</t>
  </si>
  <si>
    <t>BC 99 INT GANADOS</t>
  </si>
  <si>
    <t>GSON/1116030995</t>
  </si>
  <si>
    <t>BC105 SLDO CTA BAN</t>
  </si>
  <si>
    <t>GSON/1116031050</t>
  </si>
  <si>
    <t>BC105 EGRESOS TR</t>
  </si>
  <si>
    <t>GSON/1116031053</t>
  </si>
  <si>
    <t>BC105 INT GANADOS</t>
  </si>
  <si>
    <t>GSON/1116031055</t>
  </si>
  <si>
    <t>BC106 SLDO CTA BAN</t>
  </si>
  <si>
    <t>GSON/1116031060</t>
  </si>
  <si>
    <t>BC106 INGRESOS</t>
  </si>
  <si>
    <t>GSON/1116031061</t>
  </si>
  <si>
    <t>BC106 EGRESOS TR</t>
  </si>
  <si>
    <t>GSON/1116031063</t>
  </si>
  <si>
    <t>BC107 SLDO CTA BAN</t>
  </si>
  <si>
    <t>GSON/1116031070</t>
  </si>
  <si>
    <t>BC107 EGRESOS TR</t>
  </si>
  <si>
    <t>GSON/1116031073</t>
  </si>
  <si>
    <t>BC108 IVA Y COMISION</t>
  </si>
  <si>
    <t>GSON/1116031084</t>
  </si>
  <si>
    <t>BC108 INT GANADOS</t>
  </si>
  <si>
    <t>GSON/1116031085</t>
  </si>
  <si>
    <t>BC113 SLDO CTA BAN</t>
  </si>
  <si>
    <t>GSON/1116031130</t>
  </si>
  <si>
    <t>BC113 INGRESOS</t>
  </si>
  <si>
    <t>GSON/1116031131</t>
  </si>
  <si>
    <t>BC113 EGRESOS TR</t>
  </si>
  <si>
    <t>GSON/1116031133</t>
  </si>
  <si>
    <t>BC113 INT GANADOS</t>
  </si>
  <si>
    <t>GSON/1116031135</t>
  </si>
  <si>
    <t>BC145 SLDO CTA BAN</t>
  </si>
  <si>
    <t>GSON/1116031450</t>
  </si>
  <si>
    <t>BC145 INGRESOS</t>
  </si>
  <si>
    <t>GSON/1116031451</t>
  </si>
  <si>
    <t>BC145 EGRESOS TR</t>
  </si>
  <si>
    <t>GSON/1116031453</t>
  </si>
  <si>
    <t>BC145 INT GANADOS</t>
  </si>
  <si>
    <t>GSON/1116031455</t>
  </si>
  <si>
    <t>BC146 SLDO CTA BAN</t>
  </si>
  <si>
    <t>GSON/1116031460</t>
  </si>
  <si>
    <t>GSON/1116031461</t>
  </si>
  <si>
    <t>BC146 EGRESOS TR</t>
  </si>
  <si>
    <t>GSON/1116031463</t>
  </si>
  <si>
    <t>BC146 INT GANADOS</t>
  </si>
  <si>
    <t>GSON/1116031465</t>
  </si>
  <si>
    <t>BN 93 SALDO CTA BAN</t>
  </si>
  <si>
    <t>GSON/1116060930</t>
  </si>
  <si>
    <t>BN 93 INGRESOS</t>
  </si>
  <si>
    <t>GSON/1116060931</t>
  </si>
  <si>
    <t>BN 93 EGRESOS TR</t>
  </si>
  <si>
    <t>GSON/1116060933</t>
  </si>
  <si>
    <t>BN 93 IVA Y COMISION</t>
  </si>
  <si>
    <t>GSON/1116060934</t>
  </si>
  <si>
    <t>BN 93 INT GANADOS</t>
  </si>
  <si>
    <t>GSON/1116060935</t>
  </si>
  <si>
    <t>HS 40   SLDO CTA BAN</t>
  </si>
  <si>
    <t>GSON/1116110400</t>
  </si>
  <si>
    <t>GSON/1116110401</t>
  </si>
  <si>
    <t>HS 40   EGRESOS TR</t>
  </si>
  <si>
    <t>GSON/1116110403</t>
  </si>
  <si>
    <t>HS 40   IVA Y COMISI</t>
  </si>
  <si>
    <t>GSON/1116110404</t>
  </si>
  <si>
    <t>HS 40   INT GANADOS</t>
  </si>
  <si>
    <t>GSON/1116110405</t>
  </si>
  <si>
    <t>HS 41   SLDO CTA BAN</t>
  </si>
  <si>
    <t>GSON/1116110410</t>
  </si>
  <si>
    <t>HS 41   INGRESOS</t>
  </si>
  <si>
    <t>GSON/1116110411</t>
  </si>
  <si>
    <t>HS 41   EGRESOS TR</t>
  </si>
  <si>
    <t>GSON/1116110413</t>
  </si>
  <si>
    <t>HS 41   IVA Y COMISI</t>
  </si>
  <si>
    <t>GSON/1116110414</t>
  </si>
  <si>
    <t>HS 41   INT GANADOS</t>
  </si>
  <si>
    <t>GSON/1116110415</t>
  </si>
  <si>
    <t>IN 21   SLDO CTA BAN</t>
  </si>
  <si>
    <t>GSON/1116130210</t>
  </si>
  <si>
    <t>GSON/1116130211</t>
  </si>
  <si>
    <t>IN 21   EGRESOS TR</t>
  </si>
  <si>
    <t>GSON/1116130213</t>
  </si>
  <si>
    <t>IN 21   INT GANADOS</t>
  </si>
  <si>
    <t>GSON/1116130215</t>
  </si>
  <si>
    <t>SA 01 IVA Y COMISION</t>
  </si>
  <si>
    <t>GSON/1116150014</t>
  </si>
  <si>
    <t>SA 01 INT GANADOS</t>
  </si>
  <si>
    <t>GSON/1116150015</t>
  </si>
  <si>
    <t>SA 36 EGRESOS TR</t>
  </si>
  <si>
    <t>GSON/1116150363</t>
  </si>
  <si>
    <t>SA 36 IVA Y COMISION</t>
  </si>
  <si>
    <t>GSON/1116150364</t>
  </si>
  <si>
    <t>SA 36 INT GANADOS</t>
  </si>
  <si>
    <t>GSON/1116150365</t>
  </si>
  <si>
    <t>SA 44 EGRESOS TR</t>
  </si>
  <si>
    <t>GSON/1116150443</t>
  </si>
  <si>
    <t>SA 44 IVA Y COMISION</t>
  </si>
  <si>
    <t>GSON/1116150444</t>
  </si>
  <si>
    <t>SA 44 INT GANADOS</t>
  </si>
  <si>
    <t>GSON/1116150445</t>
  </si>
  <si>
    <t>SA119 EGRESOS TR</t>
  </si>
  <si>
    <t>GSON/1116151193</t>
  </si>
  <si>
    <t>SA147 SLDO CTA BAN</t>
  </si>
  <si>
    <t>GSON/1116151470</t>
  </si>
  <si>
    <t>SA147 INGRESOS</t>
  </si>
  <si>
    <t>GSON/1116151471</t>
  </si>
  <si>
    <t>SA147 EGRESOS TR</t>
  </si>
  <si>
    <t>GSON/1116151473</t>
  </si>
  <si>
    <t>SA147 IVA Y COMISION</t>
  </si>
  <si>
    <t>GSON/1116151474</t>
  </si>
  <si>
    <t>SA147 INT GANADOS</t>
  </si>
  <si>
    <t>GSON/1116151475</t>
  </si>
  <si>
    <t>SA148 SLDO CTA BAN</t>
  </si>
  <si>
    <t>GSON/1116151480</t>
  </si>
  <si>
    <t>SA148 INGRESOS</t>
  </si>
  <si>
    <t>GSON/1116151481</t>
  </si>
  <si>
    <t>SA148 EGRESOS TR</t>
  </si>
  <si>
    <t>GSON/1116151483</t>
  </si>
  <si>
    <t>SA148 IVA Y COMISION</t>
  </si>
  <si>
    <t>GSON/1116151484</t>
  </si>
  <si>
    <t>SA148 INT GANADOS</t>
  </si>
  <si>
    <t>GSON/1116151485</t>
  </si>
  <si>
    <t>SA161 SLDO CTA BAN</t>
  </si>
  <si>
    <t>GSON/1116151610</t>
  </si>
  <si>
    <t>SA161 INGRESOS</t>
  </si>
  <si>
    <t>GSON/1116151611</t>
  </si>
  <si>
    <t>SA161 EGRESOS TR</t>
  </si>
  <si>
    <t>GSON/1116151613</t>
  </si>
  <si>
    <t>SA161 IVA Y COMISION</t>
  </si>
  <si>
    <t>GSON/1116151614</t>
  </si>
  <si>
    <t>SA161 INT GANADOS</t>
  </si>
  <si>
    <t>GSON/1116151615</t>
  </si>
  <si>
    <t>GSON/1116151750</t>
  </si>
  <si>
    <t>GSON/1116151751</t>
  </si>
  <si>
    <t>SA175 IVA Y COMISION</t>
  </si>
  <si>
    <t>GSON/1116151754</t>
  </si>
  <si>
    <t>GSON/1116151760</t>
  </si>
  <si>
    <t>GSON/1116151761</t>
  </si>
  <si>
    <t>SA176 EGRESOS TR</t>
  </si>
  <si>
    <t>GSON/1116151763</t>
  </si>
  <si>
    <t>SA176 IVA Y COMISION</t>
  </si>
  <si>
    <t>GSON/1116151764</t>
  </si>
  <si>
    <t>VTA BIENES Y SERVS</t>
  </si>
  <si>
    <t>GSON/1122100073</t>
  </si>
  <si>
    <t>APORTACION SDO</t>
  </si>
  <si>
    <t>GSON/1122300080</t>
  </si>
  <si>
    <t>APORTACIONES</t>
  </si>
  <si>
    <t>GSON/1122300082</t>
  </si>
  <si>
    <t>TRANS INT Y ASIG S P</t>
  </si>
  <si>
    <t>GSON/1122300091</t>
  </si>
  <si>
    <t>TRANF FIDEIC MANDATO</t>
  </si>
  <si>
    <t>GSON/1122300096</t>
  </si>
  <si>
    <t>FALTANTES DE CAJEROS</t>
  </si>
  <si>
    <t>GSON/1123100002</t>
  </si>
  <si>
    <t>DEUDOR DIVS VITEES</t>
  </si>
  <si>
    <t>GSON/1123100007</t>
  </si>
  <si>
    <t>IPR DERECHOS NO COMP</t>
  </si>
  <si>
    <t>GSON/1124100049</t>
  </si>
  <si>
    <t>CONV CP IMPTO S/INGR</t>
  </si>
  <si>
    <t>GSON/1124200010</t>
  </si>
  <si>
    <t>GSON/1124200011</t>
  </si>
  <si>
    <t>CONV CP IMPTO S/NOM</t>
  </si>
  <si>
    <t>GSON/1124200015</t>
  </si>
  <si>
    <t>CONV CP ACCESORIOS</t>
  </si>
  <si>
    <t>GSON/1124200017</t>
  </si>
  <si>
    <t>CONV CP IMPTO N/COMP</t>
  </si>
  <si>
    <t>GSON/1124200019</t>
  </si>
  <si>
    <t>CONV CP DER PRES SER</t>
  </si>
  <si>
    <t>GSON/1124200043</t>
  </si>
  <si>
    <t>CONV CP APROV TC</t>
  </si>
  <si>
    <t>GSON/1124200061</t>
  </si>
  <si>
    <t>CONV CP APROV N/COMP</t>
  </si>
  <si>
    <t>GSON/1124200069</t>
  </si>
  <si>
    <t>IPR INVER TEMP INT</t>
  </si>
  <si>
    <t>GSON/1124300001</t>
  </si>
  <si>
    <t>ANT MINISTRACION FDO</t>
  </si>
  <si>
    <t>GSON/1125100002</t>
  </si>
  <si>
    <t>ANT MINISTR FDO SDO</t>
  </si>
  <si>
    <t>GSON/1125100005</t>
  </si>
  <si>
    <t>ANT PART ESTATAL SDO</t>
  </si>
  <si>
    <t>GSON/1125100006</t>
  </si>
  <si>
    <t>TR&amp;M RECAUD DE MPIOS</t>
  </si>
  <si>
    <t>GSON/1125200001</t>
  </si>
  <si>
    <t>Otros Derechos a Rec</t>
  </si>
  <si>
    <t>GSON1129</t>
  </si>
  <si>
    <t>ENT PARAEST ING VIR</t>
  </si>
  <si>
    <t>GSON/1129100001</t>
  </si>
  <si>
    <t>CRED DTO Y AVAL MPIO</t>
  </si>
  <si>
    <t>GSON/1129200001</t>
  </si>
  <si>
    <t>CR AVALES SDO</t>
  </si>
  <si>
    <t>GSON/1129200003</t>
  </si>
  <si>
    <t>GSON/1139100002</t>
  </si>
  <si>
    <t>Otros Activos Circul</t>
  </si>
  <si>
    <t>GSON119</t>
  </si>
  <si>
    <t>Bienes Derivados Emb</t>
  </si>
  <si>
    <t>GSON1193</t>
  </si>
  <si>
    <t>BIEN DERIV EMB SDO</t>
  </si>
  <si>
    <t>GSON/1193100002</t>
  </si>
  <si>
    <t>Inversiones Financie</t>
  </si>
  <si>
    <t>GSON121</t>
  </si>
  <si>
    <t>Fideicomisos, Mandat</t>
  </si>
  <si>
    <t>GSON1213</t>
  </si>
  <si>
    <t>Fideic, Mdatos y Con</t>
  </si>
  <si>
    <t>GSON12131</t>
  </si>
  <si>
    <t>INV FID P EJECUTIVO</t>
  </si>
  <si>
    <t>GSON/1213100751</t>
  </si>
  <si>
    <t>GSON1214</t>
  </si>
  <si>
    <t>Part y Aport de Capi</t>
  </si>
  <si>
    <t>GSON12141</t>
  </si>
  <si>
    <t>APC PARAEST NO EMPR</t>
  </si>
  <si>
    <t>GSON/1214100721</t>
  </si>
  <si>
    <t>TERRENOS SALDO</t>
  </si>
  <si>
    <t>GSON/1231158100</t>
  </si>
  <si>
    <t>VIVIENDAS</t>
  </si>
  <si>
    <t>GSON/1232158201</t>
  </si>
  <si>
    <t>INFRA ELECTRICA</t>
  </si>
  <si>
    <t>GSON/1234700001</t>
  </si>
  <si>
    <t>ENHP AMPLIACION</t>
  </si>
  <si>
    <t>GSON/1235261202</t>
  </si>
  <si>
    <t>ENHP REMOD Y MEJORAM</t>
  </si>
  <si>
    <t>GSON/1235261203</t>
  </si>
  <si>
    <t>ENHP EST Y PROYECTOS</t>
  </si>
  <si>
    <t>GSON/1235261207</t>
  </si>
  <si>
    <t>ENHP COM Y TURISTICA</t>
  </si>
  <si>
    <t>GSON/1235261209</t>
  </si>
  <si>
    <t>ENHP INFRA EQ SALUD</t>
  </si>
  <si>
    <t>GSON/1235261210</t>
  </si>
  <si>
    <t>ENHP CULTURA DEPORTE</t>
  </si>
  <si>
    <t>GSON/1235261211</t>
  </si>
  <si>
    <t>ENHP EDUC SUPERIOR</t>
  </si>
  <si>
    <t>GSON/1235261217</t>
  </si>
  <si>
    <t>ENHP EDUC PROG ESP</t>
  </si>
  <si>
    <t>GSON/1235261218</t>
  </si>
  <si>
    <t>ENHP INDIRECTOS OBRA</t>
  </si>
  <si>
    <t>GSON/1235261222</t>
  </si>
  <si>
    <t>SA REHABILITACION</t>
  </si>
  <si>
    <t>GSON/1235361301</t>
  </si>
  <si>
    <t>SA AMPLIACION</t>
  </si>
  <si>
    <t>GSON/1235361302</t>
  </si>
  <si>
    <t>SA CONSTRUCCION</t>
  </si>
  <si>
    <t>GSON/1235361303</t>
  </si>
  <si>
    <t>INFRA ENERGIA ELECTR</t>
  </si>
  <si>
    <t>GSON/1235361311</t>
  </si>
  <si>
    <t>ESTUDIOS Y PROYECTOS</t>
  </si>
  <si>
    <t>GSON/1235461406</t>
  </si>
  <si>
    <t>INFRA Y EQ AGUA POT</t>
  </si>
  <si>
    <t>GSON/1235461408</t>
  </si>
  <si>
    <t>ELECTRIF URBANA</t>
  </si>
  <si>
    <t>GSON/1235461410</t>
  </si>
  <si>
    <t>ELECTRIF RURAL</t>
  </si>
  <si>
    <t>GSON/1235461411</t>
  </si>
  <si>
    <t>ELECTRIF NO CONVENC</t>
  </si>
  <si>
    <t>GSON/1235461412</t>
  </si>
  <si>
    <t>MEJORAM IMAG URBANA</t>
  </si>
  <si>
    <t>GSON/1235461414</t>
  </si>
  <si>
    <t>CONST Y REHAB CALLES</t>
  </si>
  <si>
    <t>GSON/1235461418</t>
  </si>
  <si>
    <t>PLAZAS CIVICAS Y JAR</t>
  </si>
  <si>
    <t>GSON/1235461419</t>
  </si>
  <si>
    <t>VIALIDADES URBANAS</t>
  </si>
  <si>
    <t>GSON/1235461420</t>
  </si>
  <si>
    <t>PAV CALLES Y AVEN</t>
  </si>
  <si>
    <t>GSON/1235461422</t>
  </si>
  <si>
    <t>CONSTRUCCION</t>
  </si>
  <si>
    <t>GSON/1235561503</t>
  </si>
  <si>
    <t>GSON/1235561505</t>
  </si>
  <si>
    <t>CARR ALIMENTADORAS</t>
  </si>
  <si>
    <t>GSON/1235561509</t>
  </si>
  <si>
    <t>PUENTES Y PASOS</t>
  </si>
  <si>
    <t>GSON/1235561512</t>
  </si>
  <si>
    <t>BP AMPLIACION</t>
  </si>
  <si>
    <t>GSON/1236262202</t>
  </si>
  <si>
    <t>BP REMOD Y REHABILIT</t>
  </si>
  <si>
    <t>GSON/1236262203</t>
  </si>
  <si>
    <t>BP ESTUDIO Y PROYECT</t>
  </si>
  <si>
    <t>GSON/1236262207</t>
  </si>
  <si>
    <t>BP INFRA EQ SALUD</t>
  </si>
  <si>
    <t>GSON/1236262210</t>
  </si>
  <si>
    <t>BP INFRA EQ CULTURA</t>
  </si>
  <si>
    <t>GSON/1236262211</t>
  </si>
  <si>
    <t>BP EDUC INICIAL ESP</t>
  </si>
  <si>
    <t>GSON/1236262212</t>
  </si>
  <si>
    <t>BP EDUC PREESCOLAR</t>
  </si>
  <si>
    <t>GSON/1236262213</t>
  </si>
  <si>
    <t>BP EDUC PRIMARIA</t>
  </si>
  <si>
    <t>GSON/1236262214</t>
  </si>
  <si>
    <t>BP EDUC SECUNDARIA</t>
  </si>
  <si>
    <t>GSON/1236262215</t>
  </si>
  <si>
    <t>BP EDUC SUPERIOR</t>
  </si>
  <si>
    <t>GSON/1236262217</t>
  </si>
  <si>
    <t>BP EDUC PROG ESPECIA</t>
  </si>
  <si>
    <t>GSON/1236262218</t>
  </si>
  <si>
    <t>BP RECINTO EDIF PUB</t>
  </si>
  <si>
    <t>GSON/1236262219</t>
  </si>
  <si>
    <t>BP INDIRECTOS ENH</t>
  </si>
  <si>
    <t>GSON/1236262220</t>
  </si>
  <si>
    <t>BP SUP CONT CALIDAD</t>
  </si>
  <si>
    <t>GSON/1236262221</t>
  </si>
  <si>
    <t>BP MOD Y AMPLIACION</t>
  </si>
  <si>
    <t>GSON/1236562502</t>
  </si>
  <si>
    <t>BP CONSERVACION</t>
  </si>
  <si>
    <t>GSON/1236562504</t>
  </si>
  <si>
    <t>GSON/1236562505</t>
  </si>
  <si>
    <t>BP IND CONS VIAS COM</t>
  </si>
  <si>
    <t>GSON/1236562512</t>
  </si>
  <si>
    <t>GSON/1236562513</t>
  </si>
  <si>
    <t>MUEBLE EX OFNA Y SDO</t>
  </si>
  <si>
    <t>GSON/1241251200</t>
  </si>
  <si>
    <t>APARAT DEPORTIVO SDO</t>
  </si>
  <si>
    <t>GSON/1242252200</t>
  </si>
  <si>
    <t>APARATOS DEPORTIVOS</t>
  </si>
  <si>
    <t>GSON/1242252201</t>
  </si>
  <si>
    <t>OTRO MOB Y EQ EDUC</t>
  </si>
  <si>
    <t>GSON/1242952901</t>
  </si>
  <si>
    <t>INSTR MEDICO Y LAB</t>
  </si>
  <si>
    <t>GSON/1243253201</t>
  </si>
  <si>
    <t>CARROC Y REMOLQUES</t>
  </si>
  <si>
    <t>GSON/1244254201</t>
  </si>
  <si>
    <t>EQUIPO AEROESPACIAL</t>
  </si>
  <si>
    <t>GSON/1244354300</t>
  </si>
  <si>
    <t>EMBARCACIONES</t>
  </si>
  <si>
    <t>GSON/1244554501</t>
  </si>
  <si>
    <t>OTROS EQ TRANSPORTE</t>
  </si>
  <si>
    <t>GSON/1244954901</t>
  </si>
  <si>
    <t>Equipo de Defensa y</t>
  </si>
  <si>
    <t>GSON1245</t>
  </si>
  <si>
    <t>EQ DEFENSA Y SEG SLD</t>
  </si>
  <si>
    <t>GSON/1245155100</t>
  </si>
  <si>
    <t>EQ DEFENSA Y SEGURID</t>
  </si>
  <si>
    <t>GSON/1245155101</t>
  </si>
  <si>
    <t>MAQ Y EQ INDUSTRIAL</t>
  </si>
  <si>
    <t>GSON/1246256201</t>
  </si>
  <si>
    <t>EQ COMUNICACION SL</t>
  </si>
  <si>
    <t>EQ COMUNICACION</t>
  </si>
  <si>
    <t>HERRAMIENTAS</t>
  </si>
  <si>
    <t>GSON/1246756701</t>
  </si>
  <si>
    <t>REFACC Y ACCES MAYOR</t>
  </si>
  <si>
    <t>GSON/1246756702</t>
  </si>
  <si>
    <t>OTROS EQUIPOS</t>
  </si>
  <si>
    <t>GSON/1246956901</t>
  </si>
  <si>
    <t>OTROS BIENES MUEBLES</t>
  </si>
  <si>
    <t>GSON/1246956903</t>
  </si>
  <si>
    <t>OTROS ACT BIOLOG SDO</t>
  </si>
  <si>
    <t>GSON/1248957900</t>
  </si>
  <si>
    <t>OTROS ACTIVOS BIOLOG</t>
  </si>
  <si>
    <t>GSON/1248957901</t>
  </si>
  <si>
    <t>LIC INFORM INTELCT</t>
  </si>
  <si>
    <t>GSON/1254159701</t>
  </si>
  <si>
    <t>DEPN DETERIORO AMORT</t>
  </si>
  <si>
    <t>GSON/1261200001</t>
  </si>
  <si>
    <t>BIENES COMODATO SLDO</t>
  </si>
  <si>
    <t>GSON/1293200001</t>
  </si>
  <si>
    <t>APORT PENS Y JUBS CP</t>
  </si>
  <si>
    <t>GSON/2111100003</t>
  </si>
  <si>
    <t>PROVEEDORES SLDO</t>
  </si>
  <si>
    <t>GSON/2112100004</t>
  </si>
  <si>
    <t>CHEQUES CANCELADOS</t>
  </si>
  <si>
    <t>GSON/2112100005</t>
  </si>
  <si>
    <t>CONTRATISTAS SLDO</t>
  </si>
  <si>
    <t>GSON/2113100003</t>
  </si>
  <si>
    <t>PART Y APORT SLDO</t>
  </si>
  <si>
    <t>GSON/2114100002</t>
  </si>
  <si>
    <t>CONV DE DESCENT</t>
  </si>
  <si>
    <t>GSON/2114100003</t>
  </si>
  <si>
    <t>CON RET PART CERO</t>
  </si>
  <si>
    <t>GSON/2114100004</t>
  </si>
  <si>
    <t>Transferencias Otorg</t>
  </si>
  <si>
    <t>GSON2115</t>
  </si>
  <si>
    <t>TRANSFERENCIAS CP</t>
  </si>
  <si>
    <t>GSON/2115100001</t>
  </si>
  <si>
    <t>TRANSF SERV PERS CP</t>
  </si>
  <si>
    <t>GSON/2115100002</t>
  </si>
  <si>
    <t>TRANSFERENCIAS SDO</t>
  </si>
  <si>
    <t>GSON/2115100003</t>
  </si>
  <si>
    <t>TRANSF APORT TERCERO</t>
  </si>
  <si>
    <t>GSON/2115100004</t>
  </si>
  <si>
    <t>INT COMIS DE APOYOS</t>
  </si>
  <si>
    <t>GSON/2116100003</t>
  </si>
  <si>
    <t>RET ISR ASIMILABLES</t>
  </si>
  <si>
    <t>GSON/2117110003</t>
  </si>
  <si>
    <t>RET ISR EJERCIDAS</t>
  </si>
  <si>
    <t>GSON/2117110006</t>
  </si>
  <si>
    <t>RET IMPUESTOS SLDO</t>
  </si>
  <si>
    <t>GSON/2117110007</t>
  </si>
  <si>
    <t>RET IMPTO INDIRECTO</t>
  </si>
  <si>
    <t>GSON/2117110008</t>
  </si>
  <si>
    <t>GSON/2117110009</t>
  </si>
  <si>
    <t>GSON/2117110010</t>
  </si>
  <si>
    <t>GSON/2117110011</t>
  </si>
  <si>
    <t>APORT FDO PEN Y JUB</t>
  </si>
  <si>
    <t>GSON/2117310004</t>
  </si>
  <si>
    <t>SERV MED PEN JUB SDO</t>
  </si>
  <si>
    <t>GSON/2117310005</t>
  </si>
  <si>
    <t>SANCION INASISTENCIA</t>
  </si>
  <si>
    <t>GSON/2117320003</t>
  </si>
  <si>
    <t>APLICACION ART 100</t>
  </si>
  <si>
    <t>GSON/2117320005</t>
  </si>
  <si>
    <t>DSCTO PAGO INDEBIDO</t>
  </si>
  <si>
    <t>GSON/2117320006</t>
  </si>
  <si>
    <t>RET NOM EMPL SLDO</t>
  </si>
  <si>
    <t>GSON/2117320008</t>
  </si>
  <si>
    <t>RET NOM MAG SLDO</t>
  </si>
  <si>
    <t>GSON/2117320009</t>
  </si>
  <si>
    <t>RET NOM OTRAS SLDO</t>
  </si>
  <si>
    <t>GSON/2117320010</t>
  </si>
  <si>
    <t>CON RET NOMINA EMPL</t>
  </si>
  <si>
    <t>GSON/2117320011</t>
  </si>
  <si>
    <t>SANCION A EMPLEADOS</t>
  </si>
  <si>
    <t>GSON/2117320012</t>
  </si>
  <si>
    <t>APLICACIÓN ART 100</t>
  </si>
  <si>
    <t>GSON/2117320013</t>
  </si>
  <si>
    <t>DEDUCCION DE PAGO</t>
  </si>
  <si>
    <t>GSON/2117320014</t>
  </si>
  <si>
    <t>RET INCENTIVOS FISC</t>
  </si>
  <si>
    <t>GSON/2117320015</t>
  </si>
  <si>
    <t>RET CAPACITA FISC</t>
  </si>
  <si>
    <t>GSON/2117320016</t>
  </si>
  <si>
    <t>LICENCIAS SIN GOCE</t>
  </si>
  <si>
    <t>GSON/2117320017</t>
  </si>
  <si>
    <t>APLIC AJUSTE SEGURO</t>
  </si>
  <si>
    <t>GSON/2117320018</t>
  </si>
  <si>
    <t>EXTRAVIO DE ARMA</t>
  </si>
  <si>
    <t>GSON/2117320019</t>
  </si>
  <si>
    <t>RET CONTRALORIA</t>
  </si>
  <si>
    <t>GSON/2117410004</t>
  </si>
  <si>
    <t>GSON/2117410005</t>
  </si>
  <si>
    <t>GSON/2117410006</t>
  </si>
  <si>
    <t>RET IMPTO ESTATAL EJ</t>
  </si>
  <si>
    <t>GSON/2117420006</t>
  </si>
  <si>
    <t>RET IMPTO EST SLDO</t>
  </si>
  <si>
    <t>GSON/2117420007</t>
  </si>
  <si>
    <t>GSON/2117420010</t>
  </si>
  <si>
    <t>GSON/2117420011</t>
  </si>
  <si>
    <t>GSON/2117420012</t>
  </si>
  <si>
    <t>RET SANCION GTO OP</t>
  </si>
  <si>
    <t>GSON/2117420013</t>
  </si>
  <si>
    <t>DEV LEY DE INGRESOS</t>
  </si>
  <si>
    <t>GSON/2118100001</t>
  </si>
  <si>
    <t>DEV LEY DE ING SDO</t>
  </si>
  <si>
    <t>GSON/2118100002</t>
  </si>
  <si>
    <t>DEV CLARIFICADAS</t>
  </si>
  <si>
    <t>RET PART MUNICIPIOS</t>
  </si>
  <si>
    <t>GSON/2119410001</t>
  </si>
  <si>
    <t>CONCENT RET MPIOS</t>
  </si>
  <si>
    <t>GSON/2119410002</t>
  </si>
  <si>
    <t>HOSP GRAL MOCTEZUMA</t>
  </si>
  <si>
    <t>GSON/2119410004</t>
  </si>
  <si>
    <t>BANOBRAS-FAIS</t>
  </si>
  <si>
    <t>GSON/2119410017</t>
  </si>
  <si>
    <t>CONAGUA FORTAMUN</t>
  </si>
  <si>
    <t>GSON/2119410018</t>
  </si>
  <si>
    <t>RET PART MPIOS SDO</t>
  </si>
  <si>
    <t>GSON/2119410020</t>
  </si>
  <si>
    <t>RET NOMINA FISCALIZ</t>
  </si>
  <si>
    <t>GSON/2119900001</t>
  </si>
  <si>
    <t>FONDO NUEVO SONORA</t>
  </si>
  <si>
    <t>GSON/2119900005</t>
  </si>
  <si>
    <t>RET ISSSTESON ORG</t>
  </si>
  <si>
    <t>GSON/2119900010</t>
  </si>
  <si>
    <t>RET PEN Y JUB ORG</t>
  </si>
  <si>
    <t>GSON/2119900011</t>
  </si>
  <si>
    <t>APORT ISSSTESON MUN</t>
  </si>
  <si>
    <t>GSON/2119900012</t>
  </si>
  <si>
    <t>RET ISSSTESON MUN</t>
  </si>
  <si>
    <t>GSON/2119900014</t>
  </si>
  <si>
    <t>RET PEN Y JUB MUN</t>
  </si>
  <si>
    <t>GSON/2119900015</t>
  </si>
  <si>
    <t>RET IMPREV TERCEROS</t>
  </si>
  <si>
    <t>GSON/2119900016</t>
  </si>
  <si>
    <t>CTAS PROGR X PAG SDO</t>
  </si>
  <si>
    <t>GSON/2119900017</t>
  </si>
  <si>
    <t>PASIVO ADEFAS SDO</t>
  </si>
  <si>
    <t>GSON/2119900018</t>
  </si>
  <si>
    <t>APORT ISSSTESON POD</t>
  </si>
  <si>
    <t>GSON/2119900020</t>
  </si>
  <si>
    <t>APORT PEN Y JUB POD</t>
  </si>
  <si>
    <t>GSON/2119900021</t>
  </si>
  <si>
    <t>RET PEN Y JUB PODERE</t>
  </si>
  <si>
    <t>GSON/2119900023</t>
  </si>
  <si>
    <t>RET SUBINGR SLDO</t>
  </si>
  <si>
    <t>GSON/2119900024</t>
  </si>
  <si>
    <t>SERV MED PENS SDO</t>
  </si>
  <si>
    <t>GSON/2119900025</t>
  </si>
  <si>
    <t>ADEFAS POR PAGAR</t>
  </si>
  <si>
    <t>GSON/2119900026</t>
  </si>
  <si>
    <t>CON RET NOM TERCERO</t>
  </si>
  <si>
    <t>GSON/2119900027</t>
  </si>
  <si>
    <t>RET NOM TERCEROS</t>
  </si>
  <si>
    <t>GSON/2119900028</t>
  </si>
  <si>
    <t>APORT SEG SOC TERCER</t>
  </si>
  <si>
    <t>GSON/2119900029</t>
  </si>
  <si>
    <t>RET SEG SOC TERCERO</t>
  </si>
  <si>
    <t>GSON/2119900030</t>
  </si>
  <si>
    <t>ACREED DIVS VITTES</t>
  </si>
  <si>
    <t>GSON/2119900031</t>
  </si>
  <si>
    <t>SANCION TERCEROS</t>
  </si>
  <si>
    <t>GSON/2119900032</t>
  </si>
  <si>
    <t>APLIC ART 100 TERC</t>
  </si>
  <si>
    <t>GSON/2119900033</t>
  </si>
  <si>
    <t>PAGO IND TERCEROS</t>
  </si>
  <si>
    <t>GSON/2119900034</t>
  </si>
  <si>
    <t>LICENCIA S/GOCE TERC</t>
  </si>
  <si>
    <t>GSON/2119900035</t>
  </si>
  <si>
    <t>AJUSTE SEG TERCEROS</t>
  </si>
  <si>
    <t>GSON/2119900036</t>
  </si>
  <si>
    <t>OTROS DOCTOS X PAGAR</t>
  </si>
  <si>
    <t>GSON/2129100001</t>
  </si>
  <si>
    <t>CONV FIS FEDERAL CP</t>
  </si>
  <si>
    <t>GSON/2159100002</t>
  </si>
  <si>
    <t>Fondos en Garantía a</t>
  </si>
  <si>
    <t>GSON2161</t>
  </si>
  <si>
    <t>FIANZAS Y DEP JUD</t>
  </si>
  <si>
    <t>GSON/2161100001</t>
  </si>
  <si>
    <t>FONDOS DE TERCEROS</t>
  </si>
  <si>
    <t>GSON/2162100002</t>
  </si>
  <si>
    <t>FONDO FED ORGANISMOS</t>
  </si>
  <si>
    <t>GSON/2162100005</t>
  </si>
  <si>
    <t>FONDO ZOFEMAT X PAG</t>
  </si>
  <si>
    <t>GSON/2162100006</t>
  </si>
  <si>
    <t>COBRANZA CR EDUCATIV</t>
  </si>
  <si>
    <t>GSON/2162100007</t>
  </si>
  <si>
    <t>ISPT DE TERCEROS</t>
  </si>
  <si>
    <t>GSON/2162100010</t>
  </si>
  <si>
    <t>HONOR Y ARREND 3ROS</t>
  </si>
  <si>
    <t>GSON/2162100012</t>
  </si>
  <si>
    <t>TR&amp;M RECUP MPIO ORG</t>
  </si>
  <si>
    <t>GSON/2162200002</t>
  </si>
  <si>
    <t>TR&amp;M FDO ROTATORIO</t>
  </si>
  <si>
    <t>GSON/2162200003</t>
  </si>
  <si>
    <t>TR&amp;M ZOFEMAT</t>
  </si>
  <si>
    <t>GSON/2162200004</t>
  </si>
  <si>
    <t>TR&amp;M SUBSIDIOS</t>
  </si>
  <si>
    <t>GSON/2162200005</t>
  </si>
  <si>
    <t>TR&amp;M HONORARIO Y OTR</t>
  </si>
  <si>
    <t>GSON/2162200010</t>
  </si>
  <si>
    <t>TR&amp;M FDO ADMON PROCU</t>
  </si>
  <si>
    <t>GSON/2162200011</t>
  </si>
  <si>
    <t>TR&amp;M MENSAJERIA</t>
  </si>
  <si>
    <t>GSON/2162200012</t>
  </si>
  <si>
    <t>TR&amp;M SERVS BASICOS</t>
  </si>
  <si>
    <t>GSON/2162200014</t>
  </si>
  <si>
    <t>TR&amp;M COMPROBACIONES</t>
  </si>
  <si>
    <t>GSON/2162200015</t>
  </si>
  <si>
    <t>TR&amp;M FALTANTES</t>
  </si>
  <si>
    <t>GSON/2162200016</t>
  </si>
  <si>
    <t>TR&amp;M COMISIONES CH</t>
  </si>
  <si>
    <t>GSON/2162200017</t>
  </si>
  <si>
    <t>FDO EN ADMON SDO</t>
  </si>
  <si>
    <t>GSON/2162200019</t>
  </si>
  <si>
    <t>TR&amp;M CLARIFICACION</t>
  </si>
  <si>
    <t>Fondos, Fideic, Mand</t>
  </si>
  <si>
    <t>GSON2164</t>
  </si>
  <si>
    <t>FID MANDATO CONTR CP</t>
  </si>
  <si>
    <t>GSON/2164100001</t>
  </si>
  <si>
    <t>Fondos y Bienes d'Te</t>
  </si>
  <si>
    <t>GSON225</t>
  </si>
  <si>
    <t>Otros Fdos d'Terc en</t>
  </si>
  <si>
    <t>GSON2255</t>
  </si>
  <si>
    <t>OTROS FDO TER GAR AD</t>
  </si>
  <si>
    <t>GSON/2255100001</t>
  </si>
  <si>
    <t>Actualizaciones d'Ha</t>
  </si>
  <si>
    <t>GSON313</t>
  </si>
  <si>
    <t>ACT HACIENDA PUBLICA</t>
  </si>
  <si>
    <t>GSON/3130000001</t>
  </si>
  <si>
    <t>RESUL EJERCICIO 2005</t>
  </si>
  <si>
    <t>GSON/3220000003</t>
  </si>
  <si>
    <t>RESUL EJERCICIO 2009</t>
  </si>
  <si>
    <t>GSON/3220000007</t>
  </si>
  <si>
    <t>RESUL EJERCICIO 2010</t>
  </si>
  <si>
    <t>GSON/3220000008</t>
  </si>
  <si>
    <t>RESUL EJERCICIO 2015</t>
  </si>
  <si>
    <t>GSON/3220000013</t>
  </si>
  <si>
    <t>Ravalúos</t>
  </si>
  <si>
    <t>GSON323</t>
  </si>
  <si>
    <t>Ravalúo de Bienes In</t>
  </si>
  <si>
    <t>GSON3231</t>
  </si>
  <si>
    <t>REVALUO INMUEBLES</t>
  </si>
  <si>
    <t>GSON/3231000001</t>
  </si>
  <si>
    <t>CONTR CRUZ ROJA</t>
  </si>
  <si>
    <t>GSON/4119180401</t>
  </si>
  <si>
    <t>COPIAS CERTIF Y OTRO</t>
  </si>
  <si>
    <t>GSON/4143430703</t>
  </si>
  <si>
    <t>EXPEDICIÓN  PERMISOS</t>
  </si>
  <si>
    <t>GSON/4143430903</t>
  </si>
  <si>
    <t>ARR B IN NO S R DOM</t>
  </si>
  <si>
    <t>GSON/4151510102</t>
  </si>
  <si>
    <t>NOT.YCOB.ANEXO18</t>
  </si>
  <si>
    <t>GSON/4161610103</t>
  </si>
  <si>
    <t>COMRESDISMISAN</t>
  </si>
  <si>
    <t>GSON/4161610107</t>
  </si>
  <si>
    <t>VIDASILVESTRE</t>
  </si>
  <si>
    <t>GSON/4161610110</t>
  </si>
  <si>
    <t>PESCADEPORYRECR</t>
  </si>
  <si>
    <t>GSON/4161610111</t>
  </si>
  <si>
    <t>INSPYVIOBRASPÚB</t>
  </si>
  <si>
    <t>GSON/4161610112</t>
  </si>
  <si>
    <t>MULTAS FED. NO FISC.</t>
  </si>
  <si>
    <t>INCAUTOREGINCFIS</t>
  </si>
  <si>
    <t>GSON/4161610115</t>
  </si>
  <si>
    <t>MULTAS ADMIN. ESTAT.</t>
  </si>
  <si>
    <t>Reintegros</t>
  </si>
  <si>
    <t>GSON4164</t>
  </si>
  <si>
    <t>REINTEGROS</t>
  </si>
  <si>
    <t>GSON/4164610401</t>
  </si>
  <si>
    <t>RECARGOS FEDERALES</t>
  </si>
  <si>
    <t>GASTOS DE EJECUCION</t>
  </si>
  <si>
    <t>OTROS APROVECHAM.</t>
  </si>
  <si>
    <t>Ingresos por Venta d</t>
  </si>
  <si>
    <t>GSON417</t>
  </si>
  <si>
    <t>Ing x Vta de BieSer</t>
  </si>
  <si>
    <t>GSON4172</t>
  </si>
  <si>
    <t>MANYCMULTIFYCAT</t>
  </si>
  <si>
    <t>GSON/4172730101</t>
  </si>
  <si>
    <t>IMP NO COM LI EJ ANT</t>
  </si>
  <si>
    <t>DERECHOS NO COMP LEY</t>
  </si>
  <si>
    <t>GSON/4192490101</t>
  </si>
  <si>
    <t>APR NO COM LI EJ ANT</t>
  </si>
  <si>
    <t>FONDOFISC.YRECAUD</t>
  </si>
  <si>
    <t>GSON/4211810102</t>
  </si>
  <si>
    <t>FONDOFOM.MUNICIPAL</t>
  </si>
  <si>
    <t>GSON/4211810103</t>
  </si>
  <si>
    <t>FDOIMPESPSPRODYS</t>
  </si>
  <si>
    <t>GSON/4211810104</t>
  </si>
  <si>
    <t>PART ISR ART 3B LCF</t>
  </si>
  <si>
    <t>GSON/4211810105</t>
  </si>
  <si>
    <t>SERVICIOSEDUC.DES.</t>
  </si>
  <si>
    <t>GSON/4212820101</t>
  </si>
  <si>
    <t>FONE GTO CORRIENTE</t>
  </si>
  <si>
    <t>GSON/4212820103</t>
  </si>
  <si>
    <t>FONE GTO OPERACIÓN</t>
  </si>
  <si>
    <t>GSON/4212820104</t>
  </si>
  <si>
    <t>FONE FDO COMPENSACIO</t>
  </si>
  <si>
    <t>GSON/4212820105</t>
  </si>
  <si>
    <t>FONE SERV PERSONALES</t>
  </si>
  <si>
    <t>GSON/4212820106</t>
  </si>
  <si>
    <t>FDOAPORT.SERVSALUD</t>
  </si>
  <si>
    <t>GSON/4212820201</t>
  </si>
  <si>
    <t>FONDOINF.SOC.MPAL</t>
  </si>
  <si>
    <t>GSON/4212820301</t>
  </si>
  <si>
    <t>FDOINFRSOCIALEST</t>
  </si>
  <si>
    <t>GSON/4212820302</t>
  </si>
  <si>
    <t>FORTMUDEMTERRDF</t>
  </si>
  <si>
    <t>GSON/4212820401</t>
  </si>
  <si>
    <t>ASIST.SOCIAL.-DIF</t>
  </si>
  <si>
    <t>GSON/4212820501</t>
  </si>
  <si>
    <t>INFRAEST.EDUC.BÁS.</t>
  </si>
  <si>
    <t>GSON/4212820502</t>
  </si>
  <si>
    <t>INFRAESTR.EDUC.SUP.</t>
  </si>
  <si>
    <t>GSON/4212820503</t>
  </si>
  <si>
    <t>INFRAEDUCMEDIASUP</t>
  </si>
  <si>
    <t>GSON/4212820504</t>
  </si>
  <si>
    <t>INFR ED BAS POTENCIA</t>
  </si>
  <si>
    <t>GSON/4212820505</t>
  </si>
  <si>
    <t>INFR ED SUP POTENCIA</t>
  </si>
  <si>
    <t>GSON/4212820506</t>
  </si>
  <si>
    <t>INFR ED MED SUP POT</t>
  </si>
  <si>
    <t>GSON/4212820507</t>
  </si>
  <si>
    <t>FONDOAPORTSEGPÚB</t>
  </si>
  <si>
    <t>GSON/4212820601</t>
  </si>
  <si>
    <t>EDUC.TECNOLÓGICA</t>
  </si>
  <si>
    <t>GSON/4212820701</t>
  </si>
  <si>
    <t>EDUCACIÓNDEADULTOS</t>
  </si>
  <si>
    <t>GSON/4212820702</t>
  </si>
  <si>
    <t>FDO APOR FOR ENT FED</t>
  </si>
  <si>
    <t>GSON/4212820801</t>
  </si>
  <si>
    <t>CONV DES Y REAS REC</t>
  </si>
  <si>
    <t>Transf Internas y As</t>
  </si>
  <si>
    <t>GSON4221</t>
  </si>
  <si>
    <t>ORGAN.PÚB.DESCENT</t>
  </si>
  <si>
    <t>GSON/4221910101</t>
  </si>
  <si>
    <t>FIDEICOMISOS</t>
  </si>
  <si>
    <t>GSON/4221910102</t>
  </si>
  <si>
    <t>APORTACSEGSOCIAL</t>
  </si>
  <si>
    <t>GSON/4221910103</t>
  </si>
  <si>
    <t>Transferencias del S</t>
  </si>
  <si>
    <t>GSON4222</t>
  </si>
  <si>
    <t>PROV EXP FED SLRC</t>
  </si>
  <si>
    <t>GSON/4222960101</t>
  </si>
  <si>
    <t>ALIMREOSDIGPESOC</t>
  </si>
  <si>
    <t>GSON/4223930102</t>
  </si>
  <si>
    <t>PROGRAMASREGIONALES</t>
  </si>
  <si>
    <t>GSON/4223930103</t>
  </si>
  <si>
    <t>FONDOPREVDES.NAT.</t>
  </si>
  <si>
    <t>GSON/4223930104</t>
  </si>
  <si>
    <t>SUBSID.SEGPÚBMPAL</t>
  </si>
  <si>
    <t>GSON/4223930105</t>
  </si>
  <si>
    <t>FOPEDEM</t>
  </si>
  <si>
    <t>GSON/4223930106</t>
  </si>
  <si>
    <t>FDOTRANPÚBPERDIS</t>
  </si>
  <si>
    <t>GSON/4223930107</t>
  </si>
  <si>
    <t>PROY.DES.REGIONAL</t>
  </si>
  <si>
    <t>GSON/4223930108</t>
  </si>
  <si>
    <t>FID INFR EN LOS EDOS</t>
  </si>
  <si>
    <t>GSON/4223930111</t>
  </si>
  <si>
    <t>SUBFORT MANDOS POLIC</t>
  </si>
  <si>
    <t>GSON/4223930112</t>
  </si>
  <si>
    <t>CONT ECON INVERSION</t>
  </si>
  <si>
    <t>GSON/4223930113</t>
  </si>
  <si>
    <t>FDO INFRA DEPORTIVA</t>
  </si>
  <si>
    <t>GSON/4223930114</t>
  </si>
  <si>
    <t>FONDO DE CULTURA</t>
  </si>
  <si>
    <t>GSON/4223930115</t>
  </si>
  <si>
    <t>PROG INFRA EDUC MED</t>
  </si>
  <si>
    <t>GSON/4223930116</t>
  </si>
  <si>
    <t>FDO INFRA EST MPAL</t>
  </si>
  <si>
    <t>GSON/4223930119</t>
  </si>
  <si>
    <t>FDO APOYO MIGRANTES</t>
  </si>
  <si>
    <t>GSON/4223930121</t>
  </si>
  <si>
    <t>FONDO MINERO</t>
  </si>
  <si>
    <t>GSON/4223930122</t>
  </si>
  <si>
    <t>Resultado por Posici</t>
  </si>
  <si>
    <t>GSON4395</t>
  </si>
  <si>
    <t>RESULT POS MONETARIA</t>
  </si>
  <si>
    <t>GSON/4395100001</t>
  </si>
  <si>
    <t>Utilidades x Partici</t>
  </si>
  <si>
    <t>GSON4396</t>
  </si>
  <si>
    <t>UTIL PART PATRIMONIA</t>
  </si>
  <si>
    <t>GSON/4396100001</t>
  </si>
  <si>
    <t>ENBIENMUEBSUJINV</t>
  </si>
  <si>
    <t>GSON/4399520201</t>
  </si>
  <si>
    <t>DIFERENCIAL POR ZONA</t>
  </si>
  <si>
    <t>GSON/5111113021</t>
  </si>
  <si>
    <t>DIVERSAS</t>
  </si>
  <si>
    <t>GSON/5111113031</t>
  </si>
  <si>
    <t>POR SUST PERSONAL</t>
  </si>
  <si>
    <t>GSON/5111113041</t>
  </si>
  <si>
    <t>RIESGO PROFESIONAL</t>
  </si>
  <si>
    <t>GSON/5111113051</t>
  </si>
  <si>
    <t>RIESGO LABORAL</t>
  </si>
  <si>
    <t>GSON/5111113061</t>
  </si>
  <si>
    <t>RIESGO LABORAL CAP</t>
  </si>
  <si>
    <t>AYUDA HABITACION</t>
  </si>
  <si>
    <t>AYUDA ENERGIA</t>
  </si>
  <si>
    <t>GSON/5111113101</t>
  </si>
  <si>
    <t>AYUDA SEG SOCIAL</t>
  </si>
  <si>
    <t>HONORARIOS CAP</t>
  </si>
  <si>
    <t>GSON/5112121012</t>
  </si>
  <si>
    <t>EVENTUAL CAP</t>
  </si>
  <si>
    <t>GSON/5112122012</t>
  </si>
  <si>
    <t>REPRESENTANTES</t>
  </si>
  <si>
    <t>GSON/5112124011</t>
  </si>
  <si>
    <t>PRIMAS POR AÑOS</t>
  </si>
  <si>
    <t>PRIMAS POR ANOS CAP</t>
  </si>
  <si>
    <t>GSON/5113131012</t>
  </si>
  <si>
    <t>PRIMA VAC Y DOMINIC</t>
  </si>
  <si>
    <t>GSON/5113132011</t>
  </si>
  <si>
    <t>AGUI GRATIF FIN ANO</t>
  </si>
  <si>
    <t>GSON/5113132021</t>
  </si>
  <si>
    <t>COMP CALENDARIO</t>
  </si>
  <si>
    <t>GSON/5113132031</t>
  </si>
  <si>
    <t>COMP NAVIDENO</t>
  </si>
  <si>
    <t>GSON/5113132041</t>
  </si>
  <si>
    <t>COMP FIN ANO MAG</t>
  </si>
  <si>
    <t>GSON/5113132051</t>
  </si>
  <si>
    <t>COMP ADICIONAL MAG</t>
  </si>
  <si>
    <t>GSON/5113134011</t>
  </si>
  <si>
    <t>ESTIMULOS CONFIANZA</t>
  </si>
  <si>
    <t>GSON/5113134031</t>
  </si>
  <si>
    <t>ESTIM CONFIANZA CAP</t>
  </si>
  <si>
    <t>GSON/5113134032</t>
  </si>
  <si>
    <t>PRODUCTIVIDAD</t>
  </si>
  <si>
    <t>GSON/5113134041</t>
  </si>
  <si>
    <t>HONORARIO ESPECIAL</t>
  </si>
  <si>
    <t>GSON/5113137011</t>
  </si>
  <si>
    <t>HONORAR ESPECIAL CAP</t>
  </si>
  <si>
    <t>GSON/5113137012</t>
  </si>
  <si>
    <t>APORTACIONES AL ISSS</t>
  </si>
  <si>
    <t>APORT SEGURO VIDA</t>
  </si>
  <si>
    <t>APORT SEG RETIRO</t>
  </si>
  <si>
    <t>PRESTAMOS A CP</t>
  </si>
  <si>
    <t>APORT SEG CESANTIA E</t>
  </si>
  <si>
    <t>OTRAS DE SEG SOCIAL</t>
  </si>
  <si>
    <t>APORT INFRA</t>
  </si>
  <si>
    <t>APORT PREEXISTENTES</t>
  </si>
  <si>
    <t>APORT SERV MED</t>
  </si>
  <si>
    <t>GSON/5114141091</t>
  </si>
  <si>
    <t>PRESTAMO PRENDARIO</t>
  </si>
  <si>
    <t>GSON/5114141101</t>
  </si>
  <si>
    <t>APORT FOVISSSTE</t>
  </si>
  <si>
    <t>APORT FOVISSSTESON</t>
  </si>
  <si>
    <t>GSON/5114142021</t>
  </si>
  <si>
    <t>APORT SIS AHORRO RET</t>
  </si>
  <si>
    <t>PAGAS POR DEFUNCION</t>
  </si>
  <si>
    <t>GSON/5114143031</t>
  </si>
  <si>
    <t>GSON/5114143034</t>
  </si>
  <si>
    <t>SEGURO POR RETIRO ES</t>
  </si>
  <si>
    <t>OTRAS APORT SEG COL</t>
  </si>
  <si>
    <t>GSON/5114144031</t>
  </si>
  <si>
    <t>OTROS SEGUROS DE CAR</t>
  </si>
  <si>
    <t>GSON/5114144041</t>
  </si>
  <si>
    <t>SEGUROS POR DEFUNCIO</t>
  </si>
  <si>
    <t>GSON/5114144061</t>
  </si>
  <si>
    <t>APORTACIONES AL FOND</t>
  </si>
  <si>
    <t>INDEMNIZACIONES AL P</t>
  </si>
  <si>
    <t>GSON/5115152011</t>
  </si>
  <si>
    <t>PAGO DE LIQUIDACIONE</t>
  </si>
  <si>
    <t>GSON/5115152021</t>
  </si>
  <si>
    <t>GRATIFICACION POR JU</t>
  </si>
  <si>
    <t>GSON/5115153011</t>
  </si>
  <si>
    <t>COMP GARANTIZADA</t>
  </si>
  <si>
    <t>GSON/5115154021</t>
  </si>
  <si>
    <t>COMPENSACION ADICION</t>
  </si>
  <si>
    <t>GSON/5115154031</t>
  </si>
  <si>
    <t>DIAS ECONOMICOS Y DE</t>
  </si>
  <si>
    <t>GSON/5115154041</t>
  </si>
  <si>
    <t>PENSION VITALICIA A</t>
  </si>
  <si>
    <t>GSON/5115154051</t>
  </si>
  <si>
    <t>ASIGNACION PEDAGOGIC</t>
  </si>
  <si>
    <t>GSON/5115154061</t>
  </si>
  <si>
    <t>APOYO A SUPERVISORES</t>
  </si>
  <si>
    <t>GSON/5115154071</t>
  </si>
  <si>
    <t>BONO PARA DESPENSA</t>
  </si>
  <si>
    <t>GSON/5115154091</t>
  </si>
  <si>
    <t>PAGO POR CONCEPTO DE</t>
  </si>
  <si>
    <t>GSON/5115154111</t>
  </si>
  <si>
    <t>COMPENSACION PROVISI</t>
  </si>
  <si>
    <t>GSON/5115154121</t>
  </si>
  <si>
    <t>AYUDA POR SERVICIO Y</t>
  </si>
  <si>
    <t>GSON/5115154141</t>
  </si>
  <si>
    <t>AYUDA PARA SERVICIO</t>
  </si>
  <si>
    <t>GSON/5115154151</t>
  </si>
  <si>
    <t>APOYO PARA UTILES ES</t>
  </si>
  <si>
    <t>GSON/5115154161</t>
  </si>
  <si>
    <t>COMPENSACION ESPECIF</t>
  </si>
  <si>
    <t>GSON/5115154181</t>
  </si>
  <si>
    <t>BONO DE DIA DE MADR</t>
  </si>
  <si>
    <t>GSON/5115154211</t>
  </si>
  <si>
    <t>ESTIMULOS AL PERSONA</t>
  </si>
  <si>
    <t>GSON/5115154221</t>
  </si>
  <si>
    <t>BONO POR ANIVERSARIO</t>
  </si>
  <si>
    <t>GSON/5115154231</t>
  </si>
  <si>
    <t>APOYO PARA ESTUDIOS</t>
  </si>
  <si>
    <t>GSON/5115155021</t>
  </si>
  <si>
    <t>OTRAS PRESTACIONES</t>
  </si>
  <si>
    <t>RETRIBUCIONES POR AC</t>
  </si>
  <si>
    <t>GSON/5115159021</t>
  </si>
  <si>
    <t>RETRIBUC POR AC CAP</t>
  </si>
  <si>
    <t>GSON/5115159022</t>
  </si>
  <si>
    <t>Pago de Estímulos a</t>
  </si>
  <si>
    <t>GSON5116</t>
  </si>
  <si>
    <t>EST PROD Y EFICIENC</t>
  </si>
  <si>
    <t>GSON/5116171011</t>
  </si>
  <si>
    <t>GSON/5116171021</t>
  </si>
  <si>
    <t>ESTIMULOS AL MAGISTE</t>
  </si>
  <si>
    <t>GSON/5116171031</t>
  </si>
  <si>
    <t>BONO POR PUNTUALIDAD</t>
  </si>
  <si>
    <t>GSON/5116171041</t>
  </si>
  <si>
    <t>MAT UTIL EQ MEN OF</t>
  </si>
  <si>
    <t>GSON/5121211012</t>
  </si>
  <si>
    <t>MAT UTIL IMPR REPR</t>
  </si>
  <si>
    <t>GSON/5121212012</t>
  </si>
  <si>
    <t>MAT EST Y GEO</t>
  </si>
  <si>
    <t>GSON/5121213011</t>
  </si>
  <si>
    <t>MAT Y UTIL PROC EQ</t>
  </si>
  <si>
    <t>GSON/5121214012</t>
  </si>
  <si>
    <t>MAT INFORMACION</t>
  </si>
  <si>
    <t>GSON/5121215011</t>
  </si>
  <si>
    <t>MAT LIMPIEZA</t>
  </si>
  <si>
    <t>MAT EDUCATIVOS</t>
  </si>
  <si>
    <t>MAT Y SUM PLANT EDU</t>
  </si>
  <si>
    <t>PLACA ENGO CALC Y HO</t>
  </si>
  <si>
    <t>GSON/5121218011</t>
  </si>
  <si>
    <t>EMI LIC CONDUCIR</t>
  </si>
  <si>
    <t>GSON/5121218021</t>
  </si>
  <si>
    <t>Alimentos y Utensili</t>
  </si>
  <si>
    <t>GSON5122</t>
  </si>
  <si>
    <t>PROD ALIM PERS INST</t>
  </si>
  <si>
    <t>GSON/5122221011</t>
  </si>
  <si>
    <t>ALIM PERS PROCRE AD</t>
  </si>
  <si>
    <t>GSON/5122221021</t>
  </si>
  <si>
    <t>COMISARIATO</t>
  </si>
  <si>
    <t>GSON/5122221041</t>
  </si>
  <si>
    <t>PROD ALIM PERS DERIV</t>
  </si>
  <si>
    <t>GSON/5122221051</t>
  </si>
  <si>
    <t>ADQ AGUA POTABLE</t>
  </si>
  <si>
    <t>GSON/5122221061</t>
  </si>
  <si>
    <t>PROD ALIM PERS PART</t>
  </si>
  <si>
    <t>GSON/5122221081</t>
  </si>
  <si>
    <t>ALIM ANIMALES</t>
  </si>
  <si>
    <t>GSON/5122222011</t>
  </si>
  <si>
    <t>UTENS SERV ALIMENT</t>
  </si>
  <si>
    <t>GSON/5122223011</t>
  </si>
  <si>
    <t>PROD MIN NO MET</t>
  </si>
  <si>
    <t>GSON/5124241011</t>
  </si>
  <si>
    <t>CEMENTO PROD CONC</t>
  </si>
  <si>
    <t>GSON/5124242011</t>
  </si>
  <si>
    <t>CAL YESO PROD YESO</t>
  </si>
  <si>
    <t>GSON/5124243011</t>
  </si>
  <si>
    <t>MAD Y PROD MADERA</t>
  </si>
  <si>
    <t>GSON/5124244011</t>
  </si>
  <si>
    <t>VIDRIO Y PROD VIDR</t>
  </si>
  <si>
    <t>GSON/5124245011</t>
  </si>
  <si>
    <t>MAT ELECTR Y ELCTRO</t>
  </si>
  <si>
    <t>GSON/5124246011</t>
  </si>
  <si>
    <t>ART METALICOS CONST</t>
  </si>
  <si>
    <t>GSON/5124247011</t>
  </si>
  <si>
    <t>MAT COMPLEMENT</t>
  </si>
  <si>
    <t>GSON/5124248011</t>
  </si>
  <si>
    <t>OTROS MAT Y ARTS</t>
  </si>
  <si>
    <t>GSON/5124249011</t>
  </si>
  <si>
    <t>Prod Quimicos, Farma</t>
  </si>
  <si>
    <t>GSON5125</t>
  </si>
  <si>
    <t>PROD QUIMICOS BAS</t>
  </si>
  <si>
    <t>GSON/5125251011</t>
  </si>
  <si>
    <t>FERTIL PESTIC Y OTRS</t>
  </si>
  <si>
    <t>GSON/5125252011</t>
  </si>
  <si>
    <t>MEDICINA Y PROD FA</t>
  </si>
  <si>
    <t>GSON/5125253011</t>
  </si>
  <si>
    <t>OXIGENO Y GASES US</t>
  </si>
  <si>
    <t>GSON/5125253021</t>
  </si>
  <si>
    <t>MAT ACC Y SUM MEDIOS</t>
  </si>
  <si>
    <t>GSON/5125254011</t>
  </si>
  <si>
    <t>MAT ACC Y SUM LAB</t>
  </si>
  <si>
    <t>GSON/5125255011</t>
  </si>
  <si>
    <t>FIBR SINT HULES PLAS</t>
  </si>
  <si>
    <t>GSON/5125256011</t>
  </si>
  <si>
    <t>OTROS PROD QUIMIC</t>
  </si>
  <si>
    <t>GSON/5125259011</t>
  </si>
  <si>
    <t>COMBUSTIBLES CAP</t>
  </si>
  <si>
    <t>GSON/5126261012</t>
  </si>
  <si>
    <t>LUBRICANTES Y ADIT</t>
  </si>
  <si>
    <t>GSON/5126261021</t>
  </si>
  <si>
    <t>Vestuario, Blancos,</t>
  </si>
  <si>
    <t>GSON5127</t>
  </si>
  <si>
    <t>VESTUARIOS Y UNIFOR</t>
  </si>
  <si>
    <t>GSON/5127271011</t>
  </si>
  <si>
    <t>PREND SEG Y PROD PER</t>
  </si>
  <si>
    <t>GSON/5127272011</t>
  </si>
  <si>
    <t>ART DEPORTIVOS</t>
  </si>
  <si>
    <t>GSON/5127273011</t>
  </si>
  <si>
    <t>PROD TEXTILES</t>
  </si>
  <si>
    <t>GSON/5127274011</t>
  </si>
  <si>
    <t>BLCOS Y OTROS PROD</t>
  </si>
  <si>
    <t>GSON/5127275011</t>
  </si>
  <si>
    <t>GSON5128</t>
  </si>
  <si>
    <t>SUSTAN Y MAT EXPL</t>
  </si>
  <si>
    <t>GSON/5128281011</t>
  </si>
  <si>
    <t>MAT SEG PUBLICA</t>
  </si>
  <si>
    <t>GSON/5128282011</t>
  </si>
  <si>
    <t>PREND PROT SEG PUB</t>
  </si>
  <si>
    <t>GSON/5128283011</t>
  </si>
  <si>
    <t>Herramientas, Refac</t>
  </si>
  <si>
    <t>GSON5129</t>
  </si>
  <si>
    <t>HERRAMIENTAS MENO</t>
  </si>
  <si>
    <t>GSON/5129291011</t>
  </si>
  <si>
    <t>REF Y ACC MENOR EDIF</t>
  </si>
  <si>
    <t>GSON/5129292011</t>
  </si>
  <si>
    <t>REF Y ACC MENOR MOB</t>
  </si>
  <si>
    <t>GSON/5129293011</t>
  </si>
  <si>
    <t>REF Y ACC MENOR COM</t>
  </si>
  <si>
    <t>GSON/5129294011</t>
  </si>
  <si>
    <t>REF Y ACC MENOR EQI</t>
  </si>
  <si>
    <t>GSON/5129295011</t>
  </si>
  <si>
    <t>REF Y ACC MENOR TRAN</t>
  </si>
  <si>
    <t>GSON/5129296011</t>
  </si>
  <si>
    <t>REF Y ACC MEN TR CAP</t>
  </si>
  <si>
    <t>GSON/5129296012</t>
  </si>
  <si>
    <t>REF Y ACC MENOR DEFE</t>
  </si>
  <si>
    <t>GSON/5129297011</t>
  </si>
  <si>
    <t>REF Y ACC MENOR MAQ</t>
  </si>
  <si>
    <t>GSON/5129298011</t>
  </si>
  <si>
    <t>REF Y ACC MEN OT</t>
  </si>
  <si>
    <t>GSON/5129299011</t>
  </si>
  <si>
    <t>ENERGIA ELECTRICA A</t>
  </si>
  <si>
    <t>GSON/5131311021</t>
  </si>
  <si>
    <t>AGUA POTABLE</t>
  </si>
  <si>
    <t>TELEFONIA TRADICIONA</t>
  </si>
  <si>
    <t>GSON/5131314011</t>
  </si>
  <si>
    <t>TELEFONIA CELULAR</t>
  </si>
  <si>
    <t>SERVICIO DE TELECOMU</t>
  </si>
  <si>
    <t>GSON/5131316011</t>
  </si>
  <si>
    <t>SERVICIO DE ACCESO A</t>
  </si>
  <si>
    <t>GSON/5131317011</t>
  </si>
  <si>
    <t>SERV DE ACC A IN CAP</t>
  </si>
  <si>
    <t>GSON/5131317012</t>
  </si>
  <si>
    <t>SERVICIO POSTAL</t>
  </si>
  <si>
    <t>GSON/5131318011</t>
  </si>
  <si>
    <t>SERVICIOS INTEGRALES</t>
  </si>
  <si>
    <t>GSON/5131319011</t>
  </si>
  <si>
    <t>ARRENDAMIENTO DETER</t>
  </si>
  <si>
    <t>ARRENDAMIENTO DE EDI</t>
  </si>
  <si>
    <t>ARRENDAMIENTO DE MUE</t>
  </si>
  <si>
    <t>GSON/5132323011</t>
  </si>
  <si>
    <t>ARREN EPO Y BIEN INF</t>
  </si>
  <si>
    <t>GSON/5132323021</t>
  </si>
  <si>
    <t>ARRENDAMIENTO DE EQU</t>
  </si>
  <si>
    <t>GSON/5132325011</t>
  </si>
  <si>
    <t>ARR TERR AER PROG PU</t>
  </si>
  <si>
    <t>GSON/5132325021</t>
  </si>
  <si>
    <t>GSON/5132325022</t>
  </si>
  <si>
    <t>ARREND MAQ OTR EQ</t>
  </si>
  <si>
    <t>GSON/5132326011</t>
  </si>
  <si>
    <t>PATENTES REGALIAS Y</t>
  </si>
  <si>
    <t>GSON/5132327011</t>
  </si>
  <si>
    <t>OTROS ARRENDAMIENTOS</t>
  </si>
  <si>
    <t>GSON/5132329011</t>
  </si>
  <si>
    <t>SERVICIOS LEGALES D</t>
  </si>
  <si>
    <t>GSON/5133331011</t>
  </si>
  <si>
    <t>SERVICIOS DE DISENO</t>
  </si>
  <si>
    <t>GSON/5133332011</t>
  </si>
  <si>
    <t>SERVICIOS DE INFORMA</t>
  </si>
  <si>
    <t>GSON/5133333011</t>
  </si>
  <si>
    <t>SERVICIOS DE CONSULT</t>
  </si>
  <si>
    <t>GSON/5133333021</t>
  </si>
  <si>
    <t>SERVS DE CONSULT CAP</t>
  </si>
  <si>
    <t>GSON/5133333022</t>
  </si>
  <si>
    <t>SERVICIOS ESTADISTIC</t>
  </si>
  <si>
    <t>GSON/5133333031</t>
  </si>
  <si>
    <t>SERVICIOS DE CAPACIT</t>
  </si>
  <si>
    <t>GSON/5133334011</t>
  </si>
  <si>
    <t>SERVICIOS DE INVESTI</t>
  </si>
  <si>
    <t>GSON/5133335011</t>
  </si>
  <si>
    <t>IMPR Y PUB OFICIALES</t>
  </si>
  <si>
    <t>GSON/5133336031</t>
  </si>
  <si>
    <t>IMPRES Y PUBLIC CAP</t>
  </si>
  <si>
    <t>GSON/5133336032</t>
  </si>
  <si>
    <t>EDICTOS</t>
  </si>
  <si>
    <t>GSON/5133336041</t>
  </si>
  <si>
    <t>LICITACIONES CONVEN</t>
  </si>
  <si>
    <t>GSON/5133336051</t>
  </si>
  <si>
    <t>IMPRES DOC OFIC SERV</t>
  </si>
  <si>
    <t>GSON/5133336061</t>
  </si>
  <si>
    <t>SERVICIOS DE PROTECC</t>
  </si>
  <si>
    <t>GSON/5133337011</t>
  </si>
  <si>
    <t>SERVICIOS DE VIGILAN</t>
  </si>
  <si>
    <t>SERVICIOS PROFESIONA</t>
  </si>
  <si>
    <t>GSON/5133339011</t>
  </si>
  <si>
    <t>GSON/5133339021</t>
  </si>
  <si>
    <t>SERV FINANC Y BANCAR</t>
  </si>
  <si>
    <t>GASTO INERENTE A REC</t>
  </si>
  <si>
    <t>GSON/5134343021</t>
  </si>
  <si>
    <t>SEGUROS DE RESPONSAB</t>
  </si>
  <si>
    <t>GSON/5134344011</t>
  </si>
  <si>
    <t>SEGUROS DE BIENES PA</t>
  </si>
  <si>
    <t>GSON/5134345011</t>
  </si>
  <si>
    <t>ALMACENAJE ENVASE</t>
  </si>
  <si>
    <t>GSON/5134346011</t>
  </si>
  <si>
    <t>FLETES Y MANIOBRAS</t>
  </si>
  <si>
    <t>GSON/5134347011</t>
  </si>
  <si>
    <t>COMISIONES POR VENTA</t>
  </si>
  <si>
    <t>GSON/5134348011</t>
  </si>
  <si>
    <t>MANTENIMIENTO Y CONS</t>
  </si>
  <si>
    <t>GSON/5135351011</t>
  </si>
  <si>
    <t>GSON/5135351031</t>
  </si>
  <si>
    <t>GSON/5135352011</t>
  </si>
  <si>
    <t>GSON/5135353021</t>
  </si>
  <si>
    <t>INSTALACION REPARA</t>
  </si>
  <si>
    <t>GSON/5135354011</t>
  </si>
  <si>
    <t>GSON/5135355011</t>
  </si>
  <si>
    <t>MTTO Y CONS CAP</t>
  </si>
  <si>
    <t>GSON/5135355012</t>
  </si>
  <si>
    <t>REPARACION Y MANTENI</t>
  </si>
  <si>
    <t>GSON/5135356011</t>
  </si>
  <si>
    <t>GSON/5135357011</t>
  </si>
  <si>
    <t>GSON/5135357021</t>
  </si>
  <si>
    <t>SERVICIOS DE LIMPIEZ</t>
  </si>
  <si>
    <t>GSON/5135358011</t>
  </si>
  <si>
    <t>SERVICIOS DE JARDINE</t>
  </si>
  <si>
    <t>Serv d'Comunicación</t>
  </si>
  <si>
    <t>GSON5136</t>
  </si>
  <si>
    <t>DIFUSION POR RADIO</t>
  </si>
  <si>
    <t>GSON/5136361011</t>
  </si>
  <si>
    <t>GSON/5136362011</t>
  </si>
  <si>
    <t>SERVICIOS DE CREATIV</t>
  </si>
  <si>
    <t>GSON/5136363011</t>
  </si>
  <si>
    <t>SERVICIOS DE REVELAD</t>
  </si>
  <si>
    <t>GSON/5136364011</t>
  </si>
  <si>
    <t>SERVICIOS DE LA INDU</t>
  </si>
  <si>
    <t>GSON/5136365011</t>
  </si>
  <si>
    <t>SERVICIOS DE CREACIO</t>
  </si>
  <si>
    <t>GSON/5136366011</t>
  </si>
  <si>
    <t>OTROS SERVICIOS DE I</t>
  </si>
  <si>
    <t>GSON/5136369011</t>
  </si>
  <si>
    <t>PASAJES AEREOS</t>
  </si>
  <si>
    <t>PASAJES AEREOS CAP</t>
  </si>
  <si>
    <t>PASAJES TERRESTRES</t>
  </si>
  <si>
    <t>GSON/5137372011</t>
  </si>
  <si>
    <t>P TERRESTRE NAC CAMP</t>
  </si>
  <si>
    <t>GSON/5137372021</t>
  </si>
  <si>
    <t>VIATICOS EN EL PAIS</t>
  </si>
  <si>
    <t>VIATICOS PAIS CAP</t>
  </si>
  <si>
    <t>GSON/5137375012</t>
  </si>
  <si>
    <t>GASTOS DE CAMINO</t>
  </si>
  <si>
    <t>GSON/5137375021</t>
  </si>
  <si>
    <t>GASTOS DE CAMINO CAP</t>
  </si>
  <si>
    <t>GSON/5137375022</t>
  </si>
  <si>
    <t>VIATICOS EN EL EXTRA</t>
  </si>
  <si>
    <t>GSON/5137376011</t>
  </si>
  <si>
    <t>VIATICOS EXTR SP COM</t>
  </si>
  <si>
    <t>GSON/5137376021</t>
  </si>
  <si>
    <t>GASTOS DE INSTALACIO</t>
  </si>
  <si>
    <t>GSON/5137377011</t>
  </si>
  <si>
    <t>CUOTAS</t>
  </si>
  <si>
    <t>GSON/5137379011</t>
  </si>
  <si>
    <t>CUOTAS CAP</t>
  </si>
  <si>
    <t>GSON/5137379012</t>
  </si>
  <si>
    <t>GASTO OPER CAMPO</t>
  </si>
  <si>
    <t>GSON/5137379021</t>
  </si>
  <si>
    <t>HOSPEDAJE AL PERSONA</t>
  </si>
  <si>
    <t>GSON/5137379031</t>
  </si>
  <si>
    <t>Servicios Oficiales</t>
  </si>
  <si>
    <t>GSON5138</t>
  </si>
  <si>
    <t>GASTOS DE CEREMONIAL</t>
  </si>
  <si>
    <t>GSON/5138381011</t>
  </si>
  <si>
    <t>GASTOS DE ORDEN SOCI</t>
  </si>
  <si>
    <t>GSON/5138382011</t>
  </si>
  <si>
    <t>CONGRESOS Y CONVENCI</t>
  </si>
  <si>
    <t>GSON/5138383011</t>
  </si>
  <si>
    <t>EXPOSICIONES</t>
  </si>
  <si>
    <t>GSON/5138384011</t>
  </si>
  <si>
    <t>Otros Servicios Gene</t>
  </si>
  <si>
    <t>GSON5139</t>
  </si>
  <si>
    <t>SERVICIOS FUNERARIOS</t>
  </si>
  <si>
    <t>GSON/5139391011</t>
  </si>
  <si>
    <t>IMPUESTOS Y DERECHOS</t>
  </si>
  <si>
    <t>GSON/5139392011</t>
  </si>
  <si>
    <t>SENTENCIAS Y RESOLUC</t>
  </si>
  <si>
    <t>GSON/5139394011</t>
  </si>
  <si>
    <t>PENAS MULTAS ACCES</t>
  </si>
  <si>
    <t>GSON/5139395011</t>
  </si>
  <si>
    <t>OTROS GASTOS POR RES</t>
  </si>
  <si>
    <t>GSON/5139396011</t>
  </si>
  <si>
    <t>IMPTOS/NOMINAS CAP</t>
  </si>
  <si>
    <t>GSON/5139398012</t>
  </si>
  <si>
    <t>SERVICIOS ASISTENCIA</t>
  </si>
  <si>
    <t>GSON/5139399011</t>
  </si>
  <si>
    <t>GASTOS DE LA CASA DE</t>
  </si>
  <si>
    <t>GSON/5139399021</t>
  </si>
  <si>
    <t>SUBROGACIONES</t>
  </si>
  <si>
    <t>GSON/5139399031</t>
  </si>
  <si>
    <t>SERV PERSONALES</t>
  </si>
  <si>
    <t>GSON/5211411011</t>
  </si>
  <si>
    <t>MAT Y SUMINISTROS</t>
  </si>
  <si>
    <t>GSON/5211411021</t>
  </si>
  <si>
    <t>SERVICIOS GENERALES</t>
  </si>
  <si>
    <t>GSON/5211411031</t>
  </si>
  <si>
    <t>TRANSF ASIGN SUBS</t>
  </si>
  <si>
    <t>GSON/5211411041</t>
  </si>
  <si>
    <t>B MUEB INMUEB E INTA</t>
  </si>
  <si>
    <t>GSON/5211411051</t>
  </si>
  <si>
    <t>INVERSION PUBLICA</t>
  </si>
  <si>
    <t>GSON/5211411061</t>
  </si>
  <si>
    <t>INV FIN OTRA PROV</t>
  </si>
  <si>
    <t>GSON/5211411071</t>
  </si>
  <si>
    <t>ASIGN PRES POD EJEC</t>
  </si>
  <si>
    <t>GSON/5211411101</t>
  </si>
  <si>
    <t>GTO IND PARA OBRA</t>
  </si>
  <si>
    <t>GSON/5211411111</t>
  </si>
  <si>
    <t>SERVICIOS PERSONALES</t>
  </si>
  <si>
    <t>GSON/5211412011</t>
  </si>
  <si>
    <t>GASTOS DE OPERACION</t>
  </si>
  <si>
    <t>GSON/5211412021</t>
  </si>
  <si>
    <t>GASTOS DE FISCALIZAC</t>
  </si>
  <si>
    <t>GSON/5211412031</t>
  </si>
  <si>
    <t>GSON/5211413011</t>
  </si>
  <si>
    <t>GSON/5211413021</t>
  </si>
  <si>
    <t>INV PUB JUDICIAL</t>
  </si>
  <si>
    <t>GSON/5211413031</t>
  </si>
  <si>
    <t>SERV PER ORGA AUTON</t>
  </si>
  <si>
    <t>GTOS OPER ORGAN AUT</t>
  </si>
  <si>
    <t>GSON/5211414021</t>
  </si>
  <si>
    <t>INV PUB ORG AUTONOM</t>
  </si>
  <si>
    <t>GSON/5211414061</t>
  </si>
  <si>
    <t>GSON/5211414071</t>
  </si>
  <si>
    <t>TRANSFERENCIAS PARA</t>
  </si>
  <si>
    <t>GSON/5212415011</t>
  </si>
  <si>
    <t>GSON/5212415021</t>
  </si>
  <si>
    <t>APLICACION DE RECURS</t>
  </si>
  <si>
    <t>TRANSF DEFICIT OPERA</t>
  </si>
  <si>
    <t>GSON/5212415051</t>
  </si>
  <si>
    <t>TRANSFERENCIAS INTER</t>
  </si>
  <si>
    <t>GSON/5212417011</t>
  </si>
  <si>
    <t>GSON/5212419011</t>
  </si>
  <si>
    <t>Transferencias al Re</t>
  </si>
  <si>
    <t>GSON522</t>
  </si>
  <si>
    <t>Transferencias a Ent</t>
  </si>
  <si>
    <t>GSON5221</t>
  </si>
  <si>
    <t>TRANSFERENCIAS OTORG</t>
  </si>
  <si>
    <t>GSON/5221421011</t>
  </si>
  <si>
    <t>TRANSFERENCIAS OTROG</t>
  </si>
  <si>
    <t>GSON/5221422011</t>
  </si>
  <si>
    <t>GSON5222</t>
  </si>
  <si>
    <t>GSON/5222424011</t>
  </si>
  <si>
    <t>TRANSFERENCIAS A FID</t>
  </si>
  <si>
    <t>GSON/5222425011</t>
  </si>
  <si>
    <t>GSON523</t>
  </si>
  <si>
    <t>Subsidios</t>
  </si>
  <si>
    <t>GSON5231</t>
  </si>
  <si>
    <t>SUBSIDIOS A LA PRODU</t>
  </si>
  <si>
    <t>GSON/5231431011</t>
  </si>
  <si>
    <t>SUBS A MAQ Y EQ</t>
  </si>
  <si>
    <t>GSON/5231431021</t>
  </si>
  <si>
    <t>SUBSIDIO A LA INVERS</t>
  </si>
  <si>
    <t>GSON/5231433011</t>
  </si>
  <si>
    <t>SUBISIDIOS PARA CAPA</t>
  </si>
  <si>
    <t>GSON/5231439011</t>
  </si>
  <si>
    <t>SUBSIDIOS A FIDEICOM</t>
  </si>
  <si>
    <t>GSON/5231439021</t>
  </si>
  <si>
    <t>Subvenciones</t>
  </si>
  <si>
    <t>GSON5232</t>
  </si>
  <si>
    <t>SUBVENCION VEHICULAR</t>
  </si>
  <si>
    <t>GSON/5232437021</t>
  </si>
  <si>
    <t>Ayudas Sociales a Pe</t>
  </si>
  <si>
    <t>GSON5241</t>
  </si>
  <si>
    <t>AYUDAS SOCIALES A PE</t>
  </si>
  <si>
    <t>GSON/5241441011</t>
  </si>
  <si>
    <t>GSON/5241441021</t>
  </si>
  <si>
    <t>GASTOS PARA PROGRAMA</t>
  </si>
  <si>
    <t>GSON/5241441041</t>
  </si>
  <si>
    <t>AYUDAS CULTURALES Y</t>
  </si>
  <si>
    <t>GSON/5241441081</t>
  </si>
  <si>
    <t>AYUDAS ATN MEDICA</t>
  </si>
  <si>
    <t>GSON/5241441091</t>
  </si>
  <si>
    <t>ACTIV CULT Y DEP</t>
  </si>
  <si>
    <t>GSON/5241441101</t>
  </si>
  <si>
    <t>AYUDA SERV GRAL</t>
  </si>
  <si>
    <t>GSON/5241441111</t>
  </si>
  <si>
    <t>AYUDAS ALIMENTACION</t>
  </si>
  <si>
    <t>GSON/5241441121</t>
  </si>
  <si>
    <t>AYUDAS TRANSPORTE</t>
  </si>
  <si>
    <t>GSON/5241441151</t>
  </si>
  <si>
    <t>AYUDA EDUCACION</t>
  </si>
  <si>
    <t>GSON/5241441161</t>
  </si>
  <si>
    <t>GSON/5241441171</t>
  </si>
  <si>
    <t>AYUDAS ACT CULTURAL</t>
  </si>
  <si>
    <t>GSON/5241441181</t>
  </si>
  <si>
    <t>Becas</t>
  </si>
  <si>
    <t>GSON5242</t>
  </si>
  <si>
    <t>BECAS EDUCATIVAS</t>
  </si>
  <si>
    <t>GSON/5242442011</t>
  </si>
  <si>
    <t>FOMENTO DEPORTIVO</t>
  </si>
  <si>
    <t>GSON/5242442041</t>
  </si>
  <si>
    <t>BECAS INVERSION</t>
  </si>
  <si>
    <t>GSON/5242442061</t>
  </si>
  <si>
    <t>AYUDAS SOCIALES A IN</t>
  </si>
  <si>
    <t>GSON/5243443011</t>
  </si>
  <si>
    <t>GSON/5243445011</t>
  </si>
  <si>
    <t>APORT CONV ORG</t>
  </si>
  <si>
    <t>AYUDAS SOCIALES A EN</t>
  </si>
  <si>
    <t>GSON/5243447011</t>
  </si>
  <si>
    <t>Ayudas Soc x Desastr</t>
  </si>
  <si>
    <t>GSON5244</t>
  </si>
  <si>
    <t>MERCANCIAS PARA S UD</t>
  </si>
  <si>
    <t>GSON/5244448011</t>
  </si>
  <si>
    <t>Pensiones y Jubilaci</t>
  </si>
  <si>
    <t>GSON525</t>
  </si>
  <si>
    <t>otras Pensiones y Ju</t>
  </si>
  <si>
    <t>GSON5259</t>
  </si>
  <si>
    <t>SERV MEDICO PYJ</t>
  </si>
  <si>
    <t>GSON/5259459031</t>
  </si>
  <si>
    <t>Transferencias a Fid</t>
  </si>
  <si>
    <t>GSON526</t>
  </si>
  <si>
    <t>Transf a Fid, Mdtos</t>
  </si>
  <si>
    <t>GSON5261</t>
  </si>
  <si>
    <t>APORTACIONES A FIDEI</t>
  </si>
  <si>
    <t>GSON/5261461011</t>
  </si>
  <si>
    <t>GSON/5261463011</t>
  </si>
  <si>
    <t>FONDO GENERAL DE PAR</t>
  </si>
  <si>
    <t>FDO GRAL PARTICIPAC</t>
  </si>
  <si>
    <t>GSON/5311811015</t>
  </si>
  <si>
    <t>FONDO DE FOMENTO MUN</t>
  </si>
  <si>
    <t>FDO FOMENTO MPAL</t>
  </si>
  <si>
    <t>GSON/5311812015</t>
  </si>
  <si>
    <t>PARTICIPACIONES DEL</t>
  </si>
  <si>
    <t>PART IMPTO ESP CERVE</t>
  </si>
  <si>
    <t>GSON/5311815015</t>
  </si>
  <si>
    <t>FONDO DE FISCALIZACI</t>
  </si>
  <si>
    <t>FONDO FISCALIZACION</t>
  </si>
  <si>
    <t>GSON/5311815025</t>
  </si>
  <si>
    <t>IMPUESTO ESPECIAL SO</t>
  </si>
  <si>
    <t>IMPTO ESP PROD SERVS</t>
  </si>
  <si>
    <t>GSON/5311815035</t>
  </si>
  <si>
    <t>IMPUESTOS OBRE AUTOM</t>
  </si>
  <si>
    <t>ISAN</t>
  </si>
  <si>
    <t>GSON/5311815045</t>
  </si>
  <si>
    <t>FONDO DE COMPENSACIO</t>
  </si>
  <si>
    <t>FDO DISMINUCION ISAN</t>
  </si>
  <si>
    <t>GSON/5311815055</t>
  </si>
  <si>
    <t>IMPUESTOS OBRE TENEN</t>
  </si>
  <si>
    <t>IMPUESTO TENENCIA</t>
  </si>
  <si>
    <t>GSON/5311815065</t>
  </si>
  <si>
    <t>PART100% ISR ENT FED</t>
  </si>
  <si>
    <t>GSON/5311815071</t>
  </si>
  <si>
    <t>PARTICIPACIONES DERI</t>
  </si>
  <si>
    <t>PART OBTENC PREMIOS</t>
  </si>
  <si>
    <t>GSON/5312813015</t>
  </si>
  <si>
    <t>DERECHOS POR SERVICI</t>
  </si>
  <si>
    <t>DER SERV EXP PLACA</t>
  </si>
  <si>
    <t>GSON/5312813025</t>
  </si>
  <si>
    <t>PART IMPTO COMER IND</t>
  </si>
  <si>
    <t>GSON/5312813035</t>
  </si>
  <si>
    <t>REVALIDACION DE LICE</t>
  </si>
  <si>
    <t>REV LIC BEBIDAS ALCO</t>
  </si>
  <si>
    <t>GSON/5312813045</t>
  </si>
  <si>
    <t>IMPUESTO POR LA PRES</t>
  </si>
  <si>
    <t>IMPTO PRES SERV JUEG</t>
  </si>
  <si>
    <t>GSON/5312813055</t>
  </si>
  <si>
    <t>ESTIMULOS ECONOMICOS</t>
  </si>
  <si>
    <t>GSON/5312813061</t>
  </si>
  <si>
    <t>GSON532</t>
  </si>
  <si>
    <t>Aport d'Federación a</t>
  </si>
  <si>
    <t>GSON5321</t>
  </si>
  <si>
    <t>FONDO DE APORTACIONE</t>
  </si>
  <si>
    <t>GSON/5321832011</t>
  </si>
  <si>
    <t>GSON/5321832021</t>
  </si>
  <si>
    <t>APOYOS ADICIONALES A</t>
  </si>
  <si>
    <t>GSON/5321835011</t>
  </si>
  <si>
    <t>GSON533</t>
  </si>
  <si>
    <t>Convenios de Descent</t>
  </si>
  <si>
    <t>GSON5332</t>
  </si>
  <si>
    <t>CONVENIOS DE DESCENT</t>
  </si>
  <si>
    <t>GSON/5332852011</t>
  </si>
  <si>
    <t>OTROS CONVENIOS</t>
  </si>
  <si>
    <t>GSON/5332853011</t>
  </si>
  <si>
    <t>PAGO DE INTERESES LA</t>
  </si>
  <si>
    <t>PAGO DE INTERESES DE</t>
  </si>
  <si>
    <t>COMISIONES DE LA DEU</t>
  </si>
  <si>
    <t>GASTOS DE LA DEUDA P</t>
  </si>
  <si>
    <t>Costo por Coberturas</t>
  </si>
  <si>
    <t>GSON544</t>
  </si>
  <si>
    <t>GSON5441</t>
  </si>
  <si>
    <t>COSTO POR COBERTURAS</t>
  </si>
  <si>
    <t>GSON/5441951013</t>
  </si>
  <si>
    <t>Apoyos Financieros</t>
  </si>
  <si>
    <t>GSON545</t>
  </si>
  <si>
    <t>Apoyos Financieros a</t>
  </si>
  <si>
    <t>GSON5452</t>
  </si>
  <si>
    <t>APOYOS A AHORRADORES</t>
  </si>
  <si>
    <t>GSON/5452962013</t>
  </si>
  <si>
    <t>AMORTIZACION DE ACTI</t>
  </si>
  <si>
    <t>GSON5596</t>
  </si>
  <si>
    <t>RESULT X POS MONE</t>
  </si>
  <si>
    <t>GSON/5596100001</t>
  </si>
  <si>
    <t>Pérdidas por Partici</t>
  </si>
  <si>
    <t>GSON5597</t>
  </si>
  <si>
    <t>PERD X PART PATR</t>
  </si>
  <si>
    <t>GSON/5597100001</t>
  </si>
  <si>
    <t>BAJA ACTIVO FIJO POR</t>
  </si>
  <si>
    <t>COSTO BAJA ACTIVO</t>
  </si>
  <si>
    <t>CONSTR BIEN NO CAPIT</t>
  </si>
  <si>
    <t>AVALMPIOACONCHI</t>
  </si>
  <si>
    <t>GSON/7310100001</t>
  </si>
  <si>
    <t>AVALMPIOAPRIETA</t>
  </si>
  <si>
    <t>GSON/7310100002</t>
  </si>
  <si>
    <t>AVALMPIOALTAR</t>
  </si>
  <si>
    <t>GSON/7310100003</t>
  </si>
  <si>
    <t>AVALMPIOARIVECHI</t>
  </si>
  <si>
    <t>GSON/7310100004</t>
  </si>
  <si>
    <t>AVALMPIOARIZPE</t>
  </si>
  <si>
    <t>GSON/7310100005</t>
  </si>
  <si>
    <t>AVALMPIOBACANORA</t>
  </si>
  <si>
    <t>GSON/7310100006</t>
  </si>
  <si>
    <t>AVALMPIOBANAMICH</t>
  </si>
  <si>
    <t>GSON/7310100007</t>
  </si>
  <si>
    <t>AVALMPIOBENJAMIN</t>
  </si>
  <si>
    <t>GSON/7310100008</t>
  </si>
  <si>
    <t>AVALMPIOCARBO</t>
  </si>
  <si>
    <t>GSON/7310100010</t>
  </si>
  <si>
    <t>AVALMPIOCUMPAS</t>
  </si>
  <si>
    <t>GSON/7310100011</t>
  </si>
  <si>
    <t>AVALMPIODIVISADE</t>
  </si>
  <si>
    <t>GSON/7310100012</t>
  </si>
  <si>
    <t>AVALMPIOMAZATAN</t>
  </si>
  <si>
    <t>GSON/7310100015</t>
  </si>
  <si>
    <t>AVALMPIOMOCTEZU</t>
  </si>
  <si>
    <t>GSON/7310100016</t>
  </si>
  <si>
    <t>AVALMPIONACOZAR</t>
  </si>
  <si>
    <t>GSON/7310100017</t>
  </si>
  <si>
    <t>AVALMPIOPPEÑASC</t>
  </si>
  <si>
    <t>GSON/7310100019</t>
  </si>
  <si>
    <t>AVALMPIOROSARIO</t>
  </si>
  <si>
    <t>GSON/7310100020</t>
  </si>
  <si>
    <t>AVALMPIOSAHUARI</t>
  </si>
  <si>
    <t>GSON/7310100021</t>
  </si>
  <si>
    <t>AVALMPIOSANTAA</t>
  </si>
  <si>
    <t>GSON/7310100022</t>
  </si>
  <si>
    <t>AVALMPIOSARIC</t>
  </si>
  <si>
    <t>GSON/7310100023</t>
  </si>
  <si>
    <t>AVALMPIOTUBUTAM</t>
  </si>
  <si>
    <t>GSON/7310100024</t>
  </si>
  <si>
    <t>AVALMPIOURES</t>
  </si>
  <si>
    <t>GSON/7310100025</t>
  </si>
  <si>
    <t>AVALCOAPAESDG</t>
  </si>
  <si>
    <t>GSON/7310200001</t>
  </si>
  <si>
    <t>AVALCOAPAESHILLO</t>
  </si>
  <si>
    <t>GSON/7310200002</t>
  </si>
  <si>
    <t>AVALCOAPAESSLRC</t>
  </si>
  <si>
    <t>GSON/7310200003</t>
  </si>
  <si>
    <t>AVALFAPES</t>
  </si>
  <si>
    <t>GSON/7310200004</t>
  </si>
  <si>
    <t>AVALFIDEICOMISOS</t>
  </si>
  <si>
    <t>GSON/7310200005</t>
  </si>
  <si>
    <t>AVAL MIFEL/FEMOT</t>
  </si>
  <si>
    <t>GSON/7310200006</t>
  </si>
  <si>
    <t>AVAL TELEMAX</t>
  </si>
  <si>
    <t>GSON/7310200007</t>
  </si>
  <si>
    <t>AVALESFIRMMPIO</t>
  </si>
  <si>
    <t>GSON/7320100001</t>
  </si>
  <si>
    <t>AVALESFIRMORGE</t>
  </si>
  <si>
    <t>GSON/7320100002</t>
  </si>
  <si>
    <t>Juicios</t>
  </si>
  <si>
    <t>GSON74</t>
  </si>
  <si>
    <t>DEMANDAS JUDICIAL</t>
  </si>
  <si>
    <t>GSON/7410100001</t>
  </si>
  <si>
    <t>RESOLUCION DEMAND</t>
  </si>
  <si>
    <t>GSON/7420100001</t>
  </si>
  <si>
    <t>GSON75</t>
  </si>
  <si>
    <t>CONTRATOS INVERSI</t>
  </si>
  <si>
    <t>GSON/7510100001</t>
  </si>
  <si>
    <t>GSON/7520100001</t>
  </si>
  <si>
    <t>B BAJO COMODATO</t>
  </si>
  <si>
    <t>CTA X COBRAR EJ ANT</t>
  </si>
  <si>
    <t>GSON/7710100001</t>
  </si>
  <si>
    <t>ADEUDOS POR RECUP</t>
  </si>
  <si>
    <t>GSON/7720100001</t>
  </si>
  <si>
    <t>LEY INGRESO ESTIM</t>
  </si>
  <si>
    <t>LEY INGR X EJECUT</t>
  </si>
  <si>
    <t>MODI LEY INGR EST</t>
  </si>
  <si>
    <t>LEY INGRES DEVENG</t>
  </si>
  <si>
    <t>LEY INGRES DEVEVE</t>
  </si>
  <si>
    <t>LEY INGRES RECAUD</t>
  </si>
  <si>
    <t>PSPTO EGRES APROB</t>
  </si>
  <si>
    <t>PSPTO EGRES X EJE</t>
  </si>
  <si>
    <t>PSPTO POR EJERCER</t>
  </si>
  <si>
    <t>GSON/8220000001</t>
  </si>
  <si>
    <t>MOD PSPTO EGRE AP</t>
  </si>
  <si>
    <t>PSPTO EGRE COMPRO</t>
  </si>
  <si>
    <t>PSPTO COMPROMET</t>
  </si>
  <si>
    <t>PSPTO EGRE DEVENG</t>
  </si>
  <si>
    <t>PSPTO EGRE EJERCI</t>
  </si>
  <si>
    <t>PSPTO EJERCIDO</t>
  </si>
  <si>
    <t>PSPTO EGRE PAGAD</t>
  </si>
  <si>
    <t>Cuentas de Cierre Pr</t>
  </si>
  <si>
    <t>GSON9</t>
  </si>
  <si>
    <t>Superavit Financiero</t>
  </si>
  <si>
    <t>GSON91</t>
  </si>
  <si>
    <t>SUPERAVIT FINANCIERO</t>
  </si>
  <si>
    <t>GSON/9100000000</t>
  </si>
  <si>
    <t>Deficit Financiero</t>
  </si>
  <si>
    <t>GSON92</t>
  </si>
  <si>
    <t>DEFICIT FINANCIERO</t>
  </si>
  <si>
    <t>GSON/9200000000</t>
  </si>
  <si>
    <t>Adeudos de Ejercicio</t>
  </si>
  <si>
    <t>GSON93</t>
  </si>
  <si>
    <t>ADEFA</t>
  </si>
  <si>
    <t>GSON/9300000000</t>
  </si>
  <si>
    <t>16</t>
  </si>
  <si>
    <t>Enero</t>
  </si>
  <si>
    <t>Diciembre</t>
  </si>
  <si>
    <t>1</t>
  </si>
  <si>
    <t>Al 31 de Diciembre del 2016</t>
  </si>
  <si>
    <t>L.E.F. JOSE LUIS MUNDO RUIZ</t>
  </si>
  <si>
    <t>DIRECTOR GENERAL DE CONTABILIDAD GUBERNAMENTAL</t>
  </si>
  <si>
    <t>Efectivo y Equivalentes (Nota 1)</t>
  </si>
  <si>
    <t>Derechos a Recibir Efectivo o Equivalentes (Nota 2)</t>
  </si>
  <si>
    <t>Derechos a Recibir Bienes o Servicios (Nota 3)</t>
  </si>
  <si>
    <t>Otros Activos Circulantes (Nota 4)</t>
  </si>
  <si>
    <t>Inversiones Financieras a Largo Plazo (Nota 6)</t>
  </si>
  <si>
    <t>Bienes Inmuebles, Infraestructura y Construcciones en Proceso (Nota 7)</t>
  </si>
  <si>
    <t>Bienes Muebles (Nota 8)</t>
  </si>
  <si>
    <t>Activos Intangibles (Nota 9)</t>
  </si>
  <si>
    <t>Depreciación, Deterioro y Amortización Acumulada de Bienes (Nota 10)</t>
  </si>
  <si>
    <t>Estimación por Pérdida o Deterioro de Activos no Circulantes (Nota 11)</t>
  </si>
  <si>
    <t>Otros Activos no Circulantes (Nota 12)</t>
  </si>
  <si>
    <t>Cuentas por Pagar a Corto Plazo (Nota 13)</t>
  </si>
  <si>
    <t>Otros Pasivos a Corto Plazo (Nota 16)</t>
  </si>
  <si>
    <t>Documentos por Pagar a Corto Plazo (Nota 14)</t>
  </si>
  <si>
    <t>Porción a Corto Plazo de la Deuda Pública a Largo Plazo (Nota 15)</t>
  </si>
  <si>
    <t>Deuda Pública a Largo Plazo (Nota 15)</t>
  </si>
  <si>
    <t>Estado de Situación Financiera Detallado - LDF</t>
  </si>
  <si>
    <t>(PESOS)</t>
  </si>
  <si>
    <t>Concepto (c)</t>
  </si>
  <si>
    <t>ACTIVO</t>
  </si>
  <si>
    <t>PASIVO</t>
  </si>
  <si>
    <t xml:space="preserve">  a. Efectivo y Equivalentes  (a=a1+a2+a3+a4+a5+a6+a7)</t>
  </si>
  <si>
    <t>a. Cuentas por Pagar a Corto Plazo (a=a1+a2+a3+a4+a5+a6+a7+a8+a9)</t>
  </si>
  <si>
    <t xml:space="preserve">    a1) Efectivo</t>
  </si>
  <si>
    <t xml:space="preserve">    a1) Servicios Personales por Pagar a Corto Plazo</t>
  </si>
  <si>
    <t xml:space="preserve">    a2) Bancos/Tesorería</t>
  </si>
  <si>
    <t xml:space="preserve">    a2) Proveedores por Pagar a Corto Plazo</t>
  </si>
  <si>
    <t xml:space="preserve">    a3) Bancos/Dependencias y Otros</t>
  </si>
  <si>
    <t xml:space="preserve">    a3) Contratistas por Obras Públicas por Pagar a Corto Plazo</t>
  </si>
  <si>
    <t xml:space="preserve">    a4) Inversiones Temporales (Hasta 3 meses)</t>
  </si>
  <si>
    <t xml:space="preserve">    a4) Participaciones y Aportaciones por Pagar a Corto Plazo</t>
  </si>
  <si>
    <t xml:space="preserve">    a5) Fondos con Afectación Específica</t>
  </si>
  <si>
    <t xml:space="preserve">    a5) Transferencias Otorgadas por Pagar a Corto Plazo</t>
  </si>
  <si>
    <t xml:space="preserve">    a6) Depósitos de Fondos de Terceros en Garantía y/o  Administración</t>
  </si>
  <si>
    <t xml:space="preserve">    a6) Intereses, Comisiones y Otros Gastos de la Deuda Pública por Pagar a Corto Plazo</t>
  </si>
  <si>
    <t xml:space="preserve">    a7) Otros Efectivos y Equivalentes</t>
  </si>
  <si>
    <t xml:space="preserve">    a7) Retenciones y Contribuciones por Pagar a Corto Plazo</t>
  </si>
  <si>
    <t xml:space="preserve">  b. Derechos a Recibir Efectivo o Equivalentes (b=b1+b2+b3+b4+b5+b6+b7)</t>
  </si>
  <si>
    <t xml:space="preserve">    a8) Devoluciones de la Ley de Ingresos por Pagar a Corto Plazo</t>
  </si>
  <si>
    <t xml:space="preserve">    b1) Inversiones Financieras de Corto Plazo</t>
  </si>
  <si>
    <t xml:space="preserve">    a9) Otras Cuentas por Pagar a Corto Plazo</t>
  </si>
  <si>
    <t xml:space="preserve">    b2) Cuentas por Cobrar a Corto Plazo</t>
  </si>
  <si>
    <t>b. Documentos por Pagar a Corto Plazo (b=b1+b2+b3)</t>
  </si>
  <si>
    <t xml:space="preserve">    b3) Deudores Diversos por Cobrar a Corto Plazo</t>
  </si>
  <si>
    <t xml:space="preserve">    b1) Documentos Comerciales por Pagar a Corto Plazo</t>
  </si>
  <si>
    <t xml:space="preserve">    b4) Ingresos por Recuperar a Corto Plazo</t>
  </si>
  <si>
    <t xml:space="preserve">    b2) Documentos con Contratistas por Obras Públicas por Pagar a Corto Plazo</t>
  </si>
  <si>
    <t xml:space="preserve">    b5) Deudores por Anticipos de la Tesorería a Corto Plazo</t>
  </si>
  <si>
    <t xml:space="preserve">    b3) Otros Documentos por Pagar a Corto Plazo</t>
  </si>
  <si>
    <t xml:space="preserve">    b6) Préstamos Otorgados a Corto Plazo</t>
  </si>
  <si>
    <t>c. Porción a Corto Plazo de la Deuda Pública a Largo Plazo (c=c1+c2)</t>
  </si>
  <si>
    <t xml:space="preserve">    b7) Otros Derechos a Recibir Efectivo o Equivalentes a Corto Plazo</t>
  </si>
  <si>
    <t xml:space="preserve">    c1) Porción a Corto Plazo de la Deuda Pública</t>
  </si>
  <si>
    <t xml:space="preserve">  c. Derechos a Recibir Bienes o Servicios (c=c1+c2+c3+c4+c5)</t>
  </si>
  <si>
    <t xml:space="preserve">    c2) Porción a Corto Plazo de Arrendamiento Financiero</t>
  </si>
  <si>
    <t xml:space="preserve">     c1) Anticipo a Proveedores por Adquisición de Bienes y Prestación de Servicios a Corto Plazo</t>
  </si>
  <si>
    <t>d. Títulos y Valores a Corto Plazo</t>
  </si>
  <si>
    <t xml:space="preserve">    c2) Anticipo a Proveedores por Adquisición de Bienes Inmuebles y Muebles a Corto Plazo</t>
  </si>
  <si>
    <t>e. Pasivos Diferidos a Corto Plazo (e=e1+e2+e3)</t>
  </si>
  <si>
    <t xml:space="preserve">    c3) Anticipo a Proveedores por Adquisición de Bienes Intangibles a Corto Plazo</t>
  </si>
  <si>
    <t xml:space="preserve">    e1) Ingresos Cobrados por Adelantado a Corto Plazo</t>
  </si>
  <si>
    <t xml:space="preserve">    c4) Anticipo a Contratistas por Obras Públicas a Corto Plazo</t>
  </si>
  <si>
    <t xml:space="preserve">    e2) Intereses Cobrados por Adelantado a Corto Plazo</t>
  </si>
  <si>
    <t xml:space="preserve">    c5) Otros Derechos a Recibir Bienes o Servicios a Corto Plazo</t>
  </si>
  <si>
    <t xml:space="preserve">    e3) Otros Pasivos Diferidos a Corto Plazo</t>
  </si>
  <si>
    <t>d. Inventarios (d=d1+d2+d3+d4+d5)</t>
  </si>
  <si>
    <t>f. Fondos y Bienes de Terceros en Garantía y/o Administración a Corto Plazo (f=f1+f2+f3+f4+f5+f6)</t>
  </si>
  <si>
    <t xml:space="preserve">    d1) Inventario de Mercancías para Venta</t>
  </si>
  <si>
    <t xml:space="preserve">    f1) Fondos en Garantía a Corto Plazo</t>
  </si>
  <si>
    <t xml:space="preserve">    d2) Inventario de Mercancías Terminadas</t>
  </si>
  <si>
    <t xml:space="preserve">    f2) Fondos en Administración a Corto Plazo</t>
  </si>
  <si>
    <t xml:space="preserve">    d3) Inventario de Mercancías en Proceso de Elaboración</t>
  </si>
  <si>
    <t xml:space="preserve">    f3) Fondos Contingentes a Corto Plazo</t>
  </si>
  <si>
    <t xml:space="preserve">    d4) Inventario de Materias Primas, Materiales y Suministros para Producción</t>
  </si>
  <si>
    <t xml:space="preserve">    f4) Fondos de Fideicomisos, Mandatos y Contratos Análogos a Corto Plazo</t>
  </si>
  <si>
    <t xml:space="preserve">    d5) Bienes en Tránsito</t>
  </si>
  <si>
    <t xml:space="preserve">    f5) Otros Fondos de Terceros en Garantía y/o Administración a Corto Plazo</t>
  </si>
  <si>
    <t>e. Almacenes</t>
  </si>
  <si>
    <t xml:space="preserve">    f6) Valores y Bienes en Garantía a Corto Plazo</t>
  </si>
  <si>
    <t>f. Estimación por Pérdida o Deterioro de Activos Circulantes (f=f1+f2)</t>
  </si>
  <si>
    <t>g. Provisiones a Corto Plazo (g=g1+g2+g3)</t>
  </si>
  <si>
    <t xml:space="preserve">    f1) Estimaciones para Cuentas Incobrables por Derechos a Recibir Efectivo o Equivalentes</t>
  </si>
  <si>
    <t xml:space="preserve">    g1) Provisión para Demandas y Juicios a Corto Plazo</t>
  </si>
  <si>
    <t xml:space="preserve">    f2) Estimación por Deterioro de Inventarios</t>
  </si>
  <si>
    <t xml:space="preserve">    g2) Provisión para Contingencias a Corto Plazo</t>
  </si>
  <si>
    <t>g. Otros Activos Circulantes (g=g1+g2+g3+g4)</t>
  </si>
  <si>
    <t xml:space="preserve">    g3) Otras Provisiones a Corto Plazo</t>
  </si>
  <si>
    <t xml:space="preserve">    g1) Valores en Garantía</t>
  </si>
  <si>
    <t>h. Otros Pasivos a Corto Plazo (h=h1+h2+h3)</t>
  </si>
  <si>
    <t xml:space="preserve">    g2) Bienes en Garantía (excluye depósitos de fondos)</t>
  </si>
  <si>
    <t xml:space="preserve">    h1) Ingresos por Clasificar</t>
  </si>
  <si>
    <t xml:space="preserve">    g3) Bienes Derivados de Embargos, Decomisos, Aseguramientos y Dación en Pago</t>
  </si>
  <si>
    <t xml:space="preserve">    h2) Recaudación por Participar</t>
  </si>
  <si>
    <t xml:space="preserve">    g4) Adquisición con Fondos de Terceros</t>
  </si>
  <si>
    <t xml:space="preserve">    h3) Otros Pasivos Circulantes</t>
  </si>
  <si>
    <t>IA. Total de Activos Circulantes (IA = a + b + c + d + e + f + g)</t>
  </si>
  <si>
    <t>IIA. Total de Pasivos Circulantes (IIA = a + b + c + d + e + f + g + h)</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</si>
  <si>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</si>
  <si>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</si>
  <si>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</si>
  <si>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</si>
  <si>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</si>
  <si>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</si>
  <si>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</si>
  <si>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</si>
  <si>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</si>
  <si>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</si>
  <si>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</si>
  <si>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</si>
  <si>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</si>
  <si>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IIB. Total de Pasivos No Circulantes (IIB = a + b + c + d + e + f)</t>
  </si>
  <si>
    <t>h. Estimación por Pérdida o Deterioro de Activos no Circulantes</t>
  </si>
  <si>
    <t>i. Otros Activos no Circulantes</t>
  </si>
  <si>
    <t>II. Total del Pasivo (II = IIA + IIB)</t>
  </si>
  <si>
    <t>IB. Total de Activos No Circulantes (IB = a + b + c + d + e + f + g + h + i)</t>
  </si>
  <si>
    <t>HACIENDA PÚBLICA/PATRIMONIO</t>
  </si>
  <si>
    <t>IIIA. Hacienda Pública/Patrimonio Contribuido (IIIA = a + b + c)</t>
  </si>
  <si>
    <t>I. Total del Activo (I = IA + IB)</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</si>
  <si>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</si>
  <si>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</si>
  <si>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</si>
  <si>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</si>
  <si>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</si>
  <si>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</si>
  <si>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</si>
  <si>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</si>
  <si>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</si>
  <si>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</si>
  <si>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</si>
  <si>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</si>
  <si>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</si>
  <si>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</si>
  <si>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Estado de Actividades</t>
  </si>
  <si>
    <t>Del 1 de Enero al 31 de Diciembre del 2016</t>
  </si>
  <si>
    <t xml:space="preserve">Gobierno Estado de Sonora </t>
  </si>
  <si>
    <t>INGRESOS Y OTROS BENEFICIOS</t>
  </si>
  <si>
    <t>Cuenta Infofin</t>
  </si>
  <si>
    <t>Ingresos de la Gestión (Nota 1)</t>
  </si>
  <si>
    <t>4-1-0-0-0-0-000-</t>
  </si>
  <si>
    <t>4-1-1-0-0-0-000-</t>
  </si>
  <si>
    <t>Cuotas y Aportaciones de Seguridad Social</t>
  </si>
  <si>
    <t>Contribuciones de Mejoras</t>
  </si>
  <si>
    <t>Productos de Tipo Corriente</t>
  </si>
  <si>
    <t>Aprovechamientos de Tipo Corriente</t>
  </si>
  <si>
    <t>Ingresos por Venta de Bienes y Servicios</t>
  </si>
  <si>
    <t>Ingresos no Comprendidos en las Fracciones de la Ley de Ingresos Causados en Ejercicios Fiscales Anteriores Pendientes de
Liquidación o Pago</t>
  </si>
  <si>
    <t>Participaciones, Aportaciones, Transferencias, Asignaciones, Subsidios y Otras Ayudas (Nota 2)</t>
  </si>
  <si>
    <t>Participaciones y Aportaciones</t>
  </si>
  <si>
    <t>Transferencia, Asignaciones, Subsidios y Otras Ayudas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</si>
  <si>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</si>
  <si>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</si>
  <si>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</si>
  <si>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</si>
  <si>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</si>
  <si>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 (Nota 3)</t>
  </si>
  <si>
    <t>Total de Ingresos y Otros Beneficios</t>
  </si>
  <si>
    <t>GASTOS Y OTRAS PÉRDIDAS</t>
  </si>
  <si>
    <t>Gastos de Funcionamiento (Nota 4)</t>
  </si>
  <si>
    <t>Materiales y Suministros</t>
  </si>
  <si>
    <t>Transferencia, Asignaciones, Subsidios y Otras Ayudas (Nota 5)</t>
  </si>
  <si>
    <t>Transferencias Internas y Asignaciones al Sector Público</t>
  </si>
  <si>
    <t>Transferencias al Resto del Sector Público</t>
  </si>
  <si>
    <t>Subsidios y Subvenciones</t>
  </si>
  <si>
    <t>Pensiones y Jubilaciones</t>
  </si>
  <si>
    <t>Transferencias a Fideicomisos, Mandatos y Contratos Análogos</t>
  </si>
  <si>
    <t>Transferencias a la Seguridad Social</t>
  </si>
  <si>
    <t>Donativos</t>
  </si>
  <si>
    <t>Transferencias al Exterior</t>
  </si>
  <si>
    <t>Participaciones y Aportaciones (Nota 6)</t>
  </si>
  <si>
    <t>Intereses, Comisiones y Otros Gastos de la Deuda Pública (Nota 7)</t>
  </si>
  <si>
    <t>Intereses de la Deuda Pública</t>
  </si>
  <si>
    <t>Comisiones de la Deuda Pública</t>
  </si>
  <si>
    <t>Gastos de la Deuda Pública</t>
  </si>
  <si>
    <t>Otros Gastos y Pérdidas Extraordinarias (Nota 8)</t>
  </si>
  <si>
    <t>Estimaciones, Depreciaciones, Deterioros, Obsolescencia y Amortizaciones</t>
  </si>
  <si>
    <t>Provisiones</t>
  </si>
  <si>
    <t>Disminución de Inventarios</t>
  </si>
  <si>
    <t>Aumento por Insuficiencia de Estimaciones por Pérdida o Deterioro y Obsolescencia</t>
  </si>
  <si>
    <t>Aumento por Insuficiencia de Provisiones</t>
  </si>
  <si>
    <t>Inversión Pública no Capitalizable</t>
  </si>
  <si>
    <t>Total de Gastos y Otras Pérdidas</t>
  </si>
  <si>
    <t>Resultados del Ejercicio (Ahorro/Desahorro)</t>
  </si>
  <si>
    <t>Estado de Variación en la Hacienda Pública</t>
  </si>
  <si>
    <t xml:space="preserve"> Al 31 de Diciembre del 2016</t>
  </si>
  <si>
    <t>Concepto</t>
  </si>
  <si>
    <t>Hacienda
Pública /
Patrimonio
Contribuido</t>
  </si>
  <si>
    <t>Hacienda
Pública /
Patrimonio
Generado de
Ejercicio
Anteriores</t>
  </si>
  <si>
    <t>Hacienda
Pública /
Patrimonio
Generado
del Ejercicio</t>
  </si>
  <si>
    <t>Ajustes
por
Cambios
de Valor</t>
  </si>
  <si>
    <t>Total</t>
  </si>
  <si>
    <t>Patrimonio Neto  Inicial Ajustado del ejercicio</t>
  </si>
  <si>
    <t>3-1-2-1-0-0-000-</t>
  </si>
  <si>
    <t>3-1-3-1-0-0-000-</t>
  </si>
  <si>
    <t>Actualización de la Hacienda Pública/Patrimonio</t>
  </si>
  <si>
    <t>Variaciones de la Hacienda Pública/Patrimonio Neto del Ejericico</t>
  </si>
  <si>
    <t>3-2-3-1-0-0-000-</t>
  </si>
  <si>
    <t>3-2-3-2-0-0-000-</t>
  </si>
  <si>
    <t>3-2-3-3-0-0-000-</t>
  </si>
  <si>
    <t>3-2-3-9-0-0-000-</t>
  </si>
  <si>
    <t>Hacienda Pública / Patrimonio Neto Final del Ejercicio  2015</t>
  </si>
  <si>
    <t>Cambios en la Hacienda Pública / Patrimonio Neto del Ejercicio 2016</t>
  </si>
  <si>
    <t>Variaciones de la Hacienda Pública / Patrimonio Neto del Ejercicio</t>
  </si>
  <si>
    <t>Saldo Neto en la Hacienda Pública/Patrimonio 2016</t>
  </si>
  <si>
    <t>Estado de Cambios en la Situación Financiera</t>
  </si>
  <si>
    <t>Origen</t>
  </si>
  <si>
    <t>Aplicación</t>
  </si>
  <si>
    <t>Cuenta contable en INFOFIN</t>
  </si>
  <si>
    <t xml:space="preserve">Efectivo y Equivalentes </t>
  </si>
  <si>
    <t>1-1-1-0-0-0-000-</t>
  </si>
  <si>
    <t>2,686,623,353</t>
  </si>
  <si>
    <t>Derechos a Recibir Efectivo o Equivalentes</t>
  </si>
  <si>
    <t>1-1-2-0-0-0-000-</t>
  </si>
  <si>
    <t>Derechos a Recibir Bienes o Servicios</t>
  </si>
  <si>
    <t>1-1-3-0-0-0-000-</t>
  </si>
  <si>
    <t>Inventario</t>
  </si>
  <si>
    <t>1-1-4-0-0-0-000-</t>
  </si>
  <si>
    <t>1-1-5-0-0-0-000-</t>
  </si>
  <si>
    <t>Estimacion por Pérdida o Deterioro de Activos Circulantes</t>
  </si>
  <si>
    <t>1-1-6-0-0-0-000-</t>
  </si>
  <si>
    <t>Otros Activos Circulantes</t>
  </si>
  <si>
    <t>1-1-9-0-0-0-000-</t>
  </si>
  <si>
    <t>Inversiones Financieras a Largo Plazo</t>
  </si>
  <si>
    <t>1-2-1-0-0-0-000-</t>
  </si>
  <si>
    <t>Bienes Inmuebles, Infraestructura y Construcciones en Proceso</t>
  </si>
  <si>
    <t>1-2-3-0-0-0-000-</t>
  </si>
  <si>
    <t>1-2-4-0-0-0-000-</t>
  </si>
  <si>
    <t>1-2-5-0-0-0-000-</t>
  </si>
  <si>
    <t xml:space="preserve">Depreciación, Deterioro y Amortización Acumulada de Bienes </t>
  </si>
  <si>
    <t>1-2-6-0-0-0-000-</t>
  </si>
  <si>
    <t>1-2-7-0-0-0-000-</t>
  </si>
  <si>
    <t>Estimación por Perdida o Deterioro de Activos No Circulantes</t>
  </si>
  <si>
    <t>1-2-8-0-0-0-000-</t>
  </si>
  <si>
    <t>Otros Activos No Circulantes</t>
  </si>
  <si>
    <t>1-2-9-0-0-0-000-</t>
  </si>
  <si>
    <t>Cuentas por Pagar a Corto Plazo</t>
  </si>
  <si>
    <t>2-1-1-0-0-0-000-</t>
  </si>
  <si>
    <t>Documentos por Pagar a Corto Plazo</t>
  </si>
  <si>
    <t>2-1-2-0-0-0-000-</t>
  </si>
  <si>
    <t>Porción a Corto Plazo de la Deuda Pública a Largo Plazo</t>
  </si>
  <si>
    <t>2-1-3-0-0-0-000-</t>
  </si>
  <si>
    <t>2-1-4-0-0-0-000-</t>
  </si>
  <si>
    <t>2-1-5-0-0-0-000-</t>
  </si>
  <si>
    <t>Fondos y Bienes de Terceros en Garantía y/o Administración a CortoPlazo</t>
  </si>
  <si>
    <t>2-1-6-0-0-0-000-</t>
  </si>
  <si>
    <t>2-1-7-0-0-0-000-</t>
  </si>
  <si>
    <t>Otros Pasivos a Corto Plazo</t>
  </si>
  <si>
    <t>2-1-9-0-0-0-000-</t>
  </si>
  <si>
    <t>2-2-1-0-0-0-000-</t>
  </si>
  <si>
    <t>2-2-2-0-0-0-000-</t>
  </si>
  <si>
    <t>Deuda Pública a Largo Plazo</t>
  </si>
  <si>
    <t>2-2-3-0-0-0-000-</t>
  </si>
  <si>
    <t>2-2-4-0-0-0-000-</t>
  </si>
  <si>
    <t>Fondos y Bienes de Terceros en Garantía y/o Administración a Largo Plazo</t>
  </si>
  <si>
    <t>2-2-5-0-0-0-000-</t>
  </si>
  <si>
    <t>2-2-6-0-0-0-000-</t>
  </si>
  <si>
    <t xml:space="preserve">HACIENDA PÚBLICA/PATRIMONIO </t>
  </si>
  <si>
    <t>3-1-0-0-0-0-000-</t>
  </si>
  <si>
    <t>3-1-1-0-0-0-000-</t>
  </si>
  <si>
    <t>3-1-2-0-0-0-000-</t>
  </si>
  <si>
    <t>3-1-3-0-0-0-000-</t>
  </si>
  <si>
    <t>3-2-0-0-0-0-000-</t>
  </si>
  <si>
    <t>Resultados del ejercicio (Ahorro/Desahorro)</t>
  </si>
  <si>
    <t>3-2-1-0-0-0-000-</t>
  </si>
  <si>
    <t>3-2-2-0-0-0-000-</t>
  </si>
  <si>
    <t>3-2-3-0-0-0-000-</t>
  </si>
  <si>
    <t>3-2-4-0-0-0-000-</t>
  </si>
  <si>
    <t>3-2-5-0-0-0-000-</t>
  </si>
  <si>
    <t>Exceso o Insuficiencia en la Actualización del Patrimonio</t>
  </si>
  <si>
    <t>GOBIERNO DEL ESTADO SONORA</t>
  </si>
  <si>
    <t>Estado de Flujos de Efectivo</t>
  </si>
  <si>
    <t>Flujos de Efectivo de las Actividades de Operación</t>
  </si>
  <si>
    <t>Contribuciones de mejoras</t>
  </si>
  <si>
    <t>Productos de Tipo corriente</t>
  </si>
  <si>
    <t>Ingresos no Comprendidos en las Fracciones de la Ley de Ingresos Causados en Ejercicios Fiscales Anteriores</t>
  </si>
  <si>
    <t>Pendientes de Liquidación o Pago</t>
  </si>
  <si>
    <t>Transferencias, Asignaciones y Subsidios y Otras Ayudas</t>
  </si>
  <si>
    <t>Otros Orígenes de Operación</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</si>
  <si>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</si>
  <si>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</si>
  <si>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</si>
  <si>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</si>
  <si>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</si>
  <si>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</si>
  <si>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</si>
  <si>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 de Efectivo de las Actividades de Financiamiento</t>
  </si>
  <si>
    <t>Endeudamiento neto</t>
  </si>
  <si>
    <t xml:space="preserve">     Interno</t>
  </si>
  <si>
    <t xml:space="preserve">     Externo</t>
  </si>
  <si>
    <t>Otros Orígenes de Financiamiento</t>
  </si>
  <si>
    <t>Servicios de la Deuda</t>
  </si>
  <si>
    <t>Otras Aplicaciones de Financiamiento</t>
  </si>
  <si>
    <t>Flujos netos de Efectivo por Actividades de Financiamiento</t>
  </si>
  <si>
    <t>Incremento/Disminución Neta en el Efectivo y Equivalentes al Efectivo</t>
  </si>
  <si>
    <r>
      <t>Efectivo y Equivalentes al Efectivo al inicio del Ejercicio</t>
    </r>
    <r>
      <rPr>
        <b/>
        <vertAlign val="superscript"/>
        <sz val="10"/>
        <color theme="1"/>
        <rFont val="Calibri"/>
        <family val="2"/>
        <scheme val="minor"/>
      </rPr>
      <t>1</t>
    </r>
  </si>
  <si>
    <r>
      <t>Efectivo y Equivalentes al Efectivo al final del Ejercicio</t>
    </r>
    <r>
      <rPr>
        <b/>
        <vertAlign val="superscript"/>
        <sz val="10"/>
        <color theme="1"/>
        <rFont val="Calibri"/>
        <family val="2"/>
        <scheme val="minor"/>
      </rPr>
      <t xml:space="preserve">1 </t>
    </r>
  </si>
  <si>
    <t>1) El saldo de estas cuentas se tomará de la nota 1 de este mismo estado.</t>
  </si>
  <si>
    <t>Estado Analítico de Activo</t>
  </si>
  <si>
    <t>Cuenta Contable</t>
  </si>
  <si>
    <t>Saldo Inicial</t>
  </si>
  <si>
    <t>Cargos al Periodo</t>
  </si>
  <si>
    <t>Abono del Periodo</t>
  </si>
  <si>
    <t>Saldo Final</t>
  </si>
  <si>
    <t>Variación del Período</t>
  </si>
  <si>
    <t>ACTIVO CIRCULANTE</t>
  </si>
  <si>
    <t xml:space="preserve">1.1.1 </t>
  </si>
  <si>
    <t xml:space="preserve">1.1.2 </t>
  </si>
  <si>
    <t>1.1.3</t>
  </si>
  <si>
    <t xml:space="preserve">Derechos a Recibir Bienes o Servicios </t>
  </si>
  <si>
    <t xml:space="preserve">1.1.4 </t>
  </si>
  <si>
    <t xml:space="preserve">Inventarios </t>
  </si>
  <si>
    <t xml:space="preserve">1.1.5 </t>
  </si>
  <si>
    <t xml:space="preserve">1.1.6 </t>
  </si>
  <si>
    <t xml:space="preserve">Estimación por Pérdida o Deterioro de Activos Circulantes </t>
  </si>
  <si>
    <t>1.1.9</t>
  </si>
  <si>
    <t>ACTIVO NO CIRCULANTE</t>
  </si>
  <si>
    <t xml:space="preserve">1.2.1 </t>
  </si>
  <si>
    <t xml:space="preserve">Inversiones Financieras a Largo Plazo </t>
  </si>
  <si>
    <t xml:space="preserve">1.2.2 </t>
  </si>
  <si>
    <t xml:space="preserve">1.2.3 </t>
  </si>
  <si>
    <t xml:space="preserve">1.2.4 </t>
  </si>
  <si>
    <t xml:space="preserve">1.2.5 </t>
  </si>
  <si>
    <t xml:space="preserve">1.2.6 </t>
  </si>
  <si>
    <t>Depreciación, Deterioro y Amortización Acumulada de Bienes</t>
  </si>
  <si>
    <t xml:space="preserve">1.2.7 </t>
  </si>
  <si>
    <t xml:space="preserve">1.2.8 </t>
  </si>
  <si>
    <t>Estimación por Pérdida o Deterioro de Activos no Circulantes</t>
  </si>
  <si>
    <t xml:space="preserve">1.2.9 </t>
  </si>
  <si>
    <t>Otros Activos no Circulantes</t>
  </si>
  <si>
    <t>Estado Analitico de la Deuda y otros Pasivos</t>
  </si>
  <si>
    <t>Denominación de las Deudas</t>
  </si>
  <si>
    <t>Moneda de Contratación</t>
  </si>
  <si>
    <t>Institución o País Acreedor</t>
  </si>
  <si>
    <t>Saldo inicial del periodo</t>
  </si>
  <si>
    <t>Saldo Final del Período</t>
  </si>
  <si>
    <t>DEUDA PUBLICA</t>
  </si>
  <si>
    <t>CORTO PLAZO</t>
  </si>
  <si>
    <t>DEUDA INTERNA</t>
  </si>
  <si>
    <t>Instituciones de Crédito:</t>
  </si>
  <si>
    <t>Títulos y Valores:</t>
  </si>
  <si>
    <t>Arrendamientos Financieros:</t>
  </si>
  <si>
    <t>DEUDA EXTERNA</t>
  </si>
  <si>
    <t>Organismos Financieros Internacionales:</t>
  </si>
  <si>
    <t>Deuda Bilateral:</t>
  </si>
  <si>
    <t>SUBTOTAL CORTO PLAZO</t>
  </si>
  <si>
    <t>LARGO PLAZO</t>
  </si>
  <si>
    <t>SUBTOTAL LARGO PLAZO</t>
  </si>
  <si>
    <t>OTROS PASIVOS</t>
  </si>
  <si>
    <t>TOTAL DEUDA Y OTROS PASIVOS</t>
  </si>
  <si>
    <t>1..12</t>
  </si>
  <si>
    <t>12</t>
  </si>
  <si>
    <t>Informe Analítico de la Deuda Pública y Otros Pasivos - LDF</t>
  </si>
  <si>
    <t>Denominación de la Deuda Pública y Otros Pasivos (c)</t>
  </si>
  <si>
    <t>Saldo</t>
  </si>
  <si>
    <t>Disposiciones del Periodo 
(e)</t>
  </si>
  <si>
    <t>Amortizaciones del Periodo 
(f)</t>
  </si>
  <si>
    <t>Revaluaciones, Reclasificaciones y Otros Ajustes (g)</t>
  </si>
  <si>
    <t>Saldo Final del Periodo 
(h)</t>
  </si>
  <si>
    <t>Pago de Intereses del Periodo 
(i)</t>
  </si>
  <si>
    <t>Pago de Comisiones y demás costos asociados durante el Periodo 
(j)</t>
  </si>
  <si>
    <t>al 31 de diciembre de 2015 (d)</t>
  </si>
  <si>
    <t>h=d+e-f+g</t>
  </si>
  <si>
    <t>1. Deuda Pública (1=A+B)</t>
  </si>
  <si>
    <t>A. Corto Plazo (A=a1+a2+a3)</t>
  </si>
  <si>
    <t xml:space="preserve">    a1) Instituciones de Crédito</t>
  </si>
  <si>
    <t xml:space="preserve">    a2) Títulos y Valores</t>
  </si>
  <si>
    <t xml:space="preserve">    a3) Arrendamientos Financieros</t>
  </si>
  <si>
    <t>B. Largo Plazo (B=b1+b2+b3)</t>
  </si>
  <si>
    <t xml:space="preserve">    b1) Instituciones de Crédito</t>
  </si>
  <si>
    <t xml:space="preserve">    b2) Títulos y Valores</t>
  </si>
  <si>
    <t xml:space="preserve"> b3) Arrendamientos Financieros</t>
  </si>
  <si>
    <t xml:space="preserve">2. Otros Pasivos </t>
  </si>
  <si>
    <t>3. Total de la Deuda Pública y Otros Pasivos (3=1+2)</t>
  </si>
  <si>
    <t>4. Deuda Contingente 1 (informativo)</t>
  </si>
  <si>
    <t>A. Deuda Contingente 1</t>
  </si>
  <si>
    <t>B. Deuda Contingente 2</t>
  </si>
  <si>
    <t>C. Deuda Contingente XX</t>
  </si>
  <si>
    <t>5. Valor de Instrumentos Bono Cupón Cero 2 (Informativo)</t>
  </si>
  <si>
    <t>A. Instrumento Bono Cupón Cero 1</t>
  </si>
  <si>
    <t>B. Instrumento Bono Cupón Cero 2</t>
  </si>
  <si>
    <t>C. Instrumento Bono Cupón Cero XX</t>
  </si>
  <si>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</si>
  <si>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Se refiere al valor del Bono Cupón Cero que respalda el pago de los créditos asociados al mismo (Activo).</t>
  </si>
  <si>
    <t>Obligaciones a Corto Plazo (k)</t>
  </si>
  <si>
    <t>Monto</t>
  </si>
  <si>
    <t>Plazo</t>
  </si>
  <si>
    <t>Tasa de Interés</t>
  </si>
  <si>
    <t>Comisiones y Costos Relacionados (o)</t>
  </si>
  <si>
    <t>Tasa Efectiva</t>
  </si>
  <si>
    <t>Contratado (l)</t>
  </si>
  <si>
    <t>Pactado</t>
  </si>
  <si>
    <t>(n)</t>
  </si>
  <si>
    <t>(p)</t>
  </si>
  <si>
    <t>(m)</t>
  </si>
  <si>
    <t>6. Obligaciones a Corto Plazo (Informativo)</t>
  </si>
  <si>
    <t>36.- BANORTE</t>
  </si>
  <si>
    <t>18/05/2016 A 16/08/2016</t>
  </si>
  <si>
    <t>TIIE 28 + 1.25</t>
  </si>
  <si>
    <t>TIIE + 1.8</t>
  </si>
  <si>
    <t>37.- BANORTE</t>
  </si>
  <si>
    <t>09/08/2016 A 30/09/2016</t>
  </si>
  <si>
    <t>TIIE + 1.64</t>
  </si>
  <si>
    <t>42.- BANORTE</t>
  </si>
  <si>
    <t>16/08/2016 A 27/09/2016</t>
  </si>
  <si>
    <t>TIIE 28 + 1.20</t>
  </si>
  <si>
    <t>TIIE + 1.2</t>
  </si>
  <si>
    <t>43.- HSBC</t>
  </si>
  <si>
    <t>08/09/2016 A 30/09/2016</t>
  </si>
  <si>
    <t>TIIE 28 + 1.5</t>
  </si>
  <si>
    <t>TIIE + 1.5</t>
  </si>
  <si>
    <t>35.- INTERACCIONES</t>
  </si>
  <si>
    <t>04/01/2016 A 15/12/2016</t>
  </si>
  <si>
    <t>TIIE 28 + 1.8</t>
  </si>
  <si>
    <t>TIIE + 4.35</t>
  </si>
  <si>
    <t>44.- HSBC</t>
  </si>
  <si>
    <t>29/11/2016 A 23/11/2017</t>
  </si>
  <si>
    <t>TIIE 28 + 1.75</t>
  </si>
  <si>
    <t>TIIE + 3.99</t>
  </si>
  <si>
    <t>45.- INTERACCIONES</t>
  </si>
  <si>
    <t>28/11/2016 A 27/11/2017</t>
  </si>
  <si>
    <t>TIIE 28 + 1.9</t>
  </si>
  <si>
    <t>TIIE + 4.83</t>
  </si>
  <si>
    <t>48.- INTERACCIONES</t>
  </si>
  <si>
    <t>14/12/2016 A 30/12/2017</t>
  </si>
  <si>
    <t>49.- INTERACCIONES</t>
  </si>
  <si>
    <t>15/12/2016 A 30/12/2017</t>
  </si>
  <si>
    <t>Informe Analítico de Obligaciones Diferentes de Financiamientos – LDF</t>
  </si>
  <si>
    <t>Denominación de las Obligaciones Diferentes de Financiamiento (c)</t>
  </si>
  <si>
    <t>Cuenta SAP</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</si>
  <si>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</si>
  <si>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</si>
  <si>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</si>
  <si>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</si>
  <si>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</si>
  <si>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</si>
  <si>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</si>
  <si>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Monto pagado de la inversión al XX de XXXX de 20XN (k)</t>
  </si>
  <si>
    <t>Monto pagado de la inversión actualizado al XX de XXXX de 20XN (l)</t>
  </si>
  <si>
    <t>Saldo pendiente por pagar de la inversión al XX de XXXX de 20XN (m = g – l)</t>
  </si>
  <si>
    <t>A. Asociaciones Público Privadas (APP’s) (A=a+b+c+d)</t>
  </si>
  <si>
    <t>a) APP 1</t>
  </si>
  <si>
    <t>b) APP 2</t>
  </si>
  <si>
    <t>c) APP 3</t>
  </si>
  <si>
    <t>d) APP XX</t>
  </si>
  <si>
    <t>B. Otros Instrumentos (B=a+b+c+d)</t>
  </si>
  <si>
    <t>a) Otro Instrumento 1</t>
  </si>
  <si>
    <t>b) Otro Instrumento 2</t>
  </si>
  <si>
    <t>c) Otro Instrumento 3</t>
  </si>
  <si>
    <t>d) Otro Instrumento XX</t>
  </si>
  <si>
    <t>C. Total de Obligaciones Diferentes de Financiamiento (C=A+B)</t>
  </si>
  <si>
    <t>NO APLICA</t>
  </si>
  <si>
    <t>Informe Sobre Pasivos Contingentes</t>
  </si>
  <si>
    <t>Al 31 de diciembre del 2016 , la Dirección Jurídica del Estado, atiende algunos juicios o litigios en los que el Gobierno del Estado aparece en calidad de demandado, en juzgados de Distrito y Tribunales Federales de orden común siendo los más importantes los siguientes:</t>
  </si>
  <si>
    <t>a).- El juicio agrario 574/09 del índice del Tribunal Unitario Agrario Distrito 02 de Mexicali, Baja California, promovido por José Ignacio García Morales del Ejido San Luis, en el cual se reclama el pago de la cantidad de $ 7,550,000.00 por concepto de pago de daños, perjuicios y ocupación temporal de una superficie aproximada de 18,000 metros cuadrados en la cual se construyó un tramo de la carretera San Luis Río Colorado – Golfo de Santa Clara, ha sido resuelto condenando al Gobierno del Estado al pago de la cantidad que resulte de dictamen en materia de avalúo que habrá de emitir el perito que para tal efecto designe el tribunal, obligación que se hará exigible una vez que se rinda dicho dictamen, sin poder anticipar la fecha para ello, por no depender de esta Consejería Jurídica, sino de la Autoridad Judicial.</t>
  </si>
  <si>
    <t>b).- El juicio agrario 575/09 del índice del Tribunal Unitario Agrario Distrito 02 de Mexicali, Baja California, promovido por Enedina Ledesma Hernández del Ejido San Luis, en el cual se reclama el pago de la cantidad de $ 7,550,000.00 por concepto de pago de daños, perjuicios y ocupación temporal de una superficie aproximada de 18,000 metros cuadrados en la cual se construyó un tramo de la carretera San Luis Río Colorado – Golfo de Santa Clara, ha sido resuelto condenando al Gobierno del Estado al pago de la cantidad que resulte de dictamen en materia de avalúo que habrá de emitir el perito que para tal efecto designe el tribunal, obligación que se hará exigible una vez que se rinda dicho dictamen, sin poder anticipar la fecha para ello, por no depender de esta Consejería Jurídica, sino de la Autoridad Judicial.</t>
  </si>
  <si>
    <t>c).- El juicio agrario 576/09 del índice del Tribunal Unitario Agrario Distrito 02 de Mexicali, Baja California, promovido por Pablo Montijo Cabanillas del Ejido San Luis, en el cual se reclama el pago de la cantidad de $ 7,550,000.00 por concepto de pago de daños, perjuicios y ocupación temporal de una superficie aproximada de 18,000 metros cuadrados en la cual se construyó un tramo de la carretera San Luis Río Colorado – Golfo de Santa Clara, ha sido resuelto condenando al Gobierno del Estado a realizar procedimiento expropiatorio sobre la superficie materia de juicio, obligación que ya es exigible en virtud de encontrarse en etapa de ejecución de sentencia, procedimiento que una vez llevado a cabo significara una erogación que contempla los gastos de trámite de dicho procedimiento y el monto que en su momento determine la Secretaría de Desarrollo Agrario, Territorial y Urbano (SEDATU) por concepto de indemnización.</t>
  </si>
  <si>
    <t>d).- El juicio agrario 577/09 del índice del Tribunal Unitario Agrario Distrito 02 de Mexicali, Baja California, promovido por Guillermo Gómez de Anda del Ejido San Luis, en el cual se reclama el pago de la cantidad de $ 7,550,000.00 por concepto de pago de daños, perjuicios y ocupación temporal de una superficie aproximada de 18,000 metros cuadrados en la cual se construyó un tramo de la carretera San Luis Río Colorado – Golfo de Santa Clara, ha sido resuelto condenando al Gobierno del Estado a realizar procedimiento expropiatorio sobre la superficie materia de juicio, obligación que ya es exigible en virtud de encontrarse en etapa de ejecución de sentencia, procedimiento que una vez llevado a cabo significara una erogación que contempla los gastos de trámite de dicho procedimiento y el monto que en su momento determine la Secretaría de Desarrollo Agrario, Territorial y Urbano (SEDATU) por concepto de indemnización.</t>
  </si>
  <si>
    <t>e).- El juicio agrario 578/09 del índice del Tribunal Unitario Agrario Distrito 02 de Mexicali, Baja California, promovido por Armando Viramontes Soto del Ejido San Luis, en el cual se reclama el pago de la cantidad de $ 7,550,000.00 por concepto de pago de daños, perjuicios y ocupación temporal de una superficie aproximada de 18,000 metros cuadrados en la cual se construyó un tramo de la carretera San Luis Río Colorado – Golfo de Santa Clara, ha sido resuelto condenando al Gobierno del Estado a realizar procedimiento expropiatorio sobre la superficie materia de juicio, obligación que ya es exigible en virtud de encontrarse en etapa de ejecución de sentencia, procedimiento que una vez llevado a cabo significara una erogación que contempla los gastos de trámite de dicho procedimiento y el monto que en su momento determine la Secretaría de Desarrollo Agrario, Territorial y Urbano (SEDATU) por concepto de indemnización.</t>
  </si>
  <si>
    <t>f).- El juicio agrario 604/09 del índice del Tribunal Unitario Agrario Distrito 02 de Mexicali, Baja California, promovido por Dora María Pino Valenzuela del Ejido San Luis, en el cual se reclama el pago de la cantidad de $ 7,550,000.00 por concepto de pago de daños, perjuicios y ocupación temporal de una superficie aproximada de 18,000 metros cuadrados en la cual se construyó un tramo de la carretera San Luis Río Colorado – Golfo de Santa Clara, ha sido resuelto condenando al Gobierno del Estado al pago de la cantidad que resulte de dictamen en materia de avalúo que habrá de emitir el perito que para tal efecto designe el tribunal, obligación que se hará exigible una vez que se rinda dicho dictamen, sin poder anticipar la fecha para ello, por no depender de esta Consejería Jurídica, sino de la Autoridad Judicial.</t>
  </si>
  <si>
    <t>g).- El juicio agrario 605/09 del índice del Tribunal Unitario Agrario Distrito 02 de Mexicali, Baja California, promovido por Alberto Miguel de la Fuente Terraza del Ejido San Luis, en el cual se reclama el pago de la cantidad de $ 7,550,000.00 por concepto de pago de daños, perjuicios y ocupación temporal de una superficie aproximada de 18,000 metros cuadrados en la cual se construyó un tramo de la carretera San Luis Río Colorado – Golfo de Santa Clara, ha sido resuelto condenando al Gobierno del Estado a realizar procedimiento expropiatorio sobre la superficie materia de juicio, obligación que ya es exigible en virtud de encontrarse en etapa de ejecución de sentencia, procedimiento que una vez llevado a cabo significara una erogación que contempla los gastos de trámite de dicho procedimiento y el monto que en su momento determine la Secretaría de Desarrollo Agrario, Territorial y Urbano (SEDATU) por concepto de indemnización.</t>
  </si>
  <si>
    <t>h).- Ante el Juzgado Segundo de Primera Instancia de lo Civil de esta ciudad, se encuentra en trámite el Juicio 1065/2010, promovido por Antonio Ceferino Chambert Mendoza, reclamando el pago de las cantidades de $ 1,464,861.88 por concepto de reparación de daño patrimonial, $ 50,000,000.00 por concepto de daño moral,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</si>
  <si>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i).- En el Tribunal Unitario Agrario Distrito 02 de Mexicali, Baja California, se encuentra en trámite el Expediente 270/11 promovido por el núcleo agrario “La Islita”, Municipio de San Luis Río Colorado, Sonora, reclamando el pago de la cantidad de $ 50,000,000.00 por concepto de pago de daños, perjuicios y ocupación temporal de una superficie de 37-59-01.470 Has. en la cual se construyo un tramo de la carretera San Luis Río Colorado – Golfo de Santa Clara, sin que dicho monto deba quedar considerado como riesgo contingente y sin que haya sido resuelto aún, ni podamos anticipar la fecha de su conclusión, por no depender la misma de esta Consejería Jurídica, sino de la Autoridad Judicial.</t>
  </si>
  <si>
    <t>j).- En el Tribunal Unitario Agrario Distrito 02 de Mexicali, Baja California, se encuentra en trámite el Expediente 271/11 promovido por el núcleo agrario “San Luis”, Municipio de San Luis Río Colorado, Sonora, reclamando el pago de la cantidad de $ 100,000,000.00 por concepto de pago de daños, perjuicios y ocupación temporal de una superficie de 60-37-94.69 Has. en la cual se construyó un tramo de la carretera San Luis Río Colorado – Golfo de Santa Clara, sin que dicho monto deba quedar considerado como riesgo contingente y sin que haya sido resuelto aún, ni podamos anticipar la fecha de su conclusión, por no depender la misma de esta Consejería Jurídica, sino de la Autoridad Judicial.</t>
  </si>
  <si>
    <t>k).- Ante el Juzgado Décimo de Distrito en el Estado, se encuentra en trámite el Juicio 301/2011, promovido por Salada de Guaymas, S.A., reclamando la devolución de un inmueble de 165,383.40 metros cuadrados, superficie objeto de una expropiación, o bien, el pago de la cantidad de $948,600,000.00 correspondiente al valor comercial, por concepto de cumplimiento sustituto,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</si>
  <si>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l).- Ante el Juzgado Segundo de Primera Instancia de lo Civil de esta ciudad, se encuentra en trámite el Juicio 554/2011, promovido por Juan José Rascón Figueroa y Rosa Elia Holguín Ayala, reclamando el pago de las cantidades de $ 1,464,861.88 por concepto de reparación de daño patrimonial, $ 50,000,000.00 por concepto de daño moral,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</si>
  <si>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m).- Ante el Juzgado Segundo Mercantil de esta Ciudad, se encuentra en trámite el Juicio 1730/2011, promovido por Las Conchas S.A. de C.V., reclamando en la vía ordinaria mercantil, el pago de $60,000,000.00 más la cantidad que resulte por concepto de daños y perjuicios, sin que dicho monto deba quedar considerado como riesgo contingente, toda vez que no ha sido resuelto, sin que pueda anticiparse la fecha de su conclusión, por no depender de esta Consejería Jurídica, sino de la Autoridad Judicial.</t>
  </si>
  <si>
    <t>n).- Ante el Juzgado Segundo de Primera Instancia de lo Civil de la Ciudad de Obregón, Sonora, se encuentra en trámite el Juicio 1956/2014, promovido por Autentico Diario Regional de Sonora, reclamando el pago de la cantidad de $950,000.00 por concepto de pago de servicios de publicidad ordenados por la Secretaría de Comunicación Social,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</si>
  <si>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ñ).- Ante el Juzgado Primero de Primera Instancia de lo Civil de la Ciudad de Obregón, Sonora, se encuentra en trámite el Juicio 2771/2014, promovido por Autentico Diario Regional de Sonora, reclamando el pago de la cantidad de $360,000.00 por concepto de pago de servicios de publicidad ordenados por la Secretaría de Comunicación Social,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</si>
  <si>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o).- Ante el Juzgado Primero de Distrito en el Estado de Sonora, se encuentra en trámite el Juicio Ordinario Mercantil 1/2015, promovido por Compupartes y Accesorios S.A. de C.V, reclamando el pago de la cantidad de $505,772.94 por concepto de pago de servicios de computo ordenados por la Secretaría de Comunicación Social,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</si>
  <si>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p).- Ante el Juzgado Primero de Primera Instancia de lo Civil de la Ciudad de Obregón, Sonora, se encuentra en trámite el Juicio Ejecutivo Mercantil 18/2015, promovido por Autentico Diario Regional de Sonora, reclamando el pago de la cantidad de $1,630,000.00 por concepto de suerte principal, así como el pago de intereses a razón del 5% mensual, más gastos y costas que resulten, sin que dichos montos deban quedar considerados como riesgo contingente, toda vez que no ha sido resuelto, sin que pueda anticiparse la fecha de su conclusión, por no depender de esta Consejería Jurídica, sino de la Autoridad Judicial.</t>
  </si>
  <si>
    <t>q).- Ante el Juzgado Décimo de Distrito en el Estado de Sonora, se encuentra en trámite el Juicio Ordinario Mercantil 21/2015, promovido por Operadora Esqui, reclamando el pago de la cantidad de $187,437.21 por concepto de pago de servicios de alquiler o renta de automóviles ordenados por la Secretaría de Gobierno, Oficina del Ejecutivo y la Comisión Sonora Arizona, así como el pago de intereses moratorios y de gastos y costas que resulten, sin que dichos montos deban quedar considerados como riesgo contingente, toda vez que no ha sido resuelto, sin que pueda anticiparse la fecha de su conclusión, por no depender de esta Consejería Jurídica, sino de la Autoridad Judicial.</t>
  </si>
  <si>
    <t>r).- Ante el Juzgado Segundo de Primera Instancia de lo Civil de esta ciudad, se encuentra en trámite el Expediente 785/2015, promovido por Manuel Isaac Rivera, representante de la Revista Sonora Sinaloa, relativo al juicio de medios preparatorios a juicio, mediante el cual la parte actora pretende obtener el pago de la cantidad de $229,680.00 por concepto de pago de servicios de publicidad,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</si>
  <si>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s).- Ante el Juzgado Segundo Mercantil de esta ciudad, se encuentra en trámite el Expediente 1620/2015, promovido por Manuel Isaac Rivera, representante de la Revista Sonora Sinaloa, relativo al juicio de medios preparatorios a juicio, mediante el cual la parte actora pretende obtener el pago de la cantidad de $229,680.00 por concepto de pago de servicios de publicidad ordenados por la Secretaría de Comunicación Social,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</si>
  <si>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t).- En el Tribunal Federal de Justicia Fiscal y Administrativa, Sala Regional Noroeste II, con sede en Ciudad Obregón, Sonora, se encuentra en trámite el Expediente 507/16-02-01-2 promovido por el Gobierno del Estado en el cual se reclama la nulidad de las resoluciones emitidas por la Comisión Nacional del Agua dentro del expediente 1.0000.R07/S058/OR1.0095/14 en las que se determinaron contribuciones omitidas respecto al título de concesión número 02SON122918/09EMDA12 que abastece de agua potable al CEFERESO 11 y se determinó un crédito fiscal a cargo de la entidad por la cantidad de $8,127,366.96 por concepto de contribuciones omitidas, multas y recargos del tercer y cuarto trimestre del año 2011, año 2012, año 2013 y primer trimestre de 2014 sin que haya sido resuelto aún, ni podamos anticipar la fecha de su conclusión, por no depender la misma de esta Consejería Jurídica, sino de la Autoridad Judicial.</t>
  </si>
  <si>
    <t>u).- Ante el Tribunal de lo Contencioso Administrativo del Estado de Sonora, se encuentra en trámite el Juicio 769/2016, promovido por Entregas Puntuales S. de R.L. de C.V., mediante el cual se demanda la Responsabilidad Civil Objetiva en contra del Gobierno del Estado de Sonora, Junta de Conciliación y Arbitraje del Estado de Sonora y otro, reclamando el pago de la cantidad de $4,460,000.00 por concepto de indemnización a supuestos daños ocasionados en su perjuicio, sin que dicho monto deba quedar considerado como riesgo contingente, toda vez que no ha sido resuelto, y sin que se pueda anticipar la fecha de su conclusión, por no depender de esta Consejería Jurídica, sino de la Autoridad Judicial.</t>
  </si>
  <si>
    <t>2. Juicios derivados de controversias provenientes de contratos o convenios</t>
  </si>
  <si>
    <t>a).- Ante el Juzgado Segundo de Distrito en Materia Civil de la Ciudad de México, se encuentra en trámite el Juicio Ordinario Civil 80/2015, promovido Comisión nacional de Cultura Física y Deporte (CONADE), reclamando el pago de la cantidad de $869,932.00 por incumplimiento de convenio,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</si>
  <si>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b).- Ante el Juzgado Noveno de Distrito en Materia Civil de la Ciudad de México, se encuentra en trámite el Juicio Ordinario Civil 236/2016-B, promovido por Comisión nacional de Cultura Física y Deporte (CONADE), reclamando la rescisión de Convenio de Coordinación de fecha 20 de septiembre de 2013, así como el pago de la cantidad de $14,000,000.00, mas rendimientos y cargos financieros generados por dicha cantidad,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</si>
  <si>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c).- Ante el Juzgado Décimo de Distrito en Materia Civil de la Ciudad de México, se encuentra en trámite el Juicio Ordinario Civil 242/2016-A, promovido por Comisión nacional de Cultura Física y Deporte (CONADE), reclamando la rescisión de Convenio de Coordinación de fecha 28 de junio de 2013, así como el pago de la cantidad de $14,000,000.00, mas rendimientos y cargos financieros generados por dicha cantidad, así como el pago de gastos y costas que resulten, sin que dichos montos deban quedar considerados como riesgo contingente, toda vez que no ha sido resuelto, sin que pueda anticiparse la fecha de su conclusión, por no depender de esta Consejería Jurídica, sino de la Autoridad Judicial.</t>
  </si>
  <si>
    <t>3. Juicios en que la entidad haya dejado de actuar y pueda derivarse un pasivo de importancia</t>
  </si>
  <si>
    <t>No se tiene conocimiento de caso alguno en que la Entidad haya dejado de actuar de acuerdo a las disposiciones legales y que pudieran resultar en pasivo de importancia.</t>
  </si>
  <si>
    <t>4. Juicios relevantes resueltos en el periodo solicitado</t>
  </si>
  <si>
    <t>En el periodo solicitado no se resolvió ningún litigio de los considerados como relevantes.</t>
  </si>
  <si>
    <t>Indicadores de Postura Fiscal</t>
  </si>
  <si>
    <t>Estimado</t>
  </si>
  <si>
    <t>Devengado</t>
  </si>
  <si>
    <r>
      <t xml:space="preserve">Pagado </t>
    </r>
    <r>
      <rPr>
        <b/>
        <vertAlign val="superscript"/>
        <sz val="10"/>
        <rFont val="Calibri"/>
        <family val="2"/>
        <scheme val="minor"/>
      </rPr>
      <t>3</t>
    </r>
  </si>
  <si>
    <r>
      <t xml:space="preserve">Pagado </t>
    </r>
    <r>
      <rPr>
        <b/>
        <vertAlign val="superscript"/>
        <sz val="9"/>
        <rFont val="Arial"/>
        <family val="2"/>
      </rPr>
      <t>3</t>
    </r>
  </si>
  <si>
    <t>I. Ingresos Presupuestarios (I=1+2)</t>
  </si>
  <si>
    <r>
      <t xml:space="preserve">1. Ingresos del Gobierno de la Entidad Federativa </t>
    </r>
    <r>
      <rPr>
        <vertAlign val="superscript"/>
        <sz val="9"/>
        <rFont val="Arial"/>
        <family val="2"/>
      </rPr>
      <t>1</t>
    </r>
  </si>
  <si>
    <r>
      <t xml:space="preserve">2. Ingresos del Sector Paraestatal </t>
    </r>
    <r>
      <rPr>
        <vertAlign val="superscript"/>
        <sz val="9"/>
        <rFont val="Arial"/>
        <family val="2"/>
      </rPr>
      <t>1</t>
    </r>
  </si>
  <si>
    <t xml:space="preserve"> </t>
  </si>
  <si>
    <t>II. Egresos Presupuestarios (II=3+4)</t>
  </si>
  <si>
    <r>
      <t xml:space="preserve">3. Egresos del Gobierno de la Entidad Federativa </t>
    </r>
    <r>
      <rPr>
        <vertAlign val="superscript"/>
        <sz val="9"/>
        <rFont val="Arial"/>
        <family val="2"/>
      </rPr>
      <t>2</t>
    </r>
  </si>
  <si>
    <r>
      <t xml:space="preserve">4. Egresos del Sector Paraestatal </t>
    </r>
    <r>
      <rPr>
        <vertAlign val="superscript"/>
        <sz val="9"/>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</si>
  <si>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</si>
  <si>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</si>
  <si>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</si>
  <si>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</si>
  <si>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</si>
  <si>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</si>
  <si>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</si>
  <si>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Conciliación entre los Ingresos Presupuestarios y Contables</t>
  </si>
  <si>
    <t>1. Ingresos Presupuestarios</t>
  </si>
  <si>
    <t>2. Más ingresos contables no presupuestarios</t>
  </si>
  <si>
    <t>Incremento por variación de inventarios</t>
  </si>
  <si>
    <t>Disminución del exceso de estimaciones por pérdida o deterioro y obsolescencia</t>
  </si>
  <si>
    <t>Disminución del exceso de provisiones</t>
  </si>
  <si>
    <t>Otros ingresos y beneficios varios</t>
  </si>
  <si>
    <t>Otros ingresos contables no presupuestarios</t>
  </si>
  <si>
    <t>3. Menos ingresos presupuestarios no contables</t>
  </si>
  <si>
    <t>Productos de capital</t>
  </si>
  <si>
    <t>Aprovechamientos de capital</t>
  </si>
  <si>
    <t>Ingresos derivados de financiamientos</t>
  </si>
  <si>
    <t>Otros ingresos presupuestarios no contables</t>
  </si>
  <si>
    <t>4. Ingresos Contables (4 = 1 + 2 - 3)</t>
  </si>
  <si>
    <t>Conciliación entre los Egresos Presupuestarios y Contables</t>
  </si>
  <si>
    <t>1. Total de egresos (presupuestarios)</t>
  </si>
  <si>
    <t>2. Menos egresos presupuestarios no contables</t>
  </si>
  <si>
    <t xml:space="preserve">Mobiliario y equipo de administración  </t>
  </si>
  <si>
    <t xml:space="preserve"> Mobiliario y equipo educacional y recreativo  </t>
  </si>
  <si>
    <t xml:space="preserve"> Equipo e instrumental médico y de laboratorio  </t>
  </si>
  <si>
    <t xml:space="preserve"> Vehículos y equipo de transporte  </t>
  </si>
  <si>
    <t xml:space="preserve"> Equipo de defensa y seguridad  </t>
  </si>
  <si>
    <t xml:space="preserve"> Maquinaria, otros equipos y herramientas  </t>
  </si>
  <si>
    <t xml:space="preserve"> Activos biológicos  </t>
  </si>
  <si>
    <t xml:space="preserve"> Bienes inmuebles  </t>
  </si>
  <si>
    <t xml:space="preserve"> Activos intangibles  </t>
  </si>
  <si>
    <t xml:space="preserve"> Obra pública en bienes de dominio público</t>
  </si>
  <si>
    <t xml:space="preserve"> Obra pública en bienes propios  </t>
  </si>
  <si>
    <t xml:space="preserve"> Proyectos Productivos y Acciones de Fomento</t>
  </si>
  <si>
    <t xml:space="preserve"> Acciones y participaciones de capital  </t>
  </si>
  <si>
    <t xml:space="preserve"> Compra de títulos y valores  </t>
  </si>
  <si>
    <t xml:space="preserve"> Inversiones en fideicomisos, mandatos y otros análogos  </t>
  </si>
  <si>
    <t xml:space="preserve"> Provisiones para contingencias y otras erogaciones especiales </t>
  </si>
  <si>
    <t xml:space="preserve"> Amortización de la deuda publica  </t>
  </si>
  <si>
    <t xml:space="preserve"> Adeudos de ejercicios fiscales anteriores (ADEFAS)  </t>
  </si>
  <si>
    <t xml:space="preserve">Otros Egresos Presupuestales No Contables </t>
  </si>
  <si>
    <t>3. Más gastos contables no presupuestales</t>
  </si>
  <si>
    <t xml:space="preserve">Estimaciones, depreciaciones, deterioros, obsolescencia y amortizaciones </t>
  </si>
  <si>
    <t xml:space="preserve"> Provisiones  </t>
  </si>
  <si>
    <t xml:space="preserve"> Disminución de inventarios  </t>
  </si>
  <si>
    <t xml:space="preserve"> Aumento por insuficiencia de estimaciones por pérdida o deterioro u obsolescencia </t>
  </si>
  <si>
    <t xml:space="preserve"> Aumento por insuficiencia de provisiones  </t>
  </si>
  <si>
    <t xml:space="preserve"> Otros Gastos  </t>
  </si>
  <si>
    <t xml:space="preserve">Otros Gastos Contables No Presupuestales </t>
  </si>
  <si>
    <t>4. Total de Gastos Contables (4 = 1 -2 + 3)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</si>
</sst>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0.00\ &quot;MXN&quot;"/>
    <numFmt numFmtId="165" formatCode="#,##0.00\ &quot;MXN&quot;;\-\ #,##0.00\ &quot;MXN&quot;"/>
    <numFmt numFmtId="166" formatCode="_(* #,##0.00_);_(* \(#,##0.00\);_(* &quot;-&quot;??_);_(@_)"/>
    <numFmt numFmtId="167" formatCode="_-* #,##0_-;\-* #,##0_-;_-* &quot;-&quot;??_-;_-@_-"/>
    <numFmt numFmtId="168" formatCode="#,##0_ ;\-#,##0\ "/>
    <numFmt numFmtId="169" formatCode="0_ ;\-0\ "/>
    <numFmt numFmtId="170" formatCode="_(* #,##0_);_(* \(#,##0\);_(* &quot;-&quot;??_);_(@_)"/>
    <numFmt numFmtId="171" formatCode="&quot;$&quot;#,##0.00"/>
    <numFmt numFmtId="172" formatCode="&quot;$&quot;#,##0"/>
    <numFmt numFmtId="173" formatCode="#,##0_ ;[Red]\-#,##0\ "/>
  </numFmts>
  <fonts count="82" x14ac:knownFonts="1">
    <font>
      <sz val="10"/>
      <name val="Arial"/>
      <family val="2"/>
    </font>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3"/>
      <name val="Calibri"/>
      <family val="2"/>
      <scheme val="minor"/>
    </font>
    <font>
      <b/>
      <u/>
      <sz val="11"/>
      <color theme="1"/>
      <name val="Calibri"/>
      <family val="2"/>
      <scheme val="minor"/>
    </font>
    <font>
      <b/>
      <sz val="14"/>
      <color theme="1"/>
      <name val="Calibri"/>
      <family val="2"/>
      <scheme val="minor"/>
    </font>
    <font>
      <sz val="11"/>
      <color indexed="16"/>
      <name val="Calibri"/>
      <family val="2"/>
    </font>
    <font>
      <b/>
      <sz val="11"/>
      <color indexed="53"/>
      <name val="Calibri"/>
      <family val="2"/>
    </font>
    <font>
      <b/>
      <sz val="11"/>
      <color indexed="9"/>
      <name val="Calibri"/>
      <family val="2"/>
    </font>
    <font>
      <i/>
      <sz val="10"/>
      <color rgb="FF7F7F7F"/>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name val="Arial"/>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1"/>
      <color indexed="8"/>
      <name val="Calibri"/>
      <family val="2"/>
    </font>
    <font>
      <sz val="11"/>
      <color indexed="10"/>
      <name val="Calibri"/>
      <family val="2"/>
    </font>
    <font>
      <b/>
      <sz val="10"/>
      <name val="Arial"/>
      <family val="2"/>
    </font>
    <font>
      <sz val="10"/>
      <color theme="0"/>
      <name val="Arial"/>
      <family val="2"/>
    </font>
    <font>
      <b/>
      <sz val="12"/>
      <color theme="1"/>
      <name val="Calibri"/>
      <family val="2"/>
      <scheme val="minor"/>
    </font>
    <font>
      <b/>
      <u/>
      <sz val="10"/>
      <name val="Arial"/>
      <family val="2"/>
    </font>
    <font>
      <u/>
      <sz val="11"/>
      <color theme="1"/>
      <name val="Calibri"/>
      <family val="2"/>
      <scheme val="minor"/>
    </font>
    <font>
      <sz val="10"/>
      <color rgb="FFFF0000"/>
      <name val="Arial"/>
      <family val="2"/>
    </font>
    <font>
      <sz val="11"/>
      <name val="Calibri"/>
      <family val="2"/>
    </font>
    <font>
      <b/>
      <sz val="11"/>
      <name val="Arial"/>
      <family val="2"/>
    </font>
    <font>
      <sz val="10"/>
      <color theme="1"/>
      <name val="Arial"/>
      <family val="2"/>
    </font>
    <font>
      <b/>
      <sz val="10"/>
      <color theme="1"/>
      <name val="Arial"/>
      <family val="2"/>
    </font>
    <font>
      <b/>
      <sz val="14"/>
      <color theme="1"/>
      <name val="Arial"/>
      <family val="2"/>
    </font>
    <font>
      <b/>
      <sz val="12"/>
      <color theme="1"/>
      <name val="Arial"/>
      <family val="2"/>
    </font>
    <font>
      <b/>
      <sz val="9"/>
      <color theme="1"/>
      <name val="Arial"/>
      <family val="2"/>
    </font>
    <font>
      <b/>
      <sz val="8"/>
      <color theme="1"/>
      <name val="Arial"/>
      <family val="2"/>
    </font>
    <font>
      <sz val="8"/>
      <name val="Arial"/>
      <family val="2"/>
    </font>
    <font>
      <sz val="9"/>
      <color theme="1"/>
      <name val="Arial"/>
      <family val="2"/>
    </font>
    <font>
      <sz val="10"/>
      <name val="Calibri"/>
      <family val="2"/>
      <scheme val="minor"/>
    </font>
    <font>
      <b/>
      <sz val="10"/>
      <name val="Calibri"/>
      <family val="2"/>
      <scheme val="minor"/>
    </font>
    <font>
      <b/>
      <i/>
      <sz val="9"/>
      <color theme="1"/>
      <name val="Arial"/>
      <family val="2"/>
    </font>
    <font>
      <sz val="10"/>
      <color rgb="FFFF0000"/>
      <name val="Calibri"/>
      <family val="2"/>
      <scheme val="minor"/>
    </font>
    <font>
      <sz val="10"/>
      <color theme="0"/>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b/>
      <i/>
      <sz val="10"/>
      <name val="Calibri"/>
      <family val="2"/>
      <scheme val="minor"/>
    </font>
    <font>
      <b/>
      <i/>
      <sz val="10"/>
      <color theme="1"/>
      <name val="Calibri"/>
      <family val="2"/>
      <scheme val="minor"/>
    </font>
    <font>
      <sz val="10"/>
      <color rgb="FF000000"/>
      <name val="Arial"/>
      <family val="2"/>
    </font>
    <font>
      <b/>
      <i/>
      <sz val="10"/>
      <color theme="1"/>
      <name val="Arial"/>
      <family val="2"/>
    </font>
    <font>
      <b/>
      <sz val="11"/>
      <name val="Calibri"/>
      <family val="2"/>
      <scheme val="minor"/>
    </font>
    <font>
      <b/>
      <i/>
      <u/>
      <sz val="10"/>
      <color theme="1"/>
      <name val="Calibri"/>
      <family val="2"/>
      <scheme val="minor"/>
    </font>
    <font>
      <i/>
      <u/>
      <sz val="10"/>
      <color theme="1"/>
      <name val="Calibri"/>
      <family val="2"/>
      <scheme val="minor"/>
    </font>
    <font>
      <b/>
      <i/>
      <u/>
      <sz val="10"/>
      <name val="Calibri"/>
      <family val="2"/>
      <scheme val="minor"/>
    </font>
    <font>
      <sz val="10"/>
      <color theme="3"/>
      <name val="Calibri"/>
      <family val="2"/>
      <scheme val="minor"/>
    </font>
    <font>
      <u/>
      <sz val="10"/>
      <name val="Calibri"/>
      <family val="2"/>
      <scheme val="minor"/>
    </font>
    <font>
      <sz val="14"/>
      <name val="Calibri"/>
      <family val="2"/>
      <scheme val="minor"/>
    </font>
    <font>
      <sz val="10"/>
      <color rgb="FF000000"/>
      <name val="Calibri"/>
      <family val="2"/>
      <scheme val="minor"/>
    </font>
    <font>
      <i/>
      <sz val="10"/>
      <name val="Calibri"/>
      <family val="2"/>
      <scheme val="minor"/>
    </font>
    <font>
      <b/>
      <vertAlign val="superscript"/>
      <sz val="10"/>
      <color theme="1"/>
      <name val="Calibri"/>
      <family val="2"/>
      <scheme val="minor"/>
    </font>
    <font>
      <b/>
      <i/>
      <sz val="11"/>
      <name val="Calibri"/>
      <family val="2"/>
      <scheme val="minor"/>
    </font>
    <font>
      <sz val="11"/>
      <name val="Calibri"/>
      <family val="2"/>
      <scheme val="minor"/>
    </font>
    <font>
      <b/>
      <sz val="10"/>
      <color rgb="FF000000"/>
      <name val="Calibri"/>
      <family val="2"/>
      <scheme val="minor"/>
    </font>
    <font>
      <b/>
      <sz val="11"/>
      <color theme="1"/>
      <name val="Arial"/>
      <family val="2"/>
    </font>
    <font>
      <b/>
      <sz val="9"/>
      <color indexed="81"/>
      <name val="Tahoma"/>
      <family val="2"/>
    </font>
    <font>
      <sz val="9"/>
      <color indexed="81"/>
      <name val="Tahoma"/>
      <family val="2"/>
    </font>
    <font>
      <sz val="10"/>
      <name val="Verdana"/>
      <family val="2"/>
    </font>
    <font>
      <b/>
      <vertAlign val="superscript"/>
      <sz val="10"/>
      <name val="Calibri"/>
      <family val="2"/>
      <scheme val="minor"/>
    </font>
    <font>
      <b/>
      <sz val="9"/>
      <name val="Arial"/>
      <family val="2"/>
    </font>
    <font>
      <b/>
      <vertAlign val="superscript"/>
      <sz val="9"/>
      <name val="Arial"/>
      <family val="2"/>
    </font>
    <font>
      <sz val="9"/>
      <name val="Arial"/>
      <family val="2"/>
    </font>
    <font>
      <vertAlign val="superscript"/>
      <sz val="9"/>
      <name val="Arial"/>
      <family val="2"/>
    </font>
  </fonts>
  <fills count="29">
    <fill>
      <patternFill patternType="none"/>
    </fill>
    <fill>
      <patternFill patternType="gray125"/>
    </fill>
    <fill>
      <patternFill patternType="solid">
        <fgColor indexed="45"/>
        <bgColor indexed="45"/>
      </patternFill>
    </fill>
    <fill>
      <patternFill patternType="solid">
        <fgColor indexed="9"/>
        <bgColor indexed="9"/>
      </patternFill>
    </fill>
    <fill>
      <patternFill patternType="solid">
        <fgColor indexed="55"/>
        <bgColor indexed="55"/>
      </patternFill>
    </fill>
    <fill>
      <patternFill patternType="solid">
        <fgColor indexed="42"/>
        <bgColor indexed="42"/>
      </patternFill>
    </fill>
    <fill>
      <patternFill patternType="solid">
        <fgColor indexed="47"/>
        <bgColor indexed="47"/>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medium">
        <color rgb="FF218905"/>
      </left>
      <right/>
      <top/>
      <bottom/>
      <diagonal/>
    </border>
    <border>
      <left/>
      <right style="medium">
        <color rgb="FF218905"/>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218905"/>
      </left>
      <right style="medium">
        <color rgb="FF218905"/>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rgb="FF218905"/>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auto="1"/>
      </bottom>
      <diagonal/>
    </border>
    <border>
      <left/>
      <right style="medium">
        <color indexed="64"/>
      </right>
      <top/>
      <bottom style="double">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s>
  <cellStyleXfs count="66">
    <xf numFmtId="0" fontId="0" fillId="0" borderId="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3" fillId="5" borderId="0" applyNumberFormat="0" applyBorder="0" applyAlignment="0" applyProtection="0"/>
    <xf numFmtId="0" fontId="9" fillId="2" borderId="0" applyNumberFormat="0" applyBorder="0" applyAlignment="0" applyProtection="0"/>
    <xf numFmtId="0" fontId="19" fillId="6" borderId="0" applyNumberFormat="0" applyBorder="0" applyAlignment="0" applyProtection="0"/>
    <xf numFmtId="0" fontId="17" fillId="6" borderId="1" applyNumberFormat="0" applyAlignment="0" applyProtection="0"/>
    <xf numFmtId="0" fontId="21" fillId="3" borderId="8" applyNumberFormat="0" applyAlignment="0" applyProtection="0"/>
    <xf numFmtId="0" fontId="10" fillId="3" borderId="1" applyNumberFormat="0" applyAlignment="0" applyProtection="0"/>
    <xf numFmtId="0" fontId="18" fillId="0" borderId="6" applyNumberFormat="0" applyFill="0" applyAlignment="0" applyProtection="0"/>
    <xf numFmtId="0" fontId="11" fillId="4" borderId="2" applyNumberFormat="0" applyAlignment="0" applyProtection="0"/>
    <xf numFmtId="0" fontId="31" fillId="0" borderId="0" applyNumberFormat="0" applyFill="0" applyBorder="0" applyAlignment="0" applyProtection="0"/>
    <xf numFmtId="0" fontId="20" fillId="7" borderId="7" applyNumberFormat="0" applyFont="0" applyAlignment="0" applyProtection="0"/>
    <xf numFmtId="0" fontId="12" fillId="0" borderId="0" applyNumberFormat="0" applyFill="0" applyBorder="0" applyAlignment="0" applyProtection="0"/>
    <xf numFmtId="0" fontId="30" fillId="0" borderId="12" applyNumberFormat="0" applyFill="0" applyAlignment="0" applyProtection="0"/>
    <xf numFmtId="4" fontId="22" fillId="8" borderId="9" applyNumberFormat="0" applyProtection="0">
      <alignment vertical="center"/>
    </xf>
    <xf numFmtId="4" fontId="23" fillId="8" borderId="9" applyNumberFormat="0" applyProtection="0">
      <alignment vertical="center"/>
    </xf>
    <xf numFmtId="4" fontId="22" fillId="8" borderId="9" applyNumberFormat="0" applyProtection="0">
      <alignment horizontal="left" vertical="center" indent="1"/>
    </xf>
    <xf numFmtId="0" fontId="22" fillId="8" borderId="9" applyNumberFormat="0" applyProtection="0">
      <alignment horizontal="left" vertical="top" indent="1"/>
    </xf>
    <xf numFmtId="4" fontId="22" fillId="9" borderId="0" applyNumberFormat="0" applyProtection="0">
      <alignment horizontal="left" vertical="center" indent="1"/>
    </xf>
    <xf numFmtId="4" fontId="24" fillId="10" borderId="9" applyNumberFormat="0" applyProtection="0">
      <alignment horizontal="right" vertical="center"/>
    </xf>
    <xf numFmtId="4" fontId="24" fillId="11" borderId="9" applyNumberFormat="0" applyProtection="0">
      <alignment horizontal="right" vertical="center"/>
    </xf>
    <xf numFmtId="4" fontId="24" fillId="12" borderId="9" applyNumberFormat="0" applyProtection="0">
      <alignment horizontal="right" vertical="center"/>
    </xf>
    <xf numFmtId="4" fontId="24" fillId="13" borderId="9" applyNumberFormat="0" applyProtection="0">
      <alignment horizontal="right" vertical="center"/>
    </xf>
    <xf numFmtId="4" fontId="24" fillId="14" borderId="9" applyNumberFormat="0" applyProtection="0">
      <alignment horizontal="right" vertical="center"/>
    </xf>
    <xf numFmtId="4" fontId="24" fillId="15" borderId="9" applyNumberFormat="0" applyProtection="0">
      <alignment horizontal="right" vertical="center"/>
    </xf>
    <xf numFmtId="4" fontId="24" fillId="16" borderId="9" applyNumberFormat="0" applyProtection="0">
      <alignment horizontal="right" vertical="center"/>
    </xf>
    <xf numFmtId="4" fontId="24" fillId="17" borderId="9" applyNumberFormat="0" applyProtection="0">
      <alignment horizontal="right" vertical="center"/>
    </xf>
    <xf numFmtId="4" fontId="24" fillId="18" borderId="9" applyNumberFormat="0" applyProtection="0">
      <alignment horizontal="right" vertical="center"/>
    </xf>
    <xf numFmtId="4" fontId="22" fillId="19" borderId="10" applyNumberFormat="0" applyProtection="0">
      <alignment horizontal="left" vertical="center" indent="1"/>
    </xf>
    <xf numFmtId="4" fontId="24" fillId="20" borderId="0" applyNumberFormat="0" applyProtection="0">
      <alignment horizontal="left" vertical="center" indent="1"/>
    </xf>
    <xf numFmtId="4" fontId="25" fillId="21" borderId="0" applyNumberFormat="0" applyProtection="0">
      <alignment horizontal="left" vertical="center" indent="1"/>
    </xf>
    <xf numFmtId="4" fontId="24" fillId="9" borderId="9" applyNumberFormat="0" applyProtection="0">
      <alignment horizontal="right" vertical="center"/>
    </xf>
    <xf numFmtId="4" fontId="24" fillId="20" borderId="0" applyNumberFormat="0" applyProtection="0">
      <alignment horizontal="left" vertical="center" indent="1"/>
    </xf>
    <xf numFmtId="4" fontId="24" fillId="9" borderId="0" applyNumberFormat="0" applyProtection="0">
      <alignment horizontal="left" vertical="center" indent="1"/>
    </xf>
    <xf numFmtId="0" fontId="20" fillId="21" borderId="9" applyNumberFormat="0" applyProtection="0">
      <alignment horizontal="left" vertical="center" indent="1"/>
    </xf>
    <xf numFmtId="0" fontId="20" fillId="21" borderId="9" applyNumberFormat="0" applyProtection="0">
      <alignment horizontal="left" vertical="top" indent="1"/>
    </xf>
    <xf numFmtId="0" fontId="20" fillId="9" borderId="9" applyNumberFormat="0" applyProtection="0">
      <alignment horizontal="left" vertical="center" indent="1"/>
    </xf>
    <xf numFmtId="0" fontId="20" fillId="9" borderId="9" applyNumberFormat="0" applyProtection="0">
      <alignment horizontal="left" vertical="top" indent="1"/>
    </xf>
    <xf numFmtId="0" fontId="20" fillId="22" borderId="9" applyNumberFormat="0" applyProtection="0">
      <alignment horizontal="left" vertical="center" indent="1"/>
    </xf>
    <xf numFmtId="0" fontId="20" fillId="22" borderId="9" applyNumberFormat="0" applyProtection="0">
      <alignment horizontal="left" vertical="top" indent="1"/>
    </xf>
    <xf numFmtId="0" fontId="20" fillId="20" borderId="9" applyNumberFormat="0" applyProtection="0">
      <alignment horizontal="left" vertical="center" indent="1"/>
    </xf>
    <xf numFmtId="0" fontId="20" fillId="20" borderId="9" applyNumberFormat="0" applyProtection="0">
      <alignment horizontal="left" vertical="top" indent="1"/>
    </xf>
    <xf numFmtId="0" fontId="20" fillId="23" borderId="11" applyNumberFormat="0">
      <protection locked="0"/>
    </xf>
    <xf numFmtId="4" fontId="24" fillId="24" borderId="9" applyNumberFormat="0" applyProtection="0">
      <alignment vertical="center"/>
    </xf>
    <xf numFmtId="4" fontId="26" fillId="24" borderId="9" applyNumberFormat="0" applyProtection="0">
      <alignment vertical="center"/>
    </xf>
    <xf numFmtId="4" fontId="24" fillId="24" borderId="9" applyNumberFormat="0" applyProtection="0">
      <alignment horizontal="left" vertical="center" indent="1"/>
    </xf>
    <xf numFmtId="0" fontId="24" fillId="24" borderId="9" applyNumberFormat="0" applyProtection="0">
      <alignment horizontal="left" vertical="top" indent="1"/>
    </xf>
    <xf numFmtId="4" fontId="24" fillId="20" borderId="9" applyNumberFormat="0" applyProtection="0">
      <alignment horizontal="right" vertical="center"/>
    </xf>
    <xf numFmtId="4" fontId="26" fillId="20" borderId="9" applyNumberFormat="0" applyProtection="0">
      <alignment horizontal="right" vertical="center"/>
    </xf>
    <xf numFmtId="4" fontId="24" fillId="9" borderId="9" applyNumberFormat="0" applyProtection="0">
      <alignment horizontal="left" vertical="center" indent="1"/>
    </xf>
    <xf numFmtId="0" fontId="24" fillId="9" borderId="9" applyNumberFormat="0" applyProtection="0">
      <alignment horizontal="left" vertical="top" indent="1"/>
    </xf>
    <xf numFmtId="4" fontId="27" fillId="25" borderId="0" applyNumberFormat="0" applyProtection="0">
      <alignment horizontal="left" vertical="center" indent="1"/>
    </xf>
    <xf numFmtId="4" fontId="28" fillId="20" borderId="9" applyNumberFormat="0" applyProtection="0">
      <alignment horizontal="right" vertical="center"/>
    </xf>
    <xf numFmtId="0" fontId="29" fillId="0" borderId="0" applyNumberFormat="0" applyFill="0" applyBorder="0" applyAlignment="0" applyProtection="0"/>
    <xf numFmtId="0" fontId="2"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20" fillId="0" borderId="0"/>
    <xf numFmtId="166" fontId="1" fillId="0" borderId="0" applyFont="0" applyFill="0" applyBorder="0" applyAlignment="0" applyProtection="0"/>
    <xf numFmtId="0" fontId="20" fillId="0" borderId="0"/>
  </cellStyleXfs>
  <cellXfs count="790">
    <xf numFmtId="0" fontId="0" fillId="0" borderId="0" xfId="0"/>
    <xf numFmtId="4" fontId="0" fillId="0" borderId="0" xfId="0" applyNumberFormat="1"/>
    <xf numFmtId="0" fontId="0" fillId="0" borderId="0" xfId="0" applyBorder="1"/>
    <xf numFmtId="4" fontId="0" fillId="0" borderId="0" xfId="0" applyNumberFormat="1" applyBorder="1"/>
    <xf numFmtId="4" fontId="5" fillId="0" borderId="0" xfId="0" applyNumberFormat="1" applyFont="1" applyBorder="1"/>
    <xf numFmtId="0" fontId="3" fillId="0" borderId="0" xfId="0" applyFont="1" applyBorder="1"/>
    <xf numFmtId="0" fontId="32" fillId="0" borderId="0" xfId="0" applyFont="1" applyBorder="1"/>
    <xf numFmtId="0" fontId="33" fillId="0" borderId="0" xfId="0" quotePrefix="1" applyFont="1" applyAlignment="1"/>
    <xf numFmtId="0" fontId="33" fillId="0" borderId="0" xfId="0" quotePrefix="1" applyNumberFormat="1" applyFont="1" applyAlignment="1"/>
    <xf numFmtId="0" fontId="0" fillId="0" borderId="0" xfId="0" applyFill="1" applyBorder="1"/>
    <xf numFmtId="0" fontId="7" fillId="0" borderId="0" xfId="0" applyFont="1" applyFill="1" applyBorder="1"/>
    <xf numFmtId="0" fontId="6" fillId="0" borderId="0" xfId="0" applyFont="1" applyFill="1" applyBorder="1"/>
    <xf numFmtId="4" fontId="0" fillId="0" borderId="0" xfId="0" applyNumberFormat="1" applyFill="1" applyBorder="1"/>
    <xf numFmtId="4" fontId="32" fillId="0" borderId="0" xfId="0" applyNumberFormat="1" applyFont="1" applyBorder="1"/>
    <xf numFmtId="4" fontId="32" fillId="0" borderId="0" xfId="0" applyNumberFormat="1" applyFont="1" applyFill="1" applyBorder="1"/>
    <xf numFmtId="0" fontId="0" fillId="0" borderId="0" xfId="0" applyBorder="1" applyAlignment="1">
      <alignment wrapText="1"/>
    </xf>
    <xf numFmtId="0" fontId="0" fillId="0" borderId="0" xfId="0" applyFill="1" applyBorder="1" applyAlignment="1">
      <alignment wrapText="1"/>
    </xf>
    <xf numFmtId="0" fontId="6" fillId="0" borderId="0" xfId="0" applyFont="1" applyFill="1" applyBorder="1" applyAlignment="1">
      <alignment wrapText="1"/>
    </xf>
    <xf numFmtId="0" fontId="33" fillId="26" borderId="0" xfId="0" applyFont="1" applyFill="1"/>
    <xf numFmtId="0" fontId="33" fillId="0" borderId="0" xfId="0" applyFont="1"/>
    <xf numFmtId="4" fontId="33" fillId="0" borderId="0" xfId="0" applyNumberFormat="1" applyFont="1"/>
    <xf numFmtId="0" fontId="24" fillId="9" borderId="9" xfId="52" quotePrefix="1" applyNumberFormat="1">
      <alignment horizontal="left" vertical="center" indent="1"/>
    </xf>
    <xf numFmtId="0" fontId="20" fillId="21" borderId="9" xfId="37" quotePrefix="1">
      <alignment horizontal="left" vertical="center" indent="1"/>
    </xf>
    <xf numFmtId="164" fontId="24" fillId="20" borderId="9" xfId="50" applyNumberFormat="1">
      <alignment horizontal="right" vertical="center"/>
    </xf>
    <xf numFmtId="3" fontId="24" fillId="20" borderId="9" xfId="50" applyNumberFormat="1">
      <alignment horizontal="right" vertical="center"/>
    </xf>
    <xf numFmtId="0" fontId="20" fillId="9" borderId="9" xfId="39" quotePrefix="1">
      <alignment horizontal="left" vertical="center" indent="1"/>
    </xf>
    <xf numFmtId="0" fontId="20" fillId="22" borderId="9" xfId="41" quotePrefix="1">
      <alignment horizontal="left" vertical="center" indent="1"/>
    </xf>
    <xf numFmtId="0" fontId="20" fillId="20" borderId="9" xfId="43" quotePrefix="1">
      <alignment horizontal="left" vertical="center" indent="1"/>
    </xf>
    <xf numFmtId="165" fontId="24" fillId="20" borderId="9" xfId="50" applyNumberFormat="1">
      <alignment horizontal="right" vertical="center"/>
    </xf>
    <xf numFmtId="0" fontId="22" fillId="9" borderId="0" xfId="21" quotePrefix="1" applyNumberFormat="1" applyAlignment="1">
      <alignment horizontal="left" vertical="center" indent="1"/>
    </xf>
    <xf numFmtId="0" fontId="20" fillId="21" borderId="9" xfId="37" quotePrefix="1" applyAlignment="1">
      <alignment horizontal="left" vertical="center" indent="2"/>
    </xf>
    <xf numFmtId="0" fontId="20" fillId="9" borderId="9" xfId="39" quotePrefix="1" applyAlignment="1">
      <alignment horizontal="left" vertical="center" indent="3"/>
    </xf>
    <xf numFmtId="0" fontId="20" fillId="22" borderId="9" xfId="41" quotePrefix="1" applyAlignment="1">
      <alignment horizontal="left" vertical="center" indent="4"/>
    </xf>
    <xf numFmtId="0" fontId="20" fillId="20" borderId="9" xfId="43" quotePrefix="1" applyAlignment="1">
      <alignment horizontal="left" vertical="center" indent="5"/>
    </xf>
    <xf numFmtId="0" fontId="20" fillId="20" borderId="9" xfId="43" quotePrefix="1" applyAlignment="1">
      <alignment horizontal="left" vertical="center" indent="6"/>
    </xf>
    <xf numFmtId="0" fontId="20" fillId="20" borderId="9" xfId="43" quotePrefix="1" applyAlignment="1">
      <alignment horizontal="left" vertical="center" indent="7"/>
    </xf>
    <xf numFmtId="0" fontId="20" fillId="20" borderId="9" xfId="43" quotePrefix="1" applyAlignment="1">
      <alignment horizontal="left" vertical="center" indent="8"/>
    </xf>
    <xf numFmtId="0" fontId="20" fillId="20" borderId="9" xfId="43" quotePrefix="1" applyAlignment="1">
      <alignment horizontal="left" vertical="center" indent="9"/>
    </xf>
    <xf numFmtId="0" fontId="4" fillId="0" borderId="0" xfId="0" applyFont="1" applyFill="1" applyBorder="1"/>
    <xf numFmtId="0" fontId="32" fillId="0" borderId="0" xfId="0" applyFont="1" applyFill="1" applyBorder="1"/>
    <xf numFmtId="0" fontId="3" fillId="0" borderId="0" xfId="0" applyFont="1" applyFill="1" applyBorder="1"/>
    <xf numFmtId="0" fontId="32" fillId="0" borderId="0" xfId="0" applyFont="1" applyFill="1" applyBorder="1" applyAlignment="1"/>
    <xf numFmtId="0" fontId="7" fillId="0" borderId="0" xfId="0" applyFont="1" applyFill="1" applyBorder="1" applyAlignment="1">
      <alignment wrapText="1"/>
    </xf>
    <xf numFmtId="0" fontId="3" fillId="0" borderId="0" xfId="0" applyFont="1" applyFill="1" applyBorder="1" applyAlignment="1">
      <alignment wrapText="1"/>
    </xf>
    <xf numFmtId="0" fontId="22" fillId="8" borderId="9" xfId="19" quotePrefix="1" applyNumberFormat="1">
      <alignment horizontal="left" vertical="center" indent="1"/>
    </xf>
    <xf numFmtId="164" fontId="22" fillId="8" borderId="9" xfId="17" applyNumberFormat="1">
      <alignment vertical="center"/>
    </xf>
    <xf numFmtId="165" fontId="22" fillId="8" borderId="9" xfId="17" applyNumberFormat="1">
      <alignment vertical="center"/>
    </xf>
    <xf numFmtId="0" fontId="24" fillId="24" borderId="9" xfId="48" quotePrefix="1" applyNumberFormat="1">
      <alignment horizontal="left" vertical="center" indent="1"/>
    </xf>
    <xf numFmtId="0" fontId="20" fillId="20" borderId="9" xfId="43" quotePrefix="1" applyAlignment="1">
      <alignment horizontal="left" vertical="center" indent="10"/>
    </xf>
    <xf numFmtId="0" fontId="24" fillId="24" borderId="9" xfId="48" quotePrefix="1" applyNumberFormat="1" applyAlignment="1">
      <alignment horizontal="left" vertical="center" indent="2"/>
    </xf>
    <xf numFmtId="14" fontId="33" fillId="0" borderId="0" xfId="0" applyNumberFormat="1" applyFont="1"/>
    <xf numFmtId="2" fontId="33" fillId="0" borderId="0" xfId="0" applyNumberFormat="1" applyFont="1"/>
    <xf numFmtId="0" fontId="0" fillId="0" borderId="0" xfId="0" applyFont="1"/>
    <xf numFmtId="0" fontId="0" fillId="0" borderId="0" xfId="0" applyFont="1" applyBorder="1" applyAlignment="1">
      <alignment wrapText="1"/>
    </xf>
    <xf numFmtId="0" fontId="0" fillId="0" borderId="0" xfId="0" applyFont="1" applyBorder="1"/>
    <xf numFmtId="0" fontId="0" fillId="0" borderId="0" xfId="0" applyFont="1" applyFill="1" applyBorder="1" applyAlignment="1">
      <alignment wrapText="1"/>
    </xf>
    <xf numFmtId="0" fontId="36" fillId="0" borderId="0" xfId="0" applyFont="1" applyBorder="1" applyAlignment="1">
      <alignment wrapText="1"/>
    </xf>
    <xf numFmtId="0" fontId="36" fillId="0" borderId="0" xfId="0" applyFont="1" applyBorder="1"/>
    <xf numFmtId="4" fontId="36" fillId="0" borderId="0" xfId="0" applyNumberFormat="1" applyFont="1" applyBorder="1"/>
    <xf numFmtId="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0" fillId="0" borderId="15" xfId="0" applyBorder="1"/>
    <xf numFmtId="0" fontId="0" fillId="0" borderId="16" xfId="0" applyBorder="1"/>
    <xf numFmtId="4" fontId="0" fillId="0" borderId="16" xfId="0" applyNumberFormat="1" applyBorder="1"/>
    <xf numFmtId="0" fontId="0" fillId="0" borderId="17" xfId="0" applyBorder="1"/>
    <xf numFmtId="0" fontId="0" fillId="0" borderId="18" xfId="0" applyBorder="1"/>
    <xf numFmtId="0" fontId="0" fillId="0" borderId="19" xfId="0" applyBorder="1"/>
    <xf numFmtId="0" fontId="3" fillId="0" borderId="18" xfId="0" applyFont="1" applyBorder="1"/>
    <xf numFmtId="0" fontId="0" fillId="0" borderId="19" xfId="0" applyFont="1" applyBorder="1"/>
    <xf numFmtId="0" fontId="7" fillId="0" borderId="18" xfId="0" applyFont="1" applyBorder="1"/>
    <xf numFmtId="0" fontId="32" fillId="0" borderId="18" xfId="0" applyFont="1" applyFill="1" applyBorder="1"/>
    <xf numFmtId="0" fontId="7" fillId="0" borderId="18" xfId="0" applyFont="1" applyFill="1" applyBorder="1"/>
    <xf numFmtId="0" fontId="0" fillId="0" borderId="18" xfId="0" applyFill="1" applyBorder="1"/>
    <xf numFmtId="0" fontId="3" fillId="0" borderId="18" xfId="0" applyFont="1" applyFill="1" applyBorder="1"/>
    <xf numFmtId="0" fontId="0" fillId="0" borderId="20" xfId="0" applyBorder="1"/>
    <xf numFmtId="0" fontId="0" fillId="0" borderId="21" xfId="0" applyBorder="1"/>
    <xf numFmtId="4" fontId="0" fillId="0" borderId="21" xfId="0" applyNumberFormat="1" applyBorder="1"/>
    <xf numFmtId="0" fontId="0" fillId="0" borderId="22" xfId="0" applyBorder="1"/>
    <xf numFmtId="0" fontId="37" fillId="0" borderId="0" xfId="0" quotePrefix="1" applyNumberFormat="1" applyFont="1" applyAlignment="1"/>
    <xf numFmtId="0" fontId="37" fillId="0" borderId="0" xfId="0" quotePrefix="1" applyFont="1" applyAlignment="1"/>
    <xf numFmtId="4" fontId="37" fillId="0" borderId="0" xfId="0" applyNumberFormat="1" applyFont="1"/>
    <xf numFmtId="0" fontId="37" fillId="26" borderId="0" xfId="0" applyFont="1" applyFill="1"/>
    <xf numFmtId="0" fontId="37" fillId="0" borderId="0" xfId="0" applyFont="1"/>
    <xf numFmtId="14" fontId="37" fillId="0" borderId="0" xfId="0" applyNumberFormat="1" applyFont="1"/>
    <xf numFmtId="2" fontId="37" fillId="0" borderId="0" xfId="0" applyNumberFormat="1" applyFont="1"/>
    <xf numFmtId="3" fontId="0" fillId="0" borderId="0" xfId="0" applyNumberFormat="1" applyFont="1" applyBorder="1"/>
    <xf numFmtId="3" fontId="32" fillId="0" borderId="0" xfId="0" applyNumberFormat="1" applyFont="1" applyBorder="1"/>
    <xf numFmtId="3" fontId="0" fillId="0" borderId="0" xfId="0" applyNumberFormat="1" applyBorder="1"/>
    <xf numFmtId="3" fontId="7" fillId="0" borderId="0" xfId="0" applyNumberFormat="1" applyFont="1" applyBorder="1"/>
    <xf numFmtId="3" fontId="3" fillId="0" borderId="0" xfId="0" applyNumberFormat="1" applyFont="1" applyBorder="1"/>
    <xf numFmtId="3" fontId="35" fillId="0" borderId="0" xfId="0" applyNumberFormat="1" applyFont="1" applyBorder="1"/>
    <xf numFmtId="0" fontId="20" fillId="0" borderId="0" xfId="0" applyFont="1" applyAlignment="1">
      <alignment horizontal="right" vertical="center"/>
    </xf>
    <xf numFmtId="3" fontId="20" fillId="0" borderId="0" xfId="0" applyNumberFormat="1" applyFont="1" applyAlignment="1">
      <alignment horizontal="right" vertical="center"/>
    </xf>
    <xf numFmtId="0" fontId="38" fillId="0" borderId="0" xfId="0" applyFont="1" applyAlignment="1">
      <alignment vertical="center"/>
    </xf>
    <xf numFmtId="3" fontId="0" fillId="0" borderId="16" xfId="0" applyNumberFormat="1" applyBorder="1"/>
    <xf numFmtId="3" fontId="0" fillId="0" borderId="0" xfId="0" applyNumberFormat="1"/>
    <xf numFmtId="3" fontId="20" fillId="0" borderId="0" xfId="0" applyNumberFormat="1" applyFont="1" applyFill="1" applyAlignment="1">
      <alignment horizontal="right" vertical="center"/>
    </xf>
    <xf numFmtId="0" fontId="0" fillId="0" borderId="0" xfId="0" applyAlignment="1">
      <alignment wrapText="1"/>
    </xf>
    <xf numFmtId="3" fontId="20" fillId="0" borderId="0" xfId="0" applyNumberFormat="1" applyFont="1" applyAlignment="1">
      <alignment horizontal="right" vertical="top"/>
    </xf>
    <xf numFmtId="0" fontId="20" fillId="0" borderId="0" xfId="0" applyFont="1" applyAlignment="1">
      <alignment horizontal="right" vertical="top"/>
    </xf>
    <xf numFmtId="3" fontId="0" fillId="0" borderId="0" xfId="0" applyNumberFormat="1" applyFont="1" applyBorder="1" applyAlignment="1">
      <alignment vertical="top"/>
    </xf>
    <xf numFmtId="3" fontId="0" fillId="0" borderId="0" xfId="0" applyNumberFormat="1" applyFont="1" applyFill="1" applyBorder="1" applyAlignment="1">
      <alignment vertical="top"/>
    </xf>
    <xf numFmtId="0" fontId="0" fillId="0" borderId="0" xfId="0" applyBorder="1" applyAlignment="1">
      <alignment vertical="top" wrapText="1"/>
    </xf>
    <xf numFmtId="0" fontId="0" fillId="0" borderId="0" xfId="0" applyBorder="1" applyAlignment="1">
      <alignment vertical="top"/>
    </xf>
    <xf numFmtId="0" fontId="44" fillId="0" borderId="15" xfId="59" applyFont="1" applyBorder="1" applyAlignment="1">
      <alignment horizontal="left" vertical="center" wrapText="1"/>
    </xf>
    <xf numFmtId="0" fontId="44" fillId="0" borderId="16" xfId="59" applyFont="1" applyFill="1" applyBorder="1" applyAlignment="1">
      <alignment horizontal="center" vertical="top" wrapText="1"/>
    </xf>
    <xf numFmtId="0" fontId="44" fillId="0" borderId="16" xfId="59" applyFont="1" applyFill="1" applyBorder="1" applyAlignment="1">
      <alignment horizontal="center" vertical="center" wrapText="1"/>
    </xf>
    <xf numFmtId="0" fontId="44" fillId="0" borderId="16" xfId="59" applyFont="1" applyFill="1" applyBorder="1" applyAlignment="1">
      <alignment horizontal="left" vertical="center" wrapText="1"/>
    </xf>
    <xf numFmtId="0" fontId="44" fillId="0" borderId="17" xfId="59" applyFont="1" applyFill="1" applyBorder="1" applyAlignment="1">
      <alignment horizontal="center" vertical="top" wrapText="1"/>
    </xf>
    <xf numFmtId="0" fontId="45" fillId="0" borderId="18" xfId="59" applyFont="1" applyBorder="1" applyAlignment="1">
      <alignment horizontal="justify" vertical="center" wrapText="1"/>
    </xf>
    <xf numFmtId="0" fontId="46" fillId="0" borderId="0" xfId="0" applyFont="1" applyBorder="1" applyAlignment="1">
      <alignment vertical="top"/>
    </xf>
    <xf numFmtId="0" fontId="45" fillId="0" borderId="0" xfId="59" applyFont="1" applyBorder="1" applyAlignment="1">
      <alignment horizontal="justify" vertical="center" wrapText="1"/>
    </xf>
    <xf numFmtId="0" fontId="45" fillId="0" borderId="0" xfId="59" applyFont="1" applyFill="1" applyBorder="1" applyAlignment="1">
      <alignment horizontal="justify" vertical="center" wrapText="1"/>
    </xf>
    <xf numFmtId="0" fontId="46" fillId="0" borderId="19" xfId="0" applyFont="1" applyBorder="1" applyAlignment="1">
      <alignment vertical="top"/>
    </xf>
    <xf numFmtId="0" fontId="44" fillId="0" borderId="18" xfId="59" applyFont="1" applyFill="1" applyBorder="1" applyAlignment="1">
      <alignment horizontal="justify" vertical="center" wrapText="1"/>
    </xf>
    <xf numFmtId="0" fontId="44" fillId="0" borderId="0" xfId="59" applyFont="1" applyFill="1" applyBorder="1" applyAlignment="1">
      <alignment horizontal="justify" vertical="top" wrapText="1"/>
    </xf>
    <xf numFmtId="0" fontId="47" fillId="0" borderId="0" xfId="59" applyFont="1" applyFill="1" applyBorder="1" applyAlignment="1">
      <alignment horizontal="justify" vertical="top" wrapText="1"/>
    </xf>
    <xf numFmtId="0" fontId="47" fillId="0" borderId="0" xfId="59" applyFont="1" applyFill="1" applyBorder="1" applyAlignment="1">
      <alignment horizontal="justify" vertical="center" wrapText="1"/>
    </xf>
    <xf numFmtId="0" fontId="44" fillId="0" borderId="0" xfId="59" applyFont="1" applyFill="1" applyBorder="1" applyAlignment="1">
      <alignment horizontal="justify" vertical="center" wrapText="1"/>
    </xf>
    <xf numFmtId="0" fontId="47" fillId="0" borderId="19" xfId="59" applyFont="1" applyFill="1" applyBorder="1" applyAlignment="1">
      <alignment horizontal="justify" vertical="top" wrapText="1"/>
    </xf>
    <xf numFmtId="0" fontId="40" fillId="0" borderId="18" xfId="59" applyFont="1" applyFill="1" applyBorder="1" applyAlignment="1">
      <alignment horizontal="left" vertical="center" wrapText="1"/>
    </xf>
    <xf numFmtId="4" fontId="0" fillId="0" borderId="0" xfId="0" applyNumberFormat="1" applyFont="1" applyFill="1" applyBorder="1"/>
    <xf numFmtId="0" fontId="40" fillId="0" borderId="0" xfId="59" applyFont="1" applyFill="1" applyBorder="1" applyAlignment="1">
      <alignment horizontal="justify" vertical="center" wrapText="1"/>
    </xf>
    <xf numFmtId="3" fontId="0" fillId="0" borderId="19" xfId="0" applyNumberFormat="1" applyFont="1" applyBorder="1" applyAlignment="1">
      <alignment vertical="top"/>
    </xf>
    <xf numFmtId="0" fontId="40" fillId="0" borderId="18" xfId="59" applyFont="1" applyFill="1" applyBorder="1" applyAlignment="1">
      <alignment horizontal="justify" vertical="center" wrapText="1"/>
    </xf>
    <xf numFmtId="3" fontId="48" fillId="0" borderId="0" xfId="0" applyNumberFormat="1" applyFont="1" applyAlignment="1">
      <alignment horizontal="right" vertical="top"/>
    </xf>
    <xf numFmtId="3" fontId="20" fillId="0" borderId="0" xfId="0" applyNumberFormat="1" applyFont="1" applyFill="1" applyBorder="1" applyAlignment="1">
      <alignment horizontal="right" vertical="top"/>
    </xf>
    <xf numFmtId="3" fontId="20" fillId="0" borderId="19" xfId="0" applyNumberFormat="1" applyFont="1" applyBorder="1" applyAlignment="1">
      <alignment horizontal="right" vertical="top"/>
    </xf>
    <xf numFmtId="0" fontId="48" fillId="0" borderId="0" xfId="0" applyFont="1" applyAlignment="1">
      <alignment horizontal="right" vertical="top"/>
    </xf>
    <xf numFmtId="0" fontId="20" fillId="0" borderId="0" xfId="0" applyFont="1" applyFill="1" applyBorder="1" applyAlignment="1">
      <alignment horizontal="right" vertical="top"/>
    </xf>
    <xf numFmtId="0" fontId="20" fillId="0" borderId="19" xfId="0" applyFont="1" applyBorder="1" applyAlignment="1">
      <alignment horizontal="right" vertical="top"/>
    </xf>
    <xf numFmtId="4" fontId="0" fillId="0" borderId="0" xfId="0" applyNumberFormat="1" applyFont="1" applyFill="1" applyBorder="1" applyAlignment="1">
      <alignment vertical="top"/>
    </xf>
    <xf numFmtId="0" fontId="47" fillId="0" borderId="18" xfId="59" applyFont="1" applyFill="1" applyBorder="1" applyAlignment="1">
      <alignment horizontal="justify" vertical="center" wrapText="1"/>
    </xf>
    <xf numFmtId="4" fontId="48" fillId="0" borderId="0" xfId="0" applyNumberFormat="1" applyFont="1" applyBorder="1" applyAlignment="1">
      <alignment vertical="top"/>
    </xf>
    <xf numFmtId="0" fontId="47" fillId="0" borderId="19" xfId="59" applyFont="1" applyFill="1" applyBorder="1" applyAlignment="1">
      <alignment horizontal="center" vertical="top" wrapText="1"/>
    </xf>
    <xf numFmtId="3" fontId="32" fillId="0" borderId="0" xfId="0" applyNumberFormat="1" applyFont="1" applyFill="1" applyBorder="1" applyAlignment="1">
      <alignment vertical="top"/>
    </xf>
    <xf numFmtId="3" fontId="32" fillId="0" borderId="0" xfId="0" applyNumberFormat="1" applyFont="1" applyBorder="1" applyAlignment="1">
      <alignment vertical="top"/>
    </xf>
    <xf numFmtId="3" fontId="32" fillId="0" borderId="19" xfId="0" applyNumberFormat="1" applyFont="1" applyBorder="1" applyAlignment="1">
      <alignment vertical="top"/>
    </xf>
    <xf numFmtId="3" fontId="44" fillId="0" borderId="19" xfId="59" applyNumberFormat="1" applyFont="1" applyFill="1" applyBorder="1" applyAlignment="1">
      <alignment horizontal="center" vertical="top" wrapText="1"/>
    </xf>
    <xf numFmtId="3" fontId="47" fillId="0" borderId="19" xfId="59" applyNumberFormat="1" applyFont="1" applyFill="1" applyBorder="1" applyAlignment="1">
      <alignment horizontal="center" vertical="top" wrapText="1"/>
    </xf>
    <xf numFmtId="3" fontId="47" fillId="0" borderId="19" xfId="59" applyNumberFormat="1" applyFont="1" applyFill="1" applyBorder="1" applyAlignment="1">
      <alignment horizontal="justify" vertical="top" wrapText="1"/>
    </xf>
    <xf numFmtId="3" fontId="49" fillId="0" borderId="0" xfId="0" applyNumberFormat="1" applyFont="1" applyBorder="1" applyAlignment="1">
      <alignment vertical="top"/>
    </xf>
    <xf numFmtId="4" fontId="49" fillId="0" borderId="0" xfId="0" applyNumberFormat="1" applyFont="1" applyBorder="1" applyAlignment="1">
      <alignment vertical="top"/>
    </xf>
    <xf numFmtId="0" fontId="48" fillId="0" borderId="0" xfId="0" applyFont="1" applyAlignment="1">
      <alignment vertical="top"/>
    </xf>
    <xf numFmtId="0" fontId="49" fillId="0" borderId="0" xfId="0" applyFont="1" applyAlignment="1">
      <alignment horizontal="right" vertical="top"/>
    </xf>
    <xf numFmtId="0" fontId="0" fillId="0" borderId="0" xfId="0" applyAlignment="1">
      <alignment vertical="top"/>
    </xf>
    <xf numFmtId="0" fontId="0" fillId="0" borderId="19" xfId="0" applyBorder="1" applyAlignment="1">
      <alignment vertical="top"/>
    </xf>
    <xf numFmtId="0" fontId="47" fillId="0" borderId="20" xfId="59" applyFont="1" applyFill="1" applyBorder="1" applyAlignment="1">
      <alignment horizontal="left" vertical="center" wrapText="1"/>
    </xf>
    <xf numFmtId="0" fontId="47" fillId="0" borderId="21" xfId="59" applyFont="1" applyFill="1" applyBorder="1" applyAlignment="1">
      <alignment horizontal="justify" vertical="top" wrapText="1"/>
    </xf>
    <xf numFmtId="0" fontId="47" fillId="0" borderId="21" xfId="59" applyFont="1" applyFill="1" applyBorder="1" applyAlignment="1">
      <alignment horizontal="justify" vertical="center" wrapText="1"/>
    </xf>
    <xf numFmtId="0" fontId="50" fillId="0" borderId="21" xfId="59" applyFont="1" applyFill="1" applyBorder="1" applyAlignment="1">
      <alignment horizontal="justify" vertical="center" wrapText="1"/>
    </xf>
    <xf numFmtId="0" fontId="50" fillId="0" borderId="21" xfId="59" applyFont="1" applyFill="1" applyBorder="1" applyAlignment="1">
      <alignment horizontal="justify" vertical="top" wrapText="1"/>
    </xf>
    <xf numFmtId="0" fontId="50" fillId="0" borderId="22" xfId="59" applyFont="1" applyFill="1" applyBorder="1" applyAlignment="1">
      <alignment horizontal="justify" vertical="top" wrapText="1"/>
    </xf>
    <xf numFmtId="0" fontId="0" fillId="26" borderId="0" xfId="0" applyFill="1"/>
    <xf numFmtId="0" fontId="0" fillId="26" borderId="0" xfId="0" applyFill="1" applyAlignment="1">
      <alignment vertical="top"/>
    </xf>
    <xf numFmtId="0" fontId="51" fillId="0" borderId="0" xfId="0" quotePrefix="1" applyNumberFormat="1" applyFont="1" applyAlignment="1"/>
    <xf numFmtId="0" fontId="51" fillId="0" borderId="0" xfId="0" quotePrefix="1" applyFont="1" applyAlignment="1"/>
    <xf numFmtId="0" fontId="51" fillId="0" borderId="0" xfId="0" applyFont="1"/>
    <xf numFmtId="4" fontId="51" fillId="0" borderId="0" xfId="0" quotePrefix="1" applyNumberFormat="1" applyFont="1" applyAlignment="1"/>
    <xf numFmtId="0" fontId="51" fillId="26" borderId="0" xfId="0" applyFont="1" applyFill="1"/>
    <xf numFmtId="0" fontId="52" fillId="0" borderId="0" xfId="0" quotePrefix="1" applyNumberFormat="1" applyFont="1" applyAlignment="1"/>
    <xf numFmtId="0" fontId="52" fillId="0" borderId="0" xfId="0" quotePrefix="1" applyFont="1" applyAlignment="1"/>
    <xf numFmtId="0" fontId="52" fillId="0" borderId="0" xfId="0" applyFont="1"/>
    <xf numFmtId="4" fontId="52" fillId="0" borderId="0" xfId="0" quotePrefix="1" applyNumberFormat="1" applyFont="1" applyAlignment="1"/>
    <xf numFmtId="0" fontId="52" fillId="26" borderId="0" xfId="0" applyFont="1" applyFill="1"/>
    <xf numFmtId="0" fontId="48" fillId="0" borderId="0" xfId="0" applyFont="1"/>
    <xf numFmtId="0" fontId="53" fillId="0" borderId="18" xfId="59" applyFont="1" applyBorder="1"/>
    <xf numFmtId="0" fontId="53" fillId="0" borderId="0" xfId="59" applyFont="1" applyBorder="1"/>
    <xf numFmtId="4" fontId="54" fillId="0" borderId="0" xfId="59" applyNumberFormat="1" applyFont="1" applyBorder="1" applyAlignment="1">
      <alignment horizontal="center"/>
    </xf>
    <xf numFmtId="0" fontId="54" fillId="0" borderId="0" xfId="59" applyFont="1" applyBorder="1" applyAlignment="1">
      <alignment horizontal="center"/>
    </xf>
    <xf numFmtId="0" fontId="48" fillId="0" borderId="19" xfId="0" applyFont="1" applyBorder="1"/>
    <xf numFmtId="0" fontId="55" fillId="0" borderId="18" xfId="59" applyFont="1" applyBorder="1"/>
    <xf numFmtId="0" fontId="55" fillId="0" borderId="0" xfId="59" applyFont="1" applyBorder="1"/>
    <xf numFmtId="43" fontId="49" fillId="0" borderId="0" xfId="58" applyFont="1" applyBorder="1"/>
    <xf numFmtId="0" fontId="53" fillId="0" borderId="0" xfId="59" applyFont="1" applyFill="1" applyBorder="1"/>
    <xf numFmtId="3" fontId="49" fillId="0" borderId="0" xfId="58" applyNumberFormat="1" applyFont="1" applyBorder="1"/>
    <xf numFmtId="0" fontId="53" fillId="0" borderId="0" xfId="59" applyFont="1" applyBorder="1" applyAlignment="1">
      <alignment horizontal="left"/>
    </xf>
    <xf numFmtId="3" fontId="56" fillId="0" borderId="0" xfId="0" applyNumberFormat="1" applyFont="1" applyAlignment="1">
      <alignment horizontal="right" vertical="center"/>
    </xf>
    <xf numFmtId="0" fontId="56" fillId="0" borderId="0" xfId="0" applyFont="1" applyAlignment="1">
      <alignment horizontal="right" vertical="center"/>
    </xf>
    <xf numFmtId="3" fontId="56" fillId="0" borderId="0" xfId="0" applyNumberFormat="1" applyFont="1" applyAlignment="1">
      <alignment horizontal="right" vertical="top"/>
    </xf>
    <xf numFmtId="0" fontId="57" fillId="0" borderId="0" xfId="59" applyFont="1" applyBorder="1" applyAlignment="1">
      <alignment horizontal="left"/>
    </xf>
    <xf numFmtId="3" fontId="56" fillId="0" borderId="0" xfId="58" applyNumberFormat="1" applyFont="1" applyBorder="1"/>
    <xf numFmtId="3" fontId="53" fillId="0" borderId="0" xfId="58" applyNumberFormat="1" applyFont="1" applyBorder="1"/>
    <xf numFmtId="0" fontId="53" fillId="0" borderId="20" xfId="59" applyFont="1" applyBorder="1"/>
    <xf numFmtId="0" fontId="53" fillId="0" borderId="21" xfId="59" applyFont="1" applyBorder="1"/>
    <xf numFmtId="4" fontId="53" fillId="0" borderId="21" xfId="59" applyNumberFormat="1" applyFont="1" applyBorder="1"/>
    <xf numFmtId="0" fontId="48" fillId="0" borderId="22" xfId="0" applyFont="1" applyBorder="1"/>
    <xf numFmtId="4" fontId="48" fillId="0" borderId="0" xfId="0" applyNumberFormat="1" applyFont="1"/>
    <xf numFmtId="4" fontId="37" fillId="0" borderId="0" xfId="0" quotePrefix="1" applyNumberFormat="1" applyFont="1" applyAlignment="1"/>
    <xf numFmtId="4" fontId="33" fillId="0" borderId="0" xfId="0" quotePrefix="1" applyNumberFormat="1" applyFont="1" applyAlignment="1"/>
    <xf numFmtId="0" fontId="41" fillId="26" borderId="23" xfId="57" applyFont="1" applyFill="1" applyBorder="1" applyAlignment="1">
      <alignment horizontal="center" vertical="center"/>
    </xf>
    <xf numFmtId="0" fontId="41" fillId="26" borderId="24" xfId="57" applyFont="1" applyFill="1" applyBorder="1"/>
    <xf numFmtId="0" fontId="41" fillId="26" borderId="23" xfId="57" applyFont="1" applyFill="1" applyBorder="1" applyAlignment="1">
      <alignment horizontal="center" vertical="center" wrapText="1"/>
    </xf>
    <xf numFmtId="0" fontId="41" fillId="26" borderId="23" xfId="60" applyFont="1" applyFill="1" applyBorder="1" applyAlignment="1">
      <alignment horizontal="center" vertical="center" wrapText="1"/>
    </xf>
    <xf numFmtId="0" fontId="20" fillId="0" borderId="0" xfId="0" applyFont="1"/>
    <xf numFmtId="0" fontId="20" fillId="0" borderId="25" xfId="0" applyFont="1" applyBorder="1"/>
    <xf numFmtId="0" fontId="20" fillId="0" borderId="13" xfId="0" applyFont="1" applyBorder="1"/>
    <xf numFmtId="0" fontId="20" fillId="0" borderId="26" xfId="0" applyFont="1" applyBorder="1"/>
    <xf numFmtId="0" fontId="41" fillId="0" borderId="26" xfId="61" applyFont="1" applyBorder="1" applyAlignment="1">
      <alignment wrapText="1"/>
    </xf>
    <xf numFmtId="0" fontId="41" fillId="0" borderId="0" xfId="61" applyFont="1" applyBorder="1" applyAlignment="1">
      <alignment wrapText="1"/>
    </xf>
    <xf numFmtId="43" fontId="40" fillId="0" borderId="26" xfId="58" applyFont="1" applyBorder="1"/>
    <xf numFmtId="43" fontId="40" fillId="0" borderId="26" xfId="58" applyFont="1" applyFill="1" applyBorder="1"/>
    <xf numFmtId="43" fontId="40" fillId="0" borderId="15" xfId="58" applyFont="1" applyBorder="1"/>
    <xf numFmtId="43" fontId="41" fillId="0" borderId="27" xfId="58" applyFont="1" applyBorder="1"/>
    <xf numFmtId="0" fontId="41" fillId="0" borderId="27" xfId="61" applyFont="1" applyBorder="1"/>
    <xf numFmtId="0" fontId="41" fillId="0" borderId="0" xfId="61" applyFont="1" applyBorder="1"/>
    <xf numFmtId="3" fontId="40" fillId="0" borderId="27" xfId="58" applyNumberFormat="1" applyFont="1" applyBorder="1" applyAlignment="1">
      <alignment horizontal="right" vertical="center"/>
    </xf>
    <xf numFmtId="3" fontId="40" fillId="0" borderId="18" xfId="58" applyNumberFormat="1" applyFont="1" applyBorder="1" applyAlignment="1">
      <alignment horizontal="right" vertical="center"/>
    </xf>
    <xf numFmtId="3" fontId="41" fillId="0" borderId="27" xfId="58" applyNumberFormat="1" applyFont="1" applyBorder="1" applyAlignment="1">
      <alignment horizontal="right" vertical="center"/>
    </xf>
    <xf numFmtId="0" fontId="40" fillId="0" borderId="27" xfId="61" applyFont="1" applyBorder="1" applyAlignment="1">
      <alignment wrapText="1"/>
    </xf>
    <xf numFmtId="0" fontId="40" fillId="0" borderId="0" xfId="61" applyFont="1" applyBorder="1" applyAlignment="1">
      <alignment wrapText="1"/>
    </xf>
    <xf numFmtId="3" fontId="40" fillId="0" borderId="27" xfId="58" applyNumberFormat="1" applyFont="1" applyFill="1" applyBorder="1" applyAlignment="1">
      <alignment horizontal="right" vertical="center"/>
    </xf>
    <xf numFmtId="0" fontId="40" fillId="0" borderId="27" xfId="61" applyFont="1" applyBorder="1"/>
    <xf numFmtId="0" fontId="40" fillId="0" borderId="0" xfId="61" applyFont="1" applyBorder="1"/>
    <xf numFmtId="0" fontId="41" fillId="0" borderId="27" xfId="61" applyFont="1" applyBorder="1" applyAlignment="1">
      <alignment wrapText="1"/>
    </xf>
    <xf numFmtId="0" fontId="40" fillId="0" borderId="27" xfId="61" applyFont="1" applyFill="1" applyBorder="1" applyAlignment="1"/>
    <xf numFmtId="0" fontId="40" fillId="0" borderId="0" xfId="61" applyFont="1" applyFill="1" applyBorder="1"/>
    <xf numFmtId="0" fontId="20" fillId="0" borderId="27" xfId="0" applyFont="1" applyBorder="1" applyAlignment="1">
      <alignment horizontal="right" vertical="center"/>
    </xf>
    <xf numFmtId="3" fontId="58" fillId="0" borderId="19" xfId="0" applyNumberFormat="1" applyFont="1" applyBorder="1" applyAlignment="1">
      <alignment horizontal="right" vertical="center"/>
    </xf>
    <xf numFmtId="0" fontId="58" fillId="0" borderId="0" xfId="0" applyFont="1" applyAlignment="1">
      <alignment horizontal="right" vertical="center"/>
    </xf>
    <xf numFmtId="3" fontId="58" fillId="0" borderId="27" xfId="0" applyNumberFormat="1" applyFont="1" applyBorder="1" applyAlignment="1">
      <alignment horizontal="right" vertical="center"/>
    </xf>
    <xf numFmtId="0" fontId="20" fillId="0" borderId="19" xfId="0" applyFont="1" applyBorder="1" applyAlignment="1">
      <alignment horizontal="right" vertical="center"/>
    </xf>
    <xf numFmtId="0" fontId="58" fillId="0" borderId="27" xfId="0" applyFont="1" applyBorder="1" applyAlignment="1">
      <alignment horizontal="right" vertical="center"/>
    </xf>
    <xf numFmtId="0" fontId="58" fillId="0" borderId="19" xfId="0" applyFont="1" applyBorder="1" applyAlignment="1">
      <alignment horizontal="right" vertical="center"/>
    </xf>
    <xf numFmtId="3" fontId="58" fillId="0" borderId="0" xfId="0" applyNumberFormat="1" applyFont="1" applyAlignment="1">
      <alignment horizontal="right" vertical="center"/>
    </xf>
    <xf numFmtId="0" fontId="59" fillId="0" borderId="27" xfId="61" applyFont="1" applyBorder="1" applyAlignment="1">
      <alignment wrapText="1"/>
    </xf>
    <xf numFmtId="0" fontId="37" fillId="0" borderId="0" xfId="61" applyFont="1" applyBorder="1" applyAlignment="1">
      <alignment wrapText="1"/>
    </xf>
    <xf numFmtId="0" fontId="41" fillId="0" borderId="28" xfId="61" applyFont="1" applyBorder="1" applyAlignment="1">
      <alignment wrapText="1"/>
    </xf>
    <xf numFmtId="0" fontId="41" fillId="0" borderId="29" xfId="61" applyFont="1" applyBorder="1" applyAlignment="1">
      <alignment wrapText="1"/>
    </xf>
    <xf numFmtId="3" fontId="41" fillId="0" borderId="28" xfId="58" applyNumberFormat="1" applyFont="1" applyBorder="1" applyAlignment="1">
      <alignment horizontal="right" vertical="center"/>
    </xf>
    <xf numFmtId="0" fontId="40" fillId="0" borderId="27" xfId="61" applyFont="1" applyFill="1" applyBorder="1" applyAlignment="1">
      <alignment horizontal="left" indent="1"/>
    </xf>
    <xf numFmtId="0" fontId="59" fillId="0" borderId="27" xfId="61" applyFont="1" applyBorder="1"/>
    <xf numFmtId="3" fontId="20" fillId="0" borderId="19" xfId="0" applyNumberFormat="1" applyFont="1" applyBorder="1" applyAlignment="1">
      <alignment horizontal="right" vertical="center"/>
    </xf>
    <xf numFmtId="3" fontId="20" fillId="0" borderId="27" xfId="0" applyNumberFormat="1" applyFont="1" applyBorder="1" applyAlignment="1">
      <alignment horizontal="right" vertical="center"/>
    </xf>
    <xf numFmtId="3" fontId="40" fillId="0" borderId="18" xfId="58" applyNumberFormat="1" applyFont="1" applyFill="1" applyBorder="1" applyAlignment="1">
      <alignment horizontal="right" vertical="center"/>
    </xf>
    <xf numFmtId="0" fontId="41" fillId="0" borderId="28" xfId="61" applyFont="1" applyBorder="1"/>
    <xf numFmtId="0" fontId="41" fillId="0" borderId="29" xfId="61" applyFont="1" applyBorder="1"/>
    <xf numFmtId="0" fontId="1" fillId="0" borderId="30" xfId="61" applyBorder="1"/>
    <xf numFmtId="0" fontId="1" fillId="0" borderId="31" xfId="61" applyBorder="1"/>
    <xf numFmtId="43" fontId="1" fillId="0" borderId="30" xfId="58" applyFont="1" applyBorder="1"/>
    <xf numFmtId="43" fontId="1" fillId="0" borderId="20" xfId="58" applyFont="1" applyBorder="1"/>
    <xf numFmtId="0" fontId="48" fillId="0" borderId="0" xfId="0" applyFont="1" applyAlignment="1"/>
    <xf numFmtId="167" fontId="48" fillId="0" borderId="0" xfId="58" applyNumberFormat="1" applyFont="1"/>
    <xf numFmtId="4" fontId="51" fillId="0" borderId="0" xfId="0" applyNumberFormat="1" applyFont="1"/>
    <xf numFmtId="0" fontId="48" fillId="26" borderId="18" xfId="0" applyFont="1" applyFill="1" applyBorder="1"/>
    <xf numFmtId="0" fontId="48" fillId="26" borderId="0" xfId="0" applyFont="1" applyFill="1" applyBorder="1"/>
    <xf numFmtId="4" fontId="48" fillId="26" borderId="0" xfId="0" applyNumberFormat="1" applyFont="1" applyFill="1" applyBorder="1"/>
    <xf numFmtId="0" fontId="48" fillId="26" borderId="19" xfId="0" applyFont="1" applyFill="1" applyBorder="1"/>
    <xf numFmtId="4" fontId="55" fillId="26" borderId="0" xfId="0" applyNumberFormat="1" applyFont="1" applyFill="1" applyBorder="1" applyAlignment="1">
      <alignment horizontal="right"/>
    </xf>
    <xf numFmtId="0" fontId="55" fillId="26" borderId="0" xfId="0" applyFont="1" applyFill="1" applyBorder="1" applyAlignment="1">
      <alignment horizontal="right"/>
    </xf>
    <xf numFmtId="4" fontId="55" fillId="26" borderId="0" xfId="0" applyNumberFormat="1" applyFont="1" applyFill="1" applyBorder="1" applyAlignment="1">
      <alignment horizontal="center"/>
    </xf>
    <xf numFmtId="0" fontId="55" fillId="26" borderId="0" xfId="0" applyFont="1" applyFill="1" applyBorder="1" applyAlignment="1">
      <alignment horizontal="center"/>
    </xf>
    <xf numFmtId="0" fontId="55" fillId="26" borderId="18" xfId="0" applyFont="1" applyFill="1" applyBorder="1"/>
    <xf numFmtId="0" fontId="48" fillId="26" borderId="0" xfId="0" applyFont="1" applyFill="1" applyBorder="1" applyAlignment="1">
      <alignment wrapText="1"/>
    </xf>
    <xf numFmtId="0" fontId="55" fillId="26" borderId="0" xfId="0" applyFont="1" applyFill="1" applyBorder="1"/>
    <xf numFmtId="3" fontId="49" fillId="26" borderId="0" xfId="0" applyNumberFormat="1" applyFont="1" applyFill="1" applyBorder="1"/>
    <xf numFmtId="0" fontId="61" fillId="26" borderId="18" xfId="0" applyFont="1" applyFill="1" applyBorder="1"/>
    <xf numFmtId="0" fontId="62" fillId="26" borderId="0" xfId="0" applyFont="1" applyFill="1" applyBorder="1" applyAlignment="1">
      <alignment wrapText="1"/>
    </xf>
    <xf numFmtId="0" fontId="62" fillId="26" borderId="0" xfId="0" applyFont="1" applyFill="1" applyBorder="1"/>
    <xf numFmtId="3" fontId="63" fillId="26" borderId="0" xfId="0" applyNumberFormat="1" applyFont="1" applyFill="1" applyBorder="1"/>
    <xf numFmtId="0" fontId="62" fillId="26" borderId="19" xfId="0" applyFont="1" applyFill="1" applyBorder="1"/>
    <xf numFmtId="0" fontId="49" fillId="26" borderId="0" xfId="0" applyFont="1" applyFill="1" applyBorder="1"/>
    <xf numFmtId="3" fontId="48" fillId="26" borderId="0" xfId="0" applyNumberFormat="1" applyFont="1" applyFill="1" applyBorder="1"/>
    <xf numFmtId="0" fontId="48" fillId="28" borderId="0" xfId="0" applyFont="1" applyFill="1" applyAlignment="1">
      <alignment horizontal="right" vertical="center"/>
    </xf>
    <xf numFmtId="3" fontId="48" fillId="28" borderId="0" xfId="0" applyNumberFormat="1" applyFont="1" applyFill="1" applyAlignment="1">
      <alignment horizontal="right" vertical="center"/>
    </xf>
    <xf numFmtId="3" fontId="48" fillId="26" borderId="0" xfId="58" applyNumberFormat="1" applyFont="1" applyFill="1" applyBorder="1"/>
    <xf numFmtId="0" fontId="64" fillId="26" borderId="0" xfId="0" applyFont="1" applyFill="1" applyBorder="1"/>
    <xf numFmtId="0" fontId="49" fillId="26" borderId="0" xfId="57" applyFont="1" applyFill="1" applyBorder="1"/>
    <xf numFmtId="0" fontId="48" fillId="26" borderId="0" xfId="57" applyFont="1" applyFill="1" applyBorder="1"/>
    <xf numFmtId="0" fontId="57" fillId="26" borderId="0" xfId="0" applyFont="1" applyFill="1" applyBorder="1"/>
    <xf numFmtId="0" fontId="49" fillId="26" borderId="18" xfId="0" applyFont="1" applyFill="1" applyBorder="1"/>
    <xf numFmtId="0" fontId="49" fillId="26" borderId="0" xfId="0" applyFont="1" applyFill="1" applyBorder="1" applyAlignment="1">
      <alignment wrapText="1"/>
    </xf>
    <xf numFmtId="0" fontId="56" fillId="26" borderId="18" xfId="0" applyFont="1" applyFill="1" applyBorder="1" applyAlignment="1"/>
    <xf numFmtId="4" fontId="65" fillId="26" borderId="0" xfId="0" applyNumberFormat="1" applyFont="1" applyFill="1" applyBorder="1"/>
    <xf numFmtId="0" fontId="48" fillId="26" borderId="20" xfId="0" applyFont="1" applyFill="1" applyBorder="1"/>
    <xf numFmtId="0" fontId="48" fillId="26" borderId="21" xfId="0" applyFont="1" applyFill="1" applyBorder="1"/>
    <xf numFmtId="0" fontId="48" fillId="26" borderId="22" xfId="0" applyFont="1" applyFill="1" applyBorder="1"/>
    <xf numFmtId="0" fontId="48" fillId="0" borderId="0" xfId="0" applyFont="1" applyBorder="1"/>
    <xf numFmtId="0" fontId="52" fillId="0" borderId="15" xfId="59" quotePrefix="1" applyFont="1" applyBorder="1" applyAlignment="1"/>
    <xf numFmtId="0" fontId="53" fillId="0" borderId="16" xfId="59" applyFont="1" applyBorder="1" applyAlignment="1"/>
    <xf numFmtId="0" fontId="53" fillId="0" borderId="16" xfId="59" applyFont="1" applyBorder="1"/>
    <xf numFmtId="43" fontId="53" fillId="0" borderId="16" xfId="58" applyFont="1" applyBorder="1"/>
    <xf numFmtId="43" fontId="53" fillId="0" borderId="17" xfId="58" applyFont="1" applyBorder="1"/>
    <xf numFmtId="0" fontId="53" fillId="0" borderId="0" xfId="59" applyFont="1" applyBorder="1" applyAlignment="1"/>
    <xf numFmtId="43" fontId="54" fillId="0" borderId="0" xfId="58" applyFont="1" applyBorder="1" applyAlignment="1">
      <alignment horizontal="center"/>
    </xf>
    <xf numFmtId="0" fontId="54" fillId="0" borderId="19" xfId="58" applyNumberFormat="1" applyFont="1" applyBorder="1" applyAlignment="1">
      <alignment horizontal="center" vertical="center"/>
    </xf>
    <xf numFmtId="0" fontId="55" fillId="0" borderId="18" xfId="61" applyFont="1" applyBorder="1" applyAlignment="1"/>
    <xf numFmtId="0" fontId="57" fillId="0" borderId="0" xfId="61" applyFont="1" applyBorder="1" applyAlignment="1"/>
    <xf numFmtId="43" fontId="57" fillId="0" borderId="0" xfId="58" applyFont="1" applyBorder="1"/>
    <xf numFmtId="43" fontId="48" fillId="0" borderId="19" xfId="58" applyFont="1" applyBorder="1"/>
    <xf numFmtId="168" fontId="55" fillId="0" borderId="0" xfId="58" applyNumberFormat="1" applyFont="1" applyBorder="1"/>
    <xf numFmtId="168" fontId="55" fillId="0" borderId="19" xfId="58" applyNumberFormat="1" applyFont="1" applyBorder="1"/>
    <xf numFmtId="0" fontId="53" fillId="0" borderId="18" xfId="61" applyFont="1" applyBorder="1" applyAlignment="1"/>
    <xf numFmtId="0" fontId="53" fillId="0" borderId="0" xfId="61" applyFont="1" applyBorder="1" applyAlignment="1"/>
    <xf numFmtId="0" fontId="48" fillId="0" borderId="0" xfId="0" applyFont="1" applyBorder="1" applyAlignment="1"/>
    <xf numFmtId="3" fontId="67" fillId="0" borderId="0" xfId="0" applyNumberFormat="1" applyFont="1" applyBorder="1" applyAlignment="1">
      <alignment horizontal="right" vertical="center"/>
    </xf>
    <xf numFmtId="3" fontId="67" fillId="0" borderId="19" xfId="0" applyNumberFormat="1" applyFont="1" applyBorder="1" applyAlignment="1">
      <alignment horizontal="right" vertical="center"/>
    </xf>
    <xf numFmtId="0" fontId="53" fillId="0" borderId="18" xfId="61" applyFont="1" applyFill="1" applyBorder="1" applyAlignment="1"/>
    <xf numFmtId="0" fontId="53" fillId="0" borderId="0" xfId="61" applyFont="1" applyFill="1" applyBorder="1" applyAlignment="1"/>
    <xf numFmtId="0" fontId="67" fillId="0" borderId="19" xfId="0" applyFont="1" applyBorder="1" applyAlignment="1">
      <alignment horizontal="right" vertical="center"/>
    </xf>
    <xf numFmtId="0" fontId="48" fillId="0" borderId="0" xfId="0" applyFont="1" applyFill="1" applyBorder="1" applyAlignment="1"/>
    <xf numFmtId="0" fontId="53" fillId="0" borderId="18" xfId="61" applyFont="1" applyFill="1" applyBorder="1" applyAlignment="1">
      <alignment horizontal="left"/>
    </xf>
    <xf numFmtId="0" fontId="53" fillId="0" borderId="0" xfId="61" applyFont="1" applyFill="1" applyBorder="1" applyAlignment="1">
      <alignment horizontal="left"/>
    </xf>
    <xf numFmtId="0" fontId="53" fillId="0" borderId="0" xfId="61" applyFont="1" applyFill="1" applyBorder="1" applyAlignment="1">
      <alignment horizontal="left" wrapText="1"/>
    </xf>
    <xf numFmtId="168" fontId="53" fillId="0" borderId="0" xfId="58" applyNumberFormat="1" applyFont="1" applyBorder="1"/>
    <xf numFmtId="168" fontId="53" fillId="0" borderId="19" xfId="58" applyNumberFormat="1" applyFont="1" applyBorder="1"/>
    <xf numFmtId="0" fontId="55" fillId="0" borderId="18" xfId="61" applyFont="1" applyFill="1" applyBorder="1" applyAlignment="1"/>
    <xf numFmtId="0" fontId="55" fillId="0" borderId="0" xfId="61" applyFont="1" applyFill="1" applyBorder="1" applyAlignment="1"/>
    <xf numFmtId="0" fontId="55" fillId="0" borderId="18" xfId="61" applyFont="1" applyFill="1" applyBorder="1" applyAlignment="1">
      <alignment horizontal="left"/>
    </xf>
    <xf numFmtId="0" fontId="53" fillId="0" borderId="20" xfId="61" applyFont="1" applyFill="1" applyBorder="1" applyAlignment="1"/>
    <xf numFmtId="0" fontId="53" fillId="0" borderId="21" xfId="61" applyFont="1" applyFill="1" applyBorder="1" applyAlignment="1"/>
    <xf numFmtId="168" fontId="53" fillId="0" borderId="21" xfId="58" applyNumberFormat="1" applyFont="1" applyBorder="1"/>
    <xf numFmtId="168" fontId="53" fillId="0" borderId="22" xfId="58" applyNumberFormat="1" applyFont="1" applyBorder="1"/>
    <xf numFmtId="0" fontId="55" fillId="26" borderId="32" xfId="61" applyFont="1" applyFill="1" applyBorder="1" applyAlignment="1"/>
    <xf numFmtId="0" fontId="57" fillId="26" borderId="24" xfId="61" applyFont="1" applyFill="1" applyBorder="1" applyAlignment="1"/>
    <xf numFmtId="0" fontId="48" fillId="26" borderId="24" xfId="0" applyFont="1" applyFill="1" applyBorder="1" applyAlignment="1"/>
    <xf numFmtId="168" fontId="55" fillId="26" borderId="24" xfId="58" applyNumberFormat="1" applyFont="1" applyFill="1" applyBorder="1"/>
    <xf numFmtId="0" fontId="53" fillId="0" borderId="15" xfId="61" applyFont="1" applyFill="1" applyBorder="1" applyAlignment="1"/>
    <xf numFmtId="0" fontId="53" fillId="0" borderId="16" xfId="61" applyFont="1" applyFill="1" applyBorder="1" applyAlignment="1"/>
    <xf numFmtId="0" fontId="48" fillId="0" borderId="16" xfId="0" applyFont="1" applyFill="1" applyBorder="1" applyAlignment="1"/>
    <xf numFmtId="168" fontId="53" fillId="0" borderId="16" xfId="58" applyNumberFormat="1" applyFont="1" applyBorder="1"/>
    <xf numFmtId="168" fontId="53" fillId="0" borderId="17" xfId="58" applyNumberFormat="1" applyFont="1" applyBorder="1"/>
    <xf numFmtId="43" fontId="48" fillId="0" borderId="0" xfId="58" applyFont="1"/>
    <xf numFmtId="0" fontId="57" fillId="0" borderId="0" xfId="61" applyFont="1" applyFill="1" applyBorder="1" applyAlignment="1"/>
    <xf numFmtId="0" fontId="67" fillId="0" borderId="0" xfId="0" applyFont="1" applyAlignment="1">
      <alignment horizontal="right"/>
    </xf>
    <xf numFmtId="3" fontId="67" fillId="0" borderId="0" xfId="0" applyNumberFormat="1" applyFont="1" applyAlignment="1">
      <alignment horizontal="right"/>
    </xf>
    <xf numFmtId="0" fontId="48" fillId="0" borderId="21" xfId="0" applyFont="1" applyBorder="1"/>
    <xf numFmtId="3" fontId="67" fillId="0" borderId="22" xfId="0" applyNumberFormat="1" applyFont="1" applyBorder="1" applyAlignment="1">
      <alignment horizontal="right" vertical="center"/>
    </xf>
    <xf numFmtId="43" fontId="55" fillId="0" borderId="0" xfId="58" applyFont="1" applyBorder="1"/>
    <xf numFmtId="0" fontId="48" fillId="0" borderId="21" xfId="0" applyFont="1" applyFill="1" applyBorder="1" applyAlignment="1"/>
    <xf numFmtId="0" fontId="68" fillId="26" borderId="24" xfId="0" applyFont="1" applyFill="1" applyBorder="1" applyAlignment="1"/>
    <xf numFmtId="168" fontId="55" fillId="0" borderId="0" xfId="58" applyNumberFormat="1" applyFont="1" applyFill="1" applyBorder="1"/>
    <xf numFmtId="168" fontId="55" fillId="0" borderId="19" xfId="58" applyNumberFormat="1" applyFont="1" applyFill="1" applyBorder="1"/>
    <xf numFmtId="168" fontId="53" fillId="0" borderId="0" xfId="58" applyNumberFormat="1" applyFont="1" applyFill="1" applyBorder="1" applyAlignment="1"/>
    <xf numFmtId="0" fontId="55" fillId="0" borderId="0" xfId="61" applyFont="1" applyBorder="1" applyAlignment="1"/>
    <xf numFmtId="43" fontId="53" fillId="0" borderId="0" xfId="58" applyFont="1" applyBorder="1"/>
    <xf numFmtId="43" fontId="53" fillId="0" borderId="19" xfId="58" applyFont="1" applyBorder="1"/>
    <xf numFmtId="0" fontId="53" fillId="0" borderId="20" xfId="61" applyFont="1" applyBorder="1" applyAlignment="1"/>
    <xf numFmtId="0" fontId="53" fillId="0" borderId="21" xfId="61" applyFont="1" applyBorder="1" applyAlignment="1"/>
    <xf numFmtId="43" fontId="53" fillId="0" borderId="21" xfId="58" applyFont="1" applyBorder="1"/>
    <xf numFmtId="43" fontId="53" fillId="0" borderId="22" xfId="58" applyFont="1" applyBorder="1"/>
    <xf numFmtId="0" fontId="37" fillId="26" borderId="0" xfId="0" quotePrefix="1" applyNumberFormat="1" applyFont="1" applyFill="1" applyAlignment="1"/>
    <xf numFmtId="0" fontId="37" fillId="26" borderId="0" xfId="0" quotePrefix="1" applyFont="1" applyFill="1" applyAlignment="1"/>
    <xf numFmtId="4" fontId="37" fillId="26" borderId="0" xfId="0" quotePrefix="1" applyNumberFormat="1" applyFont="1" applyFill="1" applyAlignment="1"/>
    <xf numFmtId="4" fontId="37" fillId="26" borderId="0" xfId="0" applyNumberFormat="1" applyFont="1" applyFill="1"/>
    <xf numFmtId="0" fontId="33" fillId="26" borderId="0" xfId="0" quotePrefix="1" applyNumberFormat="1" applyFont="1" applyFill="1" applyAlignment="1"/>
    <xf numFmtId="0" fontId="33" fillId="26" borderId="0" xfId="0" quotePrefix="1" applyFont="1" applyFill="1" applyAlignment="1"/>
    <xf numFmtId="4" fontId="33" fillId="26" borderId="0" xfId="0" quotePrefix="1" applyNumberFormat="1" applyFont="1" applyFill="1" applyAlignment="1"/>
    <xf numFmtId="4" fontId="33" fillId="26" borderId="0" xfId="0" applyNumberFormat="1" applyFont="1" applyFill="1"/>
    <xf numFmtId="0" fontId="3" fillId="26" borderId="23" xfId="57" applyFont="1" applyFill="1" applyBorder="1" applyAlignment="1">
      <alignment horizontal="center" vertical="center" wrapText="1"/>
    </xf>
    <xf numFmtId="0" fontId="3" fillId="26" borderId="23" xfId="60" applyFont="1" applyFill="1" applyBorder="1" applyAlignment="1">
      <alignment horizontal="center" vertical="center" wrapText="1"/>
    </xf>
    <xf numFmtId="0" fontId="0" fillId="26" borderId="26" xfId="0" applyFill="1" applyBorder="1"/>
    <xf numFmtId="0" fontId="0" fillId="26" borderId="27" xfId="0" applyFill="1" applyBorder="1"/>
    <xf numFmtId="0" fontId="3" fillId="26" borderId="27" xfId="0" applyFont="1" applyFill="1" applyBorder="1" applyAlignment="1">
      <alignment horizontal="left"/>
    </xf>
    <xf numFmtId="0" fontId="3" fillId="26" borderId="27" xfId="0" applyFont="1" applyFill="1" applyBorder="1" applyAlignment="1">
      <alignment wrapText="1"/>
    </xf>
    <xf numFmtId="168" fontId="60" fillId="26" borderId="27" xfId="58" applyNumberFormat="1" applyFont="1" applyFill="1" applyBorder="1"/>
    <xf numFmtId="168" fontId="0" fillId="0" borderId="0" xfId="0" applyNumberFormat="1"/>
    <xf numFmtId="0" fontId="4" fillId="26" borderId="27" xfId="0" applyFont="1" applyFill="1" applyBorder="1" applyAlignment="1">
      <alignment horizontal="left"/>
    </xf>
    <xf numFmtId="0" fontId="4" fillId="26" borderId="27" xfId="0" applyFont="1" applyFill="1" applyBorder="1" applyAlignment="1">
      <alignment wrapText="1"/>
    </xf>
    <xf numFmtId="168" fontId="70" fillId="26" borderId="27" xfId="58" applyNumberFormat="1" applyFont="1" applyFill="1" applyBorder="1"/>
    <xf numFmtId="0" fontId="71" fillId="26" borderId="27" xfId="0" applyFont="1" applyFill="1" applyBorder="1" applyAlignment="1">
      <alignment horizontal="left"/>
    </xf>
    <xf numFmtId="0" fontId="71" fillId="26" borderId="27" xfId="0" applyFont="1" applyFill="1" applyBorder="1" applyAlignment="1">
      <alignment wrapText="1"/>
    </xf>
    <xf numFmtId="3" fontId="38" fillId="28" borderId="27" xfId="0" applyNumberFormat="1" applyFont="1" applyFill="1" applyBorder="1" applyAlignment="1">
      <alignment horizontal="right" vertical="center"/>
    </xf>
    <xf numFmtId="3" fontId="38" fillId="28" borderId="19" xfId="0" applyNumberFormat="1" applyFont="1" applyFill="1" applyBorder="1" applyAlignment="1">
      <alignment horizontal="right" vertical="center"/>
    </xf>
    <xf numFmtId="0" fontId="71" fillId="26" borderId="27" xfId="0" applyFont="1" applyFill="1" applyBorder="1"/>
    <xf numFmtId="0" fontId="38" fillId="28" borderId="27" xfId="0" applyFont="1" applyFill="1" applyBorder="1" applyAlignment="1">
      <alignment horizontal="right" vertical="center"/>
    </xf>
    <xf numFmtId="0" fontId="38" fillId="28" borderId="19" xfId="0" applyFont="1" applyFill="1" applyBorder="1" applyAlignment="1">
      <alignment horizontal="right" vertical="center"/>
    </xf>
    <xf numFmtId="168" fontId="71" fillId="26" borderId="27" xfId="58" applyNumberFormat="1" applyFont="1" applyFill="1" applyBorder="1"/>
    <xf numFmtId="0" fontId="71" fillId="26" borderId="30" xfId="0" applyFont="1" applyFill="1" applyBorder="1"/>
    <xf numFmtId="0" fontId="71" fillId="26" borderId="30" xfId="0" applyFont="1" applyFill="1" applyBorder="1" applyAlignment="1">
      <alignment wrapText="1"/>
    </xf>
    <xf numFmtId="43" fontId="71" fillId="26" borderId="30" xfId="58" applyFont="1" applyFill="1" applyBorder="1"/>
    <xf numFmtId="4" fontId="0" fillId="26" borderId="0" xfId="0" applyNumberFormat="1" applyFill="1"/>
    <xf numFmtId="0" fontId="49" fillId="0" borderId="0" xfId="0" applyFont="1" applyAlignment="1"/>
    <xf numFmtId="0" fontId="34" fillId="0" borderId="18" xfId="62" applyFont="1" applyBorder="1"/>
    <xf numFmtId="0" fontId="32" fillId="0" borderId="19" xfId="0" applyFont="1" applyBorder="1"/>
    <xf numFmtId="0" fontId="1" fillId="0" borderId="18" xfId="62" applyBorder="1"/>
    <xf numFmtId="0" fontId="3" fillId="0" borderId="18" xfId="62" applyFont="1" applyBorder="1" applyAlignment="1">
      <alignment horizontal="left" indent="1"/>
    </xf>
    <xf numFmtId="0" fontId="3" fillId="0" borderId="34" xfId="62" applyFont="1" applyBorder="1" applyAlignment="1">
      <alignment horizontal="left" indent="1"/>
    </xf>
    <xf numFmtId="0" fontId="0" fillId="0" borderId="34" xfId="0" applyBorder="1"/>
    <xf numFmtId="0" fontId="32" fillId="0" borderId="34" xfId="0" applyFont="1" applyBorder="1"/>
    <xf numFmtId="0" fontId="32" fillId="0" borderId="35" xfId="0" applyFont="1" applyBorder="1"/>
    <xf numFmtId="43" fontId="0" fillId="0" borderId="0" xfId="58" applyFont="1" applyBorder="1"/>
    <xf numFmtId="43" fontId="0" fillId="0" borderId="19" xfId="58" applyFont="1" applyBorder="1"/>
    <xf numFmtId="0" fontId="1" fillId="0" borderId="18" xfId="62" applyBorder="1" applyAlignment="1">
      <alignment horizontal="left" indent="1"/>
    </xf>
    <xf numFmtId="0" fontId="1" fillId="0" borderId="0" xfId="62" applyFont="1" applyBorder="1" applyAlignment="1">
      <alignment horizontal="left" indent="1"/>
    </xf>
    <xf numFmtId="0" fontId="1" fillId="0" borderId="0" xfId="62" applyBorder="1" applyAlignment="1">
      <alignment horizontal="left" indent="1"/>
    </xf>
    <xf numFmtId="168" fontId="0" fillId="0" borderId="0" xfId="58" applyNumberFormat="1" applyFont="1" applyBorder="1"/>
    <xf numFmtId="168" fontId="0" fillId="0" borderId="19" xfId="58" applyNumberFormat="1" applyFont="1" applyBorder="1"/>
    <xf numFmtId="0" fontId="1" fillId="0" borderId="0" xfId="62" applyBorder="1" applyAlignment="1">
      <alignment horizontal="left" indent="2"/>
    </xf>
    <xf numFmtId="3" fontId="20" fillId="0" borderId="0" xfId="0" applyNumberFormat="1" applyFont="1" applyBorder="1" applyAlignment="1">
      <alignment horizontal="right" vertical="center"/>
    </xf>
    <xf numFmtId="0" fontId="1" fillId="0" borderId="0" xfId="62" applyBorder="1" applyAlignment="1">
      <alignment horizontal="left" wrapText="1" indent="2"/>
    </xf>
    <xf numFmtId="0" fontId="3" fillId="26" borderId="0" xfId="62" applyFont="1" applyFill="1" applyBorder="1" applyAlignment="1">
      <alignment horizontal="left" indent="1"/>
    </xf>
    <xf numFmtId="0" fontId="0" fillId="26" borderId="0" xfId="0" applyFill="1" applyBorder="1"/>
    <xf numFmtId="168" fontId="32" fillId="26" borderId="0" xfId="58" applyNumberFormat="1" applyFont="1" applyFill="1" applyBorder="1"/>
    <xf numFmtId="168" fontId="32" fillId="26" borderId="19" xfId="58" applyNumberFormat="1" applyFont="1" applyFill="1" applyBorder="1"/>
    <xf numFmtId="168" fontId="32" fillId="0" borderId="34" xfId="58" applyNumberFormat="1" applyFont="1" applyBorder="1"/>
    <xf numFmtId="168" fontId="32" fillId="0" borderId="35" xfId="58" applyNumberFormat="1" applyFont="1" applyBorder="1"/>
    <xf numFmtId="168" fontId="0" fillId="0" borderId="0" xfId="0" applyNumberFormat="1" applyBorder="1"/>
    <xf numFmtId="168" fontId="0" fillId="0" borderId="19" xfId="58" applyNumberFormat="1" applyFont="1" applyFill="1" applyBorder="1"/>
    <xf numFmtId="168" fontId="0" fillId="26" borderId="0" xfId="58" applyNumberFormat="1" applyFont="1" applyFill="1" applyBorder="1"/>
    <xf numFmtId="168" fontId="0" fillId="26" borderId="19" xfId="58" applyNumberFormat="1" applyFont="1" applyFill="1" applyBorder="1"/>
    <xf numFmtId="0" fontId="3" fillId="0" borderId="18" xfId="62" applyFont="1" applyBorder="1"/>
    <xf numFmtId="168" fontId="32" fillId="0" borderId="0" xfId="58" applyNumberFormat="1" applyFont="1" applyBorder="1"/>
    <xf numFmtId="168" fontId="32" fillId="0" borderId="19" xfId="58" applyNumberFormat="1" applyFont="1" applyBorder="1"/>
    <xf numFmtId="43" fontId="0" fillId="0" borderId="21" xfId="58" applyFont="1" applyBorder="1"/>
    <xf numFmtId="43" fontId="0" fillId="0" borderId="22" xfId="58" applyFont="1" applyBorder="1"/>
    <xf numFmtId="0" fontId="48" fillId="0" borderId="0" xfId="0" quotePrefix="1" applyFont="1" applyAlignment="1"/>
    <xf numFmtId="14" fontId="48" fillId="0" borderId="0" xfId="0" applyNumberFormat="1" applyFont="1"/>
    <xf numFmtId="0" fontId="48" fillId="26" borderId="0" xfId="0" applyFont="1" applyFill="1"/>
    <xf numFmtId="0" fontId="55" fillId="26" borderId="19" xfId="0" applyFont="1" applyFill="1" applyBorder="1" applyAlignment="1">
      <alignment horizontal="center" vertical="center" wrapText="1"/>
    </xf>
    <xf numFmtId="0" fontId="55" fillId="26" borderId="22" xfId="0" applyFont="1" applyFill="1" applyBorder="1" applyAlignment="1">
      <alignment horizontal="center" vertical="center" wrapText="1"/>
    </xf>
    <xf numFmtId="3" fontId="48" fillId="0" borderId="0" xfId="0" applyNumberFormat="1" applyFont="1"/>
    <xf numFmtId="0" fontId="55" fillId="26" borderId="0" xfId="0" applyFont="1" applyFill="1" applyBorder="1" applyAlignment="1">
      <alignment horizontal="justify" vertical="center" wrapText="1"/>
    </xf>
    <xf numFmtId="0" fontId="55" fillId="26" borderId="26" xfId="0" applyFont="1" applyFill="1" applyBorder="1" applyAlignment="1">
      <alignment horizontal="justify" vertical="center" wrapText="1"/>
    </xf>
    <xf numFmtId="3" fontId="55" fillId="0" borderId="0" xfId="0" applyNumberFormat="1" applyFont="1" applyFill="1" applyBorder="1" applyAlignment="1">
      <alignment horizontal="right" vertical="center" wrapText="1"/>
    </xf>
    <xf numFmtId="3" fontId="55" fillId="0" borderId="27" xfId="0" applyNumberFormat="1" applyFont="1" applyFill="1" applyBorder="1" applyAlignment="1">
      <alignment horizontal="right" vertical="center" wrapText="1"/>
    </xf>
    <xf numFmtId="3" fontId="67" fillId="0" borderId="0" xfId="0" applyNumberFormat="1" applyFont="1" applyBorder="1" applyAlignment="1">
      <alignment horizontal="right" wrapText="1"/>
    </xf>
    <xf numFmtId="3" fontId="67" fillId="0" borderId="27" xfId="0" applyNumberFormat="1" applyFont="1" applyBorder="1" applyAlignment="1">
      <alignment horizontal="right" wrapText="1"/>
    </xf>
    <xf numFmtId="3" fontId="67" fillId="28" borderId="0" xfId="0" applyNumberFormat="1" applyFont="1" applyFill="1" applyBorder="1" applyAlignment="1">
      <alignment horizontal="right" wrapText="1"/>
    </xf>
    <xf numFmtId="3" fontId="53" fillId="0" borderId="27" xfId="0" applyNumberFormat="1" applyFont="1" applyFill="1" applyBorder="1" applyAlignment="1">
      <alignment horizontal="right" vertical="center" wrapText="1"/>
    </xf>
    <xf numFmtId="3" fontId="67" fillId="28" borderId="27" xfId="0" applyNumberFormat="1" applyFont="1" applyFill="1" applyBorder="1" applyAlignment="1">
      <alignment horizontal="justify" wrapText="1"/>
    </xf>
    <xf numFmtId="3" fontId="53" fillId="0" borderId="0" xfId="0" applyNumberFormat="1" applyFont="1" applyFill="1" applyBorder="1" applyAlignment="1">
      <alignment horizontal="right" vertical="center" wrapText="1"/>
    </xf>
    <xf numFmtId="3" fontId="49" fillId="0" borderId="0" xfId="0" applyNumberFormat="1" applyFont="1" applyBorder="1" applyAlignment="1">
      <alignment horizontal="right" wrapText="1"/>
    </xf>
    <xf numFmtId="3" fontId="49" fillId="0" borderId="27" xfId="0" applyNumberFormat="1" applyFont="1" applyFill="1" applyBorder="1" applyAlignment="1">
      <alignment horizontal="right" vertical="center" wrapText="1"/>
    </xf>
    <xf numFmtId="3" fontId="49" fillId="0" borderId="0" xfId="0" applyNumberFormat="1" applyFont="1" applyFill="1" applyBorder="1" applyAlignment="1">
      <alignment horizontal="right" vertical="center" wrapText="1"/>
    </xf>
    <xf numFmtId="3" fontId="72" fillId="0" borderId="0" xfId="0" applyNumberFormat="1" applyFont="1" applyBorder="1" applyAlignment="1">
      <alignment horizontal="right" wrapText="1"/>
    </xf>
    <xf numFmtId="0" fontId="53" fillId="26" borderId="18" xfId="0" applyFont="1" applyFill="1" applyBorder="1" applyAlignment="1">
      <alignment horizontal="justify" vertical="center" wrapText="1"/>
    </xf>
    <xf numFmtId="0" fontId="53" fillId="26" borderId="19" xfId="0" applyFont="1" applyFill="1" applyBorder="1" applyAlignment="1">
      <alignment horizontal="justify" vertical="center" wrapText="1"/>
    </xf>
    <xf numFmtId="3" fontId="53" fillId="26" borderId="27" xfId="0" applyNumberFormat="1" applyFont="1" applyFill="1" applyBorder="1" applyAlignment="1">
      <alignment horizontal="justify" vertical="center" wrapText="1"/>
    </xf>
    <xf numFmtId="3" fontId="53" fillId="26" borderId="0" xfId="0" applyNumberFormat="1" applyFont="1" applyFill="1" applyBorder="1" applyAlignment="1">
      <alignment horizontal="justify" vertical="center" wrapText="1"/>
    </xf>
    <xf numFmtId="3" fontId="55" fillId="26" borderId="0" xfId="0" applyNumberFormat="1" applyFont="1" applyFill="1" applyBorder="1" applyAlignment="1">
      <alignment horizontal="right" vertical="center" wrapText="1"/>
    </xf>
    <xf numFmtId="3" fontId="55" fillId="26" borderId="27" xfId="0" applyNumberFormat="1" applyFont="1" applyFill="1" applyBorder="1" applyAlignment="1">
      <alignment horizontal="justify" vertical="center" wrapText="1"/>
    </xf>
    <xf numFmtId="3" fontId="55" fillId="26" borderId="0" xfId="0" applyNumberFormat="1" applyFont="1" applyFill="1" applyBorder="1" applyAlignment="1">
      <alignment horizontal="justify" vertical="center" wrapText="1"/>
    </xf>
    <xf numFmtId="3" fontId="72" fillId="0" borderId="0" xfId="0" applyNumberFormat="1" applyFont="1"/>
    <xf numFmtId="3" fontId="72" fillId="0" borderId="27" xfId="0" applyNumberFormat="1" applyFont="1" applyBorder="1"/>
    <xf numFmtId="3" fontId="57" fillId="26" borderId="27" xfId="0" applyNumberFormat="1" applyFont="1" applyFill="1" applyBorder="1" applyAlignment="1">
      <alignment horizontal="justify" vertical="center" wrapText="1"/>
    </xf>
    <xf numFmtId="3" fontId="53" fillId="26" borderId="0" xfId="0" applyNumberFormat="1" applyFont="1" applyFill="1" applyBorder="1" applyAlignment="1">
      <alignment horizontal="right" vertical="center" wrapText="1"/>
    </xf>
    <xf numFmtId="3" fontId="57" fillId="26" borderId="0" xfId="0" applyNumberFormat="1" applyFont="1" applyFill="1" applyBorder="1" applyAlignment="1">
      <alignment horizontal="justify" vertical="center" wrapText="1"/>
    </xf>
    <xf numFmtId="4" fontId="53" fillId="26" borderId="0" xfId="0" applyNumberFormat="1" applyFont="1" applyFill="1" applyBorder="1" applyAlignment="1">
      <alignment horizontal="right" vertical="center" wrapText="1"/>
    </xf>
    <xf numFmtId="0" fontId="57" fillId="26" borderId="27" xfId="0" applyFont="1" applyFill="1" applyBorder="1" applyAlignment="1">
      <alignment horizontal="justify" vertical="center" wrapText="1"/>
    </xf>
    <xf numFmtId="0" fontId="57" fillId="26" borderId="0" xfId="0" applyFont="1" applyFill="1" applyBorder="1" applyAlignment="1">
      <alignment horizontal="justify" vertical="center" wrapText="1"/>
    </xf>
    <xf numFmtId="4" fontId="57" fillId="26" borderId="0" xfId="0" applyNumberFormat="1" applyFont="1" applyFill="1" applyBorder="1" applyAlignment="1">
      <alignment horizontal="right" vertical="center" wrapText="1"/>
    </xf>
    <xf numFmtId="4" fontId="55" fillId="26" borderId="0" xfId="0" applyNumberFormat="1" applyFont="1" applyFill="1" applyBorder="1" applyAlignment="1">
      <alignment horizontal="right" vertical="center" wrapText="1"/>
    </xf>
    <xf numFmtId="4" fontId="57" fillId="26" borderId="21" xfId="0" applyNumberFormat="1" applyFont="1" applyFill="1" applyBorder="1" applyAlignment="1">
      <alignment horizontal="right" vertical="center" wrapText="1"/>
    </xf>
    <xf numFmtId="0" fontId="57" fillId="26" borderId="30" xfId="0" applyFont="1" applyFill="1" applyBorder="1" applyAlignment="1">
      <alignment horizontal="justify" vertical="center" wrapText="1"/>
    </xf>
    <xf numFmtId="0" fontId="57" fillId="26" borderId="21" xfId="0" applyFont="1" applyFill="1" applyBorder="1" applyAlignment="1">
      <alignment horizontal="justify" vertical="center" wrapText="1"/>
    </xf>
    <xf numFmtId="0" fontId="55" fillId="26" borderId="17" xfId="0" applyFont="1" applyFill="1" applyBorder="1" applyAlignment="1">
      <alignment horizontal="center" vertical="center" wrapText="1"/>
    </xf>
    <xf numFmtId="0" fontId="53" fillId="26" borderId="22" xfId="0" applyFont="1" applyFill="1" applyBorder="1" applyAlignment="1">
      <alignment vertical="center" wrapText="1"/>
    </xf>
    <xf numFmtId="0" fontId="55" fillId="26" borderId="27" xfId="0" applyFont="1" applyFill="1" applyBorder="1" applyAlignment="1">
      <alignment horizontal="left" vertical="center" wrapText="1"/>
    </xf>
    <xf numFmtId="3" fontId="55" fillId="26" borderId="19" xfId="0" applyNumberFormat="1" applyFont="1" applyFill="1" applyBorder="1" applyAlignment="1">
      <alignment horizontal="right" vertical="center" wrapText="1"/>
    </xf>
    <xf numFmtId="0" fontId="55" fillId="26" borderId="19" xfId="0" applyFont="1" applyFill="1" applyBorder="1" applyAlignment="1">
      <alignment horizontal="left" vertical="center" wrapText="1"/>
    </xf>
    <xf numFmtId="0" fontId="55" fillId="26" borderId="27" xfId="0" applyFont="1" applyFill="1" applyBorder="1" applyAlignment="1">
      <alignment horizontal="justify" vertical="center" wrapText="1"/>
    </xf>
    <xf numFmtId="0" fontId="55" fillId="26" borderId="30" xfId="0" applyFont="1" applyFill="1" applyBorder="1" applyAlignment="1">
      <alignment horizontal="justify" vertical="center" wrapText="1"/>
    </xf>
    <xf numFmtId="3" fontId="55" fillId="26" borderId="22" xfId="0" applyNumberFormat="1" applyFont="1" applyFill="1" applyBorder="1" applyAlignment="1">
      <alignment horizontal="right" vertical="center" wrapText="1"/>
    </xf>
    <xf numFmtId="0" fontId="55" fillId="26" borderId="30" xfId="0" applyFont="1" applyFill="1" applyBorder="1" applyAlignment="1">
      <alignment horizontal="center" vertical="center" wrapText="1"/>
    </xf>
    <xf numFmtId="0" fontId="55" fillId="26" borderId="22" xfId="0" applyFont="1" applyFill="1" applyBorder="1" applyAlignment="1">
      <alignment horizontal="left" vertical="center" wrapText="1"/>
    </xf>
    <xf numFmtId="0" fontId="44" fillId="26" borderId="30" xfId="0" applyFont="1" applyFill="1" applyBorder="1" applyAlignment="1">
      <alignment horizontal="center" vertical="center" wrapText="1"/>
    </xf>
    <xf numFmtId="0" fontId="44" fillId="26" borderId="22" xfId="0" applyFont="1" applyFill="1" applyBorder="1" applyAlignment="1">
      <alignment horizontal="center" vertical="center" wrapText="1"/>
    </xf>
    <xf numFmtId="0" fontId="44" fillId="26" borderId="27" xfId="0" applyFont="1" applyFill="1" applyBorder="1" applyAlignment="1">
      <alignment horizontal="justify" vertical="center" wrapText="1"/>
    </xf>
    <xf numFmtId="0" fontId="44" fillId="26" borderId="19" xfId="0" applyFont="1" applyFill="1" applyBorder="1" applyAlignment="1">
      <alignment horizontal="justify" vertical="center" wrapText="1"/>
    </xf>
    <xf numFmtId="0" fontId="50" fillId="26" borderId="19" xfId="0" applyFont="1" applyFill="1" applyBorder="1" applyAlignment="1">
      <alignment horizontal="justify" vertical="center" wrapText="1"/>
    </xf>
    <xf numFmtId="0" fontId="44" fillId="26" borderId="27"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7" fillId="26" borderId="27" xfId="0" applyFont="1" applyFill="1" applyBorder="1" applyAlignment="1">
      <alignment horizontal="left" vertical="center" wrapText="1" indent="1"/>
    </xf>
    <xf numFmtId="0" fontId="47" fillId="26" borderId="19" xfId="0" applyFont="1" applyFill="1" applyBorder="1" applyAlignment="1">
      <alignment horizontal="left" vertical="center" wrapText="1" indent="1"/>
    </xf>
    <xf numFmtId="0" fontId="47" fillId="26" borderId="27" xfId="0" applyFont="1" applyFill="1" applyBorder="1" applyAlignment="1">
      <alignment horizontal="left" vertical="center" wrapText="1"/>
    </xf>
    <xf numFmtId="0" fontId="47" fillId="26" borderId="19" xfId="0" applyFont="1" applyFill="1" applyBorder="1" applyAlignment="1">
      <alignment horizontal="left" vertical="center" wrapText="1"/>
    </xf>
    <xf numFmtId="0" fontId="47" fillId="26" borderId="30" xfId="0" applyFont="1" applyFill="1" applyBorder="1" applyAlignment="1">
      <alignment horizontal="justify" vertical="center" wrapText="1"/>
    </xf>
    <xf numFmtId="0" fontId="47" fillId="26" borderId="22" xfId="0" applyFont="1" applyFill="1" applyBorder="1" applyAlignment="1">
      <alignment horizontal="justify" vertical="center" wrapText="1"/>
    </xf>
    <xf numFmtId="0" fontId="44" fillId="26" borderId="22" xfId="0" applyFont="1" applyFill="1" applyBorder="1" applyAlignment="1">
      <alignment horizontal="justify" vertical="center" wrapText="1"/>
    </xf>
    <xf numFmtId="0" fontId="39" fillId="26" borderId="0" xfId="0" applyFont="1" applyFill="1" applyAlignment="1">
      <alignment horizontal="center"/>
    </xf>
    <xf numFmtId="0" fontId="39" fillId="0" borderId="0" xfId="0" applyFont="1" applyAlignment="1"/>
    <xf numFmtId="0" fontId="37" fillId="0" borderId="0" xfId="0" quotePrefix="1" applyFont="1" applyFill="1" applyAlignment="1"/>
    <xf numFmtId="0" fontId="37" fillId="0" borderId="0" xfId="0" applyFont="1" applyFill="1"/>
    <xf numFmtId="0" fontId="0" fillId="0" borderId="0" xfId="0" applyFill="1"/>
    <xf numFmtId="0" fontId="3" fillId="0" borderId="18" xfId="0" applyFont="1" applyFill="1" applyBorder="1" applyAlignment="1">
      <alignment horizontal="center"/>
    </xf>
    <xf numFmtId="0" fontId="3" fillId="0" borderId="0" xfId="0" applyFont="1" applyFill="1" applyBorder="1" applyAlignment="1">
      <alignment horizontal="center"/>
    </xf>
    <xf numFmtId="0" fontId="3" fillId="0" borderId="19" xfId="0" applyFont="1" applyFill="1" applyBorder="1" applyAlignment="1">
      <alignment horizontal="center"/>
    </xf>
    <xf numFmtId="0" fontId="76" fillId="0" borderId="18" xfId="0" applyFont="1" applyBorder="1" applyAlignment="1">
      <alignment horizontal="justify" vertical="center"/>
    </xf>
    <xf numFmtId="0" fontId="0" fillId="26" borderId="19" xfId="0" applyFill="1" applyBorder="1"/>
    <xf numFmtId="0" fontId="0" fillId="0" borderId="20" xfId="0" applyFill="1" applyBorder="1"/>
    <xf numFmtId="0" fontId="0" fillId="0" borderId="21" xfId="0" applyFill="1" applyBorder="1"/>
    <xf numFmtId="0" fontId="0" fillId="0" borderId="22" xfId="0" applyFill="1" applyBorder="1"/>
    <xf numFmtId="0" fontId="48" fillId="0" borderId="0" xfId="0" applyFont="1" applyFill="1"/>
    <xf numFmtId="4" fontId="48" fillId="0" borderId="0" xfId="0" applyNumberFormat="1" applyFont="1" applyFill="1"/>
    <xf numFmtId="0" fontId="48" fillId="0" borderId="0" xfId="0" applyFont="1" applyFill="1" applyBorder="1"/>
    <xf numFmtId="0" fontId="48" fillId="0" borderId="0" xfId="0" applyFont="1" applyFill="1" applyAlignment="1"/>
    <xf numFmtId="0" fontId="52" fillId="0" borderId="0" xfId="0" quotePrefix="1" applyFont="1" applyFill="1" applyAlignment="1"/>
    <xf numFmtId="14" fontId="52" fillId="0" borderId="0" xfId="0" quotePrefix="1" applyNumberFormat="1" applyFont="1" applyFill="1" applyAlignment="1"/>
    <xf numFmtId="0" fontId="52" fillId="0" borderId="0" xfId="0" applyFont="1" applyFill="1"/>
    <xf numFmtId="0" fontId="55" fillId="0" borderId="0" xfId="63" applyFont="1" applyFill="1" applyBorder="1" applyAlignment="1"/>
    <xf numFmtId="0" fontId="55" fillId="0" borderId="0" xfId="63" applyFont="1" applyFill="1" applyBorder="1" applyAlignment="1">
      <alignment vertical="center"/>
    </xf>
    <xf numFmtId="169" fontId="49" fillId="0" borderId="37" xfId="64" applyNumberFormat="1" applyFont="1" applyFill="1" applyBorder="1" applyAlignment="1" applyProtection="1">
      <alignment horizontal="center"/>
    </xf>
    <xf numFmtId="169" fontId="49" fillId="0" borderId="38" xfId="64" applyNumberFormat="1" applyFont="1" applyFill="1" applyBorder="1" applyAlignment="1" applyProtection="1">
      <alignment horizontal="center"/>
    </xf>
    <xf numFmtId="0" fontId="48" fillId="0" borderId="39" xfId="60" applyFont="1" applyFill="1" applyBorder="1" applyAlignment="1" applyProtection="1">
      <alignment horizontal="justify" vertical="center" wrapText="1"/>
    </xf>
    <xf numFmtId="0" fontId="48" fillId="0" borderId="40" xfId="60" applyFont="1" applyFill="1" applyBorder="1" applyAlignment="1" applyProtection="1">
      <alignment horizontal="justify" vertical="center" wrapText="1"/>
    </xf>
    <xf numFmtId="0" fontId="48" fillId="0" borderId="41" xfId="60" applyFont="1" applyFill="1" applyBorder="1" applyAlignment="1" applyProtection="1">
      <alignment horizontal="justify" vertical="center" wrapText="1"/>
    </xf>
    <xf numFmtId="0" fontId="48" fillId="0" borderId="42" xfId="60" applyFont="1" applyFill="1" applyBorder="1" applyAlignment="1" applyProtection="1">
      <alignment horizontal="justify" vertical="center" wrapText="1"/>
    </xf>
    <xf numFmtId="43" fontId="48" fillId="0" borderId="0" xfId="0" applyNumberFormat="1" applyFont="1" applyFill="1"/>
    <xf numFmtId="169" fontId="78" fillId="0" borderId="37" xfId="64" applyNumberFormat="1" applyFont="1" applyFill="1" applyBorder="1" applyAlignment="1" applyProtection="1">
      <alignment horizontal="center"/>
    </xf>
    <xf numFmtId="169" fontId="78" fillId="0" borderId="38" xfId="64" applyNumberFormat="1" applyFont="1" applyFill="1" applyBorder="1" applyAlignment="1" applyProtection="1">
      <alignment horizontal="center"/>
    </xf>
    <xf numFmtId="166" fontId="48" fillId="0" borderId="0" xfId="0" applyNumberFormat="1" applyFont="1" applyFill="1"/>
    <xf numFmtId="0" fontId="80" fillId="0" borderId="39" xfId="60" applyFont="1" applyFill="1" applyBorder="1" applyAlignment="1" applyProtection="1">
      <alignment horizontal="justify" vertical="center" wrapText="1"/>
    </xf>
    <xf numFmtId="0" fontId="80" fillId="0" borderId="40" xfId="60" applyFont="1" applyFill="1" applyBorder="1" applyAlignment="1" applyProtection="1">
      <alignment horizontal="justify" vertical="center" wrapText="1"/>
    </xf>
    <xf numFmtId="0" fontId="80" fillId="0" borderId="41" xfId="60" applyFont="1" applyFill="1" applyBorder="1" applyAlignment="1" applyProtection="1">
      <alignment horizontal="justify" vertical="center" wrapText="1"/>
    </xf>
    <xf numFmtId="0" fontId="80" fillId="0" borderId="42" xfId="60" applyFont="1" applyFill="1" applyBorder="1" applyAlignment="1" applyProtection="1">
      <alignment horizontal="justify" vertical="center" wrapText="1"/>
    </xf>
    <xf numFmtId="43" fontId="48" fillId="0" borderId="0" xfId="58" applyFont="1" applyFill="1"/>
    <xf numFmtId="170" fontId="80" fillId="0" borderId="11" xfId="58" applyNumberFormat="1" applyFont="1" applyFill="1" applyBorder="1" applyAlignment="1" applyProtection="1">
      <alignment horizontal="right" vertical="center" wrapText="1"/>
    </xf>
    <xf numFmtId="0" fontId="80" fillId="0" borderId="44" xfId="60" applyFont="1" applyFill="1" applyBorder="1"/>
    <xf numFmtId="0" fontId="80" fillId="0" borderId="45" xfId="60" applyFont="1" applyFill="1" applyBorder="1" applyAlignment="1">
      <alignment vertical="center" wrapText="1"/>
    </xf>
    <xf numFmtId="170" fontId="80" fillId="0" borderId="11" xfId="58" applyNumberFormat="1" applyFont="1" applyFill="1" applyBorder="1" applyAlignment="1" applyProtection="1">
      <alignment horizontal="right" vertical="center" wrapText="1"/>
      <protection locked="0"/>
    </xf>
    <xf numFmtId="170" fontId="80" fillId="0" borderId="46" xfId="58" applyNumberFormat="1" applyFont="1" applyFill="1" applyBorder="1" applyAlignment="1" applyProtection="1">
      <alignment horizontal="right" vertical="center" wrapText="1"/>
      <protection locked="0"/>
    </xf>
    <xf numFmtId="0" fontId="80" fillId="0" borderId="44" xfId="60" applyFont="1" applyFill="1" applyBorder="1" applyAlignment="1">
      <alignment horizontal="justify" vertical="center" wrapText="1"/>
    </xf>
    <xf numFmtId="0" fontId="80" fillId="0" borderId="45" xfId="60" applyFont="1" applyFill="1" applyBorder="1" applyAlignment="1">
      <alignment horizontal="justify" vertical="center" wrapText="1"/>
    </xf>
    <xf numFmtId="0" fontId="80" fillId="0" borderId="11" xfId="60" applyFont="1" applyFill="1" applyBorder="1" applyAlignment="1">
      <alignment horizontal="right" vertical="center" wrapText="1"/>
    </xf>
    <xf numFmtId="0" fontId="80" fillId="0" borderId="46" xfId="60" applyFont="1" applyFill="1" applyBorder="1" applyAlignment="1">
      <alignment horizontal="right" vertical="center" wrapText="1"/>
    </xf>
    <xf numFmtId="170" fontId="80" fillId="0" borderId="11" xfId="58" applyNumberFormat="1" applyFont="1" applyFill="1" applyBorder="1" applyAlignment="1">
      <alignment horizontal="right" vertical="center" wrapText="1"/>
    </xf>
    <xf numFmtId="170" fontId="48" fillId="0" borderId="0" xfId="0" applyNumberFormat="1" applyFont="1" applyFill="1"/>
    <xf numFmtId="0" fontId="78" fillId="0" borderId="44" xfId="60" applyFont="1" applyFill="1" applyBorder="1" applyAlignment="1">
      <alignment horizontal="justify" vertical="center" wrapText="1"/>
    </xf>
    <xf numFmtId="0" fontId="78" fillId="0" borderId="45" xfId="60" applyFont="1" applyFill="1" applyBorder="1" applyAlignment="1">
      <alignment horizontal="justify" vertical="center" wrapText="1"/>
    </xf>
    <xf numFmtId="43" fontId="80" fillId="0" borderId="11" xfId="58" applyFont="1" applyFill="1" applyBorder="1" applyAlignment="1" applyProtection="1">
      <alignment horizontal="right" vertical="center" wrapText="1"/>
      <protection locked="0"/>
    </xf>
    <xf numFmtId="43" fontId="80" fillId="0" borderId="46" xfId="58" applyFont="1" applyFill="1" applyBorder="1" applyAlignment="1" applyProtection="1">
      <alignment horizontal="right" vertical="center" wrapText="1"/>
      <protection locked="0"/>
    </xf>
    <xf numFmtId="170" fontId="80" fillId="0" borderId="48" xfId="58" applyNumberFormat="1" applyFont="1" applyFill="1" applyBorder="1" applyAlignment="1">
      <alignment horizontal="right" vertical="center" wrapText="1"/>
    </xf>
    <xf numFmtId="0" fontId="80" fillId="0" borderId="18" xfId="60" applyFont="1" applyFill="1" applyBorder="1"/>
    <xf numFmtId="0" fontId="80" fillId="0" borderId="0" xfId="60" applyFont="1" applyFill="1" applyBorder="1"/>
    <xf numFmtId="0" fontId="80" fillId="0" borderId="19" xfId="60" applyFont="1" applyFill="1" applyBorder="1"/>
    <xf numFmtId="0" fontId="80" fillId="0" borderId="39" xfId="60" applyFont="1" applyFill="1" applyBorder="1" applyAlignment="1">
      <alignment horizontal="justify" vertical="center" wrapText="1"/>
    </xf>
    <xf numFmtId="0" fontId="80" fillId="0" borderId="40" xfId="60" applyFont="1" applyFill="1" applyBorder="1" applyAlignment="1">
      <alignment horizontal="justify" vertical="center" wrapText="1"/>
    </xf>
    <xf numFmtId="0" fontId="80" fillId="0" borderId="41" xfId="60" applyFont="1" applyFill="1" applyBorder="1" applyAlignment="1">
      <alignment horizontal="right" vertical="center" wrapText="1"/>
    </xf>
    <xf numFmtId="0" fontId="80" fillId="0" borderId="42" xfId="60" applyFont="1" applyFill="1" applyBorder="1" applyAlignment="1">
      <alignment horizontal="right" vertical="center" wrapText="1"/>
    </xf>
    <xf numFmtId="170" fontId="80" fillId="0" borderId="46" xfId="58" applyNumberFormat="1" applyFont="1" applyFill="1" applyBorder="1" applyAlignment="1">
      <alignment horizontal="right" vertical="center" wrapText="1"/>
    </xf>
    <xf numFmtId="170" fontId="78" fillId="0" borderId="48" xfId="58" applyNumberFormat="1" applyFont="1" applyFill="1" applyBorder="1" applyAlignment="1">
      <alignment horizontal="right" vertical="center" wrapText="1"/>
    </xf>
    <xf numFmtId="0" fontId="80" fillId="0" borderId="41" xfId="60" applyFont="1" applyFill="1" applyBorder="1" applyAlignment="1">
      <alignment horizontal="justify" vertical="center" wrapText="1"/>
    </xf>
    <xf numFmtId="0" fontId="80" fillId="0" borderId="42" xfId="60" applyFont="1" applyFill="1" applyBorder="1" applyAlignment="1">
      <alignment horizontal="justify" vertical="center" wrapText="1"/>
    </xf>
    <xf numFmtId="0" fontId="80" fillId="0" borderId="20" xfId="60" applyFont="1" applyFill="1" applyBorder="1"/>
    <xf numFmtId="0" fontId="80" fillId="0" borderId="21" xfId="60" applyFont="1" applyFill="1" applyBorder="1"/>
    <xf numFmtId="0" fontId="80" fillId="0" borderId="22" xfId="60" applyFont="1" applyFill="1" applyBorder="1"/>
    <xf numFmtId="0" fontId="49" fillId="0" borderId="0" xfId="0" applyFont="1" applyFill="1" applyAlignment="1"/>
    <xf numFmtId="0" fontId="51" fillId="0" borderId="0" xfId="65" quotePrefix="1" applyFont="1" applyFill="1" applyAlignment="1"/>
    <xf numFmtId="0" fontId="51" fillId="0" borderId="0" xfId="65" applyFont="1" applyFill="1"/>
    <xf numFmtId="171" fontId="51" fillId="0" borderId="0" xfId="65" applyNumberFormat="1" applyFont="1" applyFill="1" applyAlignment="1">
      <alignment horizontal="right"/>
    </xf>
    <xf numFmtId="0" fontId="51" fillId="0" borderId="0" xfId="0" applyFont="1" applyFill="1"/>
    <xf numFmtId="0" fontId="52" fillId="0" borderId="0" xfId="65" quotePrefix="1" applyFont="1" applyFill="1" applyAlignment="1"/>
    <xf numFmtId="0" fontId="52" fillId="0" borderId="0" xfId="65" applyFont="1" applyFill="1"/>
    <xf numFmtId="171" fontId="52" fillId="0" borderId="0" xfId="65" applyNumberFormat="1" applyFont="1" applyFill="1" applyAlignment="1">
      <alignment horizontal="right"/>
    </xf>
    <xf numFmtId="0" fontId="53" fillId="0" borderId="0" xfId="0" applyFont="1" applyFill="1"/>
    <xf numFmtId="172" fontId="55" fillId="0" borderId="49" xfId="65" applyNumberFormat="1" applyFont="1" applyFill="1" applyBorder="1"/>
    <xf numFmtId="172" fontId="55" fillId="0" borderId="50" xfId="65" applyNumberFormat="1" applyFont="1" applyFill="1" applyBorder="1"/>
    <xf numFmtId="172" fontId="55" fillId="0" borderId="50" xfId="65" applyNumberFormat="1" applyFont="1" applyFill="1" applyBorder="1" applyAlignment="1">
      <alignment horizontal="center"/>
    </xf>
    <xf numFmtId="172" fontId="55" fillId="0" borderId="50" xfId="65" applyNumberFormat="1" applyFont="1" applyFill="1" applyBorder="1" applyAlignment="1">
      <alignment horizontal="right"/>
    </xf>
    <xf numFmtId="172" fontId="55" fillId="0" borderId="51" xfId="65" applyNumberFormat="1" applyFont="1" applyFill="1" applyBorder="1" applyAlignment="1">
      <alignment horizontal="right"/>
    </xf>
    <xf numFmtId="172" fontId="55" fillId="0" borderId="39" xfId="65" applyNumberFormat="1" applyFont="1" applyFill="1" applyBorder="1"/>
    <xf numFmtId="172" fontId="55" fillId="0" borderId="52" xfId="65" applyNumberFormat="1" applyFont="1" applyFill="1" applyBorder="1"/>
    <xf numFmtId="172" fontId="55" fillId="0" borderId="52" xfId="65" applyNumberFormat="1" applyFont="1" applyFill="1" applyBorder="1" applyAlignment="1">
      <alignment horizontal="center" vertical="center"/>
    </xf>
    <xf numFmtId="172" fontId="55" fillId="0" borderId="52" xfId="65" applyNumberFormat="1" applyFont="1" applyFill="1" applyBorder="1" applyAlignment="1">
      <alignment horizontal="right"/>
    </xf>
    <xf numFmtId="172" fontId="55" fillId="0" borderId="42" xfId="58" applyNumberFormat="1" applyFont="1" applyFill="1" applyBorder="1" applyAlignment="1">
      <alignment horizontal="right"/>
    </xf>
    <xf numFmtId="172" fontId="55" fillId="0" borderId="18" xfId="65" applyNumberFormat="1" applyFont="1" applyFill="1" applyBorder="1"/>
    <xf numFmtId="172" fontId="55" fillId="0" borderId="0" xfId="65" applyNumberFormat="1" applyFont="1" applyFill="1" applyBorder="1"/>
    <xf numFmtId="172" fontId="55" fillId="0" borderId="29" xfId="65" applyNumberFormat="1" applyFont="1" applyFill="1" applyBorder="1" applyAlignment="1">
      <alignment horizontal="right"/>
    </xf>
    <xf numFmtId="172" fontId="55" fillId="0" borderId="53" xfId="58" applyNumberFormat="1" applyFont="1" applyFill="1" applyBorder="1" applyAlignment="1">
      <alignment horizontal="right"/>
    </xf>
    <xf numFmtId="172" fontId="55" fillId="0" borderId="44" xfId="65" applyNumberFormat="1" applyFont="1" applyFill="1" applyBorder="1"/>
    <xf numFmtId="172" fontId="55" fillId="0" borderId="29" xfId="65" applyNumberFormat="1" applyFont="1" applyFill="1" applyBorder="1"/>
    <xf numFmtId="172" fontId="55" fillId="0" borderId="45" xfId="65" applyNumberFormat="1" applyFont="1" applyFill="1" applyBorder="1" applyAlignment="1">
      <alignment horizontal="right"/>
    </xf>
    <xf numFmtId="3" fontId="55" fillId="0" borderId="42" xfId="58" applyNumberFormat="1" applyFont="1" applyFill="1" applyBorder="1" applyAlignment="1">
      <alignment horizontal="right"/>
    </xf>
    <xf numFmtId="172" fontId="48" fillId="0" borderId="44" xfId="65" applyNumberFormat="1" applyFont="1" applyFill="1" applyBorder="1"/>
    <xf numFmtId="172" fontId="48" fillId="0" borderId="29" xfId="65" applyNumberFormat="1" applyFont="1" applyFill="1" applyBorder="1"/>
    <xf numFmtId="172" fontId="53" fillId="0" borderId="11" xfId="65" applyNumberFormat="1" applyFont="1" applyFill="1" applyBorder="1" applyAlignment="1">
      <alignment horizontal="right"/>
    </xf>
    <xf numFmtId="172" fontId="53" fillId="0" borderId="41" xfId="65" applyNumberFormat="1" applyFont="1" applyFill="1" applyBorder="1" applyAlignment="1">
      <alignment horizontal="right"/>
    </xf>
    <xf numFmtId="172" fontId="48" fillId="0" borderId="11" xfId="65" applyNumberFormat="1" applyFont="1" applyFill="1" applyBorder="1" applyAlignment="1">
      <alignment horizontal="right"/>
    </xf>
    <xf numFmtId="3" fontId="53" fillId="0" borderId="41" xfId="65" applyNumberFormat="1" applyFont="1" applyFill="1" applyBorder="1" applyAlignment="1">
      <alignment horizontal="right"/>
    </xf>
    <xf numFmtId="3" fontId="48" fillId="0" borderId="11" xfId="65" applyNumberFormat="1" applyFont="1" applyFill="1" applyBorder="1" applyAlignment="1">
      <alignment horizontal="right"/>
    </xf>
    <xf numFmtId="172" fontId="48" fillId="0" borderId="39" xfId="65" applyNumberFormat="1" applyFont="1" applyFill="1" applyBorder="1"/>
    <xf numFmtId="172" fontId="48" fillId="0" borderId="52" xfId="65" applyNumberFormat="1" applyFont="1" applyFill="1" applyBorder="1"/>
    <xf numFmtId="172" fontId="48" fillId="0" borderId="41" xfId="65" applyNumberFormat="1" applyFont="1" applyFill="1" applyBorder="1" applyAlignment="1">
      <alignment horizontal="right"/>
    </xf>
    <xf numFmtId="172" fontId="55" fillId="0" borderId="57" xfId="65" applyNumberFormat="1" applyFont="1" applyFill="1" applyBorder="1" applyAlignment="1">
      <alignment horizontal="right"/>
    </xf>
    <xf numFmtId="172" fontId="55" fillId="0" borderId="58" xfId="65" applyNumberFormat="1" applyFont="1" applyFill="1" applyBorder="1"/>
    <xf numFmtId="172" fontId="55" fillId="0" borderId="59" xfId="65" applyNumberFormat="1" applyFont="1" applyFill="1" applyBorder="1"/>
    <xf numFmtId="172" fontId="55" fillId="0" borderId="60" xfId="65" applyNumberFormat="1" applyFont="1" applyFill="1" applyBorder="1" applyAlignment="1">
      <alignment horizontal="right"/>
    </xf>
    <xf numFmtId="172" fontId="55" fillId="0" borderId="61" xfId="58" applyNumberFormat="1" applyFont="1" applyFill="1" applyBorder="1" applyAlignment="1">
      <alignment horizontal="right"/>
    </xf>
    <xf numFmtId="172" fontId="53" fillId="0" borderId="0" xfId="0" applyNumberFormat="1" applyFont="1" applyFill="1"/>
    <xf numFmtId="172" fontId="3" fillId="26" borderId="20" xfId="65" applyNumberFormat="1" applyFont="1" applyFill="1" applyBorder="1"/>
    <xf numFmtId="172" fontId="3" fillId="26" borderId="21" xfId="65" applyNumberFormat="1" applyFont="1" applyFill="1" applyBorder="1"/>
    <xf numFmtId="172" fontId="3" fillId="26" borderId="21" xfId="65" applyNumberFormat="1" applyFont="1" applyFill="1" applyBorder="1" applyAlignment="1">
      <alignment horizontal="right"/>
    </xf>
    <xf numFmtId="172" fontId="3" fillId="26" borderId="22" xfId="65" applyNumberFormat="1" applyFont="1" applyFill="1" applyBorder="1" applyAlignment="1">
      <alignment horizontal="right"/>
    </xf>
    <xf numFmtId="172" fontId="41" fillId="26" borderId="18" xfId="65" applyNumberFormat="1" applyFont="1" applyFill="1" applyBorder="1"/>
    <xf numFmtId="172" fontId="41" fillId="26" borderId="52" xfId="65" applyNumberFormat="1" applyFont="1" applyFill="1" applyBorder="1"/>
    <xf numFmtId="172" fontId="41" fillId="26" borderId="52" xfId="65" applyNumberFormat="1" applyFont="1" applyFill="1" applyBorder="1" applyAlignment="1">
      <alignment horizontal="right"/>
    </xf>
    <xf numFmtId="172" fontId="41" fillId="26" borderId="42" xfId="58" applyNumberFormat="1" applyFont="1" applyFill="1" applyBorder="1" applyAlignment="1">
      <alignment horizontal="right"/>
    </xf>
    <xf numFmtId="172" fontId="41" fillId="26" borderId="44" xfId="65" applyNumberFormat="1" applyFont="1" applyFill="1" applyBorder="1"/>
    <xf numFmtId="172" fontId="41" fillId="26" borderId="29" xfId="65" applyNumberFormat="1" applyFont="1" applyFill="1" applyBorder="1"/>
    <xf numFmtId="172" fontId="41" fillId="26" borderId="57" xfId="65" applyNumberFormat="1" applyFont="1" applyFill="1" applyBorder="1"/>
    <xf numFmtId="172" fontId="41" fillId="26" borderId="57" xfId="65" applyNumberFormat="1" applyFont="1" applyFill="1" applyBorder="1" applyAlignment="1">
      <alignment horizontal="right"/>
    </xf>
    <xf numFmtId="172" fontId="41" fillId="26" borderId="53" xfId="58" applyNumberFormat="1" applyFont="1" applyFill="1" applyBorder="1" applyAlignment="1">
      <alignment horizontal="right"/>
    </xf>
    <xf numFmtId="172" fontId="41" fillId="26" borderId="62" xfId="65" applyNumberFormat="1" applyFont="1" applyFill="1" applyBorder="1" applyAlignment="1">
      <alignment horizontal="right"/>
    </xf>
    <xf numFmtId="172" fontId="20" fillId="26" borderId="44" xfId="65" applyNumberFormat="1" applyFont="1" applyFill="1" applyBorder="1"/>
    <xf numFmtId="172" fontId="20" fillId="26" borderId="29" xfId="65" applyNumberFormat="1" applyFont="1" applyFill="1" applyBorder="1"/>
    <xf numFmtId="3" fontId="40" fillId="0" borderId="11" xfId="0" applyNumberFormat="1" applyFont="1" applyFill="1" applyBorder="1" applyAlignment="1">
      <alignment horizontal="right" vertical="center"/>
    </xf>
    <xf numFmtId="172" fontId="20" fillId="26" borderId="54" xfId="58" applyNumberFormat="1" applyFont="1" applyFill="1" applyBorder="1" applyAlignment="1"/>
    <xf numFmtId="172" fontId="20" fillId="26" borderId="19" xfId="58" applyNumberFormat="1" applyFont="1" applyFill="1" applyBorder="1" applyAlignment="1"/>
    <xf numFmtId="3" fontId="40" fillId="28" borderId="11" xfId="0" applyNumberFormat="1" applyFont="1" applyFill="1" applyBorder="1" applyAlignment="1">
      <alignment horizontal="right" vertical="center"/>
    </xf>
    <xf numFmtId="172" fontId="20" fillId="26" borderId="41" xfId="65" applyNumberFormat="1" applyFont="1" applyFill="1" applyBorder="1" applyAlignment="1">
      <alignment horizontal="right"/>
    </xf>
    <xf numFmtId="172" fontId="20" fillId="26" borderId="42" xfId="58" applyNumberFormat="1" applyFont="1" applyFill="1" applyBorder="1" applyAlignment="1"/>
    <xf numFmtId="173" fontId="40" fillId="28" borderId="11" xfId="0" applyNumberFormat="1" applyFont="1" applyFill="1" applyBorder="1" applyAlignment="1">
      <alignment horizontal="right" vertical="center"/>
    </xf>
    <xf numFmtId="0" fontId="40" fillId="28" borderId="11" xfId="0" applyFont="1" applyFill="1" applyBorder="1" applyAlignment="1">
      <alignment horizontal="right" vertical="center"/>
    </xf>
    <xf numFmtId="172" fontId="20" fillId="26" borderId="53" xfId="58" applyNumberFormat="1" applyFont="1" applyFill="1" applyBorder="1" applyAlignment="1"/>
    <xf numFmtId="172" fontId="41" fillId="26" borderId="0" xfId="65" applyNumberFormat="1" applyFont="1" applyFill="1" applyBorder="1"/>
    <xf numFmtId="172" fontId="41" fillId="26" borderId="0" xfId="65" applyNumberFormat="1" applyFont="1" applyFill="1" applyBorder="1" applyAlignment="1">
      <alignment horizontal="right"/>
    </xf>
    <xf numFmtId="172" fontId="41" fillId="26" borderId="58" xfId="65" applyNumberFormat="1" applyFont="1" applyFill="1" applyBorder="1"/>
    <xf numFmtId="172" fontId="41" fillId="26" borderId="59" xfId="65" applyNumberFormat="1" applyFont="1" applyFill="1" applyBorder="1"/>
    <xf numFmtId="172" fontId="41" fillId="26" borderId="60" xfId="65" applyNumberFormat="1" applyFont="1" applyFill="1" applyBorder="1" applyAlignment="1">
      <alignment horizontal="right"/>
    </xf>
    <xf numFmtId="172" fontId="41" fillId="26" borderId="61" xfId="58" applyNumberFormat="1" applyFont="1" applyFill="1" applyBorder="1" applyAlignment="1">
      <alignment horizontal="right"/>
    </xf>
    <xf numFmtId="172" fontId="48" fillId="0" borderId="0" xfId="65" applyNumberFormat="1" applyFont="1" applyFill="1"/>
    <xf numFmtId="0" fontId="39" fillId="0" borderId="0" xfId="0" applyFont="1" applyAlignment="1">
      <alignment horizontal="center"/>
    </xf>
    <xf numFmtId="0" fontId="8" fillId="26" borderId="15" xfId="0" applyFont="1" applyFill="1" applyBorder="1" applyAlignment="1">
      <alignment horizontal="center"/>
    </xf>
    <xf numFmtId="0" fontId="0" fillId="26" borderId="16" xfId="0" applyFill="1" applyBorder="1" applyAlignment="1">
      <alignment horizontal="center"/>
    </xf>
    <xf numFmtId="0" fontId="0" fillId="26" borderId="17" xfId="0" applyFill="1" applyBorder="1" applyAlignment="1">
      <alignment horizontal="center"/>
    </xf>
    <xf numFmtId="0" fontId="34" fillId="26" borderId="18" xfId="0" applyFont="1" applyFill="1" applyBorder="1" applyAlignment="1">
      <alignment horizontal="center"/>
    </xf>
    <xf numFmtId="0" fontId="34" fillId="26" borderId="0" xfId="0" applyFont="1" applyFill="1" applyBorder="1" applyAlignment="1">
      <alignment horizontal="center"/>
    </xf>
    <xf numFmtId="0" fontId="34" fillId="26" borderId="19" xfId="0" applyFont="1" applyFill="1" applyBorder="1" applyAlignment="1">
      <alignment horizontal="center"/>
    </xf>
    <xf numFmtId="0" fontId="3" fillId="27" borderId="13" xfId="0" applyFont="1" applyFill="1" applyBorder="1" applyAlignment="1">
      <alignment horizontal="center"/>
    </xf>
    <xf numFmtId="0" fontId="3" fillId="27" borderId="0" xfId="0" applyFont="1" applyFill="1" applyBorder="1" applyAlignment="1">
      <alignment horizontal="center"/>
    </xf>
    <xf numFmtId="0" fontId="3" fillId="27" borderId="14" xfId="0" applyFont="1" applyFill="1" applyBorder="1" applyAlignment="1">
      <alignment horizontal="center"/>
    </xf>
    <xf numFmtId="0" fontId="34" fillId="26" borderId="20" xfId="0" applyFont="1" applyFill="1" applyBorder="1" applyAlignment="1">
      <alignment horizontal="center" vertical="center"/>
    </xf>
    <xf numFmtId="0" fontId="34" fillId="26" borderId="21" xfId="0" applyFont="1" applyFill="1" applyBorder="1" applyAlignment="1">
      <alignment horizontal="center" vertical="center"/>
    </xf>
    <xf numFmtId="0" fontId="34" fillId="26" borderId="22" xfId="0" applyFont="1" applyFill="1" applyBorder="1" applyAlignment="1">
      <alignment horizontal="center" vertical="center"/>
    </xf>
    <xf numFmtId="0" fontId="42" fillId="0" borderId="15" xfId="59" applyFont="1" applyFill="1" applyBorder="1" applyAlignment="1">
      <alignment horizontal="center" vertical="center"/>
    </xf>
    <xf numFmtId="0" fontId="42" fillId="0" borderId="16" xfId="59" applyFont="1" applyFill="1" applyBorder="1" applyAlignment="1">
      <alignment horizontal="center" vertical="center"/>
    </xf>
    <xf numFmtId="0" fontId="42" fillId="0" borderId="17" xfId="59" applyFont="1" applyFill="1" applyBorder="1" applyAlignment="1">
      <alignment horizontal="center" vertical="center"/>
    </xf>
    <xf numFmtId="0" fontId="42" fillId="26" borderId="18" xfId="59" applyFont="1" applyFill="1" applyBorder="1" applyAlignment="1">
      <alignment horizontal="center" vertical="center" wrapText="1"/>
    </xf>
    <xf numFmtId="0" fontId="42" fillId="26" borderId="0" xfId="59" applyFont="1" applyFill="1" applyBorder="1" applyAlignment="1">
      <alignment horizontal="center" vertical="center" wrapText="1"/>
    </xf>
    <xf numFmtId="0" fontId="42" fillId="26" borderId="19" xfId="59" applyFont="1" applyFill="1" applyBorder="1" applyAlignment="1">
      <alignment horizontal="center" vertical="center" wrapText="1"/>
    </xf>
    <xf numFmtId="0" fontId="43" fillId="0" borderId="18" xfId="59" applyFont="1" applyFill="1" applyBorder="1" applyAlignment="1">
      <alignment horizontal="center" vertical="center" wrapText="1"/>
    </xf>
    <xf numFmtId="0" fontId="43" fillId="0" borderId="0" xfId="59" applyFont="1" applyFill="1" applyBorder="1" applyAlignment="1">
      <alignment horizontal="center" vertical="center" wrapText="1"/>
    </xf>
    <xf numFmtId="0" fontId="43" fillId="0" borderId="19" xfId="59" applyFont="1" applyFill="1" applyBorder="1" applyAlignment="1">
      <alignment horizontal="center" vertical="center" wrapText="1"/>
    </xf>
    <xf numFmtId="0" fontId="44" fillId="26" borderId="20" xfId="59" applyFont="1" applyFill="1" applyBorder="1" applyAlignment="1">
      <alignment horizontal="center" vertical="center" wrapText="1"/>
    </xf>
    <xf numFmtId="0" fontId="44" fillId="26" borderId="21" xfId="59" applyFont="1" applyFill="1" applyBorder="1" applyAlignment="1">
      <alignment horizontal="center" vertical="center" wrapText="1"/>
    </xf>
    <xf numFmtId="0" fontId="44" fillId="26" borderId="22" xfId="59" applyFont="1" applyFill="1" applyBorder="1" applyAlignment="1">
      <alignment horizontal="center" vertical="center" wrapText="1"/>
    </xf>
    <xf numFmtId="0" fontId="49" fillId="0" borderId="0" xfId="0" applyFont="1" applyAlignment="1">
      <alignment horizontal="center"/>
    </xf>
    <xf numFmtId="0" fontId="8" fillId="26" borderId="16" xfId="0" applyFont="1" applyFill="1" applyBorder="1" applyAlignment="1">
      <alignment horizontal="center"/>
    </xf>
    <xf numFmtId="0" fontId="8" fillId="26" borderId="17" xfId="0" applyFont="1" applyFill="1" applyBorder="1" applyAlignment="1">
      <alignment horizontal="center"/>
    </xf>
    <xf numFmtId="0" fontId="34" fillId="26" borderId="18" xfId="0" applyFont="1" applyFill="1" applyBorder="1" applyAlignment="1">
      <alignment horizontal="center" vertical="center"/>
    </xf>
    <xf numFmtId="0" fontId="34" fillId="26" borderId="0" xfId="0" applyFont="1" applyFill="1" applyBorder="1" applyAlignment="1">
      <alignment horizontal="center" vertical="center"/>
    </xf>
    <xf numFmtId="0" fontId="34" fillId="26" borderId="19" xfId="0" applyFont="1" applyFill="1" applyBorder="1" applyAlignment="1">
      <alignment horizontal="center" vertical="center"/>
    </xf>
    <xf numFmtId="0" fontId="34" fillId="26" borderId="20" xfId="0" applyFont="1" applyFill="1" applyBorder="1" applyAlignment="1">
      <alignment horizontal="center"/>
    </xf>
    <xf numFmtId="0" fontId="34" fillId="26" borderId="21" xfId="0" applyFont="1" applyFill="1" applyBorder="1" applyAlignment="1">
      <alignment horizontal="center"/>
    </xf>
    <xf numFmtId="0" fontId="34" fillId="26" borderId="22" xfId="0" applyFont="1" applyFill="1" applyBorder="1" applyAlignment="1">
      <alignment horizontal="center"/>
    </xf>
    <xf numFmtId="0" fontId="53" fillId="0" borderId="0" xfId="59" applyFont="1" applyBorder="1" applyAlignment="1">
      <alignment horizontal="left" wrapText="1"/>
    </xf>
    <xf numFmtId="0" fontId="60" fillId="0" borderId="0" xfId="0" applyFont="1" applyAlignment="1">
      <alignment horizontal="center"/>
    </xf>
    <xf numFmtId="0" fontId="3" fillId="26" borderId="20" xfId="0" applyFont="1" applyFill="1" applyBorder="1" applyAlignment="1">
      <alignment horizontal="center"/>
    </xf>
    <xf numFmtId="0" fontId="3" fillId="26" borderId="21" xfId="0" applyFont="1" applyFill="1" applyBorder="1" applyAlignment="1">
      <alignment horizontal="center"/>
    </xf>
    <xf numFmtId="0" fontId="3" fillId="26" borderId="22" xfId="0" applyFont="1" applyFill="1" applyBorder="1" applyAlignment="1">
      <alignment horizontal="center"/>
    </xf>
    <xf numFmtId="0" fontId="55" fillId="26" borderId="20" xfId="0" applyFont="1" applyFill="1" applyBorder="1" applyAlignment="1">
      <alignment horizontal="center"/>
    </xf>
    <xf numFmtId="0" fontId="55" fillId="26" borderId="21" xfId="0" applyFont="1" applyFill="1" applyBorder="1" applyAlignment="1">
      <alignment horizontal="center"/>
    </xf>
    <xf numFmtId="0" fontId="55" fillId="26" borderId="22" xfId="0" applyFont="1" applyFill="1" applyBorder="1" applyAlignment="1">
      <alignment horizontal="center"/>
    </xf>
    <xf numFmtId="0" fontId="66" fillId="26" borderId="16" xfId="0" applyFont="1" applyFill="1" applyBorder="1" applyAlignment="1">
      <alignment horizontal="center"/>
    </xf>
    <xf numFmtId="0" fontId="66" fillId="26" borderId="17" xfId="0" applyFont="1" applyFill="1" applyBorder="1" applyAlignment="1">
      <alignment horizontal="center"/>
    </xf>
    <xf numFmtId="0" fontId="55" fillId="26" borderId="18" xfId="0" applyFont="1" applyFill="1" applyBorder="1" applyAlignment="1">
      <alignment horizontal="center" vertical="center"/>
    </xf>
    <xf numFmtId="0" fontId="55" fillId="26" borderId="0" xfId="0" applyFont="1" applyFill="1" applyBorder="1" applyAlignment="1">
      <alignment horizontal="center" vertical="center"/>
    </xf>
    <xf numFmtId="0" fontId="55" fillId="26" borderId="19" xfId="0" applyFont="1" applyFill="1" applyBorder="1" applyAlignment="1">
      <alignment horizontal="center" vertical="center"/>
    </xf>
    <xf numFmtId="0" fontId="48" fillId="26" borderId="21" xfId="0" applyFont="1" applyFill="1" applyBorder="1" applyAlignment="1">
      <alignment horizontal="center"/>
    </xf>
    <xf numFmtId="0" fontId="48" fillId="26" borderId="22" xfId="0" applyFont="1" applyFill="1" applyBorder="1" applyAlignment="1">
      <alignment horizontal="center"/>
    </xf>
    <xf numFmtId="0" fontId="53" fillId="0" borderId="0" xfId="61" applyFont="1" applyFill="1" applyBorder="1" applyAlignment="1">
      <alignment horizontal="left" wrapText="1"/>
    </xf>
    <xf numFmtId="0" fontId="3" fillId="26" borderId="32" xfId="57" applyFont="1" applyFill="1" applyBorder="1" applyAlignment="1">
      <alignment horizontal="center" vertical="center"/>
    </xf>
    <xf numFmtId="0" fontId="3" fillId="26" borderId="33" xfId="57" applyFont="1" applyFill="1" applyBorder="1" applyAlignment="1">
      <alignment horizontal="center" vertical="center"/>
    </xf>
    <xf numFmtId="0" fontId="8" fillId="0" borderId="15" xfId="0" applyFont="1" applyFill="1" applyBorder="1" applyAlignment="1">
      <alignment horizontal="center"/>
    </xf>
    <xf numFmtId="0" fontId="8" fillId="0" borderId="16" xfId="0" applyFont="1" applyFill="1" applyBorder="1" applyAlignment="1">
      <alignment horizontal="center"/>
    </xf>
    <xf numFmtId="0" fontId="8" fillId="0" borderId="17" xfId="0" applyFont="1" applyFill="1" applyBorder="1" applyAlignment="1">
      <alignment horizontal="center"/>
    </xf>
    <xf numFmtId="0" fontId="34" fillId="0" borderId="18" xfId="0" applyFont="1" applyFill="1" applyBorder="1" applyAlignment="1">
      <alignment horizontal="center"/>
    </xf>
    <xf numFmtId="0" fontId="34" fillId="0" borderId="0" xfId="0" applyFont="1" applyFill="1" applyBorder="1" applyAlignment="1">
      <alignment horizontal="center"/>
    </xf>
    <xf numFmtId="0" fontId="34" fillId="0" borderId="19" xfId="0" applyFont="1" applyFill="1" applyBorder="1" applyAlignment="1">
      <alignment horizontal="center"/>
    </xf>
    <xf numFmtId="0" fontId="34" fillId="0" borderId="20" xfId="0" applyFont="1" applyFill="1" applyBorder="1" applyAlignment="1">
      <alignment horizontal="center" vertical="center"/>
    </xf>
    <xf numFmtId="0" fontId="34" fillId="0" borderId="21" xfId="0" applyFont="1" applyFill="1" applyBorder="1" applyAlignment="1">
      <alignment horizontal="center" vertical="center"/>
    </xf>
    <xf numFmtId="0" fontId="34" fillId="0" borderId="22" xfId="0" applyFont="1" applyFill="1" applyBorder="1" applyAlignment="1">
      <alignment horizontal="center" vertical="center"/>
    </xf>
    <xf numFmtId="0" fontId="3" fillId="27" borderId="18" xfId="0" applyFont="1" applyFill="1" applyBorder="1" applyAlignment="1">
      <alignment horizontal="center"/>
    </xf>
    <xf numFmtId="0" fontId="3" fillId="27" borderId="19" xfId="0" applyFont="1" applyFill="1" applyBorder="1" applyAlignment="1">
      <alignment horizontal="center"/>
    </xf>
    <xf numFmtId="0" fontId="3" fillId="0" borderId="15" xfId="57" applyFont="1" applyFill="1" applyBorder="1" applyAlignment="1">
      <alignment horizontal="center" vertical="center" wrapText="1"/>
    </xf>
    <xf numFmtId="0" fontId="3" fillId="0" borderId="16" xfId="57" applyFont="1" applyFill="1" applyBorder="1" applyAlignment="1">
      <alignment horizontal="center" vertical="center" wrapText="1"/>
    </xf>
    <xf numFmtId="0" fontId="3" fillId="0" borderId="17" xfId="57" applyFont="1" applyFill="1" applyBorder="1" applyAlignment="1">
      <alignment horizontal="center" vertical="center" wrapText="1"/>
    </xf>
    <xf numFmtId="0" fontId="3" fillId="0" borderId="20" xfId="57" applyFont="1" applyFill="1" applyBorder="1" applyAlignment="1">
      <alignment horizontal="center" vertical="center" wrapText="1"/>
    </xf>
    <xf numFmtId="0" fontId="3" fillId="0" borderId="21" xfId="57" applyFont="1" applyFill="1" applyBorder="1" applyAlignment="1">
      <alignment horizontal="center" vertical="center" wrapText="1"/>
    </xf>
    <xf numFmtId="0" fontId="3" fillId="0" borderId="22" xfId="57" applyFont="1" applyFill="1" applyBorder="1" applyAlignment="1">
      <alignment horizontal="center" vertical="center" wrapText="1"/>
    </xf>
    <xf numFmtId="0" fontId="3" fillId="0" borderId="26" xfId="57" applyFont="1" applyFill="1" applyBorder="1" applyAlignment="1">
      <alignment horizontal="center" vertical="center" wrapText="1"/>
    </xf>
    <xf numFmtId="0" fontId="3" fillId="0" borderId="30" xfId="57" applyFont="1" applyFill="1" applyBorder="1" applyAlignment="1">
      <alignment horizontal="center" vertical="center" wrapText="1"/>
    </xf>
    <xf numFmtId="0" fontId="48" fillId="26" borderId="0" xfId="0" applyFont="1" applyFill="1" applyAlignment="1">
      <alignment horizontal="left"/>
    </xf>
    <xf numFmtId="0" fontId="55" fillId="26" borderId="26" xfId="0" applyFont="1" applyFill="1" applyBorder="1" applyAlignment="1">
      <alignment horizontal="center" vertical="center"/>
    </xf>
    <xf numFmtId="0" fontId="55" fillId="26" borderId="27" xfId="0" applyFont="1" applyFill="1" applyBorder="1" applyAlignment="1">
      <alignment horizontal="center" vertical="center"/>
    </xf>
    <xf numFmtId="0" fontId="55" fillId="26" borderId="30" xfId="0" applyFont="1" applyFill="1" applyBorder="1" applyAlignment="1">
      <alignment horizontal="center" vertical="center"/>
    </xf>
    <xf numFmtId="0" fontId="55" fillId="26" borderId="26" xfId="0" applyFont="1" applyFill="1" applyBorder="1" applyAlignment="1">
      <alignment horizontal="center" vertical="center" wrapText="1"/>
    </xf>
    <xf numFmtId="0" fontId="55" fillId="26" borderId="27" xfId="0" applyFont="1" applyFill="1" applyBorder="1" applyAlignment="1">
      <alignment horizontal="center" vertical="center" wrapText="1"/>
    </xf>
    <xf numFmtId="0" fontId="55" fillId="26" borderId="30" xfId="0" applyFont="1" applyFill="1" applyBorder="1" applyAlignment="1">
      <alignment horizontal="center" vertical="center" wrapText="1"/>
    </xf>
    <xf numFmtId="0" fontId="55" fillId="26" borderId="18" xfId="0" applyFont="1" applyFill="1" applyBorder="1" applyAlignment="1">
      <alignment horizontal="justify" vertical="center" wrapText="1"/>
    </xf>
    <xf numFmtId="0" fontId="55" fillId="26" borderId="19" xfId="0" applyFont="1" applyFill="1" applyBorder="1" applyAlignment="1">
      <alignment horizontal="justify" vertical="center" wrapText="1"/>
    </xf>
    <xf numFmtId="0" fontId="53" fillId="26" borderId="18" xfId="0" applyFont="1" applyFill="1" applyBorder="1" applyAlignment="1">
      <alignment horizontal="justify" vertical="center" wrapText="1"/>
    </xf>
    <xf numFmtId="0" fontId="53" fillId="26" borderId="19" xfId="0" applyFont="1" applyFill="1" applyBorder="1" applyAlignment="1">
      <alignment horizontal="justify" vertical="center" wrapText="1"/>
    </xf>
    <xf numFmtId="0" fontId="57" fillId="26" borderId="20" xfId="0" applyFont="1" applyFill="1" applyBorder="1" applyAlignment="1">
      <alignment horizontal="justify" vertical="center" wrapText="1"/>
    </xf>
    <xf numFmtId="0" fontId="57" fillId="26" borderId="22" xfId="0" applyFont="1" applyFill="1" applyBorder="1" applyAlignment="1">
      <alignment horizontal="justify" vertical="center" wrapText="1"/>
    </xf>
    <xf numFmtId="0" fontId="48" fillId="26" borderId="0" xfId="0" applyFont="1" applyFill="1" applyAlignment="1">
      <alignment horizontal="left" wrapText="1"/>
    </xf>
    <xf numFmtId="0" fontId="57" fillId="26" borderId="18" xfId="0" applyFont="1" applyFill="1" applyBorder="1" applyAlignment="1">
      <alignment horizontal="justify" vertical="center" wrapText="1"/>
    </xf>
    <xf numFmtId="0" fontId="57" fillId="26" borderId="19" xfId="0" applyFont="1" applyFill="1" applyBorder="1" applyAlignment="1">
      <alignment horizontal="justify" vertical="center" wrapText="1"/>
    </xf>
    <xf numFmtId="0" fontId="53" fillId="26" borderId="18" xfId="0" applyFont="1" applyFill="1" applyBorder="1" applyAlignment="1">
      <alignment horizontal="left" vertical="center" wrapText="1"/>
    </xf>
    <xf numFmtId="0" fontId="53" fillId="26" borderId="19" xfId="0" applyFont="1" applyFill="1" applyBorder="1" applyAlignment="1">
      <alignment horizontal="left" vertical="center" wrapText="1"/>
    </xf>
    <xf numFmtId="0" fontId="53" fillId="26" borderId="18" xfId="0" applyFont="1" applyFill="1" applyBorder="1" applyAlignment="1">
      <alignment horizontal="left" vertical="center" wrapText="1" indent="1"/>
    </xf>
    <xf numFmtId="0" fontId="53" fillId="26" borderId="19" xfId="0" applyFont="1" applyFill="1" applyBorder="1" applyAlignment="1">
      <alignment horizontal="left" vertical="center" wrapText="1" indent="1"/>
    </xf>
    <xf numFmtId="0" fontId="55" fillId="26" borderId="15" xfId="0" applyFont="1" applyFill="1" applyBorder="1" applyAlignment="1">
      <alignment horizontal="justify" vertical="center" wrapText="1"/>
    </xf>
    <xf numFmtId="0" fontId="55" fillId="26" borderId="17" xfId="0" applyFont="1" applyFill="1" applyBorder="1" applyAlignment="1">
      <alignment horizontal="justify"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7" xfId="0" applyFont="1" applyFill="1" applyBorder="1" applyAlignment="1">
      <alignment horizontal="center" vertical="center"/>
    </xf>
    <xf numFmtId="0" fontId="34" fillId="26" borderId="18" xfId="0" applyFont="1" applyFill="1" applyBorder="1" applyAlignment="1">
      <alignment horizontal="center" vertical="center" wrapText="1"/>
    </xf>
    <xf numFmtId="0" fontId="34" fillId="26" borderId="0" xfId="0" applyFont="1" applyFill="1" applyBorder="1" applyAlignment="1">
      <alignment horizontal="center" vertical="center" wrapText="1"/>
    </xf>
    <xf numFmtId="0" fontId="34" fillId="26" borderId="19"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26" borderId="20" xfId="0" applyFont="1" applyFill="1" applyBorder="1" applyAlignment="1">
      <alignment horizontal="center" vertical="center" wrapText="1"/>
    </xf>
    <xf numFmtId="0" fontId="34" fillId="26" borderId="21" xfId="0" applyFont="1" applyFill="1" applyBorder="1" applyAlignment="1">
      <alignment horizontal="center" vertical="center" wrapText="1"/>
    </xf>
    <xf numFmtId="0" fontId="34" fillId="26" borderId="22" xfId="0" applyFont="1" applyFill="1" applyBorder="1" applyAlignment="1">
      <alignment horizontal="center" vertical="center" wrapText="1"/>
    </xf>
    <xf numFmtId="0" fontId="55" fillId="26" borderId="15" xfId="0" applyFont="1" applyFill="1" applyBorder="1" applyAlignment="1">
      <alignment horizontal="center" vertical="center" wrapText="1"/>
    </xf>
    <xf numFmtId="0" fontId="55" fillId="26" borderId="17" xfId="0" applyFont="1" applyFill="1" applyBorder="1" applyAlignment="1">
      <alignment horizontal="center" vertical="center" wrapText="1"/>
    </xf>
    <xf numFmtId="0" fontId="55" fillId="26" borderId="20" xfId="0" applyFont="1" applyFill="1" applyBorder="1" applyAlignment="1">
      <alignment horizontal="center" vertical="center" wrapText="1"/>
    </xf>
    <xf numFmtId="0" fontId="55" fillId="26" borderId="22" xfId="0" applyFont="1" applyFill="1" applyBorder="1" applyAlignment="1">
      <alignment horizontal="center" vertical="center" wrapText="1"/>
    </xf>
    <xf numFmtId="0" fontId="43" fillId="0" borderId="15" xfId="0" applyFont="1" applyFill="1" applyBorder="1" applyAlignment="1">
      <alignment horizontal="center" vertical="center"/>
    </xf>
    <xf numFmtId="0" fontId="43" fillId="0" borderId="16" xfId="0" applyFont="1" applyFill="1" applyBorder="1" applyAlignment="1">
      <alignment horizontal="center" vertical="center"/>
    </xf>
    <xf numFmtId="0" fontId="43" fillId="0" borderId="17" xfId="0" applyFont="1" applyFill="1" applyBorder="1" applyAlignment="1">
      <alignment horizontal="center" vertical="center"/>
    </xf>
    <xf numFmtId="0" fontId="73" fillId="0" borderId="18"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73" fillId="0" borderId="19" xfId="0" applyFont="1" applyFill="1" applyBorder="1" applyAlignment="1">
      <alignment horizontal="center" vertical="center" wrapText="1"/>
    </xf>
    <xf numFmtId="0" fontId="44" fillId="0" borderId="18"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26" borderId="20" xfId="0" applyFont="1" applyFill="1" applyBorder="1" applyAlignment="1">
      <alignment horizontal="center" vertical="center" wrapText="1"/>
    </xf>
    <xf numFmtId="0" fontId="44" fillId="26" borderId="21" xfId="0" applyFont="1" applyFill="1" applyBorder="1" applyAlignment="1">
      <alignment horizontal="center" vertical="center" wrapText="1"/>
    </xf>
    <xf numFmtId="0" fontId="44" fillId="26" borderId="22" xfId="0" applyFont="1" applyFill="1" applyBorder="1" applyAlignment="1">
      <alignment horizontal="center" vertical="center" wrapText="1"/>
    </xf>
    <xf numFmtId="0" fontId="76" fillId="0" borderId="18" xfId="0" applyFont="1" applyBorder="1" applyAlignment="1">
      <alignment horizontal="justify" vertical="justify" wrapText="1"/>
    </xf>
    <xf numFmtId="0" fontId="76" fillId="0" borderId="0" xfId="0" applyFont="1" applyBorder="1" applyAlignment="1">
      <alignment horizontal="justify" vertical="justify" wrapText="1"/>
    </xf>
    <xf numFmtId="0" fontId="76" fillId="0" borderId="19" xfId="0" applyFont="1" applyBorder="1" applyAlignment="1">
      <alignment horizontal="justify" vertical="justify" wrapText="1"/>
    </xf>
    <xf numFmtId="0" fontId="60" fillId="0" borderId="0" xfId="0" applyFont="1" applyFill="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78" fillId="0" borderId="47" xfId="60" applyFont="1" applyFill="1" applyBorder="1" applyAlignment="1">
      <alignment horizontal="left" vertical="center" wrapText="1"/>
    </xf>
    <xf numFmtId="0" fontId="78" fillId="0" borderId="48" xfId="60" applyFont="1" applyFill="1" applyBorder="1" applyAlignment="1">
      <alignment horizontal="left" vertical="center" wrapText="1"/>
    </xf>
    <xf numFmtId="0" fontId="49" fillId="0" borderId="0" xfId="0" applyFont="1" applyFill="1" applyAlignment="1">
      <alignment horizontal="center"/>
    </xf>
    <xf numFmtId="0" fontId="78" fillId="0" borderId="43" xfId="60" applyFont="1" applyFill="1" applyBorder="1" applyAlignment="1">
      <alignment horizontal="left" vertical="center" wrapText="1"/>
    </xf>
    <xf numFmtId="0" fontId="78" fillId="0" borderId="11" xfId="60" applyFont="1" applyFill="1" applyBorder="1" applyAlignment="1">
      <alignment horizontal="left" vertical="center" wrapText="1"/>
    </xf>
    <xf numFmtId="169" fontId="78" fillId="0" borderId="36" xfId="64" applyNumberFormat="1" applyFont="1" applyFill="1" applyBorder="1" applyAlignment="1" applyProtection="1">
      <alignment horizontal="center"/>
    </xf>
    <xf numFmtId="169" fontId="78" fillId="0" borderId="37" xfId="64" applyNumberFormat="1" applyFont="1" applyFill="1" applyBorder="1" applyAlignment="1" applyProtection="1">
      <alignment horizontal="center"/>
    </xf>
    <xf numFmtId="169" fontId="49" fillId="0" borderId="36" xfId="64" applyNumberFormat="1" applyFont="1" applyFill="1" applyBorder="1" applyAlignment="1" applyProtection="1">
      <alignment horizontal="center"/>
    </xf>
    <xf numFmtId="169" fontId="49" fillId="0" borderId="37" xfId="64" applyNumberFormat="1" applyFont="1" applyFill="1" applyBorder="1" applyAlignment="1" applyProtection="1">
      <alignment horizontal="center"/>
    </xf>
    <xf numFmtId="0" fontId="78" fillId="0" borderId="43" xfId="60" applyFont="1" applyFill="1" applyBorder="1" applyAlignment="1" applyProtection="1">
      <alignment horizontal="left" vertical="center" wrapText="1"/>
    </xf>
    <xf numFmtId="0" fontId="78" fillId="0" borderId="11" xfId="60" applyFont="1" applyFill="1" applyBorder="1" applyAlignment="1" applyProtection="1">
      <alignment horizontal="left" vertical="center" wrapText="1"/>
    </xf>
    <xf numFmtId="0" fontId="8" fillId="0" borderId="15" xfId="63" applyFont="1" applyFill="1" applyBorder="1" applyAlignment="1">
      <alignment horizontal="center"/>
    </xf>
    <xf numFmtId="0" fontId="8" fillId="0" borderId="16" xfId="63" applyFont="1" applyFill="1" applyBorder="1" applyAlignment="1">
      <alignment horizontal="center"/>
    </xf>
    <xf numFmtId="0" fontId="8" fillId="0" borderId="17" xfId="63" applyFont="1" applyFill="1" applyBorder="1" applyAlignment="1">
      <alignment horizontal="center"/>
    </xf>
    <xf numFmtId="0" fontId="34" fillId="0" borderId="18" xfId="63" applyFont="1" applyFill="1" applyBorder="1" applyAlignment="1">
      <alignment horizontal="center"/>
    </xf>
    <xf numFmtId="0" fontId="34" fillId="0" borderId="0" xfId="63" applyFont="1" applyFill="1" applyBorder="1" applyAlignment="1">
      <alignment horizontal="center"/>
    </xf>
    <xf numFmtId="0" fontId="34" fillId="0" borderId="19" xfId="63" applyFont="1" applyFill="1" applyBorder="1" applyAlignment="1">
      <alignment horizontal="center"/>
    </xf>
    <xf numFmtId="0" fontId="55" fillId="0" borderId="18" xfId="63" applyFont="1" applyFill="1" applyBorder="1" applyAlignment="1">
      <alignment horizontal="center"/>
    </xf>
    <xf numFmtId="0" fontId="55" fillId="0" borderId="0" xfId="63" applyFont="1" applyFill="1" applyBorder="1" applyAlignment="1">
      <alignment horizontal="center"/>
    </xf>
    <xf numFmtId="0" fontId="55" fillId="0" borderId="19" xfId="63" applyFont="1" applyFill="1" applyBorder="1" applyAlignment="1">
      <alignment horizontal="center"/>
    </xf>
    <xf numFmtId="0" fontId="34" fillId="0" borderId="18" xfId="63" applyFont="1" applyFill="1" applyBorder="1" applyAlignment="1">
      <alignment horizontal="center" vertical="center"/>
    </xf>
    <xf numFmtId="0" fontId="34" fillId="0" borderId="0" xfId="63" applyFont="1" applyFill="1" applyBorder="1" applyAlignment="1">
      <alignment horizontal="center" vertical="center"/>
    </xf>
    <xf numFmtId="0" fontId="34" fillId="0" borderId="19" xfId="63" applyFont="1" applyFill="1" applyBorder="1" applyAlignment="1">
      <alignment horizontal="center" vertical="center"/>
    </xf>
    <xf numFmtId="0" fontId="55" fillId="0" borderId="20" xfId="63" applyFont="1" applyFill="1" applyBorder="1" applyAlignment="1">
      <alignment horizontal="center"/>
    </xf>
    <xf numFmtId="0" fontId="55" fillId="0" borderId="21" xfId="63" applyFont="1" applyFill="1" applyBorder="1" applyAlignment="1">
      <alignment horizontal="center"/>
    </xf>
    <xf numFmtId="0" fontId="55" fillId="0" borderId="22" xfId="63" applyFont="1" applyFill="1" applyBorder="1" applyAlignment="1">
      <alignment horizontal="center"/>
    </xf>
    <xf numFmtId="0" fontId="48" fillId="0" borderId="15" xfId="0" applyFont="1" applyFill="1" applyBorder="1" applyAlignment="1">
      <alignment horizontal="center"/>
    </xf>
    <xf numFmtId="0" fontId="48" fillId="0" borderId="16" xfId="0" applyFont="1" applyFill="1" applyBorder="1" applyAlignment="1">
      <alignment horizontal="center"/>
    </xf>
    <xf numFmtId="0" fontId="48" fillId="0" borderId="17" xfId="0" applyFont="1" applyFill="1" applyBorder="1" applyAlignment="1">
      <alignment horizontal="center"/>
    </xf>
    <xf numFmtId="172" fontId="8" fillId="26" borderId="15" xfId="65" applyNumberFormat="1" applyFont="1" applyFill="1" applyBorder="1" applyAlignment="1">
      <alignment horizontal="center" wrapText="1"/>
    </xf>
    <xf numFmtId="172" fontId="8" fillId="26" borderId="16" xfId="65" applyNumberFormat="1" applyFont="1" applyFill="1" applyBorder="1" applyAlignment="1">
      <alignment horizontal="center"/>
    </xf>
    <xf numFmtId="172" fontId="8" fillId="26" borderId="17" xfId="65" applyNumberFormat="1" applyFont="1" applyFill="1" applyBorder="1" applyAlignment="1">
      <alignment horizontal="center"/>
    </xf>
    <xf numFmtId="172" fontId="3" fillId="26" borderId="18" xfId="65" applyNumberFormat="1" applyFont="1" applyFill="1" applyBorder="1" applyAlignment="1">
      <alignment horizontal="center"/>
    </xf>
    <xf numFmtId="172" fontId="3" fillId="26" borderId="0" xfId="65" applyNumberFormat="1" applyFont="1" applyFill="1" applyBorder="1" applyAlignment="1">
      <alignment horizontal="center"/>
    </xf>
    <xf numFmtId="172" fontId="3" fillId="26" borderId="19" xfId="65" applyNumberFormat="1" applyFont="1" applyFill="1" applyBorder="1" applyAlignment="1">
      <alignment horizontal="center"/>
    </xf>
    <xf numFmtId="0" fontId="8" fillId="0" borderId="15" xfId="65" applyFont="1" applyFill="1" applyBorder="1" applyAlignment="1">
      <alignment horizontal="center" wrapText="1"/>
    </xf>
    <xf numFmtId="0" fontId="8" fillId="0" borderId="16" xfId="65" applyFont="1" applyFill="1" applyBorder="1" applyAlignment="1">
      <alignment horizontal="center" wrapText="1"/>
    </xf>
    <xf numFmtId="0" fontId="8" fillId="0" borderId="17" xfId="65" applyFont="1" applyFill="1" applyBorder="1" applyAlignment="1">
      <alignment horizontal="center" wrapText="1"/>
    </xf>
    <xf numFmtId="0" fontId="34" fillId="0" borderId="18" xfId="65" applyFont="1" applyFill="1" applyBorder="1" applyAlignment="1">
      <alignment horizontal="center"/>
    </xf>
    <xf numFmtId="0" fontId="34" fillId="0" borderId="0" xfId="65" applyFont="1" applyFill="1" applyBorder="1" applyAlignment="1">
      <alignment horizontal="center"/>
    </xf>
    <xf numFmtId="0" fontId="34" fillId="0" borderId="19" xfId="65" applyFont="1" applyFill="1" applyBorder="1" applyAlignment="1">
      <alignment horizontal="center"/>
    </xf>
    <xf numFmtId="0" fontId="55" fillId="0" borderId="18" xfId="65" applyFont="1" applyFill="1" applyBorder="1" applyAlignment="1">
      <alignment horizontal="center"/>
    </xf>
    <xf numFmtId="0" fontId="55" fillId="0" borderId="0" xfId="65" applyFont="1" applyFill="1" applyBorder="1" applyAlignment="1">
      <alignment horizontal="center"/>
    </xf>
    <xf numFmtId="0" fontId="55" fillId="0" borderId="19" xfId="65" applyFont="1" applyFill="1" applyBorder="1" applyAlignment="1">
      <alignment horizontal="center"/>
    </xf>
    <xf numFmtId="172" fontId="48" fillId="0" borderId="54" xfId="58" applyNumberFormat="1" applyFont="1" applyFill="1" applyBorder="1" applyAlignment="1">
      <alignment horizontal="right"/>
    </xf>
    <xf numFmtId="172" fontId="48" fillId="0" borderId="19" xfId="58" applyNumberFormat="1" applyFont="1" applyFill="1" applyBorder="1" applyAlignment="1">
      <alignment horizontal="right"/>
    </xf>
    <xf numFmtId="172" fontId="48" fillId="0" borderId="53" xfId="58" applyNumberFormat="1" applyFont="1" applyFill="1" applyBorder="1" applyAlignment="1">
      <alignment horizontal="right"/>
    </xf>
    <xf numFmtId="172" fontId="48" fillId="0" borderId="55" xfId="58" applyNumberFormat="1" applyFont="1" applyFill="1" applyBorder="1" applyAlignment="1">
      <alignment horizontal="right"/>
    </xf>
    <xf numFmtId="172" fontId="48" fillId="0" borderId="56" xfId="58" applyNumberFormat="1" applyFont="1" applyFill="1" applyBorder="1" applyAlignment="1">
      <alignment horizontal="right"/>
    </xf>
    <xf numFmtId="172" fontId="48" fillId="0" borderId="42" xfId="58" applyNumberFormat="1" applyFont="1" applyFill="1" applyBorder="1" applyAlignment="1">
      <alignment horizontal="right"/>
    </xf>
  </cellXfs>
  <cellStyles count="66">
    <cellStyle name="Buena"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Entrada" xfId="8" builtinId="20" customBuiltin="1"/>
    <cellStyle name="Incorrecto" xfId="6" builtinId="27" customBuiltin="1"/>
    <cellStyle name="Millares" xfId="58" builtinId="3"/>
    <cellStyle name="Millares 3" xfId="64"/>
    <cellStyle name="Neutral" xfId="7" builtinId="28" customBuiltin="1"/>
    <cellStyle name="Normal" xfId="0" builtinId="0" customBuiltin="1"/>
    <cellStyle name="Normal 2" xfId="59"/>
    <cellStyle name="Normal 3" xfId="57"/>
    <cellStyle name="Normal 4" xfId="60"/>
    <cellStyle name="Normal 5" xfId="61"/>
    <cellStyle name="Normal 6" xfId="62"/>
    <cellStyle name="Normal 8" xfId="63"/>
    <cellStyle name="Normal 9" xfId="65"/>
    <cellStyle name="Notas" xfId="14" builtinId="10" customBuiltin="1"/>
    <cellStyle name="Salida" xfId="9" builtinId="21" customBuiltin="1"/>
    <cellStyle name="SAPBEXaggData" xfId="17"/>
    <cellStyle name="SAPBEXaggDataEmph" xfId="18"/>
    <cellStyle name="SAPBEXaggItem" xfId="19"/>
    <cellStyle name="SAPBEXaggItemX" xfId="20"/>
    <cellStyle name="SAPBEXchaText" xfId="21"/>
    <cellStyle name="SAPBEXexcBad7" xfId="22"/>
    <cellStyle name="SAPBEXexcBad8" xfId="23"/>
    <cellStyle name="SAPBEXexcBad9" xfId="24"/>
    <cellStyle name="SAPBEXexcCritical4" xfId="25"/>
    <cellStyle name="SAPBEXexcCritical5" xfId="26"/>
    <cellStyle name="SAPBEXexcCritical6" xfId="27"/>
    <cellStyle name="SAPBEXexcGood1" xfId="28"/>
    <cellStyle name="SAPBEXexcGood2" xfId="29"/>
    <cellStyle name="SAPBEXexcGood3" xfId="30"/>
    <cellStyle name="SAPBEXfilterDrill" xfId="31"/>
    <cellStyle name="SAPBEXfilterItem" xfId="32"/>
    <cellStyle name="SAPBEXfilterText" xfId="33"/>
    <cellStyle name="SAPBEXformats" xfId="34"/>
    <cellStyle name="SAPBEXheaderItem" xfId="35"/>
    <cellStyle name="SAPBEXheaderText" xfId="36"/>
    <cellStyle name="SAPBEXHLevel0" xfId="37"/>
    <cellStyle name="SAPBEXHLevel0X" xfId="38"/>
    <cellStyle name="SAPBEXHLevel1" xfId="39"/>
    <cellStyle name="SAPBEXHLevel1X" xfId="40"/>
    <cellStyle name="SAPBEXHLevel2" xfId="41"/>
    <cellStyle name="SAPBEXHLevel2X" xfId="42"/>
    <cellStyle name="SAPBEXHLevel3" xfId="43"/>
    <cellStyle name="SAPBEXHLevel3X" xfId="44"/>
    <cellStyle name="SAPBEXinputData" xfId="45"/>
    <cellStyle name="SAPBEXresData" xfId="46"/>
    <cellStyle name="SAPBEXresDataEmph" xfId="47"/>
    <cellStyle name="SAPBEXresItem" xfId="48"/>
    <cellStyle name="SAPBEXresItemX" xfId="49"/>
    <cellStyle name="SAPBEXstdData" xfId="50"/>
    <cellStyle name="SAPBEXstdDataEmph" xfId="51"/>
    <cellStyle name="SAPBEXstdItem" xfId="52"/>
    <cellStyle name="SAPBEXstdItemX" xfId="53"/>
    <cellStyle name="SAPBEXtitle" xfId="54"/>
    <cellStyle name="SAPBEXundefined" xfId="55"/>
    <cellStyle name="Sheet Title" xfId="56"/>
    <cellStyle name="Texto de advertencia" xfId="13" builtinId="11" customBuiltin="1"/>
    <cellStyle name="Texto explicativo" xfId="15" builtinId="53" customBuiltin="1"/>
    <cellStyle name="Título 2" xfId="2" builtinId="17" customBuiltin="1"/>
    <cellStyle name="Título 3" xfId="3" builtinId="18" customBuiltin="1"/>
    <cellStyle name="Total" xfId="16"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mruColors>
      <color rgb="FF2189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gi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2</xdr:row>
      <xdr:rowOff>66215</xdr:rowOff>
    </xdr:from>
    <xdr:to>
      <xdr:col>1</xdr:col>
      <xdr:colOff>741170</xdr:colOff>
      <xdr:row>5</xdr:row>
      <xdr:rowOff>273844</xdr:rowOff>
    </xdr:to>
    <xdr:pic>
      <xdr:nvPicPr>
        <xdr:cNvPr id="9" name="8 Imagen">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57" y="66215"/>
          <a:ext cx="884044" cy="874379"/>
        </a:xfrm>
        <a:prstGeom prst="rect">
          <a:avLst/>
        </a:prstGeom>
      </xdr:spPr>
    </xdr:pic>
    <xdr:clientData/>
  </xdr:twoCellAnchor>
  <xdr:twoCellAnchor>
    <xdr:from>
      <xdr:col>17</xdr:col>
      <xdr:colOff>0</xdr:colOff>
      <xdr:row>0</xdr:row>
      <xdr:rowOff>0</xdr:rowOff>
    </xdr:from>
    <xdr:to>
      <xdr:col>17</xdr:col>
      <xdr:colOff>596900</xdr:colOff>
      <xdr:row>0</xdr:row>
      <xdr:rowOff>0</xdr:rowOff>
    </xdr:to>
    <xdr:pic macro="[1]!DesignIconClicked">
      <xdr:nvPicPr>
        <xdr:cNvPr id="8" name="BExGNTTP1JT5XUU86O2TJYM5MBET" hidden="1">
          <a:extLst>
            <a:ext uri="{FF2B5EF4-FFF2-40B4-BE49-F238E27FC236}">
              <a16:creationId xmlns:a16="http://schemas.microsoft.com/office/drawing/2014/main" xmlns="" id="{00000000-0008-0000-0000-000008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59250" y="0"/>
          <a:ext cx="596900" cy="0"/>
        </a:xfrm>
        <a:prstGeom prst="rect">
          <a:avLst/>
        </a:prstGeom>
      </xdr:spPr>
    </xdr:pic>
    <xdr:clientData/>
  </xdr:twoCellAnchor>
  <xdr:twoCellAnchor>
    <xdr:from>
      <xdr:col>0</xdr:col>
      <xdr:colOff>0</xdr:colOff>
      <xdr:row>0</xdr:row>
      <xdr:rowOff>0</xdr:rowOff>
    </xdr:from>
    <xdr:to>
      <xdr:col>0</xdr:col>
      <xdr:colOff>234950</xdr:colOff>
      <xdr:row>0</xdr:row>
      <xdr:rowOff>0</xdr:rowOff>
    </xdr:to>
    <xdr:pic macro="[1]!DesignIconClicked">
      <xdr:nvPicPr>
        <xdr:cNvPr id="3" name="BEx3OCY523CMXS82QEU905BJNG7A" descr="infofield_prev.gif" hidden="1">
          <a:extLst>
            <a:ext uri="{FF2B5EF4-FFF2-40B4-BE49-F238E27FC236}">
              <a16:creationId xmlns:a16="http://schemas.microsoft.com/office/drawing/2014/main" xmlns="" id="{00000000-0008-0000-0000-000003000000}"/>
            </a:ext>
          </a:extLst>
        </xdr:cNvPr>
        <xdr:cNvPicPr>
          <a:picLocks/>
        </xdr:cNvPicPr>
      </xdr:nvPicPr>
      <xdr:blipFill>
        <a:blip xmlns:r="http://schemas.openxmlformats.org/officeDocument/2006/relationships" r:embed="rId3"/>
        <a:stretch>
          <a:fillRect/>
        </a:stretch>
      </xdr:blipFill>
      <xdr:spPr>
        <a:xfrm>
          <a:off x="0" y="0"/>
          <a:ext cx="234950" cy="0"/>
        </a:xfrm>
        <a:prstGeom prst="rect">
          <a:avLst/>
        </a:prstGeom>
      </xdr:spPr>
    </xdr:pic>
    <xdr:clientData/>
  </xdr:twoCellAnchor>
  <xdr:twoCellAnchor>
    <xdr:from>
      <xdr:col>1</xdr:col>
      <xdr:colOff>0</xdr:colOff>
      <xdr:row>0</xdr:row>
      <xdr:rowOff>0</xdr:rowOff>
    </xdr:from>
    <xdr:to>
      <xdr:col>1</xdr:col>
      <xdr:colOff>4083050</xdr:colOff>
      <xdr:row>0</xdr:row>
      <xdr:rowOff>0</xdr:rowOff>
    </xdr:to>
    <xdr:pic macro="[1]!DesignIconClicked">
      <xdr:nvPicPr>
        <xdr:cNvPr id="4" name="BExEWBMTDQQ2M8UDDGTQ4NA548AX" descr="infofield_prev.gif" hidden="1">
          <a:extLst>
            <a:ext uri="{FF2B5EF4-FFF2-40B4-BE49-F238E27FC236}">
              <a16:creationId xmlns:a16="http://schemas.microsoft.com/office/drawing/2014/main" xmlns="" id="{00000000-0008-0000-0000-000004000000}"/>
            </a:ext>
          </a:extLst>
        </xdr:cNvPr>
        <xdr:cNvPicPr>
          <a:picLocks/>
        </xdr:cNvPicPr>
      </xdr:nvPicPr>
      <xdr:blipFill>
        <a:blip xmlns:r="http://schemas.openxmlformats.org/officeDocument/2006/relationships" r:embed="rId3"/>
        <a:stretch>
          <a:fillRect/>
        </a:stretch>
      </xdr:blipFill>
      <xdr:spPr>
        <a:xfrm>
          <a:off x="247650" y="0"/>
          <a:ext cx="4083050" cy="0"/>
        </a:xfrm>
        <a:prstGeom prst="rect">
          <a:avLst/>
        </a:prstGeom>
      </xdr:spPr>
    </xdr:pic>
    <xdr:clientData/>
  </xdr:twoCellAnchor>
  <xdr:twoCellAnchor>
    <xdr:from>
      <xdr:col>2</xdr:col>
      <xdr:colOff>0</xdr:colOff>
      <xdr:row>0</xdr:row>
      <xdr:rowOff>0</xdr:rowOff>
    </xdr:from>
    <xdr:to>
      <xdr:col>2</xdr:col>
      <xdr:colOff>0</xdr:colOff>
      <xdr:row>0</xdr:row>
      <xdr:rowOff>0</xdr:rowOff>
    </xdr:to>
    <xdr:pic macro="[1]!DesignIconClicked">
      <xdr:nvPicPr>
        <xdr:cNvPr id="5" name="BEx1SDD5LP38CAGC8DJ9E1OIRQCU" descr="infofield_prev.gif" hidden="1">
          <a:extLst>
            <a:ext uri="{FF2B5EF4-FFF2-40B4-BE49-F238E27FC236}">
              <a16:creationId xmlns:a16="http://schemas.microsoft.com/office/drawing/2014/main" xmlns="" id="{00000000-0008-0000-0000-000005000000}"/>
            </a:ext>
          </a:extLst>
        </xdr:cNvPr>
        <xdr:cNvPicPr>
          <a:picLocks/>
        </xdr:cNvPicPr>
      </xdr:nvPicPr>
      <xdr:blipFill>
        <a:blip xmlns:r="http://schemas.openxmlformats.org/officeDocument/2006/relationships" r:embed="rId3"/>
        <a:stretch>
          <a:fillRect/>
        </a:stretch>
      </xdr:blipFill>
      <xdr:spPr>
        <a:xfrm>
          <a:off x="4343400" y="0"/>
          <a:ext cx="0" cy="0"/>
        </a:xfrm>
        <a:prstGeom prst="rect">
          <a:avLst/>
        </a:prstGeom>
      </xdr:spPr>
    </xdr:pic>
    <xdr:clientData/>
  </xdr:twoCellAnchor>
  <xdr:twoCellAnchor>
    <xdr:from>
      <xdr:col>2</xdr:col>
      <xdr:colOff>0</xdr:colOff>
      <xdr:row>0</xdr:row>
      <xdr:rowOff>0</xdr:rowOff>
    </xdr:from>
    <xdr:to>
      <xdr:col>3</xdr:col>
      <xdr:colOff>1282700</xdr:colOff>
      <xdr:row>0</xdr:row>
      <xdr:rowOff>0</xdr:rowOff>
    </xdr:to>
    <xdr:pic macro="[1]!DesignIconClicked">
      <xdr:nvPicPr>
        <xdr:cNvPr id="6" name="BExIT6494J6QPOBAY5KXPD6XMYD2" descr="infofield_prev.gif" hidden="1">
          <a:extLst>
            <a:ext uri="{FF2B5EF4-FFF2-40B4-BE49-F238E27FC236}">
              <a16:creationId xmlns:a16="http://schemas.microsoft.com/office/drawing/2014/main" xmlns="" id="{00000000-0008-0000-0000-000006000000}"/>
            </a:ext>
          </a:extLst>
        </xdr:cNvPr>
        <xdr:cNvPicPr>
          <a:picLocks/>
        </xdr:cNvPicPr>
      </xdr:nvPicPr>
      <xdr:blipFill>
        <a:blip xmlns:r="http://schemas.openxmlformats.org/officeDocument/2006/relationships" r:embed="rId3"/>
        <a:stretch>
          <a:fillRect/>
        </a:stretch>
      </xdr:blipFill>
      <xdr:spPr>
        <a:xfrm>
          <a:off x="4343400" y="0"/>
          <a:ext cx="1282700" cy="0"/>
        </a:xfrm>
        <a:prstGeom prst="rect">
          <a:avLst/>
        </a:prstGeom>
      </xdr:spPr>
    </xdr:pic>
    <xdr:clientData/>
  </xdr:twoCellAnchor>
  <xdr:twoCellAnchor>
    <xdr:from>
      <xdr:col>5</xdr:col>
      <xdr:colOff>0</xdr:colOff>
      <xdr:row>0</xdr:row>
      <xdr:rowOff>0</xdr:rowOff>
    </xdr:from>
    <xdr:to>
      <xdr:col>5</xdr:col>
      <xdr:colOff>196850</xdr:colOff>
      <xdr:row>0</xdr:row>
      <xdr:rowOff>0</xdr:rowOff>
    </xdr:to>
    <xdr:pic macro="[1]!DesignIconClicked">
      <xdr:nvPicPr>
        <xdr:cNvPr id="2" name="BExMQQJ245WT4VB5OXEDH8H8R5E9" hidden="1">
          <a:extLst>
            <a:ext uri="{FF2B5EF4-FFF2-40B4-BE49-F238E27FC236}">
              <a16:creationId xmlns:a16="http://schemas.microsoft.com/office/drawing/2014/main" xmlns="" id="{00000000-0008-0000-0000-00000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86575" y="0"/>
          <a:ext cx="196850" cy="0"/>
        </a:xfrm>
        <a:prstGeom prst="rect">
          <a:avLst/>
        </a:prstGeom>
      </xdr:spPr>
    </xdr:pic>
    <xdr:clientData/>
  </xdr:twoCellAnchor>
  <xdr:twoCellAnchor>
    <xdr:from>
      <xdr:col>16</xdr:col>
      <xdr:colOff>0</xdr:colOff>
      <xdr:row>0</xdr:row>
      <xdr:rowOff>0</xdr:rowOff>
    </xdr:from>
    <xdr:to>
      <xdr:col>16</xdr:col>
      <xdr:colOff>596900</xdr:colOff>
      <xdr:row>0</xdr:row>
      <xdr:rowOff>0</xdr:rowOff>
    </xdr:to>
    <xdr:pic macro="[1]!DesignIconClicked">
      <xdr:nvPicPr>
        <xdr:cNvPr id="7" name="BExEZ3A5PLVQL3R2GXZOL0XPQJ8P" hidden="1">
          <a:extLst>
            <a:ext uri="{FF2B5EF4-FFF2-40B4-BE49-F238E27FC236}">
              <a16:creationId xmlns:a16="http://schemas.microsoft.com/office/drawing/2014/main" xmlns="" id="{00000000-0008-0000-0000-000007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249650" y="0"/>
          <a:ext cx="596900" cy="0"/>
        </a:xfrm>
        <a:prstGeom prst="rect">
          <a:avLst/>
        </a:prstGeom>
      </xdr:spPr>
    </xdr:pic>
    <xdr:clientData/>
  </xdr:twoCellAnchor>
  <xdr:twoCellAnchor>
    <xdr:from>
      <xdr:col>3</xdr:col>
      <xdr:colOff>581798</xdr:colOff>
      <xdr:row>58</xdr:row>
      <xdr:rowOff>114300</xdr:rowOff>
    </xdr:from>
    <xdr:to>
      <xdr:col>8</xdr:col>
      <xdr:colOff>1794811</xdr:colOff>
      <xdr:row>58</xdr:row>
      <xdr:rowOff>119063</xdr:rowOff>
    </xdr:to>
    <xdr:cxnSp macro="">
      <xdr:nvCxnSpPr>
        <xdr:cNvPr id="10" name="9 Conector recto"/>
        <xdr:cNvCxnSpPr/>
      </xdr:nvCxnSpPr>
      <xdr:spPr>
        <a:xfrm>
          <a:off x="4618017" y="10698956"/>
          <a:ext cx="3832388"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752475</xdr:colOff>
      <xdr:row>3</xdr:row>
      <xdr:rowOff>120881</xdr:rowOff>
    </xdr:to>
    <xdr:pic>
      <xdr:nvPicPr>
        <xdr:cNvPr id="2" name="6 Imagen">
          <a:extLst>
            <a:ext uri="{FF2B5EF4-FFF2-40B4-BE49-F238E27FC236}">
              <a16:creationId xmlns:a16="http://schemas.microsoft.com/office/drawing/2014/main" xmlns="" id="{6205C2D4-7BDB-4B3A-B5F6-EA79F3280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57150"/>
          <a:ext cx="581025" cy="616181"/>
        </a:xfrm>
        <a:prstGeom prst="rect">
          <a:avLst/>
        </a:prstGeom>
      </xdr:spPr>
    </xdr:pic>
    <xdr:clientData/>
  </xdr:twoCellAnchor>
  <xdr:twoCellAnchor>
    <xdr:from>
      <xdr:col>3</xdr:col>
      <xdr:colOff>928182</xdr:colOff>
      <xdr:row>25</xdr:row>
      <xdr:rowOff>71963</xdr:rowOff>
    </xdr:from>
    <xdr:to>
      <xdr:col>8</xdr:col>
      <xdr:colOff>561975</xdr:colOff>
      <xdr:row>25</xdr:row>
      <xdr:rowOff>85725</xdr:rowOff>
    </xdr:to>
    <xdr:cxnSp macro="">
      <xdr:nvCxnSpPr>
        <xdr:cNvPr id="3" name="2 Conector recto"/>
        <xdr:cNvCxnSpPr/>
      </xdr:nvCxnSpPr>
      <xdr:spPr>
        <a:xfrm>
          <a:off x="3566607" y="6082238"/>
          <a:ext cx="3977193" cy="13762"/>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83548</xdr:colOff>
      <xdr:row>2</xdr:row>
      <xdr:rowOff>83964</xdr:rowOff>
    </xdr:from>
    <xdr:to>
      <xdr:col>0</xdr:col>
      <xdr:colOff>923925</xdr:colOff>
      <xdr:row>5</xdr:row>
      <xdr:rowOff>147156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548" y="255414"/>
          <a:ext cx="840377" cy="853767"/>
        </a:xfrm>
        <a:prstGeom prst="rect">
          <a:avLst/>
        </a:prstGeom>
      </xdr:spPr>
    </xdr:pic>
    <xdr:clientData/>
  </xdr:twoCellAnchor>
  <xdr:twoCellAnchor>
    <xdr:from>
      <xdr:col>2</xdr:col>
      <xdr:colOff>294244</xdr:colOff>
      <xdr:row>82</xdr:row>
      <xdr:rowOff>108990</xdr:rowOff>
    </xdr:from>
    <xdr:to>
      <xdr:col>4</xdr:col>
      <xdr:colOff>957684</xdr:colOff>
      <xdr:row>82</xdr:row>
      <xdr:rowOff>113753</xdr:rowOff>
    </xdr:to>
    <xdr:cxnSp macro="">
      <xdr:nvCxnSpPr>
        <xdr:cNvPr id="3" name="5 Conector recto"/>
        <xdr:cNvCxnSpPr/>
      </xdr:nvCxnSpPr>
      <xdr:spPr>
        <a:xfrm>
          <a:off x="3513694" y="35294340"/>
          <a:ext cx="3568565"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0</xdr:col>
      <xdr:colOff>83548</xdr:colOff>
      <xdr:row>31</xdr:row>
      <xdr:rowOff>83964</xdr:rowOff>
    </xdr:from>
    <xdr:to>
      <xdr:col>1</xdr:col>
      <xdr:colOff>464343</xdr:colOff>
      <xdr:row>34</xdr:row>
      <xdr:rowOff>147155</xdr:rowOff>
    </xdr:to>
    <xdr:pic>
      <xdr:nvPicPr>
        <xdr:cNvPr id="4" name="1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548" y="15438264"/>
          <a:ext cx="1142795" cy="853766"/>
        </a:xfrm>
        <a:prstGeom prst="rect">
          <a:avLst/>
        </a:prstGeom>
      </xdr:spPr>
    </xdr:pic>
    <xdr:clientData/>
  </xdr:twoCellAnchor>
  <xdr:twoCellAnchor editAs="oneCell">
    <xdr:from>
      <xdr:col>0</xdr:col>
      <xdr:colOff>83548</xdr:colOff>
      <xdr:row>64</xdr:row>
      <xdr:rowOff>83964</xdr:rowOff>
    </xdr:from>
    <xdr:to>
      <xdr:col>1</xdr:col>
      <xdr:colOff>464343</xdr:colOff>
      <xdr:row>67</xdr:row>
      <xdr:rowOff>159061</xdr:rowOff>
    </xdr:to>
    <xdr:pic>
      <xdr:nvPicPr>
        <xdr:cNvPr id="5" name="15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548" y="30906864"/>
          <a:ext cx="1142795" cy="85614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59530</xdr:colOff>
      <xdr:row>2</xdr:row>
      <xdr:rowOff>49933</xdr:rowOff>
    </xdr:from>
    <xdr:to>
      <xdr:col>1</xdr:col>
      <xdr:colOff>609600</xdr:colOff>
      <xdr:row>6</xdr:row>
      <xdr:rowOff>118637</xdr:rowOff>
    </xdr:to>
    <xdr:pic>
      <xdr:nvPicPr>
        <xdr:cNvPr id="2" name="1 Image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30" y="221383"/>
          <a:ext cx="940595" cy="868804"/>
        </a:xfrm>
        <a:prstGeom prst="rect">
          <a:avLst/>
        </a:prstGeom>
      </xdr:spPr>
    </xdr:pic>
    <xdr:clientData/>
  </xdr:twoCellAnchor>
  <xdr:twoCellAnchor>
    <xdr:from>
      <xdr:col>1</xdr:col>
      <xdr:colOff>1229251</xdr:colOff>
      <xdr:row>41</xdr:row>
      <xdr:rowOff>88106</xdr:rowOff>
    </xdr:from>
    <xdr:to>
      <xdr:col>3</xdr:col>
      <xdr:colOff>273469</xdr:colOff>
      <xdr:row>41</xdr:row>
      <xdr:rowOff>92869</xdr:rowOff>
    </xdr:to>
    <xdr:cxnSp macro="">
      <xdr:nvCxnSpPr>
        <xdr:cNvPr id="3" name="5 Conector recto"/>
        <xdr:cNvCxnSpPr/>
      </xdr:nvCxnSpPr>
      <xdr:spPr>
        <a:xfrm>
          <a:off x="1619776" y="6898481"/>
          <a:ext cx="2968518"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104776</xdr:colOff>
      <xdr:row>2</xdr:row>
      <xdr:rowOff>66675</xdr:rowOff>
    </xdr:from>
    <xdr:to>
      <xdr:col>1</xdr:col>
      <xdr:colOff>381000</xdr:colOff>
      <xdr:row>5</xdr:row>
      <xdr:rowOff>114300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66675"/>
          <a:ext cx="666749" cy="685800"/>
        </a:xfrm>
        <a:prstGeom prst="rect">
          <a:avLst/>
        </a:prstGeom>
      </xdr:spPr>
    </xdr:pic>
    <xdr:clientData/>
  </xdr:twoCellAnchor>
  <xdr:twoCellAnchor>
    <xdr:from>
      <xdr:col>3</xdr:col>
      <xdr:colOff>473599</xdr:colOff>
      <xdr:row>64</xdr:row>
      <xdr:rowOff>156615</xdr:rowOff>
    </xdr:from>
    <xdr:to>
      <xdr:col>4</xdr:col>
      <xdr:colOff>235403</xdr:colOff>
      <xdr:row>64</xdr:row>
      <xdr:rowOff>161378</xdr:rowOff>
    </xdr:to>
    <xdr:cxnSp macro="">
      <xdr:nvCxnSpPr>
        <xdr:cNvPr id="3" name="5 Conector recto"/>
        <xdr:cNvCxnSpPr/>
      </xdr:nvCxnSpPr>
      <xdr:spPr>
        <a:xfrm>
          <a:off x="1759474" y="10586490"/>
          <a:ext cx="2847904"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0</xdr:col>
      <xdr:colOff>57151</xdr:colOff>
      <xdr:row>25</xdr:row>
      <xdr:rowOff>47624</xdr:rowOff>
    </xdr:from>
    <xdr:to>
      <xdr:col>1</xdr:col>
      <xdr:colOff>276226</xdr:colOff>
      <xdr:row>28</xdr:row>
      <xdr:rowOff>134834</xdr:rowOff>
    </xdr:to>
    <xdr:pic>
      <xdr:nvPicPr>
        <xdr:cNvPr id="4" name="6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1" y="3981449"/>
          <a:ext cx="609600" cy="70633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22</xdr:col>
      <xdr:colOff>1597025</xdr:colOff>
      <xdr:row>3525</xdr:row>
      <xdr:rowOff>39687</xdr:rowOff>
    </xdr:to>
    <xdr:pic macro="[1]!DesignIconClicked">
      <xdr:nvPicPr>
        <xdr:cNvPr id="2" name="BExMAOPL0WWSVVQLFXKZHRKTXQBD" descr="analysis_prev.gif" hidden="1">
          <a:extLst>
            <a:ext uri="{FF2B5EF4-FFF2-40B4-BE49-F238E27FC236}">
              <a16:creationId xmlns:a16="http://schemas.microsoft.com/office/drawing/2014/main" xmlns="" id="{00000000-0008-0000-0100-000002000000}"/>
            </a:ext>
          </a:extLst>
        </xdr:cNvPr>
        <xdr:cNvPicPr>
          <a:picLocks/>
        </xdr:cNvPicPr>
      </xdr:nvPicPr>
      <xdr:blipFill>
        <a:blip xmlns:r="http://schemas.openxmlformats.org/officeDocument/2006/relationships" r:embed="rId1"/>
        <a:stretch>
          <a:fillRect/>
        </a:stretch>
      </xdr:blipFill>
      <xdr:spPr>
        <a:xfrm>
          <a:off x="0" y="0"/>
          <a:ext cx="40220900" cy="587613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119063</xdr:colOff>
      <xdr:row>0</xdr:row>
      <xdr:rowOff>47624</xdr:rowOff>
    </xdr:from>
    <xdr:to>
      <xdr:col>0</xdr:col>
      <xdr:colOff>785813</xdr:colOff>
      <xdr:row>3</xdr:row>
      <xdr:rowOff>212349</xdr:rowOff>
    </xdr:to>
    <xdr:pic>
      <xdr:nvPicPr>
        <xdr:cNvPr id="2" name="6 Imagen">
          <a:extLst>
            <a:ext uri="{FF2B5EF4-FFF2-40B4-BE49-F238E27FC236}">
              <a16:creationId xmlns="" xmlns:a16="http://schemas.microsoft.com/office/drawing/2014/main" id="{F985F101-1693-4712-AE05-0B753CC02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47624"/>
          <a:ext cx="666750" cy="807663"/>
        </a:xfrm>
        <a:prstGeom prst="rect">
          <a:avLst/>
        </a:prstGeom>
      </xdr:spPr>
    </xdr:pic>
    <xdr:clientData/>
  </xdr:twoCellAnchor>
  <xdr:twoCellAnchor>
    <xdr:from>
      <xdr:col>1</xdr:col>
      <xdr:colOff>356682</xdr:colOff>
      <xdr:row>83</xdr:row>
      <xdr:rowOff>148162</xdr:rowOff>
    </xdr:from>
    <xdr:to>
      <xdr:col>4</xdr:col>
      <xdr:colOff>1738312</xdr:colOff>
      <xdr:row>83</xdr:row>
      <xdr:rowOff>154781</xdr:rowOff>
    </xdr:to>
    <xdr:cxnSp macro="">
      <xdr:nvCxnSpPr>
        <xdr:cNvPr id="3" name="5 Conector recto"/>
        <xdr:cNvCxnSpPr/>
      </xdr:nvCxnSpPr>
      <xdr:spPr>
        <a:xfrm>
          <a:off x="3890457" y="18531412"/>
          <a:ext cx="3753355" cy="6619"/>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106037</xdr:colOff>
      <xdr:row>2</xdr:row>
      <xdr:rowOff>107247</xdr:rowOff>
    </xdr:from>
    <xdr:to>
      <xdr:col>2</xdr:col>
      <xdr:colOff>505883</xdr:colOff>
      <xdr:row>6</xdr:row>
      <xdr:rowOff>135130</xdr:rowOff>
    </xdr:to>
    <xdr:pic>
      <xdr:nvPicPr>
        <xdr:cNvPr id="2" name="6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037" y="107247"/>
          <a:ext cx="999921" cy="999433"/>
        </a:xfrm>
        <a:prstGeom prst="rect">
          <a:avLst/>
        </a:prstGeom>
      </xdr:spPr>
    </xdr:pic>
    <xdr:clientData/>
  </xdr:twoCellAnchor>
  <xdr:twoCellAnchor>
    <xdr:from>
      <xdr:col>2</xdr:col>
      <xdr:colOff>2167854</xdr:colOff>
      <xdr:row>72</xdr:row>
      <xdr:rowOff>71964</xdr:rowOff>
    </xdr:from>
    <xdr:to>
      <xdr:col>2</xdr:col>
      <xdr:colOff>5176812</xdr:colOff>
      <xdr:row>72</xdr:row>
      <xdr:rowOff>76727</xdr:rowOff>
    </xdr:to>
    <xdr:cxnSp macro="">
      <xdr:nvCxnSpPr>
        <xdr:cNvPr id="3" name="10 Conector recto"/>
        <xdr:cNvCxnSpPr/>
      </xdr:nvCxnSpPr>
      <xdr:spPr>
        <a:xfrm>
          <a:off x="2615529" y="11673414"/>
          <a:ext cx="3008958"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89957</xdr:colOff>
      <xdr:row>2</xdr:row>
      <xdr:rowOff>78053</xdr:rowOff>
    </xdr:from>
    <xdr:to>
      <xdr:col>0</xdr:col>
      <xdr:colOff>931068</xdr:colOff>
      <xdr:row>6</xdr:row>
      <xdr:rowOff>76200</xdr:rowOff>
    </xdr:to>
    <xdr:pic>
      <xdr:nvPicPr>
        <xdr:cNvPr id="2" name="8 Imagen">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57" y="78053"/>
          <a:ext cx="841111" cy="836347"/>
        </a:xfrm>
        <a:prstGeom prst="rect">
          <a:avLst/>
        </a:prstGeom>
      </xdr:spPr>
    </xdr:pic>
    <xdr:clientData/>
  </xdr:twoCellAnchor>
  <xdr:twoCellAnchor>
    <xdr:from>
      <xdr:col>6</xdr:col>
      <xdr:colOff>2167854</xdr:colOff>
      <xdr:row>46</xdr:row>
      <xdr:rowOff>71964</xdr:rowOff>
    </xdr:from>
    <xdr:to>
      <xdr:col>6</xdr:col>
      <xdr:colOff>5176812</xdr:colOff>
      <xdr:row>46</xdr:row>
      <xdr:rowOff>76727</xdr:rowOff>
    </xdr:to>
    <xdr:cxnSp macro="">
      <xdr:nvCxnSpPr>
        <xdr:cNvPr id="3" name="9 Conector recto"/>
        <xdr:cNvCxnSpPr/>
      </xdr:nvCxnSpPr>
      <xdr:spPr>
        <a:xfrm>
          <a:off x="10197429" y="8406339"/>
          <a:ext cx="8583"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3295425</xdr:colOff>
      <xdr:row>46</xdr:row>
      <xdr:rowOff>108990</xdr:rowOff>
    </xdr:from>
    <xdr:to>
      <xdr:col>3</xdr:col>
      <xdr:colOff>509186</xdr:colOff>
      <xdr:row>46</xdr:row>
      <xdr:rowOff>113753</xdr:rowOff>
    </xdr:to>
    <xdr:cxnSp macro="">
      <xdr:nvCxnSpPr>
        <xdr:cNvPr id="4" name="10 Conector recto"/>
        <xdr:cNvCxnSpPr/>
      </xdr:nvCxnSpPr>
      <xdr:spPr>
        <a:xfrm>
          <a:off x="3295425" y="8443365"/>
          <a:ext cx="3576461"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116680</xdr:colOff>
      <xdr:row>2</xdr:row>
      <xdr:rowOff>64459</xdr:rowOff>
    </xdr:from>
    <xdr:to>
      <xdr:col>1</xdr:col>
      <xdr:colOff>504825</xdr:colOff>
      <xdr:row>5</xdr:row>
      <xdr:rowOff>182044</xdr:rowOff>
    </xdr:to>
    <xdr:pic>
      <xdr:nvPicPr>
        <xdr:cNvPr id="2" name="6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680" y="64459"/>
          <a:ext cx="788195" cy="774810"/>
        </a:xfrm>
        <a:prstGeom prst="rect">
          <a:avLst/>
        </a:prstGeom>
      </xdr:spPr>
    </xdr:pic>
    <xdr:clientData/>
  </xdr:twoCellAnchor>
  <xdr:twoCellAnchor>
    <xdr:from>
      <xdr:col>1</xdr:col>
      <xdr:colOff>2114325</xdr:colOff>
      <xdr:row>71</xdr:row>
      <xdr:rowOff>108990</xdr:rowOff>
    </xdr:from>
    <xdr:to>
      <xdr:col>3</xdr:col>
      <xdr:colOff>585386</xdr:colOff>
      <xdr:row>71</xdr:row>
      <xdr:rowOff>113753</xdr:rowOff>
    </xdr:to>
    <xdr:cxnSp macro="">
      <xdr:nvCxnSpPr>
        <xdr:cNvPr id="3" name="8 Conector recto"/>
        <xdr:cNvCxnSpPr/>
      </xdr:nvCxnSpPr>
      <xdr:spPr>
        <a:xfrm>
          <a:off x="2361975" y="10805565"/>
          <a:ext cx="3319286"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234950</xdr:colOff>
      <xdr:row>7</xdr:row>
      <xdr:rowOff>177800</xdr:rowOff>
    </xdr:to>
    <xdr:pic macro="[2]!DesignIconClicked">
      <xdr:nvPicPr>
        <xdr:cNvPr id="2" name="BEx1WZP8PYPVHER0SKY5GI048XL5" hidden="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71550"/>
          <a:ext cx="206375" cy="406400"/>
        </a:xfrm>
        <a:prstGeom prst="rect">
          <a:avLst/>
        </a:prstGeom>
      </xdr:spPr>
    </xdr:pic>
    <xdr:clientData/>
  </xdr:twoCellAnchor>
  <xdr:twoCellAnchor editAs="oneCell">
    <xdr:from>
      <xdr:col>0</xdr:col>
      <xdr:colOff>103717</xdr:colOff>
      <xdr:row>0</xdr:row>
      <xdr:rowOff>77260</xdr:rowOff>
    </xdr:from>
    <xdr:to>
      <xdr:col>2</xdr:col>
      <xdr:colOff>304800</xdr:colOff>
      <xdr:row>4</xdr:row>
      <xdr:rowOff>28477</xdr:rowOff>
    </xdr:to>
    <xdr:pic>
      <xdr:nvPicPr>
        <xdr:cNvPr id="3" name="1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717" y="77260"/>
          <a:ext cx="715433" cy="751317"/>
        </a:xfrm>
        <a:prstGeom prst="rect">
          <a:avLst/>
        </a:prstGeom>
      </xdr:spPr>
    </xdr:pic>
    <xdr:clientData/>
  </xdr:twoCellAnchor>
  <xdr:twoCellAnchor>
    <xdr:from>
      <xdr:col>0</xdr:col>
      <xdr:colOff>0</xdr:colOff>
      <xdr:row>5</xdr:row>
      <xdr:rowOff>0</xdr:rowOff>
    </xdr:from>
    <xdr:to>
      <xdr:col>0</xdr:col>
      <xdr:colOff>234950</xdr:colOff>
      <xdr:row>5</xdr:row>
      <xdr:rowOff>177800</xdr:rowOff>
    </xdr:to>
    <xdr:pic macro="[2]!DesignIconClicked">
      <xdr:nvPicPr>
        <xdr:cNvPr id="4" name="BEx1WZP8PYPVHER0SKY5GI048XL5" hidden="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71550"/>
          <a:ext cx="206375" cy="82550"/>
        </a:xfrm>
        <a:prstGeom prst="rect">
          <a:avLst/>
        </a:prstGeom>
      </xdr:spPr>
    </xdr:pic>
    <xdr:clientData/>
  </xdr:twoCellAnchor>
  <xdr:twoCellAnchor>
    <xdr:from>
      <xdr:col>2</xdr:col>
      <xdr:colOff>1190600</xdr:colOff>
      <xdr:row>76</xdr:row>
      <xdr:rowOff>130966</xdr:rowOff>
    </xdr:from>
    <xdr:to>
      <xdr:col>3</xdr:col>
      <xdr:colOff>704786</xdr:colOff>
      <xdr:row>76</xdr:row>
      <xdr:rowOff>135729</xdr:rowOff>
    </xdr:to>
    <xdr:cxnSp macro="">
      <xdr:nvCxnSpPr>
        <xdr:cNvPr id="5" name="3 Conector recto"/>
        <xdr:cNvCxnSpPr/>
      </xdr:nvCxnSpPr>
      <xdr:spPr>
        <a:xfrm>
          <a:off x="1704950" y="11999116"/>
          <a:ext cx="4257636"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154783</xdr:colOff>
      <xdr:row>2</xdr:row>
      <xdr:rowOff>95250</xdr:rowOff>
    </xdr:from>
    <xdr:to>
      <xdr:col>1</xdr:col>
      <xdr:colOff>857251</xdr:colOff>
      <xdr:row>6</xdr:row>
      <xdr:rowOff>69701</xdr:rowOff>
    </xdr:to>
    <xdr:pic>
      <xdr:nvPicPr>
        <xdr:cNvPr id="2"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3" y="95250"/>
          <a:ext cx="702468" cy="812651"/>
        </a:xfrm>
        <a:prstGeom prst="rect">
          <a:avLst/>
        </a:prstGeom>
      </xdr:spPr>
    </xdr:pic>
    <xdr:clientData/>
  </xdr:twoCellAnchor>
  <xdr:twoCellAnchor>
    <xdr:from>
      <xdr:col>5</xdr:col>
      <xdr:colOff>2167854</xdr:colOff>
      <xdr:row>34</xdr:row>
      <xdr:rowOff>71964</xdr:rowOff>
    </xdr:from>
    <xdr:to>
      <xdr:col>5</xdr:col>
      <xdr:colOff>5176812</xdr:colOff>
      <xdr:row>34</xdr:row>
      <xdr:rowOff>76727</xdr:rowOff>
    </xdr:to>
    <xdr:cxnSp macro="">
      <xdr:nvCxnSpPr>
        <xdr:cNvPr id="3" name="8 Conector recto"/>
        <xdr:cNvCxnSpPr/>
      </xdr:nvCxnSpPr>
      <xdr:spPr>
        <a:xfrm>
          <a:off x="9244929" y="6215589"/>
          <a:ext cx="8583"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3662742</xdr:colOff>
      <xdr:row>34</xdr:row>
      <xdr:rowOff>108990</xdr:rowOff>
    </xdr:from>
    <xdr:to>
      <xdr:col>3</xdr:col>
      <xdr:colOff>1222947</xdr:colOff>
      <xdr:row>34</xdr:row>
      <xdr:rowOff>113753</xdr:rowOff>
    </xdr:to>
    <xdr:cxnSp macro="">
      <xdr:nvCxnSpPr>
        <xdr:cNvPr id="4" name="9 Conector recto"/>
        <xdr:cNvCxnSpPr/>
      </xdr:nvCxnSpPr>
      <xdr:spPr>
        <a:xfrm>
          <a:off x="3662742" y="6252615"/>
          <a:ext cx="3303780"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67470</xdr:colOff>
      <xdr:row>2</xdr:row>
      <xdr:rowOff>44980</xdr:rowOff>
    </xdr:from>
    <xdr:to>
      <xdr:col>2</xdr:col>
      <xdr:colOff>161926</xdr:colOff>
      <xdr:row>5</xdr:row>
      <xdr:rowOff>66999</xdr:rowOff>
    </xdr:to>
    <xdr:pic>
      <xdr:nvPicPr>
        <xdr:cNvPr id="2"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70" y="44980"/>
          <a:ext cx="551656" cy="660194"/>
        </a:xfrm>
        <a:prstGeom prst="rect">
          <a:avLst/>
        </a:prstGeom>
      </xdr:spPr>
    </xdr:pic>
    <xdr:clientData/>
  </xdr:twoCellAnchor>
  <xdr:twoCellAnchor>
    <xdr:from>
      <xdr:col>6</xdr:col>
      <xdr:colOff>2167854</xdr:colOff>
      <xdr:row>54</xdr:row>
      <xdr:rowOff>71964</xdr:rowOff>
    </xdr:from>
    <xdr:to>
      <xdr:col>6</xdr:col>
      <xdr:colOff>5176812</xdr:colOff>
      <xdr:row>54</xdr:row>
      <xdr:rowOff>76727</xdr:rowOff>
    </xdr:to>
    <xdr:cxnSp macro="">
      <xdr:nvCxnSpPr>
        <xdr:cNvPr id="3" name="8 Conector recto"/>
        <xdr:cNvCxnSpPr/>
      </xdr:nvCxnSpPr>
      <xdr:spPr>
        <a:xfrm>
          <a:off x="7959054" y="10339914"/>
          <a:ext cx="8583"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1803086</xdr:colOff>
      <xdr:row>54</xdr:row>
      <xdr:rowOff>108990</xdr:rowOff>
    </xdr:from>
    <xdr:to>
      <xdr:col>5</xdr:col>
      <xdr:colOff>344180</xdr:colOff>
      <xdr:row>54</xdr:row>
      <xdr:rowOff>113753</xdr:rowOff>
    </xdr:to>
    <xdr:cxnSp macro="">
      <xdr:nvCxnSpPr>
        <xdr:cNvPr id="4" name="9 Conector recto"/>
        <xdr:cNvCxnSpPr/>
      </xdr:nvCxnSpPr>
      <xdr:spPr>
        <a:xfrm>
          <a:off x="2260286" y="10376940"/>
          <a:ext cx="3532194"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85726</xdr:colOff>
      <xdr:row>1</xdr:row>
      <xdr:rowOff>66676</xdr:rowOff>
    </xdr:from>
    <xdr:to>
      <xdr:col>1</xdr:col>
      <xdr:colOff>926103</xdr:colOff>
      <xdr:row>5</xdr:row>
      <xdr:rowOff>38101</xdr:rowOff>
    </xdr:to>
    <xdr:pic>
      <xdr:nvPicPr>
        <xdr:cNvPr id="2" name="7 Imagen">
          <a:extLst>
            <a:ext uri="{FF2B5EF4-FFF2-40B4-BE49-F238E27FC236}">
              <a16:creationId xmlns:a16="http://schemas.microsoft.com/office/drawing/2014/main" xmlns="" id="{2BEF358C-09A5-4C26-A4BC-6434D53C4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6" y="66676"/>
          <a:ext cx="840377" cy="819150"/>
        </a:xfrm>
        <a:prstGeom prst="rect">
          <a:avLst/>
        </a:prstGeom>
      </xdr:spPr>
    </xdr:pic>
    <xdr:clientData/>
  </xdr:twoCellAnchor>
  <xdr:twoCellAnchor>
    <xdr:from>
      <xdr:col>3</xdr:col>
      <xdr:colOff>960591</xdr:colOff>
      <xdr:row>50</xdr:row>
      <xdr:rowOff>114300</xdr:rowOff>
    </xdr:from>
    <xdr:to>
      <xdr:col>6</xdr:col>
      <xdr:colOff>301619</xdr:colOff>
      <xdr:row>50</xdr:row>
      <xdr:rowOff>119063</xdr:rowOff>
    </xdr:to>
    <xdr:cxnSp macro="">
      <xdr:nvCxnSpPr>
        <xdr:cNvPr id="3" name="4 Conector recto"/>
        <xdr:cNvCxnSpPr/>
      </xdr:nvCxnSpPr>
      <xdr:spPr>
        <a:xfrm>
          <a:off x="4313391" y="10401300"/>
          <a:ext cx="3017678" cy="4763"/>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20(x86)/Common%20Files/SAP%20Shared/BW/BExAnalyzer.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BexGetData"/>
      <definedName name="DesignIconClicked"/>
    </defined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1"/>
  <sheetViews>
    <sheetView showGridLines="0" tabSelected="1" topLeftCell="A3" zoomScale="80" zoomScaleNormal="80" workbookViewId="0">
      <selection activeCell="A3" sqref="A3:M3"/>
    </sheetView>
  </sheetViews>
  <sheetFormatPr baseColWidth="10" defaultColWidth="9.140625" defaultRowHeight="12.75" x14ac:dyDescent="0.2"/>
  <cols>
    <col min="1" max="1" width="3.7109375" customWidth="1"/>
    <col min="2" max="2" width="63.85546875" customWidth="1"/>
    <col min="3" max="3" width="26.42578125" hidden="1" customWidth="1"/>
    <col min="4" max="4" width="15.140625" customWidth="1"/>
    <col min="5" max="5" width="16" style="1" customWidth="1"/>
    <col min="6" max="6" width="2" customWidth="1"/>
    <col min="7" max="7" width="1.28515625" customWidth="1"/>
    <col min="8" max="8" width="2.42578125" customWidth="1"/>
    <col min="9" max="9" width="59.5703125" customWidth="1"/>
    <col min="10" max="10" width="6.5703125" hidden="1" customWidth="1"/>
    <col min="11" max="12" width="14.5703125" customWidth="1"/>
    <col min="13" max="13" width="1.42578125" customWidth="1"/>
    <col min="14" max="14" width="17.42578125" hidden="1" customWidth="1"/>
    <col min="15" max="15" width="0" hidden="1" customWidth="1"/>
  </cols>
  <sheetData>
    <row r="1" spans="1:20" s="82" customFormat="1" ht="11.25" hidden="1" customHeight="1" x14ac:dyDescent="0.2">
      <c r="A1" s="78" t="s">
        <v>1763</v>
      </c>
      <c r="B1" s="79" t="s">
        <v>1762</v>
      </c>
      <c r="C1" s="79" t="s">
        <v>1772</v>
      </c>
      <c r="D1" s="79" t="s">
        <v>731</v>
      </c>
      <c r="E1" s="80"/>
      <c r="F1" s="79" t="s">
        <v>41</v>
      </c>
      <c r="G1" s="81" t="s">
        <v>7233</v>
      </c>
      <c r="H1" s="82" t="s">
        <v>7234</v>
      </c>
      <c r="I1" s="82" t="s">
        <v>7235</v>
      </c>
      <c r="J1" s="80" t="s">
        <v>7236</v>
      </c>
      <c r="K1" s="83">
        <v>42735</v>
      </c>
      <c r="L1" s="82">
        <v>31</v>
      </c>
      <c r="P1" s="84">
        <v>12</v>
      </c>
      <c r="Q1" s="79" t="s">
        <v>732</v>
      </c>
      <c r="R1" s="79" t="s">
        <v>1762</v>
      </c>
      <c r="S1" s="82" t="s">
        <v>1763</v>
      </c>
      <c r="T1" s="82" t="s">
        <v>732</v>
      </c>
    </row>
    <row r="2" spans="1:20" s="19" customFormat="1" ht="13.5" hidden="1" thickBot="1" x14ac:dyDescent="0.25">
      <c r="A2" s="8"/>
      <c r="B2" s="7"/>
      <c r="C2" s="7"/>
      <c r="D2" s="7"/>
      <c r="E2" s="20"/>
      <c r="F2" s="7"/>
      <c r="G2" s="18"/>
      <c r="J2" s="20"/>
      <c r="K2" s="50"/>
      <c r="P2" s="51"/>
      <c r="Q2" s="7"/>
      <c r="R2" s="7"/>
    </row>
    <row r="3" spans="1:20" ht="20.25" customHeight="1" x14ac:dyDescent="0.3">
      <c r="A3" s="613" t="s">
        <v>40</v>
      </c>
      <c r="B3" s="614"/>
      <c r="C3" s="614"/>
      <c r="D3" s="614"/>
      <c r="E3" s="614"/>
      <c r="F3" s="614"/>
      <c r="G3" s="614"/>
      <c r="H3" s="614"/>
      <c r="I3" s="614"/>
      <c r="J3" s="614"/>
      <c r="K3" s="614"/>
      <c r="L3" s="614"/>
      <c r="M3" s="615"/>
    </row>
    <row r="4" spans="1:20" ht="15.75" x14ac:dyDescent="0.25">
      <c r="A4" s="616" t="s">
        <v>38</v>
      </c>
      <c r="B4" s="617"/>
      <c r="C4" s="617"/>
      <c r="D4" s="617"/>
      <c r="E4" s="617"/>
      <c r="F4" s="617"/>
      <c r="G4" s="617"/>
      <c r="H4" s="617"/>
      <c r="I4" s="617"/>
      <c r="J4" s="617"/>
      <c r="K4" s="617"/>
      <c r="L4" s="617"/>
      <c r="M4" s="618"/>
    </row>
    <row r="5" spans="1:20" ht="15.75" x14ac:dyDescent="0.25">
      <c r="A5" s="616" t="s">
        <v>7237</v>
      </c>
      <c r="B5" s="617"/>
      <c r="C5" s="617"/>
      <c r="D5" s="617"/>
      <c r="E5" s="617"/>
      <c r="F5" s="617"/>
      <c r="G5" s="617"/>
      <c r="H5" s="617"/>
      <c r="I5" s="617"/>
      <c r="J5" s="617"/>
      <c r="K5" s="617"/>
      <c r="L5" s="617"/>
      <c r="M5" s="618"/>
    </row>
    <row r="6" spans="1:20" ht="27" customHeight="1" thickBot="1" x14ac:dyDescent="0.25">
      <c r="A6" s="622" t="s">
        <v>731</v>
      </c>
      <c r="B6" s="623"/>
      <c r="C6" s="623"/>
      <c r="D6" s="623"/>
      <c r="E6" s="623"/>
      <c r="F6" s="623"/>
      <c r="G6" s="623"/>
      <c r="H6" s="623"/>
      <c r="I6" s="623"/>
      <c r="J6" s="623"/>
      <c r="K6" s="623"/>
      <c r="L6" s="623"/>
      <c r="M6" s="624"/>
    </row>
    <row r="7" spans="1:20" ht="15.75" thickBot="1" x14ac:dyDescent="0.3">
      <c r="A7" s="619" t="s">
        <v>39</v>
      </c>
      <c r="B7" s="620"/>
      <c r="C7" s="620"/>
      <c r="D7" s="620"/>
      <c r="E7" s="620"/>
      <c r="F7" s="620"/>
      <c r="G7" s="620"/>
      <c r="H7" s="620"/>
      <c r="I7" s="620"/>
      <c r="J7" s="620"/>
      <c r="K7" s="620"/>
      <c r="L7" s="620"/>
      <c r="M7" s="621"/>
    </row>
    <row r="8" spans="1:20" x14ac:dyDescent="0.2">
      <c r="A8" s="61"/>
      <c r="B8" s="62"/>
      <c r="C8" s="62"/>
      <c r="D8" s="94"/>
      <c r="E8" s="63"/>
      <c r="F8" s="62"/>
      <c r="G8" s="62"/>
      <c r="H8" s="62"/>
      <c r="I8" s="62"/>
      <c r="J8" s="62"/>
      <c r="K8" s="62"/>
      <c r="L8" s="62"/>
      <c r="M8" s="64"/>
    </row>
    <row r="9" spans="1:20" s="52" customFormat="1" ht="15" x14ac:dyDescent="0.25">
      <c r="A9" s="67" t="s">
        <v>0</v>
      </c>
      <c r="B9" s="53"/>
      <c r="C9" s="5"/>
      <c r="D9" s="59" t="s">
        <v>1763</v>
      </c>
      <c r="E9" s="60" t="s">
        <v>732</v>
      </c>
      <c r="F9" s="54"/>
      <c r="G9" s="5"/>
      <c r="H9" s="40" t="s">
        <v>13</v>
      </c>
      <c r="I9" s="55"/>
      <c r="J9" s="5"/>
      <c r="K9" s="60" t="s">
        <v>1763</v>
      </c>
      <c r="L9" s="60" t="s">
        <v>732</v>
      </c>
      <c r="M9" s="68"/>
    </row>
    <row r="10" spans="1:20" s="52" customFormat="1" ht="15" x14ac:dyDescent="0.25">
      <c r="A10" s="69" t="s">
        <v>1</v>
      </c>
      <c r="B10" s="56"/>
      <c r="C10" s="57"/>
      <c r="D10" s="57"/>
      <c r="E10" s="58"/>
      <c r="F10" s="57"/>
      <c r="G10" s="57"/>
      <c r="H10" s="10" t="s">
        <v>14</v>
      </c>
      <c r="I10" s="55"/>
      <c r="J10" s="54"/>
      <c r="K10" s="54"/>
      <c r="L10" s="54"/>
      <c r="M10" s="68"/>
    </row>
    <row r="11" spans="1:20" x14ac:dyDescent="0.2">
      <c r="A11" s="70"/>
      <c r="B11" s="15" t="s">
        <v>7240</v>
      </c>
      <c r="C11" s="2"/>
      <c r="D11" s="92">
        <v>4381579475</v>
      </c>
      <c r="E11" s="92">
        <v>1694956122</v>
      </c>
      <c r="F11" s="2"/>
      <c r="G11" s="2"/>
      <c r="H11" s="39"/>
      <c r="I11" s="15" t="s">
        <v>7251</v>
      </c>
      <c r="J11" s="2"/>
      <c r="K11" s="92">
        <v>5154110090</v>
      </c>
      <c r="L11" s="92">
        <v>5828146288</v>
      </c>
      <c r="M11" s="66"/>
    </row>
    <row r="12" spans="1:20" x14ac:dyDescent="0.2">
      <c r="A12" s="70"/>
      <c r="B12" s="15" t="s">
        <v>7241</v>
      </c>
      <c r="C12" s="2"/>
      <c r="D12" s="92">
        <v>1869627208</v>
      </c>
      <c r="E12" s="92">
        <v>1341367439</v>
      </c>
      <c r="F12" s="2"/>
      <c r="G12" s="2"/>
      <c r="H12" s="39"/>
      <c r="I12" s="15" t="s">
        <v>7253</v>
      </c>
      <c r="J12" s="2"/>
      <c r="K12" s="92">
        <v>2355970029</v>
      </c>
      <c r="L12" s="92">
        <v>1627046532</v>
      </c>
      <c r="M12" s="66"/>
    </row>
    <row r="13" spans="1:20" x14ac:dyDescent="0.2">
      <c r="A13" s="70"/>
      <c r="B13" s="15" t="s">
        <v>7242</v>
      </c>
      <c r="C13" s="2"/>
      <c r="D13" s="92">
        <v>865874851</v>
      </c>
      <c r="E13" s="92">
        <v>735552707</v>
      </c>
      <c r="F13" s="2"/>
      <c r="G13" s="2"/>
      <c r="H13" s="39"/>
      <c r="I13" s="15" t="s">
        <v>7254</v>
      </c>
      <c r="J13" s="2"/>
      <c r="K13" s="92">
        <v>487182990</v>
      </c>
      <c r="L13" s="96">
        <v>424174894</v>
      </c>
      <c r="M13" s="66"/>
    </row>
    <row r="14" spans="1:20" x14ac:dyDescent="0.2">
      <c r="A14" s="70"/>
      <c r="B14" s="15" t="s">
        <v>4</v>
      </c>
      <c r="C14" s="2"/>
      <c r="D14" s="91">
        <v>0</v>
      </c>
      <c r="E14" s="91">
        <v>0</v>
      </c>
      <c r="F14" s="2"/>
      <c r="G14" s="2"/>
      <c r="H14" s="39"/>
      <c r="I14" s="15" t="s">
        <v>15</v>
      </c>
      <c r="J14" s="2"/>
      <c r="K14" s="91">
        <v>0</v>
      </c>
      <c r="L14" s="91">
        <v>0</v>
      </c>
      <c r="M14" s="66"/>
    </row>
    <row r="15" spans="1:20" x14ac:dyDescent="0.2">
      <c r="A15" s="70"/>
      <c r="B15" s="15" t="s">
        <v>5</v>
      </c>
      <c r="C15" s="2"/>
      <c r="D15" s="91">
        <v>0</v>
      </c>
      <c r="E15" s="91">
        <v>0</v>
      </c>
      <c r="F15" s="2"/>
      <c r="G15" s="2"/>
      <c r="H15" s="39"/>
      <c r="I15" s="15" t="s">
        <v>16</v>
      </c>
      <c r="J15" s="2"/>
      <c r="K15" s="92">
        <v>120062545</v>
      </c>
      <c r="L15" s="92">
        <v>119249608</v>
      </c>
      <c r="M15" s="66"/>
    </row>
    <row r="16" spans="1:20" ht="25.5" x14ac:dyDescent="0.2">
      <c r="A16" s="70"/>
      <c r="B16" s="102" t="s">
        <v>153</v>
      </c>
      <c r="C16" s="103"/>
      <c r="D16" s="99">
        <v>0</v>
      </c>
      <c r="E16" s="99">
        <v>0</v>
      </c>
      <c r="F16" s="2"/>
      <c r="G16" s="2"/>
      <c r="H16" s="39"/>
      <c r="I16" s="15" t="s">
        <v>156</v>
      </c>
      <c r="J16" s="2"/>
      <c r="K16" s="98">
        <v>388408185</v>
      </c>
      <c r="L16" s="98">
        <v>318627843</v>
      </c>
      <c r="M16" s="66"/>
    </row>
    <row r="17" spans="1:13" x14ac:dyDescent="0.2">
      <c r="A17" s="70"/>
      <c r="B17" s="15" t="s">
        <v>7243</v>
      </c>
      <c r="C17" s="2"/>
      <c r="D17" s="92">
        <v>37540027</v>
      </c>
      <c r="E17" s="92">
        <v>19112277</v>
      </c>
      <c r="F17" s="2"/>
      <c r="G17" s="2"/>
      <c r="H17" s="39"/>
      <c r="I17" s="15" t="s">
        <v>17</v>
      </c>
      <c r="J17" s="2"/>
      <c r="K17" s="91">
        <v>0</v>
      </c>
      <c r="L17" s="91">
        <v>0</v>
      </c>
      <c r="M17" s="66"/>
    </row>
    <row r="18" spans="1:13" x14ac:dyDescent="0.2">
      <c r="A18" s="70"/>
      <c r="B18" s="15"/>
      <c r="C18" s="2"/>
      <c r="D18" s="86"/>
      <c r="E18" s="86"/>
      <c r="F18" s="2"/>
      <c r="G18" s="2"/>
      <c r="H18" s="39"/>
      <c r="I18" s="15" t="s">
        <v>7252</v>
      </c>
      <c r="J18" s="2"/>
      <c r="K18" s="92">
        <v>7164702</v>
      </c>
      <c r="L18" s="92">
        <v>8085769</v>
      </c>
      <c r="M18" s="66"/>
    </row>
    <row r="19" spans="1:13" ht="15" x14ac:dyDescent="0.25">
      <c r="A19" s="71" t="s">
        <v>6</v>
      </c>
      <c r="B19" s="15"/>
      <c r="C19" s="2"/>
      <c r="D19" s="86">
        <v>7154621561</v>
      </c>
      <c r="E19" s="86">
        <v>3790988545</v>
      </c>
      <c r="F19" s="2"/>
      <c r="G19" s="2"/>
      <c r="H19" s="39"/>
      <c r="I19" s="15"/>
      <c r="J19" s="2"/>
      <c r="K19" s="87"/>
      <c r="L19" s="87"/>
      <c r="M19" s="66"/>
    </row>
    <row r="20" spans="1:13" ht="15" x14ac:dyDescent="0.25">
      <c r="A20" s="71"/>
      <c r="B20" s="15"/>
      <c r="C20" s="2"/>
      <c r="D20" s="86"/>
      <c r="E20" s="86"/>
      <c r="F20" s="2"/>
      <c r="G20" s="2"/>
      <c r="H20" s="10" t="s">
        <v>18</v>
      </c>
      <c r="I20" s="16"/>
      <c r="J20" s="2"/>
      <c r="K20" s="88">
        <v>8512898541</v>
      </c>
      <c r="L20" s="88">
        <v>8325330934</v>
      </c>
      <c r="M20" s="66"/>
    </row>
    <row r="21" spans="1:13" ht="15" x14ac:dyDescent="0.25">
      <c r="A21" s="71" t="s">
        <v>7</v>
      </c>
      <c r="B21" s="53"/>
      <c r="C21" s="54"/>
      <c r="D21" s="86"/>
      <c r="E21" s="86"/>
      <c r="F21" s="2"/>
      <c r="G21" s="2"/>
      <c r="H21" s="2"/>
      <c r="I21" s="2"/>
      <c r="J21" s="2"/>
      <c r="K21" s="87"/>
      <c r="L21" s="87"/>
      <c r="M21" s="66"/>
    </row>
    <row r="22" spans="1:13" s="52" customFormat="1" ht="15" x14ac:dyDescent="0.25">
      <c r="A22" s="70"/>
      <c r="B22" s="15" t="s">
        <v>7244</v>
      </c>
      <c r="C22" s="2"/>
      <c r="D22" s="85">
        <v>190374382</v>
      </c>
      <c r="E22" s="85">
        <v>118241622</v>
      </c>
      <c r="F22" s="54"/>
      <c r="G22" s="54"/>
      <c r="H22" s="10" t="s">
        <v>19</v>
      </c>
      <c r="I22" s="55"/>
      <c r="J22" s="54"/>
      <c r="K22" s="85"/>
      <c r="L22" s="85"/>
      <c r="M22" s="68"/>
    </row>
    <row r="23" spans="1:13" x14ac:dyDescent="0.2">
      <c r="A23" s="70"/>
      <c r="B23" s="15" t="s">
        <v>154</v>
      </c>
      <c r="C23" s="2"/>
      <c r="D23" s="85">
        <v>401414</v>
      </c>
      <c r="E23" s="85">
        <v>401414</v>
      </c>
      <c r="F23" s="2"/>
      <c r="G23" s="2"/>
      <c r="H23" s="39"/>
      <c r="I23" s="15" t="s">
        <v>20</v>
      </c>
      <c r="J23" s="2"/>
      <c r="K23" s="91">
        <v>0</v>
      </c>
      <c r="L23" s="91">
        <v>0</v>
      </c>
      <c r="M23" s="66"/>
    </row>
    <row r="24" spans="1:13" x14ac:dyDescent="0.2">
      <c r="A24" s="70"/>
      <c r="B24" s="102" t="s">
        <v>7245</v>
      </c>
      <c r="C24" s="2"/>
      <c r="D24" s="100">
        <v>34948858566</v>
      </c>
      <c r="E24" s="101">
        <v>32605246252</v>
      </c>
      <c r="F24" s="2"/>
      <c r="G24" s="2"/>
      <c r="H24" s="39"/>
      <c r="I24" s="15" t="s">
        <v>21</v>
      </c>
      <c r="J24" s="2"/>
      <c r="K24" s="91">
        <v>0</v>
      </c>
      <c r="L24" s="91">
        <v>0</v>
      </c>
      <c r="M24" s="66"/>
    </row>
    <row r="25" spans="1:13" x14ac:dyDescent="0.2">
      <c r="A25" s="70"/>
      <c r="B25" s="15" t="s">
        <v>7246</v>
      </c>
      <c r="C25" s="2"/>
      <c r="D25" s="85">
        <v>1980678174</v>
      </c>
      <c r="E25" s="85">
        <v>1825671823</v>
      </c>
      <c r="F25" s="2"/>
      <c r="G25" s="2"/>
      <c r="H25" s="39"/>
      <c r="I25" s="15" t="s">
        <v>7255</v>
      </c>
      <c r="J25" s="2"/>
      <c r="K25" s="92">
        <v>20239110675</v>
      </c>
      <c r="L25" s="92">
        <v>15730628666</v>
      </c>
      <c r="M25" s="66"/>
    </row>
    <row r="26" spans="1:13" x14ac:dyDescent="0.2">
      <c r="A26" s="70"/>
      <c r="B26" s="15" t="s">
        <v>7247</v>
      </c>
      <c r="C26" s="2"/>
      <c r="D26" s="85">
        <v>528550169</v>
      </c>
      <c r="E26" s="85">
        <v>507113348</v>
      </c>
      <c r="F26" s="2"/>
      <c r="G26" s="2"/>
      <c r="H26" s="39"/>
      <c r="I26" s="15" t="s">
        <v>22</v>
      </c>
      <c r="J26" s="9"/>
      <c r="K26" s="91">
        <v>0</v>
      </c>
      <c r="L26" s="91">
        <v>0</v>
      </c>
      <c r="M26" s="66"/>
    </row>
    <row r="27" spans="1:13" ht="25.5" x14ac:dyDescent="0.2">
      <c r="A27" s="70"/>
      <c r="B27" s="102" t="s">
        <v>7248</v>
      </c>
      <c r="C27" s="2"/>
      <c r="D27" s="100">
        <v>-1888780322</v>
      </c>
      <c r="E27" s="100">
        <v>-1471090176</v>
      </c>
      <c r="F27" s="2"/>
      <c r="G27" s="2"/>
      <c r="H27" s="39"/>
      <c r="I27" s="15" t="s">
        <v>157</v>
      </c>
      <c r="J27" s="9"/>
      <c r="K27" s="98">
        <v>1800000</v>
      </c>
      <c r="L27" s="99">
        <v>0</v>
      </c>
      <c r="M27" s="66"/>
    </row>
    <row r="28" spans="1:13" x14ac:dyDescent="0.2">
      <c r="A28" s="70"/>
      <c r="B28" s="15" t="s">
        <v>11</v>
      </c>
      <c r="C28" s="2"/>
      <c r="D28" s="85">
        <v>4299800</v>
      </c>
      <c r="E28" s="85">
        <v>4299800</v>
      </c>
      <c r="F28" s="2"/>
      <c r="G28" s="2"/>
      <c r="H28" s="39"/>
      <c r="I28" s="15" t="s">
        <v>23</v>
      </c>
      <c r="J28" s="6"/>
      <c r="K28" s="91">
        <v>0</v>
      </c>
      <c r="L28" s="91">
        <v>0</v>
      </c>
      <c r="M28" s="66"/>
    </row>
    <row r="29" spans="1:13" x14ac:dyDescent="0.2">
      <c r="A29" s="70"/>
      <c r="B29" s="102" t="s">
        <v>7249</v>
      </c>
      <c r="C29" s="103"/>
      <c r="D29" s="100">
        <v>0</v>
      </c>
      <c r="E29" s="100">
        <v>0</v>
      </c>
      <c r="F29" s="2"/>
      <c r="G29" s="2"/>
      <c r="H29" s="39"/>
      <c r="I29" s="2"/>
      <c r="J29" s="2"/>
      <c r="K29" s="87"/>
      <c r="L29" s="87"/>
      <c r="M29" s="66"/>
    </row>
    <row r="30" spans="1:13" x14ac:dyDescent="0.2">
      <c r="A30" s="70"/>
      <c r="B30" s="15" t="s">
        <v>7250</v>
      </c>
      <c r="C30" s="2"/>
      <c r="D30" s="85">
        <v>91524323</v>
      </c>
      <c r="E30" s="85">
        <v>91524323</v>
      </c>
      <c r="F30" s="2"/>
      <c r="G30" s="2"/>
      <c r="H30" s="39"/>
      <c r="I30" s="16"/>
      <c r="J30" s="6"/>
      <c r="K30" s="86"/>
      <c r="L30" s="86"/>
      <c r="M30" s="66"/>
    </row>
    <row r="31" spans="1:13" ht="15" x14ac:dyDescent="0.25">
      <c r="A31" s="70"/>
      <c r="B31" s="15"/>
      <c r="C31" s="2"/>
      <c r="D31" s="86"/>
      <c r="E31" s="86"/>
      <c r="F31" s="2"/>
      <c r="G31" s="2"/>
      <c r="H31" s="10" t="s">
        <v>24</v>
      </c>
      <c r="I31" s="16"/>
      <c r="J31" s="2"/>
      <c r="K31" s="88">
        <v>20240910675</v>
      </c>
      <c r="L31" s="88">
        <v>15730628666</v>
      </c>
      <c r="M31" s="66"/>
    </row>
    <row r="32" spans="1:13" ht="15" x14ac:dyDescent="0.25">
      <c r="A32" s="71" t="s">
        <v>155</v>
      </c>
      <c r="B32" s="16"/>
      <c r="C32" s="9"/>
      <c r="D32" s="86">
        <v>35855906506</v>
      </c>
      <c r="E32" s="86">
        <v>33681408406</v>
      </c>
      <c r="F32" s="2"/>
      <c r="G32" s="2"/>
      <c r="H32" s="2"/>
      <c r="I32" s="2"/>
      <c r="J32" s="2"/>
      <c r="K32" s="87"/>
      <c r="L32" s="87"/>
      <c r="M32" s="66"/>
    </row>
    <row r="33" spans="1:13" ht="15" x14ac:dyDescent="0.25">
      <c r="A33" s="72"/>
      <c r="B33" s="16"/>
      <c r="C33" s="9"/>
      <c r="D33" s="86"/>
      <c r="E33" s="86"/>
      <c r="F33" s="2"/>
      <c r="G33" s="2"/>
      <c r="H33" s="40" t="s">
        <v>25</v>
      </c>
      <c r="I33" s="16"/>
      <c r="J33" s="2"/>
      <c r="K33" s="89">
        <v>28753809216</v>
      </c>
      <c r="L33" s="89">
        <v>24055959600</v>
      </c>
      <c r="M33" s="66"/>
    </row>
    <row r="34" spans="1:13" ht="15" x14ac:dyDescent="0.25">
      <c r="A34" s="73" t="s">
        <v>12</v>
      </c>
      <c r="B34" s="16"/>
      <c r="C34" s="9"/>
      <c r="D34" s="86">
        <v>43010528067</v>
      </c>
      <c r="E34" s="86">
        <v>37472396951</v>
      </c>
      <c r="F34" s="2"/>
      <c r="G34" s="2"/>
      <c r="H34" s="2"/>
      <c r="I34" s="2"/>
      <c r="J34" s="2"/>
      <c r="K34" s="87"/>
      <c r="L34" s="87"/>
      <c r="M34" s="66"/>
    </row>
    <row r="35" spans="1:13" ht="15" x14ac:dyDescent="0.25">
      <c r="A35" s="65"/>
      <c r="B35" s="2"/>
      <c r="C35" s="2"/>
      <c r="D35" s="2"/>
      <c r="E35" s="3"/>
      <c r="F35" s="2"/>
      <c r="G35" s="2"/>
      <c r="H35" s="38" t="s">
        <v>26</v>
      </c>
      <c r="I35" s="16"/>
      <c r="J35" s="2"/>
      <c r="K35" s="87"/>
      <c r="L35" s="87"/>
      <c r="M35" s="66"/>
    </row>
    <row r="36" spans="1:13" x14ac:dyDescent="0.2">
      <c r="A36" s="65"/>
      <c r="B36" s="2"/>
      <c r="C36" s="2"/>
      <c r="D36" s="2"/>
      <c r="E36" s="3"/>
      <c r="F36" s="2"/>
      <c r="G36" s="2"/>
      <c r="H36" s="39" t="s">
        <v>28</v>
      </c>
      <c r="I36" s="16"/>
      <c r="J36" s="2"/>
      <c r="K36" s="86">
        <v>0</v>
      </c>
      <c r="L36" s="86">
        <v>0</v>
      </c>
      <c r="M36" s="66"/>
    </row>
    <row r="37" spans="1:13" x14ac:dyDescent="0.2">
      <c r="A37" s="65"/>
      <c r="B37" s="2"/>
      <c r="C37" s="2"/>
      <c r="D37" s="2"/>
      <c r="E37" s="3"/>
      <c r="F37" s="2"/>
      <c r="G37" s="2"/>
      <c r="H37" s="9"/>
      <c r="I37" s="16" t="s">
        <v>27</v>
      </c>
      <c r="J37" s="2"/>
      <c r="K37" s="87">
        <v>0</v>
      </c>
      <c r="L37" s="87">
        <v>0</v>
      </c>
      <c r="M37" s="66"/>
    </row>
    <row r="38" spans="1:13" x14ac:dyDescent="0.2">
      <c r="A38" s="72"/>
      <c r="B38" s="16"/>
      <c r="C38" s="9"/>
      <c r="D38" s="3"/>
      <c r="E38" s="3"/>
      <c r="F38" s="2"/>
      <c r="G38" s="2"/>
      <c r="H38" s="9"/>
      <c r="I38" s="16" t="s">
        <v>29</v>
      </c>
      <c r="J38" s="2"/>
      <c r="K38" s="87">
        <v>0</v>
      </c>
      <c r="L38" s="87">
        <v>0</v>
      </c>
      <c r="M38" s="66"/>
    </row>
    <row r="39" spans="1:13" x14ac:dyDescent="0.2">
      <c r="A39" s="72"/>
      <c r="B39" s="16"/>
      <c r="C39" s="9"/>
      <c r="D39" s="3"/>
      <c r="E39" s="3"/>
      <c r="F39" s="2"/>
      <c r="G39" s="2"/>
      <c r="H39" s="9"/>
      <c r="I39" s="16" t="s">
        <v>30</v>
      </c>
      <c r="J39" s="2"/>
      <c r="K39" s="87">
        <v>0</v>
      </c>
      <c r="L39" s="87">
        <v>0</v>
      </c>
      <c r="M39" s="66"/>
    </row>
    <row r="40" spans="1:13" x14ac:dyDescent="0.2">
      <c r="A40" s="72"/>
      <c r="B40" s="15"/>
      <c r="C40" s="2"/>
      <c r="D40" s="3"/>
      <c r="E40" s="3"/>
      <c r="F40" s="2"/>
      <c r="G40" s="2"/>
      <c r="H40" s="2"/>
      <c r="I40" s="2"/>
      <c r="J40" s="2"/>
      <c r="K40" s="87"/>
      <c r="L40" s="87"/>
      <c r="M40" s="66"/>
    </row>
    <row r="41" spans="1:13" x14ac:dyDescent="0.2">
      <c r="A41" s="72"/>
      <c r="B41" s="15"/>
      <c r="C41" s="2"/>
      <c r="D41" s="13"/>
      <c r="E41" s="13"/>
      <c r="F41" s="2"/>
      <c r="G41" s="2"/>
      <c r="H41" s="39" t="s">
        <v>33</v>
      </c>
      <c r="I41" s="16"/>
      <c r="J41" s="2"/>
      <c r="K41" s="86">
        <v>14256718851</v>
      </c>
      <c r="L41" s="86">
        <v>13416437351</v>
      </c>
      <c r="M41" s="66"/>
    </row>
    <row r="42" spans="1:13" x14ac:dyDescent="0.2">
      <c r="A42" s="72"/>
      <c r="B42" s="15"/>
      <c r="C42" s="2"/>
      <c r="D42" s="3"/>
      <c r="E42" s="3"/>
      <c r="F42" s="2"/>
      <c r="G42" s="2"/>
      <c r="H42" s="9"/>
      <c r="I42" s="16" t="s">
        <v>158</v>
      </c>
      <c r="J42" s="2"/>
      <c r="K42" s="92">
        <v>-1067565204</v>
      </c>
      <c r="L42" s="92">
        <v>-776591397</v>
      </c>
      <c r="M42" s="66"/>
    </row>
    <row r="43" spans="1:13" x14ac:dyDescent="0.2">
      <c r="A43" s="72"/>
      <c r="B43" s="15"/>
      <c r="C43" s="2"/>
      <c r="D43" s="3"/>
      <c r="E43" s="3"/>
      <c r="F43" s="2"/>
      <c r="G43" s="2"/>
      <c r="H43" s="9"/>
      <c r="I43" s="16" t="s">
        <v>34</v>
      </c>
      <c r="J43" s="2"/>
      <c r="K43" s="92">
        <v>6053348881</v>
      </c>
      <c r="L43" s="92">
        <v>4922093574</v>
      </c>
      <c r="M43" s="66"/>
    </row>
    <row r="44" spans="1:13" x14ac:dyDescent="0.2">
      <c r="A44" s="72"/>
      <c r="B44" s="15"/>
      <c r="C44" s="2"/>
      <c r="D44" s="3"/>
      <c r="E44" s="3"/>
      <c r="F44" s="2"/>
      <c r="G44" s="2"/>
      <c r="H44" s="9"/>
      <c r="I44" s="16" t="s">
        <v>31</v>
      </c>
      <c r="J44" s="9"/>
      <c r="K44" s="92">
        <v>9270935174</v>
      </c>
      <c r="L44" s="92">
        <v>9270935174</v>
      </c>
      <c r="M44" s="66"/>
    </row>
    <row r="45" spans="1:13" x14ac:dyDescent="0.2">
      <c r="A45" s="72"/>
      <c r="B45" s="15"/>
      <c r="C45" s="2"/>
      <c r="D45" s="3"/>
      <c r="E45" s="3"/>
      <c r="F45" s="2"/>
      <c r="G45" s="2"/>
      <c r="H45" s="9"/>
      <c r="I45" s="16" t="s">
        <v>32</v>
      </c>
      <c r="J45" s="9"/>
      <c r="K45" s="91">
        <v>0</v>
      </c>
      <c r="L45" s="91">
        <v>0</v>
      </c>
      <c r="M45" s="66"/>
    </row>
    <row r="46" spans="1:13" x14ac:dyDescent="0.2">
      <c r="A46" s="72"/>
      <c r="B46" s="15"/>
      <c r="C46" s="2"/>
      <c r="D46" s="13"/>
      <c r="E46" s="13"/>
      <c r="F46" s="2"/>
      <c r="G46" s="2"/>
      <c r="H46" s="9"/>
      <c r="I46" s="16" t="s">
        <v>35</v>
      </c>
      <c r="J46" s="2"/>
      <c r="K46" s="91">
        <v>0</v>
      </c>
      <c r="L46" s="91">
        <v>0</v>
      </c>
      <c r="M46" s="66"/>
    </row>
    <row r="47" spans="1:13" ht="15" x14ac:dyDescent="0.2">
      <c r="A47" s="72"/>
      <c r="B47" s="15"/>
      <c r="C47" s="2"/>
      <c r="D47" s="3"/>
      <c r="E47" s="3"/>
      <c r="F47" s="2"/>
      <c r="G47" s="2"/>
      <c r="H47" s="39"/>
      <c r="I47" s="16"/>
      <c r="J47" s="2"/>
      <c r="K47" s="93"/>
      <c r="M47" s="66"/>
    </row>
    <row r="48" spans="1:13" x14ac:dyDescent="0.2">
      <c r="A48" s="72"/>
      <c r="B48" s="15"/>
      <c r="C48" s="2"/>
      <c r="D48" s="3"/>
      <c r="E48" s="3"/>
      <c r="F48" s="2"/>
      <c r="G48" s="2"/>
      <c r="H48" s="41" t="s">
        <v>159</v>
      </c>
      <c r="I48" s="9"/>
      <c r="J48" s="2"/>
      <c r="K48" s="86">
        <v>0</v>
      </c>
      <c r="L48" s="86">
        <v>0</v>
      </c>
      <c r="M48" s="66"/>
    </row>
    <row r="49" spans="1:13" ht="15" x14ac:dyDescent="0.25">
      <c r="A49" s="72"/>
      <c r="B49" s="17"/>
      <c r="C49" s="11"/>
      <c r="D49" s="14"/>
      <c r="E49" s="13"/>
      <c r="F49" s="2"/>
      <c r="G49" s="2"/>
      <c r="H49" s="9"/>
      <c r="I49" s="16" t="s">
        <v>136</v>
      </c>
      <c r="J49" s="2"/>
      <c r="K49" s="87">
        <v>0</v>
      </c>
      <c r="L49" s="87">
        <v>0</v>
      </c>
      <c r="M49" s="66"/>
    </row>
    <row r="50" spans="1:13" ht="15" x14ac:dyDescent="0.25">
      <c r="A50" s="72"/>
      <c r="B50" s="15"/>
      <c r="C50" s="11"/>
      <c r="D50" s="12"/>
      <c r="E50" s="3"/>
      <c r="F50" s="2"/>
      <c r="G50" s="2"/>
      <c r="H50" s="9"/>
      <c r="I50" s="16" t="s">
        <v>137</v>
      </c>
      <c r="J50" s="2"/>
      <c r="K50" s="87">
        <v>0</v>
      </c>
      <c r="L50" s="87">
        <v>0</v>
      </c>
      <c r="M50" s="66"/>
    </row>
    <row r="51" spans="1:13" ht="4.5" customHeight="1" x14ac:dyDescent="0.25">
      <c r="A51" s="72"/>
      <c r="B51" s="15"/>
      <c r="C51" s="11"/>
      <c r="D51" s="12"/>
      <c r="E51" s="3"/>
      <c r="F51" s="2"/>
      <c r="G51" s="2"/>
      <c r="H51" s="9"/>
      <c r="I51" s="16"/>
      <c r="J51" s="2"/>
      <c r="K51" s="87"/>
      <c r="L51" s="87"/>
      <c r="M51" s="66"/>
    </row>
    <row r="52" spans="1:13" ht="15" x14ac:dyDescent="0.25">
      <c r="A52" s="72"/>
      <c r="B52" s="17"/>
      <c r="C52" s="11"/>
      <c r="D52" s="12"/>
      <c r="E52" s="4"/>
      <c r="F52" s="2"/>
      <c r="G52" s="2"/>
      <c r="H52" s="39"/>
      <c r="I52" s="42" t="s">
        <v>36</v>
      </c>
      <c r="J52" s="5"/>
      <c r="K52" s="90">
        <v>14256718851</v>
      </c>
      <c r="L52" s="90">
        <v>13416437351</v>
      </c>
      <c r="M52" s="66"/>
    </row>
    <row r="53" spans="1:13" ht="6.75" customHeight="1" x14ac:dyDescent="0.2">
      <c r="A53" s="72"/>
      <c r="B53" s="16"/>
      <c r="C53" s="9"/>
      <c r="D53" s="14"/>
      <c r="E53" s="13"/>
      <c r="F53" s="2"/>
      <c r="G53" s="2"/>
      <c r="H53" s="9"/>
      <c r="I53" s="16"/>
      <c r="J53" s="2"/>
      <c r="K53" s="87"/>
      <c r="L53" s="87"/>
      <c r="M53" s="66"/>
    </row>
    <row r="54" spans="1:13" ht="15" x14ac:dyDescent="0.25">
      <c r="A54" s="72"/>
      <c r="B54" s="15"/>
      <c r="C54" s="9"/>
      <c r="D54" s="12"/>
      <c r="E54" s="3"/>
      <c r="F54" s="2"/>
      <c r="G54" s="2"/>
      <c r="H54" s="9"/>
      <c r="I54" s="43" t="s">
        <v>37</v>
      </c>
      <c r="J54" s="5"/>
      <c r="K54" s="90">
        <v>43010528067</v>
      </c>
      <c r="L54" s="90">
        <v>37472396951</v>
      </c>
      <c r="M54" s="66"/>
    </row>
    <row r="55" spans="1:13" ht="3.75" customHeight="1" thickBot="1" x14ac:dyDescent="0.25">
      <c r="A55" s="74"/>
      <c r="B55" s="75"/>
      <c r="C55" s="75"/>
      <c r="D55" s="75"/>
      <c r="E55" s="76"/>
      <c r="F55" s="75"/>
      <c r="G55" s="75"/>
      <c r="H55" s="75"/>
      <c r="I55" s="75"/>
      <c r="J55" s="75"/>
      <c r="K55" s="75"/>
      <c r="L55" s="75"/>
      <c r="M55" s="77"/>
    </row>
    <row r="58" spans="1:13" x14ac:dyDescent="0.2">
      <c r="K58" s="95"/>
    </row>
    <row r="59" spans="1:13" x14ac:dyDescent="0.2">
      <c r="E59"/>
      <c r="K59" s="97"/>
    </row>
    <row r="60" spans="1:13" ht="15" x14ac:dyDescent="0.25">
      <c r="A60" s="612" t="s">
        <v>7238</v>
      </c>
      <c r="B60" s="612"/>
      <c r="C60" s="612"/>
      <c r="D60" s="612"/>
      <c r="E60" s="612"/>
      <c r="F60" s="612"/>
      <c r="G60" s="612"/>
      <c r="H60" s="612"/>
      <c r="I60" s="612"/>
      <c r="J60" s="612"/>
      <c r="K60" s="612"/>
      <c r="L60" s="612"/>
      <c r="M60" s="612"/>
    </row>
    <row r="61" spans="1:13" ht="15" x14ac:dyDescent="0.25">
      <c r="A61" s="612" t="s">
        <v>7239</v>
      </c>
      <c r="B61" s="612"/>
      <c r="C61" s="612"/>
      <c r="D61" s="612"/>
      <c r="E61" s="612"/>
      <c r="F61" s="612"/>
      <c r="G61" s="612"/>
      <c r="H61" s="612"/>
      <c r="I61" s="612"/>
      <c r="J61" s="612"/>
      <c r="K61" s="612"/>
      <c r="L61" s="612"/>
      <c r="M61" s="612"/>
    </row>
  </sheetData>
  <mergeCells count="7">
    <mergeCell ref="A60:M60"/>
    <mergeCell ref="A61:M61"/>
    <mergeCell ref="A3:M3"/>
    <mergeCell ref="A4:M4"/>
    <mergeCell ref="A5:M5"/>
    <mergeCell ref="A7:M7"/>
    <mergeCell ref="A6:M6"/>
  </mergeCells>
  <printOptions horizontalCentered="1"/>
  <pageMargins left="0.23622047244094491" right="0.23622047244094491" top="0.15748031496062992" bottom="0.15748031496062992" header="0.31496062992125984" footer="0.31496062992125984"/>
  <pageSetup scale="70" fitToHeight="2"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8"/>
  <sheetViews>
    <sheetView workbookViewId="0">
      <selection activeCell="J10" sqref="J10"/>
    </sheetView>
  </sheetViews>
  <sheetFormatPr baseColWidth="10" defaultRowHeight="12.75" x14ac:dyDescent="0.2"/>
  <cols>
    <col min="1" max="1" width="27.85546875" style="153" customWidth="1"/>
    <col min="2" max="2" width="17.28515625" style="153" hidden="1" customWidth="1"/>
    <col min="3" max="3" width="11.7109375" style="153" customWidth="1"/>
    <col min="4" max="4" width="15.42578125" style="153" bestFit="1" customWidth="1"/>
    <col min="5" max="5" width="10.85546875" style="153" bestFit="1" customWidth="1"/>
    <col min="6" max="6" width="13.5703125" style="153" customWidth="1"/>
    <col min="7" max="7" width="9" style="153" customWidth="1"/>
    <col min="8" max="8" width="16.28515625" style="153" customWidth="1"/>
    <col min="9" max="9" width="16.42578125" style="153" bestFit="1" customWidth="1"/>
    <col min="10" max="11" width="15.140625" style="153" bestFit="1" customWidth="1"/>
    <col min="12" max="12" width="15.85546875" style="153" customWidth="1"/>
    <col min="13" max="16384" width="11.42578125" style="153"/>
  </cols>
  <sheetData>
    <row r="1" spans="1:12" ht="15.75" x14ac:dyDescent="0.2">
      <c r="A1" s="721" t="s">
        <v>40</v>
      </c>
      <c r="B1" s="722"/>
      <c r="C1" s="722"/>
      <c r="D1" s="722"/>
      <c r="E1" s="722"/>
      <c r="F1" s="722"/>
      <c r="G1" s="722"/>
      <c r="H1" s="722"/>
      <c r="I1" s="722"/>
      <c r="J1" s="722"/>
      <c r="K1" s="722"/>
      <c r="L1" s="723"/>
    </row>
    <row r="2" spans="1:12" ht="15" x14ac:dyDescent="0.2">
      <c r="A2" s="724" t="s">
        <v>7665</v>
      </c>
      <c r="B2" s="725"/>
      <c r="C2" s="725"/>
      <c r="D2" s="725"/>
      <c r="E2" s="725"/>
      <c r="F2" s="725"/>
      <c r="G2" s="725"/>
      <c r="H2" s="725"/>
      <c r="I2" s="725"/>
      <c r="J2" s="725"/>
      <c r="K2" s="725"/>
      <c r="L2" s="726"/>
    </row>
    <row r="3" spans="1:12" x14ac:dyDescent="0.2">
      <c r="A3" s="727" t="s">
        <v>7373</v>
      </c>
      <c r="B3" s="728"/>
      <c r="C3" s="728"/>
      <c r="D3" s="728"/>
      <c r="E3" s="728"/>
      <c r="F3" s="728"/>
      <c r="G3" s="728"/>
      <c r="H3" s="728"/>
      <c r="I3" s="728"/>
      <c r="J3" s="728"/>
      <c r="K3" s="728"/>
      <c r="L3" s="729"/>
    </row>
    <row r="4" spans="1:12" ht="13.5" thickBot="1" x14ac:dyDescent="0.25">
      <c r="A4" s="730" t="s">
        <v>7257</v>
      </c>
      <c r="B4" s="731"/>
      <c r="C4" s="731"/>
      <c r="D4" s="731"/>
      <c r="E4" s="731"/>
      <c r="F4" s="731"/>
      <c r="G4" s="731"/>
      <c r="H4" s="731"/>
      <c r="I4" s="731"/>
      <c r="J4" s="731"/>
      <c r="K4" s="731"/>
      <c r="L4" s="732"/>
    </row>
    <row r="5" spans="1:12" ht="84.75" thickBot="1" x14ac:dyDescent="0.25">
      <c r="A5" s="456" t="s">
        <v>7666</v>
      </c>
      <c r="B5" s="457" t="s">
        <v>7667</v>
      </c>
      <c r="C5" s="457" t="s">
        <v>7668</v>
      </c>
      <c r="D5" s="457" t="s">
        <v>7669</v>
      </c>
      <c r="E5" s="457" t="s">
        <v>7670</v>
      </c>
      <c r="F5" s="457" t="s">
        <v>7671</v>
      </c>
      <c r="G5" s="457" t="s">
        <v>7672</v>
      </c>
      <c r="H5" s="457" t="s">
        <v>7673</v>
      </c>
      <c r="I5" s="457" t="s">
        <v>7674</v>
      </c>
      <c r="J5" s="457" t="s">
        <v>7675</v>
      </c>
      <c r="K5" s="457" t="s">
        <v>7676</v>
      </c>
      <c r="L5" s="457" t="s">
        <v>7677</v>
      </c>
    </row>
    <row r="6" spans="1:12" x14ac:dyDescent="0.2">
      <c r="A6" s="458"/>
      <c r="B6" s="459"/>
      <c r="C6" s="460"/>
      <c r="D6" s="460"/>
      <c r="E6" s="460"/>
      <c r="F6" s="460"/>
      <c r="G6" s="460"/>
      <c r="H6" s="460"/>
      <c r="I6" s="460"/>
      <c r="J6" s="460"/>
      <c r="K6" s="460"/>
      <c r="L6" s="460"/>
    </row>
    <row r="7" spans="1:12" ht="24" x14ac:dyDescent="0.2">
      <c r="A7" s="461" t="s">
        <v>7678</v>
      </c>
      <c r="B7" s="462">
        <f>B8+B9+B10+B11</f>
        <v>0</v>
      </c>
      <c r="C7" s="459"/>
      <c r="D7" s="459"/>
      <c r="E7" s="459"/>
      <c r="F7" s="459"/>
      <c r="G7" s="459"/>
      <c r="H7" s="459"/>
      <c r="I7" s="459"/>
      <c r="J7" s="459"/>
      <c r="K7" s="459"/>
      <c r="L7" s="459"/>
    </row>
    <row r="8" spans="1:12" x14ac:dyDescent="0.2">
      <c r="A8" s="463" t="s">
        <v>7679</v>
      </c>
      <c r="B8" s="464"/>
      <c r="C8" s="459"/>
      <c r="D8" s="459"/>
      <c r="E8" s="459"/>
      <c r="F8" s="459"/>
      <c r="G8" s="459"/>
      <c r="H8" s="459"/>
      <c r="I8" s="459"/>
      <c r="J8" s="459"/>
      <c r="K8" s="459"/>
      <c r="L8" s="459"/>
    </row>
    <row r="9" spans="1:12" x14ac:dyDescent="0.2">
      <c r="A9" s="463" t="s">
        <v>7680</v>
      </c>
      <c r="B9" s="464"/>
      <c r="C9" s="459"/>
      <c r="D9" s="459"/>
      <c r="E9" s="459"/>
      <c r="F9" s="459"/>
      <c r="G9" s="459"/>
      <c r="H9" s="459"/>
      <c r="I9" s="459"/>
      <c r="J9" s="459"/>
      <c r="K9" s="459"/>
      <c r="L9" s="459"/>
    </row>
    <row r="10" spans="1:12" x14ac:dyDescent="0.2">
      <c r="A10" s="463" t="s">
        <v>7681</v>
      </c>
      <c r="B10" s="464"/>
      <c r="C10" s="459"/>
      <c r="D10" s="459"/>
      <c r="E10" s="459"/>
      <c r="F10" s="459"/>
      <c r="G10" s="459"/>
      <c r="H10" s="459"/>
      <c r="I10" s="459"/>
      <c r="J10" s="459"/>
      <c r="K10" s="459"/>
      <c r="L10" s="459"/>
    </row>
    <row r="11" spans="1:12" x14ac:dyDescent="0.2">
      <c r="A11" s="463" t="s">
        <v>7682</v>
      </c>
      <c r="B11" s="464"/>
      <c r="C11" s="459"/>
      <c r="D11" s="459"/>
      <c r="E11" s="459"/>
      <c r="F11" s="459"/>
      <c r="G11" s="459"/>
      <c r="H11" s="459"/>
      <c r="I11" s="459"/>
      <c r="J11" s="459"/>
      <c r="K11" s="459"/>
      <c r="L11" s="459"/>
    </row>
    <row r="12" spans="1:12" x14ac:dyDescent="0.2">
      <c r="A12" s="465"/>
      <c r="B12" s="466"/>
      <c r="C12" s="459"/>
      <c r="D12" s="459"/>
      <c r="E12" s="459"/>
      <c r="F12" s="459"/>
      <c r="G12" s="459"/>
      <c r="H12" s="459"/>
      <c r="I12" s="459"/>
      <c r="J12" s="459"/>
      <c r="K12" s="459"/>
      <c r="L12" s="459"/>
    </row>
    <row r="13" spans="1:12" ht="24" x14ac:dyDescent="0.2">
      <c r="A13" s="461" t="s">
        <v>7683</v>
      </c>
      <c r="B13" s="462">
        <f>B14+B15+B16+B17</f>
        <v>0</v>
      </c>
      <c r="C13" s="459"/>
      <c r="D13" s="459"/>
      <c r="E13" s="459"/>
      <c r="F13" s="459"/>
      <c r="G13" s="459"/>
      <c r="H13" s="459"/>
      <c r="I13" s="459"/>
      <c r="J13" s="459"/>
      <c r="K13" s="459"/>
      <c r="L13" s="459"/>
    </row>
    <row r="14" spans="1:12" x14ac:dyDescent="0.2">
      <c r="A14" s="463" t="s">
        <v>7684</v>
      </c>
      <c r="B14" s="464"/>
      <c r="C14" s="459"/>
      <c r="D14" s="459"/>
      <c r="E14" s="459"/>
      <c r="F14" s="459"/>
      <c r="G14" s="459"/>
      <c r="H14" s="459"/>
      <c r="I14" s="459"/>
      <c r="J14" s="459"/>
      <c r="K14" s="459"/>
      <c r="L14" s="459"/>
    </row>
    <row r="15" spans="1:12" x14ac:dyDescent="0.2">
      <c r="A15" s="463" t="s">
        <v>7685</v>
      </c>
      <c r="B15" s="464"/>
      <c r="C15" s="459"/>
      <c r="D15" s="459"/>
      <c r="E15" s="459"/>
      <c r="F15" s="459"/>
      <c r="G15" s="459"/>
      <c r="H15" s="459"/>
      <c r="I15" s="459"/>
      <c r="J15" s="459"/>
      <c r="K15" s="459"/>
      <c r="L15" s="459"/>
    </row>
    <row r="16" spans="1:12" x14ac:dyDescent="0.2">
      <c r="A16" s="463" t="s">
        <v>7686</v>
      </c>
      <c r="B16" s="464"/>
      <c r="C16" s="459"/>
      <c r="D16" s="459"/>
      <c r="E16" s="459"/>
      <c r="F16" s="459"/>
      <c r="G16" s="459"/>
      <c r="H16" s="459"/>
      <c r="I16" s="459"/>
      <c r="J16" s="459"/>
      <c r="K16" s="459"/>
      <c r="L16" s="459"/>
    </row>
    <row r="17" spans="1:12" x14ac:dyDescent="0.2">
      <c r="A17" s="463" t="s">
        <v>7687</v>
      </c>
      <c r="B17" s="464"/>
      <c r="C17" s="459"/>
      <c r="D17" s="459"/>
      <c r="E17" s="459"/>
      <c r="F17" s="459"/>
      <c r="G17" s="459"/>
      <c r="H17" s="459"/>
      <c r="I17" s="459"/>
      <c r="J17" s="459"/>
      <c r="K17" s="459"/>
      <c r="L17" s="459"/>
    </row>
    <row r="18" spans="1:12" x14ac:dyDescent="0.2">
      <c r="A18" s="465"/>
      <c r="B18" s="466"/>
      <c r="C18" s="459"/>
      <c r="D18" s="459"/>
      <c r="E18" s="459"/>
      <c r="F18" s="459"/>
      <c r="G18" s="459"/>
      <c r="H18" s="459"/>
      <c r="I18" s="459"/>
      <c r="J18" s="459"/>
      <c r="K18" s="459"/>
      <c r="L18" s="459"/>
    </row>
    <row r="19" spans="1:12" ht="36" x14ac:dyDescent="0.2">
      <c r="A19" s="461" t="s">
        <v>7688</v>
      </c>
      <c r="B19" s="462">
        <f>B7+B13</f>
        <v>0</v>
      </c>
      <c r="C19" s="459"/>
      <c r="D19" s="459"/>
      <c r="E19" s="459"/>
      <c r="F19" s="459"/>
      <c r="G19" s="459"/>
      <c r="H19" s="459"/>
      <c r="I19" s="459"/>
      <c r="J19" s="459"/>
      <c r="K19" s="459"/>
      <c r="L19" s="459"/>
    </row>
    <row r="20" spans="1:12" ht="13.5" thickBot="1" x14ac:dyDescent="0.25">
      <c r="A20" s="467"/>
      <c r="B20" s="468"/>
      <c r="C20" s="469"/>
      <c r="D20" s="469"/>
      <c r="E20" s="469"/>
      <c r="F20" s="469"/>
      <c r="G20" s="469"/>
      <c r="H20" s="469"/>
      <c r="I20" s="469"/>
      <c r="J20" s="469"/>
      <c r="K20" s="469"/>
      <c r="L20" s="469"/>
    </row>
    <row r="22" spans="1:12" ht="15" x14ac:dyDescent="0.25">
      <c r="A22" s="470" t="s">
        <v>7689</v>
      </c>
    </row>
    <row r="25" spans="1:12" x14ac:dyDescent="0.2">
      <c r="D25"/>
      <c r="E25"/>
      <c r="F25"/>
      <c r="G25"/>
      <c r="H25"/>
    </row>
    <row r="26" spans="1:12" ht="15" x14ac:dyDescent="0.25">
      <c r="B26" s="471"/>
      <c r="C26" s="471"/>
      <c r="D26" s="471"/>
      <c r="E26" s="471"/>
      <c r="F26" s="471"/>
      <c r="G26" s="471"/>
      <c r="H26" s="471"/>
    </row>
    <row r="27" spans="1:12" ht="15" x14ac:dyDescent="0.25">
      <c r="A27" s="612" t="s">
        <v>7238</v>
      </c>
      <c r="B27" s="612"/>
      <c r="C27" s="612"/>
      <c r="D27" s="612"/>
      <c r="E27" s="612"/>
      <c r="F27" s="612"/>
      <c r="G27" s="612"/>
      <c r="H27" s="612"/>
      <c r="I27" s="612"/>
      <c r="J27" s="612"/>
      <c r="K27" s="612"/>
      <c r="L27" s="612"/>
    </row>
    <row r="28" spans="1:12" ht="15" x14ac:dyDescent="0.25">
      <c r="A28" s="612" t="s">
        <v>7239</v>
      </c>
      <c r="B28" s="612"/>
      <c r="C28" s="612"/>
      <c r="D28" s="612"/>
      <c r="E28" s="612"/>
      <c r="F28" s="612"/>
      <c r="G28" s="612"/>
      <c r="H28" s="612"/>
      <c r="I28" s="612"/>
      <c r="J28" s="612"/>
      <c r="K28" s="612"/>
      <c r="L28" s="612"/>
    </row>
  </sheetData>
  <mergeCells count="6">
    <mergeCell ref="A28:L28"/>
    <mergeCell ref="A1:L1"/>
    <mergeCell ref="A2:L2"/>
    <mergeCell ref="A3:L3"/>
    <mergeCell ref="A4:L4"/>
    <mergeCell ref="A27:L27"/>
  </mergeCells>
  <pageMargins left="0.7" right="0.7" top="0.75" bottom="0.75" header="0.3" footer="0.3"/>
  <pageSetup scale="74"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
  <sheetViews>
    <sheetView topLeftCell="A2" workbookViewId="0">
      <selection activeCell="I12" sqref="I12"/>
    </sheetView>
  </sheetViews>
  <sheetFormatPr baseColWidth="10" defaultColWidth="28.42578125" defaultRowHeight="12.75" x14ac:dyDescent="0.2"/>
  <cols>
    <col min="1" max="1" width="28.42578125" style="474"/>
    <col min="2" max="2" width="19.85546875" style="474" customWidth="1"/>
    <col min="3" max="3" width="22.140625" style="474" customWidth="1"/>
    <col min="4" max="4" width="21.42578125" style="474" customWidth="1"/>
    <col min="5" max="5" width="20.140625" style="474" customWidth="1"/>
    <col min="6" max="6" width="17.7109375" style="474" customWidth="1"/>
    <col min="7" max="16384" width="28.42578125" style="474"/>
  </cols>
  <sheetData>
    <row r="1" spans="1:7" s="473" customFormat="1" hidden="1" x14ac:dyDescent="0.2">
      <c r="A1" s="472" t="s">
        <v>1763</v>
      </c>
      <c r="B1" s="472" t="s">
        <v>1762</v>
      </c>
      <c r="E1" s="472" t="s">
        <v>1772</v>
      </c>
      <c r="G1" s="473" t="s">
        <v>7233</v>
      </c>
    </row>
    <row r="2" spans="1:7" ht="13.5" thickBot="1" x14ac:dyDescent="0.25"/>
    <row r="3" spans="1:7" ht="18.75" x14ac:dyDescent="0.3">
      <c r="A3" s="664" t="s">
        <v>40</v>
      </c>
      <c r="B3" s="665"/>
      <c r="C3" s="665"/>
      <c r="D3" s="665"/>
      <c r="E3" s="665"/>
      <c r="F3" s="665"/>
      <c r="G3" s="666"/>
    </row>
    <row r="4" spans="1:7" ht="23.25" customHeight="1" x14ac:dyDescent="0.25">
      <c r="A4" s="667" t="s">
        <v>7690</v>
      </c>
      <c r="B4" s="668"/>
      <c r="C4" s="668"/>
      <c r="D4" s="668"/>
      <c r="E4" s="668"/>
      <c r="F4" s="668"/>
      <c r="G4" s="669"/>
    </row>
    <row r="5" spans="1:7" ht="20.25" customHeight="1" x14ac:dyDescent="0.25">
      <c r="A5" s="667" t="s">
        <v>7373</v>
      </c>
      <c r="B5" s="668"/>
      <c r="C5" s="668"/>
      <c r="D5" s="668"/>
      <c r="E5" s="668"/>
      <c r="F5" s="668"/>
      <c r="G5" s="669"/>
    </row>
    <row r="6" spans="1:7" ht="18" customHeight="1" thickBot="1" x14ac:dyDescent="0.3">
      <c r="A6" s="737"/>
      <c r="B6" s="738"/>
      <c r="C6" s="738"/>
      <c r="D6" s="738"/>
      <c r="E6" s="738"/>
      <c r="F6" s="738"/>
      <c r="G6" s="739"/>
    </row>
    <row r="7" spans="1:7" ht="15" x14ac:dyDescent="0.25">
      <c r="A7" s="475"/>
      <c r="B7" s="476"/>
      <c r="C7" s="476"/>
      <c r="D7" s="476"/>
      <c r="E7" s="476"/>
      <c r="F7" s="476"/>
      <c r="G7" s="477"/>
    </row>
    <row r="8" spans="1:7" s="392" customFormat="1" ht="29.25" customHeight="1" x14ac:dyDescent="0.2">
      <c r="A8" s="733" t="s">
        <v>7691</v>
      </c>
      <c r="B8" s="734"/>
      <c r="C8" s="734"/>
      <c r="D8" s="734"/>
      <c r="E8" s="734"/>
      <c r="F8" s="734"/>
      <c r="G8" s="735"/>
    </row>
    <row r="9" spans="1:7" s="392" customFormat="1" x14ac:dyDescent="0.2">
      <c r="A9" s="478"/>
      <c r="G9" s="479"/>
    </row>
    <row r="10" spans="1:7" s="392" customFormat="1" ht="82.5" customHeight="1" x14ac:dyDescent="0.2">
      <c r="A10" s="733" t="s">
        <v>7692</v>
      </c>
      <c r="B10" s="734"/>
      <c r="C10" s="734"/>
      <c r="D10" s="734"/>
      <c r="E10" s="734"/>
      <c r="F10" s="734"/>
      <c r="G10" s="735"/>
    </row>
    <row r="11" spans="1:7" s="392" customFormat="1" x14ac:dyDescent="0.2">
      <c r="A11" s="478"/>
      <c r="G11" s="479"/>
    </row>
    <row r="12" spans="1:7" s="392" customFormat="1" ht="83.25" customHeight="1" x14ac:dyDescent="0.2">
      <c r="A12" s="733" t="s">
        <v>7693</v>
      </c>
      <c r="B12" s="734"/>
      <c r="C12" s="734"/>
      <c r="D12" s="734"/>
      <c r="E12" s="734"/>
      <c r="F12" s="734"/>
      <c r="G12" s="735"/>
    </row>
    <row r="13" spans="1:7" s="392" customFormat="1" x14ac:dyDescent="0.2">
      <c r="A13" s="478"/>
      <c r="G13" s="479"/>
    </row>
    <row r="14" spans="1:7" s="392" customFormat="1" ht="96" customHeight="1" x14ac:dyDescent="0.2">
      <c r="A14" s="733" t="s">
        <v>7694</v>
      </c>
      <c r="B14" s="734"/>
      <c r="C14" s="734"/>
      <c r="D14" s="734"/>
      <c r="E14" s="734"/>
      <c r="F14" s="734"/>
      <c r="G14" s="735"/>
    </row>
    <row r="15" spans="1:7" s="392" customFormat="1" x14ac:dyDescent="0.2">
      <c r="A15" s="478"/>
      <c r="G15" s="479"/>
    </row>
    <row r="16" spans="1:7" s="392" customFormat="1" ht="93.75" customHeight="1" x14ac:dyDescent="0.2">
      <c r="A16" s="733" t="s">
        <v>7695</v>
      </c>
      <c r="B16" s="734"/>
      <c r="C16" s="734"/>
      <c r="D16" s="734"/>
      <c r="E16" s="734"/>
      <c r="F16" s="734"/>
      <c r="G16" s="735"/>
    </row>
    <row r="17" spans="1:7" s="392" customFormat="1" x14ac:dyDescent="0.2">
      <c r="A17" s="478"/>
      <c r="G17" s="479"/>
    </row>
    <row r="18" spans="1:7" s="392" customFormat="1" ht="94.5" customHeight="1" x14ac:dyDescent="0.2">
      <c r="A18" s="733" t="s">
        <v>7696</v>
      </c>
      <c r="B18" s="734"/>
      <c r="C18" s="734"/>
      <c r="D18" s="734"/>
      <c r="E18" s="734"/>
      <c r="F18" s="734"/>
      <c r="G18" s="735"/>
    </row>
    <row r="19" spans="1:7" s="392" customFormat="1" x14ac:dyDescent="0.2">
      <c r="A19" s="478"/>
      <c r="G19" s="479"/>
    </row>
    <row r="20" spans="1:7" s="392" customFormat="1" ht="84.75" customHeight="1" x14ac:dyDescent="0.2">
      <c r="A20" s="733" t="s">
        <v>7697</v>
      </c>
      <c r="B20" s="734"/>
      <c r="C20" s="734"/>
      <c r="D20" s="734"/>
      <c r="E20" s="734"/>
      <c r="F20" s="734"/>
      <c r="G20" s="735"/>
    </row>
    <row r="21" spans="1:7" s="392" customFormat="1" x14ac:dyDescent="0.2">
      <c r="A21" s="478"/>
      <c r="G21" s="479"/>
    </row>
    <row r="22" spans="1:7" s="392" customFormat="1" ht="97.5" customHeight="1" x14ac:dyDescent="0.2">
      <c r="A22" s="733" t="s">
        <v>7698</v>
      </c>
      <c r="B22" s="734"/>
      <c r="C22" s="734"/>
      <c r="D22" s="734"/>
      <c r="E22" s="734"/>
      <c r="F22" s="734"/>
      <c r="G22" s="735"/>
    </row>
    <row r="23" spans="1:7" s="392" customFormat="1" x14ac:dyDescent="0.2">
      <c r="A23" s="733"/>
      <c r="B23" s="734"/>
      <c r="C23" s="734"/>
      <c r="D23" s="734"/>
      <c r="E23" s="734"/>
      <c r="F23" s="734"/>
      <c r="G23" s="735"/>
    </row>
    <row r="24" spans="1:7" s="392" customFormat="1" ht="74.25" customHeight="1" x14ac:dyDescent="0.2">
      <c r="A24" s="733" t="s">
        <v>7699</v>
      </c>
      <c r="B24" s="734"/>
      <c r="C24" s="734"/>
      <c r="D24" s="734"/>
      <c r="E24" s="734"/>
      <c r="F24" s="734"/>
      <c r="G24" s="735"/>
    </row>
    <row r="25" spans="1:7" s="392" customFormat="1" x14ac:dyDescent="0.2">
      <c r="A25" s="733"/>
      <c r="B25" s="734"/>
      <c r="C25" s="734"/>
      <c r="D25" s="734"/>
      <c r="E25" s="734"/>
      <c r="F25" s="734"/>
      <c r="G25" s="735"/>
    </row>
    <row r="26" spans="1:7" s="392" customFormat="1" ht="69.75" customHeight="1" x14ac:dyDescent="0.2">
      <c r="A26" s="733" t="s">
        <v>7700</v>
      </c>
      <c r="B26" s="734"/>
      <c r="C26" s="734"/>
      <c r="D26" s="734"/>
      <c r="E26" s="734"/>
      <c r="F26" s="734"/>
      <c r="G26" s="735"/>
    </row>
    <row r="27" spans="1:7" s="392" customFormat="1" x14ac:dyDescent="0.2">
      <c r="A27" s="733"/>
      <c r="B27" s="734"/>
      <c r="C27" s="734"/>
      <c r="D27" s="734"/>
      <c r="E27" s="734"/>
      <c r="F27" s="734"/>
      <c r="G27" s="735"/>
    </row>
    <row r="28" spans="1:7" s="392" customFormat="1" ht="69" customHeight="1" x14ac:dyDescent="0.2">
      <c r="A28" s="733" t="s">
        <v>7701</v>
      </c>
      <c r="B28" s="734"/>
      <c r="C28" s="734"/>
      <c r="D28" s="734"/>
      <c r="E28" s="734"/>
      <c r="F28" s="734"/>
      <c r="G28" s="735"/>
    </row>
    <row r="29" spans="1:7" s="392" customFormat="1" ht="13.5" customHeight="1" x14ac:dyDescent="0.2">
      <c r="A29" s="733"/>
      <c r="B29" s="734"/>
      <c r="C29" s="734"/>
      <c r="D29" s="734"/>
      <c r="E29" s="734"/>
      <c r="F29" s="734"/>
      <c r="G29" s="735"/>
    </row>
    <row r="30" spans="1:7" s="392" customFormat="1" ht="71.25" customHeight="1" x14ac:dyDescent="0.2">
      <c r="A30" s="733" t="s">
        <v>7702</v>
      </c>
      <c r="B30" s="734"/>
      <c r="C30" s="734"/>
      <c r="D30" s="734"/>
      <c r="E30" s="734"/>
      <c r="F30" s="734"/>
      <c r="G30" s="735"/>
    </row>
    <row r="31" spans="1:7" s="392" customFormat="1" ht="13.5" thickBot="1" x14ac:dyDescent="0.25">
      <c r="A31" s="733"/>
      <c r="B31" s="734"/>
      <c r="C31" s="734"/>
      <c r="D31" s="734"/>
      <c r="E31" s="734"/>
      <c r="F31" s="734"/>
      <c r="G31" s="735"/>
    </row>
    <row r="32" spans="1:7" s="392" customFormat="1" ht="18.75" customHeight="1" x14ac:dyDescent="0.3">
      <c r="A32" s="664" t="s">
        <v>40</v>
      </c>
      <c r="B32" s="665"/>
      <c r="C32" s="665"/>
      <c r="D32" s="665"/>
      <c r="E32" s="665"/>
      <c r="F32" s="665"/>
      <c r="G32" s="666"/>
    </row>
    <row r="33" spans="1:7" s="392" customFormat="1" ht="23.25" customHeight="1" x14ac:dyDescent="0.25">
      <c r="A33" s="667" t="s">
        <v>7690</v>
      </c>
      <c r="B33" s="668"/>
      <c r="C33" s="668"/>
      <c r="D33" s="668"/>
      <c r="E33" s="668"/>
      <c r="F33" s="668"/>
      <c r="G33" s="669"/>
    </row>
    <row r="34" spans="1:7" s="392" customFormat="1" ht="20.25" customHeight="1" x14ac:dyDescent="0.25">
      <c r="A34" s="667" t="s">
        <v>7373</v>
      </c>
      <c r="B34" s="668"/>
      <c r="C34" s="668"/>
      <c r="D34" s="668"/>
      <c r="E34" s="668"/>
      <c r="F34" s="668"/>
      <c r="G34" s="669"/>
    </row>
    <row r="35" spans="1:7" s="392" customFormat="1" ht="17.25" customHeight="1" thickBot="1" x14ac:dyDescent="0.3">
      <c r="A35" s="737"/>
      <c r="B35" s="738"/>
      <c r="C35" s="738"/>
      <c r="D35" s="738"/>
      <c r="E35" s="738"/>
      <c r="F35" s="738"/>
      <c r="G35" s="739"/>
    </row>
    <row r="36" spans="1:7" s="392" customFormat="1" ht="69" customHeight="1" x14ac:dyDescent="0.2">
      <c r="A36" s="733" t="s">
        <v>7703</v>
      </c>
      <c r="B36" s="734"/>
      <c r="C36" s="734"/>
      <c r="D36" s="734"/>
      <c r="E36" s="734"/>
      <c r="F36" s="734"/>
      <c r="G36" s="735"/>
    </row>
    <row r="37" spans="1:7" s="392" customFormat="1" x14ac:dyDescent="0.2">
      <c r="A37" s="733"/>
      <c r="B37" s="734"/>
      <c r="C37" s="734"/>
      <c r="D37" s="734"/>
      <c r="E37" s="734"/>
      <c r="F37" s="734"/>
      <c r="G37" s="735"/>
    </row>
    <row r="38" spans="1:7" s="392" customFormat="1" ht="58.5" customHeight="1" x14ac:dyDescent="0.2">
      <c r="A38" s="733" t="s">
        <v>7704</v>
      </c>
      <c r="B38" s="734"/>
      <c r="C38" s="734"/>
      <c r="D38" s="734"/>
      <c r="E38" s="734"/>
      <c r="F38" s="734"/>
      <c r="G38" s="735"/>
    </row>
    <row r="39" spans="1:7" s="392" customFormat="1" x14ac:dyDescent="0.2">
      <c r="A39" s="733"/>
      <c r="B39" s="734"/>
      <c r="C39" s="734"/>
      <c r="D39" s="734"/>
      <c r="E39" s="734"/>
      <c r="F39" s="734"/>
      <c r="G39" s="735"/>
    </row>
    <row r="40" spans="1:7" s="392" customFormat="1" ht="71.25" customHeight="1" x14ac:dyDescent="0.2">
      <c r="A40" s="733" t="s">
        <v>7705</v>
      </c>
      <c r="B40" s="734"/>
      <c r="C40" s="734"/>
      <c r="D40" s="734"/>
      <c r="E40" s="734"/>
      <c r="F40" s="734"/>
      <c r="G40" s="735"/>
    </row>
    <row r="41" spans="1:7" s="392" customFormat="1" x14ac:dyDescent="0.2">
      <c r="A41" s="733"/>
      <c r="B41" s="734"/>
      <c r="C41" s="734"/>
      <c r="D41" s="734"/>
      <c r="E41" s="734"/>
      <c r="F41" s="734"/>
      <c r="G41" s="735"/>
    </row>
    <row r="42" spans="1:7" s="392" customFormat="1" ht="70.5" customHeight="1" x14ac:dyDescent="0.2">
      <c r="A42" s="733" t="s">
        <v>7706</v>
      </c>
      <c r="B42" s="734"/>
      <c r="C42" s="734"/>
      <c r="D42" s="734"/>
      <c r="E42" s="734"/>
      <c r="F42" s="734"/>
      <c r="G42" s="735"/>
    </row>
    <row r="43" spans="1:7" s="392" customFormat="1" x14ac:dyDescent="0.2">
      <c r="A43" s="733"/>
      <c r="B43" s="734"/>
      <c r="C43" s="734"/>
      <c r="D43" s="734"/>
      <c r="E43" s="734"/>
      <c r="F43" s="734"/>
      <c r="G43" s="735"/>
    </row>
    <row r="44" spans="1:7" s="392" customFormat="1" ht="70.5" customHeight="1" x14ac:dyDescent="0.2">
      <c r="A44" s="733" t="s">
        <v>7707</v>
      </c>
      <c r="B44" s="734"/>
      <c r="C44" s="734"/>
      <c r="D44" s="734"/>
      <c r="E44" s="734"/>
      <c r="F44" s="734"/>
      <c r="G44" s="735"/>
    </row>
    <row r="45" spans="1:7" s="392" customFormat="1" x14ac:dyDescent="0.2">
      <c r="A45" s="733"/>
      <c r="B45" s="734"/>
      <c r="C45" s="734"/>
      <c r="D45" s="734"/>
      <c r="E45" s="734"/>
      <c r="F45" s="734"/>
      <c r="G45" s="735"/>
    </row>
    <row r="46" spans="1:7" s="392" customFormat="1" ht="73.5" customHeight="1" x14ac:dyDescent="0.2">
      <c r="A46" s="733" t="s">
        <v>7708</v>
      </c>
      <c r="B46" s="734"/>
      <c r="C46" s="734"/>
      <c r="D46" s="734"/>
      <c r="E46" s="734"/>
      <c r="F46" s="734"/>
      <c r="G46" s="735"/>
    </row>
    <row r="47" spans="1:7" s="392" customFormat="1" ht="13.5" customHeight="1" x14ac:dyDescent="0.2">
      <c r="A47" s="733"/>
      <c r="B47" s="734"/>
      <c r="C47" s="734"/>
      <c r="D47" s="734"/>
      <c r="E47" s="734"/>
      <c r="F47" s="734"/>
      <c r="G47" s="735"/>
    </row>
    <row r="48" spans="1:7" s="392" customFormat="1" ht="66.75" customHeight="1" x14ac:dyDescent="0.2">
      <c r="A48" s="733" t="s">
        <v>7709</v>
      </c>
      <c r="B48" s="734"/>
      <c r="C48" s="734"/>
      <c r="D48" s="734"/>
      <c r="E48" s="734"/>
      <c r="F48" s="734"/>
      <c r="G48" s="735"/>
    </row>
    <row r="49" spans="1:7" s="392" customFormat="1" x14ac:dyDescent="0.2">
      <c r="A49" s="733"/>
      <c r="B49" s="734"/>
      <c r="C49" s="734"/>
      <c r="D49" s="734"/>
      <c r="E49" s="734"/>
      <c r="F49" s="734"/>
      <c r="G49" s="735"/>
    </row>
    <row r="50" spans="1:7" s="392" customFormat="1" ht="77.25" customHeight="1" x14ac:dyDescent="0.2">
      <c r="A50" s="733" t="s">
        <v>7710</v>
      </c>
      <c r="B50" s="734"/>
      <c r="C50" s="734"/>
      <c r="D50" s="734"/>
      <c r="E50" s="734"/>
      <c r="F50" s="734"/>
      <c r="G50" s="735"/>
    </row>
    <row r="51" spans="1:7" s="392" customFormat="1" x14ac:dyDescent="0.2">
      <c r="A51" s="733"/>
      <c r="B51" s="734"/>
      <c r="C51" s="734"/>
      <c r="D51" s="734"/>
      <c r="E51" s="734"/>
      <c r="F51" s="734"/>
      <c r="G51" s="735"/>
    </row>
    <row r="52" spans="1:7" s="392" customFormat="1" ht="69.75" customHeight="1" x14ac:dyDescent="0.2">
      <c r="A52" s="733" t="s">
        <v>7711</v>
      </c>
      <c r="B52" s="734"/>
      <c r="C52" s="734"/>
      <c r="D52" s="734"/>
      <c r="E52" s="734"/>
      <c r="F52" s="734"/>
      <c r="G52" s="735"/>
    </row>
    <row r="53" spans="1:7" s="392" customFormat="1" x14ac:dyDescent="0.2">
      <c r="A53" s="733"/>
      <c r="B53" s="734"/>
      <c r="C53" s="734"/>
      <c r="D53" s="734"/>
      <c r="E53" s="734"/>
      <c r="F53" s="734"/>
      <c r="G53" s="735"/>
    </row>
    <row r="54" spans="1:7" s="392" customFormat="1" ht="96.75" customHeight="1" x14ac:dyDescent="0.2">
      <c r="A54" s="733" t="s">
        <v>7712</v>
      </c>
      <c r="B54" s="734"/>
      <c r="C54" s="734"/>
      <c r="D54" s="734"/>
      <c r="E54" s="734"/>
      <c r="F54" s="734"/>
      <c r="G54" s="735"/>
    </row>
    <row r="55" spans="1:7" s="392" customFormat="1" x14ac:dyDescent="0.2">
      <c r="A55" s="733"/>
      <c r="B55" s="734"/>
      <c r="C55" s="734"/>
      <c r="D55" s="734"/>
      <c r="E55" s="734"/>
      <c r="F55" s="734"/>
      <c r="G55" s="735"/>
    </row>
    <row r="56" spans="1:7" s="392" customFormat="1" ht="73.5" customHeight="1" x14ac:dyDescent="0.2">
      <c r="A56" s="733" t="s">
        <v>7713</v>
      </c>
      <c r="B56" s="734"/>
      <c r="C56" s="734"/>
      <c r="D56" s="734"/>
      <c r="E56" s="734"/>
      <c r="F56" s="734"/>
      <c r="G56" s="735"/>
    </row>
    <row r="57" spans="1:7" s="392" customFormat="1" x14ac:dyDescent="0.2">
      <c r="A57" s="733"/>
      <c r="B57" s="734"/>
      <c r="C57" s="734"/>
      <c r="D57" s="734"/>
      <c r="E57" s="734"/>
      <c r="F57" s="734"/>
      <c r="G57" s="735"/>
    </row>
    <row r="58" spans="1:7" s="392" customFormat="1" x14ac:dyDescent="0.2">
      <c r="A58" s="733"/>
      <c r="B58" s="734"/>
      <c r="C58" s="734"/>
      <c r="D58" s="734"/>
      <c r="E58" s="734"/>
      <c r="F58" s="734"/>
      <c r="G58" s="735"/>
    </row>
    <row r="59" spans="1:7" s="392" customFormat="1" ht="13.5" customHeight="1" x14ac:dyDescent="0.2">
      <c r="A59" s="733" t="s">
        <v>7714</v>
      </c>
      <c r="B59" s="734"/>
      <c r="C59" s="734"/>
      <c r="D59" s="734"/>
      <c r="E59" s="734"/>
      <c r="F59" s="734"/>
      <c r="G59" s="735"/>
    </row>
    <row r="60" spans="1:7" s="392" customFormat="1" x14ac:dyDescent="0.2">
      <c r="A60" s="733"/>
      <c r="B60" s="734"/>
      <c r="C60" s="734"/>
      <c r="D60" s="734"/>
      <c r="E60" s="734"/>
      <c r="F60" s="734"/>
      <c r="G60" s="735"/>
    </row>
    <row r="61" spans="1:7" s="392" customFormat="1" ht="60.75" customHeight="1" x14ac:dyDescent="0.2">
      <c r="A61" s="733" t="s">
        <v>7715</v>
      </c>
      <c r="B61" s="734"/>
      <c r="C61" s="734"/>
      <c r="D61" s="734"/>
      <c r="E61" s="734"/>
      <c r="F61" s="734"/>
      <c r="G61" s="735"/>
    </row>
    <row r="62" spans="1:7" s="392" customFormat="1" x14ac:dyDescent="0.2">
      <c r="A62" s="733"/>
      <c r="B62" s="734"/>
      <c r="C62" s="734"/>
      <c r="D62" s="734"/>
      <c r="E62" s="734"/>
      <c r="F62" s="734"/>
      <c r="G62" s="735"/>
    </row>
    <row r="63" spans="1:7" s="392" customFormat="1" ht="74.25" customHeight="1" x14ac:dyDescent="0.2">
      <c r="A63" s="733" t="s">
        <v>7716</v>
      </c>
      <c r="B63" s="734"/>
      <c r="C63" s="734"/>
      <c r="D63" s="734"/>
      <c r="E63" s="734"/>
      <c r="F63" s="734"/>
      <c r="G63" s="735"/>
    </row>
    <row r="64" spans="1:7" s="392" customFormat="1" ht="13.5" thickBot="1" x14ac:dyDescent="0.25">
      <c r="A64" s="733"/>
      <c r="B64" s="734"/>
      <c r="C64" s="734"/>
      <c r="D64" s="734"/>
      <c r="E64" s="734"/>
      <c r="F64" s="734"/>
      <c r="G64" s="735"/>
    </row>
    <row r="65" spans="1:7" s="392" customFormat="1" ht="18.75" customHeight="1" x14ac:dyDescent="0.3">
      <c r="A65" s="664" t="s">
        <v>40</v>
      </c>
      <c r="B65" s="665"/>
      <c r="C65" s="665"/>
      <c r="D65" s="665"/>
      <c r="E65" s="665"/>
      <c r="F65" s="665"/>
      <c r="G65" s="666"/>
    </row>
    <row r="66" spans="1:7" s="392" customFormat="1" ht="23.25" customHeight="1" x14ac:dyDescent="0.25">
      <c r="A66" s="667" t="s">
        <v>7690</v>
      </c>
      <c r="B66" s="668"/>
      <c r="C66" s="668"/>
      <c r="D66" s="668"/>
      <c r="E66" s="668"/>
      <c r="F66" s="668"/>
      <c r="G66" s="669"/>
    </row>
    <row r="67" spans="1:7" s="392" customFormat="1" ht="19.5" customHeight="1" x14ac:dyDescent="0.25">
      <c r="A67" s="667" t="s">
        <v>7373</v>
      </c>
      <c r="B67" s="668"/>
      <c r="C67" s="668"/>
      <c r="D67" s="668"/>
      <c r="E67" s="668"/>
      <c r="F67" s="668"/>
      <c r="G67" s="669"/>
    </row>
    <row r="68" spans="1:7" s="392" customFormat="1" ht="17.25" customHeight="1" thickBot="1" x14ac:dyDescent="0.3">
      <c r="A68" s="737"/>
      <c r="B68" s="738"/>
      <c r="C68" s="738"/>
      <c r="D68" s="738"/>
      <c r="E68" s="738"/>
      <c r="F68" s="738"/>
      <c r="G68" s="739"/>
    </row>
    <row r="69" spans="1:7" s="392" customFormat="1" ht="75" customHeight="1" x14ac:dyDescent="0.2">
      <c r="A69" s="733" t="s">
        <v>7717</v>
      </c>
      <c r="B69" s="734"/>
      <c r="C69" s="734"/>
      <c r="D69" s="734"/>
      <c r="E69" s="734"/>
      <c r="F69" s="734"/>
      <c r="G69" s="735"/>
    </row>
    <row r="70" spans="1:7" s="392" customFormat="1" x14ac:dyDescent="0.2">
      <c r="A70" s="733"/>
      <c r="B70" s="734"/>
      <c r="C70" s="734"/>
      <c r="D70" s="734"/>
      <c r="E70" s="734"/>
      <c r="F70" s="734"/>
      <c r="G70" s="735"/>
    </row>
    <row r="71" spans="1:7" s="392" customFormat="1" ht="15.75" customHeight="1" x14ac:dyDescent="0.2">
      <c r="A71" s="733" t="s">
        <v>7718</v>
      </c>
      <c r="B71" s="734"/>
      <c r="C71" s="734"/>
      <c r="D71" s="734"/>
      <c r="E71" s="734"/>
      <c r="F71" s="734"/>
      <c r="G71" s="735"/>
    </row>
    <row r="72" spans="1:7" s="392" customFormat="1" ht="13.5" customHeight="1" x14ac:dyDescent="0.2">
      <c r="A72" s="733"/>
      <c r="B72" s="734"/>
      <c r="C72" s="734"/>
      <c r="D72" s="734"/>
      <c r="E72" s="734"/>
      <c r="F72" s="734"/>
      <c r="G72" s="735"/>
    </row>
    <row r="73" spans="1:7" s="392" customFormat="1" ht="30.75" customHeight="1" x14ac:dyDescent="0.2">
      <c r="A73" s="733" t="s">
        <v>7719</v>
      </c>
      <c r="B73" s="734"/>
      <c r="C73" s="734"/>
      <c r="D73" s="734"/>
      <c r="E73" s="734"/>
      <c r="F73" s="734"/>
      <c r="G73" s="735"/>
    </row>
    <row r="74" spans="1:7" s="392" customFormat="1" x14ac:dyDescent="0.2">
      <c r="A74" s="733"/>
      <c r="B74" s="734"/>
      <c r="C74" s="734"/>
      <c r="D74" s="734"/>
      <c r="E74" s="734"/>
      <c r="F74" s="734"/>
      <c r="G74" s="735"/>
    </row>
    <row r="75" spans="1:7" s="392" customFormat="1" ht="13.5" customHeight="1" x14ac:dyDescent="0.2">
      <c r="A75" s="733" t="s">
        <v>7720</v>
      </c>
      <c r="B75" s="734"/>
      <c r="C75" s="734"/>
      <c r="D75" s="734"/>
      <c r="E75" s="734"/>
      <c r="F75" s="734"/>
      <c r="G75" s="735"/>
    </row>
    <row r="76" spans="1:7" s="392" customFormat="1" x14ac:dyDescent="0.2">
      <c r="A76" s="733"/>
      <c r="B76" s="734"/>
      <c r="C76" s="734"/>
      <c r="D76" s="734"/>
      <c r="E76" s="734"/>
      <c r="F76" s="734"/>
      <c r="G76" s="735"/>
    </row>
    <row r="77" spans="1:7" s="392" customFormat="1" ht="13.5" customHeight="1" x14ac:dyDescent="0.2">
      <c r="A77" s="733" t="s">
        <v>7721</v>
      </c>
      <c r="B77" s="734"/>
      <c r="C77" s="734"/>
      <c r="D77" s="734"/>
      <c r="E77" s="734"/>
      <c r="F77" s="734"/>
      <c r="G77" s="735"/>
    </row>
    <row r="78" spans="1:7" ht="13.5" thickBot="1" x14ac:dyDescent="0.25">
      <c r="A78" s="480"/>
      <c r="B78" s="481"/>
      <c r="C78" s="481"/>
      <c r="D78" s="481"/>
      <c r="E78" s="481"/>
      <c r="F78" s="481"/>
      <c r="G78" s="482"/>
    </row>
    <row r="82" spans="1:7" x14ac:dyDescent="0.2">
      <c r="B82" s="483"/>
      <c r="C82" s="483"/>
      <c r="D82" s="483"/>
      <c r="E82" s="483"/>
      <c r="F82" s="484"/>
      <c r="G82" s="485"/>
    </row>
    <row r="83" spans="1:7" x14ac:dyDescent="0.2">
      <c r="B83" s="483"/>
      <c r="E83" s="483"/>
      <c r="F83" s="486"/>
      <c r="G83" s="483"/>
    </row>
    <row r="84" spans="1:7" ht="15" x14ac:dyDescent="0.25">
      <c r="A84" s="736" t="s">
        <v>7238</v>
      </c>
      <c r="B84" s="736"/>
      <c r="C84" s="736"/>
      <c r="D84" s="736"/>
      <c r="E84" s="736"/>
      <c r="F84" s="736"/>
      <c r="G84" s="736"/>
    </row>
    <row r="85" spans="1:7" ht="15" x14ac:dyDescent="0.25">
      <c r="A85" s="736" t="s">
        <v>7239</v>
      </c>
      <c r="B85" s="736"/>
      <c r="C85" s="736"/>
      <c r="D85" s="736"/>
      <c r="E85" s="736"/>
      <c r="F85" s="736"/>
      <c r="G85" s="736"/>
    </row>
  </sheetData>
  <mergeCells count="69">
    <mergeCell ref="A22:G22"/>
    <mergeCell ref="A3:G3"/>
    <mergeCell ref="A4:G4"/>
    <mergeCell ref="A5:G5"/>
    <mergeCell ref="A6:G6"/>
    <mergeCell ref="A8:G8"/>
    <mergeCell ref="A10:G10"/>
    <mergeCell ref="A12:G12"/>
    <mergeCell ref="A14:G14"/>
    <mergeCell ref="A16:G16"/>
    <mergeCell ref="A18:G18"/>
    <mergeCell ref="A20:G20"/>
    <mergeCell ref="A34:G34"/>
    <mergeCell ref="A23:G23"/>
    <mergeCell ref="A24:G24"/>
    <mergeCell ref="A25:G25"/>
    <mergeCell ref="A26:G26"/>
    <mergeCell ref="A27:G27"/>
    <mergeCell ref="A28:G28"/>
    <mergeCell ref="A29:G29"/>
    <mergeCell ref="A30:G30"/>
    <mergeCell ref="A31:G31"/>
    <mergeCell ref="A32:G32"/>
    <mergeCell ref="A33:G33"/>
    <mergeCell ref="A46:G46"/>
    <mergeCell ref="A35:G35"/>
    <mergeCell ref="A36:G36"/>
    <mergeCell ref="A37:G37"/>
    <mergeCell ref="A38:G38"/>
    <mergeCell ref="A39:G39"/>
    <mergeCell ref="A40:G40"/>
    <mergeCell ref="A41:G41"/>
    <mergeCell ref="A42:G42"/>
    <mergeCell ref="A43:G43"/>
    <mergeCell ref="A44:G44"/>
    <mergeCell ref="A45:G45"/>
    <mergeCell ref="A58:G58"/>
    <mergeCell ref="A47:G47"/>
    <mergeCell ref="A48:G48"/>
    <mergeCell ref="A49:G49"/>
    <mergeCell ref="A50:G50"/>
    <mergeCell ref="A51:G51"/>
    <mergeCell ref="A52:G52"/>
    <mergeCell ref="A53:G53"/>
    <mergeCell ref="A54:G54"/>
    <mergeCell ref="A55:G55"/>
    <mergeCell ref="A56:G56"/>
    <mergeCell ref="A57:G57"/>
    <mergeCell ref="A70:G70"/>
    <mergeCell ref="A59:G59"/>
    <mergeCell ref="A60:G60"/>
    <mergeCell ref="A61:G61"/>
    <mergeCell ref="A62:G62"/>
    <mergeCell ref="A63:G63"/>
    <mergeCell ref="A64:G64"/>
    <mergeCell ref="A65:G65"/>
    <mergeCell ref="A66:G66"/>
    <mergeCell ref="A67:G67"/>
    <mergeCell ref="A68:G68"/>
    <mergeCell ref="A69:G69"/>
    <mergeCell ref="A77:G77"/>
    <mergeCell ref="A84:G84"/>
    <mergeCell ref="A85:G85"/>
    <mergeCell ref="A71:G71"/>
    <mergeCell ref="A72:G72"/>
    <mergeCell ref="A73:G73"/>
    <mergeCell ref="A74:G74"/>
    <mergeCell ref="A75:G75"/>
    <mergeCell ref="A76:G76"/>
  </mergeCells>
  <printOptions horizontalCentered="1"/>
  <pageMargins left="0.70866141732283472" right="0.70866141732283472" top="0.74803149606299213" bottom="0.74803149606299213" header="0.31496062992125984" footer="0.31496062992125984"/>
  <pageSetup scale="58" fitToHeight="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topLeftCell="A2" workbookViewId="0">
      <selection activeCell="I13" sqref="I13"/>
    </sheetView>
  </sheetViews>
  <sheetFormatPr baseColWidth="10" defaultRowHeight="12.75" x14ac:dyDescent="0.2"/>
  <cols>
    <col min="1" max="1" width="5.85546875" style="483" customWidth="1"/>
    <col min="2" max="2" width="43.42578125" style="483" customWidth="1"/>
    <col min="3" max="3" width="15.42578125" style="483" customWidth="1"/>
    <col min="4" max="5" width="14.140625" style="483" bestFit="1" customWidth="1"/>
    <col min="6" max="7" width="18.5703125" style="483" bestFit="1" customWidth="1"/>
    <col min="8" max="8" width="5.85546875" style="483" bestFit="1" customWidth="1"/>
    <col min="9" max="9" width="17.42578125" style="483" bestFit="1" customWidth="1"/>
    <col min="10" max="10" width="18.5703125" style="483" bestFit="1" customWidth="1"/>
    <col min="11" max="16384" width="11.42578125" style="483"/>
  </cols>
  <sheetData>
    <row r="1" spans="1:10" s="489" customFormat="1" hidden="1" x14ac:dyDescent="0.2">
      <c r="A1" s="487" t="s">
        <v>1763</v>
      </c>
      <c r="B1" s="488"/>
      <c r="C1" s="487" t="s">
        <v>731</v>
      </c>
      <c r="E1" s="487" t="s">
        <v>1762</v>
      </c>
      <c r="F1" s="489" t="s">
        <v>7236</v>
      </c>
      <c r="G1" s="489" t="s">
        <v>7233</v>
      </c>
      <c r="H1" s="489" t="s">
        <v>7234</v>
      </c>
      <c r="I1" s="489" t="s">
        <v>7235</v>
      </c>
      <c r="J1" s="489">
        <v>12</v>
      </c>
    </row>
    <row r="2" spans="1:10" ht="13.5" thickBot="1" x14ac:dyDescent="0.25"/>
    <row r="3" spans="1:10" ht="18.75" x14ac:dyDescent="0.3">
      <c r="A3" s="751" t="s">
        <v>40</v>
      </c>
      <c r="B3" s="752"/>
      <c r="C3" s="752"/>
      <c r="D3" s="752"/>
      <c r="E3" s="753"/>
      <c r="F3" s="490"/>
      <c r="G3" s="490"/>
      <c r="H3" s="490"/>
      <c r="I3" s="490"/>
      <c r="J3" s="490"/>
    </row>
    <row r="4" spans="1:10" ht="15.75" x14ac:dyDescent="0.25">
      <c r="A4" s="754" t="s">
        <v>7722</v>
      </c>
      <c r="B4" s="755"/>
      <c r="C4" s="755"/>
      <c r="D4" s="755"/>
      <c r="E4" s="756"/>
      <c r="F4" s="490"/>
      <c r="G4" s="490"/>
      <c r="H4" s="490"/>
      <c r="I4" s="490"/>
      <c r="J4" s="490"/>
    </row>
    <row r="5" spans="1:10" x14ac:dyDescent="0.2">
      <c r="A5" s="757"/>
      <c r="B5" s="758"/>
      <c r="C5" s="758"/>
      <c r="D5" s="758"/>
      <c r="E5" s="759"/>
      <c r="F5" s="490"/>
      <c r="G5" s="490"/>
      <c r="H5" s="490"/>
      <c r="I5" s="490"/>
      <c r="J5" s="490"/>
    </row>
    <row r="6" spans="1:10" ht="15.75" x14ac:dyDescent="0.2">
      <c r="A6" s="760" t="s">
        <v>7373</v>
      </c>
      <c r="B6" s="761"/>
      <c r="C6" s="761"/>
      <c r="D6" s="761"/>
      <c r="E6" s="762"/>
      <c r="F6" s="491"/>
      <c r="G6" s="491"/>
      <c r="H6" s="491"/>
      <c r="I6" s="491"/>
      <c r="J6" s="491"/>
    </row>
    <row r="7" spans="1:10" ht="13.5" thickBot="1" x14ac:dyDescent="0.25">
      <c r="A7" s="763"/>
      <c r="B7" s="764"/>
      <c r="C7" s="764"/>
      <c r="D7" s="764"/>
      <c r="E7" s="765"/>
      <c r="F7" s="490"/>
      <c r="G7" s="490"/>
      <c r="H7" s="490"/>
      <c r="I7" s="490"/>
      <c r="J7" s="490"/>
    </row>
    <row r="8" spans="1:10" ht="13.5" thickBot="1" x14ac:dyDescent="0.25">
      <c r="A8" s="766"/>
      <c r="B8" s="767"/>
      <c r="C8" s="767"/>
      <c r="D8" s="767"/>
      <c r="E8" s="768"/>
    </row>
    <row r="9" spans="1:10" ht="15.75" thickBot="1" x14ac:dyDescent="0.25">
      <c r="A9" s="747" t="s">
        <v>7424</v>
      </c>
      <c r="B9" s="748"/>
      <c r="C9" s="492" t="s">
        <v>7723</v>
      </c>
      <c r="D9" s="492" t="s">
        <v>7724</v>
      </c>
      <c r="E9" s="493" t="s">
        <v>7725</v>
      </c>
    </row>
    <row r="10" spans="1:10" ht="13.5" thickBot="1" x14ac:dyDescent="0.25">
      <c r="A10" s="494"/>
      <c r="B10" s="495"/>
      <c r="C10" s="496"/>
      <c r="D10" s="496"/>
      <c r="E10" s="497"/>
      <c r="G10" s="498"/>
    </row>
    <row r="11" spans="1:10" ht="14.25" thickBot="1" x14ac:dyDescent="0.25">
      <c r="A11" s="745" t="s">
        <v>7424</v>
      </c>
      <c r="B11" s="746"/>
      <c r="C11" s="499" t="s">
        <v>7723</v>
      </c>
      <c r="D11" s="499" t="s">
        <v>7724</v>
      </c>
      <c r="E11" s="500" t="s">
        <v>7726</v>
      </c>
      <c r="F11" s="501"/>
    </row>
    <row r="12" spans="1:10" x14ac:dyDescent="0.2">
      <c r="A12" s="502"/>
      <c r="B12" s="503"/>
      <c r="C12" s="504"/>
      <c r="D12" s="504"/>
      <c r="E12" s="505"/>
      <c r="F12" s="506"/>
    </row>
    <row r="13" spans="1:10" x14ac:dyDescent="0.2">
      <c r="A13" s="749" t="s">
        <v>7727</v>
      </c>
      <c r="B13" s="750"/>
      <c r="C13" s="507">
        <v>50748640690</v>
      </c>
      <c r="D13" s="507">
        <v>51814752982</v>
      </c>
      <c r="E13" s="507">
        <v>51814752982</v>
      </c>
      <c r="F13" s="506"/>
    </row>
    <row r="14" spans="1:10" ht="13.5" x14ac:dyDescent="0.2">
      <c r="A14" s="508"/>
      <c r="B14" s="509" t="s">
        <v>7728</v>
      </c>
      <c r="C14" s="510">
        <v>43991204672</v>
      </c>
      <c r="D14" s="510">
        <v>43674989999</v>
      </c>
      <c r="E14" s="511">
        <v>43674989999</v>
      </c>
    </row>
    <row r="15" spans="1:10" ht="13.5" x14ac:dyDescent="0.2">
      <c r="A15" s="508"/>
      <c r="B15" s="509" t="s">
        <v>7729</v>
      </c>
      <c r="C15" s="510">
        <v>6757436018</v>
      </c>
      <c r="D15" s="510">
        <v>8139762983</v>
      </c>
      <c r="E15" s="511">
        <v>8139762983</v>
      </c>
    </row>
    <row r="16" spans="1:10" x14ac:dyDescent="0.2">
      <c r="A16" s="512"/>
      <c r="B16" s="513"/>
      <c r="C16" s="514" t="s">
        <v>7730</v>
      </c>
      <c r="D16" s="514" t="s">
        <v>7730</v>
      </c>
      <c r="E16" s="515" t="s">
        <v>7730</v>
      </c>
    </row>
    <row r="17" spans="1:6" x14ac:dyDescent="0.2">
      <c r="A17" s="743" t="s">
        <v>7731</v>
      </c>
      <c r="B17" s="744"/>
      <c r="C17" s="516">
        <v>52237565079</v>
      </c>
      <c r="D17" s="516">
        <v>54060120652</v>
      </c>
      <c r="E17" s="516">
        <v>52171818895.500061</v>
      </c>
    </row>
    <row r="18" spans="1:6" ht="13.5" x14ac:dyDescent="0.2">
      <c r="A18" s="508"/>
      <c r="B18" s="509" t="s">
        <v>7732</v>
      </c>
      <c r="C18" s="510">
        <v>45483110602</v>
      </c>
      <c r="D18" s="510">
        <v>45920357669</v>
      </c>
      <c r="E18" s="511">
        <v>44032055912.500061</v>
      </c>
    </row>
    <row r="19" spans="1:6" ht="13.5" x14ac:dyDescent="0.2">
      <c r="A19" s="508"/>
      <c r="B19" s="509" t="s">
        <v>7733</v>
      </c>
      <c r="C19" s="510">
        <v>6754454477</v>
      </c>
      <c r="D19" s="510">
        <v>8139762983</v>
      </c>
      <c r="E19" s="511">
        <v>8139762983</v>
      </c>
      <c r="F19" s="517"/>
    </row>
    <row r="20" spans="1:6" x14ac:dyDescent="0.2">
      <c r="A20" s="518"/>
      <c r="B20" s="519"/>
      <c r="C20" s="520" t="s">
        <v>7730</v>
      </c>
      <c r="D20" s="520" t="s">
        <v>7730</v>
      </c>
      <c r="E20" s="521" t="s">
        <v>7730</v>
      </c>
    </row>
    <row r="21" spans="1:6" ht="13.5" thickBot="1" x14ac:dyDescent="0.25">
      <c r="A21" s="740" t="s">
        <v>7734</v>
      </c>
      <c r="B21" s="741"/>
      <c r="C21" s="522">
        <v>-1488924389</v>
      </c>
      <c r="D21" s="522">
        <v>-2245367670</v>
      </c>
      <c r="E21" s="522">
        <v>-357065913.50006104</v>
      </c>
    </row>
    <row r="22" spans="1:6" ht="13.5" thickBot="1" x14ac:dyDescent="0.25">
      <c r="A22" s="523"/>
      <c r="B22" s="524"/>
      <c r="C22" s="524"/>
      <c r="D22" s="524"/>
      <c r="E22" s="525"/>
    </row>
    <row r="23" spans="1:6" ht="14.25" thickBot="1" x14ac:dyDescent="0.25">
      <c r="A23" s="745" t="s">
        <v>7424</v>
      </c>
      <c r="B23" s="746"/>
      <c r="C23" s="499" t="s">
        <v>7723</v>
      </c>
      <c r="D23" s="499" t="s">
        <v>7724</v>
      </c>
      <c r="E23" s="500" t="s">
        <v>7726</v>
      </c>
    </row>
    <row r="24" spans="1:6" x14ac:dyDescent="0.2">
      <c r="A24" s="526"/>
      <c r="B24" s="527"/>
      <c r="C24" s="528"/>
      <c r="D24" s="528"/>
      <c r="E24" s="529"/>
    </row>
    <row r="25" spans="1:6" ht="12.75" customHeight="1" x14ac:dyDescent="0.2">
      <c r="A25" s="743" t="s">
        <v>7735</v>
      </c>
      <c r="B25" s="744"/>
      <c r="C25" s="510">
        <v>-1488924389</v>
      </c>
      <c r="D25" s="510">
        <v>-2245367670</v>
      </c>
      <c r="E25" s="511">
        <v>-357065913.50006104</v>
      </c>
    </row>
    <row r="26" spans="1:6" x14ac:dyDescent="0.2">
      <c r="A26" s="512"/>
      <c r="B26" s="513"/>
      <c r="C26" s="516" t="s">
        <v>7730</v>
      </c>
      <c r="D26" s="516" t="s">
        <v>7730</v>
      </c>
      <c r="E26" s="530" t="s">
        <v>7730</v>
      </c>
    </row>
    <row r="27" spans="1:6" x14ac:dyDescent="0.2">
      <c r="A27" s="743" t="s">
        <v>7736</v>
      </c>
      <c r="B27" s="744"/>
      <c r="C27" s="510">
        <v>1281884988</v>
      </c>
      <c r="D27" s="510">
        <v>1506276513</v>
      </c>
      <c r="E27" s="511">
        <v>1415276513</v>
      </c>
    </row>
    <row r="28" spans="1:6" x14ac:dyDescent="0.2">
      <c r="A28" s="518"/>
      <c r="B28" s="519"/>
      <c r="C28" s="516" t="s">
        <v>7730</v>
      </c>
      <c r="D28" s="516" t="s">
        <v>7730</v>
      </c>
      <c r="E28" s="530" t="s">
        <v>7730</v>
      </c>
    </row>
    <row r="29" spans="1:6" ht="13.5" thickBot="1" x14ac:dyDescent="0.25">
      <c r="A29" s="740" t="s">
        <v>7737</v>
      </c>
      <c r="B29" s="741"/>
      <c r="C29" s="531">
        <v>-2770809377</v>
      </c>
      <c r="D29" s="531">
        <v>-3751644183</v>
      </c>
      <c r="E29" s="531">
        <v>-1772342426.500061</v>
      </c>
    </row>
    <row r="30" spans="1:6" ht="13.5" thickBot="1" x14ac:dyDescent="0.25">
      <c r="A30" s="523"/>
      <c r="B30" s="524"/>
      <c r="C30" s="524"/>
      <c r="D30" s="524"/>
      <c r="E30" s="525"/>
    </row>
    <row r="31" spans="1:6" ht="14.25" thickBot="1" x14ac:dyDescent="0.25">
      <c r="A31" s="745" t="s">
        <v>7424</v>
      </c>
      <c r="B31" s="746"/>
      <c r="C31" s="499" t="s">
        <v>7723</v>
      </c>
      <c r="D31" s="499" t="s">
        <v>7724</v>
      </c>
      <c r="E31" s="500" t="s">
        <v>7726</v>
      </c>
    </row>
    <row r="32" spans="1:6" x14ac:dyDescent="0.2">
      <c r="A32" s="526"/>
      <c r="B32" s="527"/>
      <c r="C32" s="532"/>
      <c r="D32" s="532"/>
      <c r="E32" s="533"/>
    </row>
    <row r="33" spans="1:10" ht="12.75" customHeight="1" x14ac:dyDescent="0.2">
      <c r="A33" s="743" t="s">
        <v>7738</v>
      </c>
      <c r="B33" s="744"/>
      <c r="C33" s="510">
        <v>3879970029</v>
      </c>
      <c r="D33" s="510">
        <v>12112862898</v>
      </c>
      <c r="E33" s="511">
        <v>12112862898</v>
      </c>
    </row>
    <row r="34" spans="1:10" x14ac:dyDescent="0.2">
      <c r="A34" s="512"/>
      <c r="B34" s="513"/>
      <c r="C34" s="510" t="s">
        <v>7730</v>
      </c>
      <c r="D34" s="510" t="s">
        <v>7730</v>
      </c>
      <c r="E34" s="511" t="s">
        <v>7730</v>
      </c>
    </row>
    <row r="35" spans="1:10" x14ac:dyDescent="0.2">
      <c r="A35" s="743" t="s">
        <v>7739</v>
      </c>
      <c r="B35" s="744"/>
      <c r="C35" s="510">
        <v>1109160652</v>
      </c>
      <c r="D35" s="510">
        <v>6789591702</v>
      </c>
      <c r="E35" s="511">
        <v>6789591702</v>
      </c>
    </row>
    <row r="36" spans="1:10" x14ac:dyDescent="0.2">
      <c r="A36" s="518"/>
      <c r="B36" s="519"/>
      <c r="C36" s="516" t="s">
        <v>7730</v>
      </c>
      <c r="D36" s="516" t="s">
        <v>7730</v>
      </c>
      <c r="E36" s="530" t="s">
        <v>7730</v>
      </c>
    </row>
    <row r="37" spans="1:10" ht="13.5" thickBot="1" x14ac:dyDescent="0.25">
      <c r="A37" s="740" t="s">
        <v>7740</v>
      </c>
      <c r="B37" s="741"/>
      <c r="C37" s="531">
        <v>2770809377</v>
      </c>
      <c r="D37" s="531">
        <v>5323271196</v>
      </c>
      <c r="E37" s="531">
        <v>5323271196</v>
      </c>
    </row>
    <row r="38" spans="1:10" ht="13.5" thickBot="1" x14ac:dyDescent="0.25">
      <c r="A38" s="534"/>
      <c r="B38" s="535"/>
      <c r="C38" s="535"/>
      <c r="D38" s="535"/>
      <c r="E38" s="536"/>
    </row>
    <row r="43" spans="1:10" x14ac:dyDescent="0.2">
      <c r="A43" s="742" t="s">
        <v>7238</v>
      </c>
      <c r="B43" s="742"/>
      <c r="C43" s="742"/>
      <c r="D43" s="742"/>
      <c r="E43" s="742"/>
      <c r="F43" s="537"/>
      <c r="G43" s="537"/>
      <c r="H43" s="537"/>
      <c r="I43" s="537"/>
      <c r="J43" s="537"/>
    </row>
    <row r="44" spans="1:10" x14ac:dyDescent="0.2">
      <c r="A44" s="742" t="s">
        <v>7239</v>
      </c>
      <c r="B44" s="742"/>
      <c r="C44" s="742"/>
      <c r="D44" s="742"/>
      <c r="E44" s="742"/>
      <c r="F44" s="537"/>
      <c r="G44" s="537"/>
      <c r="H44" s="537"/>
      <c r="I44" s="537"/>
      <c r="J44" s="537"/>
    </row>
  </sheetData>
  <mergeCells count="21">
    <mergeCell ref="A23:B23"/>
    <mergeCell ref="A3:E3"/>
    <mergeCell ref="A4:E4"/>
    <mergeCell ref="A5:E5"/>
    <mergeCell ref="A6:E6"/>
    <mergeCell ref="A7:E7"/>
    <mergeCell ref="A8:E8"/>
    <mergeCell ref="A9:B9"/>
    <mergeCell ref="A11:B11"/>
    <mergeCell ref="A13:B13"/>
    <mergeCell ref="A17:B17"/>
    <mergeCell ref="A21:B21"/>
    <mergeCell ref="A37:B37"/>
    <mergeCell ref="A43:E43"/>
    <mergeCell ref="A44:E44"/>
    <mergeCell ref="A25:B25"/>
    <mergeCell ref="A27:B27"/>
    <mergeCell ref="A29:B29"/>
    <mergeCell ref="A31:B31"/>
    <mergeCell ref="A33:B33"/>
    <mergeCell ref="A35:B35"/>
  </mergeCells>
  <pageMargins left="0.7" right="0.7" top="0.75" bottom="0.75" header="0.3" footer="0.3"/>
  <pageSetup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
  <sheetViews>
    <sheetView topLeftCell="A3" workbookViewId="0">
      <selection activeCell="N28" sqref="N28"/>
    </sheetView>
  </sheetViews>
  <sheetFormatPr baseColWidth="10" defaultRowHeight="12.75" x14ac:dyDescent="0.2"/>
  <cols>
    <col min="1" max="2" width="5.85546875" style="545" customWidth="1"/>
    <col min="3" max="3" width="7.5703125" style="545" customWidth="1"/>
    <col min="4" max="4" width="46.28515625" style="545" customWidth="1"/>
    <col min="5" max="6" width="14.7109375" style="545" bestFit="1" customWidth="1"/>
    <col min="7" max="16384" width="11.42578125" style="545"/>
  </cols>
  <sheetData>
    <row r="1" spans="1:6" s="541" customFormat="1" ht="13.5" hidden="1" customHeight="1" x14ac:dyDescent="0.2">
      <c r="A1" s="538" t="s">
        <v>1762</v>
      </c>
      <c r="B1" s="539"/>
      <c r="C1" s="539"/>
      <c r="D1" s="538"/>
      <c r="E1" s="540"/>
      <c r="F1" s="540" t="s">
        <v>7233</v>
      </c>
    </row>
    <row r="2" spans="1:6" ht="13.5" hidden="1" thickBot="1" x14ac:dyDescent="0.25">
      <c r="A2" s="542"/>
      <c r="B2" s="543"/>
      <c r="C2" s="543"/>
      <c r="D2" s="542"/>
      <c r="E2" s="544"/>
      <c r="F2" s="544"/>
    </row>
    <row r="3" spans="1:6" ht="18.75" x14ac:dyDescent="0.3">
      <c r="A3" s="775" t="s">
        <v>40</v>
      </c>
      <c r="B3" s="776"/>
      <c r="C3" s="776"/>
      <c r="D3" s="776"/>
      <c r="E3" s="776"/>
      <c r="F3" s="777"/>
    </row>
    <row r="4" spans="1:6" ht="15.75" x14ac:dyDescent="0.25">
      <c r="A4" s="778" t="s">
        <v>7741</v>
      </c>
      <c r="B4" s="779"/>
      <c r="C4" s="779"/>
      <c r="D4" s="779"/>
      <c r="E4" s="779"/>
      <c r="F4" s="780"/>
    </row>
    <row r="5" spans="1:6" ht="15.75" x14ac:dyDescent="0.25">
      <c r="A5" s="778" t="s">
        <v>7373</v>
      </c>
      <c r="B5" s="779"/>
      <c r="C5" s="779"/>
      <c r="D5" s="779"/>
      <c r="E5" s="779"/>
      <c r="F5" s="780"/>
    </row>
    <row r="6" spans="1:6" ht="15.75" customHeight="1" thickBot="1" x14ac:dyDescent="0.25">
      <c r="A6" s="781"/>
      <c r="B6" s="782"/>
      <c r="C6" s="782"/>
      <c r="D6" s="782"/>
      <c r="E6" s="782"/>
      <c r="F6" s="783"/>
    </row>
    <row r="7" spans="1:6" x14ac:dyDescent="0.2">
      <c r="A7" s="546"/>
      <c r="B7" s="547"/>
      <c r="C7" s="547"/>
      <c r="D7" s="548"/>
      <c r="E7" s="549"/>
      <c r="F7" s="550"/>
    </row>
    <row r="8" spans="1:6" x14ac:dyDescent="0.2">
      <c r="A8" s="551" t="s">
        <v>7742</v>
      </c>
      <c r="B8" s="552"/>
      <c r="C8" s="552"/>
      <c r="D8" s="553"/>
      <c r="E8" s="554"/>
      <c r="F8" s="555">
        <v>63927615880</v>
      </c>
    </row>
    <row r="9" spans="1:6" x14ac:dyDescent="0.2">
      <c r="A9" s="556"/>
      <c r="B9" s="557"/>
      <c r="C9" s="557"/>
      <c r="D9" s="557"/>
      <c r="E9" s="558"/>
      <c r="F9" s="559"/>
    </row>
    <row r="10" spans="1:6" x14ac:dyDescent="0.2">
      <c r="A10" s="560" t="s">
        <v>7743</v>
      </c>
      <c r="B10" s="561"/>
      <c r="C10" s="561"/>
      <c r="D10" s="561"/>
      <c r="E10" s="562"/>
      <c r="F10" s="563">
        <v>18776476</v>
      </c>
    </row>
    <row r="11" spans="1:6" x14ac:dyDescent="0.2">
      <c r="A11" s="564"/>
      <c r="B11" s="565" t="s">
        <v>7744</v>
      </c>
      <c r="C11" s="565"/>
      <c r="D11" s="565"/>
      <c r="E11" s="566"/>
      <c r="F11" s="784"/>
    </row>
    <row r="12" spans="1:6" x14ac:dyDescent="0.2">
      <c r="A12" s="564"/>
      <c r="B12" s="565" t="s">
        <v>7745</v>
      </c>
      <c r="C12" s="565"/>
      <c r="D12" s="565"/>
      <c r="E12" s="567"/>
      <c r="F12" s="785"/>
    </row>
    <row r="13" spans="1:6" x14ac:dyDescent="0.2">
      <c r="A13" s="564"/>
      <c r="B13" s="565" t="s">
        <v>7746</v>
      </c>
      <c r="C13" s="565"/>
      <c r="D13" s="565"/>
      <c r="E13" s="568"/>
      <c r="F13" s="785"/>
    </row>
    <row r="14" spans="1:6" x14ac:dyDescent="0.2">
      <c r="A14" s="564"/>
      <c r="B14" s="565" t="s">
        <v>7747</v>
      </c>
      <c r="C14" s="565"/>
      <c r="D14" s="565"/>
      <c r="E14" s="569">
        <v>18776476</v>
      </c>
      <c r="F14" s="785"/>
    </row>
    <row r="15" spans="1:6" x14ac:dyDescent="0.2">
      <c r="A15" s="564" t="s">
        <v>7748</v>
      </c>
      <c r="B15" s="565"/>
      <c r="C15" s="565"/>
      <c r="D15" s="565"/>
      <c r="E15" s="567"/>
      <c r="F15" s="786"/>
    </row>
    <row r="16" spans="1:6" x14ac:dyDescent="0.2">
      <c r="A16" s="556"/>
      <c r="B16" s="557"/>
      <c r="C16" s="557"/>
      <c r="D16" s="557"/>
      <c r="E16" s="558"/>
      <c r="F16" s="559"/>
    </row>
    <row r="17" spans="1:6" x14ac:dyDescent="0.2">
      <c r="A17" s="560" t="s">
        <v>7749</v>
      </c>
      <c r="B17" s="561"/>
      <c r="C17" s="561"/>
      <c r="D17" s="561"/>
      <c r="E17" s="558"/>
      <c r="F17" s="563">
        <v>12118714064</v>
      </c>
    </row>
    <row r="18" spans="1:6" x14ac:dyDescent="0.2">
      <c r="A18" s="564"/>
      <c r="B18" s="565" t="s">
        <v>7750</v>
      </c>
      <c r="C18" s="565"/>
      <c r="D18" s="565"/>
      <c r="E18" s="570">
        <v>5851166</v>
      </c>
      <c r="F18" s="787"/>
    </row>
    <row r="19" spans="1:6" x14ac:dyDescent="0.2">
      <c r="A19" s="571"/>
      <c r="B19" s="572" t="s">
        <v>7751</v>
      </c>
      <c r="C19" s="572"/>
      <c r="D19" s="572"/>
      <c r="E19" s="568"/>
      <c r="F19" s="788"/>
    </row>
    <row r="20" spans="1:6" x14ac:dyDescent="0.2">
      <c r="A20" s="564"/>
      <c r="B20" s="565" t="s">
        <v>7752</v>
      </c>
      <c r="C20" s="565"/>
      <c r="D20" s="565"/>
      <c r="E20" s="569">
        <v>12112862898</v>
      </c>
      <c r="F20" s="788"/>
    </row>
    <row r="21" spans="1:6" x14ac:dyDescent="0.2">
      <c r="A21" s="571" t="s">
        <v>7753</v>
      </c>
      <c r="B21" s="572"/>
      <c r="C21" s="572"/>
      <c r="D21" s="572"/>
      <c r="E21" s="573"/>
      <c r="F21" s="789"/>
    </row>
    <row r="22" spans="1:6" x14ac:dyDescent="0.2">
      <c r="A22" s="556"/>
      <c r="B22" s="557"/>
      <c r="C22" s="557"/>
      <c r="D22" s="557"/>
      <c r="E22" s="574"/>
      <c r="F22" s="559"/>
    </row>
    <row r="23" spans="1:6" ht="13.5" thickBot="1" x14ac:dyDescent="0.25">
      <c r="A23" s="575" t="s">
        <v>7754</v>
      </c>
      <c r="B23" s="576"/>
      <c r="C23" s="576"/>
      <c r="D23" s="576"/>
      <c r="E23" s="577"/>
      <c r="F23" s="578">
        <v>51827678292</v>
      </c>
    </row>
    <row r="24" spans="1:6" x14ac:dyDescent="0.2">
      <c r="A24" s="579"/>
      <c r="B24" s="579"/>
      <c r="C24" s="579"/>
      <c r="D24" s="579"/>
      <c r="E24" s="579"/>
      <c r="F24" s="579"/>
    </row>
    <row r="25" spans="1:6" ht="13.5" thickBot="1" x14ac:dyDescent="0.25">
      <c r="A25" s="579"/>
      <c r="B25" s="579"/>
      <c r="C25" s="579"/>
      <c r="D25" s="579"/>
      <c r="E25" s="579"/>
      <c r="F25" s="579"/>
    </row>
    <row r="26" spans="1:6" ht="18.75" x14ac:dyDescent="0.3">
      <c r="A26" s="769" t="s">
        <v>40</v>
      </c>
      <c r="B26" s="770"/>
      <c r="C26" s="770"/>
      <c r="D26" s="770"/>
      <c r="E26" s="770"/>
      <c r="F26" s="771"/>
    </row>
    <row r="27" spans="1:6" ht="15" x14ac:dyDescent="0.25">
      <c r="A27" s="772" t="s">
        <v>7755</v>
      </c>
      <c r="B27" s="773"/>
      <c r="C27" s="773"/>
      <c r="D27" s="773"/>
      <c r="E27" s="773"/>
      <c r="F27" s="774"/>
    </row>
    <row r="28" spans="1:6" ht="15" x14ac:dyDescent="0.25">
      <c r="A28" s="772" t="s">
        <v>7373</v>
      </c>
      <c r="B28" s="773"/>
      <c r="C28" s="773"/>
      <c r="D28" s="773"/>
      <c r="E28" s="773"/>
      <c r="F28" s="774"/>
    </row>
    <row r="29" spans="1:6" ht="15.75" thickBot="1" x14ac:dyDescent="0.3">
      <c r="A29" s="580"/>
      <c r="B29" s="581"/>
      <c r="C29" s="581"/>
      <c r="D29" s="581"/>
      <c r="E29" s="582"/>
      <c r="F29" s="583"/>
    </row>
    <row r="30" spans="1:6" x14ac:dyDescent="0.2">
      <c r="A30" s="584" t="s">
        <v>7756</v>
      </c>
      <c r="B30" s="585"/>
      <c r="C30" s="585"/>
      <c r="D30" s="585"/>
      <c r="E30" s="586"/>
      <c r="F30" s="587">
        <v>62355988866.839989</v>
      </c>
    </row>
    <row r="31" spans="1:6" x14ac:dyDescent="0.2">
      <c r="A31" s="588"/>
      <c r="B31" s="589"/>
      <c r="C31" s="590"/>
      <c r="D31" s="590"/>
      <c r="E31" s="591"/>
      <c r="F31" s="592"/>
    </row>
    <row r="32" spans="1:6" x14ac:dyDescent="0.2">
      <c r="A32" s="588" t="s">
        <v>7757</v>
      </c>
      <c r="B32" s="589"/>
      <c r="C32" s="589"/>
      <c r="D32" s="589"/>
      <c r="E32" s="593"/>
      <c r="F32" s="563">
        <v>9895715703</v>
      </c>
    </row>
    <row r="33" spans="1:6" x14ac:dyDescent="0.2">
      <c r="A33" s="594"/>
      <c r="B33" s="595" t="s">
        <v>7758</v>
      </c>
      <c r="C33" s="595"/>
      <c r="D33" s="595"/>
      <c r="E33" s="596">
        <v>70381770</v>
      </c>
      <c r="F33" s="597"/>
    </row>
    <row r="34" spans="1:6" x14ac:dyDescent="0.2">
      <c r="A34" s="594"/>
      <c r="B34" s="595" t="s">
        <v>7759</v>
      </c>
      <c r="C34" s="595"/>
      <c r="D34" s="595"/>
      <c r="E34" s="596">
        <v>5834568</v>
      </c>
      <c r="F34" s="598"/>
    </row>
    <row r="35" spans="1:6" x14ac:dyDescent="0.2">
      <c r="A35" s="594"/>
      <c r="B35" s="595" t="s">
        <v>7760</v>
      </c>
      <c r="C35" s="595"/>
      <c r="D35" s="595"/>
      <c r="E35" s="596">
        <v>2537739</v>
      </c>
      <c r="F35" s="598"/>
    </row>
    <row r="36" spans="1:6" x14ac:dyDescent="0.2">
      <c r="A36" s="594"/>
      <c r="B36" s="595" t="s">
        <v>7761</v>
      </c>
      <c r="C36" s="595"/>
      <c r="D36" s="595"/>
      <c r="E36" s="596">
        <v>34191762</v>
      </c>
      <c r="F36" s="598"/>
    </row>
    <row r="37" spans="1:6" x14ac:dyDescent="0.2">
      <c r="A37" s="594"/>
      <c r="B37" s="595" t="s">
        <v>7762</v>
      </c>
      <c r="C37" s="595"/>
      <c r="D37" s="595"/>
      <c r="E37" s="596">
        <v>4024541</v>
      </c>
      <c r="F37" s="598"/>
    </row>
    <row r="38" spans="1:6" x14ac:dyDescent="0.2">
      <c r="A38" s="594"/>
      <c r="B38" s="595" t="s">
        <v>7763</v>
      </c>
      <c r="C38" s="595"/>
      <c r="D38" s="595"/>
      <c r="E38" s="596">
        <v>40176285</v>
      </c>
      <c r="F38" s="598"/>
    </row>
    <row r="39" spans="1:6" x14ac:dyDescent="0.2">
      <c r="A39" s="594"/>
      <c r="B39" s="595" t="s">
        <v>7764</v>
      </c>
      <c r="C39" s="595"/>
      <c r="D39" s="595"/>
      <c r="E39" s="596">
        <v>0</v>
      </c>
      <c r="F39" s="598"/>
    </row>
    <row r="40" spans="1:6" x14ac:dyDescent="0.2">
      <c r="A40" s="594"/>
      <c r="B40" s="595" t="s">
        <v>7765</v>
      </c>
      <c r="C40" s="595"/>
      <c r="D40" s="595"/>
      <c r="E40" s="596">
        <v>17878000</v>
      </c>
      <c r="F40" s="598"/>
    </row>
    <row r="41" spans="1:6" x14ac:dyDescent="0.2">
      <c r="A41" s="594"/>
      <c r="B41" s="595" t="s">
        <v>7766</v>
      </c>
      <c r="C41" s="595"/>
      <c r="D41" s="595"/>
      <c r="E41" s="596">
        <v>21518466</v>
      </c>
      <c r="F41" s="598"/>
    </row>
    <row r="42" spans="1:6" x14ac:dyDescent="0.2">
      <c r="A42" s="594"/>
      <c r="B42" s="595" t="s">
        <v>7767</v>
      </c>
      <c r="C42" s="595"/>
      <c r="D42" s="595"/>
      <c r="E42" s="596">
        <v>519397603</v>
      </c>
      <c r="F42" s="598"/>
    </row>
    <row r="43" spans="1:6" x14ac:dyDescent="0.2">
      <c r="A43" s="594"/>
      <c r="B43" s="595" t="s">
        <v>7768</v>
      </c>
      <c r="C43" s="595"/>
      <c r="D43" s="595"/>
      <c r="E43" s="596">
        <v>1338336854</v>
      </c>
      <c r="F43" s="598"/>
    </row>
    <row r="44" spans="1:6" x14ac:dyDescent="0.2">
      <c r="A44" s="594"/>
      <c r="B44" s="595" t="s">
        <v>7769</v>
      </c>
      <c r="C44" s="595"/>
      <c r="D44" s="595"/>
      <c r="E44" s="599">
        <v>0</v>
      </c>
      <c r="F44" s="598"/>
    </row>
    <row r="45" spans="1:6" x14ac:dyDescent="0.2">
      <c r="A45" s="594"/>
      <c r="B45" s="595" t="s">
        <v>7770</v>
      </c>
      <c r="C45" s="595"/>
      <c r="D45" s="595"/>
      <c r="E45" s="599">
        <v>0</v>
      </c>
      <c r="F45" s="598"/>
    </row>
    <row r="46" spans="1:6" x14ac:dyDescent="0.2">
      <c r="A46" s="594"/>
      <c r="B46" s="595" t="s">
        <v>7771</v>
      </c>
      <c r="C46" s="595"/>
      <c r="D46" s="595"/>
      <c r="E46" s="599">
        <v>0</v>
      </c>
      <c r="F46" s="598"/>
    </row>
    <row r="47" spans="1:6" x14ac:dyDescent="0.2">
      <c r="A47" s="594"/>
      <c r="B47" s="595" t="s">
        <v>7772</v>
      </c>
      <c r="C47" s="595"/>
      <c r="D47" s="595"/>
      <c r="E47" s="599">
        <v>0</v>
      </c>
      <c r="F47" s="598"/>
    </row>
    <row r="48" spans="1:6" x14ac:dyDescent="0.2">
      <c r="A48" s="594"/>
      <c r="B48" s="595" t="s">
        <v>7773</v>
      </c>
      <c r="C48" s="595"/>
      <c r="D48" s="595"/>
      <c r="E48" s="599">
        <v>0</v>
      </c>
      <c r="F48" s="598"/>
    </row>
    <row r="49" spans="1:6" x14ac:dyDescent="0.2">
      <c r="A49" s="594"/>
      <c r="B49" s="595" t="s">
        <v>7774</v>
      </c>
      <c r="C49" s="595"/>
      <c r="D49" s="595"/>
      <c r="E49" s="599">
        <v>6789591702</v>
      </c>
      <c r="F49" s="598"/>
    </row>
    <row r="50" spans="1:6" x14ac:dyDescent="0.2">
      <c r="A50" s="594"/>
      <c r="B50" s="595" t="s">
        <v>7775</v>
      </c>
      <c r="C50" s="595"/>
      <c r="D50" s="595"/>
      <c r="E50" s="599">
        <v>1051846413</v>
      </c>
      <c r="F50" s="598"/>
    </row>
    <row r="51" spans="1:6" x14ac:dyDescent="0.2">
      <c r="A51" s="594" t="s">
        <v>7776</v>
      </c>
      <c r="B51" s="595"/>
      <c r="C51" s="595"/>
      <c r="D51" s="595"/>
      <c r="E51" s="600"/>
      <c r="F51" s="601"/>
    </row>
    <row r="52" spans="1:6" x14ac:dyDescent="0.2">
      <c r="A52" s="588"/>
      <c r="B52" s="589"/>
      <c r="C52" s="590"/>
      <c r="D52" s="590"/>
      <c r="E52" s="591"/>
      <c r="F52" s="592"/>
    </row>
    <row r="53" spans="1:6" x14ac:dyDescent="0.2">
      <c r="A53" s="588" t="s">
        <v>7777</v>
      </c>
      <c r="B53" s="589"/>
      <c r="C53" s="589"/>
      <c r="D53" s="589"/>
      <c r="E53" s="593"/>
      <c r="F53" s="563">
        <v>434970332.02999997</v>
      </c>
    </row>
    <row r="54" spans="1:6" x14ac:dyDescent="0.2">
      <c r="A54" s="594"/>
      <c r="B54" s="595" t="s">
        <v>7778</v>
      </c>
      <c r="C54" s="595"/>
      <c r="D54" s="595"/>
      <c r="E54" s="602">
        <v>419874632.02999997</v>
      </c>
      <c r="F54" s="597"/>
    </row>
    <row r="55" spans="1:6" x14ac:dyDescent="0.2">
      <c r="A55" s="594"/>
      <c r="B55" s="595" t="s">
        <v>7779</v>
      </c>
      <c r="C55" s="595"/>
      <c r="D55" s="595"/>
      <c r="E55" s="602">
        <v>0</v>
      </c>
      <c r="F55" s="598"/>
    </row>
    <row r="56" spans="1:6" x14ac:dyDescent="0.2">
      <c r="A56" s="594"/>
      <c r="B56" s="595" t="s">
        <v>7780</v>
      </c>
      <c r="C56" s="595"/>
      <c r="D56" s="595"/>
      <c r="E56" s="602">
        <v>0</v>
      </c>
      <c r="F56" s="598"/>
    </row>
    <row r="57" spans="1:6" x14ac:dyDescent="0.2">
      <c r="A57" s="594"/>
      <c r="B57" s="595" t="s">
        <v>7781</v>
      </c>
      <c r="C57" s="595"/>
      <c r="D57" s="595"/>
      <c r="E57" s="602">
        <v>0</v>
      </c>
      <c r="F57" s="598"/>
    </row>
    <row r="58" spans="1:6" x14ac:dyDescent="0.2">
      <c r="A58" s="594"/>
      <c r="B58" s="595" t="s">
        <v>7782</v>
      </c>
      <c r="C58" s="595"/>
      <c r="D58" s="595"/>
      <c r="E58" s="602">
        <v>0</v>
      </c>
      <c r="F58" s="598"/>
    </row>
    <row r="59" spans="1:6" x14ac:dyDescent="0.2">
      <c r="A59" s="594"/>
      <c r="B59" s="595" t="s">
        <v>7783</v>
      </c>
      <c r="C59" s="595"/>
      <c r="D59" s="595"/>
      <c r="E59" s="603"/>
      <c r="F59" s="598"/>
    </row>
    <row r="60" spans="1:6" x14ac:dyDescent="0.2">
      <c r="A60" s="594" t="s">
        <v>7784</v>
      </c>
      <c r="B60" s="595"/>
      <c r="C60" s="595"/>
      <c r="D60" s="595"/>
      <c r="E60" s="602">
        <v>15095700</v>
      </c>
      <c r="F60" s="604"/>
    </row>
    <row r="61" spans="1:6" x14ac:dyDescent="0.2">
      <c r="A61" s="584"/>
      <c r="B61" s="605"/>
      <c r="C61" s="605"/>
      <c r="D61" s="605"/>
      <c r="E61" s="606"/>
      <c r="F61" s="592"/>
    </row>
    <row r="62" spans="1:6" ht="13.5" thickBot="1" x14ac:dyDescent="0.25">
      <c r="A62" s="607" t="s">
        <v>7785</v>
      </c>
      <c r="B62" s="608"/>
      <c r="C62" s="608"/>
      <c r="D62" s="608"/>
      <c r="E62" s="609"/>
      <c r="F62" s="610">
        <v>52895243495.869987</v>
      </c>
    </row>
    <row r="63" spans="1:6" x14ac:dyDescent="0.2">
      <c r="A63" s="579"/>
      <c r="B63" s="579"/>
      <c r="C63" s="579"/>
      <c r="D63" s="579"/>
      <c r="E63" s="579"/>
      <c r="F63" s="579"/>
    </row>
    <row r="64" spans="1:6" x14ac:dyDescent="0.2">
      <c r="A64" s="611"/>
      <c r="B64" s="611"/>
      <c r="C64" s="611"/>
      <c r="D64" s="611"/>
      <c r="E64" s="611"/>
      <c r="F64" s="611"/>
    </row>
    <row r="65" spans="1:6" x14ac:dyDescent="0.2">
      <c r="C65" s="483"/>
      <c r="F65" s="483"/>
    </row>
    <row r="66" spans="1:6" x14ac:dyDescent="0.2">
      <c r="A66" s="742" t="s">
        <v>7238</v>
      </c>
      <c r="B66" s="742"/>
      <c r="C66" s="742"/>
      <c r="D66" s="742"/>
      <c r="E66" s="742"/>
      <c r="F66" s="742"/>
    </row>
    <row r="67" spans="1:6" x14ac:dyDescent="0.2">
      <c r="A67" s="742" t="s">
        <v>7239</v>
      </c>
      <c r="B67" s="742"/>
      <c r="C67" s="742"/>
      <c r="D67" s="742"/>
      <c r="E67" s="742"/>
      <c r="F67" s="742"/>
    </row>
  </sheetData>
  <mergeCells count="11">
    <mergeCell ref="F18:F21"/>
    <mergeCell ref="A3:F3"/>
    <mergeCell ref="A4:F4"/>
    <mergeCell ref="A5:F5"/>
    <mergeCell ref="A6:F6"/>
    <mergeCell ref="F11:F15"/>
    <mergeCell ref="A26:F26"/>
    <mergeCell ref="A27:F27"/>
    <mergeCell ref="A28:F28"/>
    <mergeCell ref="A66:F66"/>
    <mergeCell ref="A67:F67"/>
  </mergeCells>
  <printOptions horizontalCentered="1"/>
  <pageMargins left="0.70866141732283472" right="0.70866141732283472" top="0.74803149606299213" bottom="0.74803149606299213" header="0.31496062992125984" footer="0.31496062992125984"/>
  <pageSetup scale="8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29"/>
  <sheetViews>
    <sheetView topLeftCell="B445" zoomScale="80" zoomScaleNormal="80" workbookViewId="0">
      <selection activeCell="F789" sqref="F1:F1048576"/>
    </sheetView>
  </sheetViews>
  <sheetFormatPr baseColWidth="10" defaultColWidth="11.42578125" defaultRowHeight="12.75" x14ac:dyDescent="0.2"/>
  <cols>
    <col min="1" max="1" width="40.140625" bestFit="1" customWidth="1"/>
    <col min="2" max="2" width="50.140625" customWidth="1"/>
    <col min="3" max="4" width="25.7109375" bestFit="1" customWidth="1"/>
    <col min="5" max="5" width="22.140625" customWidth="1"/>
    <col min="6" max="6" width="24.140625" bestFit="1" customWidth="1"/>
    <col min="7" max="8" width="25.7109375" bestFit="1" customWidth="1"/>
    <col min="9" max="9" width="31.42578125" customWidth="1"/>
    <col min="10" max="10" width="24.42578125" bestFit="1" customWidth="1"/>
    <col min="11" max="11" width="24.140625" bestFit="1" customWidth="1"/>
    <col min="12" max="12" width="23.42578125" bestFit="1" customWidth="1"/>
    <col min="13" max="13" width="24" bestFit="1" customWidth="1"/>
    <col min="14" max="14" width="22.42578125" bestFit="1" customWidth="1"/>
    <col min="15" max="15" width="23.140625" bestFit="1" customWidth="1"/>
    <col min="16" max="16" width="24.140625" bestFit="1" customWidth="1"/>
    <col min="17" max="17" width="23.85546875" bestFit="1" customWidth="1"/>
    <col min="18" max="18" width="24.28515625" bestFit="1" customWidth="1"/>
    <col min="19" max="19" width="23.85546875" bestFit="1" customWidth="1"/>
    <col min="20" max="20" width="24.140625" bestFit="1" customWidth="1"/>
    <col min="21" max="22" width="23.140625" bestFit="1" customWidth="1"/>
    <col min="23" max="23" width="24.42578125" bestFit="1" customWidth="1"/>
  </cols>
  <sheetData>
    <row r="1" spans="1:23" x14ac:dyDescent="0.2">
      <c r="A1" s="29" t="s">
        <v>42</v>
      </c>
      <c r="B1" s="29" t="s">
        <v>43</v>
      </c>
      <c r="C1" s="21" t="s">
        <v>44</v>
      </c>
      <c r="D1" s="21" t="s">
        <v>45</v>
      </c>
      <c r="E1" s="21" t="s">
        <v>46</v>
      </c>
      <c r="F1" s="21" t="s">
        <v>47</v>
      </c>
      <c r="G1" s="21" t="s">
        <v>48</v>
      </c>
      <c r="H1" s="21" t="s">
        <v>49</v>
      </c>
      <c r="I1" s="21" t="s">
        <v>50</v>
      </c>
      <c r="J1" s="21" t="s">
        <v>51</v>
      </c>
      <c r="K1" s="21" t="s">
        <v>138</v>
      </c>
      <c r="L1" s="21" t="s">
        <v>139</v>
      </c>
      <c r="M1" s="21" t="s">
        <v>140</v>
      </c>
      <c r="N1" s="21" t="s">
        <v>141</v>
      </c>
      <c r="O1" s="21" t="s">
        <v>142</v>
      </c>
      <c r="P1" s="21" t="s">
        <v>143</v>
      </c>
      <c r="Q1" s="21" t="s">
        <v>733</v>
      </c>
      <c r="R1" s="21" t="s">
        <v>734</v>
      </c>
      <c r="S1" s="21" t="s">
        <v>735</v>
      </c>
      <c r="T1" s="21" t="s">
        <v>736</v>
      </c>
      <c r="U1" s="21" t="s">
        <v>737</v>
      </c>
      <c r="V1" s="21" t="s">
        <v>738</v>
      </c>
      <c r="W1" s="21" t="s">
        <v>739</v>
      </c>
    </row>
    <row r="2" spans="1:23" x14ac:dyDescent="0.2">
      <c r="A2" s="44" t="s">
        <v>408</v>
      </c>
      <c r="B2" s="44" t="s">
        <v>43</v>
      </c>
      <c r="C2" s="45" t="e">
        <f ca="1">[1]!BexGetData("DP_1","003N8EMH8GTFRCSWKMPXRR8GU","SUMME")</f>
        <v>#NAME?</v>
      </c>
      <c r="D2" s="45" t="e">
        <f ca="1">[1]!BexGetData("DP_1","003N8EMH8GTFRCSWKMPXRRESE","SUMME")</f>
        <v>#NAME?</v>
      </c>
      <c r="E2" s="46" t="e">
        <f ca="1">[1]!BexGetData("DP_1","003N8EMH8GTFRCSWKMPXRRL3Y","SUMME")</f>
        <v>#NAME?</v>
      </c>
      <c r="F2" s="46" t="e">
        <f ca="1">[1]!BexGetData("DP_1","003N8EMH8GTFRCSWKMPXRRRFI","SUMME")</f>
        <v>#NAME?</v>
      </c>
      <c r="G2" s="45" t="e">
        <f ca="1">[1]!BexGetData("DP_1","003N8EMH8GTFRCSWKMPXRRXR2","SUMME")</f>
        <v>#NAME?</v>
      </c>
      <c r="H2" s="45" t="e">
        <f ca="1">[1]!BexGetData("DP_1","003N8EMH8GTFRCSWKMPXRS42M","SUMME")</f>
        <v>#NAME?</v>
      </c>
      <c r="I2" s="46" t="e">
        <f ca="1">[1]!BexGetData("DP_1","003N8EMH8GTFRCSWKMPXRSAE6","SUMME")</f>
        <v>#NAME?</v>
      </c>
      <c r="J2" s="46" t="e">
        <f ca="1">[1]!BexGetData("DP_1","003N8EMH8GTFRCSWKMPXRSGPQ","SUMME")</f>
        <v>#NAME?</v>
      </c>
      <c r="K2" s="46" t="e">
        <f ca="1">[1]!BexGetData("DP_1","003N8EMH8GTFRIVNUPY288VJH","SUMME")</f>
        <v>#NAME?</v>
      </c>
      <c r="L2" s="46" t="e">
        <f ca="1">[1]!BexGetData("DP_1","003N8EMH8GTFRIVNUPY2891V1","SUMME")</f>
        <v>#NAME?</v>
      </c>
      <c r="M2" s="46" t="e">
        <f ca="1">[1]!BexGetData("DP_1","003N8EMH8GTFRIVOG7KG9IQXA","SUMME")</f>
        <v>#NAME?</v>
      </c>
      <c r="N2" s="46" t="e">
        <f ca="1">[1]!BexGetData("DP_1","003N8EMH8GTFRIVOG7KG9IX8U","SUMME")</f>
        <v>#NAME?</v>
      </c>
      <c r="O2" s="46" t="e">
        <f ca="1">[1]!BexGetData("DP_1","003N8EMH8GTFRIVOG7KG9J3KE","SUMME")</f>
        <v>#NAME?</v>
      </c>
      <c r="P2" s="46" t="e">
        <f ca="1">[1]!BexGetData("DP_1","003N8EMH8GTFRIVOG7KG9J9VY","SUMME")</f>
        <v>#NAME?</v>
      </c>
      <c r="Q2" s="46" t="e">
        <f ca="1">[1]!BexGetData("DP_1","00O2TNJGODT0G5Z4TTKYMM5MT","SUMME")</f>
        <v>#NAME?</v>
      </c>
      <c r="R2" s="46" t="e">
        <f ca="1">[1]!BexGetData("DP_1","00O2TNJGODT0G5Z4TTKYMMBYD","SUMME")</f>
        <v>#NAME?</v>
      </c>
      <c r="S2" s="46" t="e">
        <f ca="1">[1]!BexGetData("DP_1","00O2TNJGODT0G5Z4TTKYMMI9X","SUMME")</f>
        <v>#NAME?</v>
      </c>
      <c r="T2" s="46" t="e">
        <f ca="1">[1]!BexGetData("DP_1","00O2TNJGODT0G5Z4TTKYMMOLH","SUMME")</f>
        <v>#NAME?</v>
      </c>
      <c r="U2" s="46" t="e">
        <f ca="1">[1]!BexGetData("DP_1","00O2TNJGODT0G5Z4TTKYMMUX1","SUMME")</f>
        <v>#NAME?</v>
      </c>
      <c r="V2" s="46" t="e">
        <f ca="1">[1]!BexGetData("DP_1","00O2TNJGODT0G5Z4TTKYMN18L","SUMME")</f>
        <v>#NAME?</v>
      </c>
      <c r="W2" s="46" t="e">
        <f ca="1">[1]!BexGetData("DP_1","00O2TNJGODT0G5Z4TTKYMN7K5","SUMME")</f>
        <v>#NAME?</v>
      </c>
    </row>
    <row r="3" spans="1:23" x14ac:dyDescent="0.2">
      <c r="A3" s="30" t="s">
        <v>52</v>
      </c>
      <c r="B3" s="22" t="s">
        <v>53</v>
      </c>
      <c r="C3" s="23" t="e">
        <f ca="1">[1]!BexGetData("DP_1","003N8EMH8GTFRCSWKMPXRR8GU","GSON")</f>
        <v>#NAME?</v>
      </c>
      <c r="D3" s="23" t="e">
        <f ca="1">[1]!BexGetData("DP_1","003N8EMH8GTFRCSWKMPXRRESE","GSON")</f>
        <v>#NAME?</v>
      </c>
      <c r="E3" s="28" t="e">
        <f ca="1">[1]!BexGetData("DP_1","003N8EMH8GTFRCSWKMPXRRL3Y","GSON")</f>
        <v>#NAME?</v>
      </c>
      <c r="F3" s="28" t="e">
        <f ca="1">[1]!BexGetData("DP_1","003N8EMH8GTFRCSWKMPXRRRFI","GSON")</f>
        <v>#NAME?</v>
      </c>
      <c r="G3" s="23" t="e">
        <f ca="1">[1]!BexGetData("DP_1","003N8EMH8GTFRCSWKMPXRRXR2","GSON")</f>
        <v>#NAME?</v>
      </c>
      <c r="H3" s="23" t="e">
        <f ca="1">[1]!BexGetData("DP_1","003N8EMH8GTFRCSWKMPXRS42M","GSON")</f>
        <v>#NAME?</v>
      </c>
      <c r="I3" s="28" t="e">
        <f ca="1">[1]!BexGetData("DP_1","003N8EMH8GTFRCSWKMPXRSAE6","GSON")</f>
        <v>#NAME?</v>
      </c>
      <c r="J3" s="28" t="e">
        <f ca="1">[1]!BexGetData("DP_1","003N8EMH8GTFRCSWKMPXRSGPQ","GSON")</f>
        <v>#NAME?</v>
      </c>
      <c r="K3" s="28" t="e">
        <f ca="1">[1]!BexGetData("DP_1","003N8EMH8GTFRIVNUPY288VJH","GSON")</f>
        <v>#NAME?</v>
      </c>
      <c r="L3" s="28" t="e">
        <f ca="1">[1]!BexGetData("DP_1","003N8EMH8GTFRIVNUPY2891V1","GSON")</f>
        <v>#NAME?</v>
      </c>
      <c r="M3" s="28" t="e">
        <f ca="1">[1]!BexGetData("DP_1","003N8EMH8GTFRIVOG7KG9IQXA","GSON")</f>
        <v>#NAME?</v>
      </c>
      <c r="N3" s="28" t="e">
        <f ca="1">[1]!BexGetData("DP_1","003N8EMH8GTFRIVOG7KG9IX8U","GSON")</f>
        <v>#NAME?</v>
      </c>
      <c r="O3" s="28" t="e">
        <f ca="1">[1]!BexGetData("DP_1","003N8EMH8GTFRIVOG7KG9J3KE","GSON")</f>
        <v>#NAME?</v>
      </c>
      <c r="P3" s="28" t="e">
        <f ca="1">[1]!BexGetData("DP_1","003N8EMH8GTFRIVOG7KG9J9VY","GSON")</f>
        <v>#NAME?</v>
      </c>
      <c r="Q3" s="28" t="e">
        <f ca="1">[1]!BexGetData("DP_1","00O2TNJGODT0G5Z4TTKYMM5MT","GSON")</f>
        <v>#NAME?</v>
      </c>
      <c r="R3" s="28" t="e">
        <f ca="1">[1]!BexGetData("DP_1","00O2TNJGODT0G5Z4TTKYMMBYD","GSON")</f>
        <v>#NAME?</v>
      </c>
      <c r="S3" s="28" t="e">
        <f ca="1">[1]!BexGetData("DP_1","00O2TNJGODT0G5Z4TTKYMMI9X","GSON")</f>
        <v>#NAME?</v>
      </c>
      <c r="T3" s="28" t="e">
        <f ca="1">[1]!BexGetData("DP_1","00O2TNJGODT0G5Z4TTKYMMOLH","GSON")</f>
        <v>#NAME?</v>
      </c>
      <c r="U3" s="28" t="e">
        <f ca="1">[1]!BexGetData("DP_1","00O2TNJGODT0G5Z4TTKYMMUX1","GSON")</f>
        <v>#NAME?</v>
      </c>
      <c r="V3" s="28" t="e">
        <f ca="1">[1]!BexGetData("DP_1","00O2TNJGODT0G5Z4TTKYMN18L","GSON")</f>
        <v>#NAME?</v>
      </c>
      <c r="W3" s="28" t="e">
        <f ca="1">[1]!BexGetData("DP_1","00O2TNJGODT0G5Z4TTKYMN7K5","GSON")</f>
        <v>#NAME?</v>
      </c>
    </row>
    <row r="4" spans="1:23" x14ac:dyDescent="0.2">
      <c r="A4" s="31" t="s">
        <v>54</v>
      </c>
      <c r="B4" s="25" t="s">
        <v>55</v>
      </c>
      <c r="C4" s="23" t="e">
        <f ca="1">[1]!BexGetData("DP_1","003N8EMH8GTFRCSWKMPXRR8GU","GSONA")</f>
        <v>#NAME?</v>
      </c>
      <c r="D4" s="23" t="e">
        <f ca="1">[1]!BexGetData("DP_1","003N8EMH8GTFRCSWKMPXRRESE","GSONA")</f>
        <v>#NAME?</v>
      </c>
      <c r="E4" s="23" t="e">
        <f ca="1">[1]!BexGetData("DP_1","003N8EMH8GTFRCSWKMPXRRL3Y","GSONA")</f>
        <v>#NAME?</v>
      </c>
      <c r="F4" s="23" t="e">
        <f ca="1">[1]!BexGetData("DP_1","003N8EMH8GTFRCSWKMPXRRRFI","GSONA")</f>
        <v>#NAME?</v>
      </c>
      <c r="G4" s="23" t="e">
        <f ca="1">[1]!BexGetData("DP_1","003N8EMH8GTFRCSWKMPXRRXR2","GSONA")</f>
        <v>#NAME?</v>
      </c>
      <c r="H4" s="23" t="e">
        <f ca="1">[1]!BexGetData("DP_1","003N8EMH8GTFRCSWKMPXRS42M","GSONA")</f>
        <v>#NAME?</v>
      </c>
      <c r="I4" s="23" t="e">
        <f ca="1">[1]!BexGetData("DP_1","003N8EMH8GTFRCSWKMPXRSAE6","GSONA")</f>
        <v>#NAME?</v>
      </c>
      <c r="J4" s="28" t="e">
        <f ca="1">[1]!BexGetData("DP_1","003N8EMH8GTFRCSWKMPXRSGPQ","GSONA")</f>
        <v>#NAME?</v>
      </c>
      <c r="K4" s="23" t="e">
        <f ca="1">[1]!BexGetData("DP_1","003N8EMH8GTFRIVNUPY288VJH","GSONA")</f>
        <v>#NAME?</v>
      </c>
      <c r="L4" s="23" t="e">
        <f ca="1">[1]!BexGetData("DP_1","003N8EMH8GTFRIVNUPY2891V1","GSONA")</f>
        <v>#NAME?</v>
      </c>
      <c r="M4" s="23" t="e">
        <f ca="1">[1]!BexGetData("DP_1","003N8EMH8GTFRIVOG7KG9IQXA","GSONA")</f>
        <v>#NAME?</v>
      </c>
      <c r="N4" s="28" t="e">
        <f ca="1">[1]!BexGetData("DP_1","003N8EMH8GTFRIVOG7KG9IX8U","GSONA")</f>
        <v>#NAME?</v>
      </c>
      <c r="O4" s="23" t="e">
        <f ca="1">[1]!BexGetData("DP_1","003N8EMH8GTFRIVOG7KG9J3KE","GSONA")</f>
        <v>#NAME?</v>
      </c>
      <c r="P4" s="28" t="e">
        <f ca="1">[1]!BexGetData("DP_1","003N8EMH8GTFRIVOG7KG9J9VY","GSONA")</f>
        <v>#NAME?</v>
      </c>
      <c r="Q4" s="28" t="e">
        <f ca="1">[1]!BexGetData("DP_1","00O2TNJGODT0G5Z4TTKYMM5MT","GSONA")</f>
        <v>#NAME?</v>
      </c>
      <c r="R4" s="23" t="e">
        <f ca="1">[1]!BexGetData("DP_1","00O2TNJGODT0G5Z4TTKYMMBYD","GSONA")</f>
        <v>#NAME?</v>
      </c>
      <c r="S4" s="23" t="e">
        <f ca="1">[1]!BexGetData("DP_1","00O2TNJGODT0G5Z4TTKYMMI9X","GSONA")</f>
        <v>#NAME?</v>
      </c>
      <c r="T4" s="23" t="e">
        <f ca="1">[1]!BexGetData("DP_1","00O2TNJGODT0G5Z4TTKYMMOLH","GSONA")</f>
        <v>#NAME?</v>
      </c>
      <c r="U4" s="28" t="e">
        <f ca="1">[1]!BexGetData("DP_1","00O2TNJGODT0G5Z4TTKYMMUX1","GSONA")</f>
        <v>#NAME?</v>
      </c>
      <c r="V4" s="23" t="e">
        <f ca="1">[1]!BexGetData("DP_1","00O2TNJGODT0G5Z4TTKYMN18L","GSONA")</f>
        <v>#NAME?</v>
      </c>
      <c r="W4" s="28" t="e">
        <f ca="1">[1]!BexGetData("DP_1","00O2TNJGODT0G5Z4TTKYMN7K5","GSONA")</f>
        <v>#NAME?</v>
      </c>
    </row>
    <row r="5" spans="1:23" x14ac:dyDescent="0.2">
      <c r="A5" s="32" t="s">
        <v>0</v>
      </c>
      <c r="B5" s="26" t="s">
        <v>56</v>
      </c>
      <c r="C5" s="23" t="e">
        <f ca="1">[1]!BexGetData("DP_1","003N8EMH8GTFRCSWKMPXRR8GU","GSON1")</f>
        <v>#NAME?</v>
      </c>
      <c r="D5" s="23" t="e">
        <f ca="1">[1]!BexGetData("DP_1","003N8EMH8GTFRCSWKMPXRRESE","GSON1")</f>
        <v>#NAME?</v>
      </c>
      <c r="E5" s="23" t="e">
        <f ca="1">[1]!BexGetData("DP_1","003N8EMH8GTFRCSWKMPXRRL3Y","GSON1")</f>
        <v>#NAME?</v>
      </c>
      <c r="F5" s="23" t="e">
        <f ca="1">[1]!BexGetData("DP_1","003N8EMH8GTFRCSWKMPXRRRFI","GSON1")</f>
        <v>#NAME?</v>
      </c>
      <c r="G5" s="23" t="e">
        <f ca="1">[1]!BexGetData("DP_1","003N8EMH8GTFRCSWKMPXRRXR2","GSON1")</f>
        <v>#NAME?</v>
      </c>
      <c r="H5" s="23" t="e">
        <f ca="1">[1]!BexGetData("DP_1","003N8EMH8GTFRCSWKMPXRS42M","GSON1")</f>
        <v>#NAME?</v>
      </c>
      <c r="I5" s="23" t="e">
        <f ca="1">[1]!BexGetData("DP_1","003N8EMH8GTFRCSWKMPXRSAE6","GSON1")</f>
        <v>#NAME?</v>
      </c>
      <c r="J5" s="23" t="e">
        <f ca="1">[1]!BexGetData("DP_1","003N8EMH8GTFRCSWKMPXRSGPQ","GSON1")</f>
        <v>#NAME?</v>
      </c>
      <c r="K5" s="23" t="e">
        <f ca="1">[1]!BexGetData("DP_1","003N8EMH8GTFRIVNUPY288VJH","GSON1")</f>
        <v>#NAME?</v>
      </c>
      <c r="L5" s="23" t="e">
        <f ca="1">[1]!BexGetData("DP_1","003N8EMH8GTFRIVNUPY2891V1","GSON1")</f>
        <v>#NAME?</v>
      </c>
      <c r="M5" s="28" t="e">
        <f ca="1">[1]!BexGetData("DP_1","003N8EMH8GTFRIVOG7KG9IQXA","GSON1")</f>
        <v>#NAME?</v>
      </c>
      <c r="N5" s="23" t="e">
        <f ca="1">[1]!BexGetData("DP_1","003N8EMH8GTFRIVOG7KG9IX8U","GSON1")</f>
        <v>#NAME?</v>
      </c>
      <c r="O5" s="28" t="e">
        <f ca="1">[1]!BexGetData("DP_1","003N8EMH8GTFRIVOG7KG9J3KE","GSON1")</f>
        <v>#NAME?</v>
      </c>
      <c r="P5" s="23" t="e">
        <f ca="1">[1]!BexGetData("DP_1","003N8EMH8GTFRIVOG7KG9J9VY","GSON1")</f>
        <v>#NAME?</v>
      </c>
      <c r="Q5" s="23" t="e">
        <f ca="1">[1]!BexGetData("DP_1","00O2TNJGODT0G5Z4TTKYMM5MT","GSON1")</f>
        <v>#NAME?</v>
      </c>
      <c r="R5" s="23" t="e">
        <f ca="1">[1]!BexGetData("DP_1","00O2TNJGODT0G5Z4TTKYMMBYD","GSON1")</f>
        <v>#NAME?</v>
      </c>
      <c r="S5" s="23" t="e">
        <f ca="1">[1]!BexGetData("DP_1","00O2TNJGODT0G5Z4TTKYMMI9X","GSON1")</f>
        <v>#NAME?</v>
      </c>
      <c r="T5" s="23" t="e">
        <f ca="1">[1]!BexGetData("DP_1","00O2TNJGODT0G5Z4TTKYMMOLH","GSON1")</f>
        <v>#NAME?</v>
      </c>
      <c r="U5" s="28" t="e">
        <f ca="1">[1]!BexGetData("DP_1","00O2TNJGODT0G5Z4TTKYMMUX1","GSON1")</f>
        <v>#NAME?</v>
      </c>
      <c r="V5" s="23" t="e">
        <f ca="1">[1]!BexGetData("DP_1","00O2TNJGODT0G5Z4TTKYMN18L","GSON1")</f>
        <v>#NAME?</v>
      </c>
      <c r="W5" s="28" t="e">
        <f ca="1">[1]!BexGetData("DP_1","00O2TNJGODT0G5Z4TTKYMN7K5","GSON1")</f>
        <v>#NAME?</v>
      </c>
    </row>
    <row r="6" spans="1:23" x14ac:dyDescent="0.2">
      <c r="A6" s="33" t="s">
        <v>1</v>
      </c>
      <c r="B6" s="27" t="s">
        <v>57</v>
      </c>
      <c r="C6" s="23" t="e">
        <f ca="1">[1]!BexGetData("DP_1","003N8EMH8GTFRCSWKMPXRR8GU","GSON11")</f>
        <v>#NAME?</v>
      </c>
      <c r="D6" s="23" t="e">
        <f ca="1">[1]!BexGetData("DP_1","003N8EMH8GTFRCSWKMPXRRESE","GSON11")</f>
        <v>#NAME?</v>
      </c>
      <c r="E6" s="23" t="e">
        <f ca="1">[1]!BexGetData("DP_1","003N8EMH8GTFRCSWKMPXRRL3Y","GSON11")</f>
        <v>#NAME?</v>
      </c>
      <c r="F6" s="23" t="e">
        <f ca="1">[1]!BexGetData("DP_1","003N8EMH8GTFRCSWKMPXRRRFI","GSON11")</f>
        <v>#NAME?</v>
      </c>
      <c r="G6" s="23" t="e">
        <f ca="1">[1]!BexGetData("DP_1","003N8EMH8GTFRCSWKMPXRRXR2","GSON11")</f>
        <v>#NAME?</v>
      </c>
      <c r="H6" s="23" t="e">
        <f ca="1">[1]!BexGetData("DP_1","003N8EMH8GTFRCSWKMPXRS42M","GSON11")</f>
        <v>#NAME?</v>
      </c>
      <c r="I6" s="23" t="e">
        <f ca="1">[1]!BexGetData("DP_1","003N8EMH8GTFRCSWKMPXRSAE6","GSON11")</f>
        <v>#NAME?</v>
      </c>
      <c r="J6" s="23" t="e">
        <f ca="1">[1]!BexGetData("DP_1","003N8EMH8GTFRCSWKMPXRSGPQ","GSON11")</f>
        <v>#NAME?</v>
      </c>
      <c r="K6" s="23" t="e">
        <f ca="1">[1]!BexGetData("DP_1","003N8EMH8GTFRIVNUPY288VJH","GSON11")</f>
        <v>#NAME?</v>
      </c>
      <c r="L6" s="23" t="e">
        <f ca="1">[1]!BexGetData("DP_1","003N8EMH8GTFRIVNUPY2891V1","GSON11")</f>
        <v>#NAME?</v>
      </c>
      <c r="M6" s="28" t="e">
        <f ca="1">[1]!BexGetData("DP_1","003N8EMH8GTFRIVOG7KG9IQXA","GSON11")</f>
        <v>#NAME?</v>
      </c>
      <c r="N6" s="23" t="e">
        <f ca="1">[1]!BexGetData("DP_1","003N8EMH8GTFRIVOG7KG9IX8U","GSON11")</f>
        <v>#NAME?</v>
      </c>
      <c r="O6" s="28" t="e">
        <f ca="1">[1]!BexGetData("DP_1","003N8EMH8GTFRIVOG7KG9J3KE","GSON11")</f>
        <v>#NAME?</v>
      </c>
      <c r="P6" s="23" t="e">
        <f ca="1">[1]!BexGetData("DP_1","003N8EMH8GTFRIVOG7KG9J9VY","GSON11")</f>
        <v>#NAME?</v>
      </c>
      <c r="Q6" s="23" t="e">
        <f ca="1">[1]!BexGetData("DP_1","00O2TNJGODT0G5Z4TTKYMM5MT","GSON11")</f>
        <v>#NAME?</v>
      </c>
      <c r="R6" s="23" t="e">
        <f ca="1">[1]!BexGetData("DP_1","00O2TNJGODT0G5Z4TTKYMMBYD","GSON11")</f>
        <v>#NAME?</v>
      </c>
      <c r="S6" s="23" t="e">
        <f ca="1">[1]!BexGetData("DP_1","00O2TNJGODT0G5Z4TTKYMMI9X","GSON11")</f>
        <v>#NAME?</v>
      </c>
      <c r="T6" s="28" t="e">
        <f ca="1">[1]!BexGetData("DP_1","00O2TNJGODT0G5Z4TTKYMMOLH","GSON11")</f>
        <v>#NAME?</v>
      </c>
      <c r="U6" s="23" t="e">
        <f ca="1">[1]!BexGetData("DP_1","00O2TNJGODT0G5Z4TTKYMMUX1","GSON11")</f>
        <v>#NAME?</v>
      </c>
      <c r="V6" s="28" t="e">
        <f ca="1">[1]!BexGetData("DP_1","00O2TNJGODT0G5Z4TTKYMN18L","GSON11")</f>
        <v>#NAME?</v>
      </c>
      <c r="W6" s="23" t="e">
        <f ca="1">[1]!BexGetData("DP_1","00O2TNJGODT0G5Z4TTKYMN7K5","GSON11")</f>
        <v>#NAME?</v>
      </c>
    </row>
    <row r="7" spans="1:23" x14ac:dyDescent="0.2">
      <c r="A7" s="34" t="s">
        <v>58</v>
      </c>
      <c r="B7" s="27" t="s">
        <v>59</v>
      </c>
      <c r="C7" s="23" t="e">
        <f ca="1">[1]!BexGetData("DP_1","003N8EMH8GTFRCSWKMPXRR8GU","GSON111")</f>
        <v>#NAME?</v>
      </c>
      <c r="D7" s="23" t="e">
        <f ca="1">[1]!BexGetData("DP_1","003N8EMH8GTFRCSWKMPXRRESE","GSON111")</f>
        <v>#NAME?</v>
      </c>
      <c r="E7" s="23" t="e">
        <f ca="1">[1]!BexGetData("DP_1","003N8EMH8GTFRCSWKMPXRRL3Y","GSON111")</f>
        <v>#NAME?</v>
      </c>
      <c r="F7" s="23" t="e">
        <f ca="1">[1]!BexGetData("DP_1","003N8EMH8GTFRCSWKMPXRRRFI","GSON111")</f>
        <v>#NAME?</v>
      </c>
      <c r="G7" s="23" t="e">
        <f ca="1">[1]!BexGetData("DP_1","003N8EMH8GTFRCSWKMPXRRXR2","GSON111")</f>
        <v>#NAME?</v>
      </c>
      <c r="H7" s="23" t="e">
        <f ca="1">[1]!BexGetData("DP_1","003N8EMH8GTFRCSWKMPXRS42M","GSON111")</f>
        <v>#NAME?</v>
      </c>
      <c r="I7" s="23" t="e">
        <f ca="1">[1]!BexGetData("DP_1","003N8EMH8GTFRCSWKMPXRSAE6","GSON111")</f>
        <v>#NAME?</v>
      </c>
      <c r="J7" s="23" t="e">
        <f ca="1">[1]!BexGetData("DP_1","003N8EMH8GTFRCSWKMPXRSGPQ","GSON111")</f>
        <v>#NAME?</v>
      </c>
      <c r="K7" s="23" t="e">
        <f ca="1">[1]!BexGetData("DP_1","003N8EMH8GTFRIVNUPY288VJH","GSON111")</f>
        <v>#NAME?</v>
      </c>
      <c r="L7" s="23" t="e">
        <f ca="1">[1]!BexGetData("DP_1","003N8EMH8GTFRIVNUPY2891V1","GSON111")</f>
        <v>#NAME?</v>
      </c>
      <c r="M7" s="28" t="e">
        <f ca="1">[1]!BexGetData("DP_1","003N8EMH8GTFRIVOG7KG9IQXA","GSON111")</f>
        <v>#NAME?</v>
      </c>
      <c r="N7" s="23" t="e">
        <f ca="1">[1]!BexGetData("DP_1","003N8EMH8GTFRIVOG7KG9IX8U","GSON111")</f>
        <v>#NAME?</v>
      </c>
      <c r="O7" s="28" t="e">
        <f ca="1">[1]!BexGetData("DP_1","003N8EMH8GTFRIVOG7KG9J3KE","GSON111")</f>
        <v>#NAME?</v>
      </c>
      <c r="P7" s="23" t="e">
        <f ca="1">[1]!BexGetData("DP_1","003N8EMH8GTFRIVOG7KG9J9VY","GSON111")</f>
        <v>#NAME?</v>
      </c>
      <c r="Q7" s="23" t="e">
        <f ca="1">[1]!BexGetData("DP_1","00O2TNJGODT0G5Z4TTKYMM5MT","GSON111")</f>
        <v>#NAME?</v>
      </c>
      <c r="R7" s="23" t="e">
        <f ca="1">[1]!BexGetData("DP_1","00O2TNJGODT0G5Z4TTKYMMBYD","GSON111")</f>
        <v>#NAME?</v>
      </c>
      <c r="S7" s="23" t="e">
        <f ca="1">[1]!BexGetData("DP_1","00O2TNJGODT0G5Z4TTKYMMI9X","GSON111")</f>
        <v>#NAME?</v>
      </c>
      <c r="T7" s="23" t="e">
        <f ca="1">[1]!BexGetData("DP_1","00O2TNJGODT0G5Z4TTKYMMOLH","GSON111")</f>
        <v>#NAME?</v>
      </c>
      <c r="U7" s="28" t="e">
        <f ca="1">[1]!BexGetData("DP_1","00O2TNJGODT0G5Z4TTKYMMUX1","GSON111")</f>
        <v>#NAME?</v>
      </c>
      <c r="V7" s="23" t="e">
        <f ca="1">[1]!BexGetData("DP_1","00O2TNJGODT0G5Z4TTKYMN18L","GSON111")</f>
        <v>#NAME?</v>
      </c>
      <c r="W7" s="28" t="e">
        <f ca="1">[1]!BexGetData("DP_1","00O2TNJGODT0G5Z4TTKYMN7K5","GSON111")</f>
        <v>#NAME?</v>
      </c>
    </row>
    <row r="8" spans="1:23" x14ac:dyDescent="0.2">
      <c r="A8" s="35" t="s">
        <v>2</v>
      </c>
      <c r="B8" s="27" t="s">
        <v>60</v>
      </c>
      <c r="C8" s="23" t="e">
        <f ca="1">[1]!BexGetData("DP_1","003N8EMH8GTFRCSWKMPXRR8GU","GSON1111")</f>
        <v>#NAME?</v>
      </c>
      <c r="D8" s="23" t="e">
        <f ca="1">[1]!BexGetData("DP_1","003N8EMH8GTFRCSWKMPXRRESE","GSON1111")</f>
        <v>#NAME?</v>
      </c>
      <c r="E8" s="23" t="e">
        <f ca="1">[1]!BexGetData("DP_1","003N8EMH8GTFRCSWKMPXRRL3Y","GSON1111")</f>
        <v>#NAME?</v>
      </c>
      <c r="F8" s="23" t="e">
        <f ca="1">[1]!BexGetData("DP_1","003N8EMH8GTFRCSWKMPXRRRFI","GSON1111")</f>
        <v>#NAME?</v>
      </c>
      <c r="G8" s="23" t="e">
        <f ca="1">[1]!BexGetData("DP_1","003N8EMH8GTFRCSWKMPXRRXR2","GSON1111")</f>
        <v>#NAME?</v>
      </c>
      <c r="H8" s="23" t="e">
        <f ca="1">[1]!BexGetData("DP_1","003N8EMH8GTFRCSWKMPXRS42M","GSON1111")</f>
        <v>#NAME?</v>
      </c>
      <c r="I8" s="23" t="e">
        <f ca="1">[1]!BexGetData("DP_1","003N8EMH8GTFRCSWKMPXRSAE6","GSON1111")</f>
        <v>#NAME?</v>
      </c>
      <c r="J8" s="23" t="e">
        <f ca="1">[1]!BexGetData("DP_1","003N8EMH8GTFRCSWKMPXRSGPQ","GSON1111")</f>
        <v>#NAME?</v>
      </c>
      <c r="K8" s="23" t="e">
        <f ca="1">[1]!BexGetData("DP_1","003N8EMH8GTFRIVNUPY288VJH","GSON1111")</f>
        <v>#NAME?</v>
      </c>
      <c r="L8" s="23" t="e">
        <f ca="1">[1]!BexGetData("DP_1","003N8EMH8GTFRIVNUPY2891V1","GSON1111")</f>
        <v>#NAME?</v>
      </c>
      <c r="M8" s="23" t="e">
        <f ca="1">[1]!BexGetData("DP_1","003N8EMH8GTFRIVOG7KG9IQXA","GSON1111")</f>
        <v>#NAME?</v>
      </c>
      <c r="N8" s="28" t="e">
        <f ca="1">[1]!BexGetData("DP_1","003N8EMH8GTFRIVOG7KG9IX8U","GSON1111")</f>
        <v>#NAME?</v>
      </c>
      <c r="O8" s="23" t="e">
        <f ca="1">[1]!BexGetData("DP_1","003N8EMH8GTFRIVOG7KG9J3KE","GSON1111")</f>
        <v>#NAME?</v>
      </c>
      <c r="P8" s="28" t="e">
        <f ca="1">[1]!BexGetData("DP_1","003N8EMH8GTFRIVOG7KG9J9VY","GSON1111")</f>
        <v>#NAME?</v>
      </c>
      <c r="Q8" s="23" t="e">
        <f ca="1">[1]!BexGetData("DP_1","00O2TNJGODT0G5Z4TTKYMM5MT","GSON1111")</f>
        <v>#NAME?</v>
      </c>
      <c r="R8" s="23" t="e">
        <f ca="1">[1]!BexGetData("DP_1","00O2TNJGODT0G5Z4TTKYMMBYD","GSON1111")</f>
        <v>#NAME?</v>
      </c>
      <c r="S8" s="23" t="e">
        <f ca="1">[1]!BexGetData("DP_1","00O2TNJGODT0G5Z4TTKYMMI9X","GSON1111")</f>
        <v>#NAME?</v>
      </c>
      <c r="T8" s="23" t="e">
        <f ca="1">[1]!BexGetData("DP_1","00O2TNJGODT0G5Z4TTKYMMOLH","GSON1111")</f>
        <v>#NAME?</v>
      </c>
      <c r="U8" s="28" t="e">
        <f ca="1">[1]!BexGetData("DP_1","00O2TNJGODT0G5Z4TTKYMMUX1","GSON1111")</f>
        <v>#NAME?</v>
      </c>
      <c r="V8" s="23" t="e">
        <f ca="1">[1]!BexGetData("DP_1","00O2TNJGODT0G5Z4TTKYMN18L","GSON1111")</f>
        <v>#NAME?</v>
      </c>
      <c r="W8" s="28" t="e">
        <f ca="1">[1]!BexGetData("DP_1","00O2TNJGODT0G5Z4TTKYMN7K5","GSON1111")</f>
        <v>#NAME?</v>
      </c>
    </row>
    <row r="9" spans="1:23" x14ac:dyDescent="0.2">
      <c r="A9" s="36" t="s">
        <v>1773</v>
      </c>
      <c r="B9" s="27" t="s">
        <v>409</v>
      </c>
      <c r="C9" s="28" t="e">
        <f ca="1">[1]!BexGetData("DP_1","003N8EMH8GTFRCSWKMPXRR8GU","GSON1111100000")</f>
        <v>#NAME?</v>
      </c>
      <c r="D9" s="28" t="e">
        <f ca="1">[1]!BexGetData("DP_1","003N8EMH8GTFRCSWKMPXRRESE","GSON1111100000")</f>
        <v>#NAME?</v>
      </c>
      <c r="E9" s="28" t="e">
        <f ca="1">[1]!BexGetData("DP_1","003N8EMH8GTFRCSWKMPXRRL3Y","GSON1111100000")</f>
        <v>#NAME?</v>
      </c>
      <c r="F9" s="28" t="e">
        <f ca="1">[1]!BexGetData("DP_1","003N8EMH8GTFRCSWKMPXRRRFI","GSON1111100000")</f>
        <v>#NAME?</v>
      </c>
      <c r="G9" s="28" t="e">
        <f ca="1">[1]!BexGetData("DP_1","003N8EMH8GTFRCSWKMPXRRXR2","GSON1111100000")</f>
        <v>#NAME?</v>
      </c>
      <c r="H9" s="23" t="e">
        <f ca="1">[1]!BexGetData("DP_1","003N8EMH8GTFRCSWKMPXRS42M","GSON1111100000")</f>
        <v>#NAME?</v>
      </c>
      <c r="I9" s="28" t="e">
        <f ca="1">[1]!BexGetData("DP_1","003N8EMH8GTFRCSWKMPXRSAE6","GSON1111100000")</f>
        <v>#NAME?</v>
      </c>
      <c r="J9" s="23" t="e">
        <f ca="1">[1]!BexGetData("DP_1","003N8EMH8GTFRCSWKMPXRSGPQ","GSON1111100000")</f>
        <v>#NAME?</v>
      </c>
      <c r="K9" s="28" t="e">
        <f ca="1">[1]!BexGetData("DP_1","003N8EMH8GTFRIVNUPY288VJH","GSON1111100000")</f>
        <v>#NAME?</v>
      </c>
      <c r="L9" s="28" t="e">
        <f ca="1">[1]!BexGetData("DP_1","003N8EMH8GTFRIVNUPY2891V1","GSON1111100000")</f>
        <v>#NAME?</v>
      </c>
      <c r="M9" s="28" t="e">
        <f ca="1">[1]!BexGetData("DP_1","003N8EMH8GTFRIVOG7KG9IQXA","GSON1111100000")</f>
        <v>#NAME?</v>
      </c>
      <c r="N9" s="28" t="e">
        <f ca="1">[1]!BexGetData("DP_1","003N8EMH8GTFRIVOG7KG9IX8U","GSON1111100000")</f>
        <v>#NAME?</v>
      </c>
      <c r="O9" s="28" t="e">
        <f ca="1">[1]!BexGetData("DP_1","003N8EMH8GTFRIVOG7KG9J3KE","GSON1111100000")</f>
        <v>#NAME?</v>
      </c>
      <c r="P9" s="28" t="e">
        <f ca="1">[1]!BexGetData("DP_1","003N8EMH8GTFRIVOG7KG9J9VY","GSON1111100000")</f>
        <v>#NAME?</v>
      </c>
      <c r="Q9" s="23" t="e">
        <f ca="1">[1]!BexGetData("DP_1","00O2TNJGODT0G5Z4TTKYMM5MT","GSON1111100000")</f>
        <v>#NAME?</v>
      </c>
      <c r="R9" s="23" t="e">
        <f ca="1">[1]!BexGetData("DP_1","00O2TNJGODT0G5Z4TTKYMMBYD","GSON1111100000")</f>
        <v>#NAME?</v>
      </c>
      <c r="S9" s="23" t="e">
        <f ca="1">[1]!BexGetData("DP_1","00O2TNJGODT0G5Z4TTKYMMI9X","GSON1111100000")</f>
        <v>#NAME?</v>
      </c>
      <c r="T9" s="23" t="e">
        <f ca="1">[1]!BexGetData("DP_1","00O2TNJGODT0G5Z4TTKYMMOLH","GSON1111100000")</f>
        <v>#NAME?</v>
      </c>
      <c r="U9" s="28" t="e">
        <f ca="1">[1]!BexGetData("DP_1","00O2TNJGODT0G5Z4TTKYMMUX1","GSON1111100000")</f>
        <v>#NAME?</v>
      </c>
      <c r="V9" s="23" t="e">
        <f ca="1">[1]!BexGetData("DP_1","00O2TNJGODT0G5Z4TTKYMN18L","GSON1111100000")</f>
        <v>#NAME?</v>
      </c>
      <c r="W9" s="28" t="e">
        <f ca="1">[1]!BexGetData("DP_1","00O2TNJGODT0G5Z4TTKYMN7K5","GSON1111100000")</f>
        <v>#NAME?</v>
      </c>
    </row>
    <row r="10" spans="1:23" x14ac:dyDescent="0.2">
      <c r="A10" s="36" t="s">
        <v>1774</v>
      </c>
      <c r="B10" s="27" t="s">
        <v>1775</v>
      </c>
      <c r="C10" s="23" t="e">
        <f ca="1">[1]!BexGetData("DP_1","003N8EMH8GTFRCSWKMPXRR8GU","GSON1111100001")</f>
        <v>#NAME?</v>
      </c>
      <c r="D10" s="23" t="e">
        <f ca="1">[1]!BexGetData("DP_1","003N8EMH8GTFRCSWKMPXRRESE","GSON1111100001")</f>
        <v>#NAME?</v>
      </c>
      <c r="E10" s="23" t="e">
        <f ca="1">[1]!BexGetData("DP_1","003N8EMH8GTFRCSWKMPXRRL3Y","GSON1111100001")</f>
        <v>#NAME?</v>
      </c>
      <c r="F10" s="23" t="e">
        <f ca="1">[1]!BexGetData("DP_1","003N8EMH8GTFRCSWKMPXRRRFI","GSON1111100001")</f>
        <v>#NAME?</v>
      </c>
      <c r="G10" s="23" t="e">
        <f ca="1">[1]!BexGetData("DP_1","003N8EMH8GTFRCSWKMPXRRXR2","GSON1111100001")</f>
        <v>#NAME?</v>
      </c>
      <c r="H10" s="23" t="e">
        <f ca="1">[1]!BexGetData("DP_1","003N8EMH8GTFRCSWKMPXRS42M","GSON1111100001")</f>
        <v>#NAME?</v>
      </c>
      <c r="I10" s="23" t="e">
        <f ca="1">[1]!BexGetData("DP_1","003N8EMH8GTFRCSWKMPXRSAE6","GSON1111100001")</f>
        <v>#NAME?</v>
      </c>
      <c r="J10" s="24" t="e">
        <f ca="1">[1]!BexGetData("DP_1","003N8EMH8GTFRCSWKMPXRSGPQ","GSON1111100001")</f>
        <v>#NAME?</v>
      </c>
      <c r="K10" s="28" t="e">
        <f ca="1">[1]!BexGetData("DP_1","003N8EMH8GTFRIVNUPY288VJH","GSON1111100001")</f>
        <v>#NAME?</v>
      </c>
      <c r="L10" s="28" t="e">
        <f ca="1">[1]!BexGetData("DP_1","003N8EMH8GTFRIVNUPY2891V1","GSON1111100001")</f>
        <v>#NAME?</v>
      </c>
      <c r="M10" s="28" t="e">
        <f ca="1">[1]!BexGetData("DP_1","003N8EMH8GTFRIVOG7KG9IQXA","GSON1111100001")</f>
        <v>#NAME?</v>
      </c>
      <c r="N10" s="28" t="e">
        <f ca="1">[1]!BexGetData("DP_1","003N8EMH8GTFRIVOG7KG9IX8U","GSON1111100001")</f>
        <v>#NAME?</v>
      </c>
      <c r="O10" s="28" t="e">
        <f ca="1">[1]!BexGetData("DP_1","003N8EMH8GTFRIVOG7KG9J3KE","GSON1111100001")</f>
        <v>#NAME?</v>
      </c>
      <c r="P10" s="28" t="e">
        <f ca="1">[1]!BexGetData("DP_1","003N8EMH8GTFRIVOG7KG9J9VY","GSON1111100001")</f>
        <v>#NAME?</v>
      </c>
      <c r="Q10" s="24" t="e">
        <f ca="1">[1]!BexGetData("DP_1","00O2TNJGODT0G5Z4TTKYMM5MT","GSON1111100001")</f>
        <v>#NAME?</v>
      </c>
      <c r="R10" s="23" t="e">
        <f ca="1">[1]!BexGetData("DP_1","00O2TNJGODT0G5Z4TTKYMMBYD","GSON1111100001")</f>
        <v>#NAME?</v>
      </c>
      <c r="S10" s="23" t="e">
        <f ca="1">[1]!BexGetData("DP_1","00O2TNJGODT0G5Z4TTKYMMI9X","GSON1111100001")</f>
        <v>#NAME?</v>
      </c>
      <c r="T10" s="28" t="e">
        <f ca="1">[1]!BexGetData("DP_1","00O2TNJGODT0G5Z4TTKYMMOLH","GSON1111100001")</f>
        <v>#NAME?</v>
      </c>
      <c r="U10" s="23" t="e">
        <f ca="1">[1]!BexGetData("DP_1","00O2TNJGODT0G5Z4TTKYMMUX1","GSON1111100001")</f>
        <v>#NAME?</v>
      </c>
      <c r="V10" s="28" t="e">
        <f ca="1">[1]!BexGetData("DP_1","00O2TNJGODT0G5Z4TTKYMN18L","GSON1111100001")</f>
        <v>#NAME?</v>
      </c>
      <c r="W10" s="23" t="e">
        <f ca="1">[1]!BexGetData("DP_1","00O2TNJGODT0G5Z4TTKYMN7K5","GSON1111100001")</f>
        <v>#NAME?</v>
      </c>
    </row>
    <row r="11" spans="1:23" x14ac:dyDescent="0.2">
      <c r="A11" s="36" t="s">
        <v>1776</v>
      </c>
      <c r="B11" s="27" t="s">
        <v>740</v>
      </c>
      <c r="C11" s="23" t="e">
        <f ca="1">[1]!BexGetData("DP_1","003N8EMH8GTFRCSWKMPXRR8GU","GSON1111100002")</f>
        <v>#NAME?</v>
      </c>
      <c r="D11" s="23" t="e">
        <f ca="1">[1]!BexGetData("DP_1","003N8EMH8GTFRCSWKMPXRRESE","GSON1111100002")</f>
        <v>#NAME?</v>
      </c>
      <c r="E11" s="23" t="e">
        <f ca="1">[1]!BexGetData("DP_1","003N8EMH8GTFRCSWKMPXRRL3Y","GSON1111100002")</f>
        <v>#NAME?</v>
      </c>
      <c r="F11" s="23" t="e">
        <f ca="1">[1]!BexGetData("DP_1","003N8EMH8GTFRCSWKMPXRRRFI","GSON1111100002")</f>
        <v>#NAME?</v>
      </c>
      <c r="G11" s="23" t="e">
        <f ca="1">[1]!BexGetData("DP_1","003N8EMH8GTFRCSWKMPXRRXR2","GSON1111100002")</f>
        <v>#NAME?</v>
      </c>
      <c r="H11" s="23" t="e">
        <f ca="1">[1]!BexGetData("DP_1","003N8EMH8GTFRCSWKMPXRS42M","GSON1111100002")</f>
        <v>#NAME?</v>
      </c>
      <c r="I11" s="23" t="e">
        <f ca="1">[1]!BexGetData("DP_1","003N8EMH8GTFRCSWKMPXRSAE6","GSON1111100002")</f>
        <v>#NAME?</v>
      </c>
      <c r="J11" s="24" t="e">
        <f ca="1">[1]!BexGetData("DP_1","003N8EMH8GTFRCSWKMPXRSGPQ","GSON1111100002")</f>
        <v>#NAME?</v>
      </c>
      <c r="K11" s="23" t="e">
        <f ca="1">[1]!BexGetData("DP_1","003N8EMH8GTFRIVNUPY288VJH","GSON1111100002")</f>
        <v>#NAME?</v>
      </c>
      <c r="L11" s="23" t="e">
        <f ca="1">[1]!BexGetData("DP_1","003N8EMH8GTFRIVNUPY2891V1","GSON1111100002")</f>
        <v>#NAME?</v>
      </c>
      <c r="M11" s="23" t="e">
        <f ca="1">[1]!BexGetData("DP_1","003N8EMH8GTFRIVOG7KG9IQXA","GSON1111100002")</f>
        <v>#NAME?</v>
      </c>
      <c r="N11" s="28" t="e">
        <f ca="1">[1]!BexGetData("DP_1","003N8EMH8GTFRIVOG7KG9IX8U","GSON1111100002")</f>
        <v>#NAME?</v>
      </c>
      <c r="O11" s="23" t="e">
        <f ca="1">[1]!BexGetData("DP_1","003N8EMH8GTFRIVOG7KG9J3KE","GSON1111100002")</f>
        <v>#NAME?</v>
      </c>
      <c r="P11" s="28" t="e">
        <f ca="1">[1]!BexGetData("DP_1","003N8EMH8GTFRIVOG7KG9J9VY","GSON1111100002")</f>
        <v>#NAME?</v>
      </c>
      <c r="Q11" s="24" t="e">
        <f ca="1">[1]!BexGetData("DP_1","00O2TNJGODT0G5Z4TTKYMM5MT","GSON1111100002")</f>
        <v>#NAME?</v>
      </c>
      <c r="R11" s="23" t="e">
        <f ca="1">[1]!BexGetData("DP_1","00O2TNJGODT0G5Z4TTKYMMBYD","GSON1111100002")</f>
        <v>#NAME?</v>
      </c>
      <c r="S11" s="23" t="e">
        <f ca="1">[1]!BexGetData("DP_1","00O2TNJGODT0G5Z4TTKYMMI9X","GSON1111100002")</f>
        <v>#NAME?</v>
      </c>
      <c r="T11" s="28" t="e">
        <f ca="1">[1]!BexGetData("DP_1","00O2TNJGODT0G5Z4TTKYMMOLH","GSON1111100002")</f>
        <v>#NAME?</v>
      </c>
      <c r="U11" s="23" t="e">
        <f ca="1">[1]!BexGetData("DP_1","00O2TNJGODT0G5Z4TTKYMMUX1","GSON1111100002")</f>
        <v>#NAME?</v>
      </c>
      <c r="V11" s="28" t="e">
        <f ca="1">[1]!BexGetData("DP_1","00O2TNJGODT0G5Z4TTKYMN18L","GSON1111100002")</f>
        <v>#NAME?</v>
      </c>
      <c r="W11" s="23" t="e">
        <f ca="1">[1]!BexGetData("DP_1","00O2TNJGODT0G5Z4TTKYMN7K5","GSON1111100002")</f>
        <v>#NAME?</v>
      </c>
    </row>
    <row r="12" spans="1:23" x14ac:dyDescent="0.2">
      <c r="A12" s="36" t="s">
        <v>1777</v>
      </c>
      <c r="B12" s="27" t="s">
        <v>1644</v>
      </c>
      <c r="C12" s="23" t="e">
        <f ca="1">[1]!BexGetData("DP_1","003N8EMH8GTFRCSWKMPXRR8GU","GSON1111100004")</f>
        <v>#NAME?</v>
      </c>
      <c r="D12" s="23" t="e">
        <f ca="1">[1]!BexGetData("DP_1","003N8EMH8GTFRCSWKMPXRRESE","GSON1111100004")</f>
        <v>#NAME?</v>
      </c>
      <c r="E12" s="23" t="e">
        <f ca="1">[1]!BexGetData("DP_1","003N8EMH8GTFRCSWKMPXRRL3Y","GSON1111100004")</f>
        <v>#NAME?</v>
      </c>
      <c r="F12" s="23" t="e">
        <f ca="1">[1]!BexGetData("DP_1","003N8EMH8GTFRCSWKMPXRRRFI","GSON1111100004")</f>
        <v>#NAME?</v>
      </c>
      <c r="G12" s="23" t="e">
        <f ca="1">[1]!BexGetData("DP_1","003N8EMH8GTFRCSWKMPXRRXR2","GSON1111100004")</f>
        <v>#NAME?</v>
      </c>
      <c r="H12" s="23" t="e">
        <f ca="1">[1]!BexGetData("DP_1","003N8EMH8GTFRCSWKMPXRS42M","GSON1111100004")</f>
        <v>#NAME?</v>
      </c>
      <c r="I12" s="23" t="e">
        <f ca="1">[1]!BexGetData("DP_1","003N8EMH8GTFRCSWKMPXRSAE6","GSON1111100004")</f>
        <v>#NAME?</v>
      </c>
      <c r="J12" s="24" t="e">
        <f ca="1">[1]!BexGetData("DP_1","003N8EMH8GTFRCSWKMPXRSGPQ","GSON1111100004")</f>
        <v>#NAME?</v>
      </c>
      <c r="K12" s="23" t="e">
        <f ca="1">[1]!BexGetData("DP_1","003N8EMH8GTFRIVNUPY288VJH","GSON1111100004")</f>
        <v>#NAME?</v>
      </c>
      <c r="L12" s="23" t="e">
        <f ca="1">[1]!BexGetData("DP_1","003N8EMH8GTFRIVNUPY2891V1","GSON1111100004")</f>
        <v>#NAME?</v>
      </c>
      <c r="M12" s="23" t="e">
        <f ca="1">[1]!BexGetData("DP_1","003N8EMH8GTFRIVOG7KG9IQXA","GSON1111100004")</f>
        <v>#NAME?</v>
      </c>
      <c r="N12" s="28" t="e">
        <f ca="1">[1]!BexGetData("DP_1","003N8EMH8GTFRIVOG7KG9IX8U","GSON1111100004")</f>
        <v>#NAME?</v>
      </c>
      <c r="O12" s="23" t="e">
        <f ca="1">[1]!BexGetData("DP_1","003N8EMH8GTFRIVOG7KG9J3KE","GSON1111100004")</f>
        <v>#NAME?</v>
      </c>
      <c r="P12" s="28" t="e">
        <f ca="1">[1]!BexGetData("DP_1","003N8EMH8GTFRIVOG7KG9J9VY","GSON1111100004")</f>
        <v>#NAME?</v>
      </c>
      <c r="Q12" s="24" t="e">
        <f ca="1">[1]!BexGetData("DP_1","00O2TNJGODT0G5Z4TTKYMM5MT","GSON1111100004")</f>
        <v>#NAME?</v>
      </c>
      <c r="R12" s="23" t="e">
        <f ca="1">[1]!BexGetData("DP_1","00O2TNJGODT0G5Z4TTKYMMBYD","GSON1111100004")</f>
        <v>#NAME?</v>
      </c>
      <c r="S12" s="23" t="e">
        <f ca="1">[1]!BexGetData("DP_1","00O2TNJGODT0G5Z4TTKYMMI9X","GSON1111100004")</f>
        <v>#NAME?</v>
      </c>
      <c r="T12" s="28" t="e">
        <f ca="1">[1]!BexGetData("DP_1","00O2TNJGODT0G5Z4TTKYMMOLH","GSON1111100004")</f>
        <v>#NAME?</v>
      </c>
      <c r="U12" s="23" t="e">
        <f ca="1">[1]!BexGetData("DP_1","00O2TNJGODT0G5Z4TTKYMMUX1","GSON1111100004")</f>
        <v>#NAME?</v>
      </c>
      <c r="V12" s="28" t="e">
        <f ca="1">[1]!BexGetData("DP_1","00O2TNJGODT0G5Z4TTKYMN18L","GSON1111100004")</f>
        <v>#NAME?</v>
      </c>
      <c r="W12" s="23" t="e">
        <f ca="1">[1]!BexGetData("DP_1","00O2TNJGODT0G5Z4TTKYMN7K5","GSON1111100004")</f>
        <v>#NAME?</v>
      </c>
    </row>
    <row r="13" spans="1:23" x14ac:dyDescent="0.2">
      <c r="A13" s="36" t="s">
        <v>1778</v>
      </c>
      <c r="B13" s="27" t="s">
        <v>1779</v>
      </c>
      <c r="C13" s="28" t="e">
        <f ca="1">[1]!BexGetData("DP_1","003N8EMH8GTFRCSWKMPXRR8GU","GSON1111200001")</f>
        <v>#NAME?</v>
      </c>
      <c r="D13" s="28" t="e">
        <f ca="1">[1]!BexGetData("DP_1","003N8EMH8GTFRCSWKMPXRRESE","GSON1111200001")</f>
        <v>#NAME?</v>
      </c>
      <c r="E13" s="28" t="e">
        <f ca="1">[1]!BexGetData("DP_1","003N8EMH8GTFRCSWKMPXRRL3Y","GSON1111200001")</f>
        <v>#NAME?</v>
      </c>
      <c r="F13" s="28" t="e">
        <f ca="1">[1]!BexGetData("DP_1","003N8EMH8GTFRCSWKMPXRRRFI","GSON1111200001")</f>
        <v>#NAME?</v>
      </c>
      <c r="G13" s="28" t="e">
        <f ca="1">[1]!BexGetData("DP_1","003N8EMH8GTFRCSWKMPXRRXR2","GSON1111200001")</f>
        <v>#NAME?</v>
      </c>
      <c r="H13" s="23" t="e">
        <f ca="1">[1]!BexGetData("DP_1","003N8EMH8GTFRCSWKMPXRS42M","GSON1111200001")</f>
        <v>#NAME?</v>
      </c>
      <c r="I13" s="28" t="e">
        <f ca="1">[1]!BexGetData("DP_1","003N8EMH8GTFRCSWKMPXRSAE6","GSON1111200001")</f>
        <v>#NAME?</v>
      </c>
      <c r="J13" s="23" t="e">
        <f ca="1">[1]!BexGetData("DP_1","003N8EMH8GTFRCSWKMPXRSGPQ","GSON1111200001")</f>
        <v>#NAME?</v>
      </c>
      <c r="K13" s="28" t="e">
        <f ca="1">[1]!BexGetData("DP_1","003N8EMH8GTFRIVNUPY288VJH","GSON1111200001")</f>
        <v>#NAME?</v>
      </c>
      <c r="L13" s="28" t="e">
        <f ca="1">[1]!BexGetData("DP_1","003N8EMH8GTFRIVNUPY2891V1","GSON1111200001")</f>
        <v>#NAME?</v>
      </c>
      <c r="M13" s="28" t="e">
        <f ca="1">[1]!BexGetData("DP_1","003N8EMH8GTFRIVOG7KG9IQXA","GSON1111200001")</f>
        <v>#NAME?</v>
      </c>
      <c r="N13" s="28" t="e">
        <f ca="1">[1]!BexGetData("DP_1","003N8EMH8GTFRIVOG7KG9IX8U","GSON1111200001")</f>
        <v>#NAME?</v>
      </c>
      <c r="O13" s="28" t="e">
        <f ca="1">[1]!BexGetData("DP_1","003N8EMH8GTFRIVOG7KG9J3KE","GSON1111200001")</f>
        <v>#NAME?</v>
      </c>
      <c r="P13" s="28" t="e">
        <f ca="1">[1]!BexGetData("DP_1","003N8EMH8GTFRIVOG7KG9J9VY","GSON1111200001")</f>
        <v>#NAME?</v>
      </c>
      <c r="Q13" s="23" t="e">
        <f ca="1">[1]!BexGetData("DP_1","00O2TNJGODT0G5Z4TTKYMM5MT","GSON1111200001")</f>
        <v>#NAME?</v>
      </c>
      <c r="R13" s="23" t="e">
        <f ca="1">[1]!BexGetData("DP_1","00O2TNJGODT0G5Z4TTKYMMBYD","GSON1111200001")</f>
        <v>#NAME?</v>
      </c>
      <c r="S13" s="23" t="e">
        <f ca="1">[1]!BexGetData("DP_1","00O2TNJGODT0G5Z4TTKYMMI9X","GSON1111200001")</f>
        <v>#NAME?</v>
      </c>
      <c r="T13" s="23" t="e">
        <f ca="1">[1]!BexGetData("DP_1","00O2TNJGODT0G5Z4TTKYMMOLH","GSON1111200001")</f>
        <v>#NAME?</v>
      </c>
      <c r="U13" s="28" t="e">
        <f ca="1">[1]!BexGetData("DP_1","00O2TNJGODT0G5Z4TTKYMMUX1","GSON1111200001")</f>
        <v>#NAME?</v>
      </c>
      <c r="V13" s="23" t="e">
        <f ca="1">[1]!BexGetData("DP_1","00O2TNJGODT0G5Z4TTKYMN18L","GSON1111200001")</f>
        <v>#NAME?</v>
      </c>
      <c r="W13" s="28" t="e">
        <f ca="1">[1]!BexGetData("DP_1","00O2TNJGODT0G5Z4TTKYMN7K5","GSON1111200001")</f>
        <v>#NAME?</v>
      </c>
    </row>
    <row r="14" spans="1:23" x14ac:dyDescent="0.2">
      <c r="A14" s="36" t="s">
        <v>160</v>
      </c>
      <c r="B14" s="27" t="s">
        <v>161</v>
      </c>
      <c r="C14" s="28" t="e">
        <f ca="1">[1]!BexGetData("DP_1","003N8EMH8GTFRCSWKMPXRR8GU","GSON1111300001")</f>
        <v>#NAME?</v>
      </c>
      <c r="D14" s="28" t="e">
        <f ca="1">[1]!BexGetData("DP_1","003N8EMH8GTFRCSWKMPXRRESE","GSON1111300001")</f>
        <v>#NAME?</v>
      </c>
      <c r="E14" s="28" t="e">
        <f ca="1">[1]!BexGetData("DP_1","003N8EMH8GTFRCSWKMPXRRL3Y","GSON1111300001")</f>
        <v>#NAME?</v>
      </c>
      <c r="F14" s="28" t="e">
        <f ca="1">[1]!BexGetData("DP_1","003N8EMH8GTFRCSWKMPXRRRFI","GSON1111300001")</f>
        <v>#NAME?</v>
      </c>
      <c r="G14" s="23" t="e">
        <f ca="1">[1]!BexGetData("DP_1","003N8EMH8GTFRCSWKMPXRRXR2","GSON1111300001")</f>
        <v>#NAME?</v>
      </c>
      <c r="H14" s="23" t="e">
        <f ca="1">[1]!BexGetData("DP_1","003N8EMH8GTFRCSWKMPXRS42M","GSON1111300001")</f>
        <v>#NAME?</v>
      </c>
      <c r="I14" s="28" t="e">
        <f ca="1">[1]!BexGetData("DP_1","003N8EMH8GTFRCSWKMPXRSAE6","GSON1111300001")</f>
        <v>#NAME?</v>
      </c>
      <c r="J14" s="24" t="e">
        <f ca="1">[1]!BexGetData("DP_1","003N8EMH8GTFRCSWKMPXRSGPQ","GSON1111300001")</f>
        <v>#NAME?</v>
      </c>
      <c r="K14" s="28" t="e">
        <f ca="1">[1]!BexGetData("DP_1","003N8EMH8GTFRIVNUPY288VJH","GSON1111300001")</f>
        <v>#NAME?</v>
      </c>
      <c r="L14" s="28" t="e">
        <f ca="1">[1]!BexGetData("DP_1","003N8EMH8GTFRIVNUPY2891V1","GSON1111300001")</f>
        <v>#NAME?</v>
      </c>
      <c r="M14" s="28" t="e">
        <f ca="1">[1]!BexGetData("DP_1","003N8EMH8GTFRIVOG7KG9IQXA","GSON1111300001")</f>
        <v>#NAME?</v>
      </c>
      <c r="N14" s="28" t="e">
        <f ca="1">[1]!BexGetData("DP_1","003N8EMH8GTFRIVOG7KG9IX8U","GSON1111300001")</f>
        <v>#NAME?</v>
      </c>
      <c r="O14" s="28" t="e">
        <f ca="1">[1]!BexGetData("DP_1","003N8EMH8GTFRIVOG7KG9J3KE","GSON1111300001")</f>
        <v>#NAME?</v>
      </c>
      <c r="P14" s="28" t="e">
        <f ca="1">[1]!BexGetData("DP_1","003N8EMH8GTFRIVOG7KG9J9VY","GSON1111300001")</f>
        <v>#NAME?</v>
      </c>
      <c r="Q14" s="24" t="e">
        <f ca="1">[1]!BexGetData("DP_1","00O2TNJGODT0G5Z4TTKYMM5MT","GSON1111300001")</f>
        <v>#NAME?</v>
      </c>
      <c r="R14" s="28" t="e">
        <f ca="1">[1]!BexGetData("DP_1","00O2TNJGODT0G5Z4TTKYMMBYD","GSON1111300001")</f>
        <v>#NAME?</v>
      </c>
      <c r="S14" s="28" t="e">
        <f ca="1">[1]!BexGetData("DP_1","00O2TNJGODT0G5Z4TTKYMMI9X","GSON1111300001")</f>
        <v>#NAME?</v>
      </c>
      <c r="T14" s="28" t="e">
        <f ca="1">[1]!BexGetData("DP_1","00O2TNJGODT0G5Z4TTKYMMOLH","GSON1111300001")</f>
        <v>#NAME?</v>
      </c>
      <c r="U14" s="28" t="e">
        <f ca="1">[1]!BexGetData("DP_1","00O2TNJGODT0G5Z4TTKYMMUX1","GSON1111300001")</f>
        <v>#NAME?</v>
      </c>
      <c r="V14" s="28" t="e">
        <f ca="1">[1]!BexGetData("DP_1","00O2TNJGODT0G5Z4TTKYMN18L","GSON1111300001")</f>
        <v>#NAME?</v>
      </c>
      <c r="W14" s="28" t="e">
        <f ca="1">[1]!BexGetData("DP_1","00O2TNJGODT0G5Z4TTKYMN7K5","GSON1111300001")</f>
        <v>#NAME?</v>
      </c>
    </row>
    <row r="15" spans="1:23" x14ac:dyDescent="0.2">
      <c r="A15" s="36" t="s">
        <v>410</v>
      </c>
      <c r="B15" s="27" t="s">
        <v>411</v>
      </c>
      <c r="C15" s="28" t="e">
        <f ca="1">[1]!BexGetData("DP_1","003N8EMH8GTFRCSWKMPXRR8GU","GSON1111300002")</f>
        <v>#NAME?</v>
      </c>
      <c r="D15" s="28" t="e">
        <f ca="1">[1]!BexGetData("DP_1","003N8EMH8GTFRCSWKMPXRRESE","GSON1111300002")</f>
        <v>#NAME?</v>
      </c>
      <c r="E15" s="28" t="e">
        <f ca="1">[1]!BexGetData("DP_1","003N8EMH8GTFRCSWKMPXRRL3Y","GSON1111300002")</f>
        <v>#NAME?</v>
      </c>
      <c r="F15" s="28" t="e">
        <f ca="1">[1]!BexGetData("DP_1","003N8EMH8GTFRCSWKMPXRRRFI","GSON1111300002")</f>
        <v>#NAME?</v>
      </c>
      <c r="G15" s="23" t="e">
        <f ca="1">[1]!BexGetData("DP_1","003N8EMH8GTFRCSWKMPXRRXR2","GSON1111300002")</f>
        <v>#NAME?</v>
      </c>
      <c r="H15" s="23" t="e">
        <f ca="1">[1]!BexGetData("DP_1","003N8EMH8GTFRCSWKMPXRS42M","GSON1111300002")</f>
        <v>#NAME?</v>
      </c>
      <c r="I15" s="28" t="e">
        <f ca="1">[1]!BexGetData("DP_1","003N8EMH8GTFRCSWKMPXRSAE6","GSON1111300002")</f>
        <v>#NAME?</v>
      </c>
      <c r="J15" s="24" t="e">
        <f ca="1">[1]!BexGetData("DP_1","003N8EMH8GTFRCSWKMPXRSGPQ","GSON1111300002")</f>
        <v>#NAME?</v>
      </c>
      <c r="K15" s="28" t="e">
        <f ca="1">[1]!BexGetData("DP_1","003N8EMH8GTFRIVNUPY288VJH","GSON1111300002")</f>
        <v>#NAME?</v>
      </c>
      <c r="L15" s="28" t="e">
        <f ca="1">[1]!BexGetData("DP_1","003N8EMH8GTFRIVNUPY2891V1","GSON1111300002")</f>
        <v>#NAME?</v>
      </c>
      <c r="M15" s="28" t="e">
        <f ca="1">[1]!BexGetData("DP_1","003N8EMH8GTFRIVOG7KG9IQXA","GSON1111300002")</f>
        <v>#NAME?</v>
      </c>
      <c r="N15" s="28" t="e">
        <f ca="1">[1]!BexGetData("DP_1","003N8EMH8GTFRIVOG7KG9IX8U","GSON1111300002")</f>
        <v>#NAME?</v>
      </c>
      <c r="O15" s="28" t="e">
        <f ca="1">[1]!BexGetData("DP_1","003N8EMH8GTFRIVOG7KG9J3KE","GSON1111300002")</f>
        <v>#NAME?</v>
      </c>
      <c r="P15" s="28" t="e">
        <f ca="1">[1]!BexGetData("DP_1","003N8EMH8GTFRIVOG7KG9J9VY","GSON1111300002")</f>
        <v>#NAME?</v>
      </c>
      <c r="Q15" s="24" t="e">
        <f ca="1">[1]!BexGetData("DP_1","00O2TNJGODT0G5Z4TTKYMM5MT","GSON1111300002")</f>
        <v>#NAME?</v>
      </c>
      <c r="R15" s="28" t="e">
        <f ca="1">[1]!BexGetData("DP_1","00O2TNJGODT0G5Z4TTKYMMBYD","GSON1111300002")</f>
        <v>#NAME?</v>
      </c>
      <c r="S15" s="28" t="e">
        <f ca="1">[1]!BexGetData("DP_1","00O2TNJGODT0G5Z4TTKYMMI9X","GSON1111300002")</f>
        <v>#NAME?</v>
      </c>
      <c r="T15" s="28" t="e">
        <f ca="1">[1]!BexGetData("DP_1","00O2TNJGODT0G5Z4TTKYMMOLH","GSON1111300002")</f>
        <v>#NAME?</v>
      </c>
      <c r="U15" s="28" t="e">
        <f ca="1">[1]!BexGetData("DP_1","00O2TNJGODT0G5Z4TTKYMMUX1","GSON1111300002")</f>
        <v>#NAME?</v>
      </c>
      <c r="V15" s="28" t="e">
        <f ca="1">[1]!BexGetData("DP_1","00O2TNJGODT0G5Z4TTKYMN18L","GSON1111300002")</f>
        <v>#NAME?</v>
      </c>
      <c r="W15" s="28" t="e">
        <f ca="1">[1]!BexGetData("DP_1","00O2TNJGODT0G5Z4TTKYMN7K5","GSON1111300002")</f>
        <v>#NAME?</v>
      </c>
    </row>
    <row r="16" spans="1:23" x14ac:dyDescent="0.2">
      <c r="A16" s="36" t="s">
        <v>643</v>
      </c>
      <c r="B16" s="27" t="s">
        <v>644</v>
      </c>
      <c r="C16" s="28" t="e">
        <f ca="1">[1]!BexGetData("DP_1","003N8EMH8GTFRCSWKMPXRR8GU","GSON1111300003")</f>
        <v>#NAME?</v>
      </c>
      <c r="D16" s="28" t="e">
        <f ca="1">[1]!BexGetData("DP_1","003N8EMH8GTFRCSWKMPXRRESE","GSON1111300003")</f>
        <v>#NAME?</v>
      </c>
      <c r="E16" s="28" t="e">
        <f ca="1">[1]!BexGetData("DP_1","003N8EMH8GTFRCSWKMPXRRL3Y","GSON1111300003")</f>
        <v>#NAME?</v>
      </c>
      <c r="F16" s="28" t="e">
        <f ca="1">[1]!BexGetData("DP_1","003N8EMH8GTFRCSWKMPXRRRFI","GSON1111300003")</f>
        <v>#NAME?</v>
      </c>
      <c r="G16" s="23" t="e">
        <f ca="1">[1]!BexGetData("DP_1","003N8EMH8GTFRCSWKMPXRRXR2","GSON1111300003")</f>
        <v>#NAME?</v>
      </c>
      <c r="H16" s="23" t="e">
        <f ca="1">[1]!BexGetData("DP_1","003N8EMH8GTFRCSWKMPXRS42M","GSON1111300003")</f>
        <v>#NAME?</v>
      </c>
      <c r="I16" s="28" t="e">
        <f ca="1">[1]!BexGetData("DP_1","003N8EMH8GTFRCSWKMPXRSAE6","GSON1111300003")</f>
        <v>#NAME?</v>
      </c>
      <c r="J16" s="24" t="e">
        <f ca="1">[1]!BexGetData("DP_1","003N8EMH8GTFRCSWKMPXRSGPQ","GSON1111300003")</f>
        <v>#NAME?</v>
      </c>
      <c r="K16" s="28" t="e">
        <f ca="1">[1]!BexGetData("DP_1","003N8EMH8GTFRIVNUPY288VJH","GSON1111300003")</f>
        <v>#NAME?</v>
      </c>
      <c r="L16" s="28" t="e">
        <f ca="1">[1]!BexGetData("DP_1","003N8EMH8GTFRIVNUPY2891V1","GSON1111300003")</f>
        <v>#NAME?</v>
      </c>
      <c r="M16" s="28" t="e">
        <f ca="1">[1]!BexGetData("DP_1","003N8EMH8GTFRIVOG7KG9IQXA","GSON1111300003")</f>
        <v>#NAME?</v>
      </c>
      <c r="N16" s="28" t="e">
        <f ca="1">[1]!BexGetData("DP_1","003N8EMH8GTFRIVOG7KG9IX8U","GSON1111300003")</f>
        <v>#NAME?</v>
      </c>
      <c r="O16" s="28" t="e">
        <f ca="1">[1]!BexGetData("DP_1","003N8EMH8GTFRIVOG7KG9J3KE","GSON1111300003")</f>
        <v>#NAME?</v>
      </c>
      <c r="P16" s="28" t="e">
        <f ca="1">[1]!BexGetData("DP_1","003N8EMH8GTFRIVOG7KG9J9VY","GSON1111300003")</f>
        <v>#NAME?</v>
      </c>
      <c r="Q16" s="24" t="e">
        <f ca="1">[1]!BexGetData("DP_1","00O2TNJGODT0G5Z4TTKYMM5MT","GSON1111300003")</f>
        <v>#NAME?</v>
      </c>
      <c r="R16" s="28" t="e">
        <f ca="1">[1]!BexGetData("DP_1","00O2TNJGODT0G5Z4TTKYMMBYD","GSON1111300003")</f>
        <v>#NAME?</v>
      </c>
      <c r="S16" s="28" t="e">
        <f ca="1">[1]!BexGetData("DP_1","00O2TNJGODT0G5Z4TTKYMMI9X","GSON1111300003")</f>
        <v>#NAME?</v>
      </c>
      <c r="T16" s="28" t="e">
        <f ca="1">[1]!BexGetData("DP_1","00O2TNJGODT0G5Z4TTKYMMOLH","GSON1111300003")</f>
        <v>#NAME?</v>
      </c>
      <c r="U16" s="28" t="e">
        <f ca="1">[1]!BexGetData("DP_1","00O2TNJGODT0G5Z4TTKYMMUX1","GSON1111300003")</f>
        <v>#NAME?</v>
      </c>
      <c r="V16" s="28" t="e">
        <f ca="1">[1]!BexGetData("DP_1","00O2TNJGODT0G5Z4TTKYMN18L","GSON1111300003")</f>
        <v>#NAME?</v>
      </c>
      <c r="W16" s="28" t="e">
        <f ca="1">[1]!BexGetData("DP_1","00O2TNJGODT0G5Z4TTKYMN7K5","GSON1111300003")</f>
        <v>#NAME?</v>
      </c>
    </row>
    <row r="17" spans="1:23" x14ac:dyDescent="0.2">
      <c r="A17" s="36" t="s">
        <v>1780</v>
      </c>
      <c r="B17" s="27" t="s">
        <v>1781</v>
      </c>
      <c r="C17" s="28" t="e">
        <f ca="1">[1]!BexGetData("DP_1","003N8EMH8GTFRCSWKMPXRR8GU","GSON1111300004")</f>
        <v>#NAME?</v>
      </c>
      <c r="D17" s="28" t="e">
        <f ca="1">[1]!BexGetData("DP_1","003N8EMH8GTFRCSWKMPXRRESE","GSON1111300004")</f>
        <v>#NAME?</v>
      </c>
      <c r="E17" s="28" t="e">
        <f ca="1">[1]!BexGetData("DP_1","003N8EMH8GTFRCSWKMPXRRL3Y","GSON1111300004")</f>
        <v>#NAME?</v>
      </c>
      <c r="F17" s="28" t="e">
        <f ca="1">[1]!BexGetData("DP_1","003N8EMH8GTFRCSWKMPXRRRFI","GSON1111300004")</f>
        <v>#NAME?</v>
      </c>
      <c r="G17" s="23" t="e">
        <f ca="1">[1]!BexGetData("DP_1","003N8EMH8GTFRCSWKMPXRRXR2","GSON1111300004")</f>
        <v>#NAME?</v>
      </c>
      <c r="H17" s="23" t="e">
        <f ca="1">[1]!BexGetData("DP_1","003N8EMH8GTFRCSWKMPXRS42M","GSON1111300004")</f>
        <v>#NAME?</v>
      </c>
      <c r="I17" s="28" t="e">
        <f ca="1">[1]!BexGetData("DP_1","003N8EMH8GTFRCSWKMPXRSAE6","GSON1111300004")</f>
        <v>#NAME?</v>
      </c>
      <c r="J17" s="24" t="e">
        <f ca="1">[1]!BexGetData("DP_1","003N8EMH8GTFRCSWKMPXRSGPQ","GSON1111300004")</f>
        <v>#NAME?</v>
      </c>
      <c r="K17" s="28" t="e">
        <f ca="1">[1]!BexGetData("DP_1","003N8EMH8GTFRIVNUPY288VJH","GSON1111300004")</f>
        <v>#NAME?</v>
      </c>
      <c r="L17" s="28" t="e">
        <f ca="1">[1]!BexGetData("DP_1","003N8EMH8GTFRIVNUPY2891V1","GSON1111300004")</f>
        <v>#NAME?</v>
      </c>
      <c r="M17" s="28" t="e">
        <f ca="1">[1]!BexGetData("DP_1","003N8EMH8GTFRIVOG7KG9IQXA","GSON1111300004")</f>
        <v>#NAME?</v>
      </c>
      <c r="N17" s="28" t="e">
        <f ca="1">[1]!BexGetData("DP_1","003N8EMH8GTFRIVOG7KG9IX8U","GSON1111300004")</f>
        <v>#NAME?</v>
      </c>
      <c r="O17" s="28" t="e">
        <f ca="1">[1]!BexGetData("DP_1","003N8EMH8GTFRIVOG7KG9J3KE","GSON1111300004")</f>
        <v>#NAME?</v>
      </c>
      <c r="P17" s="28" t="e">
        <f ca="1">[1]!BexGetData("DP_1","003N8EMH8GTFRIVOG7KG9J9VY","GSON1111300004")</f>
        <v>#NAME?</v>
      </c>
      <c r="Q17" s="24" t="e">
        <f ca="1">[1]!BexGetData("DP_1","00O2TNJGODT0G5Z4TTKYMM5MT","GSON1111300004")</f>
        <v>#NAME?</v>
      </c>
      <c r="R17" s="28" t="e">
        <f ca="1">[1]!BexGetData("DP_1","00O2TNJGODT0G5Z4TTKYMMBYD","GSON1111300004")</f>
        <v>#NAME?</v>
      </c>
      <c r="S17" s="28" t="e">
        <f ca="1">[1]!BexGetData("DP_1","00O2TNJGODT0G5Z4TTKYMMI9X","GSON1111300004")</f>
        <v>#NAME?</v>
      </c>
      <c r="T17" s="28" t="e">
        <f ca="1">[1]!BexGetData("DP_1","00O2TNJGODT0G5Z4TTKYMMOLH","GSON1111300004")</f>
        <v>#NAME?</v>
      </c>
      <c r="U17" s="28" t="e">
        <f ca="1">[1]!BexGetData("DP_1","00O2TNJGODT0G5Z4TTKYMMUX1","GSON1111300004")</f>
        <v>#NAME?</v>
      </c>
      <c r="V17" s="28" t="e">
        <f ca="1">[1]!BexGetData("DP_1","00O2TNJGODT0G5Z4TTKYMN18L","GSON1111300004")</f>
        <v>#NAME?</v>
      </c>
      <c r="W17" s="28" t="e">
        <f ca="1">[1]!BexGetData("DP_1","00O2TNJGODT0G5Z4TTKYMN7K5","GSON1111300004")</f>
        <v>#NAME?</v>
      </c>
    </row>
    <row r="18" spans="1:23" x14ac:dyDescent="0.2">
      <c r="A18" s="36" t="s">
        <v>1782</v>
      </c>
      <c r="B18" s="27" t="s">
        <v>1783</v>
      </c>
      <c r="C18" s="23" t="e">
        <f ca="1">[1]!BexGetData("DP_1","003N8EMH8GTFRCSWKMPXRR8GU","GSON1111300005")</f>
        <v>#NAME?</v>
      </c>
      <c r="D18" s="23" t="e">
        <f ca="1">[1]!BexGetData("DP_1","003N8EMH8GTFRCSWKMPXRRESE","GSON1111300005")</f>
        <v>#NAME?</v>
      </c>
      <c r="E18" s="28" t="e">
        <f ca="1">[1]!BexGetData("DP_1","003N8EMH8GTFRCSWKMPXRRL3Y","GSON1111300005")</f>
        <v>#NAME?</v>
      </c>
      <c r="F18" s="28" t="e">
        <f ca="1">[1]!BexGetData("DP_1","003N8EMH8GTFRCSWKMPXRRRFI","GSON1111300005")</f>
        <v>#NAME?</v>
      </c>
      <c r="G18" s="23" t="e">
        <f ca="1">[1]!BexGetData("DP_1","003N8EMH8GTFRCSWKMPXRRXR2","GSON1111300005")</f>
        <v>#NAME?</v>
      </c>
      <c r="H18" s="23" t="e">
        <f ca="1">[1]!BexGetData("DP_1","003N8EMH8GTFRCSWKMPXRS42M","GSON1111300005")</f>
        <v>#NAME?</v>
      </c>
      <c r="I18" s="28" t="e">
        <f ca="1">[1]!BexGetData("DP_1","003N8EMH8GTFRCSWKMPXRSAE6","GSON1111300005")</f>
        <v>#NAME?</v>
      </c>
      <c r="J18" s="24" t="e">
        <f ca="1">[1]!BexGetData("DP_1","003N8EMH8GTFRCSWKMPXRSGPQ","GSON1111300005")</f>
        <v>#NAME?</v>
      </c>
      <c r="K18" s="28" t="e">
        <f ca="1">[1]!BexGetData("DP_1","003N8EMH8GTFRIVNUPY288VJH","GSON1111300005")</f>
        <v>#NAME?</v>
      </c>
      <c r="L18" s="28" t="e">
        <f ca="1">[1]!BexGetData("DP_1","003N8EMH8GTFRIVNUPY2891V1","GSON1111300005")</f>
        <v>#NAME?</v>
      </c>
      <c r="M18" s="28" t="e">
        <f ca="1">[1]!BexGetData("DP_1","003N8EMH8GTFRIVOG7KG9IQXA","GSON1111300005")</f>
        <v>#NAME?</v>
      </c>
      <c r="N18" s="28" t="e">
        <f ca="1">[1]!BexGetData("DP_1","003N8EMH8GTFRIVOG7KG9IX8U","GSON1111300005")</f>
        <v>#NAME?</v>
      </c>
      <c r="O18" s="28" t="e">
        <f ca="1">[1]!BexGetData("DP_1","003N8EMH8GTFRIVOG7KG9J3KE","GSON1111300005")</f>
        <v>#NAME?</v>
      </c>
      <c r="P18" s="28" t="e">
        <f ca="1">[1]!BexGetData("DP_1","003N8EMH8GTFRIVOG7KG9J9VY","GSON1111300005")</f>
        <v>#NAME?</v>
      </c>
      <c r="Q18" s="24" t="e">
        <f ca="1">[1]!BexGetData("DP_1","00O2TNJGODT0G5Z4TTKYMM5MT","GSON1111300005")</f>
        <v>#NAME?</v>
      </c>
      <c r="R18" s="28" t="e">
        <f ca="1">[1]!BexGetData("DP_1","00O2TNJGODT0G5Z4TTKYMMBYD","GSON1111300005")</f>
        <v>#NAME?</v>
      </c>
      <c r="S18" s="28" t="e">
        <f ca="1">[1]!BexGetData("DP_1","00O2TNJGODT0G5Z4TTKYMMI9X","GSON1111300005")</f>
        <v>#NAME?</v>
      </c>
      <c r="T18" s="28" t="e">
        <f ca="1">[1]!BexGetData("DP_1","00O2TNJGODT0G5Z4TTKYMMOLH","GSON1111300005")</f>
        <v>#NAME?</v>
      </c>
      <c r="U18" s="28" t="e">
        <f ca="1">[1]!BexGetData("DP_1","00O2TNJGODT0G5Z4TTKYMMUX1","GSON1111300005")</f>
        <v>#NAME?</v>
      </c>
      <c r="V18" s="28" t="e">
        <f ca="1">[1]!BexGetData("DP_1","00O2TNJGODT0G5Z4TTKYMN18L","GSON1111300005")</f>
        <v>#NAME?</v>
      </c>
      <c r="W18" s="28" t="e">
        <f ca="1">[1]!BexGetData("DP_1","00O2TNJGODT0G5Z4TTKYMN7K5","GSON1111300005")</f>
        <v>#NAME?</v>
      </c>
    </row>
    <row r="19" spans="1:23" x14ac:dyDescent="0.2">
      <c r="A19" s="36" t="s">
        <v>1784</v>
      </c>
      <c r="B19" s="27" t="s">
        <v>1785</v>
      </c>
      <c r="C19" s="23" t="e">
        <f ca="1">[1]!BexGetData("DP_1","003N8EMH8GTFRCSWKMPXRR8GU","GSON1111300006")</f>
        <v>#NAME?</v>
      </c>
      <c r="D19" s="23" t="e">
        <f ca="1">[1]!BexGetData("DP_1","003N8EMH8GTFRCSWKMPXRRESE","GSON1111300006")</f>
        <v>#NAME?</v>
      </c>
      <c r="E19" s="28" t="e">
        <f ca="1">[1]!BexGetData("DP_1","003N8EMH8GTFRCSWKMPXRRL3Y","GSON1111300006")</f>
        <v>#NAME?</v>
      </c>
      <c r="F19" s="28" t="e">
        <f ca="1">[1]!BexGetData("DP_1","003N8EMH8GTFRCSWKMPXRRRFI","GSON1111300006")</f>
        <v>#NAME?</v>
      </c>
      <c r="G19" s="23" t="e">
        <f ca="1">[1]!BexGetData("DP_1","003N8EMH8GTFRCSWKMPXRRXR2","GSON1111300006")</f>
        <v>#NAME?</v>
      </c>
      <c r="H19" s="23" t="e">
        <f ca="1">[1]!BexGetData("DP_1","003N8EMH8GTFRCSWKMPXRS42M","GSON1111300006")</f>
        <v>#NAME?</v>
      </c>
      <c r="I19" s="28" t="e">
        <f ca="1">[1]!BexGetData("DP_1","003N8EMH8GTFRCSWKMPXRSAE6","GSON1111300006")</f>
        <v>#NAME?</v>
      </c>
      <c r="J19" s="24" t="e">
        <f ca="1">[1]!BexGetData("DP_1","003N8EMH8GTFRCSWKMPXRSGPQ","GSON1111300006")</f>
        <v>#NAME?</v>
      </c>
      <c r="K19" s="28" t="e">
        <f ca="1">[1]!BexGetData("DP_1","003N8EMH8GTFRIVNUPY288VJH","GSON1111300006")</f>
        <v>#NAME?</v>
      </c>
      <c r="L19" s="28" t="e">
        <f ca="1">[1]!BexGetData("DP_1","003N8EMH8GTFRIVNUPY2891V1","GSON1111300006")</f>
        <v>#NAME?</v>
      </c>
      <c r="M19" s="28" t="e">
        <f ca="1">[1]!BexGetData("DP_1","003N8EMH8GTFRIVOG7KG9IQXA","GSON1111300006")</f>
        <v>#NAME?</v>
      </c>
      <c r="N19" s="28" t="e">
        <f ca="1">[1]!BexGetData("DP_1","003N8EMH8GTFRIVOG7KG9IX8U","GSON1111300006")</f>
        <v>#NAME?</v>
      </c>
      <c r="O19" s="28" t="e">
        <f ca="1">[1]!BexGetData("DP_1","003N8EMH8GTFRIVOG7KG9J3KE","GSON1111300006")</f>
        <v>#NAME?</v>
      </c>
      <c r="P19" s="28" t="e">
        <f ca="1">[1]!BexGetData("DP_1","003N8EMH8GTFRIVOG7KG9J9VY","GSON1111300006")</f>
        <v>#NAME?</v>
      </c>
      <c r="Q19" s="24" t="e">
        <f ca="1">[1]!BexGetData("DP_1","00O2TNJGODT0G5Z4TTKYMM5MT","GSON1111300006")</f>
        <v>#NAME?</v>
      </c>
      <c r="R19" s="28" t="e">
        <f ca="1">[1]!BexGetData("DP_1","00O2TNJGODT0G5Z4TTKYMMBYD","GSON1111300006")</f>
        <v>#NAME?</v>
      </c>
      <c r="S19" s="28" t="e">
        <f ca="1">[1]!BexGetData("DP_1","00O2TNJGODT0G5Z4TTKYMMI9X","GSON1111300006")</f>
        <v>#NAME?</v>
      </c>
      <c r="T19" s="28" t="e">
        <f ca="1">[1]!BexGetData("DP_1","00O2TNJGODT0G5Z4TTKYMMOLH","GSON1111300006")</f>
        <v>#NAME?</v>
      </c>
      <c r="U19" s="28" t="e">
        <f ca="1">[1]!BexGetData("DP_1","00O2TNJGODT0G5Z4TTKYMMUX1","GSON1111300006")</f>
        <v>#NAME?</v>
      </c>
      <c r="V19" s="28" t="e">
        <f ca="1">[1]!BexGetData("DP_1","00O2TNJGODT0G5Z4TTKYMN18L","GSON1111300006")</f>
        <v>#NAME?</v>
      </c>
      <c r="W19" s="28" t="e">
        <f ca="1">[1]!BexGetData("DP_1","00O2TNJGODT0G5Z4TTKYMN7K5","GSON1111300006")</f>
        <v>#NAME?</v>
      </c>
    </row>
    <row r="20" spans="1:23" x14ac:dyDescent="0.2">
      <c r="A20" s="36" t="s">
        <v>1786</v>
      </c>
      <c r="B20" s="27" t="s">
        <v>1787</v>
      </c>
      <c r="C20" s="23" t="e">
        <f ca="1">[1]!BexGetData("DP_1","003N8EMH8GTFRCSWKMPXRR8GU","GSON1111300007")</f>
        <v>#NAME?</v>
      </c>
      <c r="D20" s="23" t="e">
        <f ca="1">[1]!BexGetData("DP_1","003N8EMH8GTFRCSWKMPXRRESE","GSON1111300007")</f>
        <v>#NAME?</v>
      </c>
      <c r="E20" s="28" t="e">
        <f ca="1">[1]!BexGetData("DP_1","003N8EMH8GTFRCSWKMPXRRL3Y","GSON1111300007")</f>
        <v>#NAME?</v>
      </c>
      <c r="F20" s="28" t="e">
        <f ca="1">[1]!BexGetData("DP_1","003N8EMH8GTFRCSWKMPXRRRFI","GSON1111300007")</f>
        <v>#NAME?</v>
      </c>
      <c r="G20" s="23" t="e">
        <f ca="1">[1]!BexGetData("DP_1","003N8EMH8GTFRCSWKMPXRRXR2","GSON1111300007")</f>
        <v>#NAME?</v>
      </c>
      <c r="H20" s="23" t="e">
        <f ca="1">[1]!BexGetData("DP_1","003N8EMH8GTFRCSWKMPXRS42M","GSON1111300007")</f>
        <v>#NAME?</v>
      </c>
      <c r="I20" s="28" t="e">
        <f ca="1">[1]!BexGetData("DP_1","003N8EMH8GTFRCSWKMPXRSAE6","GSON1111300007")</f>
        <v>#NAME?</v>
      </c>
      <c r="J20" s="24" t="e">
        <f ca="1">[1]!BexGetData("DP_1","003N8EMH8GTFRCSWKMPXRSGPQ","GSON1111300007")</f>
        <v>#NAME?</v>
      </c>
      <c r="K20" s="28" t="e">
        <f ca="1">[1]!BexGetData("DP_1","003N8EMH8GTFRIVNUPY288VJH","GSON1111300007")</f>
        <v>#NAME?</v>
      </c>
      <c r="L20" s="28" t="e">
        <f ca="1">[1]!BexGetData("DP_1","003N8EMH8GTFRIVNUPY2891V1","GSON1111300007")</f>
        <v>#NAME?</v>
      </c>
      <c r="M20" s="28" t="e">
        <f ca="1">[1]!BexGetData("DP_1","003N8EMH8GTFRIVOG7KG9IQXA","GSON1111300007")</f>
        <v>#NAME?</v>
      </c>
      <c r="N20" s="28" t="e">
        <f ca="1">[1]!BexGetData("DP_1","003N8EMH8GTFRIVOG7KG9IX8U","GSON1111300007")</f>
        <v>#NAME?</v>
      </c>
      <c r="O20" s="28" t="e">
        <f ca="1">[1]!BexGetData("DP_1","003N8EMH8GTFRIVOG7KG9J3KE","GSON1111300007")</f>
        <v>#NAME?</v>
      </c>
      <c r="P20" s="28" t="e">
        <f ca="1">[1]!BexGetData("DP_1","003N8EMH8GTFRIVOG7KG9J9VY","GSON1111300007")</f>
        <v>#NAME?</v>
      </c>
      <c r="Q20" s="24" t="e">
        <f ca="1">[1]!BexGetData("DP_1","00O2TNJGODT0G5Z4TTKYMM5MT","GSON1111300007")</f>
        <v>#NAME?</v>
      </c>
      <c r="R20" s="28" t="e">
        <f ca="1">[1]!BexGetData("DP_1","00O2TNJGODT0G5Z4TTKYMMBYD","GSON1111300007")</f>
        <v>#NAME?</v>
      </c>
      <c r="S20" s="28" t="e">
        <f ca="1">[1]!BexGetData("DP_1","00O2TNJGODT0G5Z4TTKYMMI9X","GSON1111300007")</f>
        <v>#NAME?</v>
      </c>
      <c r="T20" s="28" t="e">
        <f ca="1">[1]!BexGetData("DP_1","00O2TNJGODT0G5Z4TTKYMMOLH","GSON1111300007")</f>
        <v>#NAME?</v>
      </c>
      <c r="U20" s="28" t="e">
        <f ca="1">[1]!BexGetData("DP_1","00O2TNJGODT0G5Z4TTKYMMUX1","GSON1111300007")</f>
        <v>#NAME?</v>
      </c>
      <c r="V20" s="28" t="e">
        <f ca="1">[1]!BexGetData("DP_1","00O2TNJGODT0G5Z4TTKYMN18L","GSON1111300007")</f>
        <v>#NAME?</v>
      </c>
      <c r="W20" s="28" t="e">
        <f ca="1">[1]!BexGetData("DP_1","00O2TNJGODT0G5Z4TTKYMN7K5","GSON1111300007")</f>
        <v>#NAME?</v>
      </c>
    </row>
    <row r="21" spans="1:23" x14ac:dyDescent="0.2">
      <c r="A21" s="36" t="s">
        <v>1788</v>
      </c>
      <c r="B21" s="27" t="s">
        <v>1789</v>
      </c>
      <c r="C21" s="23" t="e">
        <f ca="1">[1]!BexGetData("DP_1","003N8EMH8GTFRCSWKMPXRR8GU","GSON1111300009")</f>
        <v>#NAME?</v>
      </c>
      <c r="D21" s="23" t="e">
        <f ca="1">[1]!BexGetData("DP_1","003N8EMH8GTFRCSWKMPXRRESE","GSON1111300009")</f>
        <v>#NAME?</v>
      </c>
      <c r="E21" s="28" t="e">
        <f ca="1">[1]!BexGetData("DP_1","003N8EMH8GTFRCSWKMPXRRL3Y","GSON1111300009")</f>
        <v>#NAME?</v>
      </c>
      <c r="F21" s="28" t="e">
        <f ca="1">[1]!BexGetData("DP_1","003N8EMH8GTFRCSWKMPXRRRFI","GSON1111300009")</f>
        <v>#NAME?</v>
      </c>
      <c r="G21" s="23" t="e">
        <f ca="1">[1]!BexGetData("DP_1","003N8EMH8GTFRCSWKMPXRRXR2","GSON1111300009")</f>
        <v>#NAME?</v>
      </c>
      <c r="H21" s="23" t="e">
        <f ca="1">[1]!BexGetData("DP_1","003N8EMH8GTFRCSWKMPXRS42M","GSON1111300009")</f>
        <v>#NAME?</v>
      </c>
      <c r="I21" s="28" t="e">
        <f ca="1">[1]!BexGetData("DP_1","003N8EMH8GTFRCSWKMPXRSAE6","GSON1111300009")</f>
        <v>#NAME?</v>
      </c>
      <c r="J21" s="24" t="e">
        <f ca="1">[1]!BexGetData("DP_1","003N8EMH8GTFRCSWKMPXRSGPQ","GSON1111300009")</f>
        <v>#NAME?</v>
      </c>
      <c r="K21" s="28" t="e">
        <f ca="1">[1]!BexGetData("DP_1","003N8EMH8GTFRIVNUPY288VJH","GSON1111300009")</f>
        <v>#NAME?</v>
      </c>
      <c r="L21" s="28" t="e">
        <f ca="1">[1]!BexGetData("DP_1","003N8EMH8GTFRIVNUPY2891V1","GSON1111300009")</f>
        <v>#NAME?</v>
      </c>
      <c r="M21" s="28" t="e">
        <f ca="1">[1]!BexGetData("DP_1","003N8EMH8GTFRIVOG7KG9IQXA","GSON1111300009")</f>
        <v>#NAME?</v>
      </c>
      <c r="N21" s="28" t="e">
        <f ca="1">[1]!BexGetData("DP_1","003N8EMH8GTFRIVOG7KG9IX8U","GSON1111300009")</f>
        <v>#NAME?</v>
      </c>
      <c r="O21" s="28" t="e">
        <f ca="1">[1]!BexGetData("DP_1","003N8EMH8GTFRIVOG7KG9J3KE","GSON1111300009")</f>
        <v>#NAME?</v>
      </c>
      <c r="P21" s="28" t="e">
        <f ca="1">[1]!BexGetData("DP_1","003N8EMH8GTFRIVOG7KG9J9VY","GSON1111300009")</f>
        <v>#NAME?</v>
      </c>
      <c r="Q21" s="24" t="e">
        <f ca="1">[1]!BexGetData("DP_1","00O2TNJGODT0G5Z4TTKYMM5MT","GSON1111300009")</f>
        <v>#NAME?</v>
      </c>
      <c r="R21" s="28" t="e">
        <f ca="1">[1]!BexGetData("DP_1","00O2TNJGODT0G5Z4TTKYMMBYD","GSON1111300009")</f>
        <v>#NAME?</v>
      </c>
      <c r="S21" s="28" t="e">
        <f ca="1">[1]!BexGetData("DP_1","00O2TNJGODT0G5Z4TTKYMMI9X","GSON1111300009")</f>
        <v>#NAME?</v>
      </c>
      <c r="T21" s="28" t="e">
        <f ca="1">[1]!BexGetData("DP_1","00O2TNJGODT0G5Z4TTKYMMOLH","GSON1111300009")</f>
        <v>#NAME?</v>
      </c>
      <c r="U21" s="28" t="e">
        <f ca="1">[1]!BexGetData("DP_1","00O2TNJGODT0G5Z4TTKYMMUX1","GSON1111300009")</f>
        <v>#NAME?</v>
      </c>
      <c r="V21" s="28" t="e">
        <f ca="1">[1]!BexGetData("DP_1","00O2TNJGODT0G5Z4TTKYMN18L","GSON1111300009")</f>
        <v>#NAME?</v>
      </c>
      <c r="W21" s="28" t="e">
        <f ca="1">[1]!BexGetData("DP_1","00O2TNJGODT0G5Z4TTKYMN7K5","GSON1111300009")</f>
        <v>#NAME?</v>
      </c>
    </row>
    <row r="22" spans="1:23" x14ac:dyDescent="0.2">
      <c r="A22" s="36" t="s">
        <v>1790</v>
      </c>
      <c r="B22" s="27" t="s">
        <v>1791</v>
      </c>
      <c r="C22" s="28" t="e">
        <f ca="1">[1]!BexGetData("DP_1","003N8EMH8GTFRCSWKMPXRR8GU","GSON1111300010")</f>
        <v>#NAME?</v>
      </c>
      <c r="D22" s="28" t="e">
        <f ca="1">[1]!BexGetData("DP_1","003N8EMH8GTFRCSWKMPXRRESE","GSON1111300010")</f>
        <v>#NAME?</v>
      </c>
      <c r="E22" s="28" t="e">
        <f ca="1">[1]!BexGetData("DP_1","003N8EMH8GTFRCSWKMPXRRL3Y","GSON1111300010")</f>
        <v>#NAME?</v>
      </c>
      <c r="F22" s="28" t="e">
        <f ca="1">[1]!BexGetData("DP_1","003N8EMH8GTFRCSWKMPXRRRFI","GSON1111300010")</f>
        <v>#NAME?</v>
      </c>
      <c r="G22" s="23" t="e">
        <f ca="1">[1]!BexGetData("DP_1","003N8EMH8GTFRCSWKMPXRRXR2","GSON1111300010")</f>
        <v>#NAME?</v>
      </c>
      <c r="H22" s="23" t="e">
        <f ca="1">[1]!BexGetData("DP_1","003N8EMH8GTFRCSWKMPXRS42M","GSON1111300010")</f>
        <v>#NAME?</v>
      </c>
      <c r="I22" s="28" t="e">
        <f ca="1">[1]!BexGetData("DP_1","003N8EMH8GTFRCSWKMPXRSAE6","GSON1111300010")</f>
        <v>#NAME?</v>
      </c>
      <c r="J22" s="24" t="e">
        <f ca="1">[1]!BexGetData("DP_1","003N8EMH8GTFRCSWKMPXRSGPQ","GSON1111300010")</f>
        <v>#NAME?</v>
      </c>
      <c r="K22" s="28" t="e">
        <f ca="1">[1]!BexGetData("DP_1","003N8EMH8GTFRIVNUPY288VJH","GSON1111300010")</f>
        <v>#NAME?</v>
      </c>
      <c r="L22" s="28" t="e">
        <f ca="1">[1]!BexGetData("DP_1","003N8EMH8GTFRIVNUPY2891V1","GSON1111300010")</f>
        <v>#NAME?</v>
      </c>
      <c r="M22" s="28" t="e">
        <f ca="1">[1]!BexGetData("DP_1","003N8EMH8GTFRIVOG7KG9IQXA","GSON1111300010")</f>
        <v>#NAME?</v>
      </c>
      <c r="N22" s="28" t="e">
        <f ca="1">[1]!BexGetData("DP_1","003N8EMH8GTFRIVOG7KG9IX8U","GSON1111300010")</f>
        <v>#NAME?</v>
      </c>
      <c r="O22" s="28" t="e">
        <f ca="1">[1]!BexGetData("DP_1","003N8EMH8GTFRIVOG7KG9J3KE","GSON1111300010")</f>
        <v>#NAME?</v>
      </c>
      <c r="P22" s="28" t="e">
        <f ca="1">[1]!BexGetData("DP_1","003N8EMH8GTFRIVOG7KG9J9VY","GSON1111300010")</f>
        <v>#NAME?</v>
      </c>
      <c r="Q22" s="24" t="e">
        <f ca="1">[1]!BexGetData("DP_1","00O2TNJGODT0G5Z4TTKYMM5MT","GSON1111300010")</f>
        <v>#NAME?</v>
      </c>
      <c r="R22" s="28" t="e">
        <f ca="1">[1]!BexGetData("DP_1","00O2TNJGODT0G5Z4TTKYMMBYD","GSON1111300010")</f>
        <v>#NAME?</v>
      </c>
      <c r="S22" s="28" t="e">
        <f ca="1">[1]!BexGetData("DP_1","00O2TNJGODT0G5Z4TTKYMMI9X","GSON1111300010")</f>
        <v>#NAME?</v>
      </c>
      <c r="T22" s="28" t="e">
        <f ca="1">[1]!BexGetData("DP_1","00O2TNJGODT0G5Z4TTKYMMOLH","GSON1111300010")</f>
        <v>#NAME?</v>
      </c>
      <c r="U22" s="28" t="e">
        <f ca="1">[1]!BexGetData("DP_1","00O2TNJGODT0G5Z4TTKYMMUX1","GSON1111300010")</f>
        <v>#NAME?</v>
      </c>
      <c r="V22" s="28" t="e">
        <f ca="1">[1]!BexGetData("DP_1","00O2TNJGODT0G5Z4TTKYMN18L","GSON1111300010")</f>
        <v>#NAME?</v>
      </c>
      <c r="W22" s="28" t="e">
        <f ca="1">[1]!BexGetData("DP_1","00O2TNJGODT0G5Z4TTKYMN7K5","GSON1111300010")</f>
        <v>#NAME?</v>
      </c>
    </row>
    <row r="23" spans="1:23" x14ac:dyDescent="0.2">
      <c r="A23" s="36" t="s">
        <v>1792</v>
      </c>
      <c r="B23" s="27" t="s">
        <v>1793</v>
      </c>
      <c r="C23" s="28" t="e">
        <f ca="1">[1]!BexGetData("DP_1","003N8EMH8GTFRCSWKMPXRR8GU","GSON1111300011")</f>
        <v>#NAME?</v>
      </c>
      <c r="D23" s="28" t="e">
        <f ca="1">[1]!BexGetData("DP_1","003N8EMH8GTFRCSWKMPXRRESE","GSON1111300011")</f>
        <v>#NAME?</v>
      </c>
      <c r="E23" s="28" t="e">
        <f ca="1">[1]!BexGetData("DP_1","003N8EMH8GTFRCSWKMPXRRL3Y","GSON1111300011")</f>
        <v>#NAME?</v>
      </c>
      <c r="F23" s="28" t="e">
        <f ca="1">[1]!BexGetData("DP_1","003N8EMH8GTFRCSWKMPXRRRFI","GSON1111300011")</f>
        <v>#NAME?</v>
      </c>
      <c r="G23" s="23" t="e">
        <f ca="1">[1]!BexGetData("DP_1","003N8EMH8GTFRCSWKMPXRRXR2","GSON1111300011")</f>
        <v>#NAME?</v>
      </c>
      <c r="H23" s="23" t="e">
        <f ca="1">[1]!BexGetData("DP_1","003N8EMH8GTFRCSWKMPXRS42M","GSON1111300011")</f>
        <v>#NAME?</v>
      </c>
      <c r="I23" s="28" t="e">
        <f ca="1">[1]!BexGetData("DP_1","003N8EMH8GTFRCSWKMPXRSAE6","GSON1111300011")</f>
        <v>#NAME?</v>
      </c>
      <c r="J23" s="24" t="e">
        <f ca="1">[1]!BexGetData("DP_1","003N8EMH8GTFRCSWKMPXRSGPQ","GSON1111300011")</f>
        <v>#NAME?</v>
      </c>
      <c r="K23" s="28" t="e">
        <f ca="1">[1]!BexGetData("DP_1","003N8EMH8GTFRIVNUPY288VJH","GSON1111300011")</f>
        <v>#NAME?</v>
      </c>
      <c r="L23" s="28" t="e">
        <f ca="1">[1]!BexGetData("DP_1","003N8EMH8GTFRIVNUPY2891V1","GSON1111300011")</f>
        <v>#NAME?</v>
      </c>
      <c r="M23" s="28" t="e">
        <f ca="1">[1]!BexGetData("DP_1","003N8EMH8GTFRIVOG7KG9IQXA","GSON1111300011")</f>
        <v>#NAME?</v>
      </c>
      <c r="N23" s="28" t="e">
        <f ca="1">[1]!BexGetData("DP_1","003N8EMH8GTFRIVOG7KG9IX8U","GSON1111300011")</f>
        <v>#NAME?</v>
      </c>
      <c r="O23" s="28" t="e">
        <f ca="1">[1]!BexGetData("DP_1","003N8EMH8GTFRIVOG7KG9J3KE","GSON1111300011")</f>
        <v>#NAME?</v>
      </c>
      <c r="P23" s="28" t="e">
        <f ca="1">[1]!BexGetData("DP_1","003N8EMH8GTFRIVOG7KG9J9VY","GSON1111300011")</f>
        <v>#NAME?</v>
      </c>
      <c r="Q23" s="24" t="e">
        <f ca="1">[1]!BexGetData("DP_1","00O2TNJGODT0G5Z4TTKYMM5MT","GSON1111300011")</f>
        <v>#NAME?</v>
      </c>
      <c r="R23" s="28" t="e">
        <f ca="1">[1]!BexGetData("DP_1","00O2TNJGODT0G5Z4TTKYMMBYD","GSON1111300011")</f>
        <v>#NAME?</v>
      </c>
      <c r="S23" s="28" t="e">
        <f ca="1">[1]!BexGetData("DP_1","00O2TNJGODT0G5Z4TTKYMMI9X","GSON1111300011")</f>
        <v>#NAME?</v>
      </c>
      <c r="T23" s="28" t="e">
        <f ca="1">[1]!BexGetData("DP_1","00O2TNJGODT0G5Z4TTKYMMOLH","GSON1111300011")</f>
        <v>#NAME?</v>
      </c>
      <c r="U23" s="28" t="e">
        <f ca="1">[1]!BexGetData("DP_1","00O2TNJGODT0G5Z4TTKYMMUX1","GSON1111300011")</f>
        <v>#NAME?</v>
      </c>
      <c r="V23" s="28" t="e">
        <f ca="1">[1]!BexGetData("DP_1","00O2TNJGODT0G5Z4TTKYMN18L","GSON1111300011")</f>
        <v>#NAME?</v>
      </c>
      <c r="W23" s="28" t="e">
        <f ca="1">[1]!BexGetData("DP_1","00O2TNJGODT0G5Z4TTKYMN7K5","GSON1111300011")</f>
        <v>#NAME?</v>
      </c>
    </row>
    <row r="24" spans="1:23" x14ac:dyDescent="0.2">
      <c r="A24" s="36" t="s">
        <v>1794</v>
      </c>
      <c r="B24" s="27" t="s">
        <v>1795</v>
      </c>
      <c r="C24" s="23" t="e">
        <f ca="1">[1]!BexGetData("DP_1","003N8EMH8GTFRCSWKMPXRR8GU","GSON1111300012")</f>
        <v>#NAME?</v>
      </c>
      <c r="D24" s="23" t="e">
        <f ca="1">[1]!BexGetData("DP_1","003N8EMH8GTFRCSWKMPXRRESE","GSON1111300012")</f>
        <v>#NAME?</v>
      </c>
      <c r="E24" s="28" t="e">
        <f ca="1">[1]!BexGetData("DP_1","003N8EMH8GTFRCSWKMPXRRL3Y","GSON1111300012")</f>
        <v>#NAME?</v>
      </c>
      <c r="F24" s="28" t="e">
        <f ca="1">[1]!BexGetData("DP_1","003N8EMH8GTFRCSWKMPXRRRFI","GSON1111300012")</f>
        <v>#NAME?</v>
      </c>
      <c r="G24" s="23" t="e">
        <f ca="1">[1]!BexGetData("DP_1","003N8EMH8GTFRCSWKMPXRRXR2","GSON1111300012")</f>
        <v>#NAME?</v>
      </c>
      <c r="H24" s="23" t="e">
        <f ca="1">[1]!BexGetData("DP_1","003N8EMH8GTFRCSWKMPXRS42M","GSON1111300012")</f>
        <v>#NAME?</v>
      </c>
      <c r="I24" s="28" t="e">
        <f ca="1">[1]!BexGetData("DP_1","003N8EMH8GTFRCSWKMPXRSAE6","GSON1111300012")</f>
        <v>#NAME?</v>
      </c>
      <c r="J24" s="24" t="e">
        <f ca="1">[1]!BexGetData("DP_1","003N8EMH8GTFRCSWKMPXRSGPQ","GSON1111300012")</f>
        <v>#NAME?</v>
      </c>
      <c r="K24" s="28" t="e">
        <f ca="1">[1]!BexGetData("DP_1","003N8EMH8GTFRIVNUPY288VJH","GSON1111300012")</f>
        <v>#NAME?</v>
      </c>
      <c r="L24" s="28" t="e">
        <f ca="1">[1]!BexGetData("DP_1","003N8EMH8GTFRIVNUPY2891V1","GSON1111300012")</f>
        <v>#NAME?</v>
      </c>
      <c r="M24" s="28" t="e">
        <f ca="1">[1]!BexGetData("DP_1","003N8EMH8GTFRIVOG7KG9IQXA","GSON1111300012")</f>
        <v>#NAME?</v>
      </c>
      <c r="N24" s="28" t="e">
        <f ca="1">[1]!BexGetData("DP_1","003N8EMH8GTFRIVOG7KG9IX8U","GSON1111300012")</f>
        <v>#NAME?</v>
      </c>
      <c r="O24" s="28" t="e">
        <f ca="1">[1]!BexGetData("DP_1","003N8EMH8GTFRIVOG7KG9J3KE","GSON1111300012")</f>
        <v>#NAME?</v>
      </c>
      <c r="P24" s="28" t="e">
        <f ca="1">[1]!BexGetData("DP_1","003N8EMH8GTFRIVOG7KG9J9VY","GSON1111300012")</f>
        <v>#NAME?</v>
      </c>
      <c r="Q24" s="24" t="e">
        <f ca="1">[1]!BexGetData("DP_1","00O2TNJGODT0G5Z4TTKYMM5MT","GSON1111300012")</f>
        <v>#NAME?</v>
      </c>
      <c r="R24" s="28" t="e">
        <f ca="1">[1]!BexGetData("DP_1","00O2TNJGODT0G5Z4TTKYMMBYD","GSON1111300012")</f>
        <v>#NAME?</v>
      </c>
      <c r="S24" s="28" t="e">
        <f ca="1">[1]!BexGetData("DP_1","00O2TNJGODT0G5Z4TTKYMMI9X","GSON1111300012")</f>
        <v>#NAME?</v>
      </c>
      <c r="T24" s="28" t="e">
        <f ca="1">[1]!BexGetData("DP_1","00O2TNJGODT0G5Z4TTKYMMOLH","GSON1111300012")</f>
        <v>#NAME?</v>
      </c>
      <c r="U24" s="28" t="e">
        <f ca="1">[1]!BexGetData("DP_1","00O2TNJGODT0G5Z4TTKYMMUX1","GSON1111300012")</f>
        <v>#NAME?</v>
      </c>
      <c r="V24" s="28" t="e">
        <f ca="1">[1]!BexGetData("DP_1","00O2TNJGODT0G5Z4TTKYMN18L","GSON1111300012")</f>
        <v>#NAME?</v>
      </c>
      <c r="W24" s="28" t="e">
        <f ca="1">[1]!BexGetData("DP_1","00O2TNJGODT0G5Z4TTKYMN7K5","GSON1111300012")</f>
        <v>#NAME?</v>
      </c>
    </row>
    <row r="25" spans="1:23" x14ac:dyDescent="0.2">
      <c r="A25" s="36" t="s">
        <v>1796</v>
      </c>
      <c r="B25" s="27" t="s">
        <v>1797</v>
      </c>
      <c r="C25" s="23" t="e">
        <f ca="1">[1]!BexGetData("DP_1","003N8EMH8GTFRCSWKMPXRR8GU","GSON1111300013")</f>
        <v>#NAME?</v>
      </c>
      <c r="D25" s="23" t="e">
        <f ca="1">[1]!BexGetData("DP_1","003N8EMH8GTFRCSWKMPXRRESE","GSON1111300013")</f>
        <v>#NAME?</v>
      </c>
      <c r="E25" s="28" t="e">
        <f ca="1">[1]!BexGetData("DP_1","003N8EMH8GTFRCSWKMPXRRL3Y","GSON1111300013")</f>
        <v>#NAME?</v>
      </c>
      <c r="F25" s="28" t="e">
        <f ca="1">[1]!BexGetData("DP_1","003N8EMH8GTFRCSWKMPXRRRFI","GSON1111300013")</f>
        <v>#NAME?</v>
      </c>
      <c r="G25" s="23" t="e">
        <f ca="1">[1]!BexGetData("DP_1","003N8EMH8GTFRCSWKMPXRRXR2","GSON1111300013")</f>
        <v>#NAME?</v>
      </c>
      <c r="H25" s="23" t="e">
        <f ca="1">[1]!BexGetData("DP_1","003N8EMH8GTFRCSWKMPXRS42M","GSON1111300013")</f>
        <v>#NAME?</v>
      </c>
      <c r="I25" s="28" t="e">
        <f ca="1">[1]!BexGetData("DP_1","003N8EMH8GTFRCSWKMPXRSAE6","GSON1111300013")</f>
        <v>#NAME?</v>
      </c>
      <c r="J25" s="24" t="e">
        <f ca="1">[1]!BexGetData("DP_1","003N8EMH8GTFRCSWKMPXRSGPQ","GSON1111300013")</f>
        <v>#NAME?</v>
      </c>
      <c r="K25" s="28" t="e">
        <f ca="1">[1]!BexGetData("DP_1","003N8EMH8GTFRIVNUPY288VJH","GSON1111300013")</f>
        <v>#NAME?</v>
      </c>
      <c r="L25" s="28" t="e">
        <f ca="1">[1]!BexGetData("DP_1","003N8EMH8GTFRIVNUPY2891V1","GSON1111300013")</f>
        <v>#NAME?</v>
      </c>
      <c r="M25" s="28" t="e">
        <f ca="1">[1]!BexGetData("DP_1","003N8EMH8GTFRIVOG7KG9IQXA","GSON1111300013")</f>
        <v>#NAME?</v>
      </c>
      <c r="N25" s="28" t="e">
        <f ca="1">[1]!BexGetData("DP_1","003N8EMH8GTFRIVOG7KG9IX8U","GSON1111300013")</f>
        <v>#NAME?</v>
      </c>
      <c r="O25" s="28" t="e">
        <f ca="1">[1]!BexGetData("DP_1","003N8EMH8GTFRIVOG7KG9J3KE","GSON1111300013")</f>
        <v>#NAME?</v>
      </c>
      <c r="P25" s="28" t="e">
        <f ca="1">[1]!BexGetData("DP_1","003N8EMH8GTFRIVOG7KG9J9VY","GSON1111300013")</f>
        <v>#NAME?</v>
      </c>
      <c r="Q25" s="24" t="e">
        <f ca="1">[1]!BexGetData("DP_1","00O2TNJGODT0G5Z4TTKYMM5MT","GSON1111300013")</f>
        <v>#NAME?</v>
      </c>
      <c r="R25" s="28" t="e">
        <f ca="1">[1]!BexGetData("DP_1","00O2TNJGODT0G5Z4TTKYMMBYD","GSON1111300013")</f>
        <v>#NAME?</v>
      </c>
      <c r="S25" s="28" t="e">
        <f ca="1">[1]!BexGetData("DP_1","00O2TNJGODT0G5Z4TTKYMMI9X","GSON1111300013")</f>
        <v>#NAME?</v>
      </c>
      <c r="T25" s="28" t="e">
        <f ca="1">[1]!BexGetData("DP_1","00O2TNJGODT0G5Z4TTKYMMOLH","GSON1111300013")</f>
        <v>#NAME?</v>
      </c>
      <c r="U25" s="28" t="e">
        <f ca="1">[1]!BexGetData("DP_1","00O2TNJGODT0G5Z4TTKYMMUX1","GSON1111300013")</f>
        <v>#NAME?</v>
      </c>
      <c r="V25" s="28" t="e">
        <f ca="1">[1]!BexGetData("DP_1","00O2TNJGODT0G5Z4TTKYMN18L","GSON1111300013")</f>
        <v>#NAME?</v>
      </c>
      <c r="W25" s="28" t="e">
        <f ca="1">[1]!BexGetData("DP_1","00O2TNJGODT0G5Z4TTKYMN7K5","GSON1111300013")</f>
        <v>#NAME?</v>
      </c>
    </row>
    <row r="26" spans="1:23" x14ac:dyDescent="0.2">
      <c r="A26" s="36" t="s">
        <v>1798</v>
      </c>
      <c r="B26" s="27" t="s">
        <v>1799</v>
      </c>
      <c r="C26" s="23" t="e">
        <f ca="1">[1]!BexGetData("DP_1","003N8EMH8GTFRCSWKMPXRR8GU","GSON1111300014")</f>
        <v>#NAME?</v>
      </c>
      <c r="D26" s="23" t="e">
        <f ca="1">[1]!BexGetData("DP_1","003N8EMH8GTFRCSWKMPXRRESE","GSON1111300014")</f>
        <v>#NAME?</v>
      </c>
      <c r="E26" s="28" t="e">
        <f ca="1">[1]!BexGetData("DP_1","003N8EMH8GTFRCSWKMPXRRL3Y","GSON1111300014")</f>
        <v>#NAME?</v>
      </c>
      <c r="F26" s="28" t="e">
        <f ca="1">[1]!BexGetData("DP_1","003N8EMH8GTFRCSWKMPXRRRFI","GSON1111300014")</f>
        <v>#NAME?</v>
      </c>
      <c r="G26" s="23" t="e">
        <f ca="1">[1]!BexGetData("DP_1","003N8EMH8GTFRCSWKMPXRRXR2","GSON1111300014")</f>
        <v>#NAME?</v>
      </c>
      <c r="H26" s="23" t="e">
        <f ca="1">[1]!BexGetData("DP_1","003N8EMH8GTFRCSWKMPXRS42M","GSON1111300014")</f>
        <v>#NAME?</v>
      </c>
      <c r="I26" s="28" t="e">
        <f ca="1">[1]!BexGetData("DP_1","003N8EMH8GTFRCSWKMPXRSAE6","GSON1111300014")</f>
        <v>#NAME?</v>
      </c>
      <c r="J26" s="24" t="e">
        <f ca="1">[1]!BexGetData("DP_1","003N8EMH8GTFRCSWKMPXRSGPQ","GSON1111300014")</f>
        <v>#NAME?</v>
      </c>
      <c r="K26" s="28" t="e">
        <f ca="1">[1]!BexGetData("DP_1","003N8EMH8GTFRIVNUPY288VJH","GSON1111300014")</f>
        <v>#NAME?</v>
      </c>
      <c r="L26" s="28" t="e">
        <f ca="1">[1]!BexGetData("DP_1","003N8EMH8GTFRIVNUPY2891V1","GSON1111300014")</f>
        <v>#NAME?</v>
      </c>
      <c r="M26" s="28" t="e">
        <f ca="1">[1]!BexGetData("DP_1","003N8EMH8GTFRIVOG7KG9IQXA","GSON1111300014")</f>
        <v>#NAME?</v>
      </c>
      <c r="N26" s="28" t="e">
        <f ca="1">[1]!BexGetData("DP_1","003N8EMH8GTFRIVOG7KG9IX8U","GSON1111300014")</f>
        <v>#NAME?</v>
      </c>
      <c r="O26" s="28" t="e">
        <f ca="1">[1]!BexGetData("DP_1","003N8EMH8GTFRIVOG7KG9J3KE","GSON1111300014")</f>
        <v>#NAME?</v>
      </c>
      <c r="P26" s="28" t="e">
        <f ca="1">[1]!BexGetData("DP_1","003N8EMH8GTFRIVOG7KG9J9VY","GSON1111300014")</f>
        <v>#NAME?</v>
      </c>
      <c r="Q26" s="24" t="e">
        <f ca="1">[1]!BexGetData("DP_1","00O2TNJGODT0G5Z4TTKYMM5MT","GSON1111300014")</f>
        <v>#NAME?</v>
      </c>
      <c r="R26" s="28" t="e">
        <f ca="1">[1]!BexGetData("DP_1","00O2TNJGODT0G5Z4TTKYMMBYD","GSON1111300014")</f>
        <v>#NAME?</v>
      </c>
      <c r="S26" s="28" t="e">
        <f ca="1">[1]!BexGetData("DP_1","00O2TNJGODT0G5Z4TTKYMMI9X","GSON1111300014")</f>
        <v>#NAME?</v>
      </c>
      <c r="T26" s="28" t="e">
        <f ca="1">[1]!BexGetData("DP_1","00O2TNJGODT0G5Z4TTKYMMOLH","GSON1111300014")</f>
        <v>#NAME?</v>
      </c>
      <c r="U26" s="28" t="e">
        <f ca="1">[1]!BexGetData("DP_1","00O2TNJGODT0G5Z4TTKYMMUX1","GSON1111300014")</f>
        <v>#NAME?</v>
      </c>
      <c r="V26" s="28" t="e">
        <f ca="1">[1]!BexGetData("DP_1","00O2TNJGODT0G5Z4TTKYMN18L","GSON1111300014")</f>
        <v>#NAME?</v>
      </c>
      <c r="W26" s="28" t="e">
        <f ca="1">[1]!BexGetData("DP_1","00O2TNJGODT0G5Z4TTKYMN7K5","GSON1111300014")</f>
        <v>#NAME?</v>
      </c>
    </row>
    <row r="27" spans="1:23" x14ac:dyDescent="0.2">
      <c r="A27" s="36" t="s">
        <v>1800</v>
      </c>
      <c r="B27" s="27" t="s">
        <v>1801</v>
      </c>
      <c r="C27" s="23" t="e">
        <f ca="1">[1]!BexGetData("DP_1","003N8EMH8GTFRCSWKMPXRR8GU","GSON1111300015")</f>
        <v>#NAME?</v>
      </c>
      <c r="D27" s="23" t="e">
        <f ca="1">[1]!BexGetData("DP_1","003N8EMH8GTFRCSWKMPXRRESE","GSON1111300015")</f>
        <v>#NAME?</v>
      </c>
      <c r="E27" s="28" t="e">
        <f ca="1">[1]!BexGetData("DP_1","003N8EMH8GTFRCSWKMPXRRL3Y","GSON1111300015")</f>
        <v>#NAME?</v>
      </c>
      <c r="F27" s="28" t="e">
        <f ca="1">[1]!BexGetData("DP_1","003N8EMH8GTFRCSWKMPXRRRFI","GSON1111300015")</f>
        <v>#NAME?</v>
      </c>
      <c r="G27" s="23" t="e">
        <f ca="1">[1]!BexGetData("DP_1","003N8EMH8GTFRCSWKMPXRRXR2","GSON1111300015")</f>
        <v>#NAME?</v>
      </c>
      <c r="H27" s="23" t="e">
        <f ca="1">[1]!BexGetData("DP_1","003N8EMH8GTFRCSWKMPXRS42M","GSON1111300015")</f>
        <v>#NAME?</v>
      </c>
      <c r="I27" s="28" t="e">
        <f ca="1">[1]!BexGetData("DP_1","003N8EMH8GTFRCSWKMPXRSAE6","GSON1111300015")</f>
        <v>#NAME?</v>
      </c>
      <c r="J27" s="24" t="e">
        <f ca="1">[1]!BexGetData("DP_1","003N8EMH8GTFRCSWKMPXRSGPQ","GSON1111300015")</f>
        <v>#NAME?</v>
      </c>
      <c r="K27" s="28" t="e">
        <f ca="1">[1]!BexGetData("DP_1","003N8EMH8GTFRIVNUPY288VJH","GSON1111300015")</f>
        <v>#NAME?</v>
      </c>
      <c r="L27" s="28" t="e">
        <f ca="1">[1]!BexGetData("DP_1","003N8EMH8GTFRIVNUPY2891V1","GSON1111300015")</f>
        <v>#NAME?</v>
      </c>
      <c r="M27" s="28" t="e">
        <f ca="1">[1]!BexGetData("DP_1","003N8EMH8GTFRIVOG7KG9IQXA","GSON1111300015")</f>
        <v>#NAME?</v>
      </c>
      <c r="N27" s="28" t="e">
        <f ca="1">[1]!BexGetData("DP_1","003N8EMH8GTFRIVOG7KG9IX8U","GSON1111300015")</f>
        <v>#NAME?</v>
      </c>
      <c r="O27" s="28" t="e">
        <f ca="1">[1]!BexGetData("DP_1","003N8EMH8GTFRIVOG7KG9J3KE","GSON1111300015")</f>
        <v>#NAME?</v>
      </c>
      <c r="P27" s="28" t="e">
        <f ca="1">[1]!BexGetData("DP_1","003N8EMH8GTFRIVOG7KG9J9VY","GSON1111300015")</f>
        <v>#NAME?</v>
      </c>
      <c r="Q27" s="24" t="e">
        <f ca="1">[1]!BexGetData("DP_1","00O2TNJGODT0G5Z4TTKYMM5MT","GSON1111300015")</f>
        <v>#NAME?</v>
      </c>
      <c r="R27" s="28" t="e">
        <f ca="1">[1]!BexGetData("DP_1","00O2TNJGODT0G5Z4TTKYMMBYD","GSON1111300015")</f>
        <v>#NAME?</v>
      </c>
      <c r="S27" s="28" t="e">
        <f ca="1">[1]!BexGetData("DP_1","00O2TNJGODT0G5Z4TTKYMMI9X","GSON1111300015")</f>
        <v>#NAME?</v>
      </c>
      <c r="T27" s="28" t="e">
        <f ca="1">[1]!BexGetData("DP_1","00O2TNJGODT0G5Z4TTKYMMOLH","GSON1111300015")</f>
        <v>#NAME?</v>
      </c>
      <c r="U27" s="28" t="e">
        <f ca="1">[1]!BexGetData("DP_1","00O2TNJGODT0G5Z4TTKYMMUX1","GSON1111300015")</f>
        <v>#NAME?</v>
      </c>
      <c r="V27" s="28" t="e">
        <f ca="1">[1]!BexGetData("DP_1","00O2TNJGODT0G5Z4TTKYMN18L","GSON1111300015")</f>
        <v>#NAME?</v>
      </c>
      <c r="W27" s="28" t="e">
        <f ca="1">[1]!BexGetData("DP_1","00O2TNJGODT0G5Z4TTKYMN7K5","GSON1111300015")</f>
        <v>#NAME?</v>
      </c>
    </row>
    <row r="28" spans="1:23" x14ac:dyDescent="0.2">
      <c r="A28" s="36" t="s">
        <v>1802</v>
      </c>
      <c r="B28" s="27" t="s">
        <v>1803</v>
      </c>
      <c r="C28" s="23" t="e">
        <f ca="1">[1]!BexGetData("DP_1","003N8EMH8GTFRCSWKMPXRR8GU","GSON1111300016")</f>
        <v>#NAME?</v>
      </c>
      <c r="D28" s="23" t="e">
        <f ca="1">[1]!BexGetData("DP_1","003N8EMH8GTFRCSWKMPXRRESE","GSON1111300016")</f>
        <v>#NAME?</v>
      </c>
      <c r="E28" s="28" t="e">
        <f ca="1">[1]!BexGetData("DP_1","003N8EMH8GTFRCSWKMPXRRL3Y","GSON1111300016")</f>
        <v>#NAME?</v>
      </c>
      <c r="F28" s="28" t="e">
        <f ca="1">[1]!BexGetData("DP_1","003N8EMH8GTFRCSWKMPXRRRFI","GSON1111300016")</f>
        <v>#NAME?</v>
      </c>
      <c r="G28" s="23" t="e">
        <f ca="1">[1]!BexGetData("DP_1","003N8EMH8GTFRCSWKMPXRRXR2","GSON1111300016")</f>
        <v>#NAME?</v>
      </c>
      <c r="H28" s="23" t="e">
        <f ca="1">[1]!BexGetData("DP_1","003N8EMH8GTFRCSWKMPXRS42M","GSON1111300016")</f>
        <v>#NAME?</v>
      </c>
      <c r="I28" s="28" t="e">
        <f ca="1">[1]!BexGetData("DP_1","003N8EMH8GTFRCSWKMPXRSAE6","GSON1111300016")</f>
        <v>#NAME?</v>
      </c>
      <c r="J28" s="24" t="e">
        <f ca="1">[1]!BexGetData("DP_1","003N8EMH8GTFRCSWKMPXRSGPQ","GSON1111300016")</f>
        <v>#NAME?</v>
      </c>
      <c r="K28" s="28" t="e">
        <f ca="1">[1]!BexGetData("DP_1","003N8EMH8GTFRIVNUPY288VJH","GSON1111300016")</f>
        <v>#NAME?</v>
      </c>
      <c r="L28" s="28" t="e">
        <f ca="1">[1]!BexGetData("DP_1","003N8EMH8GTFRIVNUPY2891V1","GSON1111300016")</f>
        <v>#NAME?</v>
      </c>
      <c r="M28" s="28" t="e">
        <f ca="1">[1]!BexGetData("DP_1","003N8EMH8GTFRIVOG7KG9IQXA","GSON1111300016")</f>
        <v>#NAME?</v>
      </c>
      <c r="N28" s="28" t="e">
        <f ca="1">[1]!BexGetData("DP_1","003N8EMH8GTFRIVOG7KG9IX8U","GSON1111300016")</f>
        <v>#NAME?</v>
      </c>
      <c r="O28" s="28" t="e">
        <f ca="1">[1]!BexGetData("DP_1","003N8EMH8GTFRIVOG7KG9J3KE","GSON1111300016")</f>
        <v>#NAME?</v>
      </c>
      <c r="P28" s="28" t="e">
        <f ca="1">[1]!BexGetData("DP_1","003N8EMH8GTFRIVOG7KG9J9VY","GSON1111300016")</f>
        <v>#NAME?</v>
      </c>
      <c r="Q28" s="24" t="e">
        <f ca="1">[1]!BexGetData("DP_1","00O2TNJGODT0G5Z4TTKYMM5MT","GSON1111300016")</f>
        <v>#NAME?</v>
      </c>
      <c r="R28" s="28" t="e">
        <f ca="1">[1]!BexGetData("DP_1","00O2TNJGODT0G5Z4TTKYMMBYD","GSON1111300016")</f>
        <v>#NAME?</v>
      </c>
      <c r="S28" s="28" t="e">
        <f ca="1">[1]!BexGetData("DP_1","00O2TNJGODT0G5Z4TTKYMMI9X","GSON1111300016")</f>
        <v>#NAME?</v>
      </c>
      <c r="T28" s="28" t="e">
        <f ca="1">[1]!BexGetData("DP_1","00O2TNJGODT0G5Z4TTKYMMOLH","GSON1111300016")</f>
        <v>#NAME?</v>
      </c>
      <c r="U28" s="28" t="e">
        <f ca="1">[1]!BexGetData("DP_1","00O2TNJGODT0G5Z4TTKYMMUX1","GSON1111300016")</f>
        <v>#NAME?</v>
      </c>
      <c r="V28" s="28" t="e">
        <f ca="1">[1]!BexGetData("DP_1","00O2TNJGODT0G5Z4TTKYMN18L","GSON1111300016")</f>
        <v>#NAME?</v>
      </c>
      <c r="W28" s="28" t="e">
        <f ca="1">[1]!BexGetData("DP_1","00O2TNJGODT0G5Z4TTKYMN7K5","GSON1111300016")</f>
        <v>#NAME?</v>
      </c>
    </row>
    <row r="29" spans="1:23" x14ac:dyDescent="0.2">
      <c r="A29" s="36" t="s">
        <v>1804</v>
      </c>
      <c r="B29" s="27" t="s">
        <v>1805</v>
      </c>
      <c r="C29" s="23" t="e">
        <f ca="1">[1]!BexGetData("DP_1","003N8EMH8GTFRCSWKMPXRR8GU","GSON1111300017")</f>
        <v>#NAME?</v>
      </c>
      <c r="D29" s="23" t="e">
        <f ca="1">[1]!BexGetData("DP_1","003N8EMH8GTFRCSWKMPXRRESE","GSON1111300017")</f>
        <v>#NAME?</v>
      </c>
      <c r="E29" s="28" t="e">
        <f ca="1">[1]!BexGetData("DP_1","003N8EMH8GTFRCSWKMPXRRL3Y","GSON1111300017")</f>
        <v>#NAME?</v>
      </c>
      <c r="F29" s="28" t="e">
        <f ca="1">[1]!BexGetData("DP_1","003N8EMH8GTFRCSWKMPXRRRFI","GSON1111300017")</f>
        <v>#NAME?</v>
      </c>
      <c r="G29" s="23" t="e">
        <f ca="1">[1]!BexGetData("DP_1","003N8EMH8GTFRCSWKMPXRRXR2","GSON1111300017")</f>
        <v>#NAME?</v>
      </c>
      <c r="H29" s="23" t="e">
        <f ca="1">[1]!BexGetData("DP_1","003N8EMH8GTFRCSWKMPXRS42M","GSON1111300017")</f>
        <v>#NAME?</v>
      </c>
      <c r="I29" s="28" t="e">
        <f ca="1">[1]!BexGetData("DP_1","003N8EMH8GTFRCSWKMPXRSAE6","GSON1111300017")</f>
        <v>#NAME?</v>
      </c>
      <c r="J29" s="24" t="e">
        <f ca="1">[1]!BexGetData("DP_1","003N8EMH8GTFRCSWKMPXRSGPQ","GSON1111300017")</f>
        <v>#NAME?</v>
      </c>
      <c r="K29" s="28" t="e">
        <f ca="1">[1]!BexGetData("DP_1","003N8EMH8GTFRIVNUPY288VJH","GSON1111300017")</f>
        <v>#NAME?</v>
      </c>
      <c r="L29" s="28" t="e">
        <f ca="1">[1]!BexGetData("DP_1","003N8EMH8GTFRIVNUPY2891V1","GSON1111300017")</f>
        <v>#NAME?</v>
      </c>
      <c r="M29" s="28" t="e">
        <f ca="1">[1]!BexGetData("DP_1","003N8EMH8GTFRIVOG7KG9IQXA","GSON1111300017")</f>
        <v>#NAME?</v>
      </c>
      <c r="N29" s="28" t="e">
        <f ca="1">[1]!BexGetData("DP_1","003N8EMH8GTFRIVOG7KG9IX8U","GSON1111300017")</f>
        <v>#NAME?</v>
      </c>
      <c r="O29" s="28" t="e">
        <f ca="1">[1]!BexGetData("DP_1","003N8EMH8GTFRIVOG7KG9J3KE","GSON1111300017")</f>
        <v>#NAME?</v>
      </c>
      <c r="P29" s="28" t="e">
        <f ca="1">[1]!BexGetData("DP_1","003N8EMH8GTFRIVOG7KG9J9VY","GSON1111300017")</f>
        <v>#NAME?</v>
      </c>
      <c r="Q29" s="24" t="e">
        <f ca="1">[1]!BexGetData("DP_1","00O2TNJGODT0G5Z4TTKYMM5MT","GSON1111300017")</f>
        <v>#NAME?</v>
      </c>
      <c r="R29" s="28" t="e">
        <f ca="1">[1]!BexGetData("DP_1","00O2TNJGODT0G5Z4TTKYMMBYD","GSON1111300017")</f>
        <v>#NAME?</v>
      </c>
      <c r="S29" s="28" t="e">
        <f ca="1">[1]!BexGetData("DP_1","00O2TNJGODT0G5Z4TTKYMMI9X","GSON1111300017")</f>
        <v>#NAME?</v>
      </c>
      <c r="T29" s="28" t="e">
        <f ca="1">[1]!BexGetData("DP_1","00O2TNJGODT0G5Z4TTKYMMOLH","GSON1111300017")</f>
        <v>#NAME?</v>
      </c>
      <c r="U29" s="28" t="e">
        <f ca="1">[1]!BexGetData("DP_1","00O2TNJGODT0G5Z4TTKYMMUX1","GSON1111300017")</f>
        <v>#NAME?</v>
      </c>
      <c r="V29" s="28" t="e">
        <f ca="1">[1]!BexGetData("DP_1","00O2TNJGODT0G5Z4TTKYMN18L","GSON1111300017")</f>
        <v>#NAME?</v>
      </c>
      <c r="W29" s="28" t="e">
        <f ca="1">[1]!BexGetData("DP_1","00O2TNJGODT0G5Z4TTKYMN7K5","GSON1111300017")</f>
        <v>#NAME?</v>
      </c>
    </row>
    <row r="30" spans="1:23" x14ac:dyDescent="0.2">
      <c r="A30" s="36" t="s">
        <v>1806</v>
      </c>
      <c r="B30" s="27" t="s">
        <v>1807</v>
      </c>
      <c r="C30" s="23" t="e">
        <f ca="1">[1]!BexGetData("DP_1","003N8EMH8GTFRCSWKMPXRR8GU","GSON1111300018")</f>
        <v>#NAME?</v>
      </c>
      <c r="D30" s="23" t="e">
        <f ca="1">[1]!BexGetData("DP_1","003N8EMH8GTFRCSWKMPXRRESE","GSON1111300018")</f>
        <v>#NAME?</v>
      </c>
      <c r="E30" s="28" t="e">
        <f ca="1">[1]!BexGetData("DP_1","003N8EMH8GTFRCSWKMPXRRL3Y","GSON1111300018")</f>
        <v>#NAME?</v>
      </c>
      <c r="F30" s="28" t="e">
        <f ca="1">[1]!BexGetData("DP_1","003N8EMH8GTFRCSWKMPXRRRFI","GSON1111300018")</f>
        <v>#NAME?</v>
      </c>
      <c r="G30" s="23" t="e">
        <f ca="1">[1]!BexGetData("DP_1","003N8EMH8GTFRCSWKMPXRRXR2","GSON1111300018")</f>
        <v>#NAME?</v>
      </c>
      <c r="H30" s="23" t="e">
        <f ca="1">[1]!BexGetData("DP_1","003N8EMH8GTFRCSWKMPXRS42M","GSON1111300018")</f>
        <v>#NAME?</v>
      </c>
      <c r="I30" s="28" t="e">
        <f ca="1">[1]!BexGetData("DP_1","003N8EMH8GTFRCSWKMPXRSAE6","GSON1111300018")</f>
        <v>#NAME?</v>
      </c>
      <c r="J30" s="24" t="e">
        <f ca="1">[1]!BexGetData("DP_1","003N8EMH8GTFRCSWKMPXRSGPQ","GSON1111300018")</f>
        <v>#NAME?</v>
      </c>
      <c r="K30" s="28" t="e">
        <f ca="1">[1]!BexGetData("DP_1","003N8EMH8GTFRIVNUPY288VJH","GSON1111300018")</f>
        <v>#NAME?</v>
      </c>
      <c r="L30" s="28" t="e">
        <f ca="1">[1]!BexGetData("DP_1","003N8EMH8GTFRIVNUPY2891V1","GSON1111300018")</f>
        <v>#NAME?</v>
      </c>
      <c r="M30" s="28" t="e">
        <f ca="1">[1]!BexGetData("DP_1","003N8EMH8GTFRIVOG7KG9IQXA","GSON1111300018")</f>
        <v>#NAME?</v>
      </c>
      <c r="N30" s="28" t="e">
        <f ca="1">[1]!BexGetData("DP_1","003N8EMH8GTFRIVOG7KG9IX8U","GSON1111300018")</f>
        <v>#NAME?</v>
      </c>
      <c r="O30" s="28" t="e">
        <f ca="1">[1]!BexGetData("DP_1","003N8EMH8GTFRIVOG7KG9J3KE","GSON1111300018")</f>
        <v>#NAME?</v>
      </c>
      <c r="P30" s="28" t="e">
        <f ca="1">[1]!BexGetData("DP_1","003N8EMH8GTFRIVOG7KG9J9VY","GSON1111300018")</f>
        <v>#NAME?</v>
      </c>
      <c r="Q30" s="24" t="e">
        <f ca="1">[1]!BexGetData("DP_1","00O2TNJGODT0G5Z4TTKYMM5MT","GSON1111300018")</f>
        <v>#NAME?</v>
      </c>
      <c r="R30" s="28" t="e">
        <f ca="1">[1]!BexGetData("DP_1","00O2TNJGODT0G5Z4TTKYMMBYD","GSON1111300018")</f>
        <v>#NAME?</v>
      </c>
      <c r="S30" s="28" t="e">
        <f ca="1">[1]!BexGetData("DP_1","00O2TNJGODT0G5Z4TTKYMMI9X","GSON1111300018")</f>
        <v>#NAME?</v>
      </c>
      <c r="T30" s="28" t="e">
        <f ca="1">[1]!BexGetData("DP_1","00O2TNJGODT0G5Z4TTKYMMOLH","GSON1111300018")</f>
        <v>#NAME?</v>
      </c>
      <c r="U30" s="28" t="e">
        <f ca="1">[1]!BexGetData("DP_1","00O2TNJGODT0G5Z4TTKYMMUX1","GSON1111300018")</f>
        <v>#NAME?</v>
      </c>
      <c r="V30" s="28" t="e">
        <f ca="1">[1]!BexGetData("DP_1","00O2TNJGODT0G5Z4TTKYMN18L","GSON1111300018")</f>
        <v>#NAME?</v>
      </c>
      <c r="W30" s="28" t="e">
        <f ca="1">[1]!BexGetData("DP_1","00O2TNJGODT0G5Z4TTKYMN7K5","GSON1111300018")</f>
        <v>#NAME?</v>
      </c>
    </row>
    <row r="31" spans="1:23" x14ac:dyDescent="0.2">
      <c r="A31" s="36" t="s">
        <v>1808</v>
      </c>
      <c r="B31" s="27" t="s">
        <v>1809</v>
      </c>
      <c r="C31" s="23" t="e">
        <f ca="1">[1]!BexGetData("DP_1","003N8EMH8GTFRCSWKMPXRR8GU","GSON1111300019")</f>
        <v>#NAME?</v>
      </c>
      <c r="D31" s="23" t="e">
        <f ca="1">[1]!BexGetData("DP_1","003N8EMH8GTFRCSWKMPXRRESE","GSON1111300019")</f>
        <v>#NAME?</v>
      </c>
      <c r="E31" s="28" t="e">
        <f ca="1">[1]!BexGetData("DP_1","003N8EMH8GTFRCSWKMPXRRL3Y","GSON1111300019")</f>
        <v>#NAME?</v>
      </c>
      <c r="F31" s="28" t="e">
        <f ca="1">[1]!BexGetData("DP_1","003N8EMH8GTFRCSWKMPXRRRFI","GSON1111300019")</f>
        <v>#NAME?</v>
      </c>
      <c r="G31" s="23" t="e">
        <f ca="1">[1]!BexGetData("DP_1","003N8EMH8GTFRCSWKMPXRRXR2","GSON1111300019")</f>
        <v>#NAME?</v>
      </c>
      <c r="H31" s="23" t="e">
        <f ca="1">[1]!BexGetData("DP_1","003N8EMH8GTFRCSWKMPXRS42M","GSON1111300019")</f>
        <v>#NAME?</v>
      </c>
      <c r="I31" s="28" t="e">
        <f ca="1">[1]!BexGetData("DP_1","003N8EMH8GTFRCSWKMPXRSAE6","GSON1111300019")</f>
        <v>#NAME?</v>
      </c>
      <c r="J31" s="24" t="e">
        <f ca="1">[1]!BexGetData("DP_1","003N8EMH8GTFRCSWKMPXRSGPQ","GSON1111300019")</f>
        <v>#NAME?</v>
      </c>
      <c r="K31" s="28" t="e">
        <f ca="1">[1]!BexGetData("DP_1","003N8EMH8GTFRIVNUPY288VJH","GSON1111300019")</f>
        <v>#NAME?</v>
      </c>
      <c r="L31" s="28" t="e">
        <f ca="1">[1]!BexGetData("DP_1","003N8EMH8GTFRIVNUPY2891V1","GSON1111300019")</f>
        <v>#NAME?</v>
      </c>
      <c r="M31" s="28" t="e">
        <f ca="1">[1]!BexGetData("DP_1","003N8EMH8GTFRIVOG7KG9IQXA","GSON1111300019")</f>
        <v>#NAME?</v>
      </c>
      <c r="N31" s="28" t="e">
        <f ca="1">[1]!BexGetData("DP_1","003N8EMH8GTFRIVOG7KG9IX8U","GSON1111300019")</f>
        <v>#NAME?</v>
      </c>
      <c r="O31" s="28" t="e">
        <f ca="1">[1]!BexGetData("DP_1","003N8EMH8GTFRIVOG7KG9J3KE","GSON1111300019")</f>
        <v>#NAME?</v>
      </c>
      <c r="P31" s="28" t="e">
        <f ca="1">[1]!BexGetData("DP_1","003N8EMH8GTFRIVOG7KG9J9VY","GSON1111300019")</f>
        <v>#NAME?</v>
      </c>
      <c r="Q31" s="24" t="e">
        <f ca="1">[1]!BexGetData("DP_1","00O2TNJGODT0G5Z4TTKYMM5MT","GSON1111300019")</f>
        <v>#NAME?</v>
      </c>
      <c r="R31" s="28" t="e">
        <f ca="1">[1]!BexGetData("DP_1","00O2TNJGODT0G5Z4TTKYMMBYD","GSON1111300019")</f>
        <v>#NAME?</v>
      </c>
      <c r="S31" s="28" t="e">
        <f ca="1">[1]!BexGetData("DP_1","00O2TNJGODT0G5Z4TTKYMMI9X","GSON1111300019")</f>
        <v>#NAME?</v>
      </c>
      <c r="T31" s="28" t="e">
        <f ca="1">[1]!BexGetData("DP_1","00O2TNJGODT0G5Z4TTKYMMOLH","GSON1111300019")</f>
        <v>#NAME?</v>
      </c>
      <c r="U31" s="28" t="e">
        <f ca="1">[1]!BexGetData("DP_1","00O2TNJGODT0G5Z4TTKYMMUX1","GSON1111300019")</f>
        <v>#NAME?</v>
      </c>
      <c r="V31" s="28" t="e">
        <f ca="1">[1]!BexGetData("DP_1","00O2TNJGODT0G5Z4TTKYMN18L","GSON1111300019")</f>
        <v>#NAME?</v>
      </c>
      <c r="W31" s="28" t="e">
        <f ca="1">[1]!BexGetData("DP_1","00O2TNJGODT0G5Z4TTKYMN7K5","GSON1111300019")</f>
        <v>#NAME?</v>
      </c>
    </row>
    <row r="32" spans="1:23" x14ac:dyDescent="0.2">
      <c r="A32" s="36" t="s">
        <v>1810</v>
      </c>
      <c r="B32" s="27" t="s">
        <v>1811</v>
      </c>
      <c r="C32" s="23" t="e">
        <f ca="1">[1]!BexGetData("DP_1","003N8EMH8GTFRCSWKMPXRR8GU","GSON1111300020")</f>
        <v>#NAME?</v>
      </c>
      <c r="D32" s="23" t="e">
        <f ca="1">[1]!BexGetData("DP_1","003N8EMH8GTFRCSWKMPXRRESE","GSON1111300020")</f>
        <v>#NAME?</v>
      </c>
      <c r="E32" s="28" t="e">
        <f ca="1">[1]!BexGetData("DP_1","003N8EMH8GTFRCSWKMPXRRL3Y","GSON1111300020")</f>
        <v>#NAME?</v>
      </c>
      <c r="F32" s="28" t="e">
        <f ca="1">[1]!BexGetData("DP_1","003N8EMH8GTFRCSWKMPXRRRFI","GSON1111300020")</f>
        <v>#NAME?</v>
      </c>
      <c r="G32" s="23" t="e">
        <f ca="1">[1]!BexGetData("DP_1","003N8EMH8GTFRCSWKMPXRRXR2","GSON1111300020")</f>
        <v>#NAME?</v>
      </c>
      <c r="H32" s="23" t="e">
        <f ca="1">[1]!BexGetData("DP_1","003N8EMH8GTFRCSWKMPXRS42M","GSON1111300020")</f>
        <v>#NAME?</v>
      </c>
      <c r="I32" s="28" t="e">
        <f ca="1">[1]!BexGetData("DP_1","003N8EMH8GTFRCSWKMPXRSAE6","GSON1111300020")</f>
        <v>#NAME?</v>
      </c>
      <c r="J32" s="24" t="e">
        <f ca="1">[1]!BexGetData("DP_1","003N8EMH8GTFRCSWKMPXRSGPQ","GSON1111300020")</f>
        <v>#NAME?</v>
      </c>
      <c r="K32" s="28" t="e">
        <f ca="1">[1]!BexGetData("DP_1","003N8EMH8GTFRIVNUPY288VJH","GSON1111300020")</f>
        <v>#NAME?</v>
      </c>
      <c r="L32" s="28" t="e">
        <f ca="1">[1]!BexGetData("DP_1","003N8EMH8GTFRIVNUPY2891V1","GSON1111300020")</f>
        <v>#NAME?</v>
      </c>
      <c r="M32" s="28" t="e">
        <f ca="1">[1]!BexGetData("DP_1","003N8EMH8GTFRIVOG7KG9IQXA","GSON1111300020")</f>
        <v>#NAME?</v>
      </c>
      <c r="N32" s="28" t="e">
        <f ca="1">[1]!BexGetData("DP_1","003N8EMH8GTFRIVOG7KG9IX8U","GSON1111300020")</f>
        <v>#NAME?</v>
      </c>
      <c r="O32" s="28" t="e">
        <f ca="1">[1]!BexGetData("DP_1","003N8EMH8GTFRIVOG7KG9J3KE","GSON1111300020")</f>
        <v>#NAME?</v>
      </c>
      <c r="P32" s="28" t="e">
        <f ca="1">[1]!BexGetData("DP_1","003N8EMH8GTFRIVOG7KG9J9VY","GSON1111300020")</f>
        <v>#NAME?</v>
      </c>
      <c r="Q32" s="24" t="e">
        <f ca="1">[1]!BexGetData("DP_1","00O2TNJGODT0G5Z4TTKYMM5MT","GSON1111300020")</f>
        <v>#NAME?</v>
      </c>
      <c r="R32" s="28" t="e">
        <f ca="1">[1]!BexGetData("DP_1","00O2TNJGODT0G5Z4TTKYMMBYD","GSON1111300020")</f>
        <v>#NAME?</v>
      </c>
      <c r="S32" s="28" t="e">
        <f ca="1">[1]!BexGetData("DP_1","00O2TNJGODT0G5Z4TTKYMMI9X","GSON1111300020")</f>
        <v>#NAME?</v>
      </c>
      <c r="T32" s="28" t="e">
        <f ca="1">[1]!BexGetData("DP_1","00O2TNJGODT0G5Z4TTKYMMOLH","GSON1111300020")</f>
        <v>#NAME?</v>
      </c>
      <c r="U32" s="28" t="e">
        <f ca="1">[1]!BexGetData("DP_1","00O2TNJGODT0G5Z4TTKYMMUX1","GSON1111300020")</f>
        <v>#NAME?</v>
      </c>
      <c r="V32" s="28" t="e">
        <f ca="1">[1]!BexGetData("DP_1","00O2TNJGODT0G5Z4TTKYMN18L","GSON1111300020")</f>
        <v>#NAME?</v>
      </c>
      <c r="W32" s="28" t="e">
        <f ca="1">[1]!BexGetData("DP_1","00O2TNJGODT0G5Z4TTKYMN7K5","GSON1111300020")</f>
        <v>#NAME?</v>
      </c>
    </row>
    <row r="33" spans="1:23" x14ac:dyDescent="0.2">
      <c r="A33" s="36" t="s">
        <v>1812</v>
      </c>
      <c r="B33" s="27" t="s">
        <v>1813</v>
      </c>
      <c r="C33" s="23" t="e">
        <f ca="1">[1]!BexGetData("DP_1","003N8EMH8GTFRCSWKMPXRR8GU","GSON1111300021")</f>
        <v>#NAME?</v>
      </c>
      <c r="D33" s="23" t="e">
        <f ca="1">[1]!BexGetData("DP_1","003N8EMH8GTFRCSWKMPXRRESE","GSON1111300021")</f>
        <v>#NAME?</v>
      </c>
      <c r="E33" s="28" t="e">
        <f ca="1">[1]!BexGetData("DP_1","003N8EMH8GTFRCSWKMPXRRL3Y","GSON1111300021")</f>
        <v>#NAME?</v>
      </c>
      <c r="F33" s="28" t="e">
        <f ca="1">[1]!BexGetData("DP_1","003N8EMH8GTFRCSWKMPXRRRFI","GSON1111300021")</f>
        <v>#NAME?</v>
      </c>
      <c r="G33" s="23" t="e">
        <f ca="1">[1]!BexGetData("DP_1","003N8EMH8GTFRCSWKMPXRRXR2","GSON1111300021")</f>
        <v>#NAME?</v>
      </c>
      <c r="H33" s="23" t="e">
        <f ca="1">[1]!BexGetData("DP_1","003N8EMH8GTFRCSWKMPXRS42M","GSON1111300021")</f>
        <v>#NAME?</v>
      </c>
      <c r="I33" s="28" t="e">
        <f ca="1">[1]!BexGetData("DP_1","003N8EMH8GTFRCSWKMPXRSAE6","GSON1111300021")</f>
        <v>#NAME?</v>
      </c>
      <c r="J33" s="24" t="e">
        <f ca="1">[1]!BexGetData("DP_1","003N8EMH8GTFRCSWKMPXRSGPQ","GSON1111300021")</f>
        <v>#NAME?</v>
      </c>
      <c r="K33" s="28" t="e">
        <f ca="1">[1]!BexGetData("DP_1","003N8EMH8GTFRIVNUPY288VJH","GSON1111300021")</f>
        <v>#NAME?</v>
      </c>
      <c r="L33" s="28" t="e">
        <f ca="1">[1]!BexGetData("DP_1","003N8EMH8GTFRIVNUPY2891V1","GSON1111300021")</f>
        <v>#NAME?</v>
      </c>
      <c r="M33" s="28" t="e">
        <f ca="1">[1]!BexGetData("DP_1","003N8EMH8GTFRIVOG7KG9IQXA","GSON1111300021")</f>
        <v>#NAME?</v>
      </c>
      <c r="N33" s="28" t="e">
        <f ca="1">[1]!BexGetData("DP_1","003N8EMH8GTFRIVOG7KG9IX8U","GSON1111300021")</f>
        <v>#NAME?</v>
      </c>
      <c r="O33" s="28" t="e">
        <f ca="1">[1]!BexGetData("DP_1","003N8EMH8GTFRIVOG7KG9J3KE","GSON1111300021")</f>
        <v>#NAME?</v>
      </c>
      <c r="P33" s="28" t="e">
        <f ca="1">[1]!BexGetData("DP_1","003N8EMH8GTFRIVOG7KG9J9VY","GSON1111300021")</f>
        <v>#NAME?</v>
      </c>
      <c r="Q33" s="24" t="e">
        <f ca="1">[1]!BexGetData("DP_1","00O2TNJGODT0G5Z4TTKYMM5MT","GSON1111300021")</f>
        <v>#NAME?</v>
      </c>
      <c r="R33" s="28" t="e">
        <f ca="1">[1]!BexGetData("DP_1","00O2TNJGODT0G5Z4TTKYMMBYD","GSON1111300021")</f>
        <v>#NAME?</v>
      </c>
      <c r="S33" s="28" t="e">
        <f ca="1">[1]!BexGetData("DP_1","00O2TNJGODT0G5Z4TTKYMMI9X","GSON1111300021")</f>
        <v>#NAME?</v>
      </c>
      <c r="T33" s="28" t="e">
        <f ca="1">[1]!BexGetData("DP_1","00O2TNJGODT0G5Z4TTKYMMOLH","GSON1111300021")</f>
        <v>#NAME?</v>
      </c>
      <c r="U33" s="28" t="e">
        <f ca="1">[1]!BexGetData("DP_1","00O2TNJGODT0G5Z4TTKYMMUX1","GSON1111300021")</f>
        <v>#NAME?</v>
      </c>
      <c r="V33" s="28" t="e">
        <f ca="1">[1]!BexGetData("DP_1","00O2TNJGODT0G5Z4TTKYMN18L","GSON1111300021")</f>
        <v>#NAME?</v>
      </c>
      <c r="W33" s="28" t="e">
        <f ca="1">[1]!BexGetData("DP_1","00O2TNJGODT0G5Z4TTKYMN7K5","GSON1111300021")</f>
        <v>#NAME?</v>
      </c>
    </row>
    <row r="34" spans="1:23" x14ac:dyDescent="0.2">
      <c r="A34" s="36" t="s">
        <v>1814</v>
      </c>
      <c r="B34" s="27" t="s">
        <v>1815</v>
      </c>
      <c r="C34" s="23" t="e">
        <f ca="1">[1]!BexGetData("DP_1","003N8EMH8GTFRCSWKMPXRR8GU","GSON1111300022")</f>
        <v>#NAME?</v>
      </c>
      <c r="D34" s="23" t="e">
        <f ca="1">[1]!BexGetData("DP_1","003N8EMH8GTFRCSWKMPXRRESE","GSON1111300022")</f>
        <v>#NAME?</v>
      </c>
      <c r="E34" s="28" t="e">
        <f ca="1">[1]!BexGetData("DP_1","003N8EMH8GTFRCSWKMPXRRL3Y","GSON1111300022")</f>
        <v>#NAME?</v>
      </c>
      <c r="F34" s="28" t="e">
        <f ca="1">[1]!BexGetData("DP_1","003N8EMH8GTFRCSWKMPXRRRFI","GSON1111300022")</f>
        <v>#NAME?</v>
      </c>
      <c r="G34" s="23" t="e">
        <f ca="1">[1]!BexGetData("DP_1","003N8EMH8GTFRCSWKMPXRRXR2","GSON1111300022")</f>
        <v>#NAME?</v>
      </c>
      <c r="H34" s="23" t="e">
        <f ca="1">[1]!BexGetData("DP_1","003N8EMH8GTFRCSWKMPXRS42M","GSON1111300022")</f>
        <v>#NAME?</v>
      </c>
      <c r="I34" s="28" t="e">
        <f ca="1">[1]!BexGetData("DP_1","003N8EMH8GTFRCSWKMPXRSAE6","GSON1111300022")</f>
        <v>#NAME?</v>
      </c>
      <c r="J34" s="24" t="e">
        <f ca="1">[1]!BexGetData("DP_1","003N8EMH8GTFRCSWKMPXRSGPQ","GSON1111300022")</f>
        <v>#NAME?</v>
      </c>
      <c r="K34" s="28" t="e">
        <f ca="1">[1]!BexGetData("DP_1","003N8EMH8GTFRIVNUPY288VJH","GSON1111300022")</f>
        <v>#NAME?</v>
      </c>
      <c r="L34" s="28" t="e">
        <f ca="1">[1]!BexGetData("DP_1","003N8EMH8GTFRIVNUPY2891V1","GSON1111300022")</f>
        <v>#NAME?</v>
      </c>
      <c r="M34" s="28" t="e">
        <f ca="1">[1]!BexGetData("DP_1","003N8EMH8GTFRIVOG7KG9IQXA","GSON1111300022")</f>
        <v>#NAME?</v>
      </c>
      <c r="N34" s="28" t="e">
        <f ca="1">[1]!BexGetData("DP_1","003N8EMH8GTFRIVOG7KG9IX8U","GSON1111300022")</f>
        <v>#NAME?</v>
      </c>
      <c r="O34" s="28" t="e">
        <f ca="1">[1]!BexGetData("DP_1","003N8EMH8GTFRIVOG7KG9J3KE","GSON1111300022")</f>
        <v>#NAME?</v>
      </c>
      <c r="P34" s="28" t="e">
        <f ca="1">[1]!BexGetData("DP_1","003N8EMH8GTFRIVOG7KG9J9VY","GSON1111300022")</f>
        <v>#NAME?</v>
      </c>
      <c r="Q34" s="24" t="e">
        <f ca="1">[1]!BexGetData("DP_1","00O2TNJGODT0G5Z4TTKYMM5MT","GSON1111300022")</f>
        <v>#NAME?</v>
      </c>
      <c r="R34" s="28" t="e">
        <f ca="1">[1]!BexGetData("DP_1","00O2TNJGODT0G5Z4TTKYMMBYD","GSON1111300022")</f>
        <v>#NAME?</v>
      </c>
      <c r="S34" s="28" t="e">
        <f ca="1">[1]!BexGetData("DP_1","00O2TNJGODT0G5Z4TTKYMMI9X","GSON1111300022")</f>
        <v>#NAME?</v>
      </c>
      <c r="T34" s="28" t="e">
        <f ca="1">[1]!BexGetData("DP_1","00O2TNJGODT0G5Z4TTKYMMOLH","GSON1111300022")</f>
        <v>#NAME?</v>
      </c>
      <c r="U34" s="28" t="e">
        <f ca="1">[1]!BexGetData("DP_1","00O2TNJGODT0G5Z4TTKYMMUX1","GSON1111300022")</f>
        <v>#NAME?</v>
      </c>
      <c r="V34" s="28" t="e">
        <f ca="1">[1]!BexGetData("DP_1","00O2TNJGODT0G5Z4TTKYMN18L","GSON1111300022")</f>
        <v>#NAME?</v>
      </c>
      <c r="W34" s="28" t="e">
        <f ca="1">[1]!BexGetData("DP_1","00O2TNJGODT0G5Z4TTKYMN7K5","GSON1111300022")</f>
        <v>#NAME?</v>
      </c>
    </row>
    <row r="35" spans="1:23" x14ac:dyDescent="0.2">
      <c r="A35" s="36" t="s">
        <v>1816</v>
      </c>
      <c r="B35" s="27" t="s">
        <v>1817</v>
      </c>
      <c r="C35" s="23" t="e">
        <f ca="1">[1]!BexGetData("DP_1","003N8EMH8GTFRCSWKMPXRR8GU","GSON1111300024")</f>
        <v>#NAME?</v>
      </c>
      <c r="D35" s="23" t="e">
        <f ca="1">[1]!BexGetData("DP_1","003N8EMH8GTFRCSWKMPXRRESE","GSON1111300024")</f>
        <v>#NAME?</v>
      </c>
      <c r="E35" s="28" t="e">
        <f ca="1">[1]!BexGetData("DP_1","003N8EMH8GTFRCSWKMPXRRL3Y","GSON1111300024")</f>
        <v>#NAME?</v>
      </c>
      <c r="F35" s="28" t="e">
        <f ca="1">[1]!BexGetData("DP_1","003N8EMH8GTFRCSWKMPXRRRFI","GSON1111300024")</f>
        <v>#NAME?</v>
      </c>
      <c r="G35" s="23" t="e">
        <f ca="1">[1]!BexGetData("DP_1","003N8EMH8GTFRCSWKMPXRRXR2","GSON1111300024")</f>
        <v>#NAME?</v>
      </c>
      <c r="H35" s="23" t="e">
        <f ca="1">[1]!BexGetData("DP_1","003N8EMH8GTFRCSWKMPXRS42M","GSON1111300024")</f>
        <v>#NAME?</v>
      </c>
      <c r="I35" s="28" t="e">
        <f ca="1">[1]!BexGetData("DP_1","003N8EMH8GTFRCSWKMPXRSAE6","GSON1111300024")</f>
        <v>#NAME?</v>
      </c>
      <c r="J35" s="24" t="e">
        <f ca="1">[1]!BexGetData("DP_1","003N8EMH8GTFRCSWKMPXRSGPQ","GSON1111300024")</f>
        <v>#NAME?</v>
      </c>
      <c r="K35" s="28" t="e">
        <f ca="1">[1]!BexGetData("DP_1","003N8EMH8GTFRIVNUPY288VJH","GSON1111300024")</f>
        <v>#NAME?</v>
      </c>
      <c r="L35" s="28" t="e">
        <f ca="1">[1]!BexGetData("DP_1","003N8EMH8GTFRIVNUPY2891V1","GSON1111300024")</f>
        <v>#NAME?</v>
      </c>
      <c r="M35" s="28" t="e">
        <f ca="1">[1]!BexGetData("DP_1","003N8EMH8GTFRIVOG7KG9IQXA","GSON1111300024")</f>
        <v>#NAME?</v>
      </c>
      <c r="N35" s="28" t="e">
        <f ca="1">[1]!BexGetData("DP_1","003N8EMH8GTFRIVOG7KG9IX8U","GSON1111300024")</f>
        <v>#NAME?</v>
      </c>
      <c r="O35" s="28" t="e">
        <f ca="1">[1]!BexGetData("DP_1","003N8EMH8GTFRIVOG7KG9J3KE","GSON1111300024")</f>
        <v>#NAME?</v>
      </c>
      <c r="P35" s="28" t="e">
        <f ca="1">[1]!BexGetData("DP_1","003N8EMH8GTFRIVOG7KG9J9VY","GSON1111300024")</f>
        <v>#NAME?</v>
      </c>
      <c r="Q35" s="24" t="e">
        <f ca="1">[1]!BexGetData("DP_1","00O2TNJGODT0G5Z4TTKYMM5MT","GSON1111300024")</f>
        <v>#NAME?</v>
      </c>
      <c r="R35" s="28" t="e">
        <f ca="1">[1]!BexGetData("DP_1","00O2TNJGODT0G5Z4TTKYMMBYD","GSON1111300024")</f>
        <v>#NAME?</v>
      </c>
      <c r="S35" s="28" t="e">
        <f ca="1">[1]!BexGetData("DP_1","00O2TNJGODT0G5Z4TTKYMMI9X","GSON1111300024")</f>
        <v>#NAME?</v>
      </c>
      <c r="T35" s="28" t="e">
        <f ca="1">[1]!BexGetData("DP_1","00O2TNJGODT0G5Z4TTKYMMOLH","GSON1111300024")</f>
        <v>#NAME?</v>
      </c>
      <c r="U35" s="28" t="e">
        <f ca="1">[1]!BexGetData("DP_1","00O2TNJGODT0G5Z4TTKYMMUX1","GSON1111300024")</f>
        <v>#NAME?</v>
      </c>
      <c r="V35" s="28" t="e">
        <f ca="1">[1]!BexGetData("DP_1","00O2TNJGODT0G5Z4TTKYMN18L","GSON1111300024")</f>
        <v>#NAME?</v>
      </c>
      <c r="W35" s="28" t="e">
        <f ca="1">[1]!BexGetData("DP_1","00O2TNJGODT0G5Z4TTKYMN7K5","GSON1111300024")</f>
        <v>#NAME?</v>
      </c>
    </row>
    <row r="36" spans="1:23" x14ac:dyDescent="0.2">
      <c r="A36" s="36" t="s">
        <v>1818</v>
      </c>
      <c r="B36" s="27" t="s">
        <v>1819</v>
      </c>
      <c r="C36" s="23" t="e">
        <f ca="1">[1]!BexGetData("DP_1","003N8EMH8GTFRCSWKMPXRR8GU","GSON1111300025")</f>
        <v>#NAME?</v>
      </c>
      <c r="D36" s="23" t="e">
        <f ca="1">[1]!BexGetData("DP_1","003N8EMH8GTFRCSWKMPXRRESE","GSON1111300025")</f>
        <v>#NAME?</v>
      </c>
      <c r="E36" s="28" t="e">
        <f ca="1">[1]!BexGetData("DP_1","003N8EMH8GTFRCSWKMPXRRL3Y","GSON1111300025")</f>
        <v>#NAME?</v>
      </c>
      <c r="F36" s="28" t="e">
        <f ca="1">[1]!BexGetData("DP_1","003N8EMH8GTFRCSWKMPXRRRFI","GSON1111300025")</f>
        <v>#NAME?</v>
      </c>
      <c r="G36" s="23" t="e">
        <f ca="1">[1]!BexGetData("DP_1","003N8EMH8GTFRCSWKMPXRRXR2","GSON1111300025")</f>
        <v>#NAME?</v>
      </c>
      <c r="H36" s="23" t="e">
        <f ca="1">[1]!BexGetData("DP_1","003N8EMH8GTFRCSWKMPXRS42M","GSON1111300025")</f>
        <v>#NAME?</v>
      </c>
      <c r="I36" s="28" t="e">
        <f ca="1">[1]!BexGetData("DP_1","003N8EMH8GTFRCSWKMPXRSAE6","GSON1111300025")</f>
        <v>#NAME?</v>
      </c>
      <c r="J36" s="24" t="e">
        <f ca="1">[1]!BexGetData("DP_1","003N8EMH8GTFRCSWKMPXRSGPQ","GSON1111300025")</f>
        <v>#NAME?</v>
      </c>
      <c r="K36" s="28" t="e">
        <f ca="1">[1]!BexGetData("DP_1","003N8EMH8GTFRIVNUPY288VJH","GSON1111300025")</f>
        <v>#NAME?</v>
      </c>
      <c r="L36" s="28" t="e">
        <f ca="1">[1]!BexGetData("DP_1","003N8EMH8GTFRIVNUPY2891V1","GSON1111300025")</f>
        <v>#NAME?</v>
      </c>
      <c r="M36" s="28" t="e">
        <f ca="1">[1]!BexGetData("DP_1","003N8EMH8GTFRIVOG7KG9IQXA","GSON1111300025")</f>
        <v>#NAME?</v>
      </c>
      <c r="N36" s="28" t="e">
        <f ca="1">[1]!BexGetData("DP_1","003N8EMH8GTFRIVOG7KG9IX8U","GSON1111300025")</f>
        <v>#NAME?</v>
      </c>
      <c r="O36" s="28" t="e">
        <f ca="1">[1]!BexGetData("DP_1","003N8EMH8GTFRIVOG7KG9J3KE","GSON1111300025")</f>
        <v>#NAME?</v>
      </c>
      <c r="P36" s="28" t="e">
        <f ca="1">[1]!BexGetData("DP_1","003N8EMH8GTFRIVOG7KG9J9VY","GSON1111300025")</f>
        <v>#NAME?</v>
      </c>
      <c r="Q36" s="24" t="e">
        <f ca="1">[1]!BexGetData("DP_1","00O2TNJGODT0G5Z4TTKYMM5MT","GSON1111300025")</f>
        <v>#NAME?</v>
      </c>
      <c r="R36" s="28" t="e">
        <f ca="1">[1]!BexGetData("DP_1","00O2TNJGODT0G5Z4TTKYMMBYD","GSON1111300025")</f>
        <v>#NAME?</v>
      </c>
      <c r="S36" s="28" t="e">
        <f ca="1">[1]!BexGetData("DP_1","00O2TNJGODT0G5Z4TTKYMMI9X","GSON1111300025")</f>
        <v>#NAME?</v>
      </c>
      <c r="T36" s="28" t="e">
        <f ca="1">[1]!BexGetData("DP_1","00O2TNJGODT0G5Z4TTKYMMOLH","GSON1111300025")</f>
        <v>#NAME?</v>
      </c>
      <c r="U36" s="28" t="e">
        <f ca="1">[1]!BexGetData("DP_1","00O2TNJGODT0G5Z4TTKYMMUX1","GSON1111300025")</f>
        <v>#NAME?</v>
      </c>
      <c r="V36" s="28" t="e">
        <f ca="1">[1]!BexGetData("DP_1","00O2TNJGODT0G5Z4TTKYMN18L","GSON1111300025")</f>
        <v>#NAME?</v>
      </c>
      <c r="W36" s="28" t="e">
        <f ca="1">[1]!BexGetData("DP_1","00O2TNJGODT0G5Z4TTKYMN7K5","GSON1111300025")</f>
        <v>#NAME?</v>
      </c>
    </row>
    <row r="37" spans="1:23" x14ac:dyDescent="0.2">
      <c r="A37" s="36" t="s">
        <v>1820</v>
      </c>
      <c r="B37" s="27" t="s">
        <v>1821</v>
      </c>
      <c r="C37" s="23" t="e">
        <f ca="1">[1]!BexGetData("DP_1","003N8EMH8GTFRCSWKMPXRR8GU","GSON1111300026")</f>
        <v>#NAME?</v>
      </c>
      <c r="D37" s="23" t="e">
        <f ca="1">[1]!BexGetData("DP_1","003N8EMH8GTFRCSWKMPXRRESE","GSON1111300026")</f>
        <v>#NAME?</v>
      </c>
      <c r="E37" s="28" t="e">
        <f ca="1">[1]!BexGetData("DP_1","003N8EMH8GTFRCSWKMPXRRL3Y","GSON1111300026")</f>
        <v>#NAME?</v>
      </c>
      <c r="F37" s="28" t="e">
        <f ca="1">[1]!BexGetData("DP_1","003N8EMH8GTFRCSWKMPXRRRFI","GSON1111300026")</f>
        <v>#NAME?</v>
      </c>
      <c r="G37" s="23" t="e">
        <f ca="1">[1]!BexGetData("DP_1","003N8EMH8GTFRCSWKMPXRRXR2","GSON1111300026")</f>
        <v>#NAME?</v>
      </c>
      <c r="H37" s="23" t="e">
        <f ca="1">[1]!BexGetData("DP_1","003N8EMH8GTFRCSWKMPXRS42M","GSON1111300026")</f>
        <v>#NAME?</v>
      </c>
      <c r="I37" s="28" t="e">
        <f ca="1">[1]!BexGetData("DP_1","003N8EMH8GTFRCSWKMPXRSAE6","GSON1111300026")</f>
        <v>#NAME?</v>
      </c>
      <c r="J37" s="24" t="e">
        <f ca="1">[1]!BexGetData("DP_1","003N8EMH8GTFRCSWKMPXRSGPQ","GSON1111300026")</f>
        <v>#NAME?</v>
      </c>
      <c r="K37" s="28" t="e">
        <f ca="1">[1]!BexGetData("DP_1","003N8EMH8GTFRIVNUPY288VJH","GSON1111300026")</f>
        <v>#NAME?</v>
      </c>
      <c r="L37" s="28" t="e">
        <f ca="1">[1]!BexGetData("DP_1","003N8EMH8GTFRIVNUPY2891V1","GSON1111300026")</f>
        <v>#NAME?</v>
      </c>
      <c r="M37" s="28" t="e">
        <f ca="1">[1]!BexGetData("DP_1","003N8EMH8GTFRIVOG7KG9IQXA","GSON1111300026")</f>
        <v>#NAME?</v>
      </c>
      <c r="N37" s="28" t="e">
        <f ca="1">[1]!BexGetData("DP_1","003N8EMH8GTFRIVOG7KG9IX8U","GSON1111300026")</f>
        <v>#NAME?</v>
      </c>
      <c r="O37" s="28" t="e">
        <f ca="1">[1]!BexGetData("DP_1","003N8EMH8GTFRIVOG7KG9J3KE","GSON1111300026")</f>
        <v>#NAME?</v>
      </c>
      <c r="P37" s="28" t="e">
        <f ca="1">[1]!BexGetData("DP_1","003N8EMH8GTFRIVOG7KG9J9VY","GSON1111300026")</f>
        <v>#NAME?</v>
      </c>
      <c r="Q37" s="24" t="e">
        <f ca="1">[1]!BexGetData("DP_1","00O2TNJGODT0G5Z4TTKYMM5MT","GSON1111300026")</f>
        <v>#NAME?</v>
      </c>
      <c r="R37" s="28" t="e">
        <f ca="1">[1]!BexGetData("DP_1","00O2TNJGODT0G5Z4TTKYMMBYD","GSON1111300026")</f>
        <v>#NAME?</v>
      </c>
      <c r="S37" s="28" t="e">
        <f ca="1">[1]!BexGetData("DP_1","00O2TNJGODT0G5Z4TTKYMMI9X","GSON1111300026")</f>
        <v>#NAME?</v>
      </c>
      <c r="T37" s="28" t="e">
        <f ca="1">[1]!BexGetData("DP_1","00O2TNJGODT0G5Z4TTKYMMOLH","GSON1111300026")</f>
        <v>#NAME?</v>
      </c>
      <c r="U37" s="28" t="e">
        <f ca="1">[1]!BexGetData("DP_1","00O2TNJGODT0G5Z4TTKYMMUX1","GSON1111300026")</f>
        <v>#NAME?</v>
      </c>
      <c r="V37" s="28" t="e">
        <f ca="1">[1]!BexGetData("DP_1","00O2TNJGODT0G5Z4TTKYMN18L","GSON1111300026")</f>
        <v>#NAME?</v>
      </c>
      <c r="W37" s="28" t="e">
        <f ca="1">[1]!BexGetData("DP_1","00O2TNJGODT0G5Z4TTKYMN7K5","GSON1111300026")</f>
        <v>#NAME?</v>
      </c>
    </row>
    <row r="38" spans="1:23" x14ac:dyDescent="0.2">
      <c r="A38" s="36" t="s">
        <v>1822</v>
      </c>
      <c r="B38" s="27" t="s">
        <v>1823</v>
      </c>
      <c r="C38" s="23" t="e">
        <f ca="1">[1]!BexGetData("DP_1","003N8EMH8GTFRCSWKMPXRR8GU","GSON1111300028")</f>
        <v>#NAME?</v>
      </c>
      <c r="D38" s="23" t="e">
        <f ca="1">[1]!BexGetData("DP_1","003N8EMH8GTFRCSWKMPXRRESE","GSON1111300028")</f>
        <v>#NAME?</v>
      </c>
      <c r="E38" s="28" t="e">
        <f ca="1">[1]!BexGetData("DP_1","003N8EMH8GTFRCSWKMPXRRL3Y","GSON1111300028")</f>
        <v>#NAME?</v>
      </c>
      <c r="F38" s="28" t="e">
        <f ca="1">[1]!BexGetData("DP_1","003N8EMH8GTFRCSWKMPXRRRFI","GSON1111300028")</f>
        <v>#NAME?</v>
      </c>
      <c r="G38" s="23" t="e">
        <f ca="1">[1]!BexGetData("DP_1","003N8EMH8GTFRCSWKMPXRRXR2","GSON1111300028")</f>
        <v>#NAME?</v>
      </c>
      <c r="H38" s="23" t="e">
        <f ca="1">[1]!BexGetData("DP_1","003N8EMH8GTFRCSWKMPXRS42M","GSON1111300028")</f>
        <v>#NAME?</v>
      </c>
      <c r="I38" s="28" t="e">
        <f ca="1">[1]!BexGetData("DP_1","003N8EMH8GTFRCSWKMPXRSAE6","GSON1111300028")</f>
        <v>#NAME?</v>
      </c>
      <c r="J38" s="24" t="e">
        <f ca="1">[1]!BexGetData("DP_1","003N8EMH8GTFRCSWKMPXRSGPQ","GSON1111300028")</f>
        <v>#NAME?</v>
      </c>
      <c r="K38" s="28" t="e">
        <f ca="1">[1]!BexGetData("DP_1","003N8EMH8GTFRIVNUPY288VJH","GSON1111300028")</f>
        <v>#NAME?</v>
      </c>
      <c r="L38" s="28" t="e">
        <f ca="1">[1]!BexGetData("DP_1","003N8EMH8GTFRIVNUPY2891V1","GSON1111300028")</f>
        <v>#NAME?</v>
      </c>
      <c r="M38" s="28" t="e">
        <f ca="1">[1]!BexGetData("DP_1","003N8EMH8GTFRIVOG7KG9IQXA","GSON1111300028")</f>
        <v>#NAME?</v>
      </c>
      <c r="N38" s="28" t="e">
        <f ca="1">[1]!BexGetData("DP_1","003N8EMH8GTFRIVOG7KG9IX8U","GSON1111300028")</f>
        <v>#NAME?</v>
      </c>
      <c r="O38" s="28" t="e">
        <f ca="1">[1]!BexGetData("DP_1","003N8EMH8GTFRIVOG7KG9J3KE","GSON1111300028")</f>
        <v>#NAME?</v>
      </c>
      <c r="P38" s="28" t="e">
        <f ca="1">[1]!BexGetData("DP_1","003N8EMH8GTFRIVOG7KG9J9VY","GSON1111300028")</f>
        <v>#NAME?</v>
      </c>
      <c r="Q38" s="24" t="e">
        <f ca="1">[1]!BexGetData("DP_1","00O2TNJGODT0G5Z4TTKYMM5MT","GSON1111300028")</f>
        <v>#NAME?</v>
      </c>
      <c r="R38" s="28" t="e">
        <f ca="1">[1]!BexGetData("DP_1","00O2TNJGODT0G5Z4TTKYMMBYD","GSON1111300028")</f>
        <v>#NAME?</v>
      </c>
      <c r="S38" s="28" t="e">
        <f ca="1">[1]!BexGetData("DP_1","00O2TNJGODT0G5Z4TTKYMMI9X","GSON1111300028")</f>
        <v>#NAME?</v>
      </c>
      <c r="T38" s="28" t="e">
        <f ca="1">[1]!BexGetData("DP_1","00O2TNJGODT0G5Z4TTKYMMOLH","GSON1111300028")</f>
        <v>#NAME?</v>
      </c>
      <c r="U38" s="28" t="e">
        <f ca="1">[1]!BexGetData("DP_1","00O2TNJGODT0G5Z4TTKYMMUX1","GSON1111300028")</f>
        <v>#NAME?</v>
      </c>
      <c r="V38" s="28" t="e">
        <f ca="1">[1]!BexGetData("DP_1","00O2TNJGODT0G5Z4TTKYMN18L","GSON1111300028")</f>
        <v>#NAME?</v>
      </c>
      <c r="W38" s="28" t="e">
        <f ca="1">[1]!BexGetData("DP_1","00O2TNJGODT0G5Z4TTKYMN7K5","GSON1111300028")</f>
        <v>#NAME?</v>
      </c>
    </row>
    <row r="39" spans="1:23" x14ac:dyDescent="0.2">
      <c r="A39" s="36" t="s">
        <v>1824</v>
      </c>
      <c r="B39" s="27" t="s">
        <v>1825</v>
      </c>
      <c r="C39" s="23" t="e">
        <f ca="1">[1]!BexGetData("DP_1","003N8EMH8GTFRCSWKMPXRR8GU","GSON1111300029")</f>
        <v>#NAME?</v>
      </c>
      <c r="D39" s="23" t="e">
        <f ca="1">[1]!BexGetData("DP_1","003N8EMH8GTFRCSWKMPXRRESE","GSON1111300029")</f>
        <v>#NAME?</v>
      </c>
      <c r="E39" s="28" t="e">
        <f ca="1">[1]!BexGetData("DP_1","003N8EMH8GTFRCSWKMPXRRL3Y","GSON1111300029")</f>
        <v>#NAME?</v>
      </c>
      <c r="F39" s="28" t="e">
        <f ca="1">[1]!BexGetData("DP_1","003N8EMH8GTFRCSWKMPXRRRFI","GSON1111300029")</f>
        <v>#NAME?</v>
      </c>
      <c r="G39" s="23" t="e">
        <f ca="1">[1]!BexGetData("DP_1","003N8EMH8GTFRCSWKMPXRRXR2","GSON1111300029")</f>
        <v>#NAME?</v>
      </c>
      <c r="H39" s="23" t="e">
        <f ca="1">[1]!BexGetData("DP_1","003N8EMH8GTFRCSWKMPXRS42M","GSON1111300029")</f>
        <v>#NAME?</v>
      </c>
      <c r="I39" s="28" t="e">
        <f ca="1">[1]!BexGetData("DP_1","003N8EMH8GTFRCSWKMPXRSAE6","GSON1111300029")</f>
        <v>#NAME?</v>
      </c>
      <c r="J39" s="24" t="e">
        <f ca="1">[1]!BexGetData("DP_1","003N8EMH8GTFRCSWKMPXRSGPQ","GSON1111300029")</f>
        <v>#NAME?</v>
      </c>
      <c r="K39" s="28" t="e">
        <f ca="1">[1]!BexGetData("DP_1","003N8EMH8GTFRIVNUPY288VJH","GSON1111300029")</f>
        <v>#NAME?</v>
      </c>
      <c r="L39" s="28" t="e">
        <f ca="1">[1]!BexGetData("DP_1","003N8EMH8GTFRIVNUPY2891V1","GSON1111300029")</f>
        <v>#NAME?</v>
      </c>
      <c r="M39" s="28" t="e">
        <f ca="1">[1]!BexGetData("DP_1","003N8EMH8GTFRIVOG7KG9IQXA","GSON1111300029")</f>
        <v>#NAME?</v>
      </c>
      <c r="N39" s="28" t="e">
        <f ca="1">[1]!BexGetData("DP_1","003N8EMH8GTFRIVOG7KG9IX8U","GSON1111300029")</f>
        <v>#NAME?</v>
      </c>
      <c r="O39" s="28" t="e">
        <f ca="1">[1]!BexGetData("DP_1","003N8EMH8GTFRIVOG7KG9J3KE","GSON1111300029")</f>
        <v>#NAME?</v>
      </c>
      <c r="P39" s="28" t="e">
        <f ca="1">[1]!BexGetData("DP_1","003N8EMH8GTFRIVOG7KG9J9VY","GSON1111300029")</f>
        <v>#NAME?</v>
      </c>
      <c r="Q39" s="24" t="e">
        <f ca="1">[1]!BexGetData("DP_1","00O2TNJGODT0G5Z4TTKYMM5MT","GSON1111300029")</f>
        <v>#NAME?</v>
      </c>
      <c r="R39" s="28" t="e">
        <f ca="1">[1]!BexGetData("DP_1","00O2TNJGODT0G5Z4TTKYMMBYD","GSON1111300029")</f>
        <v>#NAME?</v>
      </c>
      <c r="S39" s="28" t="e">
        <f ca="1">[1]!BexGetData("DP_1","00O2TNJGODT0G5Z4TTKYMMI9X","GSON1111300029")</f>
        <v>#NAME?</v>
      </c>
      <c r="T39" s="28" t="e">
        <f ca="1">[1]!BexGetData("DP_1","00O2TNJGODT0G5Z4TTKYMMOLH","GSON1111300029")</f>
        <v>#NAME?</v>
      </c>
      <c r="U39" s="28" t="e">
        <f ca="1">[1]!BexGetData("DP_1","00O2TNJGODT0G5Z4TTKYMMUX1","GSON1111300029")</f>
        <v>#NAME?</v>
      </c>
      <c r="V39" s="28" t="e">
        <f ca="1">[1]!BexGetData("DP_1","00O2TNJGODT0G5Z4TTKYMN18L","GSON1111300029")</f>
        <v>#NAME?</v>
      </c>
      <c r="W39" s="28" t="e">
        <f ca="1">[1]!BexGetData("DP_1","00O2TNJGODT0G5Z4TTKYMN7K5","GSON1111300029")</f>
        <v>#NAME?</v>
      </c>
    </row>
    <row r="40" spans="1:23" x14ac:dyDescent="0.2">
      <c r="A40" s="36" t="s">
        <v>1826</v>
      </c>
      <c r="B40" s="27" t="s">
        <v>1827</v>
      </c>
      <c r="C40" s="23" t="e">
        <f ca="1">[1]!BexGetData("DP_1","003N8EMH8GTFRCSWKMPXRR8GU","GSON1111300030")</f>
        <v>#NAME?</v>
      </c>
      <c r="D40" s="23" t="e">
        <f ca="1">[1]!BexGetData("DP_1","003N8EMH8GTFRCSWKMPXRRESE","GSON1111300030")</f>
        <v>#NAME?</v>
      </c>
      <c r="E40" s="28" t="e">
        <f ca="1">[1]!BexGetData("DP_1","003N8EMH8GTFRCSWKMPXRRL3Y","GSON1111300030")</f>
        <v>#NAME?</v>
      </c>
      <c r="F40" s="28" t="e">
        <f ca="1">[1]!BexGetData("DP_1","003N8EMH8GTFRCSWKMPXRRRFI","GSON1111300030")</f>
        <v>#NAME?</v>
      </c>
      <c r="G40" s="23" t="e">
        <f ca="1">[1]!BexGetData("DP_1","003N8EMH8GTFRCSWKMPXRRXR2","GSON1111300030")</f>
        <v>#NAME?</v>
      </c>
      <c r="H40" s="23" t="e">
        <f ca="1">[1]!BexGetData("DP_1","003N8EMH8GTFRCSWKMPXRS42M","GSON1111300030")</f>
        <v>#NAME?</v>
      </c>
      <c r="I40" s="28" t="e">
        <f ca="1">[1]!BexGetData("DP_1","003N8EMH8GTFRCSWKMPXRSAE6","GSON1111300030")</f>
        <v>#NAME?</v>
      </c>
      <c r="J40" s="24" t="e">
        <f ca="1">[1]!BexGetData("DP_1","003N8EMH8GTFRCSWKMPXRSGPQ","GSON1111300030")</f>
        <v>#NAME?</v>
      </c>
      <c r="K40" s="28" t="e">
        <f ca="1">[1]!BexGetData("DP_1","003N8EMH8GTFRIVNUPY288VJH","GSON1111300030")</f>
        <v>#NAME?</v>
      </c>
      <c r="L40" s="28" t="e">
        <f ca="1">[1]!BexGetData("DP_1","003N8EMH8GTFRIVNUPY2891V1","GSON1111300030")</f>
        <v>#NAME?</v>
      </c>
      <c r="M40" s="28" t="e">
        <f ca="1">[1]!BexGetData("DP_1","003N8EMH8GTFRIVOG7KG9IQXA","GSON1111300030")</f>
        <v>#NAME?</v>
      </c>
      <c r="N40" s="28" t="e">
        <f ca="1">[1]!BexGetData("DP_1","003N8EMH8GTFRIVOG7KG9IX8U","GSON1111300030")</f>
        <v>#NAME?</v>
      </c>
      <c r="O40" s="28" t="e">
        <f ca="1">[1]!BexGetData("DP_1","003N8EMH8GTFRIVOG7KG9J3KE","GSON1111300030")</f>
        <v>#NAME?</v>
      </c>
      <c r="P40" s="28" t="e">
        <f ca="1">[1]!BexGetData("DP_1","003N8EMH8GTFRIVOG7KG9J9VY","GSON1111300030")</f>
        <v>#NAME?</v>
      </c>
      <c r="Q40" s="24" t="e">
        <f ca="1">[1]!BexGetData("DP_1","00O2TNJGODT0G5Z4TTKYMM5MT","GSON1111300030")</f>
        <v>#NAME?</v>
      </c>
      <c r="R40" s="28" t="e">
        <f ca="1">[1]!BexGetData("DP_1","00O2TNJGODT0G5Z4TTKYMMBYD","GSON1111300030")</f>
        <v>#NAME?</v>
      </c>
      <c r="S40" s="28" t="e">
        <f ca="1">[1]!BexGetData("DP_1","00O2TNJGODT0G5Z4TTKYMMI9X","GSON1111300030")</f>
        <v>#NAME?</v>
      </c>
      <c r="T40" s="28" t="e">
        <f ca="1">[1]!BexGetData("DP_1","00O2TNJGODT0G5Z4TTKYMMOLH","GSON1111300030")</f>
        <v>#NAME?</v>
      </c>
      <c r="U40" s="28" t="e">
        <f ca="1">[1]!BexGetData("DP_1","00O2TNJGODT0G5Z4TTKYMMUX1","GSON1111300030")</f>
        <v>#NAME?</v>
      </c>
      <c r="V40" s="28" t="e">
        <f ca="1">[1]!BexGetData("DP_1","00O2TNJGODT0G5Z4TTKYMN18L","GSON1111300030")</f>
        <v>#NAME?</v>
      </c>
      <c r="W40" s="28" t="e">
        <f ca="1">[1]!BexGetData("DP_1","00O2TNJGODT0G5Z4TTKYMN7K5","GSON1111300030")</f>
        <v>#NAME?</v>
      </c>
    </row>
    <row r="41" spans="1:23" x14ac:dyDescent="0.2">
      <c r="A41" s="36" t="s">
        <v>1828</v>
      </c>
      <c r="B41" s="27" t="s">
        <v>1829</v>
      </c>
      <c r="C41" s="23" t="e">
        <f ca="1">[1]!BexGetData("DP_1","003N8EMH8GTFRCSWKMPXRR8GU","GSON1111300031")</f>
        <v>#NAME?</v>
      </c>
      <c r="D41" s="23" t="e">
        <f ca="1">[1]!BexGetData("DP_1","003N8EMH8GTFRCSWKMPXRRESE","GSON1111300031")</f>
        <v>#NAME?</v>
      </c>
      <c r="E41" s="28" t="e">
        <f ca="1">[1]!BexGetData("DP_1","003N8EMH8GTFRCSWKMPXRRL3Y","GSON1111300031")</f>
        <v>#NAME?</v>
      </c>
      <c r="F41" s="28" t="e">
        <f ca="1">[1]!BexGetData("DP_1","003N8EMH8GTFRCSWKMPXRRRFI","GSON1111300031")</f>
        <v>#NAME?</v>
      </c>
      <c r="G41" s="23" t="e">
        <f ca="1">[1]!BexGetData("DP_1","003N8EMH8GTFRCSWKMPXRRXR2","GSON1111300031")</f>
        <v>#NAME?</v>
      </c>
      <c r="H41" s="23" t="e">
        <f ca="1">[1]!BexGetData("DP_1","003N8EMH8GTFRCSWKMPXRS42M","GSON1111300031")</f>
        <v>#NAME?</v>
      </c>
      <c r="I41" s="28" t="e">
        <f ca="1">[1]!BexGetData("DP_1","003N8EMH8GTFRCSWKMPXRSAE6","GSON1111300031")</f>
        <v>#NAME?</v>
      </c>
      <c r="J41" s="24" t="e">
        <f ca="1">[1]!BexGetData("DP_1","003N8EMH8GTFRCSWKMPXRSGPQ","GSON1111300031")</f>
        <v>#NAME?</v>
      </c>
      <c r="K41" s="28" t="e">
        <f ca="1">[1]!BexGetData("DP_1","003N8EMH8GTFRIVNUPY288VJH","GSON1111300031")</f>
        <v>#NAME?</v>
      </c>
      <c r="L41" s="28" t="e">
        <f ca="1">[1]!BexGetData("DP_1","003N8EMH8GTFRIVNUPY2891V1","GSON1111300031")</f>
        <v>#NAME?</v>
      </c>
      <c r="M41" s="28" t="e">
        <f ca="1">[1]!BexGetData("DP_1","003N8EMH8GTFRIVOG7KG9IQXA","GSON1111300031")</f>
        <v>#NAME?</v>
      </c>
      <c r="N41" s="28" t="e">
        <f ca="1">[1]!BexGetData("DP_1","003N8EMH8GTFRIVOG7KG9IX8U","GSON1111300031")</f>
        <v>#NAME?</v>
      </c>
      <c r="O41" s="28" t="e">
        <f ca="1">[1]!BexGetData("DP_1","003N8EMH8GTFRIVOG7KG9J3KE","GSON1111300031")</f>
        <v>#NAME?</v>
      </c>
      <c r="P41" s="28" t="e">
        <f ca="1">[1]!BexGetData("DP_1","003N8EMH8GTFRIVOG7KG9J9VY","GSON1111300031")</f>
        <v>#NAME?</v>
      </c>
      <c r="Q41" s="24" t="e">
        <f ca="1">[1]!BexGetData("DP_1","00O2TNJGODT0G5Z4TTKYMM5MT","GSON1111300031")</f>
        <v>#NAME?</v>
      </c>
      <c r="R41" s="28" t="e">
        <f ca="1">[1]!BexGetData("DP_1","00O2TNJGODT0G5Z4TTKYMMBYD","GSON1111300031")</f>
        <v>#NAME?</v>
      </c>
      <c r="S41" s="28" t="e">
        <f ca="1">[1]!BexGetData("DP_1","00O2TNJGODT0G5Z4TTKYMMI9X","GSON1111300031")</f>
        <v>#NAME?</v>
      </c>
      <c r="T41" s="28" t="e">
        <f ca="1">[1]!BexGetData("DP_1","00O2TNJGODT0G5Z4TTKYMMOLH","GSON1111300031")</f>
        <v>#NAME?</v>
      </c>
      <c r="U41" s="28" t="e">
        <f ca="1">[1]!BexGetData("DP_1","00O2TNJGODT0G5Z4TTKYMMUX1","GSON1111300031")</f>
        <v>#NAME?</v>
      </c>
      <c r="V41" s="28" t="e">
        <f ca="1">[1]!BexGetData("DP_1","00O2TNJGODT0G5Z4TTKYMN18L","GSON1111300031")</f>
        <v>#NAME?</v>
      </c>
      <c r="W41" s="28" t="e">
        <f ca="1">[1]!BexGetData("DP_1","00O2TNJGODT0G5Z4TTKYMN7K5","GSON1111300031")</f>
        <v>#NAME?</v>
      </c>
    </row>
    <row r="42" spans="1:23" x14ac:dyDescent="0.2">
      <c r="A42" s="36" t="s">
        <v>1830</v>
      </c>
      <c r="B42" s="27" t="s">
        <v>1831</v>
      </c>
      <c r="C42" s="23" t="e">
        <f ca="1">[1]!BexGetData("DP_1","003N8EMH8GTFRCSWKMPXRR8GU","GSON1111300032")</f>
        <v>#NAME?</v>
      </c>
      <c r="D42" s="23" t="e">
        <f ca="1">[1]!BexGetData("DP_1","003N8EMH8GTFRCSWKMPXRRESE","GSON1111300032")</f>
        <v>#NAME?</v>
      </c>
      <c r="E42" s="28" t="e">
        <f ca="1">[1]!BexGetData("DP_1","003N8EMH8GTFRCSWKMPXRRL3Y","GSON1111300032")</f>
        <v>#NAME?</v>
      </c>
      <c r="F42" s="28" t="e">
        <f ca="1">[1]!BexGetData("DP_1","003N8EMH8GTFRCSWKMPXRRRFI","GSON1111300032")</f>
        <v>#NAME?</v>
      </c>
      <c r="G42" s="23" t="e">
        <f ca="1">[1]!BexGetData("DP_1","003N8EMH8GTFRCSWKMPXRRXR2","GSON1111300032")</f>
        <v>#NAME?</v>
      </c>
      <c r="H42" s="23" t="e">
        <f ca="1">[1]!BexGetData("DP_1","003N8EMH8GTFRCSWKMPXRS42M","GSON1111300032")</f>
        <v>#NAME?</v>
      </c>
      <c r="I42" s="28" t="e">
        <f ca="1">[1]!BexGetData("DP_1","003N8EMH8GTFRCSWKMPXRSAE6","GSON1111300032")</f>
        <v>#NAME?</v>
      </c>
      <c r="J42" s="24" t="e">
        <f ca="1">[1]!BexGetData("DP_1","003N8EMH8GTFRCSWKMPXRSGPQ","GSON1111300032")</f>
        <v>#NAME?</v>
      </c>
      <c r="K42" s="28" t="e">
        <f ca="1">[1]!BexGetData("DP_1","003N8EMH8GTFRIVNUPY288VJH","GSON1111300032")</f>
        <v>#NAME?</v>
      </c>
      <c r="L42" s="28" t="e">
        <f ca="1">[1]!BexGetData("DP_1","003N8EMH8GTFRIVNUPY2891V1","GSON1111300032")</f>
        <v>#NAME?</v>
      </c>
      <c r="M42" s="28" t="e">
        <f ca="1">[1]!BexGetData("DP_1","003N8EMH8GTFRIVOG7KG9IQXA","GSON1111300032")</f>
        <v>#NAME?</v>
      </c>
      <c r="N42" s="28" t="e">
        <f ca="1">[1]!BexGetData("DP_1","003N8EMH8GTFRIVOG7KG9IX8U","GSON1111300032")</f>
        <v>#NAME?</v>
      </c>
      <c r="O42" s="28" t="e">
        <f ca="1">[1]!BexGetData("DP_1","003N8EMH8GTFRIVOG7KG9J3KE","GSON1111300032")</f>
        <v>#NAME?</v>
      </c>
      <c r="P42" s="28" t="e">
        <f ca="1">[1]!BexGetData("DP_1","003N8EMH8GTFRIVOG7KG9J9VY","GSON1111300032")</f>
        <v>#NAME?</v>
      </c>
      <c r="Q42" s="24" t="e">
        <f ca="1">[1]!BexGetData("DP_1","00O2TNJGODT0G5Z4TTKYMM5MT","GSON1111300032")</f>
        <v>#NAME?</v>
      </c>
      <c r="R42" s="28" t="e">
        <f ca="1">[1]!BexGetData("DP_1","00O2TNJGODT0G5Z4TTKYMMBYD","GSON1111300032")</f>
        <v>#NAME?</v>
      </c>
      <c r="S42" s="28" t="e">
        <f ca="1">[1]!BexGetData("DP_1","00O2TNJGODT0G5Z4TTKYMMI9X","GSON1111300032")</f>
        <v>#NAME?</v>
      </c>
      <c r="T42" s="28" t="e">
        <f ca="1">[1]!BexGetData("DP_1","00O2TNJGODT0G5Z4TTKYMMOLH","GSON1111300032")</f>
        <v>#NAME?</v>
      </c>
      <c r="U42" s="28" t="e">
        <f ca="1">[1]!BexGetData("DP_1","00O2TNJGODT0G5Z4TTKYMMUX1","GSON1111300032")</f>
        <v>#NAME?</v>
      </c>
      <c r="V42" s="28" t="e">
        <f ca="1">[1]!BexGetData("DP_1","00O2TNJGODT0G5Z4TTKYMN18L","GSON1111300032")</f>
        <v>#NAME?</v>
      </c>
      <c r="W42" s="28" t="e">
        <f ca="1">[1]!BexGetData("DP_1","00O2TNJGODT0G5Z4TTKYMN7K5","GSON1111300032")</f>
        <v>#NAME?</v>
      </c>
    </row>
    <row r="43" spans="1:23" x14ac:dyDescent="0.2">
      <c r="A43" s="36" t="s">
        <v>1832</v>
      </c>
      <c r="B43" s="27" t="s">
        <v>1833</v>
      </c>
      <c r="C43" s="23" t="e">
        <f ca="1">[1]!BexGetData("DP_1","003N8EMH8GTFRCSWKMPXRR8GU","GSON1111300033")</f>
        <v>#NAME?</v>
      </c>
      <c r="D43" s="23" t="e">
        <f ca="1">[1]!BexGetData("DP_1","003N8EMH8GTFRCSWKMPXRRESE","GSON1111300033")</f>
        <v>#NAME?</v>
      </c>
      <c r="E43" s="28" t="e">
        <f ca="1">[1]!BexGetData("DP_1","003N8EMH8GTFRCSWKMPXRRL3Y","GSON1111300033")</f>
        <v>#NAME?</v>
      </c>
      <c r="F43" s="28" t="e">
        <f ca="1">[1]!BexGetData("DP_1","003N8EMH8GTFRCSWKMPXRRRFI","GSON1111300033")</f>
        <v>#NAME?</v>
      </c>
      <c r="G43" s="23" t="e">
        <f ca="1">[1]!BexGetData("DP_1","003N8EMH8GTFRCSWKMPXRRXR2","GSON1111300033")</f>
        <v>#NAME?</v>
      </c>
      <c r="H43" s="23" t="e">
        <f ca="1">[1]!BexGetData("DP_1","003N8EMH8GTFRCSWKMPXRS42M","GSON1111300033")</f>
        <v>#NAME?</v>
      </c>
      <c r="I43" s="28" t="e">
        <f ca="1">[1]!BexGetData("DP_1","003N8EMH8GTFRCSWKMPXRSAE6","GSON1111300033")</f>
        <v>#NAME?</v>
      </c>
      <c r="J43" s="24" t="e">
        <f ca="1">[1]!BexGetData("DP_1","003N8EMH8GTFRCSWKMPXRSGPQ","GSON1111300033")</f>
        <v>#NAME?</v>
      </c>
      <c r="K43" s="28" t="e">
        <f ca="1">[1]!BexGetData("DP_1","003N8EMH8GTFRIVNUPY288VJH","GSON1111300033")</f>
        <v>#NAME?</v>
      </c>
      <c r="L43" s="28" t="e">
        <f ca="1">[1]!BexGetData("DP_1","003N8EMH8GTFRIVNUPY2891V1","GSON1111300033")</f>
        <v>#NAME?</v>
      </c>
      <c r="M43" s="28" t="e">
        <f ca="1">[1]!BexGetData("DP_1","003N8EMH8GTFRIVOG7KG9IQXA","GSON1111300033")</f>
        <v>#NAME?</v>
      </c>
      <c r="N43" s="28" t="e">
        <f ca="1">[1]!BexGetData("DP_1","003N8EMH8GTFRIVOG7KG9IX8U","GSON1111300033")</f>
        <v>#NAME?</v>
      </c>
      <c r="O43" s="28" t="e">
        <f ca="1">[1]!BexGetData("DP_1","003N8EMH8GTFRIVOG7KG9J3KE","GSON1111300033")</f>
        <v>#NAME?</v>
      </c>
      <c r="P43" s="28" t="e">
        <f ca="1">[1]!BexGetData("DP_1","003N8EMH8GTFRIVOG7KG9J9VY","GSON1111300033")</f>
        <v>#NAME?</v>
      </c>
      <c r="Q43" s="24" t="e">
        <f ca="1">[1]!BexGetData("DP_1","00O2TNJGODT0G5Z4TTKYMM5MT","GSON1111300033")</f>
        <v>#NAME?</v>
      </c>
      <c r="R43" s="28" t="e">
        <f ca="1">[1]!BexGetData("DP_1","00O2TNJGODT0G5Z4TTKYMMBYD","GSON1111300033")</f>
        <v>#NAME?</v>
      </c>
      <c r="S43" s="28" t="e">
        <f ca="1">[1]!BexGetData("DP_1","00O2TNJGODT0G5Z4TTKYMMI9X","GSON1111300033")</f>
        <v>#NAME?</v>
      </c>
      <c r="T43" s="28" t="e">
        <f ca="1">[1]!BexGetData("DP_1","00O2TNJGODT0G5Z4TTKYMMOLH","GSON1111300033")</f>
        <v>#NAME?</v>
      </c>
      <c r="U43" s="28" t="e">
        <f ca="1">[1]!BexGetData("DP_1","00O2TNJGODT0G5Z4TTKYMMUX1","GSON1111300033")</f>
        <v>#NAME?</v>
      </c>
      <c r="V43" s="28" t="e">
        <f ca="1">[1]!BexGetData("DP_1","00O2TNJGODT0G5Z4TTKYMN18L","GSON1111300033")</f>
        <v>#NAME?</v>
      </c>
      <c r="W43" s="28" t="e">
        <f ca="1">[1]!BexGetData("DP_1","00O2TNJGODT0G5Z4TTKYMN7K5","GSON1111300033")</f>
        <v>#NAME?</v>
      </c>
    </row>
    <row r="44" spans="1:23" x14ac:dyDescent="0.2">
      <c r="A44" s="36" t="s">
        <v>1834</v>
      </c>
      <c r="B44" s="27" t="s">
        <v>1835</v>
      </c>
      <c r="C44" s="23" t="e">
        <f ca="1">[1]!BexGetData("DP_1","003N8EMH8GTFRCSWKMPXRR8GU","GSON1111300034")</f>
        <v>#NAME?</v>
      </c>
      <c r="D44" s="23" t="e">
        <f ca="1">[1]!BexGetData("DP_1","003N8EMH8GTFRCSWKMPXRRESE","GSON1111300034")</f>
        <v>#NAME?</v>
      </c>
      <c r="E44" s="28" t="e">
        <f ca="1">[1]!BexGetData("DP_1","003N8EMH8GTFRCSWKMPXRRL3Y","GSON1111300034")</f>
        <v>#NAME?</v>
      </c>
      <c r="F44" s="28" t="e">
        <f ca="1">[1]!BexGetData("DP_1","003N8EMH8GTFRCSWKMPXRRRFI","GSON1111300034")</f>
        <v>#NAME?</v>
      </c>
      <c r="G44" s="23" t="e">
        <f ca="1">[1]!BexGetData("DP_1","003N8EMH8GTFRCSWKMPXRRXR2","GSON1111300034")</f>
        <v>#NAME?</v>
      </c>
      <c r="H44" s="23" t="e">
        <f ca="1">[1]!BexGetData("DP_1","003N8EMH8GTFRCSWKMPXRS42M","GSON1111300034")</f>
        <v>#NAME?</v>
      </c>
      <c r="I44" s="28" t="e">
        <f ca="1">[1]!BexGetData("DP_1","003N8EMH8GTFRCSWKMPXRSAE6","GSON1111300034")</f>
        <v>#NAME?</v>
      </c>
      <c r="J44" s="24" t="e">
        <f ca="1">[1]!BexGetData("DP_1","003N8EMH8GTFRCSWKMPXRSGPQ","GSON1111300034")</f>
        <v>#NAME?</v>
      </c>
      <c r="K44" s="28" t="e">
        <f ca="1">[1]!BexGetData("DP_1","003N8EMH8GTFRIVNUPY288VJH","GSON1111300034")</f>
        <v>#NAME?</v>
      </c>
      <c r="L44" s="28" t="e">
        <f ca="1">[1]!BexGetData("DP_1","003N8EMH8GTFRIVNUPY2891V1","GSON1111300034")</f>
        <v>#NAME?</v>
      </c>
      <c r="M44" s="28" t="e">
        <f ca="1">[1]!BexGetData("DP_1","003N8EMH8GTFRIVOG7KG9IQXA","GSON1111300034")</f>
        <v>#NAME?</v>
      </c>
      <c r="N44" s="28" t="e">
        <f ca="1">[1]!BexGetData("DP_1","003N8EMH8GTFRIVOG7KG9IX8U","GSON1111300034")</f>
        <v>#NAME?</v>
      </c>
      <c r="O44" s="28" t="e">
        <f ca="1">[1]!BexGetData("DP_1","003N8EMH8GTFRIVOG7KG9J3KE","GSON1111300034")</f>
        <v>#NAME?</v>
      </c>
      <c r="P44" s="28" t="e">
        <f ca="1">[1]!BexGetData("DP_1","003N8EMH8GTFRIVOG7KG9J9VY","GSON1111300034")</f>
        <v>#NAME?</v>
      </c>
      <c r="Q44" s="24" t="e">
        <f ca="1">[1]!BexGetData("DP_1","00O2TNJGODT0G5Z4TTKYMM5MT","GSON1111300034")</f>
        <v>#NAME?</v>
      </c>
      <c r="R44" s="28" t="e">
        <f ca="1">[1]!BexGetData("DP_1","00O2TNJGODT0G5Z4TTKYMMBYD","GSON1111300034")</f>
        <v>#NAME?</v>
      </c>
      <c r="S44" s="28" t="e">
        <f ca="1">[1]!BexGetData("DP_1","00O2TNJGODT0G5Z4TTKYMMI9X","GSON1111300034")</f>
        <v>#NAME?</v>
      </c>
      <c r="T44" s="28" t="e">
        <f ca="1">[1]!BexGetData("DP_1","00O2TNJGODT0G5Z4TTKYMMOLH","GSON1111300034")</f>
        <v>#NAME?</v>
      </c>
      <c r="U44" s="28" t="e">
        <f ca="1">[1]!BexGetData("DP_1","00O2TNJGODT0G5Z4TTKYMMUX1","GSON1111300034")</f>
        <v>#NAME?</v>
      </c>
      <c r="V44" s="28" t="e">
        <f ca="1">[1]!BexGetData("DP_1","00O2TNJGODT0G5Z4TTKYMN18L","GSON1111300034")</f>
        <v>#NAME?</v>
      </c>
      <c r="W44" s="28" t="e">
        <f ca="1">[1]!BexGetData("DP_1","00O2TNJGODT0G5Z4TTKYMN7K5","GSON1111300034")</f>
        <v>#NAME?</v>
      </c>
    </row>
    <row r="45" spans="1:23" x14ac:dyDescent="0.2">
      <c r="A45" s="36" t="s">
        <v>1836</v>
      </c>
      <c r="B45" s="27" t="s">
        <v>1837</v>
      </c>
      <c r="C45" s="28" t="e">
        <f ca="1">[1]!BexGetData("DP_1","003N8EMH8GTFRCSWKMPXRR8GU","GSON1111300035")</f>
        <v>#NAME?</v>
      </c>
      <c r="D45" s="28" t="e">
        <f ca="1">[1]!BexGetData("DP_1","003N8EMH8GTFRCSWKMPXRRESE","GSON1111300035")</f>
        <v>#NAME?</v>
      </c>
      <c r="E45" s="28" t="e">
        <f ca="1">[1]!BexGetData("DP_1","003N8EMH8GTFRCSWKMPXRRL3Y","GSON1111300035")</f>
        <v>#NAME?</v>
      </c>
      <c r="F45" s="28" t="e">
        <f ca="1">[1]!BexGetData("DP_1","003N8EMH8GTFRCSWKMPXRRRFI","GSON1111300035")</f>
        <v>#NAME?</v>
      </c>
      <c r="G45" s="23" t="e">
        <f ca="1">[1]!BexGetData("DP_1","003N8EMH8GTFRCSWKMPXRRXR2","GSON1111300035")</f>
        <v>#NAME?</v>
      </c>
      <c r="H45" s="23" t="e">
        <f ca="1">[1]!BexGetData("DP_1","003N8EMH8GTFRCSWKMPXRS42M","GSON1111300035")</f>
        <v>#NAME?</v>
      </c>
      <c r="I45" s="28" t="e">
        <f ca="1">[1]!BexGetData("DP_1","003N8EMH8GTFRCSWKMPXRSAE6","GSON1111300035")</f>
        <v>#NAME?</v>
      </c>
      <c r="J45" s="24" t="e">
        <f ca="1">[1]!BexGetData("DP_1","003N8EMH8GTFRCSWKMPXRSGPQ","GSON1111300035")</f>
        <v>#NAME?</v>
      </c>
      <c r="K45" s="28" t="e">
        <f ca="1">[1]!BexGetData("DP_1","003N8EMH8GTFRIVNUPY288VJH","GSON1111300035")</f>
        <v>#NAME?</v>
      </c>
      <c r="L45" s="28" t="e">
        <f ca="1">[1]!BexGetData("DP_1","003N8EMH8GTFRIVNUPY2891V1","GSON1111300035")</f>
        <v>#NAME?</v>
      </c>
      <c r="M45" s="28" t="e">
        <f ca="1">[1]!BexGetData("DP_1","003N8EMH8GTFRIVOG7KG9IQXA","GSON1111300035")</f>
        <v>#NAME?</v>
      </c>
      <c r="N45" s="28" t="e">
        <f ca="1">[1]!BexGetData("DP_1","003N8EMH8GTFRIVOG7KG9IX8U","GSON1111300035")</f>
        <v>#NAME?</v>
      </c>
      <c r="O45" s="28" t="e">
        <f ca="1">[1]!BexGetData("DP_1","003N8EMH8GTFRIVOG7KG9J3KE","GSON1111300035")</f>
        <v>#NAME?</v>
      </c>
      <c r="P45" s="28" t="e">
        <f ca="1">[1]!BexGetData("DP_1","003N8EMH8GTFRIVOG7KG9J9VY","GSON1111300035")</f>
        <v>#NAME?</v>
      </c>
      <c r="Q45" s="24" t="e">
        <f ca="1">[1]!BexGetData("DP_1","00O2TNJGODT0G5Z4TTKYMM5MT","GSON1111300035")</f>
        <v>#NAME?</v>
      </c>
      <c r="R45" s="28" t="e">
        <f ca="1">[1]!BexGetData("DP_1","00O2TNJGODT0G5Z4TTKYMMBYD","GSON1111300035")</f>
        <v>#NAME?</v>
      </c>
      <c r="S45" s="28" t="e">
        <f ca="1">[1]!BexGetData("DP_1","00O2TNJGODT0G5Z4TTKYMMI9X","GSON1111300035")</f>
        <v>#NAME?</v>
      </c>
      <c r="T45" s="28" t="e">
        <f ca="1">[1]!BexGetData("DP_1","00O2TNJGODT0G5Z4TTKYMMOLH","GSON1111300035")</f>
        <v>#NAME?</v>
      </c>
      <c r="U45" s="28" t="e">
        <f ca="1">[1]!BexGetData("DP_1","00O2TNJGODT0G5Z4TTKYMMUX1","GSON1111300035")</f>
        <v>#NAME?</v>
      </c>
      <c r="V45" s="28" t="e">
        <f ca="1">[1]!BexGetData("DP_1","00O2TNJGODT0G5Z4TTKYMN18L","GSON1111300035")</f>
        <v>#NAME?</v>
      </c>
      <c r="W45" s="28" t="e">
        <f ca="1">[1]!BexGetData("DP_1","00O2TNJGODT0G5Z4TTKYMN7K5","GSON1111300035")</f>
        <v>#NAME?</v>
      </c>
    </row>
    <row r="46" spans="1:23" x14ac:dyDescent="0.2">
      <c r="A46" s="36" t="s">
        <v>1838</v>
      </c>
      <c r="B46" s="27" t="s">
        <v>1839</v>
      </c>
      <c r="C46" s="28" t="e">
        <f ca="1">[1]!BexGetData("DP_1","003N8EMH8GTFRCSWKMPXRR8GU","GSON1111300036")</f>
        <v>#NAME?</v>
      </c>
      <c r="D46" s="28" t="e">
        <f ca="1">[1]!BexGetData("DP_1","003N8EMH8GTFRCSWKMPXRRESE","GSON1111300036")</f>
        <v>#NAME?</v>
      </c>
      <c r="E46" s="28" t="e">
        <f ca="1">[1]!BexGetData("DP_1","003N8EMH8GTFRCSWKMPXRRL3Y","GSON1111300036")</f>
        <v>#NAME?</v>
      </c>
      <c r="F46" s="28" t="e">
        <f ca="1">[1]!BexGetData("DP_1","003N8EMH8GTFRCSWKMPXRRRFI","GSON1111300036")</f>
        <v>#NAME?</v>
      </c>
      <c r="G46" s="23" t="e">
        <f ca="1">[1]!BexGetData("DP_1","003N8EMH8GTFRCSWKMPXRRXR2","GSON1111300036")</f>
        <v>#NAME?</v>
      </c>
      <c r="H46" s="23" t="e">
        <f ca="1">[1]!BexGetData("DP_1","003N8EMH8GTFRCSWKMPXRS42M","GSON1111300036")</f>
        <v>#NAME?</v>
      </c>
      <c r="I46" s="28" t="e">
        <f ca="1">[1]!BexGetData("DP_1","003N8EMH8GTFRCSWKMPXRSAE6","GSON1111300036")</f>
        <v>#NAME?</v>
      </c>
      <c r="J46" s="24" t="e">
        <f ca="1">[1]!BexGetData("DP_1","003N8EMH8GTFRCSWKMPXRSGPQ","GSON1111300036")</f>
        <v>#NAME?</v>
      </c>
      <c r="K46" s="28" t="e">
        <f ca="1">[1]!BexGetData("DP_1","003N8EMH8GTFRIVNUPY288VJH","GSON1111300036")</f>
        <v>#NAME?</v>
      </c>
      <c r="L46" s="28" t="e">
        <f ca="1">[1]!BexGetData("DP_1","003N8EMH8GTFRIVNUPY2891V1","GSON1111300036")</f>
        <v>#NAME?</v>
      </c>
      <c r="M46" s="28" t="e">
        <f ca="1">[1]!BexGetData("DP_1","003N8EMH8GTFRIVOG7KG9IQXA","GSON1111300036")</f>
        <v>#NAME?</v>
      </c>
      <c r="N46" s="28" t="e">
        <f ca="1">[1]!BexGetData("DP_1","003N8EMH8GTFRIVOG7KG9IX8U","GSON1111300036")</f>
        <v>#NAME?</v>
      </c>
      <c r="O46" s="28" t="e">
        <f ca="1">[1]!BexGetData("DP_1","003N8EMH8GTFRIVOG7KG9J3KE","GSON1111300036")</f>
        <v>#NAME?</v>
      </c>
      <c r="P46" s="28" t="e">
        <f ca="1">[1]!BexGetData("DP_1","003N8EMH8GTFRIVOG7KG9J9VY","GSON1111300036")</f>
        <v>#NAME?</v>
      </c>
      <c r="Q46" s="24" t="e">
        <f ca="1">[1]!BexGetData("DP_1","00O2TNJGODT0G5Z4TTKYMM5MT","GSON1111300036")</f>
        <v>#NAME?</v>
      </c>
      <c r="R46" s="28" t="e">
        <f ca="1">[1]!BexGetData("DP_1","00O2TNJGODT0G5Z4TTKYMMBYD","GSON1111300036")</f>
        <v>#NAME?</v>
      </c>
      <c r="S46" s="28" t="e">
        <f ca="1">[1]!BexGetData("DP_1","00O2TNJGODT0G5Z4TTKYMMI9X","GSON1111300036")</f>
        <v>#NAME?</v>
      </c>
      <c r="T46" s="28" t="e">
        <f ca="1">[1]!BexGetData("DP_1","00O2TNJGODT0G5Z4TTKYMMOLH","GSON1111300036")</f>
        <v>#NAME?</v>
      </c>
      <c r="U46" s="28" t="e">
        <f ca="1">[1]!BexGetData("DP_1","00O2TNJGODT0G5Z4TTKYMMUX1","GSON1111300036")</f>
        <v>#NAME?</v>
      </c>
      <c r="V46" s="28" t="e">
        <f ca="1">[1]!BexGetData("DP_1","00O2TNJGODT0G5Z4TTKYMN18L","GSON1111300036")</f>
        <v>#NAME?</v>
      </c>
      <c r="W46" s="28" t="e">
        <f ca="1">[1]!BexGetData("DP_1","00O2TNJGODT0G5Z4TTKYMN7K5","GSON1111300036")</f>
        <v>#NAME?</v>
      </c>
    </row>
    <row r="47" spans="1:23" x14ac:dyDescent="0.2">
      <c r="A47" s="36" t="s">
        <v>1840</v>
      </c>
      <c r="B47" s="27" t="s">
        <v>1841</v>
      </c>
      <c r="C47" s="23" t="e">
        <f ca="1">[1]!BexGetData("DP_1","003N8EMH8GTFRCSWKMPXRR8GU","GSON1111300037")</f>
        <v>#NAME?</v>
      </c>
      <c r="D47" s="23" t="e">
        <f ca="1">[1]!BexGetData("DP_1","003N8EMH8GTFRCSWKMPXRRESE","GSON1111300037")</f>
        <v>#NAME?</v>
      </c>
      <c r="E47" s="28" t="e">
        <f ca="1">[1]!BexGetData("DP_1","003N8EMH8GTFRCSWKMPXRRL3Y","GSON1111300037")</f>
        <v>#NAME?</v>
      </c>
      <c r="F47" s="28" t="e">
        <f ca="1">[1]!BexGetData("DP_1","003N8EMH8GTFRCSWKMPXRRRFI","GSON1111300037")</f>
        <v>#NAME?</v>
      </c>
      <c r="G47" s="23" t="e">
        <f ca="1">[1]!BexGetData("DP_1","003N8EMH8GTFRCSWKMPXRRXR2","GSON1111300037")</f>
        <v>#NAME?</v>
      </c>
      <c r="H47" s="23" t="e">
        <f ca="1">[1]!BexGetData("DP_1","003N8EMH8GTFRCSWKMPXRS42M","GSON1111300037")</f>
        <v>#NAME?</v>
      </c>
      <c r="I47" s="28" t="e">
        <f ca="1">[1]!BexGetData("DP_1","003N8EMH8GTFRCSWKMPXRSAE6","GSON1111300037")</f>
        <v>#NAME?</v>
      </c>
      <c r="J47" s="24" t="e">
        <f ca="1">[1]!BexGetData("DP_1","003N8EMH8GTFRCSWKMPXRSGPQ","GSON1111300037")</f>
        <v>#NAME?</v>
      </c>
      <c r="K47" s="28" t="e">
        <f ca="1">[1]!BexGetData("DP_1","003N8EMH8GTFRIVNUPY288VJH","GSON1111300037")</f>
        <v>#NAME?</v>
      </c>
      <c r="L47" s="28" t="e">
        <f ca="1">[1]!BexGetData("DP_1","003N8EMH8GTFRIVNUPY2891V1","GSON1111300037")</f>
        <v>#NAME?</v>
      </c>
      <c r="M47" s="28" t="e">
        <f ca="1">[1]!BexGetData("DP_1","003N8EMH8GTFRIVOG7KG9IQXA","GSON1111300037")</f>
        <v>#NAME?</v>
      </c>
      <c r="N47" s="28" t="e">
        <f ca="1">[1]!BexGetData("DP_1","003N8EMH8GTFRIVOG7KG9IX8U","GSON1111300037")</f>
        <v>#NAME?</v>
      </c>
      <c r="O47" s="28" t="e">
        <f ca="1">[1]!BexGetData("DP_1","003N8EMH8GTFRIVOG7KG9J3KE","GSON1111300037")</f>
        <v>#NAME?</v>
      </c>
      <c r="P47" s="28" t="e">
        <f ca="1">[1]!BexGetData("DP_1","003N8EMH8GTFRIVOG7KG9J9VY","GSON1111300037")</f>
        <v>#NAME?</v>
      </c>
      <c r="Q47" s="24" t="e">
        <f ca="1">[1]!BexGetData("DP_1","00O2TNJGODT0G5Z4TTKYMM5MT","GSON1111300037")</f>
        <v>#NAME?</v>
      </c>
      <c r="R47" s="28" t="e">
        <f ca="1">[1]!BexGetData("DP_1","00O2TNJGODT0G5Z4TTKYMMBYD","GSON1111300037")</f>
        <v>#NAME?</v>
      </c>
      <c r="S47" s="28" t="e">
        <f ca="1">[1]!BexGetData("DP_1","00O2TNJGODT0G5Z4TTKYMMI9X","GSON1111300037")</f>
        <v>#NAME?</v>
      </c>
      <c r="T47" s="28" t="e">
        <f ca="1">[1]!BexGetData("DP_1","00O2TNJGODT0G5Z4TTKYMMOLH","GSON1111300037")</f>
        <v>#NAME?</v>
      </c>
      <c r="U47" s="28" t="e">
        <f ca="1">[1]!BexGetData("DP_1","00O2TNJGODT0G5Z4TTKYMMUX1","GSON1111300037")</f>
        <v>#NAME?</v>
      </c>
      <c r="V47" s="28" t="e">
        <f ca="1">[1]!BexGetData("DP_1","00O2TNJGODT0G5Z4TTKYMN18L","GSON1111300037")</f>
        <v>#NAME?</v>
      </c>
      <c r="W47" s="28" t="e">
        <f ca="1">[1]!BexGetData("DP_1","00O2TNJGODT0G5Z4TTKYMN7K5","GSON1111300037")</f>
        <v>#NAME?</v>
      </c>
    </row>
    <row r="48" spans="1:23" x14ac:dyDescent="0.2">
      <c r="A48" s="36" t="s">
        <v>1842</v>
      </c>
      <c r="B48" s="27" t="s">
        <v>1843</v>
      </c>
      <c r="C48" s="28" t="e">
        <f ca="1">[1]!BexGetData("DP_1","003N8EMH8GTFRCSWKMPXRR8GU","GSON1111300038")</f>
        <v>#NAME?</v>
      </c>
      <c r="D48" s="28" t="e">
        <f ca="1">[1]!BexGetData("DP_1","003N8EMH8GTFRCSWKMPXRRESE","GSON1111300038")</f>
        <v>#NAME?</v>
      </c>
      <c r="E48" s="28" t="e">
        <f ca="1">[1]!BexGetData("DP_1","003N8EMH8GTFRCSWKMPXRRL3Y","GSON1111300038")</f>
        <v>#NAME?</v>
      </c>
      <c r="F48" s="28" t="e">
        <f ca="1">[1]!BexGetData("DP_1","003N8EMH8GTFRCSWKMPXRRRFI","GSON1111300038")</f>
        <v>#NAME?</v>
      </c>
      <c r="G48" s="23" t="e">
        <f ca="1">[1]!BexGetData("DP_1","003N8EMH8GTFRCSWKMPXRRXR2","GSON1111300038")</f>
        <v>#NAME?</v>
      </c>
      <c r="H48" s="23" t="e">
        <f ca="1">[1]!BexGetData("DP_1","003N8EMH8GTFRCSWKMPXRS42M","GSON1111300038")</f>
        <v>#NAME?</v>
      </c>
      <c r="I48" s="28" t="e">
        <f ca="1">[1]!BexGetData("DP_1","003N8EMH8GTFRCSWKMPXRSAE6","GSON1111300038")</f>
        <v>#NAME?</v>
      </c>
      <c r="J48" s="24" t="e">
        <f ca="1">[1]!BexGetData("DP_1","003N8EMH8GTFRCSWKMPXRSGPQ","GSON1111300038")</f>
        <v>#NAME?</v>
      </c>
      <c r="K48" s="28" t="e">
        <f ca="1">[1]!BexGetData("DP_1","003N8EMH8GTFRIVNUPY288VJH","GSON1111300038")</f>
        <v>#NAME?</v>
      </c>
      <c r="L48" s="28" t="e">
        <f ca="1">[1]!BexGetData("DP_1","003N8EMH8GTFRIVNUPY2891V1","GSON1111300038")</f>
        <v>#NAME?</v>
      </c>
      <c r="M48" s="28" t="e">
        <f ca="1">[1]!BexGetData("DP_1","003N8EMH8GTFRIVOG7KG9IQXA","GSON1111300038")</f>
        <v>#NAME?</v>
      </c>
      <c r="N48" s="28" t="e">
        <f ca="1">[1]!BexGetData("DP_1","003N8EMH8GTFRIVOG7KG9IX8U","GSON1111300038")</f>
        <v>#NAME?</v>
      </c>
      <c r="O48" s="28" t="e">
        <f ca="1">[1]!BexGetData("DP_1","003N8EMH8GTFRIVOG7KG9J3KE","GSON1111300038")</f>
        <v>#NAME?</v>
      </c>
      <c r="P48" s="28" t="e">
        <f ca="1">[1]!BexGetData("DP_1","003N8EMH8GTFRIVOG7KG9J9VY","GSON1111300038")</f>
        <v>#NAME?</v>
      </c>
      <c r="Q48" s="24" t="e">
        <f ca="1">[1]!BexGetData("DP_1","00O2TNJGODT0G5Z4TTKYMM5MT","GSON1111300038")</f>
        <v>#NAME?</v>
      </c>
      <c r="R48" s="28" t="e">
        <f ca="1">[1]!BexGetData("DP_1","00O2TNJGODT0G5Z4TTKYMMBYD","GSON1111300038")</f>
        <v>#NAME?</v>
      </c>
      <c r="S48" s="28" t="e">
        <f ca="1">[1]!BexGetData("DP_1","00O2TNJGODT0G5Z4TTKYMMI9X","GSON1111300038")</f>
        <v>#NAME?</v>
      </c>
      <c r="T48" s="28" t="e">
        <f ca="1">[1]!BexGetData("DP_1","00O2TNJGODT0G5Z4TTKYMMOLH","GSON1111300038")</f>
        <v>#NAME?</v>
      </c>
      <c r="U48" s="28" t="e">
        <f ca="1">[1]!BexGetData("DP_1","00O2TNJGODT0G5Z4TTKYMMUX1","GSON1111300038")</f>
        <v>#NAME?</v>
      </c>
      <c r="V48" s="28" t="e">
        <f ca="1">[1]!BexGetData("DP_1","00O2TNJGODT0G5Z4TTKYMN18L","GSON1111300038")</f>
        <v>#NAME?</v>
      </c>
      <c r="W48" s="28" t="e">
        <f ca="1">[1]!BexGetData("DP_1","00O2TNJGODT0G5Z4TTKYMN7K5","GSON1111300038")</f>
        <v>#NAME?</v>
      </c>
    </row>
    <row r="49" spans="1:23" x14ac:dyDescent="0.2">
      <c r="A49" s="36" t="s">
        <v>1844</v>
      </c>
      <c r="B49" s="27" t="s">
        <v>1845</v>
      </c>
      <c r="C49" s="23" t="e">
        <f ca="1">[1]!BexGetData("DP_1","003N8EMH8GTFRCSWKMPXRR8GU","GSON1111300039")</f>
        <v>#NAME?</v>
      </c>
      <c r="D49" s="23" t="e">
        <f ca="1">[1]!BexGetData("DP_1","003N8EMH8GTFRCSWKMPXRRESE","GSON1111300039")</f>
        <v>#NAME?</v>
      </c>
      <c r="E49" s="28" t="e">
        <f ca="1">[1]!BexGetData("DP_1","003N8EMH8GTFRCSWKMPXRRL3Y","GSON1111300039")</f>
        <v>#NAME?</v>
      </c>
      <c r="F49" s="28" t="e">
        <f ca="1">[1]!BexGetData("DP_1","003N8EMH8GTFRCSWKMPXRRRFI","GSON1111300039")</f>
        <v>#NAME?</v>
      </c>
      <c r="G49" s="23" t="e">
        <f ca="1">[1]!BexGetData("DP_1","003N8EMH8GTFRCSWKMPXRRXR2","GSON1111300039")</f>
        <v>#NAME?</v>
      </c>
      <c r="H49" s="23" t="e">
        <f ca="1">[1]!BexGetData("DP_1","003N8EMH8GTFRCSWKMPXRS42M","GSON1111300039")</f>
        <v>#NAME?</v>
      </c>
      <c r="I49" s="28" t="e">
        <f ca="1">[1]!BexGetData("DP_1","003N8EMH8GTFRCSWKMPXRSAE6","GSON1111300039")</f>
        <v>#NAME?</v>
      </c>
      <c r="J49" s="24" t="e">
        <f ca="1">[1]!BexGetData("DP_1","003N8EMH8GTFRCSWKMPXRSGPQ","GSON1111300039")</f>
        <v>#NAME?</v>
      </c>
      <c r="K49" s="28" t="e">
        <f ca="1">[1]!BexGetData("DP_1","003N8EMH8GTFRIVNUPY288VJH","GSON1111300039")</f>
        <v>#NAME?</v>
      </c>
      <c r="L49" s="28" t="e">
        <f ca="1">[1]!BexGetData("DP_1","003N8EMH8GTFRIVNUPY2891V1","GSON1111300039")</f>
        <v>#NAME?</v>
      </c>
      <c r="M49" s="28" t="e">
        <f ca="1">[1]!BexGetData("DP_1","003N8EMH8GTFRIVOG7KG9IQXA","GSON1111300039")</f>
        <v>#NAME?</v>
      </c>
      <c r="N49" s="28" t="e">
        <f ca="1">[1]!BexGetData("DP_1","003N8EMH8GTFRIVOG7KG9IX8U","GSON1111300039")</f>
        <v>#NAME?</v>
      </c>
      <c r="O49" s="28" t="e">
        <f ca="1">[1]!BexGetData("DP_1","003N8EMH8GTFRIVOG7KG9J3KE","GSON1111300039")</f>
        <v>#NAME?</v>
      </c>
      <c r="P49" s="28" t="e">
        <f ca="1">[1]!BexGetData("DP_1","003N8EMH8GTFRIVOG7KG9J9VY","GSON1111300039")</f>
        <v>#NAME?</v>
      </c>
      <c r="Q49" s="24" t="e">
        <f ca="1">[1]!BexGetData("DP_1","00O2TNJGODT0G5Z4TTKYMM5MT","GSON1111300039")</f>
        <v>#NAME?</v>
      </c>
      <c r="R49" s="28" t="e">
        <f ca="1">[1]!BexGetData("DP_1","00O2TNJGODT0G5Z4TTKYMMBYD","GSON1111300039")</f>
        <v>#NAME?</v>
      </c>
      <c r="S49" s="28" t="e">
        <f ca="1">[1]!BexGetData("DP_1","00O2TNJGODT0G5Z4TTKYMMI9X","GSON1111300039")</f>
        <v>#NAME?</v>
      </c>
      <c r="T49" s="28" t="e">
        <f ca="1">[1]!BexGetData("DP_1","00O2TNJGODT0G5Z4TTKYMMOLH","GSON1111300039")</f>
        <v>#NAME?</v>
      </c>
      <c r="U49" s="28" t="e">
        <f ca="1">[1]!BexGetData("DP_1","00O2TNJGODT0G5Z4TTKYMMUX1","GSON1111300039")</f>
        <v>#NAME?</v>
      </c>
      <c r="V49" s="28" t="e">
        <f ca="1">[1]!BexGetData("DP_1","00O2TNJGODT0G5Z4TTKYMN18L","GSON1111300039")</f>
        <v>#NAME?</v>
      </c>
      <c r="W49" s="28" t="e">
        <f ca="1">[1]!BexGetData("DP_1","00O2TNJGODT0G5Z4TTKYMN7K5","GSON1111300039")</f>
        <v>#NAME?</v>
      </c>
    </row>
    <row r="50" spans="1:23" x14ac:dyDescent="0.2">
      <c r="A50" s="36" t="s">
        <v>1846</v>
      </c>
      <c r="B50" s="27" t="s">
        <v>1847</v>
      </c>
      <c r="C50" s="23" t="e">
        <f ca="1">[1]!BexGetData("DP_1","003N8EMH8GTFRCSWKMPXRR8GU","GSON1111300040")</f>
        <v>#NAME?</v>
      </c>
      <c r="D50" s="23" t="e">
        <f ca="1">[1]!BexGetData("DP_1","003N8EMH8GTFRCSWKMPXRRESE","GSON1111300040")</f>
        <v>#NAME?</v>
      </c>
      <c r="E50" s="28" t="e">
        <f ca="1">[1]!BexGetData("DP_1","003N8EMH8GTFRCSWKMPXRRL3Y","GSON1111300040")</f>
        <v>#NAME?</v>
      </c>
      <c r="F50" s="23" t="e">
        <f ca="1">[1]!BexGetData("DP_1","003N8EMH8GTFRCSWKMPXRRRFI","GSON1111300040")</f>
        <v>#NAME?</v>
      </c>
      <c r="G50" s="23" t="e">
        <f ca="1">[1]!BexGetData("DP_1","003N8EMH8GTFRCSWKMPXRRXR2","GSON1111300040")</f>
        <v>#NAME?</v>
      </c>
      <c r="H50" s="23" t="e">
        <f ca="1">[1]!BexGetData("DP_1","003N8EMH8GTFRCSWKMPXRS42M","GSON1111300040")</f>
        <v>#NAME?</v>
      </c>
      <c r="I50" s="23" t="e">
        <f ca="1">[1]!BexGetData("DP_1","003N8EMH8GTFRCSWKMPXRSAE6","GSON1111300040")</f>
        <v>#NAME?</v>
      </c>
      <c r="J50" s="24" t="e">
        <f ca="1">[1]!BexGetData("DP_1","003N8EMH8GTFRCSWKMPXRSGPQ","GSON1111300040")</f>
        <v>#NAME?</v>
      </c>
      <c r="K50" s="23" t="e">
        <f ca="1">[1]!BexGetData("DP_1","003N8EMH8GTFRIVNUPY288VJH","GSON1111300040")</f>
        <v>#NAME?</v>
      </c>
      <c r="L50" s="23" t="e">
        <f ca="1">[1]!BexGetData("DP_1","003N8EMH8GTFRIVNUPY2891V1","GSON1111300040")</f>
        <v>#NAME?</v>
      </c>
      <c r="M50" s="23" t="e">
        <f ca="1">[1]!BexGetData("DP_1","003N8EMH8GTFRIVOG7KG9IQXA","GSON1111300040")</f>
        <v>#NAME?</v>
      </c>
      <c r="N50" s="28" t="e">
        <f ca="1">[1]!BexGetData("DP_1","003N8EMH8GTFRIVOG7KG9IX8U","GSON1111300040")</f>
        <v>#NAME?</v>
      </c>
      <c r="O50" s="23" t="e">
        <f ca="1">[1]!BexGetData("DP_1","003N8EMH8GTFRIVOG7KG9J3KE","GSON1111300040")</f>
        <v>#NAME?</v>
      </c>
      <c r="P50" s="28" t="e">
        <f ca="1">[1]!BexGetData("DP_1","003N8EMH8GTFRIVOG7KG9J9VY","GSON1111300040")</f>
        <v>#NAME?</v>
      </c>
      <c r="Q50" s="24" t="e">
        <f ca="1">[1]!BexGetData("DP_1","00O2TNJGODT0G5Z4TTKYMM5MT","GSON1111300040")</f>
        <v>#NAME?</v>
      </c>
      <c r="R50" s="23" t="e">
        <f ca="1">[1]!BexGetData("DP_1","00O2TNJGODT0G5Z4TTKYMMBYD","GSON1111300040")</f>
        <v>#NAME?</v>
      </c>
      <c r="S50" s="23" t="e">
        <f ca="1">[1]!BexGetData("DP_1","00O2TNJGODT0G5Z4TTKYMMI9X","GSON1111300040")</f>
        <v>#NAME?</v>
      </c>
      <c r="T50" s="28" t="e">
        <f ca="1">[1]!BexGetData("DP_1","00O2TNJGODT0G5Z4TTKYMMOLH","GSON1111300040")</f>
        <v>#NAME?</v>
      </c>
      <c r="U50" s="23" t="e">
        <f ca="1">[1]!BexGetData("DP_1","00O2TNJGODT0G5Z4TTKYMMUX1","GSON1111300040")</f>
        <v>#NAME?</v>
      </c>
      <c r="V50" s="28" t="e">
        <f ca="1">[1]!BexGetData("DP_1","00O2TNJGODT0G5Z4TTKYMN18L","GSON1111300040")</f>
        <v>#NAME?</v>
      </c>
      <c r="W50" s="23" t="e">
        <f ca="1">[1]!BexGetData("DP_1","00O2TNJGODT0G5Z4TTKYMN7K5","GSON1111300040")</f>
        <v>#NAME?</v>
      </c>
    </row>
    <row r="51" spans="1:23" x14ac:dyDescent="0.2">
      <c r="A51" s="36" t="s">
        <v>1848</v>
      </c>
      <c r="B51" s="27" t="s">
        <v>1849</v>
      </c>
      <c r="C51" s="23" t="e">
        <f ca="1">[1]!BexGetData("DP_1","003N8EMH8GTFRCSWKMPXRR8GU","GSON1111300041")</f>
        <v>#NAME?</v>
      </c>
      <c r="D51" s="23" t="e">
        <f ca="1">[1]!BexGetData("DP_1","003N8EMH8GTFRCSWKMPXRRESE","GSON1111300041")</f>
        <v>#NAME?</v>
      </c>
      <c r="E51" s="28" t="e">
        <f ca="1">[1]!BexGetData("DP_1","003N8EMH8GTFRCSWKMPXRRL3Y","GSON1111300041")</f>
        <v>#NAME?</v>
      </c>
      <c r="F51" s="28" t="e">
        <f ca="1">[1]!BexGetData("DP_1","003N8EMH8GTFRCSWKMPXRRRFI","GSON1111300041")</f>
        <v>#NAME?</v>
      </c>
      <c r="G51" s="23" t="e">
        <f ca="1">[1]!BexGetData("DP_1","003N8EMH8GTFRCSWKMPXRRXR2","GSON1111300041")</f>
        <v>#NAME?</v>
      </c>
      <c r="H51" s="23" t="e">
        <f ca="1">[1]!BexGetData("DP_1","003N8EMH8GTFRCSWKMPXRS42M","GSON1111300041")</f>
        <v>#NAME?</v>
      </c>
      <c r="I51" s="28" t="e">
        <f ca="1">[1]!BexGetData("DP_1","003N8EMH8GTFRCSWKMPXRSAE6","GSON1111300041")</f>
        <v>#NAME?</v>
      </c>
      <c r="J51" s="24" t="e">
        <f ca="1">[1]!BexGetData("DP_1","003N8EMH8GTFRCSWKMPXRSGPQ","GSON1111300041")</f>
        <v>#NAME?</v>
      </c>
      <c r="K51" s="28" t="e">
        <f ca="1">[1]!BexGetData("DP_1","003N8EMH8GTFRIVNUPY288VJH","GSON1111300041")</f>
        <v>#NAME?</v>
      </c>
      <c r="L51" s="28" t="e">
        <f ca="1">[1]!BexGetData("DP_1","003N8EMH8GTFRIVNUPY2891V1","GSON1111300041")</f>
        <v>#NAME?</v>
      </c>
      <c r="M51" s="28" t="e">
        <f ca="1">[1]!BexGetData("DP_1","003N8EMH8GTFRIVOG7KG9IQXA","GSON1111300041")</f>
        <v>#NAME?</v>
      </c>
      <c r="N51" s="28" t="e">
        <f ca="1">[1]!BexGetData("DP_1","003N8EMH8GTFRIVOG7KG9IX8U","GSON1111300041")</f>
        <v>#NAME?</v>
      </c>
      <c r="O51" s="28" t="e">
        <f ca="1">[1]!BexGetData("DP_1","003N8EMH8GTFRIVOG7KG9J3KE","GSON1111300041")</f>
        <v>#NAME?</v>
      </c>
      <c r="P51" s="28" t="e">
        <f ca="1">[1]!BexGetData("DP_1","003N8EMH8GTFRIVOG7KG9J9VY","GSON1111300041")</f>
        <v>#NAME?</v>
      </c>
      <c r="Q51" s="24" t="e">
        <f ca="1">[1]!BexGetData("DP_1","00O2TNJGODT0G5Z4TTKYMM5MT","GSON1111300041")</f>
        <v>#NAME?</v>
      </c>
      <c r="R51" s="28" t="e">
        <f ca="1">[1]!BexGetData("DP_1","00O2TNJGODT0G5Z4TTKYMMBYD","GSON1111300041")</f>
        <v>#NAME?</v>
      </c>
      <c r="S51" s="28" t="e">
        <f ca="1">[1]!BexGetData("DP_1","00O2TNJGODT0G5Z4TTKYMMI9X","GSON1111300041")</f>
        <v>#NAME?</v>
      </c>
      <c r="T51" s="28" t="e">
        <f ca="1">[1]!BexGetData("DP_1","00O2TNJGODT0G5Z4TTKYMMOLH","GSON1111300041")</f>
        <v>#NAME?</v>
      </c>
      <c r="U51" s="28" t="e">
        <f ca="1">[1]!BexGetData("DP_1","00O2TNJGODT0G5Z4TTKYMMUX1","GSON1111300041")</f>
        <v>#NAME?</v>
      </c>
      <c r="V51" s="28" t="e">
        <f ca="1">[1]!BexGetData("DP_1","00O2TNJGODT0G5Z4TTKYMN18L","GSON1111300041")</f>
        <v>#NAME?</v>
      </c>
      <c r="W51" s="28" t="e">
        <f ca="1">[1]!BexGetData("DP_1","00O2TNJGODT0G5Z4TTKYMN7K5","GSON1111300041")</f>
        <v>#NAME?</v>
      </c>
    </row>
    <row r="52" spans="1:23" x14ac:dyDescent="0.2">
      <c r="A52" s="36" t="s">
        <v>1850</v>
      </c>
      <c r="B52" s="27" t="s">
        <v>1851</v>
      </c>
      <c r="C52" s="23" t="e">
        <f ca="1">[1]!BexGetData("DP_1","003N8EMH8GTFRCSWKMPXRR8GU","GSON1111300042")</f>
        <v>#NAME?</v>
      </c>
      <c r="D52" s="23" t="e">
        <f ca="1">[1]!BexGetData("DP_1","003N8EMH8GTFRCSWKMPXRRESE","GSON1111300042")</f>
        <v>#NAME?</v>
      </c>
      <c r="E52" s="28" t="e">
        <f ca="1">[1]!BexGetData("DP_1","003N8EMH8GTFRCSWKMPXRRL3Y","GSON1111300042")</f>
        <v>#NAME?</v>
      </c>
      <c r="F52" s="28" t="e">
        <f ca="1">[1]!BexGetData("DP_1","003N8EMH8GTFRCSWKMPXRRRFI","GSON1111300042")</f>
        <v>#NAME?</v>
      </c>
      <c r="G52" s="23" t="e">
        <f ca="1">[1]!BexGetData("DP_1","003N8EMH8GTFRCSWKMPXRRXR2","GSON1111300042")</f>
        <v>#NAME?</v>
      </c>
      <c r="H52" s="23" t="e">
        <f ca="1">[1]!BexGetData("DP_1","003N8EMH8GTFRCSWKMPXRS42M","GSON1111300042")</f>
        <v>#NAME?</v>
      </c>
      <c r="I52" s="28" t="e">
        <f ca="1">[1]!BexGetData("DP_1","003N8EMH8GTFRCSWKMPXRSAE6","GSON1111300042")</f>
        <v>#NAME?</v>
      </c>
      <c r="J52" s="24" t="e">
        <f ca="1">[1]!BexGetData("DP_1","003N8EMH8GTFRCSWKMPXRSGPQ","GSON1111300042")</f>
        <v>#NAME?</v>
      </c>
      <c r="K52" s="28" t="e">
        <f ca="1">[1]!BexGetData("DP_1","003N8EMH8GTFRIVNUPY288VJH","GSON1111300042")</f>
        <v>#NAME?</v>
      </c>
      <c r="L52" s="28" t="e">
        <f ca="1">[1]!BexGetData("DP_1","003N8EMH8GTFRIVNUPY2891V1","GSON1111300042")</f>
        <v>#NAME?</v>
      </c>
      <c r="M52" s="28" t="e">
        <f ca="1">[1]!BexGetData("DP_1","003N8EMH8GTFRIVOG7KG9IQXA","GSON1111300042")</f>
        <v>#NAME?</v>
      </c>
      <c r="N52" s="28" t="e">
        <f ca="1">[1]!BexGetData("DP_1","003N8EMH8GTFRIVOG7KG9IX8U","GSON1111300042")</f>
        <v>#NAME?</v>
      </c>
      <c r="O52" s="28" t="e">
        <f ca="1">[1]!BexGetData("DP_1","003N8EMH8GTFRIVOG7KG9J3KE","GSON1111300042")</f>
        <v>#NAME?</v>
      </c>
      <c r="P52" s="28" t="e">
        <f ca="1">[1]!BexGetData("DP_1","003N8EMH8GTFRIVOG7KG9J9VY","GSON1111300042")</f>
        <v>#NAME?</v>
      </c>
      <c r="Q52" s="24" t="e">
        <f ca="1">[1]!BexGetData("DP_1","00O2TNJGODT0G5Z4TTKYMM5MT","GSON1111300042")</f>
        <v>#NAME?</v>
      </c>
      <c r="R52" s="28" t="e">
        <f ca="1">[1]!BexGetData("DP_1","00O2TNJGODT0G5Z4TTKYMMBYD","GSON1111300042")</f>
        <v>#NAME?</v>
      </c>
      <c r="S52" s="28" t="e">
        <f ca="1">[1]!BexGetData("DP_1","00O2TNJGODT0G5Z4TTKYMMI9X","GSON1111300042")</f>
        <v>#NAME?</v>
      </c>
      <c r="T52" s="28" t="e">
        <f ca="1">[1]!BexGetData("DP_1","00O2TNJGODT0G5Z4TTKYMMOLH","GSON1111300042")</f>
        <v>#NAME?</v>
      </c>
      <c r="U52" s="28" t="e">
        <f ca="1">[1]!BexGetData("DP_1","00O2TNJGODT0G5Z4TTKYMMUX1","GSON1111300042")</f>
        <v>#NAME?</v>
      </c>
      <c r="V52" s="28" t="e">
        <f ca="1">[1]!BexGetData("DP_1","00O2TNJGODT0G5Z4TTKYMN18L","GSON1111300042")</f>
        <v>#NAME?</v>
      </c>
      <c r="W52" s="28" t="e">
        <f ca="1">[1]!BexGetData("DP_1","00O2TNJGODT0G5Z4TTKYMN7K5","GSON1111300042")</f>
        <v>#NAME?</v>
      </c>
    </row>
    <row r="53" spans="1:23" x14ac:dyDescent="0.2">
      <c r="A53" s="36" t="s">
        <v>1852</v>
      </c>
      <c r="B53" s="27" t="s">
        <v>1853</v>
      </c>
      <c r="C53" s="23" t="e">
        <f ca="1">[1]!BexGetData("DP_1","003N8EMH8GTFRCSWKMPXRR8GU","GSON1111300043")</f>
        <v>#NAME?</v>
      </c>
      <c r="D53" s="23" t="e">
        <f ca="1">[1]!BexGetData("DP_1","003N8EMH8GTFRCSWKMPXRRESE","GSON1111300043")</f>
        <v>#NAME?</v>
      </c>
      <c r="E53" s="28" t="e">
        <f ca="1">[1]!BexGetData("DP_1","003N8EMH8GTFRCSWKMPXRRL3Y","GSON1111300043")</f>
        <v>#NAME?</v>
      </c>
      <c r="F53" s="28" t="e">
        <f ca="1">[1]!BexGetData("DP_1","003N8EMH8GTFRCSWKMPXRRRFI","GSON1111300043")</f>
        <v>#NAME?</v>
      </c>
      <c r="G53" s="23" t="e">
        <f ca="1">[1]!BexGetData("DP_1","003N8EMH8GTFRCSWKMPXRRXR2","GSON1111300043")</f>
        <v>#NAME?</v>
      </c>
      <c r="H53" s="23" t="e">
        <f ca="1">[1]!BexGetData("DP_1","003N8EMH8GTFRCSWKMPXRS42M","GSON1111300043")</f>
        <v>#NAME?</v>
      </c>
      <c r="I53" s="28" t="e">
        <f ca="1">[1]!BexGetData("DP_1","003N8EMH8GTFRCSWKMPXRSAE6","GSON1111300043")</f>
        <v>#NAME?</v>
      </c>
      <c r="J53" s="24" t="e">
        <f ca="1">[1]!BexGetData("DP_1","003N8EMH8GTFRCSWKMPXRSGPQ","GSON1111300043")</f>
        <v>#NAME?</v>
      </c>
      <c r="K53" s="28" t="e">
        <f ca="1">[1]!BexGetData("DP_1","003N8EMH8GTFRIVNUPY288VJH","GSON1111300043")</f>
        <v>#NAME?</v>
      </c>
      <c r="L53" s="28" t="e">
        <f ca="1">[1]!BexGetData("DP_1","003N8EMH8GTFRIVNUPY2891V1","GSON1111300043")</f>
        <v>#NAME?</v>
      </c>
      <c r="M53" s="28" t="e">
        <f ca="1">[1]!BexGetData("DP_1","003N8EMH8GTFRIVOG7KG9IQXA","GSON1111300043")</f>
        <v>#NAME?</v>
      </c>
      <c r="N53" s="28" t="e">
        <f ca="1">[1]!BexGetData("DP_1","003N8EMH8GTFRIVOG7KG9IX8U","GSON1111300043")</f>
        <v>#NAME?</v>
      </c>
      <c r="O53" s="28" t="e">
        <f ca="1">[1]!BexGetData("DP_1","003N8EMH8GTFRIVOG7KG9J3KE","GSON1111300043")</f>
        <v>#NAME?</v>
      </c>
      <c r="P53" s="28" t="e">
        <f ca="1">[1]!BexGetData("DP_1","003N8EMH8GTFRIVOG7KG9J9VY","GSON1111300043")</f>
        <v>#NAME?</v>
      </c>
      <c r="Q53" s="24" t="e">
        <f ca="1">[1]!BexGetData("DP_1","00O2TNJGODT0G5Z4TTKYMM5MT","GSON1111300043")</f>
        <v>#NAME?</v>
      </c>
      <c r="R53" s="28" t="e">
        <f ca="1">[1]!BexGetData("DP_1","00O2TNJGODT0G5Z4TTKYMMBYD","GSON1111300043")</f>
        <v>#NAME?</v>
      </c>
      <c r="S53" s="28" t="e">
        <f ca="1">[1]!BexGetData("DP_1","00O2TNJGODT0G5Z4TTKYMMI9X","GSON1111300043")</f>
        <v>#NAME?</v>
      </c>
      <c r="T53" s="28" t="e">
        <f ca="1">[1]!BexGetData("DP_1","00O2TNJGODT0G5Z4TTKYMMOLH","GSON1111300043")</f>
        <v>#NAME?</v>
      </c>
      <c r="U53" s="28" t="e">
        <f ca="1">[1]!BexGetData("DP_1","00O2TNJGODT0G5Z4TTKYMMUX1","GSON1111300043")</f>
        <v>#NAME?</v>
      </c>
      <c r="V53" s="28" t="e">
        <f ca="1">[1]!BexGetData("DP_1","00O2TNJGODT0G5Z4TTKYMN18L","GSON1111300043")</f>
        <v>#NAME?</v>
      </c>
      <c r="W53" s="28" t="e">
        <f ca="1">[1]!BexGetData("DP_1","00O2TNJGODT0G5Z4TTKYMN7K5","GSON1111300043")</f>
        <v>#NAME?</v>
      </c>
    </row>
    <row r="54" spans="1:23" x14ac:dyDescent="0.2">
      <c r="A54" s="36" t="s">
        <v>1854</v>
      </c>
      <c r="B54" s="27" t="s">
        <v>1855</v>
      </c>
      <c r="C54" s="23" t="e">
        <f ca="1">[1]!BexGetData("DP_1","003N8EMH8GTFRCSWKMPXRR8GU","GSON1111300044")</f>
        <v>#NAME?</v>
      </c>
      <c r="D54" s="23" t="e">
        <f ca="1">[1]!BexGetData("DP_1","003N8EMH8GTFRCSWKMPXRRESE","GSON1111300044")</f>
        <v>#NAME?</v>
      </c>
      <c r="E54" s="28" t="e">
        <f ca="1">[1]!BexGetData("DP_1","003N8EMH8GTFRCSWKMPXRRL3Y","GSON1111300044")</f>
        <v>#NAME?</v>
      </c>
      <c r="F54" s="28" t="e">
        <f ca="1">[1]!BexGetData("DP_1","003N8EMH8GTFRCSWKMPXRRRFI","GSON1111300044")</f>
        <v>#NAME?</v>
      </c>
      <c r="G54" s="23" t="e">
        <f ca="1">[1]!BexGetData("DP_1","003N8EMH8GTFRCSWKMPXRRXR2","GSON1111300044")</f>
        <v>#NAME?</v>
      </c>
      <c r="H54" s="23" t="e">
        <f ca="1">[1]!BexGetData("DP_1","003N8EMH8GTFRCSWKMPXRS42M","GSON1111300044")</f>
        <v>#NAME?</v>
      </c>
      <c r="I54" s="28" t="e">
        <f ca="1">[1]!BexGetData("DP_1","003N8EMH8GTFRCSWKMPXRSAE6","GSON1111300044")</f>
        <v>#NAME?</v>
      </c>
      <c r="J54" s="24" t="e">
        <f ca="1">[1]!BexGetData("DP_1","003N8EMH8GTFRCSWKMPXRSGPQ","GSON1111300044")</f>
        <v>#NAME?</v>
      </c>
      <c r="K54" s="28" t="e">
        <f ca="1">[1]!BexGetData("DP_1","003N8EMH8GTFRIVNUPY288VJH","GSON1111300044")</f>
        <v>#NAME?</v>
      </c>
      <c r="L54" s="28" t="e">
        <f ca="1">[1]!BexGetData("DP_1","003N8EMH8GTFRIVNUPY2891V1","GSON1111300044")</f>
        <v>#NAME?</v>
      </c>
      <c r="M54" s="28" t="e">
        <f ca="1">[1]!BexGetData("DP_1","003N8EMH8GTFRIVOG7KG9IQXA","GSON1111300044")</f>
        <v>#NAME?</v>
      </c>
      <c r="N54" s="28" t="e">
        <f ca="1">[1]!BexGetData("DP_1","003N8EMH8GTFRIVOG7KG9IX8U","GSON1111300044")</f>
        <v>#NAME?</v>
      </c>
      <c r="O54" s="28" t="e">
        <f ca="1">[1]!BexGetData("DP_1","003N8EMH8GTFRIVOG7KG9J3KE","GSON1111300044")</f>
        <v>#NAME?</v>
      </c>
      <c r="P54" s="28" t="e">
        <f ca="1">[1]!BexGetData("DP_1","003N8EMH8GTFRIVOG7KG9J9VY","GSON1111300044")</f>
        <v>#NAME?</v>
      </c>
      <c r="Q54" s="24" t="e">
        <f ca="1">[1]!BexGetData("DP_1","00O2TNJGODT0G5Z4TTKYMM5MT","GSON1111300044")</f>
        <v>#NAME?</v>
      </c>
      <c r="R54" s="28" t="e">
        <f ca="1">[1]!BexGetData("DP_1","00O2TNJGODT0G5Z4TTKYMMBYD","GSON1111300044")</f>
        <v>#NAME?</v>
      </c>
      <c r="S54" s="28" t="e">
        <f ca="1">[1]!BexGetData("DP_1","00O2TNJGODT0G5Z4TTKYMMI9X","GSON1111300044")</f>
        <v>#NAME?</v>
      </c>
      <c r="T54" s="28" t="e">
        <f ca="1">[1]!BexGetData("DP_1","00O2TNJGODT0G5Z4TTKYMMOLH","GSON1111300044")</f>
        <v>#NAME?</v>
      </c>
      <c r="U54" s="28" t="e">
        <f ca="1">[1]!BexGetData("DP_1","00O2TNJGODT0G5Z4TTKYMMUX1","GSON1111300044")</f>
        <v>#NAME?</v>
      </c>
      <c r="V54" s="28" t="e">
        <f ca="1">[1]!BexGetData("DP_1","00O2TNJGODT0G5Z4TTKYMN18L","GSON1111300044")</f>
        <v>#NAME?</v>
      </c>
      <c r="W54" s="28" t="e">
        <f ca="1">[1]!BexGetData("DP_1","00O2TNJGODT0G5Z4TTKYMN7K5","GSON1111300044")</f>
        <v>#NAME?</v>
      </c>
    </row>
    <row r="55" spans="1:23" x14ac:dyDescent="0.2">
      <c r="A55" s="36" t="s">
        <v>1856</v>
      </c>
      <c r="B55" s="27" t="s">
        <v>1857</v>
      </c>
      <c r="C55" s="23" t="e">
        <f ca="1">[1]!BexGetData("DP_1","003N8EMH8GTFRCSWKMPXRR8GU","GSON1111300045")</f>
        <v>#NAME?</v>
      </c>
      <c r="D55" s="23" t="e">
        <f ca="1">[1]!BexGetData("DP_1","003N8EMH8GTFRCSWKMPXRRESE","GSON1111300045")</f>
        <v>#NAME?</v>
      </c>
      <c r="E55" s="28" t="e">
        <f ca="1">[1]!BexGetData("DP_1","003N8EMH8GTFRCSWKMPXRRL3Y","GSON1111300045")</f>
        <v>#NAME?</v>
      </c>
      <c r="F55" s="28" t="e">
        <f ca="1">[1]!BexGetData("DP_1","003N8EMH8GTFRCSWKMPXRRRFI","GSON1111300045")</f>
        <v>#NAME?</v>
      </c>
      <c r="G55" s="23" t="e">
        <f ca="1">[1]!BexGetData("DP_1","003N8EMH8GTFRCSWKMPXRRXR2","GSON1111300045")</f>
        <v>#NAME?</v>
      </c>
      <c r="H55" s="23" t="e">
        <f ca="1">[1]!BexGetData("DP_1","003N8EMH8GTFRCSWKMPXRS42M","GSON1111300045")</f>
        <v>#NAME?</v>
      </c>
      <c r="I55" s="28" t="e">
        <f ca="1">[1]!BexGetData("DP_1","003N8EMH8GTFRCSWKMPXRSAE6","GSON1111300045")</f>
        <v>#NAME?</v>
      </c>
      <c r="J55" s="24" t="e">
        <f ca="1">[1]!BexGetData("DP_1","003N8EMH8GTFRCSWKMPXRSGPQ","GSON1111300045")</f>
        <v>#NAME?</v>
      </c>
      <c r="K55" s="28" t="e">
        <f ca="1">[1]!BexGetData("DP_1","003N8EMH8GTFRIVNUPY288VJH","GSON1111300045")</f>
        <v>#NAME?</v>
      </c>
      <c r="L55" s="28" t="e">
        <f ca="1">[1]!BexGetData("DP_1","003N8EMH8GTFRIVNUPY2891V1","GSON1111300045")</f>
        <v>#NAME?</v>
      </c>
      <c r="M55" s="28" t="e">
        <f ca="1">[1]!BexGetData("DP_1","003N8EMH8GTFRIVOG7KG9IQXA","GSON1111300045")</f>
        <v>#NAME?</v>
      </c>
      <c r="N55" s="28" t="e">
        <f ca="1">[1]!BexGetData("DP_1","003N8EMH8GTFRIVOG7KG9IX8U","GSON1111300045")</f>
        <v>#NAME?</v>
      </c>
      <c r="O55" s="28" t="e">
        <f ca="1">[1]!BexGetData("DP_1","003N8EMH8GTFRIVOG7KG9J3KE","GSON1111300045")</f>
        <v>#NAME?</v>
      </c>
      <c r="P55" s="28" t="e">
        <f ca="1">[1]!BexGetData("DP_1","003N8EMH8GTFRIVOG7KG9J9VY","GSON1111300045")</f>
        <v>#NAME?</v>
      </c>
      <c r="Q55" s="24" t="e">
        <f ca="1">[1]!BexGetData("DP_1","00O2TNJGODT0G5Z4TTKYMM5MT","GSON1111300045")</f>
        <v>#NAME?</v>
      </c>
      <c r="R55" s="28" t="e">
        <f ca="1">[1]!BexGetData("DP_1","00O2TNJGODT0G5Z4TTKYMMBYD","GSON1111300045")</f>
        <v>#NAME?</v>
      </c>
      <c r="S55" s="28" t="e">
        <f ca="1">[1]!BexGetData("DP_1","00O2TNJGODT0G5Z4TTKYMMI9X","GSON1111300045")</f>
        <v>#NAME?</v>
      </c>
      <c r="T55" s="28" t="e">
        <f ca="1">[1]!BexGetData("DP_1","00O2TNJGODT0G5Z4TTKYMMOLH","GSON1111300045")</f>
        <v>#NAME?</v>
      </c>
      <c r="U55" s="28" t="e">
        <f ca="1">[1]!BexGetData("DP_1","00O2TNJGODT0G5Z4TTKYMMUX1","GSON1111300045")</f>
        <v>#NAME?</v>
      </c>
      <c r="V55" s="28" t="e">
        <f ca="1">[1]!BexGetData("DP_1","00O2TNJGODT0G5Z4TTKYMN18L","GSON1111300045")</f>
        <v>#NAME?</v>
      </c>
      <c r="W55" s="28" t="e">
        <f ca="1">[1]!BexGetData("DP_1","00O2TNJGODT0G5Z4TTKYMN7K5","GSON1111300045")</f>
        <v>#NAME?</v>
      </c>
    </row>
    <row r="56" spans="1:23" x14ac:dyDescent="0.2">
      <c r="A56" s="36" t="s">
        <v>1858</v>
      </c>
      <c r="B56" s="27" t="s">
        <v>1859</v>
      </c>
      <c r="C56" s="23" t="e">
        <f ca="1">[1]!BexGetData("DP_1","003N8EMH8GTFRCSWKMPXRR8GU","GSON1111300046")</f>
        <v>#NAME?</v>
      </c>
      <c r="D56" s="23" t="e">
        <f ca="1">[1]!BexGetData("DP_1","003N8EMH8GTFRCSWKMPXRRESE","GSON1111300046")</f>
        <v>#NAME?</v>
      </c>
      <c r="E56" s="28" t="e">
        <f ca="1">[1]!BexGetData("DP_1","003N8EMH8GTFRCSWKMPXRRL3Y","GSON1111300046")</f>
        <v>#NAME?</v>
      </c>
      <c r="F56" s="28" t="e">
        <f ca="1">[1]!BexGetData("DP_1","003N8EMH8GTFRCSWKMPXRRRFI","GSON1111300046")</f>
        <v>#NAME?</v>
      </c>
      <c r="G56" s="23" t="e">
        <f ca="1">[1]!BexGetData("DP_1","003N8EMH8GTFRCSWKMPXRRXR2","GSON1111300046")</f>
        <v>#NAME?</v>
      </c>
      <c r="H56" s="23" t="e">
        <f ca="1">[1]!BexGetData("DP_1","003N8EMH8GTFRCSWKMPXRS42M","GSON1111300046")</f>
        <v>#NAME?</v>
      </c>
      <c r="I56" s="28" t="e">
        <f ca="1">[1]!BexGetData("DP_1","003N8EMH8GTFRCSWKMPXRSAE6","GSON1111300046")</f>
        <v>#NAME?</v>
      </c>
      <c r="J56" s="24" t="e">
        <f ca="1">[1]!BexGetData("DP_1","003N8EMH8GTFRCSWKMPXRSGPQ","GSON1111300046")</f>
        <v>#NAME?</v>
      </c>
      <c r="K56" s="28" t="e">
        <f ca="1">[1]!BexGetData("DP_1","003N8EMH8GTFRIVNUPY288VJH","GSON1111300046")</f>
        <v>#NAME?</v>
      </c>
      <c r="L56" s="28" t="e">
        <f ca="1">[1]!BexGetData("DP_1","003N8EMH8GTFRIVNUPY2891V1","GSON1111300046")</f>
        <v>#NAME?</v>
      </c>
      <c r="M56" s="28" t="e">
        <f ca="1">[1]!BexGetData("DP_1","003N8EMH8GTFRIVOG7KG9IQXA","GSON1111300046")</f>
        <v>#NAME?</v>
      </c>
      <c r="N56" s="28" t="e">
        <f ca="1">[1]!BexGetData("DP_1","003N8EMH8GTFRIVOG7KG9IX8U","GSON1111300046")</f>
        <v>#NAME?</v>
      </c>
      <c r="O56" s="28" t="e">
        <f ca="1">[1]!BexGetData("DP_1","003N8EMH8GTFRIVOG7KG9J3KE","GSON1111300046")</f>
        <v>#NAME?</v>
      </c>
      <c r="P56" s="28" t="e">
        <f ca="1">[1]!BexGetData("DP_1","003N8EMH8GTFRIVOG7KG9J9VY","GSON1111300046")</f>
        <v>#NAME?</v>
      </c>
      <c r="Q56" s="24" t="e">
        <f ca="1">[1]!BexGetData("DP_1","00O2TNJGODT0G5Z4TTKYMM5MT","GSON1111300046")</f>
        <v>#NAME?</v>
      </c>
      <c r="R56" s="28" t="e">
        <f ca="1">[1]!BexGetData("DP_1","00O2TNJGODT0G5Z4TTKYMMBYD","GSON1111300046")</f>
        <v>#NAME?</v>
      </c>
      <c r="S56" s="28" t="e">
        <f ca="1">[1]!BexGetData("DP_1","00O2TNJGODT0G5Z4TTKYMMI9X","GSON1111300046")</f>
        <v>#NAME?</v>
      </c>
      <c r="T56" s="28" t="e">
        <f ca="1">[1]!BexGetData("DP_1","00O2TNJGODT0G5Z4TTKYMMOLH","GSON1111300046")</f>
        <v>#NAME?</v>
      </c>
      <c r="U56" s="28" t="e">
        <f ca="1">[1]!BexGetData("DP_1","00O2TNJGODT0G5Z4TTKYMMUX1","GSON1111300046")</f>
        <v>#NAME?</v>
      </c>
      <c r="V56" s="28" t="e">
        <f ca="1">[1]!BexGetData("DP_1","00O2TNJGODT0G5Z4TTKYMN18L","GSON1111300046")</f>
        <v>#NAME?</v>
      </c>
      <c r="W56" s="28" t="e">
        <f ca="1">[1]!BexGetData("DP_1","00O2TNJGODT0G5Z4TTKYMN7K5","GSON1111300046")</f>
        <v>#NAME?</v>
      </c>
    </row>
    <row r="57" spans="1:23" x14ac:dyDescent="0.2">
      <c r="A57" s="36" t="s">
        <v>1860</v>
      </c>
      <c r="B57" s="27" t="s">
        <v>1861</v>
      </c>
      <c r="C57" s="23" t="e">
        <f ca="1">[1]!BexGetData("DP_1","003N8EMH8GTFRCSWKMPXRR8GU","GSON1111300047")</f>
        <v>#NAME?</v>
      </c>
      <c r="D57" s="23" t="e">
        <f ca="1">[1]!BexGetData("DP_1","003N8EMH8GTFRCSWKMPXRRESE","GSON1111300047")</f>
        <v>#NAME?</v>
      </c>
      <c r="E57" s="28" t="e">
        <f ca="1">[1]!BexGetData("DP_1","003N8EMH8GTFRCSWKMPXRRL3Y","GSON1111300047")</f>
        <v>#NAME?</v>
      </c>
      <c r="F57" s="28" t="e">
        <f ca="1">[1]!BexGetData("DP_1","003N8EMH8GTFRCSWKMPXRRRFI","GSON1111300047")</f>
        <v>#NAME?</v>
      </c>
      <c r="G57" s="23" t="e">
        <f ca="1">[1]!BexGetData("DP_1","003N8EMH8GTFRCSWKMPXRRXR2","GSON1111300047")</f>
        <v>#NAME?</v>
      </c>
      <c r="H57" s="23" t="e">
        <f ca="1">[1]!BexGetData("DP_1","003N8EMH8GTFRCSWKMPXRS42M","GSON1111300047")</f>
        <v>#NAME?</v>
      </c>
      <c r="I57" s="28" t="e">
        <f ca="1">[1]!BexGetData("DP_1","003N8EMH8GTFRCSWKMPXRSAE6","GSON1111300047")</f>
        <v>#NAME?</v>
      </c>
      <c r="J57" s="24" t="e">
        <f ca="1">[1]!BexGetData("DP_1","003N8EMH8GTFRCSWKMPXRSGPQ","GSON1111300047")</f>
        <v>#NAME?</v>
      </c>
      <c r="K57" s="28" t="e">
        <f ca="1">[1]!BexGetData("DP_1","003N8EMH8GTFRIVNUPY288VJH","GSON1111300047")</f>
        <v>#NAME?</v>
      </c>
      <c r="L57" s="28" t="e">
        <f ca="1">[1]!BexGetData("DP_1","003N8EMH8GTFRIVNUPY2891V1","GSON1111300047")</f>
        <v>#NAME?</v>
      </c>
      <c r="M57" s="28" t="e">
        <f ca="1">[1]!BexGetData("DP_1","003N8EMH8GTFRIVOG7KG9IQXA","GSON1111300047")</f>
        <v>#NAME?</v>
      </c>
      <c r="N57" s="28" t="e">
        <f ca="1">[1]!BexGetData("DP_1","003N8EMH8GTFRIVOG7KG9IX8U","GSON1111300047")</f>
        <v>#NAME?</v>
      </c>
      <c r="O57" s="28" t="e">
        <f ca="1">[1]!BexGetData("DP_1","003N8EMH8GTFRIVOG7KG9J3KE","GSON1111300047")</f>
        <v>#NAME?</v>
      </c>
      <c r="P57" s="28" t="e">
        <f ca="1">[1]!BexGetData("DP_1","003N8EMH8GTFRIVOG7KG9J9VY","GSON1111300047")</f>
        <v>#NAME?</v>
      </c>
      <c r="Q57" s="24" t="e">
        <f ca="1">[1]!BexGetData("DP_1","00O2TNJGODT0G5Z4TTKYMM5MT","GSON1111300047")</f>
        <v>#NAME?</v>
      </c>
      <c r="R57" s="28" t="e">
        <f ca="1">[1]!BexGetData("DP_1","00O2TNJGODT0G5Z4TTKYMMBYD","GSON1111300047")</f>
        <v>#NAME?</v>
      </c>
      <c r="S57" s="28" t="e">
        <f ca="1">[1]!BexGetData("DP_1","00O2TNJGODT0G5Z4TTKYMMI9X","GSON1111300047")</f>
        <v>#NAME?</v>
      </c>
      <c r="T57" s="28" t="e">
        <f ca="1">[1]!BexGetData("DP_1","00O2TNJGODT0G5Z4TTKYMMOLH","GSON1111300047")</f>
        <v>#NAME?</v>
      </c>
      <c r="U57" s="28" t="e">
        <f ca="1">[1]!BexGetData("DP_1","00O2TNJGODT0G5Z4TTKYMMUX1","GSON1111300047")</f>
        <v>#NAME?</v>
      </c>
      <c r="V57" s="28" t="e">
        <f ca="1">[1]!BexGetData("DP_1","00O2TNJGODT0G5Z4TTKYMN18L","GSON1111300047")</f>
        <v>#NAME?</v>
      </c>
      <c r="W57" s="28" t="e">
        <f ca="1">[1]!BexGetData("DP_1","00O2TNJGODT0G5Z4TTKYMN7K5","GSON1111300047")</f>
        <v>#NAME?</v>
      </c>
    </row>
    <row r="58" spans="1:23" x14ac:dyDescent="0.2">
      <c r="A58" s="36" t="s">
        <v>1862</v>
      </c>
      <c r="B58" s="27" t="s">
        <v>1863</v>
      </c>
      <c r="C58" s="23" t="e">
        <f ca="1">[1]!BexGetData("DP_1","003N8EMH8GTFRCSWKMPXRR8GU","GSON1111300048")</f>
        <v>#NAME?</v>
      </c>
      <c r="D58" s="23" t="e">
        <f ca="1">[1]!BexGetData("DP_1","003N8EMH8GTFRCSWKMPXRRESE","GSON1111300048")</f>
        <v>#NAME?</v>
      </c>
      <c r="E58" s="28" t="e">
        <f ca="1">[1]!BexGetData("DP_1","003N8EMH8GTFRCSWKMPXRRL3Y","GSON1111300048")</f>
        <v>#NAME?</v>
      </c>
      <c r="F58" s="28" t="e">
        <f ca="1">[1]!BexGetData("DP_1","003N8EMH8GTFRCSWKMPXRRRFI","GSON1111300048")</f>
        <v>#NAME?</v>
      </c>
      <c r="G58" s="23" t="e">
        <f ca="1">[1]!BexGetData("DP_1","003N8EMH8GTFRCSWKMPXRRXR2","GSON1111300048")</f>
        <v>#NAME?</v>
      </c>
      <c r="H58" s="23" t="e">
        <f ca="1">[1]!BexGetData("DP_1","003N8EMH8GTFRCSWKMPXRS42M","GSON1111300048")</f>
        <v>#NAME?</v>
      </c>
      <c r="I58" s="28" t="e">
        <f ca="1">[1]!BexGetData("DP_1","003N8EMH8GTFRCSWKMPXRSAE6","GSON1111300048")</f>
        <v>#NAME?</v>
      </c>
      <c r="J58" s="24" t="e">
        <f ca="1">[1]!BexGetData("DP_1","003N8EMH8GTFRCSWKMPXRSGPQ","GSON1111300048")</f>
        <v>#NAME?</v>
      </c>
      <c r="K58" s="28" t="e">
        <f ca="1">[1]!BexGetData("DP_1","003N8EMH8GTFRIVNUPY288VJH","GSON1111300048")</f>
        <v>#NAME?</v>
      </c>
      <c r="L58" s="28" t="e">
        <f ca="1">[1]!BexGetData("DP_1","003N8EMH8GTFRIVNUPY2891V1","GSON1111300048")</f>
        <v>#NAME?</v>
      </c>
      <c r="M58" s="28" t="e">
        <f ca="1">[1]!BexGetData("DP_1","003N8EMH8GTFRIVOG7KG9IQXA","GSON1111300048")</f>
        <v>#NAME?</v>
      </c>
      <c r="N58" s="28" t="e">
        <f ca="1">[1]!BexGetData("DP_1","003N8EMH8GTFRIVOG7KG9IX8U","GSON1111300048")</f>
        <v>#NAME?</v>
      </c>
      <c r="O58" s="28" t="e">
        <f ca="1">[1]!BexGetData("DP_1","003N8EMH8GTFRIVOG7KG9J3KE","GSON1111300048")</f>
        <v>#NAME?</v>
      </c>
      <c r="P58" s="28" t="e">
        <f ca="1">[1]!BexGetData("DP_1","003N8EMH8GTFRIVOG7KG9J9VY","GSON1111300048")</f>
        <v>#NAME?</v>
      </c>
      <c r="Q58" s="24" t="e">
        <f ca="1">[1]!BexGetData("DP_1","00O2TNJGODT0G5Z4TTKYMM5MT","GSON1111300048")</f>
        <v>#NAME?</v>
      </c>
      <c r="R58" s="28" t="e">
        <f ca="1">[1]!BexGetData("DP_1","00O2TNJGODT0G5Z4TTKYMMBYD","GSON1111300048")</f>
        <v>#NAME?</v>
      </c>
      <c r="S58" s="28" t="e">
        <f ca="1">[1]!BexGetData("DP_1","00O2TNJGODT0G5Z4TTKYMMI9X","GSON1111300048")</f>
        <v>#NAME?</v>
      </c>
      <c r="T58" s="28" t="e">
        <f ca="1">[1]!BexGetData("DP_1","00O2TNJGODT0G5Z4TTKYMMOLH","GSON1111300048")</f>
        <v>#NAME?</v>
      </c>
      <c r="U58" s="28" t="e">
        <f ca="1">[1]!BexGetData("DP_1","00O2TNJGODT0G5Z4TTKYMMUX1","GSON1111300048")</f>
        <v>#NAME?</v>
      </c>
      <c r="V58" s="28" t="e">
        <f ca="1">[1]!BexGetData("DP_1","00O2TNJGODT0G5Z4TTKYMN18L","GSON1111300048")</f>
        <v>#NAME?</v>
      </c>
      <c r="W58" s="28" t="e">
        <f ca="1">[1]!BexGetData("DP_1","00O2TNJGODT0G5Z4TTKYMN7K5","GSON1111300048")</f>
        <v>#NAME?</v>
      </c>
    </row>
    <row r="59" spans="1:23" x14ac:dyDescent="0.2">
      <c r="A59" s="36" t="s">
        <v>1864</v>
      </c>
      <c r="B59" s="27" t="s">
        <v>1865</v>
      </c>
      <c r="C59" s="23" t="e">
        <f ca="1">[1]!BexGetData("DP_1","003N8EMH8GTFRCSWKMPXRR8GU","GSON1111300049")</f>
        <v>#NAME?</v>
      </c>
      <c r="D59" s="23" t="e">
        <f ca="1">[1]!BexGetData("DP_1","003N8EMH8GTFRCSWKMPXRRESE","GSON1111300049")</f>
        <v>#NAME?</v>
      </c>
      <c r="E59" s="28" t="e">
        <f ca="1">[1]!BexGetData("DP_1","003N8EMH8GTFRCSWKMPXRRL3Y","GSON1111300049")</f>
        <v>#NAME?</v>
      </c>
      <c r="F59" s="24" t="e">
        <f ca="1">[1]!BexGetData("DP_1","003N8EMH8GTFRCSWKMPXRRRFI","GSON1111300049")</f>
        <v>#NAME?</v>
      </c>
      <c r="G59" s="24" t="e">
        <f ca="1">[1]!BexGetData("DP_1","003N8EMH8GTFRCSWKMPXRRXR2","GSON1111300049")</f>
        <v>#NAME?</v>
      </c>
      <c r="H59" s="24" t="e">
        <f ca="1">[1]!BexGetData("DP_1","003N8EMH8GTFRCSWKMPXRS42M","GSON1111300049")</f>
        <v>#NAME?</v>
      </c>
      <c r="I59" s="24" t="e">
        <f ca="1">[1]!BexGetData("DP_1","003N8EMH8GTFRCSWKMPXRSAE6","GSON1111300049")</f>
        <v>#NAME?</v>
      </c>
      <c r="J59" s="24" t="e">
        <f ca="1">[1]!BexGetData("DP_1","003N8EMH8GTFRCSWKMPXRSGPQ","GSON1111300049")</f>
        <v>#NAME?</v>
      </c>
      <c r="K59" s="28" t="e">
        <f ca="1">[1]!BexGetData("DP_1","003N8EMH8GTFRIVNUPY288VJH","GSON1111300049")</f>
        <v>#NAME?</v>
      </c>
      <c r="L59" s="28" t="e">
        <f ca="1">[1]!BexGetData("DP_1","003N8EMH8GTFRIVNUPY2891V1","GSON1111300049")</f>
        <v>#NAME?</v>
      </c>
      <c r="M59" s="28" t="e">
        <f ca="1">[1]!BexGetData("DP_1","003N8EMH8GTFRIVOG7KG9IQXA","GSON1111300049")</f>
        <v>#NAME?</v>
      </c>
      <c r="N59" s="28" t="e">
        <f ca="1">[1]!BexGetData("DP_1","003N8EMH8GTFRIVOG7KG9IX8U","GSON1111300049")</f>
        <v>#NAME?</v>
      </c>
      <c r="O59" s="28" t="e">
        <f ca="1">[1]!BexGetData("DP_1","003N8EMH8GTFRIVOG7KG9J3KE","GSON1111300049")</f>
        <v>#NAME?</v>
      </c>
      <c r="P59" s="28" t="e">
        <f ca="1">[1]!BexGetData("DP_1","003N8EMH8GTFRIVOG7KG9J9VY","GSON1111300049")</f>
        <v>#NAME?</v>
      </c>
      <c r="Q59" s="24" t="e">
        <f ca="1">[1]!BexGetData("DP_1","00O2TNJGODT0G5Z4TTKYMM5MT","GSON1111300049")</f>
        <v>#NAME?</v>
      </c>
      <c r="R59" s="24" t="e">
        <f ca="1">[1]!BexGetData("DP_1","00O2TNJGODT0G5Z4TTKYMMBYD","GSON1111300049")</f>
        <v>#NAME?</v>
      </c>
      <c r="S59" s="24" t="e">
        <f ca="1">[1]!BexGetData("DP_1","00O2TNJGODT0G5Z4TTKYMMI9X","GSON1111300049")</f>
        <v>#NAME?</v>
      </c>
      <c r="T59" s="24" t="e">
        <f ca="1">[1]!BexGetData("DP_1","00O2TNJGODT0G5Z4TTKYMMOLH","GSON1111300049")</f>
        <v>#NAME?</v>
      </c>
      <c r="U59" s="24" t="e">
        <f ca="1">[1]!BexGetData("DP_1","00O2TNJGODT0G5Z4TTKYMMUX1","GSON1111300049")</f>
        <v>#NAME?</v>
      </c>
      <c r="V59" s="24" t="e">
        <f ca="1">[1]!BexGetData("DP_1","00O2TNJGODT0G5Z4TTKYMN18L","GSON1111300049")</f>
        <v>#NAME?</v>
      </c>
      <c r="W59" s="24" t="e">
        <f ca="1">[1]!BexGetData("DP_1","00O2TNJGODT0G5Z4TTKYMN7K5","GSON1111300049")</f>
        <v>#NAME?</v>
      </c>
    </row>
    <row r="60" spans="1:23" x14ac:dyDescent="0.2">
      <c r="A60" s="36" t="s">
        <v>1866</v>
      </c>
      <c r="B60" s="27" t="s">
        <v>1867</v>
      </c>
      <c r="C60" s="28" t="e">
        <f ca="1">[1]!BexGetData("DP_1","003N8EMH8GTFRCSWKMPXRR8GU","GSON1111300051")</f>
        <v>#NAME?</v>
      </c>
      <c r="D60" s="28" t="e">
        <f ca="1">[1]!BexGetData("DP_1","003N8EMH8GTFRCSWKMPXRRESE","GSON1111300051")</f>
        <v>#NAME?</v>
      </c>
      <c r="E60" s="28" t="e">
        <f ca="1">[1]!BexGetData("DP_1","003N8EMH8GTFRCSWKMPXRRL3Y","GSON1111300051")</f>
        <v>#NAME?</v>
      </c>
      <c r="F60" s="28" t="e">
        <f ca="1">[1]!BexGetData("DP_1","003N8EMH8GTFRCSWKMPXRRRFI","GSON1111300051")</f>
        <v>#NAME?</v>
      </c>
      <c r="G60" s="23" t="e">
        <f ca="1">[1]!BexGetData("DP_1","003N8EMH8GTFRCSWKMPXRRXR2","GSON1111300051")</f>
        <v>#NAME?</v>
      </c>
      <c r="H60" s="23" t="e">
        <f ca="1">[1]!BexGetData("DP_1","003N8EMH8GTFRCSWKMPXRS42M","GSON1111300051")</f>
        <v>#NAME?</v>
      </c>
      <c r="I60" s="28" t="e">
        <f ca="1">[1]!BexGetData("DP_1","003N8EMH8GTFRCSWKMPXRSAE6","GSON1111300051")</f>
        <v>#NAME?</v>
      </c>
      <c r="J60" s="24" t="e">
        <f ca="1">[1]!BexGetData("DP_1","003N8EMH8GTFRCSWKMPXRSGPQ","GSON1111300051")</f>
        <v>#NAME?</v>
      </c>
      <c r="K60" s="28" t="e">
        <f ca="1">[1]!BexGetData("DP_1","003N8EMH8GTFRIVNUPY288VJH","GSON1111300051")</f>
        <v>#NAME?</v>
      </c>
      <c r="L60" s="28" t="e">
        <f ca="1">[1]!BexGetData("DP_1","003N8EMH8GTFRIVNUPY2891V1","GSON1111300051")</f>
        <v>#NAME?</v>
      </c>
      <c r="M60" s="28" t="e">
        <f ca="1">[1]!BexGetData("DP_1","003N8EMH8GTFRIVOG7KG9IQXA","GSON1111300051")</f>
        <v>#NAME?</v>
      </c>
      <c r="N60" s="28" t="e">
        <f ca="1">[1]!BexGetData("DP_1","003N8EMH8GTFRIVOG7KG9IX8U","GSON1111300051")</f>
        <v>#NAME?</v>
      </c>
      <c r="O60" s="28" t="e">
        <f ca="1">[1]!BexGetData("DP_1","003N8EMH8GTFRIVOG7KG9J3KE","GSON1111300051")</f>
        <v>#NAME?</v>
      </c>
      <c r="P60" s="28" t="e">
        <f ca="1">[1]!BexGetData("DP_1","003N8EMH8GTFRIVOG7KG9J9VY","GSON1111300051")</f>
        <v>#NAME?</v>
      </c>
      <c r="Q60" s="24" t="e">
        <f ca="1">[1]!BexGetData("DP_1","00O2TNJGODT0G5Z4TTKYMM5MT","GSON1111300051")</f>
        <v>#NAME?</v>
      </c>
      <c r="R60" s="28" t="e">
        <f ca="1">[1]!BexGetData("DP_1","00O2TNJGODT0G5Z4TTKYMMBYD","GSON1111300051")</f>
        <v>#NAME?</v>
      </c>
      <c r="S60" s="28" t="e">
        <f ca="1">[1]!BexGetData("DP_1","00O2TNJGODT0G5Z4TTKYMMI9X","GSON1111300051")</f>
        <v>#NAME?</v>
      </c>
      <c r="T60" s="28" t="e">
        <f ca="1">[1]!BexGetData("DP_1","00O2TNJGODT0G5Z4TTKYMMOLH","GSON1111300051")</f>
        <v>#NAME?</v>
      </c>
      <c r="U60" s="28" t="e">
        <f ca="1">[1]!BexGetData("DP_1","00O2TNJGODT0G5Z4TTKYMMUX1","GSON1111300051")</f>
        <v>#NAME?</v>
      </c>
      <c r="V60" s="28" t="e">
        <f ca="1">[1]!BexGetData("DP_1","00O2TNJGODT0G5Z4TTKYMN18L","GSON1111300051")</f>
        <v>#NAME?</v>
      </c>
      <c r="W60" s="28" t="e">
        <f ca="1">[1]!BexGetData("DP_1","00O2TNJGODT0G5Z4TTKYMN7K5","GSON1111300051")</f>
        <v>#NAME?</v>
      </c>
    </row>
    <row r="61" spans="1:23" x14ac:dyDescent="0.2">
      <c r="A61" s="36" t="s">
        <v>1868</v>
      </c>
      <c r="B61" s="27" t="s">
        <v>1869</v>
      </c>
      <c r="C61" s="23" t="e">
        <f ca="1">[1]!BexGetData("DP_1","003N8EMH8GTFRCSWKMPXRR8GU","GSON1111300052")</f>
        <v>#NAME?</v>
      </c>
      <c r="D61" s="23" t="e">
        <f ca="1">[1]!BexGetData("DP_1","003N8EMH8GTFRCSWKMPXRRESE","GSON1111300052")</f>
        <v>#NAME?</v>
      </c>
      <c r="E61" s="28" t="e">
        <f ca="1">[1]!BexGetData("DP_1","003N8EMH8GTFRCSWKMPXRRL3Y","GSON1111300052")</f>
        <v>#NAME?</v>
      </c>
      <c r="F61" s="28" t="e">
        <f ca="1">[1]!BexGetData("DP_1","003N8EMH8GTFRCSWKMPXRRRFI","GSON1111300052")</f>
        <v>#NAME?</v>
      </c>
      <c r="G61" s="23" t="e">
        <f ca="1">[1]!BexGetData("DP_1","003N8EMH8GTFRCSWKMPXRRXR2","GSON1111300052")</f>
        <v>#NAME?</v>
      </c>
      <c r="H61" s="23" t="e">
        <f ca="1">[1]!BexGetData("DP_1","003N8EMH8GTFRCSWKMPXRS42M","GSON1111300052")</f>
        <v>#NAME?</v>
      </c>
      <c r="I61" s="28" t="e">
        <f ca="1">[1]!BexGetData("DP_1","003N8EMH8GTFRCSWKMPXRSAE6","GSON1111300052")</f>
        <v>#NAME?</v>
      </c>
      <c r="J61" s="24" t="e">
        <f ca="1">[1]!BexGetData("DP_1","003N8EMH8GTFRCSWKMPXRSGPQ","GSON1111300052")</f>
        <v>#NAME?</v>
      </c>
      <c r="K61" s="28" t="e">
        <f ca="1">[1]!BexGetData("DP_1","003N8EMH8GTFRIVNUPY288VJH","GSON1111300052")</f>
        <v>#NAME?</v>
      </c>
      <c r="L61" s="28" t="e">
        <f ca="1">[1]!BexGetData("DP_1","003N8EMH8GTFRIVNUPY2891V1","GSON1111300052")</f>
        <v>#NAME?</v>
      </c>
      <c r="M61" s="28" t="e">
        <f ca="1">[1]!BexGetData("DP_1","003N8EMH8GTFRIVOG7KG9IQXA","GSON1111300052")</f>
        <v>#NAME?</v>
      </c>
      <c r="N61" s="28" t="e">
        <f ca="1">[1]!BexGetData("DP_1","003N8EMH8GTFRIVOG7KG9IX8U","GSON1111300052")</f>
        <v>#NAME?</v>
      </c>
      <c r="O61" s="28" t="e">
        <f ca="1">[1]!BexGetData("DP_1","003N8EMH8GTFRIVOG7KG9J3KE","GSON1111300052")</f>
        <v>#NAME?</v>
      </c>
      <c r="P61" s="28" t="e">
        <f ca="1">[1]!BexGetData("DP_1","003N8EMH8GTFRIVOG7KG9J9VY","GSON1111300052")</f>
        <v>#NAME?</v>
      </c>
      <c r="Q61" s="24" t="e">
        <f ca="1">[1]!BexGetData("DP_1","00O2TNJGODT0G5Z4TTKYMM5MT","GSON1111300052")</f>
        <v>#NAME?</v>
      </c>
      <c r="R61" s="28" t="e">
        <f ca="1">[1]!BexGetData("DP_1","00O2TNJGODT0G5Z4TTKYMMBYD","GSON1111300052")</f>
        <v>#NAME?</v>
      </c>
      <c r="S61" s="28" t="e">
        <f ca="1">[1]!BexGetData("DP_1","00O2TNJGODT0G5Z4TTKYMMI9X","GSON1111300052")</f>
        <v>#NAME?</v>
      </c>
      <c r="T61" s="28" t="e">
        <f ca="1">[1]!BexGetData("DP_1","00O2TNJGODT0G5Z4TTKYMMOLH","GSON1111300052")</f>
        <v>#NAME?</v>
      </c>
      <c r="U61" s="28" t="e">
        <f ca="1">[1]!BexGetData("DP_1","00O2TNJGODT0G5Z4TTKYMMUX1","GSON1111300052")</f>
        <v>#NAME?</v>
      </c>
      <c r="V61" s="28" t="e">
        <f ca="1">[1]!BexGetData("DP_1","00O2TNJGODT0G5Z4TTKYMN18L","GSON1111300052")</f>
        <v>#NAME?</v>
      </c>
      <c r="W61" s="28" t="e">
        <f ca="1">[1]!BexGetData("DP_1","00O2TNJGODT0G5Z4TTKYMN7K5","GSON1111300052")</f>
        <v>#NAME?</v>
      </c>
    </row>
    <row r="62" spans="1:23" x14ac:dyDescent="0.2">
      <c r="A62" s="36" t="s">
        <v>1870</v>
      </c>
      <c r="B62" s="27" t="s">
        <v>1871</v>
      </c>
      <c r="C62" s="23" t="e">
        <f ca="1">[1]!BexGetData("DP_1","003N8EMH8GTFRCSWKMPXRR8GU","GSON1111300053")</f>
        <v>#NAME?</v>
      </c>
      <c r="D62" s="23" t="e">
        <f ca="1">[1]!BexGetData("DP_1","003N8EMH8GTFRCSWKMPXRRESE","GSON1111300053")</f>
        <v>#NAME?</v>
      </c>
      <c r="E62" s="28" t="e">
        <f ca="1">[1]!BexGetData("DP_1","003N8EMH8GTFRCSWKMPXRRL3Y","GSON1111300053")</f>
        <v>#NAME?</v>
      </c>
      <c r="F62" s="24" t="e">
        <f ca="1">[1]!BexGetData("DP_1","003N8EMH8GTFRCSWKMPXRRRFI","GSON1111300053")</f>
        <v>#NAME?</v>
      </c>
      <c r="G62" s="24" t="e">
        <f ca="1">[1]!BexGetData("DP_1","003N8EMH8GTFRCSWKMPXRRXR2","GSON1111300053")</f>
        <v>#NAME?</v>
      </c>
      <c r="H62" s="24" t="e">
        <f ca="1">[1]!BexGetData("DP_1","003N8EMH8GTFRCSWKMPXRS42M","GSON1111300053")</f>
        <v>#NAME?</v>
      </c>
      <c r="I62" s="24" t="e">
        <f ca="1">[1]!BexGetData("DP_1","003N8EMH8GTFRCSWKMPXRSAE6","GSON1111300053")</f>
        <v>#NAME?</v>
      </c>
      <c r="J62" s="24" t="e">
        <f ca="1">[1]!BexGetData("DP_1","003N8EMH8GTFRCSWKMPXRSGPQ","GSON1111300053")</f>
        <v>#NAME?</v>
      </c>
      <c r="K62" s="28" t="e">
        <f ca="1">[1]!BexGetData("DP_1","003N8EMH8GTFRIVNUPY288VJH","GSON1111300053")</f>
        <v>#NAME?</v>
      </c>
      <c r="L62" s="28" t="e">
        <f ca="1">[1]!BexGetData("DP_1","003N8EMH8GTFRIVNUPY2891V1","GSON1111300053")</f>
        <v>#NAME?</v>
      </c>
      <c r="M62" s="28" t="e">
        <f ca="1">[1]!BexGetData("DP_1","003N8EMH8GTFRIVOG7KG9IQXA","GSON1111300053")</f>
        <v>#NAME?</v>
      </c>
      <c r="N62" s="28" t="e">
        <f ca="1">[1]!BexGetData("DP_1","003N8EMH8GTFRIVOG7KG9IX8U","GSON1111300053")</f>
        <v>#NAME?</v>
      </c>
      <c r="O62" s="28" t="e">
        <f ca="1">[1]!BexGetData("DP_1","003N8EMH8GTFRIVOG7KG9J3KE","GSON1111300053")</f>
        <v>#NAME?</v>
      </c>
      <c r="P62" s="28" t="e">
        <f ca="1">[1]!BexGetData("DP_1","003N8EMH8GTFRIVOG7KG9J9VY","GSON1111300053")</f>
        <v>#NAME?</v>
      </c>
      <c r="Q62" s="24" t="e">
        <f ca="1">[1]!BexGetData("DP_1","00O2TNJGODT0G5Z4TTKYMM5MT","GSON1111300053")</f>
        <v>#NAME?</v>
      </c>
      <c r="R62" s="24" t="e">
        <f ca="1">[1]!BexGetData("DP_1","00O2TNJGODT0G5Z4TTKYMMBYD","GSON1111300053")</f>
        <v>#NAME?</v>
      </c>
      <c r="S62" s="24" t="e">
        <f ca="1">[1]!BexGetData("DP_1","00O2TNJGODT0G5Z4TTKYMMI9X","GSON1111300053")</f>
        <v>#NAME?</v>
      </c>
      <c r="T62" s="24" t="e">
        <f ca="1">[1]!BexGetData("DP_1","00O2TNJGODT0G5Z4TTKYMMOLH","GSON1111300053")</f>
        <v>#NAME?</v>
      </c>
      <c r="U62" s="24" t="e">
        <f ca="1">[1]!BexGetData("DP_1","00O2TNJGODT0G5Z4TTKYMMUX1","GSON1111300053")</f>
        <v>#NAME?</v>
      </c>
      <c r="V62" s="24" t="e">
        <f ca="1">[1]!BexGetData("DP_1","00O2TNJGODT0G5Z4TTKYMN18L","GSON1111300053")</f>
        <v>#NAME?</v>
      </c>
      <c r="W62" s="24" t="e">
        <f ca="1">[1]!BexGetData("DP_1","00O2TNJGODT0G5Z4TTKYMN7K5","GSON1111300053")</f>
        <v>#NAME?</v>
      </c>
    </row>
    <row r="63" spans="1:23" x14ac:dyDescent="0.2">
      <c r="A63" s="36" t="s">
        <v>1872</v>
      </c>
      <c r="B63" s="27" t="s">
        <v>1873</v>
      </c>
      <c r="C63" s="23" t="e">
        <f ca="1">[1]!BexGetData("DP_1","003N8EMH8GTFRCSWKMPXRR8GU","GSON1111300055")</f>
        <v>#NAME?</v>
      </c>
      <c r="D63" s="23" t="e">
        <f ca="1">[1]!BexGetData("DP_1","003N8EMH8GTFRCSWKMPXRRESE","GSON1111300055")</f>
        <v>#NAME?</v>
      </c>
      <c r="E63" s="28" t="e">
        <f ca="1">[1]!BexGetData("DP_1","003N8EMH8GTFRCSWKMPXRRL3Y","GSON1111300055")</f>
        <v>#NAME?</v>
      </c>
      <c r="F63" s="28" t="e">
        <f ca="1">[1]!BexGetData("DP_1","003N8EMH8GTFRCSWKMPXRRRFI","GSON1111300055")</f>
        <v>#NAME?</v>
      </c>
      <c r="G63" s="23" t="e">
        <f ca="1">[1]!BexGetData("DP_1","003N8EMH8GTFRCSWKMPXRRXR2","GSON1111300055")</f>
        <v>#NAME?</v>
      </c>
      <c r="H63" s="23" t="e">
        <f ca="1">[1]!BexGetData("DP_1","003N8EMH8GTFRCSWKMPXRS42M","GSON1111300055")</f>
        <v>#NAME?</v>
      </c>
      <c r="I63" s="28" t="e">
        <f ca="1">[1]!BexGetData("DP_1","003N8EMH8GTFRCSWKMPXRSAE6","GSON1111300055")</f>
        <v>#NAME?</v>
      </c>
      <c r="J63" s="24" t="e">
        <f ca="1">[1]!BexGetData("DP_1","003N8EMH8GTFRCSWKMPXRSGPQ","GSON1111300055")</f>
        <v>#NAME?</v>
      </c>
      <c r="K63" s="28" t="e">
        <f ca="1">[1]!BexGetData("DP_1","003N8EMH8GTFRIVNUPY288VJH","GSON1111300055")</f>
        <v>#NAME?</v>
      </c>
      <c r="L63" s="28" t="e">
        <f ca="1">[1]!BexGetData("DP_1","003N8EMH8GTFRIVNUPY2891V1","GSON1111300055")</f>
        <v>#NAME?</v>
      </c>
      <c r="M63" s="28" t="e">
        <f ca="1">[1]!BexGetData("DP_1","003N8EMH8GTFRIVOG7KG9IQXA","GSON1111300055")</f>
        <v>#NAME?</v>
      </c>
      <c r="N63" s="28" t="e">
        <f ca="1">[1]!BexGetData("DP_1","003N8EMH8GTFRIVOG7KG9IX8U","GSON1111300055")</f>
        <v>#NAME?</v>
      </c>
      <c r="O63" s="28" t="e">
        <f ca="1">[1]!BexGetData("DP_1","003N8EMH8GTFRIVOG7KG9J3KE","GSON1111300055")</f>
        <v>#NAME?</v>
      </c>
      <c r="P63" s="28" t="e">
        <f ca="1">[1]!BexGetData("DP_1","003N8EMH8GTFRIVOG7KG9J9VY","GSON1111300055")</f>
        <v>#NAME?</v>
      </c>
      <c r="Q63" s="24" t="e">
        <f ca="1">[1]!BexGetData("DP_1","00O2TNJGODT0G5Z4TTKYMM5MT","GSON1111300055")</f>
        <v>#NAME?</v>
      </c>
      <c r="R63" s="28" t="e">
        <f ca="1">[1]!BexGetData("DP_1","00O2TNJGODT0G5Z4TTKYMMBYD","GSON1111300055")</f>
        <v>#NAME?</v>
      </c>
      <c r="S63" s="28" t="e">
        <f ca="1">[1]!BexGetData("DP_1","00O2TNJGODT0G5Z4TTKYMMI9X","GSON1111300055")</f>
        <v>#NAME?</v>
      </c>
      <c r="T63" s="28" t="e">
        <f ca="1">[1]!BexGetData("DP_1","00O2TNJGODT0G5Z4TTKYMMOLH","GSON1111300055")</f>
        <v>#NAME?</v>
      </c>
      <c r="U63" s="28" t="e">
        <f ca="1">[1]!BexGetData("DP_1","00O2TNJGODT0G5Z4TTKYMMUX1","GSON1111300055")</f>
        <v>#NAME?</v>
      </c>
      <c r="V63" s="28" t="e">
        <f ca="1">[1]!BexGetData("DP_1","00O2TNJGODT0G5Z4TTKYMN18L","GSON1111300055")</f>
        <v>#NAME?</v>
      </c>
      <c r="W63" s="28" t="e">
        <f ca="1">[1]!BexGetData("DP_1","00O2TNJGODT0G5Z4TTKYMN7K5","GSON1111300055")</f>
        <v>#NAME?</v>
      </c>
    </row>
    <row r="64" spans="1:23" x14ac:dyDescent="0.2">
      <c r="A64" s="36" t="s">
        <v>1874</v>
      </c>
      <c r="B64" s="27" t="s">
        <v>1875</v>
      </c>
      <c r="C64" s="24" t="e">
        <f ca="1">[1]!BexGetData("DP_1","003N8EMH8GTFRCSWKMPXRR8GU","GSON1111300056")</f>
        <v>#NAME?</v>
      </c>
      <c r="D64" s="24" t="e">
        <f ca="1">[1]!BexGetData("DP_1","003N8EMH8GTFRCSWKMPXRRESE","GSON1111300056")</f>
        <v>#NAME?</v>
      </c>
      <c r="E64" s="24" t="e">
        <f ca="1">[1]!BexGetData("DP_1","003N8EMH8GTFRCSWKMPXRRL3Y","GSON1111300056")</f>
        <v>#NAME?</v>
      </c>
      <c r="F64" s="28" t="e">
        <f ca="1">[1]!BexGetData("DP_1","003N8EMH8GTFRCSWKMPXRRRFI","GSON1111300056")</f>
        <v>#NAME?</v>
      </c>
      <c r="G64" s="23" t="e">
        <f ca="1">[1]!BexGetData("DP_1","003N8EMH8GTFRCSWKMPXRRXR2","GSON1111300056")</f>
        <v>#NAME?</v>
      </c>
      <c r="H64" s="23" t="e">
        <f ca="1">[1]!BexGetData("DP_1","003N8EMH8GTFRCSWKMPXRS42M","GSON1111300056")</f>
        <v>#NAME?</v>
      </c>
      <c r="I64" s="28" t="e">
        <f ca="1">[1]!BexGetData("DP_1","003N8EMH8GTFRCSWKMPXRSAE6","GSON1111300056")</f>
        <v>#NAME?</v>
      </c>
      <c r="J64" s="24" t="e">
        <f ca="1">[1]!BexGetData("DP_1","003N8EMH8GTFRCSWKMPXRSGPQ","GSON1111300056")</f>
        <v>#NAME?</v>
      </c>
      <c r="K64" s="28" t="e">
        <f ca="1">[1]!BexGetData("DP_1","003N8EMH8GTFRIVNUPY288VJH","GSON1111300056")</f>
        <v>#NAME?</v>
      </c>
      <c r="L64" s="28" t="e">
        <f ca="1">[1]!BexGetData("DP_1","003N8EMH8GTFRIVNUPY2891V1","GSON1111300056")</f>
        <v>#NAME?</v>
      </c>
      <c r="M64" s="28" t="e">
        <f ca="1">[1]!BexGetData("DP_1","003N8EMH8GTFRIVOG7KG9IQXA","GSON1111300056")</f>
        <v>#NAME?</v>
      </c>
      <c r="N64" s="28" t="e">
        <f ca="1">[1]!BexGetData("DP_1","003N8EMH8GTFRIVOG7KG9IX8U","GSON1111300056")</f>
        <v>#NAME?</v>
      </c>
      <c r="O64" s="28" t="e">
        <f ca="1">[1]!BexGetData("DP_1","003N8EMH8GTFRIVOG7KG9J3KE","GSON1111300056")</f>
        <v>#NAME?</v>
      </c>
      <c r="P64" s="28" t="e">
        <f ca="1">[1]!BexGetData("DP_1","003N8EMH8GTFRIVOG7KG9J9VY","GSON1111300056")</f>
        <v>#NAME?</v>
      </c>
      <c r="Q64" s="24" t="e">
        <f ca="1">[1]!BexGetData("DP_1","00O2TNJGODT0G5Z4TTKYMM5MT","GSON1111300056")</f>
        <v>#NAME?</v>
      </c>
      <c r="R64" s="28" t="e">
        <f ca="1">[1]!BexGetData("DP_1","00O2TNJGODT0G5Z4TTKYMMBYD","GSON1111300056")</f>
        <v>#NAME?</v>
      </c>
      <c r="S64" s="28" t="e">
        <f ca="1">[1]!BexGetData("DP_1","00O2TNJGODT0G5Z4TTKYMMI9X","GSON1111300056")</f>
        <v>#NAME?</v>
      </c>
      <c r="T64" s="28" t="e">
        <f ca="1">[1]!BexGetData("DP_1","00O2TNJGODT0G5Z4TTKYMMOLH","GSON1111300056")</f>
        <v>#NAME?</v>
      </c>
      <c r="U64" s="28" t="e">
        <f ca="1">[1]!BexGetData("DP_1","00O2TNJGODT0G5Z4TTKYMMUX1","GSON1111300056")</f>
        <v>#NAME?</v>
      </c>
      <c r="V64" s="28" t="e">
        <f ca="1">[1]!BexGetData("DP_1","00O2TNJGODT0G5Z4TTKYMN18L","GSON1111300056")</f>
        <v>#NAME?</v>
      </c>
      <c r="W64" s="28" t="e">
        <f ca="1">[1]!BexGetData("DP_1","00O2TNJGODT0G5Z4TTKYMN7K5","GSON1111300056")</f>
        <v>#NAME?</v>
      </c>
    </row>
    <row r="65" spans="1:23" x14ac:dyDescent="0.2">
      <c r="A65" s="36" t="s">
        <v>1876</v>
      </c>
      <c r="B65" s="27" t="s">
        <v>1877</v>
      </c>
      <c r="C65" s="24" t="e">
        <f ca="1">[1]!BexGetData("DP_1","003N8EMH8GTFRCSWKMPXRR8GU","GSON1111300057")</f>
        <v>#NAME?</v>
      </c>
      <c r="D65" s="24" t="e">
        <f ca="1">[1]!BexGetData("DP_1","003N8EMH8GTFRCSWKMPXRRESE","GSON1111300057")</f>
        <v>#NAME?</v>
      </c>
      <c r="E65" s="24" t="e">
        <f ca="1">[1]!BexGetData("DP_1","003N8EMH8GTFRCSWKMPXRRL3Y","GSON1111300057")</f>
        <v>#NAME?</v>
      </c>
      <c r="F65" s="28" t="e">
        <f ca="1">[1]!BexGetData("DP_1","003N8EMH8GTFRCSWKMPXRRRFI","GSON1111300057")</f>
        <v>#NAME?</v>
      </c>
      <c r="G65" s="23" t="e">
        <f ca="1">[1]!BexGetData("DP_1","003N8EMH8GTFRCSWKMPXRRXR2","GSON1111300057")</f>
        <v>#NAME?</v>
      </c>
      <c r="H65" s="23" t="e">
        <f ca="1">[1]!BexGetData("DP_1","003N8EMH8GTFRCSWKMPXRS42M","GSON1111300057")</f>
        <v>#NAME?</v>
      </c>
      <c r="I65" s="28" t="e">
        <f ca="1">[1]!BexGetData("DP_1","003N8EMH8GTFRCSWKMPXRSAE6","GSON1111300057")</f>
        <v>#NAME?</v>
      </c>
      <c r="J65" s="24" t="e">
        <f ca="1">[1]!BexGetData("DP_1","003N8EMH8GTFRCSWKMPXRSGPQ","GSON1111300057")</f>
        <v>#NAME?</v>
      </c>
      <c r="K65" s="28" t="e">
        <f ca="1">[1]!BexGetData("DP_1","003N8EMH8GTFRIVNUPY288VJH","GSON1111300057")</f>
        <v>#NAME?</v>
      </c>
      <c r="L65" s="28" t="e">
        <f ca="1">[1]!BexGetData("DP_1","003N8EMH8GTFRIVNUPY2891V1","GSON1111300057")</f>
        <v>#NAME?</v>
      </c>
      <c r="M65" s="28" t="e">
        <f ca="1">[1]!BexGetData("DP_1","003N8EMH8GTFRIVOG7KG9IQXA","GSON1111300057")</f>
        <v>#NAME?</v>
      </c>
      <c r="N65" s="28" t="e">
        <f ca="1">[1]!BexGetData("DP_1","003N8EMH8GTFRIVOG7KG9IX8U","GSON1111300057")</f>
        <v>#NAME?</v>
      </c>
      <c r="O65" s="28" t="e">
        <f ca="1">[1]!BexGetData("DP_1","003N8EMH8GTFRIVOG7KG9J3KE","GSON1111300057")</f>
        <v>#NAME?</v>
      </c>
      <c r="P65" s="28" t="e">
        <f ca="1">[1]!BexGetData("DP_1","003N8EMH8GTFRIVOG7KG9J9VY","GSON1111300057")</f>
        <v>#NAME?</v>
      </c>
      <c r="Q65" s="24" t="e">
        <f ca="1">[1]!BexGetData("DP_1","00O2TNJGODT0G5Z4TTKYMM5MT","GSON1111300057")</f>
        <v>#NAME?</v>
      </c>
      <c r="R65" s="28" t="e">
        <f ca="1">[1]!BexGetData("DP_1","00O2TNJGODT0G5Z4TTKYMMBYD","GSON1111300057")</f>
        <v>#NAME?</v>
      </c>
      <c r="S65" s="28" t="e">
        <f ca="1">[1]!BexGetData("DP_1","00O2TNJGODT0G5Z4TTKYMMI9X","GSON1111300057")</f>
        <v>#NAME?</v>
      </c>
      <c r="T65" s="28" t="e">
        <f ca="1">[1]!BexGetData("DP_1","00O2TNJGODT0G5Z4TTKYMMOLH","GSON1111300057")</f>
        <v>#NAME?</v>
      </c>
      <c r="U65" s="28" t="e">
        <f ca="1">[1]!BexGetData("DP_1","00O2TNJGODT0G5Z4TTKYMMUX1","GSON1111300057")</f>
        <v>#NAME?</v>
      </c>
      <c r="V65" s="28" t="e">
        <f ca="1">[1]!BexGetData("DP_1","00O2TNJGODT0G5Z4TTKYMN18L","GSON1111300057")</f>
        <v>#NAME?</v>
      </c>
      <c r="W65" s="28" t="e">
        <f ca="1">[1]!BexGetData("DP_1","00O2TNJGODT0G5Z4TTKYMN7K5","GSON1111300057")</f>
        <v>#NAME?</v>
      </c>
    </row>
    <row r="66" spans="1:23" x14ac:dyDescent="0.2">
      <c r="A66" s="36" t="s">
        <v>1878</v>
      </c>
      <c r="B66" s="27" t="s">
        <v>1879</v>
      </c>
      <c r="C66" s="23" t="e">
        <f ca="1">[1]!BexGetData("DP_1","003N8EMH8GTFRCSWKMPXRR8GU","GSON1111300058")</f>
        <v>#NAME?</v>
      </c>
      <c r="D66" s="23" t="e">
        <f ca="1">[1]!BexGetData("DP_1","003N8EMH8GTFRCSWKMPXRRESE","GSON1111300058")</f>
        <v>#NAME?</v>
      </c>
      <c r="E66" s="28" t="e">
        <f ca="1">[1]!BexGetData("DP_1","003N8EMH8GTFRCSWKMPXRRL3Y","GSON1111300058")</f>
        <v>#NAME?</v>
      </c>
      <c r="F66" s="28" t="e">
        <f ca="1">[1]!BexGetData("DP_1","003N8EMH8GTFRCSWKMPXRRRFI","GSON1111300058")</f>
        <v>#NAME?</v>
      </c>
      <c r="G66" s="23" t="e">
        <f ca="1">[1]!BexGetData("DP_1","003N8EMH8GTFRCSWKMPXRRXR2","GSON1111300058")</f>
        <v>#NAME?</v>
      </c>
      <c r="H66" s="23" t="e">
        <f ca="1">[1]!BexGetData("DP_1","003N8EMH8GTFRCSWKMPXRS42M","GSON1111300058")</f>
        <v>#NAME?</v>
      </c>
      <c r="I66" s="28" t="e">
        <f ca="1">[1]!BexGetData("DP_1","003N8EMH8GTFRCSWKMPXRSAE6","GSON1111300058")</f>
        <v>#NAME?</v>
      </c>
      <c r="J66" s="24" t="e">
        <f ca="1">[1]!BexGetData("DP_1","003N8EMH8GTFRCSWKMPXRSGPQ","GSON1111300058")</f>
        <v>#NAME?</v>
      </c>
      <c r="K66" s="28" t="e">
        <f ca="1">[1]!BexGetData("DP_1","003N8EMH8GTFRIVNUPY288VJH","GSON1111300058")</f>
        <v>#NAME?</v>
      </c>
      <c r="L66" s="28" t="e">
        <f ca="1">[1]!BexGetData("DP_1","003N8EMH8GTFRIVNUPY2891V1","GSON1111300058")</f>
        <v>#NAME?</v>
      </c>
      <c r="M66" s="28" t="e">
        <f ca="1">[1]!BexGetData("DP_1","003N8EMH8GTFRIVOG7KG9IQXA","GSON1111300058")</f>
        <v>#NAME?</v>
      </c>
      <c r="N66" s="28" t="e">
        <f ca="1">[1]!BexGetData("DP_1","003N8EMH8GTFRIVOG7KG9IX8U","GSON1111300058")</f>
        <v>#NAME?</v>
      </c>
      <c r="O66" s="28" t="e">
        <f ca="1">[1]!BexGetData("DP_1","003N8EMH8GTFRIVOG7KG9J3KE","GSON1111300058")</f>
        <v>#NAME?</v>
      </c>
      <c r="P66" s="28" t="e">
        <f ca="1">[1]!BexGetData("DP_1","003N8EMH8GTFRIVOG7KG9J9VY","GSON1111300058")</f>
        <v>#NAME?</v>
      </c>
      <c r="Q66" s="24" t="e">
        <f ca="1">[1]!BexGetData("DP_1","00O2TNJGODT0G5Z4TTKYMM5MT","GSON1111300058")</f>
        <v>#NAME?</v>
      </c>
      <c r="R66" s="28" t="e">
        <f ca="1">[1]!BexGetData("DP_1","00O2TNJGODT0G5Z4TTKYMMBYD","GSON1111300058")</f>
        <v>#NAME?</v>
      </c>
      <c r="S66" s="28" t="e">
        <f ca="1">[1]!BexGetData("DP_1","00O2TNJGODT0G5Z4TTKYMMI9X","GSON1111300058")</f>
        <v>#NAME?</v>
      </c>
      <c r="T66" s="28" t="e">
        <f ca="1">[1]!BexGetData("DP_1","00O2TNJGODT0G5Z4TTKYMMOLH","GSON1111300058")</f>
        <v>#NAME?</v>
      </c>
      <c r="U66" s="28" t="e">
        <f ca="1">[1]!BexGetData("DP_1","00O2TNJGODT0G5Z4TTKYMMUX1","GSON1111300058")</f>
        <v>#NAME?</v>
      </c>
      <c r="V66" s="28" t="e">
        <f ca="1">[1]!BexGetData("DP_1","00O2TNJGODT0G5Z4TTKYMN18L","GSON1111300058")</f>
        <v>#NAME?</v>
      </c>
      <c r="W66" s="28" t="e">
        <f ca="1">[1]!BexGetData("DP_1","00O2TNJGODT0G5Z4TTKYMN7K5","GSON1111300058")</f>
        <v>#NAME?</v>
      </c>
    </row>
    <row r="67" spans="1:23" x14ac:dyDescent="0.2">
      <c r="A67" s="36" t="s">
        <v>1880</v>
      </c>
      <c r="B67" s="27" t="s">
        <v>1881</v>
      </c>
      <c r="C67" s="23" t="e">
        <f ca="1">[1]!BexGetData("DP_1","003N8EMH8GTFRCSWKMPXRR8GU","GSON1111300059")</f>
        <v>#NAME?</v>
      </c>
      <c r="D67" s="23" t="e">
        <f ca="1">[1]!BexGetData("DP_1","003N8EMH8GTFRCSWKMPXRRESE","GSON1111300059")</f>
        <v>#NAME?</v>
      </c>
      <c r="E67" s="28" t="e">
        <f ca="1">[1]!BexGetData("DP_1","003N8EMH8GTFRCSWKMPXRRL3Y","GSON1111300059")</f>
        <v>#NAME?</v>
      </c>
      <c r="F67" s="24" t="e">
        <f ca="1">[1]!BexGetData("DP_1","003N8EMH8GTFRCSWKMPXRRRFI","GSON1111300059")</f>
        <v>#NAME?</v>
      </c>
      <c r="G67" s="24" t="e">
        <f ca="1">[1]!BexGetData("DP_1","003N8EMH8GTFRCSWKMPXRRXR2","GSON1111300059")</f>
        <v>#NAME?</v>
      </c>
      <c r="H67" s="24" t="e">
        <f ca="1">[1]!BexGetData("DP_1","003N8EMH8GTFRCSWKMPXRS42M","GSON1111300059")</f>
        <v>#NAME?</v>
      </c>
      <c r="I67" s="24" t="e">
        <f ca="1">[1]!BexGetData("DP_1","003N8EMH8GTFRCSWKMPXRSAE6","GSON1111300059")</f>
        <v>#NAME?</v>
      </c>
      <c r="J67" s="24" t="e">
        <f ca="1">[1]!BexGetData("DP_1","003N8EMH8GTFRCSWKMPXRSGPQ","GSON1111300059")</f>
        <v>#NAME?</v>
      </c>
      <c r="K67" s="28" t="e">
        <f ca="1">[1]!BexGetData("DP_1","003N8EMH8GTFRIVNUPY288VJH","GSON1111300059")</f>
        <v>#NAME?</v>
      </c>
      <c r="L67" s="28" t="e">
        <f ca="1">[1]!BexGetData("DP_1","003N8EMH8GTFRIVNUPY2891V1","GSON1111300059")</f>
        <v>#NAME?</v>
      </c>
      <c r="M67" s="28" t="e">
        <f ca="1">[1]!BexGetData("DP_1","003N8EMH8GTFRIVOG7KG9IQXA","GSON1111300059")</f>
        <v>#NAME?</v>
      </c>
      <c r="N67" s="28" t="e">
        <f ca="1">[1]!BexGetData("DP_1","003N8EMH8GTFRIVOG7KG9IX8U","GSON1111300059")</f>
        <v>#NAME?</v>
      </c>
      <c r="O67" s="28" t="e">
        <f ca="1">[1]!BexGetData("DP_1","003N8EMH8GTFRIVOG7KG9J3KE","GSON1111300059")</f>
        <v>#NAME?</v>
      </c>
      <c r="P67" s="28" t="e">
        <f ca="1">[1]!BexGetData("DP_1","003N8EMH8GTFRIVOG7KG9J9VY","GSON1111300059")</f>
        <v>#NAME?</v>
      </c>
      <c r="Q67" s="24" t="e">
        <f ca="1">[1]!BexGetData("DP_1","00O2TNJGODT0G5Z4TTKYMM5MT","GSON1111300059")</f>
        <v>#NAME?</v>
      </c>
      <c r="R67" s="24" t="e">
        <f ca="1">[1]!BexGetData("DP_1","00O2TNJGODT0G5Z4TTKYMMBYD","GSON1111300059")</f>
        <v>#NAME?</v>
      </c>
      <c r="S67" s="24" t="e">
        <f ca="1">[1]!BexGetData("DP_1","00O2TNJGODT0G5Z4TTKYMMI9X","GSON1111300059")</f>
        <v>#NAME?</v>
      </c>
      <c r="T67" s="24" t="e">
        <f ca="1">[1]!BexGetData("DP_1","00O2TNJGODT0G5Z4TTKYMMOLH","GSON1111300059")</f>
        <v>#NAME?</v>
      </c>
      <c r="U67" s="24" t="e">
        <f ca="1">[1]!BexGetData("DP_1","00O2TNJGODT0G5Z4TTKYMMUX1","GSON1111300059")</f>
        <v>#NAME?</v>
      </c>
      <c r="V67" s="24" t="e">
        <f ca="1">[1]!BexGetData("DP_1","00O2TNJGODT0G5Z4TTKYMN18L","GSON1111300059")</f>
        <v>#NAME?</v>
      </c>
      <c r="W67" s="24" t="e">
        <f ca="1">[1]!BexGetData("DP_1","00O2TNJGODT0G5Z4TTKYMN7K5","GSON1111300059")</f>
        <v>#NAME?</v>
      </c>
    </row>
    <row r="68" spans="1:23" x14ac:dyDescent="0.2">
      <c r="A68" s="36" t="s">
        <v>1882</v>
      </c>
      <c r="B68" s="27" t="s">
        <v>1883</v>
      </c>
      <c r="C68" s="23" t="e">
        <f ca="1">[1]!BexGetData("DP_1","003N8EMH8GTFRCSWKMPXRR8GU","GSON1111300060")</f>
        <v>#NAME?</v>
      </c>
      <c r="D68" s="23" t="e">
        <f ca="1">[1]!BexGetData("DP_1","003N8EMH8GTFRCSWKMPXRRESE","GSON1111300060")</f>
        <v>#NAME?</v>
      </c>
      <c r="E68" s="28" t="e">
        <f ca="1">[1]!BexGetData("DP_1","003N8EMH8GTFRCSWKMPXRRL3Y","GSON1111300060")</f>
        <v>#NAME?</v>
      </c>
      <c r="F68" s="24" t="e">
        <f ca="1">[1]!BexGetData("DP_1","003N8EMH8GTFRCSWKMPXRRRFI","GSON1111300060")</f>
        <v>#NAME?</v>
      </c>
      <c r="G68" s="24" t="e">
        <f ca="1">[1]!BexGetData("DP_1","003N8EMH8GTFRCSWKMPXRRXR2","GSON1111300060")</f>
        <v>#NAME?</v>
      </c>
      <c r="H68" s="24" t="e">
        <f ca="1">[1]!BexGetData("DP_1","003N8EMH8GTFRCSWKMPXRS42M","GSON1111300060")</f>
        <v>#NAME?</v>
      </c>
      <c r="I68" s="24" t="e">
        <f ca="1">[1]!BexGetData("DP_1","003N8EMH8GTFRCSWKMPXRSAE6","GSON1111300060")</f>
        <v>#NAME?</v>
      </c>
      <c r="J68" s="24" t="e">
        <f ca="1">[1]!BexGetData("DP_1","003N8EMH8GTFRCSWKMPXRSGPQ","GSON1111300060")</f>
        <v>#NAME?</v>
      </c>
      <c r="K68" s="28" t="e">
        <f ca="1">[1]!BexGetData("DP_1","003N8EMH8GTFRIVNUPY288VJH","GSON1111300060")</f>
        <v>#NAME?</v>
      </c>
      <c r="L68" s="28" t="e">
        <f ca="1">[1]!BexGetData("DP_1","003N8EMH8GTFRIVNUPY2891V1","GSON1111300060")</f>
        <v>#NAME?</v>
      </c>
      <c r="M68" s="28" t="e">
        <f ca="1">[1]!BexGetData("DP_1","003N8EMH8GTFRIVOG7KG9IQXA","GSON1111300060")</f>
        <v>#NAME?</v>
      </c>
      <c r="N68" s="28" t="e">
        <f ca="1">[1]!BexGetData("DP_1","003N8EMH8GTFRIVOG7KG9IX8U","GSON1111300060")</f>
        <v>#NAME?</v>
      </c>
      <c r="O68" s="28" t="e">
        <f ca="1">[1]!BexGetData("DP_1","003N8EMH8GTFRIVOG7KG9J3KE","GSON1111300060")</f>
        <v>#NAME?</v>
      </c>
      <c r="P68" s="28" t="e">
        <f ca="1">[1]!BexGetData("DP_1","003N8EMH8GTFRIVOG7KG9J9VY","GSON1111300060")</f>
        <v>#NAME?</v>
      </c>
      <c r="Q68" s="24" t="e">
        <f ca="1">[1]!BexGetData("DP_1","00O2TNJGODT0G5Z4TTKYMM5MT","GSON1111300060")</f>
        <v>#NAME?</v>
      </c>
      <c r="R68" s="24" t="e">
        <f ca="1">[1]!BexGetData("DP_1","00O2TNJGODT0G5Z4TTKYMMBYD","GSON1111300060")</f>
        <v>#NAME?</v>
      </c>
      <c r="S68" s="24" t="e">
        <f ca="1">[1]!BexGetData("DP_1","00O2TNJGODT0G5Z4TTKYMMI9X","GSON1111300060")</f>
        <v>#NAME?</v>
      </c>
      <c r="T68" s="24" t="e">
        <f ca="1">[1]!BexGetData("DP_1","00O2TNJGODT0G5Z4TTKYMMOLH","GSON1111300060")</f>
        <v>#NAME?</v>
      </c>
      <c r="U68" s="24" t="e">
        <f ca="1">[1]!BexGetData("DP_1","00O2TNJGODT0G5Z4TTKYMMUX1","GSON1111300060")</f>
        <v>#NAME?</v>
      </c>
      <c r="V68" s="24" t="e">
        <f ca="1">[1]!BexGetData("DP_1","00O2TNJGODT0G5Z4TTKYMN18L","GSON1111300060")</f>
        <v>#NAME?</v>
      </c>
      <c r="W68" s="24" t="e">
        <f ca="1">[1]!BexGetData("DP_1","00O2TNJGODT0G5Z4TTKYMN7K5","GSON1111300060")</f>
        <v>#NAME?</v>
      </c>
    </row>
    <row r="69" spans="1:23" x14ac:dyDescent="0.2">
      <c r="A69" s="36" t="s">
        <v>1884</v>
      </c>
      <c r="B69" s="27" t="s">
        <v>1885</v>
      </c>
      <c r="C69" s="23" t="e">
        <f ca="1">[1]!BexGetData("DP_1","003N8EMH8GTFRCSWKMPXRR8GU","GSON1111300061")</f>
        <v>#NAME?</v>
      </c>
      <c r="D69" s="23" t="e">
        <f ca="1">[1]!BexGetData("DP_1","003N8EMH8GTFRCSWKMPXRRESE","GSON1111300061")</f>
        <v>#NAME?</v>
      </c>
      <c r="E69" s="28" t="e">
        <f ca="1">[1]!BexGetData("DP_1","003N8EMH8GTFRCSWKMPXRRL3Y","GSON1111300061")</f>
        <v>#NAME?</v>
      </c>
      <c r="F69" s="24" t="e">
        <f ca="1">[1]!BexGetData("DP_1","003N8EMH8GTFRCSWKMPXRRRFI","GSON1111300061")</f>
        <v>#NAME?</v>
      </c>
      <c r="G69" s="24" t="e">
        <f ca="1">[1]!BexGetData("DP_1","003N8EMH8GTFRCSWKMPXRRXR2","GSON1111300061")</f>
        <v>#NAME?</v>
      </c>
      <c r="H69" s="24" t="e">
        <f ca="1">[1]!BexGetData("DP_1","003N8EMH8GTFRCSWKMPXRS42M","GSON1111300061")</f>
        <v>#NAME?</v>
      </c>
      <c r="I69" s="24" t="e">
        <f ca="1">[1]!BexGetData("DP_1","003N8EMH8GTFRCSWKMPXRSAE6","GSON1111300061")</f>
        <v>#NAME?</v>
      </c>
      <c r="J69" s="24" t="e">
        <f ca="1">[1]!BexGetData("DP_1","003N8EMH8GTFRCSWKMPXRSGPQ","GSON1111300061")</f>
        <v>#NAME?</v>
      </c>
      <c r="K69" s="28" t="e">
        <f ca="1">[1]!BexGetData("DP_1","003N8EMH8GTFRIVNUPY288VJH","GSON1111300061")</f>
        <v>#NAME?</v>
      </c>
      <c r="L69" s="28" t="e">
        <f ca="1">[1]!BexGetData("DP_1","003N8EMH8GTFRIVNUPY2891V1","GSON1111300061")</f>
        <v>#NAME?</v>
      </c>
      <c r="M69" s="28" t="e">
        <f ca="1">[1]!BexGetData("DP_1","003N8EMH8GTFRIVOG7KG9IQXA","GSON1111300061")</f>
        <v>#NAME?</v>
      </c>
      <c r="N69" s="28" t="e">
        <f ca="1">[1]!BexGetData("DP_1","003N8EMH8GTFRIVOG7KG9IX8U","GSON1111300061")</f>
        <v>#NAME?</v>
      </c>
      <c r="O69" s="28" t="e">
        <f ca="1">[1]!BexGetData("DP_1","003N8EMH8GTFRIVOG7KG9J3KE","GSON1111300061")</f>
        <v>#NAME?</v>
      </c>
      <c r="P69" s="28" t="e">
        <f ca="1">[1]!BexGetData("DP_1","003N8EMH8GTFRIVOG7KG9J9VY","GSON1111300061")</f>
        <v>#NAME?</v>
      </c>
      <c r="Q69" s="24" t="e">
        <f ca="1">[1]!BexGetData("DP_1","00O2TNJGODT0G5Z4TTKYMM5MT","GSON1111300061")</f>
        <v>#NAME?</v>
      </c>
      <c r="R69" s="24" t="e">
        <f ca="1">[1]!BexGetData("DP_1","00O2TNJGODT0G5Z4TTKYMMBYD","GSON1111300061")</f>
        <v>#NAME?</v>
      </c>
      <c r="S69" s="24" t="e">
        <f ca="1">[1]!BexGetData("DP_1","00O2TNJGODT0G5Z4TTKYMMI9X","GSON1111300061")</f>
        <v>#NAME?</v>
      </c>
      <c r="T69" s="24" t="e">
        <f ca="1">[1]!BexGetData("DP_1","00O2TNJGODT0G5Z4TTKYMMOLH","GSON1111300061")</f>
        <v>#NAME?</v>
      </c>
      <c r="U69" s="24" t="e">
        <f ca="1">[1]!BexGetData("DP_1","00O2TNJGODT0G5Z4TTKYMMUX1","GSON1111300061")</f>
        <v>#NAME?</v>
      </c>
      <c r="V69" s="24" t="e">
        <f ca="1">[1]!BexGetData("DP_1","00O2TNJGODT0G5Z4TTKYMN18L","GSON1111300061")</f>
        <v>#NAME?</v>
      </c>
      <c r="W69" s="24" t="e">
        <f ca="1">[1]!BexGetData("DP_1","00O2TNJGODT0G5Z4TTKYMN7K5","GSON1111300061")</f>
        <v>#NAME?</v>
      </c>
    </row>
    <row r="70" spans="1:23" x14ac:dyDescent="0.2">
      <c r="A70" s="36" t="s">
        <v>1886</v>
      </c>
      <c r="B70" s="27" t="s">
        <v>1887</v>
      </c>
      <c r="C70" s="23" t="e">
        <f ca="1">[1]!BexGetData("DP_1","003N8EMH8GTFRCSWKMPXRR8GU","GSON1111300062")</f>
        <v>#NAME?</v>
      </c>
      <c r="D70" s="23" t="e">
        <f ca="1">[1]!BexGetData("DP_1","003N8EMH8GTFRCSWKMPXRRESE","GSON1111300062")</f>
        <v>#NAME?</v>
      </c>
      <c r="E70" s="28" t="e">
        <f ca="1">[1]!BexGetData("DP_1","003N8EMH8GTFRCSWKMPXRRL3Y","GSON1111300062")</f>
        <v>#NAME?</v>
      </c>
      <c r="F70" s="24" t="e">
        <f ca="1">[1]!BexGetData("DP_1","003N8EMH8GTFRCSWKMPXRRRFI","GSON1111300062")</f>
        <v>#NAME?</v>
      </c>
      <c r="G70" s="24" t="e">
        <f ca="1">[1]!BexGetData("DP_1","003N8EMH8GTFRCSWKMPXRRXR2","GSON1111300062")</f>
        <v>#NAME?</v>
      </c>
      <c r="H70" s="24" t="e">
        <f ca="1">[1]!BexGetData("DP_1","003N8EMH8GTFRCSWKMPXRS42M","GSON1111300062")</f>
        <v>#NAME?</v>
      </c>
      <c r="I70" s="24" t="e">
        <f ca="1">[1]!BexGetData("DP_1","003N8EMH8GTFRCSWKMPXRSAE6","GSON1111300062")</f>
        <v>#NAME?</v>
      </c>
      <c r="J70" s="24" t="e">
        <f ca="1">[1]!BexGetData("DP_1","003N8EMH8GTFRCSWKMPXRSGPQ","GSON1111300062")</f>
        <v>#NAME?</v>
      </c>
      <c r="K70" s="28" t="e">
        <f ca="1">[1]!BexGetData("DP_1","003N8EMH8GTFRIVNUPY288VJH","GSON1111300062")</f>
        <v>#NAME?</v>
      </c>
      <c r="L70" s="28" t="e">
        <f ca="1">[1]!BexGetData("DP_1","003N8EMH8GTFRIVNUPY2891V1","GSON1111300062")</f>
        <v>#NAME?</v>
      </c>
      <c r="M70" s="28" t="e">
        <f ca="1">[1]!BexGetData("DP_1","003N8EMH8GTFRIVOG7KG9IQXA","GSON1111300062")</f>
        <v>#NAME?</v>
      </c>
      <c r="N70" s="28" t="e">
        <f ca="1">[1]!BexGetData("DP_1","003N8EMH8GTFRIVOG7KG9IX8U","GSON1111300062")</f>
        <v>#NAME?</v>
      </c>
      <c r="O70" s="28" t="e">
        <f ca="1">[1]!BexGetData("DP_1","003N8EMH8GTFRIVOG7KG9J3KE","GSON1111300062")</f>
        <v>#NAME?</v>
      </c>
      <c r="P70" s="28" t="e">
        <f ca="1">[1]!BexGetData("DP_1","003N8EMH8GTFRIVOG7KG9J9VY","GSON1111300062")</f>
        <v>#NAME?</v>
      </c>
      <c r="Q70" s="24" t="e">
        <f ca="1">[1]!BexGetData("DP_1","00O2TNJGODT0G5Z4TTKYMM5MT","GSON1111300062")</f>
        <v>#NAME?</v>
      </c>
      <c r="R70" s="24" t="e">
        <f ca="1">[1]!BexGetData("DP_1","00O2TNJGODT0G5Z4TTKYMMBYD","GSON1111300062")</f>
        <v>#NAME?</v>
      </c>
      <c r="S70" s="24" t="e">
        <f ca="1">[1]!BexGetData("DP_1","00O2TNJGODT0G5Z4TTKYMMI9X","GSON1111300062")</f>
        <v>#NAME?</v>
      </c>
      <c r="T70" s="24" t="e">
        <f ca="1">[1]!BexGetData("DP_1","00O2TNJGODT0G5Z4TTKYMMOLH","GSON1111300062")</f>
        <v>#NAME?</v>
      </c>
      <c r="U70" s="24" t="e">
        <f ca="1">[1]!BexGetData("DP_1","00O2TNJGODT0G5Z4TTKYMMUX1","GSON1111300062")</f>
        <v>#NAME?</v>
      </c>
      <c r="V70" s="24" t="e">
        <f ca="1">[1]!BexGetData("DP_1","00O2TNJGODT0G5Z4TTKYMN18L","GSON1111300062")</f>
        <v>#NAME?</v>
      </c>
      <c r="W70" s="24" t="e">
        <f ca="1">[1]!BexGetData("DP_1","00O2TNJGODT0G5Z4TTKYMN7K5","GSON1111300062")</f>
        <v>#NAME?</v>
      </c>
    </row>
    <row r="71" spans="1:23" x14ac:dyDescent="0.2">
      <c r="A71" s="35" t="s">
        <v>3</v>
      </c>
      <c r="B71" s="27" t="s">
        <v>61</v>
      </c>
      <c r="C71" s="23" t="e">
        <f ca="1">[1]!BexGetData("DP_1","003N8EMH8GTFRCSWKMPXRR8GU","GSON1112")</f>
        <v>#NAME?</v>
      </c>
      <c r="D71" s="23" t="e">
        <f ca="1">[1]!BexGetData("DP_1","003N8EMH8GTFRCSWKMPXRRESE","GSON1112")</f>
        <v>#NAME?</v>
      </c>
      <c r="E71" s="23" t="e">
        <f ca="1">[1]!BexGetData("DP_1","003N8EMH8GTFRCSWKMPXRRL3Y","GSON1112")</f>
        <v>#NAME?</v>
      </c>
      <c r="F71" s="23" t="e">
        <f ca="1">[1]!BexGetData("DP_1","003N8EMH8GTFRCSWKMPXRRRFI","GSON1112")</f>
        <v>#NAME?</v>
      </c>
      <c r="G71" s="23" t="e">
        <f ca="1">[1]!BexGetData("DP_1","003N8EMH8GTFRCSWKMPXRRXR2","GSON1112")</f>
        <v>#NAME?</v>
      </c>
      <c r="H71" s="23" t="e">
        <f ca="1">[1]!BexGetData("DP_1","003N8EMH8GTFRCSWKMPXRS42M","GSON1112")</f>
        <v>#NAME?</v>
      </c>
      <c r="I71" s="23" t="e">
        <f ca="1">[1]!BexGetData("DP_1","003N8EMH8GTFRCSWKMPXRSAE6","GSON1112")</f>
        <v>#NAME?</v>
      </c>
      <c r="J71" s="23" t="e">
        <f ca="1">[1]!BexGetData("DP_1","003N8EMH8GTFRCSWKMPXRSGPQ","GSON1112")</f>
        <v>#NAME?</v>
      </c>
      <c r="K71" s="23" t="e">
        <f ca="1">[1]!BexGetData("DP_1","003N8EMH8GTFRIVNUPY288VJH","GSON1112")</f>
        <v>#NAME?</v>
      </c>
      <c r="L71" s="23" t="e">
        <f ca="1">[1]!BexGetData("DP_1","003N8EMH8GTFRIVNUPY2891V1","GSON1112")</f>
        <v>#NAME?</v>
      </c>
      <c r="M71" s="28" t="e">
        <f ca="1">[1]!BexGetData("DP_1","003N8EMH8GTFRIVOG7KG9IQXA","GSON1112")</f>
        <v>#NAME?</v>
      </c>
      <c r="N71" s="23" t="e">
        <f ca="1">[1]!BexGetData("DP_1","003N8EMH8GTFRIVOG7KG9IX8U","GSON1112")</f>
        <v>#NAME?</v>
      </c>
      <c r="O71" s="28" t="e">
        <f ca="1">[1]!BexGetData("DP_1","003N8EMH8GTFRIVOG7KG9J3KE","GSON1112")</f>
        <v>#NAME?</v>
      </c>
      <c r="P71" s="23" t="e">
        <f ca="1">[1]!BexGetData("DP_1","003N8EMH8GTFRIVOG7KG9J9VY","GSON1112")</f>
        <v>#NAME?</v>
      </c>
      <c r="Q71" s="23" t="e">
        <f ca="1">[1]!BexGetData("DP_1","00O2TNJGODT0G5Z4TTKYMM5MT","GSON1112")</f>
        <v>#NAME?</v>
      </c>
      <c r="R71" s="23" t="e">
        <f ca="1">[1]!BexGetData("DP_1","00O2TNJGODT0G5Z4TTKYMMBYD","GSON1112")</f>
        <v>#NAME?</v>
      </c>
      <c r="S71" s="23" t="e">
        <f ca="1">[1]!BexGetData("DP_1","00O2TNJGODT0G5Z4TTKYMMI9X","GSON1112")</f>
        <v>#NAME?</v>
      </c>
      <c r="T71" s="28" t="e">
        <f ca="1">[1]!BexGetData("DP_1","00O2TNJGODT0G5Z4TTKYMMOLH","GSON1112")</f>
        <v>#NAME?</v>
      </c>
      <c r="U71" s="23" t="e">
        <f ca="1">[1]!BexGetData("DP_1","00O2TNJGODT0G5Z4TTKYMMUX1","GSON1112")</f>
        <v>#NAME?</v>
      </c>
      <c r="V71" s="28" t="e">
        <f ca="1">[1]!BexGetData("DP_1","00O2TNJGODT0G5Z4TTKYMN18L","GSON1112")</f>
        <v>#NAME?</v>
      </c>
      <c r="W71" s="23" t="e">
        <f ca="1">[1]!BexGetData("DP_1","00O2TNJGODT0G5Z4TTKYMN7K5","GSON1112")</f>
        <v>#NAME?</v>
      </c>
    </row>
    <row r="72" spans="1:23" x14ac:dyDescent="0.2">
      <c r="A72" s="36" t="s">
        <v>741</v>
      </c>
      <c r="B72" s="27" t="s">
        <v>742</v>
      </c>
      <c r="C72" s="28" t="e">
        <f ca="1">[1]!BexGetData("DP_1","003N8EMH8GTFRCSWKMPXRR8GU","GSON1112010010")</f>
        <v>#NAME?</v>
      </c>
      <c r="D72" s="23" t="e">
        <f ca="1">[1]!BexGetData("DP_1","003N8EMH8GTFRCSWKMPXRRESE","GSON1112010010")</f>
        <v>#NAME?</v>
      </c>
      <c r="E72" s="23" t="e">
        <f ca="1">[1]!BexGetData("DP_1","003N8EMH8GTFRCSWKMPXRRL3Y","GSON1112010010")</f>
        <v>#NAME?</v>
      </c>
      <c r="F72" s="23" t="e">
        <f ca="1">[1]!BexGetData("DP_1","003N8EMH8GTFRCSWKMPXRRRFI","GSON1112010010")</f>
        <v>#NAME?</v>
      </c>
      <c r="G72" s="28" t="e">
        <f ca="1">[1]!BexGetData("DP_1","003N8EMH8GTFRCSWKMPXRRXR2","GSON1112010010")</f>
        <v>#NAME?</v>
      </c>
      <c r="H72" s="23" t="e">
        <f ca="1">[1]!BexGetData("DP_1","003N8EMH8GTFRCSWKMPXRS42M","GSON1112010010")</f>
        <v>#NAME?</v>
      </c>
      <c r="I72" s="23" t="e">
        <f ca="1">[1]!BexGetData("DP_1","003N8EMH8GTFRCSWKMPXRSAE6","GSON1112010010")</f>
        <v>#NAME?</v>
      </c>
      <c r="J72" s="23" t="e">
        <f ca="1">[1]!BexGetData("DP_1","003N8EMH8GTFRCSWKMPXRSGPQ","GSON1112010010")</f>
        <v>#NAME?</v>
      </c>
      <c r="K72" s="23" t="e">
        <f ca="1">[1]!BexGetData("DP_1","003N8EMH8GTFRIVNUPY288VJH","GSON1112010010")</f>
        <v>#NAME?</v>
      </c>
      <c r="L72" s="23" t="e">
        <f ca="1">[1]!BexGetData("DP_1","003N8EMH8GTFRIVNUPY2891V1","GSON1112010010")</f>
        <v>#NAME?</v>
      </c>
      <c r="M72" s="23" t="e">
        <f ca="1">[1]!BexGetData("DP_1","003N8EMH8GTFRIVOG7KG9IQXA","GSON1112010010")</f>
        <v>#NAME?</v>
      </c>
      <c r="N72" s="28" t="e">
        <f ca="1">[1]!BexGetData("DP_1","003N8EMH8GTFRIVOG7KG9IX8U","GSON1112010010")</f>
        <v>#NAME?</v>
      </c>
      <c r="O72" s="23" t="e">
        <f ca="1">[1]!BexGetData("DP_1","003N8EMH8GTFRIVOG7KG9J3KE","GSON1112010010")</f>
        <v>#NAME?</v>
      </c>
      <c r="P72" s="28" t="e">
        <f ca="1">[1]!BexGetData("DP_1","003N8EMH8GTFRIVOG7KG9J9VY","GSON1112010010")</f>
        <v>#NAME?</v>
      </c>
      <c r="Q72" s="23" t="e">
        <f ca="1">[1]!BexGetData("DP_1","00O2TNJGODT0G5Z4TTKYMM5MT","GSON1112010010")</f>
        <v>#NAME?</v>
      </c>
      <c r="R72" s="23" t="e">
        <f ca="1">[1]!BexGetData("DP_1","00O2TNJGODT0G5Z4TTKYMMBYD","GSON1112010010")</f>
        <v>#NAME?</v>
      </c>
      <c r="S72" s="23" t="e">
        <f ca="1">[1]!BexGetData("DP_1","00O2TNJGODT0G5Z4TTKYMMI9X","GSON1112010010")</f>
        <v>#NAME?</v>
      </c>
      <c r="T72" s="23" t="e">
        <f ca="1">[1]!BexGetData("DP_1","00O2TNJGODT0G5Z4TTKYMMOLH","GSON1112010010")</f>
        <v>#NAME?</v>
      </c>
      <c r="U72" s="28" t="e">
        <f ca="1">[1]!BexGetData("DP_1","00O2TNJGODT0G5Z4TTKYMMUX1","GSON1112010010")</f>
        <v>#NAME?</v>
      </c>
      <c r="V72" s="23" t="e">
        <f ca="1">[1]!BexGetData("DP_1","00O2TNJGODT0G5Z4TTKYMN18L","GSON1112010010")</f>
        <v>#NAME?</v>
      </c>
      <c r="W72" s="28" t="e">
        <f ca="1">[1]!BexGetData("DP_1","00O2TNJGODT0G5Z4TTKYMN7K5","GSON1112010010")</f>
        <v>#NAME?</v>
      </c>
    </row>
    <row r="73" spans="1:23" x14ac:dyDescent="0.2">
      <c r="A73" s="36" t="s">
        <v>412</v>
      </c>
      <c r="B73" s="27" t="s">
        <v>413</v>
      </c>
      <c r="C73" s="23" t="e">
        <f ca="1">[1]!BexGetData("DP_1","003N8EMH8GTFRCSWKMPXRR8GU","GSON1112010011")</f>
        <v>#NAME?</v>
      </c>
      <c r="D73" s="23" t="e">
        <f ca="1">[1]!BexGetData("DP_1","003N8EMH8GTFRCSWKMPXRRESE","GSON1112010011")</f>
        <v>#NAME?</v>
      </c>
      <c r="E73" s="28" t="e">
        <f ca="1">[1]!BexGetData("DP_1","003N8EMH8GTFRCSWKMPXRRL3Y","GSON1112010011")</f>
        <v>#NAME?</v>
      </c>
      <c r="F73" s="28" t="e">
        <f ca="1">[1]!BexGetData("DP_1","003N8EMH8GTFRCSWKMPXRRRFI","GSON1112010011")</f>
        <v>#NAME?</v>
      </c>
      <c r="G73" s="23" t="e">
        <f ca="1">[1]!BexGetData("DP_1","003N8EMH8GTFRCSWKMPXRRXR2","GSON1112010011")</f>
        <v>#NAME?</v>
      </c>
      <c r="H73" s="23" t="e">
        <f ca="1">[1]!BexGetData("DP_1","003N8EMH8GTFRCSWKMPXRS42M","GSON1112010011")</f>
        <v>#NAME?</v>
      </c>
      <c r="I73" s="28" t="e">
        <f ca="1">[1]!BexGetData("DP_1","003N8EMH8GTFRCSWKMPXRSAE6","GSON1112010011")</f>
        <v>#NAME?</v>
      </c>
      <c r="J73" s="24" t="e">
        <f ca="1">[1]!BexGetData("DP_1","003N8EMH8GTFRCSWKMPXRSGPQ","GSON1112010011")</f>
        <v>#NAME?</v>
      </c>
      <c r="K73" s="28" t="e">
        <f ca="1">[1]!BexGetData("DP_1","003N8EMH8GTFRIVNUPY288VJH","GSON1112010011")</f>
        <v>#NAME?</v>
      </c>
      <c r="L73" s="28" t="e">
        <f ca="1">[1]!BexGetData("DP_1","003N8EMH8GTFRIVNUPY2891V1","GSON1112010011")</f>
        <v>#NAME?</v>
      </c>
      <c r="M73" s="28" t="e">
        <f ca="1">[1]!BexGetData("DP_1","003N8EMH8GTFRIVOG7KG9IQXA","GSON1112010011")</f>
        <v>#NAME?</v>
      </c>
      <c r="N73" s="28" t="e">
        <f ca="1">[1]!BexGetData("DP_1","003N8EMH8GTFRIVOG7KG9IX8U","GSON1112010011")</f>
        <v>#NAME?</v>
      </c>
      <c r="O73" s="28" t="e">
        <f ca="1">[1]!BexGetData("DP_1","003N8EMH8GTFRIVOG7KG9J3KE","GSON1112010011")</f>
        <v>#NAME?</v>
      </c>
      <c r="P73" s="28" t="e">
        <f ca="1">[1]!BexGetData("DP_1","003N8EMH8GTFRIVOG7KG9J9VY","GSON1112010011")</f>
        <v>#NAME?</v>
      </c>
      <c r="Q73" s="24" t="e">
        <f ca="1">[1]!BexGetData("DP_1","00O2TNJGODT0G5Z4TTKYMM5MT","GSON1112010011")</f>
        <v>#NAME?</v>
      </c>
      <c r="R73" s="28" t="e">
        <f ca="1">[1]!BexGetData("DP_1","00O2TNJGODT0G5Z4TTKYMMBYD","GSON1112010011")</f>
        <v>#NAME?</v>
      </c>
      <c r="S73" s="28" t="e">
        <f ca="1">[1]!BexGetData("DP_1","00O2TNJGODT0G5Z4TTKYMMI9X","GSON1112010011")</f>
        <v>#NAME?</v>
      </c>
      <c r="T73" s="28" t="e">
        <f ca="1">[1]!BexGetData("DP_1","00O2TNJGODT0G5Z4TTKYMMOLH","GSON1112010011")</f>
        <v>#NAME?</v>
      </c>
      <c r="U73" s="28" t="e">
        <f ca="1">[1]!BexGetData("DP_1","00O2TNJGODT0G5Z4TTKYMMUX1","GSON1112010011")</f>
        <v>#NAME?</v>
      </c>
      <c r="V73" s="28" t="e">
        <f ca="1">[1]!BexGetData("DP_1","00O2TNJGODT0G5Z4TTKYMN18L","GSON1112010011")</f>
        <v>#NAME?</v>
      </c>
      <c r="W73" s="28" t="e">
        <f ca="1">[1]!BexGetData("DP_1","00O2TNJGODT0G5Z4TTKYMN7K5","GSON1112010011")</f>
        <v>#NAME?</v>
      </c>
    </row>
    <row r="74" spans="1:23" x14ac:dyDescent="0.2">
      <c r="A74" s="36" t="s">
        <v>1888</v>
      </c>
      <c r="B74" s="27" t="s">
        <v>62</v>
      </c>
      <c r="C74" s="24" t="e">
        <f ca="1">[1]!BexGetData("DP_1","003N8EMH8GTFRCSWKMPXRR8GU","GSON1112010012")</f>
        <v>#NAME?</v>
      </c>
      <c r="D74" s="24" t="e">
        <f ca="1">[1]!BexGetData("DP_1","003N8EMH8GTFRCSWKMPXRRESE","GSON1112010012")</f>
        <v>#NAME?</v>
      </c>
      <c r="E74" s="24" t="e">
        <f ca="1">[1]!BexGetData("DP_1","003N8EMH8GTFRCSWKMPXRRL3Y","GSON1112010012")</f>
        <v>#NAME?</v>
      </c>
      <c r="F74" s="28" t="e">
        <f ca="1">[1]!BexGetData("DP_1","003N8EMH8GTFRCSWKMPXRRRFI","GSON1112010012")</f>
        <v>#NAME?</v>
      </c>
      <c r="G74" s="23" t="e">
        <f ca="1">[1]!BexGetData("DP_1","003N8EMH8GTFRCSWKMPXRRXR2","GSON1112010012")</f>
        <v>#NAME?</v>
      </c>
      <c r="H74" s="23" t="e">
        <f ca="1">[1]!BexGetData("DP_1","003N8EMH8GTFRCSWKMPXRS42M","GSON1112010012")</f>
        <v>#NAME?</v>
      </c>
      <c r="I74" s="28" t="e">
        <f ca="1">[1]!BexGetData("DP_1","003N8EMH8GTFRCSWKMPXRSAE6","GSON1112010012")</f>
        <v>#NAME?</v>
      </c>
      <c r="J74" s="24" t="e">
        <f ca="1">[1]!BexGetData("DP_1","003N8EMH8GTFRCSWKMPXRSGPQ","GSON1112010012")</f>
        <v>#NAME?</v>
      </c>
      <c r="K74" s="28" t="e">
        <f ca="1">[1]!BexGetData("DP_1","003N8EMH8GTFRIVNUPY288VJH","GSON1112010012")</f>
        <v>#NAME?</v>
      </c>
      <c r="L74" s="28" t="e">
        <f ca="1">[1]!BexGetData("DP_1","003N8EMH8GTFRIVNUPY2891V1","GSON1112010012")</f>
        <v>#NAME?</v>
      </c>
      <c r="M74" s="28" t="e">
        <f ca="1">[1]!BexGetData("DP_1","003N8EMH8GTFRIVOG7KG9IQXA","GSON1112010012")</f>
        <v>#NAME?</v>
      </c>
      <c r="N74" s="28" t="e">
        <f ca="1">[1]!BexGetData("DP_1","003N8EMH8GTFRIVOG7KG9IX8U","GSON1112010012")</f>
        <v>#NAME?</v>
      </c>
      <c r="O74" s="28" t="e">
        <f ca="1">[1]!BexGetData("DP_1","003N8EMH8GTFRIVOG7KG9J3KE","GSON1112010012")</f>
        <v>#NAME?</v>
      </c>
      <c r="P74" s="28" t="e">
        <f ca="1">[1]!BexGetData("DP_1","003N8EMH8GTFRIVOG7KG9J9VY","GSON1112010012")</f>
        <v>#NAME?</v>
      </c>
      <c r="Q74" s="24" t="e">
        <f ca="1">[1]!BexGetData("DP_1","00O2TNJGODT0G5Z4TTKYMM5MT","GSON1112010012")</f>
        <v>#NAME?</v>
      </c>
      <c r="R74" s="28" t="e">
        <f ca="1">[1]!BexGetData("DP_1","00O2TNJGODT0G5Z4TTKYMMBYD","GSON1112010012")</f>
        <v>#NAME?</v>
      </c>
      <c r="S74" s="28" t="e">
        <f ca="1">[1]!BexGetData("DP_1","00O2TNJGODT0G5Z4TTKYMMI9X","GSON1112010012")</f>
        <v>#NAME?</v>
      </c>
      <c r="T74" s="28" t="e">
        <f ca="1">[1]!BexGetData("DP_1","00O2TNJGODT0G5Z4TTKYMMOLH","GSON1112010012")</f>
        <v>#NAME?</v>
      </c>
      <c r="U74" s="28" t="e">
        <f ca="1">[1]!BexGetData("DP_1","00O2TNJGODT0G5Z4TTKYMMUX1","GSON1112010012")</f>
        <v>#NAME?</v>
      </c>
      <c r="V74" s="28" t="e">
        <f ca="1">[1]!BexGetData("DP_1","00O2TNJGODT0G5Z4TTKYMN18L","GSON1112010012")</f>
        <v>#NAME?</v>
      </c>
      <c r="W74" s="28" t="e">
        <f ca="1">[1]!BexGetData("DP_1","00O2TNJGODT0G5Z4TTKYMN7K5","GSON1112010012")</f>
        <v>#NAME?</v>
      </c>
    </row>
    <row r="75" spans="1:23" x14ac:dyDescent="0.2">
      <c r="A75" s="36" t="s">
        <v>1603</v>
      </c>
      <c r="B75" s="27" t="s">
        <v>1604</v>
      </c>
      <c r="C75" s="23" t="e">
        <f ca="1">[1]!BexGetData("DP_1","003N8EMH8GTFRCSWKMPXRR8GU","GSON1112010013")</f>
        <v>#NAME?</v>
      </c>
      <c r="D75" s="23" t="e">
        <f ca="1">[1]!BexGetData("DP_1","003N8EMH8GTFRCSWKMPXRRESE","GSON1112010013")</f>
        <v>#NAME?</v>
      </c>
      <c r="E75" s="28" t="e">
        <f ca="1">[1]!BexGetData("DP_1","003N8EMH8GTFRCSWKMPXRRL3Y","GSON1112010013")</f>
        <v>#NAME?</v>
      </c>
      <c r="F75" s="24" t="e">
        <f ca="1">[1]!BexGetData("DP_1","003N8EMH8GTFRCSWKMPXRRRFI","GSON1112010013")</f>
        <v>#NAME?</v>
      </c>
      <c r="G75" s="24" t="e">
        <f ca="1">[1]!BexGetData("DP_1","003N8EMH8GTFRCSWKMPXRRXR2","GSON1112010013")</f>
        <v>#NAME?</v>
      </c>
      <c r="H75" s="24" t="e">
        <f ca="1">[1]!BexGetData("DP_1","003N8EMH8GTFRCSWKMPXRS42M","GSON1112010013")</f>
        <v>#NAME?</v>
      </c>
      <c r="I75" s="24" t="e">
        <f ca="1">[1]!BexGetData("DP_1","003N8EMH8GTFRCSWKMPXRSAE6","GSON1112010013")</f>
        <v>#NAME?</v>
      </c>
      <c r="J75" s="24" t="e">
        <f ca="1">[1]!BexGetData("DP_1","003N8EMH8GTFRCSWKMPXRSGPQ","GSON1112010013")</f>
        <v>#NAME?</v>
      </c>
      <c r="K75" s="28" t="e">
        <f ca="1">[1]!BexGetData("DP_1","003N8EMH8GTFRIVNUPY288VJH","GSON1112010013")</f>
        <v>#NAME?</v>
      </c>
      <c r="L75" s="28" t="e">
        <f ca="1">[1]!BexGetData("DP_1","003N8EMH8GTFRIVNUPY2891V1","GSON1112010013")</f>
        <v>#NAME?</v>
      </c>
      <c r="M75" s="28" t="e">
        <f ca="1">[1]!BexGetData("DP_1","003N8EMH8GTFRIVOG7KG9IQXA","GSON1112010013")</f>
        <v>#NAME?</v>
      </c>
      <c r="N75" s="28" t="e">
        <f ca="1">[1]!BexGetData("DP_1","003N8EMH8GTFRIVOG7KG9IX8U","GSON1112010013")</f>
        <v>#NAME?</v>
      </c>
      <c r="O75" s="28" t="e">
        <f ca="1">[1]!BexGetData("DP_1","003N8EMH8GTFRIVOG7KG9J3KE","GSON1112010013")</f>
        <v>#NAME?</v>
      </c>
      <c r="P75" s="28" t="e">
        <f ca="1">[1]!BexGetData("DP_1","003N8EMH8GTFRIVOG7KG9J9VY","GSON1112010013")</f>
        <v>#NAME?</v>
      </c>
      <c r="Q75" s="24" t="e">
        <f ca="1">[1]!BexGetData("DP_1","00O2TNJGODT0G5Z4TTKYMM5MT","GSON1112010013")</f>
        <v>#NAME?</v>
      </c>
      <c r="R75" s="24" t="e">
        <f ca="1">[1]!BexGetData("DP_1","00O2TNJGODT0G5Z4TTKYMMBYD","GSON1112010013")</f>
        <v>#NAME?</v>
      </c>
      <c r="S75" s="24" t="e">
        <f ca="1">[1]!BexGetData("DP_1","00O2TNJGODT0G5Z4TTKYMMI9X","GSON1112010013")</f>
        <v>#NAME?</v>
      </c>
      <c r="T75" s="24" t="e">
        <f ca="1">[1]!BexGetData("DP_1","00O2TNJGODT0G5Z4TTKYMMOLH","GSON1112010013")</f>
        <v>#NAME?</v>
      </c>
      <c r="U75" s="24" t="e">
        <f ca="1">[1]!BexGetData("DP_1","00O2TNJGODT0G5Z4TTKYMMUX1","GSON1112010013")</f>
        <v>#NAME?</v>
      </c>
      <c r="V75" s="24" t="e">
        <f ca="1">[1]!BexGetData("DP_1","00O2TNJGODT0G5Z4TTKYMN18L","GSON1112010013")</f>
        <v>#NAME?</v>
      </c>
      <c r="W75" s="24" t="e">
        <f ca="1">[1]!BexGetData("DP_1","00O2TNJGODT0G5Z4TTKYMN7K5","GSON1112010013")</f>
        <v>#NAME?</v>
      </c>
    </row>
    <row r="76" spans="1:23" x14ac:dyDescent="0.2">
      <c r="A76" s="36" t="s">
        <v>1889</v>
      </c>
      <c r="B76" s="27" t="s">
        <v>1890</v>
      </c>
      <c r="C76" s="23" t="e">
        <f ca="1">[1]!BexGetData("DP_1","003N8EMH8GTFRCSWKMPXRR8GU","GSON1112010014")</f>
        <v>#NAME?</v>
      </c>
      <c r="D76" s="23" t="e">
        <f ca="1">[1]!BexGetData("DP_1","003N8EMH8GTFRCSWKMPXRRESE","GSON1112010014")</f>
        <v>#NAME?</v>
      </c>
      <c r="E76" s="28" t="e">
        <f ca="1">[1]!BexGetData("DP_1","003N8EMH8GTFRCSWKMPXRRL3Y","GSON1112010014")</f>
        <v>#NAME?</v>
      </c>
      <c r="F76" s="28" t="e">
        <f ca="1">[1]!BexGetData("DP_1","003N8EMH8GTFRCSWKMPXRRRFI","GSON1112010014")</f>
        <v>#NAME?</v>
      </c>
      <c r="G76" s="23" t="e">
        <f ca="1">[1]!BexGetData("DP_1","003N8EMH8GTFRCSWKMPXRRXR2","GSON1112010014")</f>
        <v>#NAME?</v>
      </c>
      <c r="H76" s="23" t="e">
        <f ca="1">[1]!BexGetData("DP_1","003N8EMH8GTFRCSWKMPXRS42M","GSON1112010014")</f>
        <v>#NAME?</v>
      </c>
      <c r="I76" s="28" t="e">
        <f ca="1">[1]!BexGetData("DP_1","003N8EMH8GTFRCSWKMPXRSAE6","GSON1112010014")</f>
        <v>#NAME?</v>
      </c>
      <c r="J76" s="24" t="e">
        <f ca="1">[1]!BexGetData("DP_1","003N8EMH8GTFRCSWKMPXRSGPQ","GSON1112010014")</f>
        <v>#NAME?</v>
      </c>
      <c r="K76" s="28" t="e">
        <f ca="1">[1]!BexGetData("DP_1","003N8EMH8GTFRIVNUPY288VJH","GSON1112010014")</f>
        <v>#NAME?</v>
      </c>
      <c r="L76" s="28" t="e">
        <f ca="1">[1]!BexGetData("DP_1","003N8EMH8GTFRIVNUPY2891V1","GSON1112010014")</f>
        <v>#NAME?</v>
      </c>
      <c r="M76" s="28" t="e">
        <f ca="1">[1]!BexGetData("DP_1","003N8EMH8GTFRIVOG7KG9IQXA","GSON1112010014")</f>
        <v>#NAME?</v>
      </c>
      <c r="N76" s="28" t="e">
        <f ca="1">[1]!BexGetData("DP_1","003N8EMH8GTFRIVOG7KG9IX8U","GSON1112010014")</f>
        <v>#NAME?</v>
      </c>
      <c r="O76" s="28" t="e">
        <f ca="1">[1]!BexGetData("DP_1","003N8EMH8GTFRIVOG7KG9J3KE","GSON1112010014")</f>
        <v>#NAME?</v>
      </c>
      <c r="P76" s="28" t="e">
        <f ca="1">[1]!BexGetData("DP_1","003N8EMH8GTFRIVOG7KG9J9VY","GSON1112010014")</f>
        <v>#NAME?</v>
      </c>
      <c r="Q76" s="24" t="e">
        <f ca="1">[1]!BexGetData("DP_1","00O2TNJGODT0G5Z4TTKYMM5MT","GSON1112010014")</f>
        <v>#NAME?</v>
      </c>
      <c r="R76" s="28" t="e">
        <f ca="1">[1]!BexGetData("DP_1","00O2TNJGODT0G5Z4TTKYMMBYD","GSON1112010014")</f>
        <v>#NAME?</v>
      </c>
      <c r="S76" s="28" t="e">
        <f ca="1">[1]!BexGetData("DP_1","00O2TNJGODT0G5Z4TTKYMMI9X","GSON1112010014")</f>
        <v>#NAME?</v>
      </c>
      <c r="T76" s="28" t="e">
        <f ca="1">[1]!BexGetData("DP_1","00O2TNJGODT0G5Z4TTKYMMOLH","GSON1112010014")</f>
        <v>#NAME?</v>
      </c>
      <c r="U76" s="28" t="e">
        <f ca="1">[1]!BexGetData("DP_1","00O2TNJGODT0G5Z4TTKYMMUX1","GSON1112010014")</f>
        <v>#NAME?</v>
      </c>
      <c r="V76" s="28" t="e">
        <f ca="1">[1]!BexGetData("DP_1","00O2TNJGODT0G5Z4TTKYMN18L","GSON1112010014")</f>
        <v>#NAME?</v>
      </c>
      <c r="W76" s="28" t="e">
        <f ca="1">[1]!BexGetData("DP_1","00O2TNJGODT0G5Z4TTKYMN7K5","GSON1112010014")</f>
        <v>#NAME?</v>
      </c>
    </row>
    <row r="77" spans="1:23" x14ac:dyDescent="0.2">
      <c r="A77" s="36" t="s">
        <v>414</v>
      </c>
      <c r="B77" s="27" t="s">
        <v>415</v>
      </c>
      <c r="C77" s="28" t="e">
        <f ca="1">[1]!BexGetData("DP_1","003N8EMH8GTFRCSWKMPXRR8GU","GSON1112010020")</f>
        <v>#NAME?</v>
      </c>
      <c r="D77" s="28" t="e">
        <f ca="1">[1]!BexGetData("DP_1","003N8EMH8GTFRCSWKMPXRRESE","GSON1112010020")</f>
        <v>#NAME?</v>
      </c>
      <c r="E77" s="23" t="e">
        <f ca="1">[1]!BexGetData("DP_1","003N8EMH8GTFRCSWKMPXRRL3Y","GSON1112010020")</f>
        <v>#NAME?</v>
      </c>
      <c r="F77" s="23" t="e">
        <f ca="1">[1]!BexGetData("DP_1","003N8EMH8GTFRCSWKMPXRRRFI","GSON1112010020")</f>
        <v>#NAME?</v>
      </c>
      <c r="G77" s="28" t="e">
        <f ca="1">[1]!BexGetData("DP_1","003N8EMH8GTFRCSWKMPXRRXR2","GSON1112010020")</f>
        <v>#NAME?</v>
      </c>
      <c r="H77" s="28" t="e">
        <f ca="1">[1]!BexGetData("DP_1","003N8EMH8GTFRCSWKMPXRS42M","GSON1112010020")</f>
        <v>#NAME?</v>
      </c>
      <c r="I77" s="23" t="e">
        <f ca="1">[1]!BexGetData("DP_1","003N8EMH8GTFRCSWKMPXRSAE6","GSON1112010020")</f>
        <v>#NAME?</v>
      </c>
      <c r="J77" s="23" t="e">
        <f ca="1">[1]!BexGetData("DP_1","003N8EMH8GTFRCSWKMPXRSGPQ","GSON1112010020")</f>
        <v>#NAME?</v>
      </c>
      <c r="K77" s="28" t="e">
        <f ca="1">[1]!BexGetData("DP_1","003N8EMH8GTFRIVNUPY288VJH","GSON1112010020")</f>
        <v>#NAME?</v>
      </c>
      <c r="L77" s="28" t="e">
        <f ca="1">[1]!BexGetData("DP_1","003N8EMH8GTFRIVNUPY2891V1","GSON1112010020")</f>
        <v>#NAME?</v>
      </c>
      <c r="M77" s="28" t="e">
        <f ca="1">[1]!BexGetData("DP_1","003N8EMH8GTFRIVOG7KG9IQXA","GSON1112010020")</f>
        <v>#NAME?</v>
      </c>
      <c r="N77" s="28" t="e">
        <f ca="1">[1]!BexGetData("DP_1","003N8EMH8GTFRIVOG7KG9IX8U","GSON1112010020")</f>
        <v>#NAME?</v>
      </c>
      <c r="O77" s="28" t="e">
        <f ca="1">[1]!BexGetData("DP_1","003N8EMH8GTFRIVOG7KG9J3KE","GSON1112010020")</f>
        <v>#NAME?</v>
      </c>
      <c r="P77" s="28" t="e">
        <f ca="1">[1]!BexGetData("DP_1","003N8EMH8GTFRIVOG7KG9J9VY","GSON1112010020")</f>
        <v>#NAME?</v>
      </c>
      <c r="Q77" s="23" t="e">
        <f ca="1">[1]!BexGetData("DP_1","00O2TNJGODT0G5Z4TTKYMM5MT","GSON1112010020")</f>
        <v>#NAME?</v>
      </c>
      <c r="R77" s="28" t="e">
        <f ca="1">[1]!BexGetData("DP_1","00O2TNJGODT0G5Z4TTKYMMBYD","GSON1112010020")</f>
        <v>#NAME?</v>
      </c>
      <c r="S77" s="28" t="e">
        <f ca="1">[1]!BexGetData("DP_1","00O2TNJGODT0G5Z4TTKYMMI9X","GSON1112010020")</f>
        <v>#NAME?</v>
      </c>
      <c r="T77" s="28" t="e">
        <f ca="1">[1]!BexGetData("DP_1","00O2TNJGODT0G5Z4TTKYMMOLH","GSON1112010020")</f>
        <v>#NAME?</v>
      </c>
      <c r="U77" s="28" t="e">
        <f ca="1">[1]!BexGetData("DP_1","00O2TNJGODT0G5Z4TTKYMMUX1","GSON1112010020")</f>
        <v>#NAME?</v>
      </c>
      <c r="V77" s="28" t="e">
        <f ca="1">[1]!BexGetData("DP_1","00O2TNJGODT0G5Z4TTKYMN18L","GSON1112010020")</f>
        <v>#NAME?</v>
      </c>
      <c r="W77" s="28" t="e">
        <f ca="1">[1]!BexGetData("DP_1","00O2TNJGODT0G5Z4TTKYMN7K5","GSON1112010020")</f>
        <v>#NAME?</v>
      </c>
    </row>
    <row r="78" spans="1:23" x14ac:dyDescent="0.2">
      <c r="A78" s="36" t="s">
        <v>1605</v>
      </c>
      <c r="B78" s="27" t="s">
        <v>1606</v>
      </c>
      <c r="C78" s="28" t="e">
        <f ca="1">[1]!BexGetData("DP_1","003N8EMH8GTFRCSWKMPXRR8GU","GSON1112010021")</f>
        <v>#NAME?</v>
      </c>
      <c r="D78" s="28" t="e">
        <f ca="1">[1]!BexGetData("DP_1","003N8EMH8GTFRCSWKMPXRRESE","GSON1112010021")</f>
        <v>#NAME?</v>
      </c>
      <c r="E78" s="28" t="e">
        <f ca="1">[1]!BexGetData("DP_1","003N8EMH8GTFRCSWKMPXRRL3Y","GSON1112010021")</f>
        <v>#NAME?</v>
      </c>
      <c r="F78" s="28" t="e">
        <f ca="1">[1]!BexGetData("DP_1","003N8EMH8GTFRCSWKMPXRRRFI","GSON1112010021")</f>
        <v>#NAME?</v>
      </c>
      <c r="G78" s="23" t="e">
        <f ca="1">[1]!BexGetData("DP_1","003N8EMH8GTFRCSWKMPXRRXR2","GSON1112010021")</f>
        <v>#NAME?</v>
      </c>
      <c r="H78" s="23" t="e">
        <f ca="1">[1]!BexGetData("DP_1","003N8EMH8GTFRCSWKMPXRS42M","GSON1112010021")</f>
        <v>#NAME?</v>
      </c>
      <c r="I78" s="28" t="e">
        <f ca="1">[1]!BexGetData("DP_1","003N8EMH8GTFRCSWKMPXRSAE6","GSON1112010021")</f>
        <v>#NAME?</v>
      </c>
      <c r="J78" s="24" t="e">
        <f ca="1">[1]!BexGetData("DP_1","003N8EMH8GTFRCSWKMPXRSGPQ","GSON1112010021")</f>
        <v>#NAME?</v>
      </c>
      <c r="K78" s="28" t="e">
        <f ca="1">[1]!BexGetData("DP_1","003N8EMH8GTFRIVNUPY288VJH","GSON1112010021")</f>
        <v>#NAME?</v>
      </c>
      <c r="L78" s="28" t="e">
        <f ca="1">[1]!BexGetData("DP_1","003N8EMH8GTFRIVNUPY2891V1","GSON1112010021")</f>
        <v>#NAME?</v>
      </c>
      <c r="M78" s="28" t="e">
        <f ca="1">[1]!BexGetData("DP_1","003N8EMH8GTFRIVOG7KG9IQXA","GSON1112010021")</f>
        <v>#NAME?</v>
      </c>
      <c r="N78" s="28" t="e">
        <f ca="1">[1]!BexGetData("DP_1","003N8EMH8GTFRIVOG7KG9IX8U","GSON1112010021")</f>
        <v>#NAME?</v>
      </c>
      <c r="O78" s="28" t="e">
        <f ca="1">[1]!BexGetData("DP_1","003N8EMH8GTFRIVOG7KG9J3KE","GSON1112010021")</f>
        <v>#NAME?</v>
      </c>
      <c r="P78" s="28" t="e">
        <f ca="1">[1]!BexGetData("DP_1","003N8EMH8GTFRIVOG7KG9J9VY","GSON1112010021")</f>
        <v>#NAME?</v>
      </c>
      <c r="Q78" s="24" t="e">
        <f ca="1">[1]!BexGetData("DP_1","00O2TNJGODT0G5Z4TTKYMM5MT","GSON1112010021")</f>
        <v>#NAME?</v>
      </c>
      <c r="R78" s="28" t="e">
        <f ca="1">[1]!BexGetData("DP_1","00O2TNJGODT0G5Z4TTKYMMBYD","GSON1112010021")</f>
        <v>#NAME?</v>
      </c>
      <c r="S78" s="28" t="e">
        <f ca="1">[1]!BexGetData("DP_1","00O2TNJGODT0G5Z4TTKYMMI9X","GSON1112010021")</f>
        <v>#NAME?</v>
      </c>
      <c r="T78" s="28" t="e">
        <f ca="1">[1]!BexGetData("DP_1","00O2TNJGODT0G5Z4TTKYMMOLH","GSON1112010021")</f>
        <v>#NAME?</v>
      </c>
      <c r="U78" s="28" t="e">
        <f ca="1">[1]!BexGetData("DP_1","00O2TNJGODT0G5Z4TTKYMMUX1","GSON1112010021")</f>
        <v>#NAME?</v>
      </c>
      <c r="V78" s="28" t="e">
        <f ca="1">[1]!BexGetData("DP_1","00O2TNJGODT0G5Z4TTKYMN18L","GSON1112010021")</f>
        <v>#NAME?</v>
      </c>
      <c r="W78" s="28" t="e">
        <f ca="1">[1]!BexGetData("DP_1","00O2TNJGODT0G5Z4TTKYMN7K5","GSON1112010021")</f>
        <v>#NAME?</v>
      </c>
    </row>
    <row r="79" spans="1:23" x14ac:dyDescent="0.2">
      <c r="A79" s="36" t="s">
        <v>743</v>
      </c>
      <c r="B79" s="27" t="s">
        <v>744</v>
      </c>
      <c r="C79" s="28" t="e">
        <f ca="1">[1]!BexGetData("DP_1","003N8EMH8GTFRCSWKMPXRR8GU","GSON1112020010")</f>
        <v>#NAME?</v>
      </c>
      <c r="D79" s="28" t="e">
        <f ca="1">[1]!BexGetData("DP_1","003N8EMH8GTFRCSWKMPXRRESE","GSON1112020010")</f>
        <v>#NAME?</v>
      </c>
      <c r="E79" s="23" t="e">
        <f ca="1">[1]!BexGetData("DP_1","003N8EMH8GTFRCSWKMPXRRL3Y","GSON1112020010")</f>
        <v>#NAME?</v>
      </c>
      <c r="F79" s="23" t="e">
        <f ca="1">[1]!BexGetData("DP_1","003N8EMH8GTFRCSWKMPXRRRFI","GSON1112020010")</f>
        <v>#NAME?</v>
      </c>
      <c r="G79" s="28" t="e">
        <f ca="1">[1]!BexGetData("DP_1","003N8EMH8GTFRCSWKMPXRRXR2","GSON1112020010")</f>
        <v>#NAME?</v>
      </c>
      <c r="H79" s="28" t="e">
        <f ca="1">[1]!BexGetData("DP_1","003N8EMH8GTFRCSWKMPXRS42M","GSON1112020010")</f>
        <v>#NAME?</v>
      </c>
      <c r="I79" s="23" t="e">
        <f ca="1">[1]!BexGetData("DP_1","003N8EMH8GTFRCSWKMPXRSAE6","GSON1112020010")</f>
        <v>#NAME?</v>
      </c>
      <c r="J79" s="23" t="e">
        <f ca="1">[1]!BexGetData("DP_1","003N8EMH8GTFRCSWKMPXRSGPQ","GSON1112020010")</f>
        <v>#NAME?</v>
      </c>
      <c r="K79" s="28" t="e">
        <f ca="1">[1]!BexGetData("DP_1","003N8EMH8GTFRIVNUPY288VJH","GSON1112020010")</f>
        <v>#NAME?</v>
      </c>
      <c r="L79" s="28" t="e">
        <f ca="1">[1]!BexGetData("DP_1","003N8EMH8GTFRIVNUPY2891V1","GSON1112020010")</f>
        <v>#NAME?</v>
      </c>
      <c r="M79" s="28" t="e">
        <f ca="1">[1]!BexGetData("DP_1","003N8EMH8GTFRIVOG7KG9IQXA","GSON1112020010")</f>
        <v>#NAME?</v>
      </c>
      <c r="N79" s="28" t="e">
        <f ca="1">[1]!BexGetData("DP_1","003N8EMH8GTFRIVOG7KG9IX8U","GSON1112020010")</f>
        <v>#NAME?</v>
      </c>
      <c r="O79" s="28" t="e">
        <f ca="1">[1]!BexGetData("DP_1","003N8EMH8GTFRIVOG7KG9J3KE","GSON1112020010")</f>
        <v>#NAME?</v>
      </c>
      <c r="P79" s="28" t="e">
        <f ca="1">[1]!BexGetData("DP_1","003N8EMH8GTFRIVOG7KG9J9VY","GSON1112020010")</f>
        <v>#NAME?</v>
      </c>
      <c r="Q79" s="23" t="e">
        <f ca="1">[1]!BexGetData("DP_1","00O2TNJGODT0G5Z4TTKYMM5MT","GSON1112020010")</f>
        <v>#NAME?</v>
      </c>
      <c r="R79" s="28" t="e">
        <f ca="1">[1]!BexGetData("DP_1","00O2TNJGODT0G5Z4TTKYMMBYD","GSON1112020010")</f>
        <v>#NAME?</v>
      </c>
      <c r="S79" s="28" t="e">
        <f ca="1">[1]!BexGetData("DP_1","00O2TNJGODT0G5Z4TTKYMMI9X","GSON1112020010")</f>
        <v>#NAME?</v>
      </c>
      <c r="T79" s="28" t="e">
        <f ca="1">[1]!BexGetData("DP_1","00O2TNJGODT0G5Z4TTKYMMOLH","GSON1112020010")</f>
        <v>#NAME?</v>
      </c>
      <c r="U79" s="28" t="e">
        <f ca="1">[1]!BexGetData("DP_1","00O2TNJGODT0G5Z4TTKYMMUX1","GSON1112020010")</f>
        <v>#NAME?</v>
      </c>
      <c r="V79" s="28" t="e">
        <f ca="1">[1]!BexGetData("DP_1","00O2TNJGODT0G5Z4TTKYMN18L","GSON1112020010")</f>
        <v>#NAME?</v>
      </c>
      <c r="W79" s="28" t="e">
        <f ca="1">[1]!BexGetData("DP_1","00O2TNJGODT0G5Z4TTKYMN7K5","GSON1112020010")</f>
        <v>#NAME?</v>
      </c>
    </row>
    <row r="80" spans="1:23" x14ac:dyDescent="0.2">
      <c r="A80" s="36" t="s">
        <v>1645</v>
      </c>
      <c r="B80" s="27" t="s">
        <v>1646</v>
      </c>
      <c r="C80" s="23" t="e">
        <f ca="1">[1]!BexGetData("DP_1","003N8EMH8GTFRCSWKMPXRR8GU","GSON1112020020")</f>
        <v>#NAME?</v>
      </c>
      <c r="D80" s="23" t="e">
        <f ca="1">[1]!BexGetData("DP_1","003N8EMH8GTFRCSWKMPXRRESE","GSON1112020020")</f>
        <v>#NAME?</v>
      </c>
      <c r="E80" s="23" t="e">
        <f ca="1">[1]!BexGetData("DP_1","003N8EMH8GTFRCSWKMPXRRL3Y","GSON1112020020")</f>
        <v>#NAME?</v>
      </c>
      <c r="F80" s="23" t="e">
        <f ca="1">[1]!BexGetData("DP_1","003N8EMH8GTFRCSWKMPXRRRFI","GSON1112020020")</f>
        <v>#NAME?</v>
      </c>
      <c r="G80" s="23" t="e">
        <f ca="1">[1]!BexGetData("DP_1","003N8EMH8GTFRCSWKMPXRRXR2","GSON1112020020")</f>
        <v>#NAME?</v>
      </c>
      <c r="H80" s="23" t="e">
        <f ca="1">[1]!BexGetData("DP_1","003N8EMH8GTFRCSWKMPXRS42M","GSON1112020020")</f>
        <v>#NAME?</v>
      </c>
      <c r="I80" s="23" t="e">
        <f ca="1">[1]!BexGetData("DP_1","003N8EMH8GTFRCSWKMPXRSAE6","GSON1112020020")</f>
        <v>#NAME?</v>
      </c>
      <c r="J80" s="23" t="e">
        <f ca="1">[1]!BexGetData("DP_1","003N8EMH8GTFRCSWKMPXRSGPQ","GSON1112020020")</f>
        <v>#NAME?</v>
      </c>
      <c r="K80" s="23" t="e">
        <f ca="1">[1]!BexGetData("DP_1","003N8EMH8GTFRIVNUPY288VJH","GSON1112020020")</f>
        <v>#NAME?</v>
      </c>
      <c r="L80" s="23" t="e">
        <f ca="1">[1]!BexGetData("DP_1","003N8EMH8GTFRIVNUPY2891V1","GSON1112020020")</f>
        <v>#NAME?</v>
      </c>
      <c r="M80" s="23" t="e">
        <f ca="1">[1]!BexGetData("DP_1","003N8EMH8GTFRIVOG7KG9IQXA","GSON1112020020")</f>
        <v>#NAME?</v>
      </c>
      <c r="N80" s="28" t="e">
        <f ca="1">[1]!BexGetData("DP_1","003N8EMH8GTFRIVOG7KG9IX8U","GSON1112020020")</f>
        <v>#NAME?</v>
      </c>
      <c r="O80" s="23" t="e">
        <f ca="1">[1]!BexGetData("DP_1","003N8EMH8GTFRIVOG7KG9J3KE","GSON1112020020")</f>
        <v>#NAME?</v>
      </c>
      <c r="P80" s="28" t="e">
        <f ca="1">[1]!BexGetData("DP_1","003N8EMH8GTFRIVOG7KG9J9VY","GSON1112020020")</f>
        <v>#NAME?</v>
      </c>
      <c r="Q80" s="23" t="e">
        <f ca="1">[1]!BexGetData("DP_1","00O2TNJGODT0G5Z4TTKYMM5MT","GSON1112020020")</f>
        <v>#NAME?</v>
      </c>
      <c r="R80" s="23" t="e">
        <f ca="1">[1]!BexGetData("DP_1","00O2TNJGODT0G5Z4TTKYMMBYD","GSON1112020020")</f>
        <v>#NAME?</v>
      </c>
      <c r="S80" s="23" t="e">
        <f ca="1">[1]!BexGetData("DP_1","00O2TNJGODT0G5Z4TTKYMMI9X","GSON1112020020")</f>
        <v>#NAME?</v>
      </c>
      <c r="T80" s="28" t="e">
        <f ca="1">[1]!BexGetData("DP_1","00O2TNJGODT0G5Z4TTKYMMOLH","GSON1112020020")</f>
        <v>#NAME?</v>
      </c>
      <c r="U80" s="23" t="e">
        <f ca="1">[1]!BexGetData("DP_1","00O2TNJGODT0G5Z4TTKYMMUX1","GSON1112020020")</f>
        <v>#NAME?</v>
      </c>
      <c r="V80" s="28" t="e">
        <f ca="1">[1]!BexGetData("DP_1","00O2TNJGODT0G5Z4TTKYMN18L","GSON1112020020")</f>
        <v>#NAME?</v>
      </c>
      <c r="W80" s="23" t="e">
        <f ca="1">[1]!BexGetData("DP_1","00O2TNJGODT0G5Z4TTKYMN7K5","GSON1112020020")</f>
        <v>#NAME?</v>
      </c>
    </row>
    <row r="81" spans="1:23" x14ac:dyDescent="0.2">
      <c r="A81" s="36" t="s">
        <v>144</v>
      </c>
      <c r="B81" s="27" t="s">
        <v>145</v>
      </c>
      <c r="C81" s="23" t="e">
        <f ca="1">[1]!BexGetData("DP_1","003N8EMH8GTFRCSWKMPXRR8GU","GSON1112020021")</f>
        <v>#NAME?</v>
      </c>
      <c r="D81" s="23" t="e">
        <f ca="1">[1]!BexGetData("DP_1","003N8EMH8GTFRCSWKMPXRRESE","GSON1112020021")</f>
        <v>#NAME?</v>
      </c>
      <c r="E81" s="28" t="e">
        <f ca="1">[1]!BexGetData("DP_1","003N8EMH8GTFRCSWKMPXRRL3Y","GSON1112020021")</f>
        <v>#NAME?</v>
      </c>
      <c r="F81" s="28" t="e">
        <f ca="1">[1]!BexGetData("DP_1","003N8EMH8GTFRCSWKMPXRRRFI","GSON1112020021")</f>
        <v>#NAME?</v>
      </c>
      <c r="G81" s="23" t="e">
        <f ca="1">[1]!BexGetData("DP_1","003N8EMH8GTFRCSWKMPXRRXR2","GSON1112020021")</f>
        <v>#NAME?</v>
      </c>
      <c r="H81" s="23" t="e">
        <f ca="1">[1]!BexGetData("DP_1","003N8EMH8GTFRCSWKMPXRS42M","GSON1112020021")</f>
        <v>#NAME?</v>
      </c>
      <c r="I81" s="28" t="e">
        <f ca="1">[1]!BexGetData("DP_1","003N8EMH8GTFRCSWKMPXRSAE6","GSON1112020021")</f>
        <v>#NAME?</v>
      </c>
      <c r="J81" s="24" t="e">
        <f ca="1">[1]!BexGetData("DP_1","003N8EMH8GTFRCSWKMPXRSGPQ","GSON1112020021")</f>
        <v>#NAME?</v>
      </c>
      <c r="K81" s="28" t="e">
        <f ca="1">[1]!BexGetData("DP_1","003N8EMH8GTFRIVNUPY288VJH","GSON1112020021")</f>
        <v>#NAME?</v>
      </c>
      <c r="L81" s="28" t="e">
        <f ca="1">[1]!BexGetData("DP_1","003N8EMH8GTFRIVNUPY2891V1","GSON1112020021")</f>
        <v>#NAME?</v>
      </c>
      <c r="M81" s="28" t="e">
        <f ca="1">[1]!BexGetData("DP_1","003N8EMH8GTFRIVOG7KG9IQXA","GSON1112020021")</f>
        <v>#NAME?</v>
      </c>
      <c r="N81" s="28" t="e">
        <f ca="1">[1]!BexGetData("DP_1","003N8EMH8GTFRIVOG7KG9IX8U","GSON1112020021")</f>
        <v>#NAME?</v>
      </c>
      <c r="O81" s="28" t="e">
        <f ca="1">[1]!BexGetData("DP_1","003N8EMH8GTFRIVOG7KG9J3KE","GSON1112020021")</f>
        <v>#NAME?</v>
      </c>
      <c r="P81" s="28" t="e">
        <f ca="1">[1]!BexGetData("DP_1","003N8EMH8GTFRIVOG7KG9J9VY","GSON1112020021")</f>
        <v>#NAME?</v>
      </c>
      <c r="Q81" s="24" t="e">
        <f ca="1">[1]!BexGetData("DP_1","00O2TNJGODT0G5Z4TTKYMM5MT","GSON1112020021")</f>
        <v>#NAME?</v>
      </c>
      <c r="R81" s="28" t="e">
        <f ca="1">[1]!BexGetData("DP_1","00O2TNJGODT0G5Z4TTKYMMBYD","GSON1112020021")</f>
        <v>#NAME?</v>
      </c>
      <c r="S81" s="28" t="e">
        <f ca="1">[1]!BexGetData("DP_1","00O2TNJGODT0G5Z4TTKYMMI9X","GSON1112020021")</f>
        <v>#NAME?</v>
      </c>
      <c r="T81" s="28" t="e">
        <f ca="1">[1]!BexGetData("DP_1","00O2TNJGODT0G5Z4TTKYMMOLH","GSON1112020021")</f>
        <v>#NAME?</v>
      </c>
      <c r="U81" s="28" t="e">
        <f ca="1">[1]!BexGetData("DP_1","00O2TNJGODT0G5Z4TTKYMMUX1","GSON1112020021")</f>
        <v>#NAME?</v>
      </c>
      <c r="V81" s="28" t="e">
        <f ca="1">[1]!BexGetData("DP_1","00O2TNJGODT0G5Z4TTKYMN18L","GSON1112020021")</f>
        <v>#NAME?</v>
      </c>
      <c r="W81" s="28" t="e">
        <f ca="1">[1]!BexGetData("DP_1","00O2TNJGODT0G5Z4TTKYMN7K5","GSON1112020021")</f>
        <v>#NAME?</v>
      </c>
    </row>
    <row r="82" spans="1:23" x14ac:dyDescent="0.2">
      <c r="A82" s="36" t="s">
        <v>1891</v>
      </c>
      <c r="B82" s="27" t="s">
        <v>1647</v>
      </c>
      <c r="C82" s="23" t="e">
        <f ca="1">[1]!BexGetData("DP_1","003N8EMH8GTFRCSWKMPXRR8GU","GSON1112020024")</f>
        <v>#NAME?</v>
      </c>
      <c r="D82" s="23" t="e">
        <f ca="1">[1]!BexGetData("DP_1","003N8EMH8GTFRCSWKMPXRRESE","GSON1112020024")</f>
        <v>#NAME?</v>
      </c>
      <c r="E82" s="28" t="e">
        <f ca="1">[1]!BexGetData("DP_1","003N8EMH8GTFRCSWKMPXRRL3Y","GSON1112020024")</f>
        <v>#NAME?</v>
      </c>
      <c r="F82" s="28" t="e">
        <f ca="1">[1]!BexGetData("DP_1","003N8EMH8GTFRCSWKMPXRRRFI","GSON1112020024")</f>
        <v>#NAME?</v>
      </c>
      <c r="G82" s="23" t="e">
        <f ca="1">[1]!BexGetData("DP_1","003N8EMH8GTFRCSWKMPXRRXR2","GSON1112020024")</f>
        <v>#NAME?</v>
      </c>
      <c r="H82" s="23" t="e">
        <f ca="1">[1]!BexGetData("DP_1","003N8EMH8GTFRCSWKMPXRS42M","GSON1112020024")</f>
        <v>#NAME?</v>
      </c>
      <c r="I82" s="28" t="e">
        <f ca="1">[1]!BexGetData("DP_1","003N8EMH8GTFRCSWKMPXRSAE6","GSON1112020024")</f>
        <v>#NAME?</v>
      </c>
      <c r="J82" s="24" t="e">
        <f ca="1">[1]!BexGetData("DP_1","003N8EMH8GTFRCSWKMPXRSGPQ","GSON1112020024")</f>
        <v>#NAME?</v>
      </c>
      <c r="K82" s="28" t="e">
        <f ca="1">[1]!BexGetData("DP_1","003N8EMH8GTFRIVNUPY288VJH","GSON1112020024")</f>
        <v>#NAME?</v>
      </c>
      <c r="L82" s="28" t="e">
        <f ca="1">[1]!BexGetData("DP_1","003N8EMH8GTFRIVNUPY2891V1","GSON1112020024")</f>
        <v>#NAME?</v>
      </c>
      <c r="M82" s="28" t="e">
        <f ca="1">[1]!BexGetData("DP_1","003N8EMH8GTFRIVOG7KG9IQXA","GSON1112020024")</f>
        <v>#NAME?</v>
      </c>
      <c r="N82" s="28" t="e">
        <f ca="1">[1]!BexGetData("DP_1","003N8EMH8GTFRIVOG7KG9IX8U","GSON1112020024")</f>
        <v>#NAME?</v>
      </c>
      <c r="O82" s="28" t="e">
        <f ca="1">[1]!BexGetData("DP_1","003N8EMH8GTFRIVOG7KG9J3KE","GSON1112020024")</f>
        <v>#NAME?</v>
      </c>
      <c r="P82" s="28" t="e">
        <f ca="1">[1]!BexGetData("DP_1","003N8EMH8GTFRIVOG7KG9J9VY","GSON1112020024")</f>
        <v>#NAME?</v>
      </c>
      <c r="Q82" s="24" t="e">
        <f ca="1">[1]!BexGetData("DP_1","00O2TNJGODT0G5Z4TTKYMM5MT","GSON1112020024")</f>
        <v>#NAME?</v>
      </c>
      <c r="R82" s="28" t="e">
        <f ca="1">[1]!BexGetData("DP_1","00O2TNJGODT0G5Z4TTKYMMBYD","GSON1112020024")</f>
        <v>#NAME?</v>
      </c>
      <c r="S82" s="28" t="e">
        <f ca="1">[1]!BexGetData("DP_1","00O2TNJGODT0G5Z4TTKYMMI9X","GSON1112020024")</f>
        <v>#NAME?</v>
      </c>
      <c r="T82" s="28" t="e">
        <f ca="1">[1]!BexGetData("DP_1","00O2TNJGODT0G5Z4TTKYMMOLH","GSON1112020024")</f>
        <v>#NAME?</v>
      </c>
      <c r="U82" s="28" t="e">
        <f ca="1">[1]!BexGetData("DP_1","00O2TNJGODT0G5Z4TTKYMMUX1","GSON1112020024")</f>
        <v>#NAME?</v>
      </c>
      <c r="V82" s="28" t="e">
        <f ca="1">[1]!BexGetData("DP_1","00O2TNJGODT0G5Z4TTKYMN18L","GSON1112020024")</f>
        <v>#NAME?</v>
      </c>
      <c r="W82" s="28" t="e">
        <f ca="1">[1]!BexGetData("DP_1","00O2TNJGODT0G5Z4TTKYMN7K5","GSON1112020024")</f>
        <v>#NAME?</v>
      </c>
    </row>
    <row r="83" spans="1:23" x14ac:dyDescent="0.2">
      <c r="A83" s="36" t="s">
        <v>1648</v>
      </c>
      <c r="B83" s="27" t="s">
        <v>1649</v>
      </c>
      <c r="C83" s="24" t="e">
        <f ca="1">[1]!BexGetData("DP_1","003N8EMH8GTFRCSWKMPXRR8GU","GSON1112020025")</f>
        <v>#NAME?</v>
      </c>
      <c r="D83" s="24" t="e">
        <f ca="1">[1]!BexGetData("DP_1","003N8EMH8GTFRCSWKMPXRRESE","GSON1112020025")</f>
        <v>#NAME?</v>
      </c>
      <c r="E83" s="24" t="e">
        <f ca="1">[1]!BexGetData("DP_1","003N8EMH8GTFRCSWKMPXRRL3Y","GSON1112020025")</f>
        <v>#NAME?</v>
      </c>
      <c r="F83" s="28" t="e">
        <f ca="1">[1]!BexGetData("DP_1","003N8EMH8GTFRCSWKMPXRRRFI","GSON1112020025")</f>
        <v>#NAME?</v>
      </c>
      <c r="G83" s="23" t="e">
        <f ca="1">[1]!BexGetData("DP_1","003N8EMH8GTFRCSWKMPXRRXR2","GSON1112020025")</f>
        <v>#NAME?</v>
      </c>
      <c r="H83" s="23" t="e">
        <f ca="1">[1]!BexGetData("DP_1","003N8EMH8GTFRCSWKMPXRS42M","GSON1112020025")</f>
        <v>#NAME?</v>
      </c>
      <c r="I83" s="28" t="e">
        <f ca="1">[1]!BexGetData("DP_1","003N8EMH8GTFRCSWKMPXRSAE6","GSON1112020025")</f>
        <v>#NAME?</v>
      </c>
      <c r="J83" s="24" t="e">
        <f ca="1">[1]!BexGetData("DP_1","003N8EMH8GTFRCSWKMPXRSGPQ","GSON1112020025")</f>
        <v>#NAME?</v>
      </c>
      <c r="K83" s="28" t="e">
        <f ca="1">[1]!BexGetData("DP_1","003N8EMH8GTFRIVNUPY288VJH","GSON1112020025")</f>
        <v>#NAME?</v>
      </c>
      <c r="L83" s="28" t="e">
        <f ca="1">[1]!BexGetData("DP_1","003N8EMH8GTFRIVNUPY2891V1","GSON1112020025")</f>
        <v>#NAME?</v>
      </c>
      <c r="M83" s="28" t="e">
        <f ca="1">[1]!BexGetData("DP_1","003N8EMH8GTFRIVOG7KG9IQXA","GSON1112020025")</f>
        <v>#NAME?</v>
      </c>
      <c r="N83" s="28" t="e">
        <f ca="1">[1]!BexGetData("DP_1","003N8EMH8GTFRIVOG7KG9IX8U","GSON1112020025")</f>
        <v>#NAME?</v>
      </c>
      <c r="O83" s="28" t="e">
        <f ca="1">[1]!BexGetData("DP_1","003N8EMH8GTFRIVOG7KG9J3KE","GSON1112020025")</f>
        <v>#NAME?</v>
      </c>
      <c r="P83" s="28" t="e">
        <f ca="1">[1]!BexGetData("DP_1","003N8EMH8GTFRIVOG7KG9J9VY","GSON1112020025")</f>
        <v>#NAME?</v>
      </c>
      <c r="Q83" s="24" t="e">
        <f ca="1">[1]!BexGetData("DP_1","00O2TNJGODT0G5Z4TTKYMM5MT","GSON1112020025")</f>
        <v>#NAME?</v>
      </c>
      <c r="R83" s="28" t="e">
        <f ca="1">[1]!BexGetData("DP_1","00O2TNJGODT0G5Z4TTKYMMBYD","GSON1112020025")</f>
        <v>#NAME?</v>
      </c>
      <c r="S83" s="28" t="e">
        <f ca="1">[1]!BexGetData("DP_1","00O2TNJGODT0G5Z4TTKYMMI9X","GSON1112020025")</f>
        <v>#NAME?</v>
      </c>
      <c r="T83" s="28" t="e">
        <f ca="1">[1]!BexGetData("DP_1","00O2TNJGODT0G5Z4TTKYMMOLH","GSON1112020025")</f>
        <v>#NAME?</v>
      </c>
      <c r="U83" s="28" t="e">
        <f ca="1">[1]!BexGetData("DP_1","00O2TNJGODT0G5Z4TTKYMMUX1","GSON1112020025")</f>
        <v>#NAME?</v>
      </c>
      <c r="V83" s="28" t="e">
        <f ca="1">[1]!BexGetData("DP_1","00O2TNJGODT0G5Z4TTKYMN18L","GSON1112020025")</f>
        <v>#NAME?</v>
      </c>
      <c r="W83" s="28" t="e">
        <f ca="1">[1]!BexGetData("DP_1","00O2TNJGODT0G5Z4TTKYMN7K5","GSON1112020025")</f>
        <v>#NAME?</v>
      </c>
    </row>
    <row r="84" spans="1:23" x14ac:dyDescent="0.2">
      <c r="A84" s="36" t="s">
        <v>745</v>
      </c>
      <c r="B84" s="27" t="s">
        <v>746</v>
      </c>
      <c r="C84" s="28" t="e">
        <f ca="1">[1]!BexGetData("DP_1","003N8EMH8GTFRCSWKMPXRR8GU","GSON1112020030")</f>
        <v>#NAME?</v>
      </c>
      <c r="D84" s="28" t="e">
        <f ca="1">[1]!BexGetData("DP_1","003N8EMH8GTFRCSWKMPXRRESE","GSON1112020030")</f>
        <v>#NAME?</v>
      </c>
      <c r="E84" s="28" t="e">
        <f ca="1">[1]!BexGetData("DP_1","003N8EMH8GTFRCSWKMPXRRL3Y","GSON1112020030")</f>
        <v>#NAME?</v>
      </c>
      <c r="F84" s="28" t="e">
        <f ca="1">[1]!BexGetData("DP_1","003N8EMH8GTFRCSWKMPXRRRFI","GSON1112020030")</f>
        <v>#NAME?</v>
      </c>
      <c r="G84" s="23" t="e">
        <f ca="1">[1]!BexGetData("DP_1","003N8EMH8GTFRCSWKMPXRRXR2","GSON1112020030")</f>
        <v>#NAME?</v>
      </c>
      <c r="H84" s="23" t="e">
        <f ca="1">[1]!BexGetData("DP_1","003N8EMH8GTFRCSWKMPXRS42M","GSON1112020030")</f>
        <v>#NAME?</v>
      </c>
      <c r="I84" s="28" t="e">
        <f ca="1">[1]!BexGetData("DP_1","003N8EMH8GTFRCSWKMPXRSAE6","GSON1112020030")</f>
        <v>#NAME?</v>
      </c>
      <c r="J84" s="23" t="e">
        <f ca="1">[1]!BexGetData("DP_1","003N8EMH8GTFRCSWKMPXRSGPQ","GSON1112020030")</f>
        <v>#NAME?</v>
      </c>
      <c r="K84" s="28" t="e">
        <f ca="1">[1]!BexGetData("DP_1","003N8EMH8GTFRIVNUPY288VJH","GSON1112020030")</f>
        <v>#NAME?</v>
      </c>
      <c r="L84" s="28" t="e">
        <f ca="1">[1]!BexGetData("DP_1","003N8EMH8GTFRIVNUPY2891V1","GSON1112020030")</f>
        <v>#NAME?</v>
      </c>
      <c r="M84" s="28" t="e">
        <f ca="1">[1]!BexGetData("DP_1","003N8EMH8GTFRIVOG7KG9IQXA","GSON1112020030")</f>
        <v>#NAME?</v>
      </c>
      <c r="N84" s="28" t="e">
        <f ca="1">[1]!BexGetData("DP_1","003N8EMH8GTFRIVOG7KG9IX8U","GSON1112020030")</f>
        <v>#NAME?</v>
      </c>
      <c r="O84" s="28" t="e">
        <f ca="1">[1]!BexGetData("DP_1","003N8EMH8GTFRIVOG7KG9J3KE","GSON1112020030")</f>
        <v>#NAME?</v>
      </c>
      <c r="P84" s="28" t="e">
        <f ca="1">[1]!BexGetData("DP_1","003N8EMH8GTFRIVOG7KG9J9VY","GSON1112020030")</f>
        <v>#NAME?</v>
      </c>
      <c r="Q84" s="23" t="e">
        <f ca="1">[1]!BexGetData("DP_1","00O2TNJGODT0G5Z4TTKYMM5MT","GSON1112020030")</f>
        <v>#NAME?</v>
      </c>
      <c r="R84" s="23" t="e">
        <f ca="1">[1]!BexGetData("DP_1","00O2TNJGODT0G5Z4TTKYMMBYD","GSON1112020030")</f>
        <v>#NAME?</v>
      </c>
      <c r="S84" s="23" t="e">
        <f ca="1">[1]!BexGetData("DP_1","00O2TNJGODT0G5Z4TTKYMMI9X","GSON1112020030")</f>
        <v>#NAME?</v>
      </c>
      <c r="T84" s="23" t="e">
        <f ca="1">[1]!BexGetData("DP_1","00O2TNJGODT0G5Z4TTKYMMOLH","GSON1112020030")</f>
        <v>#NAME?</v>
      </c>
      <c r="U84" s="28" t="e">
        <f ca="1">[1]!BexGetData("DP_1","00O2TNJGODT0G5Z4TTKYMMUX1","GSON1112020030")</f>
        <v>#NAME?</v>
      </c>
      <c r="V84" s="23" t="e">
        <f ca="1">[1]!BexGetData("DP_1","00O2TNJGODT0G5Z4TTKYMN18L","GSON1112020030")</f>
        <v>#NAME?</v>
      </c>
      <c r="W84" s="28" t="e">
        <f ca="1">[1]!BexGetData("DP_1","00O2TNJGODT0G5Z4TTKYMN7K5","GSON1112020030")</f>
        <v>#NAME?</v>
      </c>
    </row>
    <row r="85" spans="1:23" x14ac:dyDescent="0.2">
      <c r="A85" s="36" t="s">
        <v>747</v>
      </c>
      <c r="B85" s="27" t="s">
        <v>748</v>
      </c>
      <c r="C85" s="24" t="e">
        <f ca="1">[1]!BexGetData("DP_1","003N8EMH8GTFRCSWKMPXRR8GU","GSON1112020031")</f>
        <v>#NAME?</v>
      </c>
      <c r="D85" s="24" t="e">
        <f ca="1">[1]!BexGetData("DP_1","003N8EMH8GTFRCSWKMPXRRESE","GSON1112020031")</f>
        <v>#NAME?</v>
      </c>
      <c r="E85" s="24" t="e">
        <f ca="1">[1]!BexGetData("DP_1","003N8EMH8GTFRCSWKMPXRRL3Y","GSON1112020031")</f>
        <v>#NAME?</v>
      </c>
      <c r="F85" s="28" t="e">
        <f ca="1">[1]!BexGetData("DP_1","003N8EMH8GTFRCSWKMPXRRRFI","GSON1112020031")</f>
        <v>#NAME?</v>
      </c>
      <c r="G85" s="23" t="e">
        <f ca="1">[1]!BexGetData("DP_1","003N8EMH8GTFRCSWKMPXRRXR2","GSON1112020031")</f>
        <v>#NAME?</v>
      </c>
      <c r="H85" s="23" t="e">
        <f ca="1">[1]!BexGetData("DP_1","003N8EMH8GTFRCSWKMPXRS42M","GSON1112020031")</f>
        <v>#NAME?</v>
      </c>
      <c r="I85" s="28" t="e">
        <f ca="1">[1]!BexGetData("DP_1","003N8EMH8GTFRCSWKMPXRSAE6","GSON1112020031")</f>
        <v>#NAME?</v>
      </c>
      <c r="J85" s="24" t="e">
        <f ca="1">[1]!BexGetData("DP_1","003N8EMH8GTFRCSWKMPXRSGPQ","GSON1112020031")</f>
        <v>#NAME?</v>
      </c>
      <c r="K85" s="28" t="e">
        <f ca="1">[1]!BexGetData("DP_1","003N8EMH8GTFRIVNUPY288VJH","GSON1112020031")</f>
        <v>#NAME?</v>
      </c>
      <c r="L85" s="28" t="e">
        <f ca="1">[1]!BexGetData("DP_1","003N8EMH8GTFRIVNUPY2891V1","GSON1112020031")</f>
        <v>#NAME?</v>
      </c>
      <c r="M85" s="28" t="e">
        <f ca="1">[1]!BexGetData("DP_1","003N8EMH8GTFRIVOG7KG9IQXA","GSON1112020031")</f>
        <v>#NAME?</v>
      </c>
      <c r="N85" s="28" t="e">
        <f ca="1">[1]!BexGetData("DP_1","003N8EMH8GTFRIVOG7KG9IX8U","GSON1112020031")</f>
        <v>#NAME?</v>
      </c>
      <c r="O85" s="28" t="e">
        <f ca="1">[1]!BexGetData("DP_1","003N8EMH8GTFRIVOG7KG9J3KE","GSON1112020031")</f>
        <v>#NAME?</v>
      </c>
      <c r="P85" s="28" t="e">
        <f ca="1">[1]!BexGetData("DP_1","003N8EMH8GTFRIVOG7KG9J9VY","GSON1112020031")</f>
        <v>#NAME?</v>
      </c>
      <c r="Q85" s="24" t="e">
        <f ca="1">[1]!BexGetData("DP_1","00O2TNJGODT0G5Z4TTKYMM5MT","GSON1112020031")</f>
        <v>#NAME?</v>
      </c>
      <c r="R85" s="28" t="e">
        <f ca="1">[1]!BexGetData("DP_1","00O2TNJGODT0G5Z4TTKYMMBYD","GSON1112020031")</f>
        <v>#NAME?</v>
      </c>
      <c r="S85" s="28" t="e">
        <f ca="1">[1]!BexGetData("DP_1","00O2TNJGODT0G5Z4TTKYMMI9X","GSON1112020031")</f>
        <v>#NAME?</v>
      </c>
      <c r="T85" s="28" t="e">
        <f ca="1">[1]!BexGetData("DP_1","00O2TNJGODT0G5Z4TTKYMMOLH","GSON1112020031")</f>
        <v>#NAME?</v>
      </c>
      <c r="U85" s="28" t="e">
        <f ca="1">[1]!BexGetData("DP_1","00O2TNJGODT0G5Z4TTKYMMUX1","GSON1112020031")</f>
        <v>#NAME?</v>
      </c>
      <c r="V85" s="28" t="e">
        <f ca="1">[1]!BexGetData("DP_1","00O2TNJGODT0G5Z4TTKYMN18L","GSON1112020031")</f>
        <v>#NAME?</v>
      </c>
      <c r="W85" s="28" t="e">
        <f ca="1">[1]!BexGetData("DP_1","00O2TNJGODT0G5Z4TTKYMN7K5","GSON1112020031")</f>
        <v>#NAME?</v>
      </c>
    </row>
    <row r="86" spans="1:23" x14ac:dyDescent="0.2">
      <c r="A86" s="36" t="s">
        <v>1892</v>
      </c>
      <c r="B86" s="27" t="s">
        <v>749</v>
      </c>
      <c r="C86" s="24" t="e">
        <f ca="1">[1]!BexGetData("DP_1","003N8EMH8GTFRCSWKMPXRR8GU","GSON1112020032")</f>
        <v>#NAME?</v>
      </c>
      <c r="D86" s="24" t="e">
        <f ca="1">[1]!BexGetData("DP_1","003N8EMH8GTFRCSWKMPXRRESE","GSON1112020032")</f>
        <v>#NAME?</v>
      </c>
      <c r="E86" s="24" t="e">
        <f ca="1">[1]!BexGetData("DP_1","003N8EMH8GTFRCSWKMPXRRL3Y","GSON1112020032")</f>
        <v>#NAME?</v>
      </c>
      <c r="F86" s="28" t="e">
        <f ca="1">[1]!BexGetData("DP_1","003N8EMH8GTFRCSWKMPXRRRFI","GSON1112020032")</f>
        <v>#NAME?</v>
      </c>
      <c r="G86" s="23" t="e">
        <f ca="1">[1]!BexGetData("DP_1","003N8EMH8GTFRCSWKMPXRRXR2","GSON1112020032")</f>
        <v>#NAME?</v>
      </c>
      <c r="H86" s="23" t="e">
        <f ca="1">[1]!BexGetData("DP_1","003N8EMH8GTFRCSWKMPXRS42M","GSON1112020032")</f>
        <v>#NAME?</v>
      </c>
      <c r="I86" s="28" t="e">
        <f ca="1">[1]!BexGetData("DP_1","003N8EMH8GTFRCSWKMPXRSAE6","GSON1112020032")</f>
        <v>#NAME?</v>
      </c>
      <c r="J86" s="23" t="e">
        <f ca="1">[1]!BexGetData("DP_1","003N8EMH8GTFRCSWKMPXRSGPQ","GSON1112020032")</f>
        <v>#NAME?</v>
      </c>
      <c r="K86" s="28" t="e">
        <f ca="1">[1]!BexGetData("DP_1","003N8EMH8GTFRIVNUPY288VJH","GSON1112020032")</f>
        <v>#NAME?</v>
      </c>
      <c r="L86" s="28" t="e">
        <f ca="1">[1]!BexGetData("DP_1","003N8EMH8GTFRIVNUPY2891V1","GSON1112020032")</f>
        <v>#NAME?</v>
      </c>
      <c r="M86" s="28" t="e">
        <f ca="1">[1]!BexGetData("DP_1","003N8EMH8GTFRIVOG7KG9IQXA","GSON1112020032")</f>
        <v>#NAME?</v>
      </c>
      <c r="N86" s="28" t="e">
        <f ca="1">[1]!BexGetData("DP_1","003N8EMH8GTFRIVOG7KG9IX8U","GSON1112020032")</f>
        <v>#NAME?</v>
      </c>
      <c r="O86" s="28" t="e">
        <f ca="1">[1]!BexGetData("DP_1","003N8EMH8GTFRIVOG7KG9J3KE","GSON1112020032")</f>
        <v>#NAME?</v>
      </c>
      <c r="P86" s="28" t="e">
        <f ca="1">[1]!BexGetData("DP_1","003N8EMH8GTFRIVOG7KG9J9VY","GSON1112020032")</f>
        <v>#NAME?</v>
      </c>
      <c r="Q86" s="23" t="e">
        <f ca="1">[1]!BexGetData("DP_1","00O2TNJGODT0G5Z4TTKYMM5MT","GSON1112020032")</f>
        <v>#NAME?</v>
      </c>
      <c r="R86" s="23" t="e">
        <f ca="1">[1]!BexGetData("DP_1","00O2TNJGODT0G5Z4TTKYMMBYD","GSON1112020032")</f>
        <v>#NAME?</v>
      </c>
      <c r="S86" s="23" t="e">
        <f ca="1">[1]!BexGetData("DP_1","00O2TNJGODT0G5Z4TTKYMMI9X","GSON1112020032")</f>
        <v>#NAME?</v>
      </c>
      <c r="T86" s="28" t="e">
        <f ca="1">[1]!BexGetData("DP_1","00O2TNJGODT0G5Z4TTKYMMOLH","GSON1112020032")</f>
        <v>#NAME?</v>
      </c>
      <c r="U86" s="23" t="e">
        <f ca="1">[1]!BexGetData("DP_1","00O2TNJGODT0G5Z4TTKYMMUX1","GSON1112020032")</f>
        <v>#NAME?</v>
      </c>
      <c r="V86" s="28" t="e">
        <f ca="1">[1]!BexGetData("DP_1","00O2TNJGODT0G5Z4TTKYMN18L","GSON1112020032")</f>
        <v>#NAME?</v>
      </c>
      <c r="W86" s="23" t="e">
        <f ca="1">[1]!BexGetData("DP_1","00O2TNJGODT0G5Z4TTKYMN7K5","GSON1112020032")</f>
        <v>#NAME?</v>
      </c>
    </row>
    <row r="87" spans="1:23" x14ac:dyDescent="0.2">
      <c r="A87" s="36" t="s">
        <v>750</v>
      </c>
      <c r="B87" s="27" t="s">
        <v>751</v>
      </c>
      <c r="C87" s="24" t="e">
        <f ca="1">[1]!BexGetData("DP_1","003N8EMH8GTFRCSWKMPXRR8GU","GSON1112020033")</f>
        <v>#NAME?</v>
      </c>
      <c r="D87" s="24" t="e">
        <f ca="1">[1]!BexGetData("DP_1","003N8EMH8GTFRCSWKMPXRRESE","GSON1112020033")</f>
        <v>#NAME?</v>
      </c>
      <c r="E87" s="24" t="e">
        <f ca="1">[1]!BexGetData("DP_1","003N8EMH8GTFRCSWKMPXRRL3Y","GSON1112020033")</f>
        <v>#NAME?</v>
      </c>
      <c r="F87" s="28" t="e">
        <f ca="1">[1]!BexGetData("DP_1","003N8EMH8GTFRCSWKMPXRRRFI","GSON1112020033")</f>
        <v>#NAME?</v>
      </c>
      <c r="G87" s="23" t="e">
        <f ca="1">[1]!BexGetData("DP_1","003N8EMH8GTFRCSWKMPXRRXR2","GSON1112020033")</f>
        <v>#NAME?</v>
      </c>
      <c r="H87" s="23" t="e">
        <f ca="1">[1]!BexGetData("DP_1","003N8EMH8GTFRCSWKMPXRS42M","GSON1112020033")</f>
        <v>#NAME?</v>
      </c>
      <c r="I87" s="28" t="e">
        <f ca="1">[1]!BexGetData("DP_1","003N8EMH8GTFRCSWKMPXRSAE6","GSON1112020033")</f>
        <v>#NAME?</v>
      </c>
      <c r="J87" s="24" t="e">
        <f ca="1">[1]!BexGetData("DP_1","003N8EMH8GTFRCSWKMPXRSGPQ","GSON1112020033")</f>
        <v>#NAME?</v>
      </c>
      <c r="K87" s="28" t="e">
        <f ca="1">[1]!BexGetData("DP_1","003N8EMH8GTFRIVNUPY288VJH","GSON1112020033")</f>
        <v>#NAME?</v>
      </c>
      <c r="L87" s="28" t="e">
        <f ca="1">[1]!BexGetData("DP_1","003N8EMH8GTFRIVNUPY2891V1","GSON1112020033")</f>
        <v>#NAME?</v>
      </c>
      <c r="M87" s="28" t="e">
        <f ca="1">[1]!BexGetData("DP_1","003N8EMH8GTFRIVOG7KG9IQXA","GSON1112020033")</f>
        <v>#NAME?</v>
      </c>
      <c r="N87" s="28" t="e">
        <f ca="1">[1]!BexGetData("DP_1","003N8EMH8GTFRIVOG7KG9IX8U","GSON1112020033")</f>
        <v>#NAME?</v>
      </c>
      <c r="O87" s="28" t="e">
        <f ca="1">[1]!BexGetData("DP_1","003N8EMH8GTFRIVOG7KG9J3KE","GSON1112020033")</f>
        <v>#NAME?</v>
      </c>
      <c r="P87" s="28" t="e">
        <f ca="1">[1]!BexGetData("DP_1","003N8EMH8GTFRIVOG7KG9J9VY","GSON1112020033")</f>
        <v>#NAME?</v>
      </c>
      <c r="Q87" s="24" t="e">
        <f ca="1">[1]!BexGetData("DP_1","00O2TNJGODT0G5Z4TTKYMM5MT","GSON1112020033")</f>
        <v>#NAME?</v>
      </c>
      <c r="R87" s="28" t="e">
        <f ca="1">[1]!BexGetData("DP_1","00O2TNJGODT0G5Z4TTKYMMBYD","GSON1112020033")</f>
        <v>#NAME?</v>
      </c>
      <c r="S87" s="28" t="e">
        <f ca="1">[1]!BexGetData("DP_1","00O2TNJGODT0G5Z4TTKYMMI9X","GSON1112020033")</f>
        <v>#NAME?</v>
      </c>
      <c r="T87" s="28" t="e">
        <f ca="1">[1]!BexGetData("DP_1","00O2TNJGODT0G5Z4TTKYMMOLH","GSON1112020033")</f>
        <v>#NAME?</v>
      </c>
      <c r="U87" s="28" t="e">
        <f ca="1">[1]!BexGetData("DP_1","00O2TNJGODT0G5Z4TTKYMMUX1","GSON1112020033")</f>
        <v>#NAME?</v>
      </c>
      <c r="V87" s="28" t="e">
        <f ca="1">[1]!BexGetData("DP_1","00O2TNJGODT0G5Z4TTKYMN18L","GSON1112020033")</f>
        <v>#NAME?</v>
      </c>
      <c r="W87" s="28" t="e">
        <f ca="1">[1]!BexGetData("DP_1","00O2TNJGODT0G5Z4TTKYMN7K5","GSON1112020033")</f>
        <v>#NAME?</v>
      </c>
    </row>
    <row r="88" spans="1:23" x14ac:dyDescent="0.2">
      <c r="A88" s="36" t="s">
        <v>1893</v>
      </c>
      <c r="B88" s="27" t="s">
        <v>752</v>
      </c>
      <c r="C88" s="24" t="e">
        <f ca="1">[1]!BexGetData("DP_1","003N8EMH8GTFRCSWKMPXRR8GU","GSON1112020034")</f>
        <v>#NAME?</v>
      </c>
      <c r="D88" s="24" t="e">
        <f ca="1">[1]!BexGetData("DP_1","003N8EMH8GTFRCSWKMPXRRESE","GSON1112020034")</f>
        <v>#NAME?</v>
      </c>
      <c r="E88" s="24" t="e">
        <f ca="1">[1]!BexGetData("DP_1","003N8EMH8GTFRCSWKMPXRRL3Y","GSON1112020034")</f>
        <v>#NAME?</v>
      </c>
      <c r="F88" s="28" t="e">
        <f ca="1">[1]!BexGetData("DP_1","003N8EMH8GTFRCSWKMPXRRRFI","GSON1112020034")</f>
        <v>#NAME?</v>
      </c>
      <c r="G88" s="23" t="e">
        <f ca="1">[1]!BexGetData("DP_1","003N8EMH8GTFRCSWKMPXRRXR2","GSON1112020034")</f>
        <v>#NAME?</v>
      </c>
      <c r="H88" s="23" t="e">
        <f ca="1">[1]!BexGetData("DP_1","003N8EMH8GTFRCSWKMPXRS42M","GSON1112020034")</f>
        <v>#NAME?</v>
      </c>
      <c r="I88" s="28" t="e">
        <f ca="1">[1]!BexGetData("DP_1","003N8EMH8GTFRCSWKMPXRSAE6","GSON1112020034")</f>
        <v>#NAME?</v>
      </c>
      <c r="J88" s="24" t="e">
        <f ca="1">[1]!BexGetData("DP_1","003N8EMH8GTFRCSWKMPXRSGPQ","GSON1112020034")</f>
        <v>#NAME?</v>
      </c>
      <c r="K88" s="28" t="e">
        <f ca="1">[1]!BexGetData("DP_1","003N8EMH8GTFRIVNUPY288VJH","GSON1112020034")</f>
        <v>#NAME?</v>
      </c>
      <c r="L88" s="28" t="e">
        <f ca="1">[1]!BexGetData("DP_1","003N8EMH8GTFRIVNUPY2891V1","GSON1112020034")</f>
        <v>#NAME?</v>
      </c>
      <c r="M88" s="28" t="e">
        <f ca="1">[1]!BexGetData("DP_1","003N8EMH8GTFRIVOG7KG9IQXA","GSON1112020034")</f>
        <v>#NAME?</v>
      </c>
      <c r="N88" s="28" t="e">
        <f ca="1">[1]!BexGetData("DP_1","003N8EMH8GTFRIVOG7KG9IX8U","GSON1112020034")</f>
        <v>#NAME?</v>
      </c>
      <c r="O88" s="28" t="e">
        <f ca="1">[1]!BexGetData("DP_1","003N8EMH8GTFRIVOG7KG9J3KE","GSON1112020034")</f>
        <v>#NAME?</v>
      </c>
      <c r="P88" s="28" t="e">
        <f ca="1">[1]!BexGetData("DP_1","003N8EMH8GTFRIVOG7KG9J9VY","GSON1112020034")</f>
        <v>#NAME?</v>
      </c>
      <c r="Q88" s="24" t="e">
        <f ca="1">[1]!BexGetData("DP_1","00O2TNJGODT0G5Z4TTKYMM5MT","GSON1112020034")</f>
        <v>#NAME?</v>
      </c>
      <c r="R88" s="28" t="e">
        <f ca="1">[1]!BexGetData("DP_1","00O2TNJGODT0G5Z4TTKYMMBYD","GSON1112020034")</f>
        <v>#NAME?</v>
      </c>
      <c r="S88" s="28" t="e">
        <f ca="1">[1]!BexGetData("DP_1","00O2TNJGODT0G5Z4TTKYMMI9X","GSON1112020034")</f>
        <v>#NAME?</v>
      </c>
      <c r="T88" s="28" t="e">
        <f ca="1">[1]!BexGetData("DP_1","00O2TNJGODT0G5Z4TTKYMMOLH","GSON1112020034")</f>
        <v>#NAME?</v>
      </c>
      <c r="U88" s="28" t="e">
        <f ca="1">[1]!BexGetData("DP_1","00O2TNJGODT0G5Z4TTKYMMUX1","GSON1112020034")</f>
        <v>#NAME?</v>
      </c>
      <c r="V88" s="28" t="e">
        <f ca="1">[1]!BexGetData("DP_1","00O2TNJGODT0G5Z4TTKYMN18L","GSON1112020034")</f>
        <v>#NAME?</v>
      </c>
      <c r="W88" s="28" t="e">
        <f ca="1">[1]!BexGetData("DP_1","00O2TNJGODT0G5Z4TTKYMN7K5","GSON1112020034")</f>
        <v>#NAME?</v>
      </c>
    </row>
    <row r="89" spans="1:23" x14ac:dyDescent="0.2">
      <c r="A89" s="36" t="s">
        <v>1894</v>
      </c>
      <c r="B89" s="27" t="s">
        <v>1895</v>
      </c>
      <c r="C89" s="28" t="e">
        <f ca="1">[1]!BexGetData("DP_1","003N8EMH8GTFRCSWKMPXRR8GU","GSON1112020035")</f>
        <v>#NAME?</v>
      </c>
      <c r="D89" s="28" t="e">
        <f ca="1">[1]!BexGetData("DP_1","003N8EMH8GTFRCSWKMPXRRESE","GSON1112020035")</f>
        <v>#NAME?</v>
      </c>
      <c r="E89" s="28" t="e">
        <f ca="1">[1]!BexGetData("DP_1","003N8EMH8GTFRCSWKMPXRRL3Y","GSON1112020035")</f>
        <v>#NAME?</v>
      </c>
      <c r="F89" s="28" t="e">
        <f ca="1">[1]!BexGetData("DP_1","003N8EMH8GTFRCSWKMPXRRRFI","GSON1112020035")</f>
        <v>#NAME?</v>
      </c>
      <c r="G89" s="23" t="e">
        <f ca="1">[1]!BexGetData("DP_1","003N8EMH8GTFRCSWKMPXRRXR2","GSON1112020035")</f>
        <v>#NAME?</v>
      </c>
      <c r="H89" s="23" t="e">
        <f ca="1">[1]!BexGetData("DP_1","003N8EMH8GTFRCSWKMPXRS42M","GSON1112020035")</f>
        <v>#NAME?</v>
      </c>
      <c r="I89" s="28" t="e">
        <f ca="1">[1]!BexGetData("DP_1","003N8EMH8GTFRCSWKMPXRSAE6","GSON1112020035")</f>
        <v>#NAME?</v>
      </c>
      <c r="J89" s="24" t="e">
        <f ca="1">[1]!BexGetData("DP_1","003N8EMH8GTFRCSWKMPXRSGPQ","GSON1112020035")</f>
        <v>#NAME?</v>
      </c>
      <c r="K89" s="28" t="e">
        <f ca="1">[1]!BexGetData("DP_1","003N8EMH8GTFRIVNUPY288VJH","GSON1112020035")</f>
        <v>#NAME?</v>
      </c>
      <c r="L89" s="28" t="e">
        <f ca="1">[1]!BexGetData("DP_1","003N8EMH8GTFRIVNUPY2891V1","GSON1112020035")</f>
        <v>#NAME?</v>
      </c>
      <c r="M89" s="28" t="e">
        <f ca="1">[1]!BexGetData("DP_1","003N8EMH8GTFRIVOG7KG9IQXA","GSON1112020035")</f>
        <v>#NAME?</v>
      </c>
      <c r="N89" s="28" t="e">
        <f ca="1">[1]!BexGetData("DP_1","003N8EMH8GTFRIVOG7KG9IX8U","GSON1112020035")</f>
        <v>#NAME?</v>
      </c>
      <c r="O89" s="28" t="e">
        <f ca="1">[1]!BexGetData("DP_1","003N8EMH8GTFRIVOG7KG9J3KE","GSON1112020035")</f>
        <v>#NAME?</v>
      </c>
      <c r="P89" s="28" t="e">
        <f ca="1">[1]!BexGetData("DP_1","003N8EMH8GTFRIVOG7KG9J9VY","GSON1112020035")</f>
        <v>#NAME?</v>
      </c>
      <c r="Q89" s="24" t="e">
        <f ca="1">[1]!BexGetData("DP_1","00O2TNJGODT0G5Z4TTKYMM5MT","GSON1112020035")</f>
        <v>#NAME?</v>
      </c>
      <c r="R89" s="28" t="e">
        <f ca="1">[1]!BexGetData("DP_1","00O2TNJGODT0G5Z4TTKYMMBYD","GSON1112020035")</f>
        <v>#NAME?</v>
      </c>
      <c r="S89" s="28" t="e">
        <f ca="1">[1]!BexGetData("DP_1","00O2TNJGODT0G5Z4TTKYMMI9X","GSON1112020035")</f>
        <v>#NAME?</v>
      </c>
      <c r="T89" s="28" t="e">
        <f ca="1">[1]!BexGetData("DP_1","00O2TNJGODT0G5Z4TTKYMMOLH","GSON1112020035")</f>
        <v>#NAME?</v>
      </c>
      <c r="U89" s="28" t="e">
        <f ca="1">[1]!BexGetData("DP_1","00O2TNJGODT0G5Z4TTKYMMUX1","GSON1112020035")</f>
        <v>#NAME?</v>
      </c>
      <c r="V89" s="28" t="e">
        <f ca="1">[1]!BexGetData("DP_1","00O2TNJGODT0G5Z4TTKYMN18L","GSON1112020035")</f>
        <v>#NAME?</v>
      </c>
      <c r="W89" s="28" t="e">
        <f ca="1">[1]!BexGetData("DP_1","00O2TNJGODT0G5Z4TTKYMN7K5","GSON1112020035")</f>
        <v>#NAME?</v>
      </c>
    </row>
    <row r="90" spans="1:23" x14ac:dyDescent="0.2">
      <c r="A90" s="36" t="s">
        <v>1896</v>
      </c>
      <c r="B90" s="27" t="s">
        <v>1897</v>
      </c>
      <c r="C90" s="28" t="e">
        <f ca="1">[1]!BexGetData("DP_1","003N8EMH8GTFRCSWKMPXRR8GU","GSON1112020040")</f>
        <v>#NAME?</v>
      </c>
      <c r="D90" s="28" t="e">
        <f ca="1">[1]!BexGetData("DP_1","003N8EMH8GTFRCSWKMPXRRESE","GSON1112020040")</f>
        <v>#NAME?</v>
      </c>
      <c r="E90" s="23" t="e">
        <f ca="1">[1]!BexGetData("DP_1","003N8EMH8GTFRCSWKMPXRRL3Y","GSON1112020040")</f>
        <v>#NAME?</v>
      </c>
      <c r="F90" s="23" t="e">
        <f ca="1">[1]!BexGetData("DP_1","003N8EMH8GTFRCSWKMPXRRRFI","GSON1112020040")</f>
        <v>#NAME?</v>
      </c>
      <c r="G90" s="23" t="e">
        <f ca="1">[1]!BexGetData("DP_1","003N8EMH8GTFRCSWKMPXRRXR2","GSON1112020040")</f>
        <v>#NAME?</v>
      </c>
      <c r="H90" s="28" t="e">
        <f ca="1">[1]!BexGetData("DP_1","003N8EMH8GTFRCSWKMPXRS42M","GSON1112020040")</f>
        <v>#NAME?</v>
      </c>
      <c r="I90" s="23" t="e">
        <f ca="1">[1]!BexGetData("DP_1","003N8EMH8GTFRCSWKMPXRSAE6","GSON1112020040")</f>
        <v>#NAME?</v>
      </c>
      <c r="J90" s="23" t="e">
        <f ca="1">[1]!BexGetData("DP_1","003N8EMH8GTFRCSWKMPXRSGPQ","GSON1112020040")</f>
        <v>#NAME?</v>
      </c>
      <c r="K90" s="28" t="e">
        <f ca="1">[1]!BexGetData("DP_1","003N8EMH8GTFRIVNUPY288VJH","GSON1112020040")</f>
        <v>#NAME?</v>
      </c>
      <c r="L90" s="28" t="e">
        <f ca="1">[1]!BexGetData("DP_1","003N8EMH8GTFRIVNUPY2891V1","GSON1112020040")</f>
        <v>#NAME?</v>
      </c>
      <c r="M90" s="28" t="e">
        <f ca="1">[1]!BexGetData("DP_1","003N8EMH8GTFRIVOG7KG9IQXA","GSON1112020040")</f>
        <v>#NAME?</v>
      </c>
      <c r="N90" s="28" t="e">
        <f ca="1">[1]!BexGetData("DP_1","003N8EMH8GTFRIVOG7KG9IX8U","GSON1112020040")</f>
        <v>#NAME?</v>
      </c>
      <c r="O90" s="28" t="e">
        <f ca="1">[1]!BexGetData("DP_1","003N8EMH8GTFRIVOG7KG9J3KE","GSON1112020040")</f>
        <v>#NAME?</v>
      </c>
      <c r="P90" s="28" t="e">
        <f ca="1">[1]!BexGetData("DP_1","003N8EMH8GTFRIVOG7KG9J9VY","GSON1112020040")</f>
        <v>#NAME?</v>
      </c>
      <c r="Q90" s="23" t="e">
        <f ca="1">[1]!BexGetData("DP_1","00O2TNJGODT0G5Z4TTKYMM5MT","GSON1112020040")</f>
        <v>#NAME?</v>
      </c>
      <c r="R90" s="23" t="e">
        <f ca="1">[1]!BexGetData("DP_1","00O2TNJGODT0G5Z4TTKYMMBYD","GSON1112020040")</f>
        <v>#NAME?</v>
      </c>
      <c r="S90" s="23" t="e">
        <f ca="1">[1]!BexGetData("DP_1","00O2TNJGODT0G5Z4TTKYMMI9X","GSON1112020040")</f>
        <v>#NAME?</v>
      </c>
      <c r="T90" s="28" t="e">
        <f ca="1">[1]!BexGetData("DP_1","00O2TNJGODT0G5Z4TTKYMMOLH","GSON1112020040")</f>
        <v>#NAME?</v>
      </c>
      <c r="U90" s="23" t="e">
        <f ca="1">[1]!BexGetData("DP_1","00O2TNJGODT0G5Z4TTKYMMUX1","GSON1112020040")</f>
        <v>#NAME?</v>
      </c>
      <c r="V90" s="28" t="e">
        <f ca="1">[1]!BexGetData("DP_1","00O2TNJGODT0G5Z4TTKYMN18L","GSON1112020040")</f>
        <v>#NAME?</v>
      </c>
      <c r="W90" s="23" t="e">
        <f ca="1">[1]!BexGetData("DP_1","00O2TNJGODT0G5Z4TTKYMN7K5","GSON1112020040")</f>
        <v>#NAME?</v>
      </c>
    </row>
    <row r="91" spans="1:23" x14ac:dyDescent="0.2">
      <c r="A91" s="36" t="s">
        <v>1898</v>
      </c>
      <c r="B91" s="27" t="s">
        <v>1899</v>
      </c>
      <c r="C91" s="24" t="e">
        <f ca="1">[1]!BexGetData("DP_1","003N8EMH8GTFRCSWKMPXRR8GU","GSON1112020041")</f>
        <v>#NAME?</v>
      </c>
      <c r="D91" s="24" t="e">
        <f ca="1">[1]!BexGetData("DP_1","003N8EMH8GTFRCSWKMPXRRESE","GSON1112020041")</f>
        <v>#NAME?</v>
      </c>
      <c r="E91" s="24" t="e">
        <f ca="1">[1]!BexGetData("DP_1","003N8EMH8GTFRCSWKMPXRRL3Y","GSON1112020041")</f>
        <v>#NAME?</v>
      </c>
      <c r="F91" s="28" t="e">
        <f ca="1">[1]!BexGetData("DP_1","003N8EMH8GTFRCSWKMPXRRRFI","GSON1112020041")</f>
        <v>#NAME?</v>
      </c>
      <c r="G91" s="23" t="e">
        <f ca="1">[1]!BexGetData("DP_1","003N8EMH8GTFRCSWKMPXRRXR2","GSON1112020041")</f>
        <v>#NAME?</v>
      </c>
      <c r="H91" s="23" t="e">
        <f ca="1">[1]!BexGetData("DP_1","003N8EMH8GTFRCSWKMPXRS42M","GSON1112020041")</f>
        <v>#NAME?</v>
      </c>
      <c r="I91" s="28" t="e">
        <f ca="1">[1]!BexGetData("DP_1","003N8EMH8GTFRCSWKMPXRSAE6","GSON1112020041")</f>
        <v>#NAME?</v>
      </c>
      <c r="J91" s="24" t="e">
        <f ca="1">[1]!BexGetData("DP_1","003N8EMH8GTFRCSWKMPXRSGPQ","GSON1112020041")</f>
        <v>#NAME?</v>
      </c>
      <c r="K91" s="28" t="e">
        <f ca="1">[1]!BexGetData("DP_1","003N8EMH8GTFRIVNUPY288VJH","GSON1112020041")</f>
        <v>#NAME?</v>
      </c>
      <c r="L91" s="28" t="e">
        <f ca="1">[1]!BexGetData("DP_1","003N8EMH8GTFRIVNUPY2891V1","GSON1112020041")</f>
        <v>#NAME?</v>
      </c>
      <c r="M91" s="28" t="e">
        <f ca="1">[1]!BexGetData("DP_1","003N8EMH8GTFRIVOG7KG9IQXA","GSON1112020041")</f>
        <v>#NAME?</v>
      </c>
      <c r="N91" s="28" t="e">
        <f ca="1">[1]!BexGetData("DP_1","003N8EMH8GTFRIVOG7KG9IX8U","GSON1112020041")</f>
        <v>#NAME?</v>
      </c>
      <c r="O91" s="28" t="e">
        <f ca="1">[1]!BexGetData("DP_1","003N8EMH8GTFRIVOG7KG9J3KE","GSON1112020041")</f>
        <v>#NAME?</v>
      </c>
      <c r="P91" s="28" t="e">
        <f ca="1">[1]!BexGetData("DP_1","003N8EMH8GTFRIVOG7KG9J9VY","GSON1112020041")</f>
        <v>#NAME?</v>
      </c>
      <c r="Q91" s="24" t="e">
        <f ca="1">[1]!BexGetData("DP_1","00O2TNJGODT0G5Z4TTKYMM5MT","GSON1112020041")</f>
        <v>#NAME?</v>
      </c>
      <c r="R91" s="28" t="e">
        <f ca="1">[1]!BexGetData("DP_1","00O2TNJGODT0G5Z4TTKYMMBYD","GSON1112020041")</f>
        <v>#NAME?</v>
      </c>
      <c r="S91" s="28" t="e">
        <f ca="1">[1]!BexGetData("DP_1","00O2TNJGODT0G5Z4TTKYMMI9X","GSON1112020041")</f>
        <v>#NAME?</v>
      </c>
      <c r="T91" s="28" t="e">
        <f ca="1">[1]!BexGetData("DP_1","00O2TNJGODT0G5Z4TTKYMMOLH","GSON1112020041")</f>
        <v>#NAME?</v>
      </c>
      <c r="U91" s="28" t="e">
        <f ca="1">[1]!BexGetData("DP_1","00O2TNJGODT0G5Z4TTKYMMUX1","GSON1112020041")</f>
        <v>#NAME?</v>
      </c>
      <c r="V91" s="28" t="e">
        <f ca="1">[1]!BexGetData("DP_1","00O2TNJGODT0G5Z4TTKYMN18L","GSON1112020041")</f>
        <v>#NAME?</v>
      </c>
      <c r="W91" s="28" t="e">
        <f ca="1">[1]!BexGetData("DP_1","00O2TNJGODT0G5Z4TTKYMN7K5","GSON1112020041")</f>
        <v>#NAME?</v>
      </c>
    </row>
    <row r="92" spans="1:23" x14ac:dyDescent="0.2">
      <c r="A92" s="36" t="s">
        <v>1900</v>
      </c>
      <c r="B92" s="27" t="s">
        <v>1901</v>
      </c>
      <c r="C92" s="28" t="e">
        <f ca="1">[1]!BexGetData("DP_1","003N8EMH8GTFRCSWKMPXRR8GU","GSON1112020045")</f>
        <v>#NAME?</v>
      </c>
      <c r="D92" s="28" t="e">
        <f ca="1">[1]!BexGetData("DP_1","003N8EMH8GTFRCSWKMPXRRESE","GSON1112020045")</f>
        <v>#NAME?</v>
      </c>
      <c r="E92" s="28" t="e">
        <f ca="1">[1]!BexGetData("DP_1","003N8EMH8GTFRCSWKMPXRRL3Y","GSON1112020045")</f>
        <v>#NAME?</v>
      </c>
      <c r="F92" s="28" t="e">
        <f ca="1">[1]!BexGetData("DP_1","003N8EMH8GTFRCSWKMPXRRRFI","GSON1112020045")</f>
        <v>#NAME?</v>
      </c>
      <c r="G92" s="23" t="e">
        <f ca="1">[1]!BexGetData("DP_1","003N8EMH8GTFRCSWKMPXRRXR2","GSON1112020045")</f>
        <v>#NAME?</v>
      </c>
      <c r="H92" s="23" t="e">
        <f ca="1">[1]!BexGetData("DP_1","003N8EMH8GTFRCSWKMPXRS42M","GSON1112020045")</f>
        <v>#NAME?</v>
      </c>
      <c r="I92" s="28" t="e">
        <f ca="1">[1]!BexGetData("DP_1","003N8EMH8GTFRCSWKMPXRSAE6","GSON1112020045")</f>
        <v>#NAME?</v>
      </c>
      <c r="J92" s="24" t="e">
        <f ca="1">[1]!BexGetData("DP_1","003N8EMH8GTFRCSWKMPXRSGPQ","GSON1112020045")</f>
        <v>#NAME?</v>
      </c>
      <c r="K92" s="28" t="e">
        <f ca="1">[1]!BexGetData("DP_1","003N8EMH8GTFRIVNUPY288VJH","GSON1112020045")</f>
        <v>#NAME?</v>
      </c>
      <c r="L92" s="28" t="e">
        <f ca="1">[1]!BexGetData("DP_1","003N8EMH8GTFRIVNUPY2891V1","GSON1112020045")</f>
        <v>#NAME?</v>
      </c>
      <c r="M92" s="28" t="e">
        <f ca="1">[1]!BexGetData("DP_1","003N8EMH8GTFRIVOG7KG9IQXA","GSON1112020045")</f>
        <v>#NAME?</v>
      </c>
      <c r="N92" s="28" t="e">
        <f ca="1">[1]!BexGetData("DP_1","003N8EMH8GTFRIVOG7KG9IX8U","GSON1112020045")</f>
        <v>#NAME?</v>
      </c>
      <c r="O92" s="28" t="e">
        <f ca="1">[1]!BexGetData("DP_1","003N8EMH8GTFRIVOG7KG9J3KE","GSON1112020045")</f>
        <v>#NAME?</v>
      </c>
      <c r="P92" s="28" t="e">
        <f ca="1">[1]!BexGetData("DP_1","003N8EMH8GTFRIVOG7KG9J9VY","GSON1112020045")</f>
        <v>#NAME?</v>
      </c>
      <c r="Q92" s="24" t="e">
        <f ca="1">[1]!BexGetData("DP_1","00O2TNJGODT0G5Z4TTKYMM5MT","GSON1112020045")</f>
        <v>#NAME?</v>
      </c>
      <c r="R92" s="28" t="e">
        <f ca="1">[1]!BexGetData("DP_1","00O2TNJGODT0G5Z4TTKYMMBYD","GSON1112020045")</f>
        <v>#NAME?</v>
      </c>
      <c r="S92" s="28" t="e">
        <f ca="1">[1]!BexGetData("DP_1","00O2TNJGODT0G5Z4TTKYMMI9X","GSON1112020045")</f>
        <v>#NAME?</v>
      </c>
      <c r="T92" s="28" t="e">
        <f ca="1">[1]!BexGetData("DP_1","00O2TNJGODT0G5Z4TTKYMMOLH","GSON1112020045")</f>
        <v>#NAME?</v>
      </c>
      <c r="U92" s="28" t="e">
        <f ca="1">[1]!BexGetData("DP_1","00O2TNJGODT0G5Z4TTKYMMUX1","GSON1112020045")</f>
        <v>#NAME?</v>
      </c>
      <c r="V92" s="28" t="e">
        <f ca="1">[1]!BexGetData("DP_1","00O2TNJGODT0G5Z4TTKYMN18L","GSON1112020045")</f>
        <v>#NAME?</v>
      </c>
      <c r="W92" s="28" t="e">
        <f ca="1">[1]!BexGetData("DP_1","00O2TNJGODT0G5Z4TTKYMN7K5","GSON1112020045")</f>
        <v>#NAME?</v>
      </c>
    </row>
    <row r="93" spans="1:23" x14ac:dyDescent="0.2">
      <c r="A93" s="36" t="s">
        <v>1902</v>
      </c>
      <c r="B93" s="27" t="s">
        <v>162</v>
      </c>
      <c r="C93" s="23" t="e">
        <f ca="1">[1]!BexGetData("DP_1","003N8EMH8GTFRCSWKMPXRR8GU","GSON1112030010")</f>
        <v>#NAME?</v>
      </c>
      <c r="D93" s="23" t="e">
        <f ca="1">[1]!BexGetData("DP_1","003N8EMH8GTFRCSWKMPXRRESE","GSON1112030010")</f>
        <v>#NAME?</v>
      </c>
      <c r="E93" s="23" t="e">
        <f ca="1">[1]!BexGetData("DP_1","003N8EMH8GTFRCSWKMPXRRL3Y","GSON1112030010")</f>
        <v>#NAME?</v>
      </c>
      <c r="F93" s="23" t="e">
        <f ca="1">[1]!BexGetData("DP_1","003N8EMH8GTFRCSWKMPXRRRFI","GSON1112030010")</f>
        <v>#NAME?</v>
      </c>
      <c r="G93" s="23" t="e">
        <f ca="1">[1]!BexGetData("DP_1","003N8EMH8GTFRCSWKMPXRRXR2","GSON1112030010")</f>
        <v>#NAME?</v>
      </c>
      <c r="H93" s="23" t="e">
        <f ca="1">[1]!BexGetData("DP_1","003N8EMH8GTFRCSWKMPXRS42M","GSON1112030010")</f>
        <v>#NAME?</v>
      </c>
      <c r="I93" s="23" t="e">
        <f ca="1">[1]!BexGetData("DP_1","003N8EMH8GTFRCSWKMPXRSAE6","GSON1112030010")</f>
        <v>#NAME?</v>
      </c>
      <c r="J93" s="23" t="e">
        <f ca="1">[1]!BexGetData("DP_1","003N8EMH8GTFRCSWKMPXRSGPQ","GSON1112030010")</f>
        <v>#NAME?</v>
      </c>
      <c r="K93" s="23" t="e">
        <f ca="1">[1]!BexGetData("DP_1","003N8EMH8GTFRIVNUPY288VJH","GSON1112030010")</f>
        <v>#NAME?</v>
      </c>
      <c r="L93" s="23" t="e">
        <f ca="1">[1]!BexGetData("DP_1","003N8EMH8GTFRIVNUPY2891V1","GSON1112030010")</f>
        <v>#NAME?</v>
      </c>
      <c r="M93" s="23" t="e">
        <f ca="1">[1]!BexGetData("DP_1","003N8EMH8GTFRIVOG7KG9IQXA","GSON1112030010")</f>
        <v>#NAME?</v>
      </c>
      <c r="N93" s="28" t="e">
        <f ca="1">[1]!BexGetData("DP_1","003N8EMH8GTFRIVOG7KG9IX8U","GSON1112030010")</f>
        <v>#NAME?</v>
      </c>
      <c r="O93" s="23" t="e">
        <f ca="1">[1]!BexGetData("DP_1","003N8EMH8GTFRIVOG7KG9J3KE","GSON1112030010")</f>
        <v>#NAME?</v>
      </c>
      <c r="P93" s="28" t="e">
        <f ca="1">[1]!BexGetData("DP_1","003N8EMH8GTFRIVOG7KG9J9VY","GSON1112030010")</f>
        <v>#NAME?</v>
      </c>
      <c r="Q93" s="23" t="e">
        <f ca="1">[1]!BexGetData("DP_1","00O2TNJGODT0G5Z4TTKYMM5MT","GSON1112030010")</f>
        <v>#NAME?</v>
      </c>
      <c r="R93" s="23" t="e">
        <f ca="1">[1]!BexGetData("DP_1","00O2TNJGODT0G5Z4TTKYMMBYD","GSON1112030010")</f>
        <v>#NAME?</v>
      </c>
      <c r="S93" s="23" t="e">
        <f ca="1">[1]!BexGetData("DP_1","00O2TNJGODT0G5Z4TTKYMMI9X","GSON1112030010")</f>
        <v>#NAME?</v>
      </c>
      <c r="T93" s="28" t="e">
        <f ca="1">[1]!BexGetData("DP_1","00O2TNJGODT0G5Z4TTKYMMOLH","GSON1112030010")</f>
        <v>#NAME?</v>
      </c>
      <c r="U93" s="23" t="e">
        <f ca="1">[1]!BexGetData("DP_1","00O2TNJGODT0G5Z4TTKYMMUX1","GSON1112030010")</f>
        <v>#NAME?</v>
      </c>
      <c r="V93" s="28" t="e">
        <f ca="1">[1]!BexGetData("DP_1","00O2TNJGODT0G5Z4TTKYMN18L","GSON1112030010")</f>
        <v>#NAME?</v>
      </c>
      <c r="W93" s="23" t="e">
        <f ca="1">[1]!BexGetData("DP_1","00O2TNJGODT0G5Z4TTKYMN7K5","GSON1112030010")</f>
        <v>#NAME?</v>
      </c>
    </row>
    <row r="94" spans="1:23" x14ac:dyDescent="0.2">
      <c r="A94" s="36" t="s">
        <v>1903</v>
      </c>
      <c r="B94" s="27" t="s">
        <v>146</v>
      </c>
      <c r="C94" s="23" t="e">
        <f ca="1">[1]!BexGetData("DP_1","003N8EMH8GTFRCSWKMPXRR8GU","GSON1112030011")</f>
        <v>#NAME?</v>
      </c>
      <c r="D94" s="23" t="e">
        <f ca="1">[1]!BexGetData("DP_1","003N8EMH8GTFRCSWKMPXRRESE","GSON1112030011")</f>
        <v>#NAME?</v>
      </c>
      <c r="E94" s="28" t="e">
        <f ca="1">[1]!BexGetData("DP_1","003N8EMH8GTFRCSWKMPXRRL3Y","GSON1112030011")</f>
        <v>#NAME?</v>
      </c>
      <c r="F94" s="28" t="e">
        <f ca="1">[1]!BexGetData("DP_1","003N8EMH8GTFRCSWKMPXRRRFI","GSON1112030011")</f>
        <v>#NAME?</v>
      </c>
      <c r="G94" s="23" t="e">
        <f ca="1">[1]!BexGetData("DP_1","003N8EMH8GTFRCSWKMPXRRXR2","GSON1112030011")</f>
        <v>#NAME?</v>
      </c>
      <c r="H94" s="23" t="e">
        <f ca="1">[1]!BexGetData("DP_1","003N8EMH8GTFRCSWKMPXRS42M","GSON1112030011")</f>
        <v>#NAME?</v>
      </c>
      <c r="I94" s="28" t="e">
        <f ca="1">[1]!BexGetData("DP_1","003N8EMH8GTFRCSWKMPXRSAE6","GSON1112030011")</f>
        <v>#NAME?</v>
      </c>
      <c r="J94" s="24" t="e">
        <f ca="1">[1]!BexGetData("DP_1","003N8EMH8GTFRCSWKMPXRSGPQ","GSON1112030011")</f>
        <v>#NAME?</v>
      </c>
      <c r="K94" s="28" t="e">
        <f ca="1">[1]!BexGetData("DP_1","003N8EMH8GTFRIVNUPY288VJH","GSON1112030011")</f>
        <v>#NAME?</v>
      </c>
      <c r="L94" s="28" t="e">
        <f ca="1">[1]!BexGetData("DP_1","003N8EMH8GTFRIVNUPY2891V1","GSON1112030011")</f>
        <v>#NAME?</v>
      </c>
      <c r="M94" s="28" t="e">
        <f ca="1">[1]!BexGetData("DP_1","003N8EMH8GTFRIVOG7KG9IQXA","GSON1112030011")</f>
        <v>#NAME?</v>
      </c>
      <c r="N94" s="28" t="e">
        <f ca="1">[1]!BexGetData("DP_1","003N8EMH8GTFRIVOG7KG9IX8U","GSON1112030011")</f>
        <v>#NAME?</v>
      </c>
      <c r="O94" s="28" t="e">
        <f ca="1">[1]!BexGetData("DP_1","003N8EMH8GTFRIVOG7KG9J3KE","GSON1112030011")</f>
        <v>#NAME?</v>
      </c>
      <c r="P94" s="28" t="e">
        <f ca="1">[1]!BexGetData("DP_1","003N8EMH8GTFRIVOG7KG9J9VY","GSON1112030011")</f>
        <v>#NAME?</v>
      </c>
      <c r="Q94" s="24" t="e">
        <f ca="1">[1]!BexGetData("DP_1","00O2TNJGODT0G5Z4TTKYMM5MT","GSON1112030011")</f>
        <v>#NAME?</v>
      </c>
      <c r="R94" s="28" t="e">
        <f ca="1">[1]!BexGetData("DP_1","00O2TNJGODT0G5Z4TTKYMMBYD","GSON1112030011")</f>
        <v>#NAME?</v>
      </c>
      <c r="S94" s="28" t="e">
        <f ca="1">[1]!BexGetData("DP_1","00O2TNJGODT0G5Z4TTKYMMI9X","GSON1112030011")</f>
        <v>#NAME?</v>
      </c>
      <c r="T94" s="28" t="e">
        <f ca="1">[1]!BexGetData("DP_1","00O2TNJGODT0G5Z4TTKYMMOLH","GSON1112030011")</f>
        <v>#NAME?</v>
      </c>
      <c r="U94" s="28" t="e">
        <f ca="1">[1]!BexGetData("DP_1","00O2TNJGODT0G5Z4TTKYMMUX1","GSON1112030011")</f>
        <v>#NAME?</v>
      </c>
      <c r="V94" s="28" t="e">
        <f ca="1">[1]!BexGetData("DP_1","00O2TNJGODT0G5Z4TTKYMN18L","GSON1112030011")</f>
        <v>#NAME?</v>
      </c>
      <c r="W94" s="28" t="e">
        <f ca="1">[1]!BexGetData("DP_1","00O2TNJGODT0G5Z4TTKYMN7K5","GSON1112030011")</f>
        <v>#NAME?</v>
      </c>
    </row>
    <row r="95" spans="1:23" x14ac:dyDescent="0.2">
      <c r="A95" s="36" t="s">
        <v>1904</v>
      </c>
      <c r="B95" s="27" t="s">
        <v>63</v>
      </c>
      <c r="C95" s="23" t="e">
        <f ca="1">[1]!BexGetData("DP_1","003N8EMH8GTFRCSWKMPXRR8GU","GSON1112030012")</f>
        <v>#NAME?</v>
      </c>
      <c r="D95" s="23" t="e">
        <f ca="1">[1]!BexGetData("DP_1","003N8EMH8GTFRCSWKMPXRRESE","GSON1112030012")</f>
        <v>#NAME?</v>
      </c>
      <c r="E95" s="23" t="e">
        <f ca="1">[1]!BexGetData("DP_1","003N8EMH8GTFRCSWKMPXRRL3Y","GSON1112030012")</f>
        <v>#NAME?</v>
      </c>
      <c r="F95" s="23" t="e">
        <f ca="1">[1]!BexGetData("DP_1","003N8EMH8GTFRCSWKMPXRRRFI","GSON1112030012")</f>
        <v>#NAME?</v>
      </c>
      <c r="G95" s="23" t="e">
        <f ca="1">[1]!BexGetData("DP_1","003N8EMH8GTFRCSWKMPXRRXR2","GSON1112030012")</f>
        <v>#NAME?</v>
      </c>
      <c r="H95" s="23" t="e">
        <f ca="1">[1]!BexGetData("DP_1","003N8EMH8GTFRCSWKMPXRS42M","GSON1112030012")</f>
        <v>#NAME?</v>
      </c>
      <c r="I95" s="23" t="e">
        <f ca="1">[1]!BexGetData("DP_1","003N8EMH8GTFRCSWKMPXRSAE6","GSON1112030012")</f>
        <v>#NAME?</v>
      </c>
      <c r="J95" s="24" t="e">
        <f ca="1">[1]!BexGetData("DP_1","003N8EMH8GTFRCSWKMPXRSGPQ","GSON1112030012")</f>
        <v>#NAME?</v>
      </c>
      <c r="K95" s="23" t="e">
        <f ca="1">[1]!BexGetData("DP_1","003N8EMH8GTFRIVNUPY288VJH","GSON1112030012")</f>
        <v>#NAME?</v>
      </c>
      <c r="L95" s="23" t="e">
        <f ca="1">[1]!BexGetData("DP_1","003N8EMH8GTFRIVNUPY2891V1","GSON1112030012")</f>
        <v>#NAME?</v>
      </c>
      <c r="M95" s="28" t="e">
        <f ca="1">[1]!BexGetData("DP_1","003N8EMH8GTFRIVOG7KG9IQXA","GSON1112030012")</f>
        <v>#NAME?</v>
      </c>
      <c r="N95" s="23" t="e">
        <f ca="1">[1]!BexGetData("DP_1","003N8EMH8GTFRIVOG7KG9IX8U","GSON1112030012")</f>
        <v>#NAME?</v>
      </c>
      <c r="O95" s="28" t="e">
        <f ca="1">[1]!BexGetData("DP_1","003N8EMH8GTFRIVOG7KG9J3KE","GSON1112030012")</f>
        <v>#NAME?</v>
      </c>
      <c r="P95" s="23" t="e">
        <f ca="1">[1]!BexGetData("DP_1","003N8EMH8GTFRIVOG7KG9J9VY","GSON1112030012")</f>
        <v>#NAME?</v>
      </c>
      <c r="Q95" s="24" t="e">
        <f ca="1">[1]!BexGetData("DP_1","00O2TNJGODT0G5Z4TTKYMM5MT","GSON1112030012")</f>
        <v>#NAME?</v>
      </c>
      <c r="R95" s="23" t="e">
        <f ca="1">[1]!BexGetData("DP_1","00O2TNJGODT0G5Z4TTKYMMBYD","GSON1112030012")</f>
        <v>#NAME?</v>
      </c>
      <c r="S95" s="23" t="e">
        <f ca="1">[1]!BexGetData("DP_1","00O2TNJGODT0G5Z4TTKYMMI9X","GSON1112030012")</f>
        <v>#NAME?</v>
      </c>
      <c r="T95" s="23" t="e">
        <f ca="1">[1]!BexGetData("DP_1","00O2TNJGODT0G5Z4TTKYMMOLH","GSON1112030012")</f>
        <v>#NAME?</v>
      </c>
      <c r="U95" s="28" t="e">
        <f ca="1">[1]!BexGetData("DP_1","00O2TNJGODT0G5Z4TTKYMMUX1","GSON1112030012")</f>
        <v>#NAME?</v>
      </c>
      <c r="V95" s="23" t="e">
        <f ca="1">[1]!BexGetData("DP_1","00O2TNJGODT0G5Z4TTKYMN18L","GSON1112030012")</f>
        <v>#NAME?</v>
      </c>
      <c r="W95" s="28" t="e">
        <f ca="1">[1]!BexGetData("DP_1","00O2TNJGODT0G5Z4TTKYMN7K5","GSON1112030012")</f>
        <v>#NAME?</v>
      </c>
    </row>
    <row r="96" spans="1:23" x14ac:dyDescent="0.2">
      <c r="A96" s="36" t="s">
        <v>1905</v>
      </c>
      <c r="B96" s="27" t="s">
        <v>64</v>
      </c>
      <c r="C96" s="23" t="e">
        <f ca="1">[1]!BexGetData("DP_1","003N8EMH8GTFRCSWKMPXRR8GU","GSON1112030013")</f>
        <v>#NAME?</v>
      </c>
      <c r="D96" s="23" t="e">
        <f ca="1">[1]!BexGetData("DP_1","003N8EMH8GTFRCSWKMPXRRESE","GSON1112030013")</f>
        <v>#NAME?</v>
      </c>
      <c r="E96" s="28" t="e">
        <f ca="1">[1]!BexGetData("DP_1","003N8EMH8GTFRCSWKMPXRRL3Y","GSON1112030013")</f>
        <v>#NAME?</v>
      </c>
      <c r="F96" s="28" t="e">
        <f ca="1">[1]!BexGetData("DP_1","003N8EMH8GTFRCSWKMPXRRRFI","GSON1112030013")</f>
        <v>#NAME?</v>
      </c>
      <c r="G96" s="23" t="e">
        <f ca="1">[1]!BexGetData("DP_1","003N8EMH8GTFRCSWKMPXRRXR2","GSON1112030013")</f>
        <v>#NAME?</v>
      </c>
      <c r="H96" s="23" t="e">
        <f ca="1">[1]!BexGetData("DP_1","003N8EMH8GTFRCSWKMPXRS42M","GSON1112030013")</f>
        <v>#NAME?</v>
      </c>
      <c r="I96" s="28" t="e">
        <f ca="1">[1]!BexGetData("DP_1","003N8EMH8GTFRCSWKMPXRSAE6","GSON1112030013")</f>
        <v>#NAME?</v>
      </c>
      <c r="J96" s="24" t="e">
        <f ca="1">[1]!BexGetData("DP_1","003N8EMH8GTFRCSWKMPXRSGPQ","GSON1112030013")</f>
        <v>#NAME?</v>
      </c>
      <c r="K96" s="28" t="e">
        <f ca="1">[1]!BexGetData("DP_1","003N8EMH8GTFRIVNUPY288VJH","GSON1112030013")</f>
        <v>#NAME?</v>
      </c>
      <c r="L96" s="28" t="e">
        <f ca="1">[1]!BexGetData("DP_1","003N8EMH8GTFRIVNUPY2891V1","GSON1112030013")</f>
        <v>#NAME?</v>
      </c>
      <c r="M96" s="28" t="e">
        <f ca="1">[1]!BexGetData("DP_1","003N8EMH8GTFRIVOG7KG9IQXA","GSON1112030013")</f>
        <v>#NAME?</v>
      </c>
      <c r="N96" s="28" t="e">
        <f ca="1">[1]!BexGetData("DP_1","003N8EMH8GTFRIVOG7KG9IX8U","GSON1112030013")</f>
        <v>#NAME?</v>
      </c>
      <c r="O96" s="28" t="e">
        <f ca="1">[1]!BexGetData("DP_1","003N8EMH8GTFRIVOG7KG9J3KE","GSON1112030013")</f>
        <v>#NAME?</v>
      </c>
      <c r="P96" s="28" t="e">
        <f ca="1">[1]!BexGetData("DP_1","003N8EMH8GTFRIVOG7KG9J9VY","GSON1112030013")</f>
        <v>#NAME?</v>
      </c>
      <c r="Q96" s="24" t="e">
        <f ca="1">[1]!BexGetData("DP_1","00O2TNJGODT0G5Z4TTKYMM5MT","GSON1112030013")</f>
        <v>#NAME?</v>
      </c>
      <c r="R96" s="28" t="e">
        <f ca="1">[1]!BexGetData("DP_1","00O2TNJGODT0G5Z4TTKYMMBYD","GSON1112030013")</f>
        <v>#NAME?</v>
      </c>
      <c r="S96" s="28" t="e">
        <f ca="1">[1]!BexGetData("DP_1","00O2TNJGODT0G5Z4TTKYMMI9X","GSON1112030013")</f>
        <v>#NAME?</v>
      </c>
      <c r="T96" s="28" t="e">
        <f ca="1">[1]!BexGetData("DP_1","00O2TNJGODT0G5Z4TTKYMMOLH","GSON1112030013")</f>
        <v>#NAME?</v>
      </c>
      <c r="U96" s="28" t="e">
        <f ca="1">[1]!BexGetData("DP_1","00O2TNJGODT0G5Z4TTKYMMUX1","GSON1112030013")</f>
        <v>#NAME?</v>
      </c>
      <c r="V96" s="28" t="e">
        <f ca="1">[1]!BexGetData("DP_1","00O2TNJGODT0G5Z4TTKYMN18L","GSON1112030013")</f>
        <v>#NAME?</v>
      </c>
      <c r="W96" s="28" t="e">
        <f ca="1">[1]!BexGetData("DP_1","00O2TNJGODT0G5Z4TTKYMN7K5","GSON1112030013")</f>
        <v>#NAME?</v>
      </c>
    </row>
    <row r="97" spans="1:23" x14ac:dyDescent="0.2">
      <c r="A97" s="36" t="s">
        <v>1906</v>
      </c>
      <c r="B97" s="27" t="s">
        <v>753</v>
      </c>
      <c r="C97" s="23" t="e">
        <f ca="1">[1]!BexGetData("DP_1","003N8EMH8GTFRCSWKMPXRR8GU","GSON1112030014")</f>
        <v>#NAME?</v>
      </c>
      <c r="D97" s="23" t="e">
        <f ca="1">[1]!BexGetData("DP_1","003N8EMH8GTFRCSWKMPXRRESE","GSON1112030014")</f>
        <v>#NAME?</v>
      </c>
      <c r="E97" s="28" t="e">
        <f ca="1">[1]!BexGetData("DP_1","003N8EMH8GTFRCSWKMPXRRL3Y","GSON1112030014")</f>
        <v>#NAME?</v>
      </c>
      <c r="F97" s="28" t="e">
        <f ca="1">[1]!BexGetData("DP_1","003N8EMH8GTFRCSWKMPXRRRFI","GSON1112030014")</f>
        <v>#NAME?</v>
      </c>
      <c r="G97" s="23" t="e">
        <f ca="1">[1]!BexGetData("DP_1","003N8EMH8GTFRCSWKMPXRRXR2","GSON1112030014")</f>
        <v>#NAME?</v>
      </c>
      <c r="H97" s="23" t="e">
        <f ca="1">[1]!BexGetData("DP_1","003N8EMH8GTFRCSWKMPXRS42M","GSON1112030014")</f>
        <v>#NAME?</v>
      </c>
      <c r="I97" s="28" t="e">
        <f ca="1">[1]!BexGetData("DP_1","003N8EMH8GTFRCSWKMPXRSAE6","GSON1112030014")</f>
        <v>#NAME?</v>
      </c>
      <c r="J97" s="24" t="e">
        <f ca="1">[1]!BexGetData("DP_1","003N8EMH8GTFRCSWKMPXRSGPQ","GSON1112030014")</f>
        <v>#NAME?</v>
      </c>
      <c r="K97" s="28" t="e">
        <f ca="1">[1]!BexGetData("DP_1","003N8EMH8GTFRIVNUPY288VJH","GSON1112030014")</f>
        <v>#NAME?</v>
      </c>
      <c r="L97" s="28" t="e">
        <f ca="1">[1]!BexGetData("DP_1","003N8EMH8GTFRIVNUPY2891V1","GSON1112030014")</f>
        <v>#NAME?</v>
      </c>
      <c r="M97" s="28" t="e">
        <f ca="1">[1]!BexGetData("DP_1","003N8EMH8GTFRIVOG7KG9IQXA","GSON1112030014")</f>
        <v>#NAME?</v>
      </c>
      <c r="N97" s="28" t="e">
        <f ca="1">[1]!BexGetData("DP_1","003N8EMH8GTFRIVOG7KG9IX8U","GSON1112030014")</f>
        <v>#NAME?</v>
      </c>
      <c r="O97" s="28" t="e">
        <f ca="1">[1]!BexGetData("DP_1","003N8EMH8GTFRIVOG7KG9J3KE","GSON1112030014")</f>
        <v>#NAME?</v>
      </c>
      <c r="P97" s="28" t="e">
        <f ca="1">[1]!BexGetData("DP_1","003N8EMH8GTFRIVOG7KG9J9VY","GSON1112030014")</f>
        <v>#NAME?</v>
      </c>
      <c r="Q97" s="24" t="e">
        <f ca="1">[1]!BexGetData("DP_1","00O2TNJGODT0G5Z4TTKYMM5MT","GSON1112030014")</f>
        <v>#NAME?</v>
      </c>
      <c r="R97" s="28" t="e">
        <f ca="1">[1]!BexGetData("DP_1","00O2TNJGODT0G5Z4TTKYMMBYD","GSON1112030014")</f>
        <v>#NAME?</v>
      </c>
      <c r="S97" s="28" t="e">
        <f ca="1">[1]!BexGetData("DP_1","00O2TNJGODT0G5Z4TTKYMMI9X","GSON1112030014")</f>
        <v>#NAME?</v>
      </c>
      <c r="T97" s="28" t="e">
        <f ca="1">[1]!BexGetData("DP_1","00O2TNJGODT0G5Z4TTKYMMOLH","GSON1112030014")</f>
        <v>#NAME?</v>
      </c>
      <c r="U97" s="28" t="e">
        <f ca="1">[1]!BexGetData("DP_1","00O2TNJGODT0G5Z4TTKYMMUX1","GSON1112030014")</f>
        <v>#NAME?</v>
      </c>
      <c r="V97" s="28" t="e">
        <f ca="1">[1]!BexGetData("DP_1","00O2TNJGODT0G5Z4TTKYMN18L","GSON1112030014")</f>
        <v>#NAME?</v>
      </c>
      <c r="W97" s="28" t="e">
        <f ca="1">[1]!BexGetData("DP_1","00O2TNJGODT0G5Z4TTKYMN7K5","GSON1112030014")</f>
        <v>#NAME?</v>
      </c>
    </row>
    <row r="98" spans="1:23" x14ac:dyDescent="0.2">
      <c r="A98" s="36" t="s">
        <v>1907</v>
      </c>
      <c r="B98" s="27" t="s">
        <v>163</v>
      </c>
      <c r="C98" s="23" t="e">
        <f ca="1">[1]!BexGetData("DP_1","003N8EMH8GTFRCSWKMPXRR8GU","GSON1112030015")</f>
        <v>#NAME?</v>
      </c>
      <c r="D98" s="23" t="e">
        <f ca="1">[1]!BexGetData("DP_1","003N8EMH8GTFRCSWKMPXRRESE","GSON1112030015")</f>
        <v>#NAME?</v>
      </c>
      <c r="E98" s="28" t="e">
        <f ca="1">[1]!BexGetData("DP_1","003N8EMH8GTFRCSWKMPXRRL3Y","GSON1112030015")</f>
        <v>#NAME?</v>
      </c>
      <c r="F98" s="28" t="e">
        <f ca="1">[1]!BexGetData("DP_1","003N8EMH8GTFRCSWKMPXRRRFI","GSON1112030015")</f>
        <v>#NAME?</v>
      </c>
      <c r="G98" s="23" t="e">
        <f ca="1">[1]!BexGetData("DP_1","003N8EMH8GTFRCSWKMPXRRXR2","GSON1112030015")</f>
        <v>#NAME?</v>
      </c>
      <c r="H98" s="23" t="e">
        <f ca="1">[1]!BexGetData("DP_1","003N8EMH8GTFRCSWKMPXRS42M","GSON1112030015")</f>
        <v>#NAME?</v>
      </c>
      <c r="I98" s="28" t="e">
        <f ca="1">[1]!BexGetData("DP_1","003N8EMH8GTFRCSWKMPXRSAE6","GSON1112030015")</f>
        <v>#NAME?</v>
      </c>
      <c r="J98" s="24" t="e">
        <f ca="1">[1]!BexGetData("DP_1","003N8EMH8GTFRCSWKMPXRSGPQ","GSON1112030015")</f>
        <v>#NAME?</v>
      </c>
      <c r="K98" s="28" t="e">
        <f ca="1">[1]!BexGetData("DP_1","003N8EMH8GTFRIVNUPY288VJH","GSON1112030015")</f>
        <v>#NAME?</v>
      </c>
      <c r="L98" s="28" t="e">
        <f ca="1">[1]!BexGetData("DP_1","003N8EMH8GTFRIVNUPY2891V1","GSON1112030015")</f>
        <v>#NAME?</v>
      </c>
      <c r="M98" s="28" t="e">
        <f ca="1">[1]!BexGetData("DP_1","003N8EMH8GTFRIVOG7KG9IQXA","GSON1112030015")</f>
        <v>#NAME?</v>
      </c>
      <c r="N98" s="28" t="e">
        <f ca="1">[1]!BexGetData("DP_1","003N8EMH8GTFRIVOG7KG9IX8U","GSON1112030015")</f>
        <v>#NAME?</v>
      </c>
      <c r="O98" s="28" t="e">
        <f ca="1">[1]!BexGetData("DP_1","003N8EMH8GTFRIVOG7KG9J3KE","GSON1112030015")</f>
        <v>#NAME?</v>
      </c>
      <c r="P98" s="28" t="e">
        <f ca="1">[1]!BexGetData("DP_1","003N8EMH8GTFRIVOG7KG9J9VY","GSON1112030015")</f>
        <v>#NAME?</v>
      </c>
      <c r="Q98" s="24" t="e">
        <f ca="1">[1]!BexGetData("DP_1","00O2TNJGODT0G5Z4TTKYMM5MT","GSON1112030015")</f>
        <v>#NAME?</v>
      </c>
      <c r="R98" s="28" t="e">
        <f ca="1">[1]!BexGetData("DP_1","00O2TNJGODT0G5Z4TTKYMMBYD","GSON1112030015")</f>
        <v>#NAME?</v>
      </c>
      <c r="S98" s="28" t="e">
        <f ca="1">[1]!BexGetData("DP_1","00O2TNJGODT0G5Z4TTKYMMI9X","GSON1112030015")</f>
        <v>#NAME?</v>
      </c>
      <c r="T98" s="28" t="e">
        <f ca="1">[1]!BexGetData("DP_1","00O2TNJGODT0G5Z4TTKYMMOLH","GSON1112030015")</f>
        <v>#NAME?</v>
      </c>
      <c r="U98" s="28" t="e">
        <f ca="1">[1]!BexGetData("DP_1","00O2TNJGODT0G5Z4TTKYMMUX1","GSON1112030015")</f>
        <v>#NAME?</v>
      </c>
      <c r="V98" s="28" t="e">
        <f ca="1">[1]!BexGetData("DP_1","00O2TNJGODT0G5Z4TTKYMN18L","GSON1112030015")</f>
        <v>#NAME?</v>
      </c>
      <c r="W98" s="28" t="e">
        <f ca="1">[1]!BexGetData("DP_1","00O2TNJGODT0G5Z4TTKYMN7K5","GSON1112030015")</f>
        <v>#NAME?</v>
      </c>
    </row>
    <row r="99" spans="1:23" x14ac:dyDescent="0.2">
      <c r="A99" s="36" t="s">
        <v>1908</v>
      </c>
      <c r="B99" s="27" t="s">
        <v>164</v>
      </c>
      <c r="C99" s="23" t="e">
        <f ca="1">[1]!BexGetData("DP_1","003N8EMH8GTFRCSWKMPXRR8GU","GSON1112030020")</f>
        <v>#NAME?</v>
      </c>
      <c r="D99" s="23" t="e">
        <f ca="1">[1]!BexGetData("DP_1","003N8EMH8GTFRCSWKMPXRRESE","GSON1112030020")</f>
        <v>#NAME?</v>
      </c>
      <c r="E99" s="23" t="e">
        <f ca="1">[1]!BexGetData("DP_1","003N8EMH8GTFRCSWKMPXRRL3Y","GSON1112030020")</f>
        <v>#NAME?</v>
      </c>
      <c r="F99" s="23" t="e">
        <f ca="1">[1]!BexGetData("DP_1","003N8EMH8GTFRCSWKMPXRRRFI","GSON1112030020")</f>
        <v>#NAME?</v>
      </c>
      <c r="G99" s="23" t="e">
        <f ca="1">[1]!BexGetData("DP_1","003N8EMH8GTFRCSWKMPXRRXR2","GSON1112030020")</f>
        <v>#NAME?</v>
      </c>
      <c r="H99" s="23" t="e">
        <f ca="1">[1]!BexGetData("DP_1","003N8EMH8GTFRCSWKMPXRS42M","GSON1112030020")</f>
        <v>#NAME?</v>
      </c>
      <c r="I99" s="23" t="e">
        <f ca="1">[1]!BexGetData("DP_1","003N8EMH8GTFRCSWKMPXRSAE6","GSON1112030020")</f>
        <v>#NAME?</v>
      </c>
      <c r="J99" s="23" t="e">
        <f ca="1">[1]!BexGetData("DP_1","003N8EMH8GTFRCSWKMPXRSGPQ","GSON1112030020")</f>
        <v>#NAME?</v>
      </c>
      <c r="K99" s="23" t="e">
        <f ca="1">[1]!BexGetData("DP_1","003N8EMH8GTFRIVNUPY288VJH","GSON1112030020")</f>
        <v>#NAME?</v>
      </c>
      <c r="L99" s="23" t="e">
        <f ca="1">[1]!BexGetData("DP_1","003N8EMH8GTFRIVNUPY2891V1","GSON1112030020")</f>
        <v>#NAME?</v>
      </c>
      <c r="M99" s="28" t="e">
        <f ca="1">[1]!BexGetData("DP_1","003N8EMH8GTFRIVOG7KG9IQXA","GSON1112030020")</f>
        <v>#NAME?</v>
      </c>
      <c r="N99" s="23" t="e">
        <f ca="1">[1]!BexGetData("DP_1","003N8EMH8GTFRIVOG7KG9IX8U","GSON1112030020")</f>
        <v>#NAME?</v>
      </c>
      <c r="O99" s="28" t="e">
        <f ca="1">[1]!BexGetData("DP_1","003N8EMH8GTFRIVOG7KG9J3KE","GSON1112030020")</f>
        <v>#NAME?</v>
      </c>
      <c r="P99" s="23" t="e">
        <f ca="1">[1]!BexGetData("DP_1","003N8EMH8GTFRIVOG7KG9J9VY","GSON1112030020")</f>
        <v>#NAME?</v>
      </c>
      <c r="Q99" s="23" t="e">
        <f ca="1">[1]!BexGetData("DP_1","00O2TNJGODT0G5Z4TTKYMM5MT","GSON1112030020")</f>
        <v>#NAME?</v>
      </c>
      <c r="R99" s="23" t="e">
        <f ca="1">[1]!BexGetData("DP_1","00O2TNJGODT0G5Z4TTKYMMBYD","GSON1112030020")</f>
        <v>#NAME?</v>
      </c>
      <c r="S99" s="23" t="e">
        <f ca="1">[1]!BexGetData("DP_1","00O2TNJGODT0G5Z4TTKYMMI9X","GSON1112030020")</f>
        <v>#NAME?</v>
      </c>
      <c r="T99" s="23" t="e">
        <f ca="1">[1]!BexGetData("DP_1","00O2TNJGODT0G5Z4TTKYMMOLH","GSON1112030020")</f>
        <v>#NAME?</v>
      </c>
      <c r="U99" s="28" t="e">
        <f ca="1">[1]!BexGetData("DP_1","00O2TNJGODT0G5Z4TTKYMMUX1","GSON1112030020")</f>
        <v>#NAME?</v>
      </c>
      <c r="V99" s="23" t="e">
        <f ca="1">[1]!BexGetData("DP_1","00O2TNJGODT0G5Z4TTKYMN18L","GSON1112030020")</f>
        <v>#NAME?</v>
      </c>
      <c r="W99" s="28" t="e">
        <f ca="1">[1]!BexGetData("DP_1","00O2TNJGODT0G5Z4TTKYMN7K5","GSON1112030020")</f>
        <v>#NAME?</v>
      </c>
    </row>
    <row r="100" spans="1:23" x14ac:dyDescent="0.2">
      <c r="A100" s="36" t="s">
        <v>1909</v>
      </c>
      <c r="B100" s="27" t="s">
        <v>147</v>
      </c>
      <c r="C100" s="23" t="e">
        <f ca="1">[1]!BexGetData("DP_1","003N8EMH8GTFRCSWKMPXRR8GU","GSON1112030021")</f>
        <v>#NAME?</v>
      </c>
      <c r="D100" s="23" t="e">
        <f ca="1">[1]!BexGetData("DP_1","003N8EMH8GTFRCSWKMPXRRESE","GSON1112030021")</f>
        <v>#NAME?</v>
      </c>
      <c r="E100" s="23" t="e">
        <f ca="1">[1]!BexGetData("DP_1","003N8EMH8GTFRCSWKMPXRRL3Y","GSON1112030021")</f>
        <v>#NAME?</v>
      </c>
      <c r="F100" s="28" t="e">
        <f ca="1">[1]!BexGetData("DP_1","003N8EMH8GTFRCSWKMPXRRRFI","GSON1112030021")</f>
        <v>#NAME?</v>
      </c>
      <c r="G100" s="23" t="e">
        <f ca="1">[1]!BexGetData("DP_1","003N8EMH8GTFRCSWKMPXRRXR2","GSON1112030021")</f>
        <v>#NAME?</v>
      </c>
      <c r="H100" s="23" t="e">
        <f ca="1">[1]!BexGetData("DP_1","003N8EMH8GTFRCSWKMPXRS42M","GSON1112030021")</f>
        <v>#NAME?</v>
      </c>
      <c r="I100" s="28" t="e">
        <f ca="1">[1]!BexGetData("DP_1","003N8EMH8GTFRCSWKMPXRSAE6","GSON1112030021")</f>
        <v>#NAME?</v>
      </c>
      <c r="J100" s="23" t="e">
        <f ca="1">[1]!BexGetData("DP_1","003N8EMH8GTFRCSWKMPXRSGPQ","GSON1112030021")</f>
        <v>#NAME?</v>
      </c>
      <c r="K100" s="23" t="e">
        <f ca="1">[1]!BexGetData("DP_1","003N8EMH8GTFRIVNUPY288VJH","GSON1112030021")</f>
        <v>#NAME?</v>
      </c>
      <c r="L100" s="23" t="e">
        <f ca="1">[1]!BexGetData("DP_1","003N8EMH8GTFRIVNUPY2891V1","GSON1112030021")</f>
        <v>#NAME?</v>
      </c>
      <c r="M100" s="23" t="e">
        <f ca="1">[1]!BexGetData("DP_1","003N8EMH8GTFRIVOG7KG9IQXA","GSON1112030021")</f>
        <v>#NAME?</v>
      </c>
      <c r="N100" s="28" t="e">
        <f ca="1">[1]!BexGetData("DP_1","003N8EMH8GTFRIVOG7KG9IX8U","GSON1112030021")</f>
        <v>#NAME?</v>
      </c>
      <c r="O100" s="23" t="e">
        <f ca="1">[1]!BexGetData("DP_1","003N8EMH8GTFRIVOG7KG9J3KE","GSON1112030021")</f>
        <v>#NAME?</v>
      </c>
      <c r="P100" s="28" t="e">
        <f ca="1">[1]!BexGetData("DP_1","003N8EMH8GTFRIVOG7KG9J9VY","GSON1112030021")</f>
        <v>#NAME?</v>
      </c>
      <c r="Q100" s="23" t="e">
        <f ca="1">[1]!BexGetData("DP_1","00O2TNJGODT0G5Z4TTKYMM5MT","GSON1112030021")</f>
        <v>#NAME?</v>
      </c>
      <c r="R100" s="23" t="e">
        <f ca="1">[1]!BexGetData("DP_1","00O2TNJGODT0G5Z4TTKYMMBYD","GSON1112030021")</f>
        <v>#NAME?</v>
      </c>
      <c r="S100" s="23" t="e">
        <f ca="1">[1]!BexGetData("DP_1","00O2TNJGODT0G5Z4TTKYMMI9X","GSON1112030021")</f>
        <v>#NAME?</v>
      </c>
      <c r="T100" s="28" t="e">
        <f ca="1">[1]!BexGetData("DP_1","00O2TNJGODT0G5Z4TTKYMMOLH","GSON1112030021")</f>
        <v>#NAME?</v>
      </c>
      <c r="U100" s="23" t="e">
        <f ca="1">[1]!BexGetData("DP_1","00O2TNJGODT0G5Z4TTKYMMUX1","GSON1112030021")</f>
        <v>#NAME?</v>
      </c>
      <c r="V100" s="28" t="e">
        <f ca="1">[1]!BexGetData("DP_1","00O2TNJGODT0G5Z4TTKYMN18L","GSON1112030021")</f>
        <v>#NAME?</v>
      </c>
      <c r="W100" s="23" t="e">
        <f ca="1">[1]!BexGetData("DP_1","00O2TNJGODT0G5Z4TTKYMN7K5","GSON1112030021")</f>
        <v>#NAME?</v>
      </c>
    </row>
    <row r="101" spans="1:23" x14ac:dyDescent="0.2">
      <c r="A101" s="36" t="s">
        <v>1910</v>
      </c>
      <c r="B101" s="27" t="s">
        <v>165</v>
      </c>
      <c r="C101" s="23" t="e">
        <f ca="1">[1]!BexGetData("DP_1","003N8EMH8GTFRCSWKMPXRR8GU","GSON1112030023")</f>
        <v>#NAME?</v>
      </c>
      <c r="D101" s="23" t="e">
        <f ca="1">[1]!BexGetData("DP_1","003N8EMH8GTFRCSWKMPXRRESE","GSON1112030023")</f>
        <v>#NAME?</v>
      </c>
      <c r="E101" s="23" t="e">
        <f ca="1">[1]!BexGetData("DP_1","003N8EMH8GTFRCSWKMPXRRL3Y","GSON1112030023")</f>
        <v>#NAME?</v>
      </c>
      <c r="F101" s="23" t="e">
        <f ca="1">[1]!BexGetData("DP_1","003N8EMH8GTFRCSWKMPXRRRFI","GSON1112030023")</f>
        <v>#NAME?</v>
      </c>
      <c r="G101" s="23" t="e">
        <f ca="1">[1]!BexGetData("DP_1","003N8EMH8GTFRCSWKMPXRRXR2","GSON1112030023")</f>
        <v>#NAME?</v>
      </c>
      <c r="H101" s="23" t="e">
        <f ca="1">[1]!BexGetData("DP_1","003N8EMH8GTFRCSWKMPXRS42M","GSON1112030023")</f>
        <v>#NAME?</v>
      </c>
      <c r="I101" s="23" t="e">
        <f ca="1">[1]!BexGetData("DP_1","003N8EMH8GTFRCSWKMPXRSAE6","GSON1112030023")</f>
        <v>#NAME?</v>
      </c>
      <c r="J101" s="24" t="e">
        <f ca="1">[1]!BexGetData("DP_1","003N8EMH8GTFRCSWKMPXRSGPQ","GSON1112030023")</f>
        <v>#NAME?</v>
      </c>
      <c r="K101" s="23" t="e">
        <f ca="1">[1]!BexGetData("DP_1","003N8EMH8GTFRIVNUPY288VJH","GSON1112030023")</f>
        <v>#NAME?</v>
      </c>
      <c r="L101" s="23" t="e">
        <f ca="1">[1]!BexGetData("DP_1","003N8EMH8GTFRIVNUPY2891V1","GSON1112030023")</f>
        <v>#NAME?</v>
      </c>
      <c r="M101" s="28" t="e">
        <f ca="1">[1]!BexGetData("DP_1","003N8EMH8GTFRIVOG7KG9IQXA","GSON1112030023")</f>
        <v>#NAME?</v>
      </c>
      <c r="N101" s="23" t="e">
        <f ca="1">[1]!BexGetData("DP_1","003N8EMH8GTFRIVOG7KG9IX8U","GSON1112030023")</f>
        <v>#NAME?</v>
      </c>
      <c r="O101" s="28" t="e">
        <f ca="1">[1]!BexGetData("DP_1","003N8EMH8GTFRIVOG7KG9J3KE","GSON1112030023")</f>
        <v>#NAME?</v>
      </c>
      <c r="P101" s="23" t="e">
        <f ca="1">[1]!BexGetData("DP_1","003N8EMH8GTFRIVOG7KG9J9VY","GSON1112030023")</f>
        <v>#NAME?</v>
      </c>
      <c r="Q101" s="24" t="e">
        <f ca="1">[1]!BexGetData("DP_1","00O2TNJGODT0G5Z4TTKYMM5MT","GSON1112030023")</f>
        <v>#NAME?</v>
      </c>
      <c r="R101" s="23" t="e">
        <f ca="1">[1]!BexGetData("DP_1","00O2TNJGODT0G5Z4TTKYMMBYD","GSON1112030023")</f>
        <v>#NAME?</v>
      </c>
      <c r="S101" s="23" t="e">
        <f ca="1">[1]!BexGetData("DP_1","00O2TNJGODT0G5Z4TTKYMMI9X","GSON1112030023")</f>
        <v>#NAME?</v>
      </c>
      <c r="T101" s="23" t="e">
        <f ca="1">[1]!BexGetData("DP_1","00O2TNJGODT0G5Z4TTKYMMOLH","GSON1112030023")</f>
        <v>#NAME?</v>
      </c>
      <c r="U101" s="28" t="e">
        <f ca="1">[1]!BexGetData("DP_1","00O2TNJGODT0G5Z4TTKYMMUX1","GSON1112030023")</f>
        <v>#NAME?</v>
      </c>
      <c r="V101" s="23" t="e">
        <f ca="1">[1]!BexGetData("DP_1","00O2TNJGODT0G5Z4TTKYMN18L","GSON1112030023")</f>
        <v>#NAME?</v>
      </c>
      <c r="W101" s="28" t="e">
        <f ca="1">[1]!BexGetData("DP_1","00O2TNJGODT0G5Z4TTKYMN7K5","GSON1112030023")</f>
        <v>#NAME?</v>
      </c>
    </row>
    <row r="102" spans="1:23" x14ac:dyDescent="0.2">
      <c r="A102" s="36" t="s">
        <v>1911</v>
      </c>
      <c r="B102" s="27" t="s">
        <v>1912</v>
      </c>
      <c r="C102" s="24" t="e">
        <f ca="1">[1]!BexGetData("DP_1","003N8EMH8GTFRCSWKMPXRR8GU","GSON1112030024")</f>
        <v>#NAME?</v>
      </c>
      <c r="D102" s="24" t="e">
        <f ca="1">[1]!BexGetData("DP_1","003N8EMH8GTFRCSWKMPXRRESE","GSON1112030024")</f>
        <v>#NAME?</v>
      </c>
      <c r="E102" s="24" t="e">
        <f ca="1">[1]!BexGetData("DP_1","003N8EMH8GTFRCSWKMPXRRL3Y","GSON1112030024")</f>
        <v>#NAME?</v>
      </c>
      <c r="F102" s="28" t="e">
        <f ca="1">[1]!BexGetData("DP_1","003N8EMH8GTFRCSWKMPXRRRFI","GSON1112030024")</f>
        <v>#NAME?</v>
      </c>
      <c r="G102" s="23" t="e">
        <f ca="1">[1]!BexGetData("DP_1","003N8EMH8GTFRCSWKMPXRRXR2","GSON1112030024")</f>
        <v>#NAME?</v>
      </c>
      <c r="H102" s="23" t="e">
        <f ca="1">[1]!BexGetData("DP_1","003N8EMH8GTFRCSWKMPXRS42M","GSON1112030024")</f>
        <v>#NAME?</v>
      </c>
      <c r="I102" s="28" t="e">
        <f ca="1">[1]!BexGetData("DP_1","003N8EMH8GTFRCSWKMPXRSAE6","GSON1112030024")</f>
        <v>#NAME?</v>
      </c>
      <c r="J102" s="24" t="e">
        <f ca="1">[1]!BexGetData("DP_1","003N8EMH8GTFRCSWKMPXRSGPQ","GSON1112030024")</f>
        <v>#NAME?</v>
      </c>
      <c r="K102" s="28" t="e">
        <f ca="1">[1]!BexGetData("DP_1","003N8EMH8GTFRIVNUPY288VJH","GSON1112030024")</f>
        <v>#NAME?</v>
      </c>
      <c r="L102" s="28" t="e">
        <f ca="1">[1]!BexGetData("DP_1","003N8EMH8GTFRIVNUPY2891V1","GSON1112030024")</f>
        <v>#NAME?</v>
      </c>
      <c r="M102" s="28" t="e">
        <f ca="1">[1]!BexGetData("DP_1","003N8EMH8GTFRIVOG7KG9IQXA","GSON1112030024")</f>
        <v>#NAME?</v>
      </c>
      <c r="N102" s="28" t="e">
        <f ca="1">[1]!BexGetData("DP_1","003N8EMH8GTFRIVOG7KG9IX8U","GSON1112030024")</f>
        <v>#NAME?</v>
      </c>
      <c r="O102" s="28" t="e">
        <f ca="1">[1]!BexGetData("DP_1","003N8EMH8GTFRIVOG7KG9J3KE","GSON1112030024")</f>
        <v>#NAME?</v>
      </c>
      <c r="P102" s="28" t="e">
        <f ca="1">[1]!BexGetData("DP_1","003N8EMH8GTFRIVOG7KG9J9VY","GSON1112030024")</f>
        <v>#NAME?</v>
      </c>
      <c r="Q102" s="24" t="e">
        <f ca="1">[1]!BexGetData("DP_1","00O2TNJGODT0G5Z4TTKYMM5MT","GSON1112030024")</f>
        <v>#NAME?</v>
      </c>
      <c r="R102" s="28" t="e">
        <f ca="1">[1]!BexGetData("DP_1","00O2TNJGODT0G5Z4TTKYMMBYD","GSON1112030024")</f>
        <v>#NAME?</v>
      </c>
      <c r="S102" s="28" t="e">
        <f ca="1">[1]!BexGetData("DP_1","00O2TNJGODT0G5Z4TTKYMMI9X","GSON1112030024")</f>
        <v>#NAME?</v>
      </c>
      <c r="T102" s="28" t="e">
        <f ca="1">[1]!BexGetData("DP_1","00O2TNJGODT0G5Z4TTKYMMOLH","GSON1112030024")</f>
        <v>#NAME?</v>
      </c>
      <c r="U102" s="28" t="e">
        <f ca="1">[1]!BexGetData("DP_1","00O2TNJGODT0G5Z4TTKYMMUX1","GSON1112030024")</f>
        <v>#NAME?</v>
      </c>
      <c r="V102" s="28" t="e">
        <f ca="1">[1]!BexGetData("DP_1","00O2TNJGODT0G5Z4TTKYMN18L","GSON1112030024")</f>
        <v>#NAME?</v>
      </c>
      <c r="W102" s="28" t="e">
        <f ca="1">[1]!BexGetData("DP_1","00O2TNJGODT0G5Z4TTKYMN7K5","GSON1112030024")</f>
        <v>#NAME?</v>
      </c>
    </row>
    <row r="103" spans="1:23" x14ac:dyDescent="0.2">
      <c r="A103" s="36" t="s">
        <v>1913</v>
      </c>
      <c r="B103" s="27" t="s">
        <v>754</v>
      </c>
      <c r="C103" s="23" t="e">
        <f ca="1">[1]!BexGetData("DP_1","003N8EMH8GTFRCSWKMPXRR8GU","GSON1112030025")</f>
        <v>#NAME?</v>
      </c>
      <c r="D103" s="23" t="e">
        <f ca="1">[1]!BexGetData("DP_1","003N8EMH8GTFRCSWKMPXRRESE","GSON1112030025")</f>
        <v>#NAME?</v>
      </c>
      <c r="E103" s="28" t="e">
        <f ca="1">[1]!BexGetData("DP_1","003N8EMH8GTFRCSWKMPXRRL3Y","GSON1112030025")</f>
        <v>#NAME?</v>
      </c>
      <c r="F103" s="28" t="e">
        <f ca="1">[1]!BexGetData("DP_1","003N8EMH8GTFRCSWKMPXRRRFI","GSON1112030025")</f>
        <v>#NAME?</v>
      </c>
      <c r="G103" s="23" t="e">
        <f ca="1">[1]!BexGetData("DP_1","003N8EMH8GTFRCSWKMPXRRXR2","GSON1112030025")</f>
        <v>#NAME?</v>
      </c>
      <c r="H103" s="23" t="e">
        <f ca="1">[1]!BexGetData("DP_1","003N8EMH8GTFRCSWKMPXRS42M","GSON1112030025")</f>
        <v>#NAME?</v>
      </c>
      <c r="I103" s="28" t="e">
        <f ca="1">[1]!BexGetData("DP_1","003N8EMH8GTFRCSWKMPXRSAE6","GSON1112030025")</f>
        <v>#NAME?</v>
      </c>
      <c r="J103" s="24" t="e">
        <f ca="1">[1]!BexGetData("DP_1","003N8EMH8GTFRCSWKMPXRSGPQ","GSON1112030025")</f>
        <v>#NAME?</v>
      </c>
      <c r="K103" s="28" t="e">
        <f ca="1">[1]!BexGetData("DP_1","003N8EMH8GTFRIVNUPY288VJH","GSON1112030025")</f>
        <v>#NAME?</v>
      </c>
      <c r="L103" s="28" t="e">
        <f ca="1">[1]!BexGetData("DP_1","003N8EMH8GTFRIVNUPY2891V1","GSON1112030025")</f>
        <v>#NAME?</v>
      </c>
      <c r="M103" s="28" t="e">
        <f ca="1">[1]!BexGetData("DP_1","003N8EMH8GTFRIVOG7KG9IQXA","GSON1112030025")</f>
        <v>#NAME?</v>
      </c>
      <c r="N103" s="28" t="e">
        <f ca="1">[1]!BexGetData("DP_1","003N8EMH8GTFRIVOG7KG9IX8U","GSON1112030025")</f>
        <v>#NAME?</v>
      </c>
      <c r="O103" s="28" t="e">
        <f ca="1">[1]!BexGetData("DP_1","003N8EMH8GTFRIVOG7KG9J3KE","GSON1112030025")</f>
        <v>#NAME?</v>
      </c>
      <c r="P103" s="28" t="e">
        <f ca="1">[1]!BexGetData("DP_1","003N8EMH8GTFRIVOG7KG9J9VY","GSON1112030025")</f>
        <v>#NAME?</v>
      </c>
      <c r="Q103" s="24" t="e">
        <f ca="1">[1]!BexGetData("DP_1","00O2TNJGODT0G5Z4TTKYMM5MT","GSON1112030025")</f>
        <v>#NAME?</v>
      </c>
      <c r="R103" s="28" t="e">
        <f ca="1">[1]!BexGetData("DP_1","00O2TNJGODT0G5Z4TTKYMMBYD","GSON1112030025")</f>
        <v>#NAME?</v>
      </c>
      <c r="S103" s="28" t="e">
        <f ca="1">[1]!BexGetData("DP_1","00O2TNJGODT0G5Z4TTKYMMI9X","GSON1112030025")</f>
        <v>#NAME?</v>
      </c>
      <c r="T103" s="28" t="e">
        <f ca="1">[1]!BexGetData("DP_1","00O2TNJGODT0G5Z4TTKYMMOLH","GSON1112030025")</f>
        <v>#NAME?</v>
      </c>
      <c r="U103" s="28" t="e">
        <f ca="1">[1]!BexGetData("DP_1","00O2TNJGODT0G5Z4TTKYMMUX1","GSON1112030025")</f>
        <v>#NAME?</v>
      </c>
      <c r="V103" s="28" t="e">
        <f ca="1">[1]!BexGetData("DP_1","00O2TNJGODT0G5Z4TTKYMN18L","GSON1112030025")</f>
        <v>#NAME?</v>
      </c>
      <c r="W103" s="28" t="e">
        <f ca="1">[1]!BexGetData("DP_1","00O2TNJGODT0G5Z4TTKYMN7K5","GSON1112030025")</f>
        <v>#NAME?</v>
      </c>
    </row>
    <row r="104" spans="1:23" x14ac:dyDescent="0.2">
      <c r="A104" s="36" t="s">
        <v>1914</v>
      </c>
      <c r="B104" s="27" t="s">
        <v>166</v>
      </c>
      <c r="C104" s="23" t="e">
        <f ca="1">[1]!BexGetData("DP_1","003N8EMH8GTFRCSWKMPXRR8GU","GSON1112030030")</f>
        <v>#NAME?</v>
      </c>
      <c r="D104" s="23" t="e">
        <f ca="1">[1]!BexGetData("DP_1","003N8EMH8GTFRCSWKMPXRRESE","GSON1112030030")</f>
        <v>#NAME?</v>
      </c>
      <c r="E104" s="23" t="e">
        <f ca="1">[1]!BexGetData("DP_1","003N8EMH8GTFRCSWKMPXRRL3Y","GSON1112030030")</f>
        <v>#NAME?</v>
      </c>
      <c r="F104" s="23" t="e">
        <f ca="1">[1]!BexGetData("DP_1","003N8EMH8GTFRCSWKMPXRRRFI","GSON1112030030")</f>
        <v>#NAME?</v>
      </c>
      <c r="G104" s="23" t="e">
        <f ca="1">[1]!BexGetData("DP_1","003N8EMH8GTFRCSWKMPXRRXR2","GSON1112030030")</f>
        <v>#NAME?</v>
      </c>
      <c r="H104" s="23" t="e">
        <f ca="1">[1]!BexGetData("DP_1","003N8EMH8GTFRCSWKMPXRS42M","GSON1112030030")</f>
        <v>#NAME?</v>
      </c>
      <c r="I104" s="23" t="e">
        <f ca="1">[1]!BexGetData("DP_1","003N8EMH8GTFRCSWKMPXRSAE6","GSON1112030030")</f>
        <v>#NAME?</v>
      </c>
      <c r="J104" s="23" t="e">
        <f ca="1">[1]!BexGetData("DP_1","003N8EMH8GTFRCSWKMPXRSGPQ","GSON1112030030")</f>
        <v>#NAME?</v>
      </c>
      <c r="K104" s="23" t="e">
        <f ca="1">[1]!BexGetData("DP_1","003N8EMH8GTFRIVNUPY288VJH","GSON1112030030")</f>
        <v>#NAME?</v>
      </c>
      <c r="L104" s="23" t="e">
        <f ca="1">[1]!BexGetData("DP_1","003N8EMH8GTFRIVNUPY2891V1","GSON1112030030")</f>
        <v>#NAME?</v>
      </c>
      <c r="M104" s="23" t="e">
        <f ca="1">[1]!BexGetData("DP_1","003N8EMH8GTFRIVOG7KG9IQXA","GSON1112030030")</f>
        <v>#NAME?</v>
      </c>
      <c r="N104" s="28" t="e">
        <f ca="1">[1]!BexGetData("DP_1","003N8EMH8GTFRIVOG7KG9IX8U","GSON1112030030")</f>
        <v>#NAME?</v>
      </c>
      <c r="O104" s="23" t="e">
        <f ca="1">[1]!BexGetData("DP_1","003N8EMH8GTFRIVOG7KG9J3KE","GSON1112030030")</f>
        <v>#NAME?</v>
      </c>
      <c r="P104" s="28" t="e">
        <f ca="1">[1]!BexGetData("DP_1","003N8EMH8GTFRIVOG7KG9J9VY","GSON1112030030")</f>
        <v>#NAME?</v>
      </c>
      <c r="Q104" s="23" t="e">
        <f ca="1">[1]!BexGetData("DP_1","00O2TNJGODT0G5Z4TTKYMM5MT","GSON1112030030")</f>
        <v>#NAME?</v>
      </c>
      <c r="R104" s="23" t="e">
        <f ca="1">[1]!BexGetData("DP_1","00O2TNJGODT0G5Z4TTKYMMBYD","GSON1112030030")</f>
        <v>#NAME?</v>
      </c>
      <c r="S104" s="23" t="e">
        <f ca="1">[1]!BexGetData("DP_1","00O2TNJGODT0G5Z4TTKYMMI9X","GSON1112030030")</f>
        <v>#NAME?</v>
      </c>
      <c r="T104" s="28" t="e">
        <f ca="1">[1]!BexGetData("DP_1","00O2TNJGODT0G5Z4TTKYMMOLH","GSON1112030030")</f>
        <v>#NAME?</v>
      </c>
      <c r="U104" s="23" t="e">
        <f ca="1">[1]!BexGetData("DP_1","00O2TNJGODT0G5Z4TTKYMMUX1","GSON1112030030")</f>
        <v>#NAME?</v>
      </c>
      <c r="V104" s="28" t="e">
        <f ca="1">[1]!BexGetData("DP_1","00O2TNJGODT0G5Z4TTKYMN18L","GSON1112030030")</f>
        <v>#NAME?</v>
      </c>
      <c r="W104" s="23" t="e">
        <f ca="1">[1]!BexGetData("DP_1","00O2TNJGODT0G5Z4TTKYMN7K5","GSON1112030030")</f>
        <v>#NAME?</v>
      </c>
    </row>
    <row r="105" spans="1:23" x14ac:dyDescent="0.2">
      <c r="A105" s="36" t="s">
        <v>1915</v>
      </c>
      <c r="B105" s="27" t="s">
        <v>148</v>
      </c>
      <c r="C105" s="23" t="e">
        <f ca="1">[1]!BexGetData("DP_1","003N8EMH8GTFRCSWKMPXRR8GU","GSON1112030031")</f>
        <v>#NAME?</v>
      </c>
      <c r="D105" s="23" t="e">
        <f ca="1">[1]!BexGetData("DP_1","003N8EMH8GTFRCSWKMPXRRESE","GSON1112030031")</f>
        <v>#NAME?</v>
      </c>
      <c r="E105" s="28" t="e">
        <f ca="1">[1]!BexGetData("DP_1","003N8EMH8GTFRCSWKMPXRRL3Y","GSON1112030031")</f>
        <v>#NAME?</v>
      </c>
      <c r="F105" s="28" t="e">
        <f ca="1">[1]!BexGetData("DP_1","003N8EMH8GTFRCSWKMPXRRRFI","GSON1112030031")</f>
        <v>#NAME?</v>
      </c>
      <c r="G105" s="23" t="e">
        <f ca="1">[1]!BexGetData("DP_1","003N8EMH8GTFRCSWKMPXRRXR2","GSON1112030031")</f>
        <v>#NAME?</v>
      </c>
      <c r="H105" s="23" t="e">
        <f ca="1">[1]!BexGetData("DP_1","003N8EMH8GTFRCSWKMPXRS42M","GSON1112030031")</f>
        <v>#NAME?</v>
      </c>
      <c r="I105" s="28" t="e">
        <f ca="1">[1]!BexGetData("DP_1","003N8EMH8GTFRCSWKMPXRSAE6","GSON1112030031")</f>
        <v>#NAME?</v>
      </c>
      <c r="J105" s="23" t="e">
        <f ca="1">[1]!BexGetData("DP_1","003N8EMH8GTFRCSWKMPXRSGPQ","GSON1112030031")</f>
        <v>#NAME?</v>
      </c>
      <c r="K105" s="28" t="e">
        <f ca="1">[1]!BexGetData("DP_1","003N8EMH8GTFRIVNUPY288VJH","GSON1112030031")</f>
        <v>#NAME?</v>
      </c>
      <c r="L105" s="28" t="e">
        <f ca="1">[1]!BexGetData("DP_1","003N8EMH8GTFRIVNUPY2891V1","GSON1112030031")</f>
        <v>#NAME?</v>
      </c>
      <c r="M105" s="28" t="e">
        <f ca="1">[1]!BexGetData("DP_1","003N8EMH8GTFRIVOG7KG9IQXA","GSON1112030031")</f>
        <v>#NAME?</v>
      </c>
      <c r="N105" s="28" t="e">
        <f ca="1">[1]!BexGetData("DP_1","003N8EMH8GTFRIVOG7KG9IX8U","GSON1112030031")</f>
        <v>#NAME?</v>
      </c>
      <c r="O105" s="28" t="e">
        <f ca="1">[1]!BexGetData("DP_1","003N8EMH8GTFRIVOG7KG9J3KE","GSON1112030031")</f>
        <v>#NAME?</v>
      </c>
      <c r="P105" s="28" t="e">
        <f ca="1">[1]!BexGetData("DP_1","003N8EMH8GTFRIVOG7KG9J9VY","GSON1112030031")</f>
        <v>#NAME?</v>
      </c>
      <c r="Q105" s="23" t="e">
        <f ca="1">[1]!BexGetData("DP_1","00O2TNJGODT0G5Z4TTKYMM5MT","GSON1112030031")</f>
        <v>#NAME?</v>
      </c>
      <c r="R105" s="23" t="e">
        <f ca="1">[1]!BexGetData("DP_1","00O2TNJGODT0G5Z4TTKYMMBYD","GSON1112030031")</f>
        <v>#NAME?</v>
      </c>
      <c r="S105" s="23" t="e">
        <f ca="1">[1]!BexGetData("DP_1","00O2TNJGODT0G5Z4TTKYMMI9X","GSON1112030031")</f>
        <v>#NAME?</v>
      </c>
      <c r="T105" s="23" t="e">
        <f ca="1">[1]!BexGetData("DP_1","00O2TNJGODT0G5Z4TTKYMMOLH","GSON1112030031")</f>
        <v>#NAME?</v>
      </c>
      <c r="U105" s="28" t="e">
        <f ca="1">[1]!BexGetData("DP_1","00O2TNJGODT0G5Z4TTKYMMUX1","GSON1112030031")</f>
        <v>#NAME?</v>
      </c>
      <c r="V105" s="23" t="e">
        <f ca="1">[1]!BexGetData("DP_1","00O2TNJGODT0G5Z4TTKYMN18L","GSON1112030031")</f>
        <v>#NAME?</v>
      </c>
      <c r="W105" s="28" t="e">
        <f ca="1">[1]!BexGetData("DP_1","00O2TNJGODT0G5Z4TTKYMN7K5","GSON1112030031")</f>
        <v>#NAME?</v>
      </c>
    </row>
    <row r="106" spans="1:23" x14ac:dyDescent="0.2">
      <c r="A106" s="36" t="s">
        <v>1916</v>
      </c>
      <c r="B106" s="27" t="s">
        <v>65</v>
      </c>
      <c r="C106" s="23" t="e">
        <f ca="1">[1]!BexGetData("DP_1","003N8EMH8GTFRCSWKMPXRR8GU","GSON1112030032")</f>
        <v>#NAME?</v>
      </c>
      <c r="D106" s="23" t="e">
        <f ca="1">[1]!BexGetData("DP_1","003N8EMH8GTFRCSWKMPXRRESE","GSON1112030032")</f>
        <v>#NAME?</v>
      </c>
      <c r="E106" s="23" t="e">
        <f ca="1">[1]!BexGetData("DP_1","003N8EMH8GTFRCSWKMPXRRL3Y","GSON1112030032")</f>
        <v>#NAME?</v>
      </c>
      <c r="F106" s="23" t="e">
        <f ca="1">[1]!BexGetData("DP_1","003N8EMH8GTFRCSWKMPXRRRFI","GSON1112030032")</f>
        <v>#NAME?</v>
      </c>
      <c r="G106" s="23" t="e">
        <f ca="1">[1]!BexGetData("DP_1","003N8EMH8GTFRCSWKMPXRRXR2","GSON1112030032")</f>
        <v>#NAME?</v>
      </c>
      <c r="H106" s="23" t="e">
        <f ca="1">[1]!BexGetData("DP_1","003N8EMH8GTFRCSWKMPXRS42M","GSON1112030032")</f>
        <v>#NAME?</v>
      </c>
      <c r="I106" s="23" t="e">
        <f ca="1">[1]!BexGetData("DP_1","003N8EMH8GTFRCSWKMPXRSAE6","GSON1112030032")</f>
        <v>#NAME?</v>
      </c>
      <c r="J106" s="23" t="e">
        <f ca="1">[1]!BexGetData("DP_1","003N8EMH8GTFRCSWKMPXRSGPQ","GSON1112030032")</f>
        <v>#NAME?</v>
      </c>
      <c r="K106" s="23" t="e">
        <f ca="1">[1]!BexGetData("DP_1","003N8EMH8GTFRIVNUPY288VJH","GSON1112030032")</f>
        <v>#NAME?</v>
      </c>
      <c r="L106" s="23" t="e">
        <f ca="1">[1]!BexGetData("DP_1","003N8EMH8GTFRIVNUPY2891V1","GSON1112030032")</f>
        <v>#NAME?</v>
      </c>
      <c r="M106" s="28" t="e">
        <f ca="1">[1]!BexGetData("DP_1","003N8EMH8GTFRIVOG7KG9IQXA","GSON1112030032")</f>
        <v>#NAME?</v>
      </c>
      <c r="N106" s="23" t="e">
        <f ca="1">[1]!BexGetData("DP_1","003N8EMH8GTFRIVOG7KG9IX8U","GSON1112030032")</f>
        <v>#NAME?</v>
      </c>
      <c r="O106" s="28" t="e">
        <f ca="1">[1]!BexGetData("DP_1","003N8EMH8GTFRIVOG7KG9J3KE","GSON1112030032")</f>
        <v>#NAME?</v>
      </c>
      <c r="P106" s="23" t="e">
        <f ca="1">[1]!BexGetData("DP_1","003N8EMH8GTFRIVOG7KG9J9VY","GSON1112030032")</f>
        <v>#NAME?</v>
      </c>
      <c r="Q106" s="23" t="e">
        <f ca="1">[1]!BexGetData("DP_1","00O2TNJGODT0G5Z4TTKYMM5MT","GSON1112030032")</f>
        <v>#NAME?</v>
      </c>
      <c r="R106" s="23" t="e">
        <f ca="1">[1]!BexGetData("DP_1","00O2TNJGODT0G5Z4TTKYMMBYD","GSON1112030032")</f>
        <v>#NAME?</v>
      </c>
      <c r="S106" s="23" t="e">
        <f ca="1">[1]!BexGetData("DP_1","00O2TNJGODT0G5Z4TTKYMMI9X","GSON1112030032")</f>
        <v>#NAME?</v>
      </c>
      <c r="T106" s="23" t="e">
        <f ca="1">[1]!BexGetData("DP_1","00O2TNJGODT0G5Z4TTKYMMOLH","GSON1112030032")</f>
        <v>#NAME?</v>
      </c>
      <c r="U106" s="28" t="e">
        <f ca="1">[1]!BexGetData("DP_1","00O2TNJGODT0G5Z4TTKYMMUX1","GSON1112030032")</f>
        <v>#NAME?</v>
      </c>
      <c r="V106" s="23" t="e">
        <f ca="1">[1]!BexGetData("DP_1","00O2TNJGODT0G5Z4TTKYMN18L","GSON1112030032")</f>
        <v>#NAME?</v>
      </c>
      <c r="W106" s="28" t="e">
        <f ca="1">[1]!BexGetData("DP_1","00O2TNJGODT0G5Z4TTKYMN7K5","GSON1112030032")</f>
        <v>#NAME?</v>
      </c>
    </row>
    <row r="107" spans="1:23" x14ac:dyDescent="0.2">
      <c r="A107" s="36" t="s">
        <v>1917</v>
      </c>
      <c r="B107" s="27" t="s">
        <v>66</v>
      </c>
      <c r="C107" s="23" t="e">
        <f ca="1">[1]!BexGetData("DP_1","003N8EMH8GTFRCSWKMPXRR8GU","GSON1112030033")</f>
        <v>#NAME?</v>
      </c>
      <c r="D107" s="23" t="e">
        <f ca="1">[1]!BexGetData("DP_1","003N8EMH8GTFRCSWKMPXRRESE","GSON1112030033")</f>
        <v>#NAME?</v>
      </c>
      <c r="E107" s="23" t="e">
        <f ca="1">[1]!BexGetData("DP_1","003N8EMH8GTFRCSWKMPXRRL3Y","GSON1112030033")</f>
        <v>#NAME?</v>
      </c>
      <c r="F107" s="28" t="e">
        <f ca="1">[1]!BexGetData("DP_1","003N8EMH8GTFRCSWKMPXRRRFI","GSON1112030033")</f>
        <v>#NAME?</v>
      </c>
      <c r="G107" s="23" t="e">
        <f ca="1">[1]!BexGetData("DP_1","003N8EMH8GTFRCSWKMPXRRXR2","GSON1112030033")</f>
        <v>#NAME?</v>
      </c>
      <c r="H107" s="23" t="e">
        <f ca="1">[1]!BexGetData("DP_1","003N8EMH8GTFRCSWKMPXRS42M","GSON1112030033")</f>
        <v>#NAME?</v>
      </c>
      <c r="I107" s="28" t="e">
        <f ca="1">[1]!BexGetData("DP_1","003N8EMH8GTFRCSWKMPXRSAE6","GSON1112030033")</f>
        <v>#NAME?</v>
      </c>
      <c r="J107" s="24" t="e">
        <f ca="1">[1]!BexGetData("DP_1","003N8EMH8GTFRCSWKMPXRSGPQ","GSON1112030033")</f>
        <v>#NAME?</v>
      </c>
      <c r="K107" s="23" t="e">
        <f ca="1">[1]!BexGetData("DP_1","003N8EMH8GTFRIVNUPY288VJH","GSON1112030033")</f>
        <v>#NAME?</v>
      </c>
      <c r="L107" s="23" t="e">
        <f ca="1">[1]!BexGetData("DP_1","003N8EMH8GTFRIVNUPY2891V1","GSON1112030033")</f>
        <v>#NAME?</v>
      </c>
      <c r="M107" s="28" t="e">
        <f ca="1">[1]!BexGetData("DP_1","003N8EMH8GTFRIVOG7KG9IQXA","GSON1112030033")</f>
        <v>#NAME?</v>
      </c>
      <c r="N107" s="23" t="e">
        <f ca="1">[1]!BexGetData("DP_1","003N8EMH8GTFRIVOG7KG9IX8U","GSON1112030033")</f>
        <v>#NAME?</v>
      </c>
      <c r="O107" s="28" t="e">
        <f ca="1">[1]!BexGetData("DP_1","003N8EMH8GTFRIVOG7KG9J3KE","GSON1112030033")</f>
        <v>#NAME?</v>
      </c>
      <c r="P107" s="23" t="e">
        <f ca="1">[1]!BexGetData("DP_1","003N8EMH8GTFRIVOG7KG9J9VY","GSON1112030033")</f>
        <v>#NAME?</v>
      </c>
      <c r="Q107" s="24" t="e">
        <f ca="1">[1]!BexGetData("DP_1","00O2TNJGODT0G5Z4TTKYMM5MT","GSON1112030033")</f>
        <v>#NAME?</v>
      </c>
      <c r="R107" s="28" t="e">
        <f ca="1">[1]!BexGetData("DP_1","00O2TNJGODT0G5Z4TTKYMMBYD","GSON1112030033")</f>
        <v>#NAME?</v>
      </c>
      <c r="S107" s="28" t="e">
        <f ca="1">[1]!BexGetData("DP_1","00O2TNJGODT0G5Z4TTKYMMI9X","GSON1112030033")</f>
        <v>#NAME?</v>
      </c>
      <c r="T107" s="28" t="e">
        <f ca="1">[1]!BexGetData("DP_1","00O2TNJGODT0G5Z4TTKYMMOLH","GSON1112030033")</f>
        <v>#NAME?</v>
      </c>
      <c r="U107" s="28" t="e">
        <f ca="1">[1]!BexGetData("DP_1","00O2TNJGODT0G5Z4TTKYMMUX1","GSON1112030033")</f>
        <v>#NAME?</v>
      </c>
      <c r="V107" s="28" t="e">
        <f ca="1">[1]!BexGetData("DP_1","00O2TNJGODT0G5Z4TTKYMN18L","GSON1112030033")</f>
        <v>#NAME?</v>
      </c>
      <c r="W107" s="28" t="e">
        <f ca="1">[1]!BexGetData("DP_1","00O2TNJGODT0G5Z4TTKYMN7K5","GSON1112030033")</f>
        <v>#NAME?</v>
      </c>
    </row>
    <row r="108" spans="1:23" x14ac:dyDescent="0.2">
      <c r="A108" s="36" t="s">
        <v>1918</v>
      </c>
      <c r="B108" s="27" t="s">
        <v>755</v>
      </c>
      <c r="C108" s="23" t="e">
        <f ca="1">[1]!BexGetData("DP_1","003N8EMH8GTFRCSWKMPXRR8GU","GSON1112030034")</f>
        <v>#NAME?</v>
      </c>
      <c r="D108" s="23" t="e">
        <f ca="1">[1]!BexGetData("DP_1","003N8EMH8GTFRCSWKMPXRRESE","GSON1112030034")</f>
        <v>#NAME?</v>
      </c>
      <c r="E108" s="28" t="e">
        <f ca="1">[1]!BexGetData("DP_1","003N8EMH8GTFRCSWKMPXRRL3Y","GSON1112030034")</f>
        <v>#NAME?</v>
      </c>
      <c r="F108" s="28" t="e">
        <f ca="1">[1]!BexGetData("DP_1","003N8EMH8GTFRCSWKMPXRRRFI","GSON1112030034")</f>
        <v>#NAME?</v>
      </c>
      <c r="G108" s="23" t="e">
        <f ca="1">[1]!BexGetData("DP_1","003N8EMH8GTFRCSWKMPXRRXR2","GSON1112030034")</f>
        <v>#NAME?</v>
      </c>
      <c r="H108" s="23" t="e">
        <f ca="1">[1]!BexGetData("DP_1","003N8EMH8GTFRCSWKMPXRS42M","GSON1112030034")</f>
        <v>#NAME?</v>
      </c>
      <c r="I108" s="28" t="e">
        <f ca="1">[1]!BexGetData("DP_1","003N8EMH8GTFRCSWKMPXRSAE6","GSON1112030034")</f>
        <v>#NAME?</v>
      </c>
      <c r="J108" s="24" t="e">
        <f ca="1">[1]!BexGetData("DP_1","003N8EMH8GTFRCSWKMPXRSGPQ","GSON1112030034")</f>
        <v>#NAME?</v>
      </c>
      <c r="K108" s="28" t="e">
        <f ca="1">[1]!BexGetData("DP_1","003N8EMH8GTFRIVNUPY288VJH","GSON1112030034")</f>
        <v>#NAME?</v>
      </c>
      <c r="L108" s="28" t="e">
        <f ca="1">[1]!BexGetData("DP_1","003N8EMH8GTFRIVNUPY2891V1","GSON1112030034")</f>
        <v>#NAME?</v>
      </c>
      <c r="M108" s="28" t="e">
        <f ca="1">[1]!BexGetData("DP_1","003N8EMH8GTFRIVOG7KG9IQXA","GSON1112030034")</f>
        <v>#NAME?</v>
      </c>
      <c r="N108" s="28" t="e">
        <f ca="1">[1]!BexGetData("DP_1","003N8EMH8GTFRIVOG7KG9IX8U","GSON1112030034")</f>
        <v>#NAME?</v>
      </c>
      <c r="O108" s="28" t="e">
        <f ca="1">[1]!BexGetData("DP_1","003N8EMH8GTFRIVOG7KG9J3KE","GSON1112030034")</f>
        <v>#NAME?</v>
      </c>
      <c r="P108" s="28" t="e">
        <f ca="1">[1]!BexGetData("DP_1","003N8EMH8GTFRIVOG7KG9J9VY","GSON1112030034")</f>
        <v>#NAME?</v>
      </c>
      <c r="Q108" s="24" t="e">
        <f ca="1">[1]!BexGetData("DP_1","00O2TNJGODT0G5Z4TTKYMM5MT","GSON1112030034")</f>
        <v>#NAME?</v>
      </c>
      <c r="R108" s="28" t="e">
        <f ca="1">[1]!BexGetData("DP_1","00O2TNJGODT0G5Z4TTKYMMBYD","GSON1112030034")</f>
        <v>#NAME?</v>
      </c>
      <c r="S108" s="28" t="e">
        <f ca="1">[1]!BexGetData("DP_1","00O2TNJGODT0G5Z4TTKYMMI9X","GSON1112030034")</f>
        <v>#NAME?</v>
      </c>
      <c r="T108" s="28" t="e">
        <f ca="1">[1]!BexGetData("DP_1","00O2TNJGODT0G5Z4TTKYMMOLH","GSON1112030034")</f>
        <v>#NAME?</v>
      </c>
      <c r="U108" s="28" t="e">
        <f ca="1">[1]!BexGetData("DP_1","00O2TNJGODT0G5Z4TTKYMMUX1","GSON1112030034")</f>
        <v>#NAME?</v>
      </c>
      <c r="V108" s="28" t="e">
        <f ca="1">[1]!BexGetData("DP_1","00O2TNJGODT0G5Z4TTKYMN18L","GSON1112030034")</f>
        <v>#NAME?</v>
      </c>
      <c r="W108" s="28" t="e">
        <f ca="1">[1]!BexGetData("DP_1","00O2TNJGODT0G5Z4TTKYMN7K5","GSON1112030034")</f>
        <v>#NAME?</v>
      </c>
    </row>
    <row r="109" spans="1:23" x14ac:dyDescent="0.2">
      <c r="A109" s="36" t="s">
        <v>1919</v>
      </c>
      <c r="B109" s="27" t="s">
        <v>756</v>
      </c>
      <c r="C109" s="23" t="e">
        <f ca="1">[1]!BexGetData("DP_1","003N8EMH8GTFRCSWKMPXRR8GU","GSON1112030035")</f>
        <v>#NAME?</v>
      </c>
      <c r="D109" s="23" t="e">
        <f ca="1">[1]!BexGetData("DP_1","003N8EMH8GTFRCSWKMPXRRESE","GSON1112030035")</f>
        <v>#NAME?</v>
      </c>
      <c r="E109" s="28" t="e">
        <f ca="1">[1]!BexGetData("DP_1","003N8EMH8GTFRCSWKMPXRRL3Y","GSON1112030035")</f>
        <v>#NAME?</v>
      </c>
      <c r="F109" s="28" t="e">
        <f ca="1">[1]!BexGetData("DP_1","003N8EMH8GTFRCSWKMPXRRRFI","GSON1112030035")</f>
        <v>#NAME?</v>
      </c>
      <c r="G109" s="23" t="e">
        <f ca="1">[1]!BexGetData("DP_1","003N8EMH8GTFRCSWKMPXRRXR2","GSON1112030035")</f>
        <v>#NAME?</v>
      </c>
      <c r="H109" s="23" t="e">
        <f ca="1">[1]!BexGetData("DP_1","003N8EMH8GTFRCSWKMPXRS42M","GSON1112030035")</f>
        <v>#NAME?</v>
      </c>
      <c r="I109" s="28" t="e">
        <f ca="1">[1]!BexGetData("DP_1","003N8EMH8GTFRCSWKMPXRSAE6","GSON1112030035")</f>
        <v>#NAME?</v>
      </c>
      <c r="J109" s="24" t="e">
        <f ca="1">[1]!BexGetData("DP_1","003N8EMH8GTFRCSWKMPXRSGPQ","GSON1112030035")</f>
        <v>#NAME?</v>
      </c>
      <c r="K109" s="28" t="e">
        <f ca="1">[1]!BexGetData("DP_1","003N8EMH8GTFRIVNUPY288VJH","GSON1112030035")</f>
        <v>#NAME?</v>
      </c>
      <c r="L109" s="28" t="e">
        <f ca="1">[1]!BexGetData("DP_1","003N8EMH8GTFRIVNUPY2891V1","GSON1112030035")</f>
        <v>#NAME?</v>
      </c>
      <c r="M109" s="28" t="e">
        <f ca="1">[1]!BexGetData("DP_1","003N8EMH8GTFRIVOG7KG9IQXA","GSON1112030035")</f>
        <v>#NAME?</v>
      </c>
      <c r="N109" s="28" t="e">
        <f ca="1">[1]!BexGetData("DP_1","003N8EMH8GTFRIVOG7KG9IX8U","GSON1112030035")</f>
        <v>#NAME?</v>
      </c>
      <c r="O109" s="28" t="e">
        <f ca="1">[1]!BexGetData("DP_1","003N8EMH8GTFRIVOG7KG9J3KE","GSON1112030035")</f>
        <v>#NAME?</v>
      </c>
      <c r="P109" s="28" t="e">
        <f ca="1">[1]!BexGetData("DP_1","003N8EMH8GTFRIVOG7KG9J9VY","GSON1112030035")</f>
        <v>#NAME?</v>
      </c>
      <c r="Q109" s="24" t="e">
        <f ca="1">[1]!BexGetData("DP_1","00O2TNJGODT0G5Z4TTKYMM5MT","GSON1112030035")</f>
        <v>#NAME?</v>
      </c>
      <c r="R109" s="28" t="e">
        <f ca="1">[1]!BexGetData("DP_1","00O2TNJGODT0G5Z4TTKYMMBYD","GSON1112030035")</f>
        <v>#NAME?</v>
      </c>
      <c r="S109" s="28" t="e">
        <f ca="1">[1]!BexGetData("DP_1","00O2TNJGODT0G5Z4TTKYMMI9X","GSON1112030035")</f>
        <v>#NAME?</v>
      </c>
      <c r="T109" s="28" t="e">
        <f ca="1">[1]!BexGetData("DP_1","00O2TNJGODT0G5Z4TTKYMMOLH","GSON1112030035")</f>
        <v>#NAME?</v>
      </c>
      <c r="U109" s="28" t="e">
        <f ca="1">[1]!BexGetData("DP_1","00O2TNJGODT0G5Z4TTKYMMUX1","GSON1112030035")</f>
        <v>#NAME?</v>
      </c>
      <c r="V109" s="28" t="e">
        <f ca="1">[1]!BexGetData("DP_1","00O2TNJGODT0G5Z4TTKYMN18L","GSON1112030035")</f>
        <v>#NAME?</v>
      </c>
      <c r="W109" s="28" t="e">
        <f ca="1">[1]!BexGetData("DP_1","00O2TNJGODT0G5Z4TTKYMN7K5","GSON1112030035")</f>
        <v>#NAME?</v>
      </c>
    </row>
    <row r="110" spans="1:23" x14ac:dyDescent="0.2">
      <c r="A110" s="36" t="s">
        <v>1920</v>
      </c>
      <c r="B110" s="27" t="s">
        <v>757</v>
      </c>
      <c r="C110" s="23" t="e">
        <f ca="1">[1]!BexGetData("DP_1","003N8EMH8GTFRCSWKMPXRR8GU","GSON1112030040")</f>
        <v>#NAME?</v>
      </c>
      <c r="D110" s="23" t="e">
        <f ca="1">[1]!BexGetData("DP_1","003N8EMH8GTFRCSWKMPXRRESE","GSON1112030040")</f>
        <v>#NAME?</v>
      </c>
      <c r="E110" s="23" t="e">
        <f ca="1">[1]!BexGetData("DP_1","003N8EMH8GTFRCSWKMPXRRL3Y","GSON1112030040")</f>
        <v>#NAME?</v>
      </c>
      <c r="F110" s="23" t="e">
        <f ca="1">[1]!BexGetData("DP_1","003N8EMH8GTFRCSWKMPXRRRFI","GSON1112030040")</f>
        <v>#NAME?</v>
      </c>
      <c r="G110" s="23" t="e">
        <f ca="1">[1]!BexGetData("DP_1","003N8EMH8GTFRCSWKMPXRRXR2","GSON1112030040")</f>
        <v>#NAME?</v>
      </c>
      <c r="H110" s="23" t="e">
        <f ca="1">[1]!BexGetData("DP_1","003N8EMH8GTFRCSWKMPXRS42M","GSON1112030040")</f>
        <v>#NAME?</v>
      </c>
      <c r="I110" s="23" t="e">
        <f ca="1">[1]!BexGetData("DP_1","003N8EMH8GTFRCSWKMPXRSAE6","GSON1112030040")</f>
        <v>#NAME?</v>
      </c>
      <c r="J110" s="23" t="e">
        <f ca="1">[1]!BexGetData("DP_1","003N8EMH8GTFRCSWKMPXRSGPQ","GSON1112030040")</f>
        <v>#NAME?</v>
      </c>
      <c r="K110" s="23" t="e">
        <f ca="1">[1]!BexGetData("DP_1","003N8EMH8GTFRIVNUPY288VJH","GSON1112030040")</f>
        <v>#NAME?</v>
      </c>
      <c r="L110" s="23" t="e">
        <f ca="1">[1]!BexGetData("DP_1","003N8EMH8GTFRIVNUPY2891V1","GSON1112030040")</f>
        <v>#NAME?</v>
      </c>
      <c r="M110" s="23" t="e">
        <f ca="1">[1]!BexGetData("DP_1","003N8EMH8GTFRIVOG7KG9IQXA","GSON1112030040")</f>
        <v>#NAME?</v>
      </c>
      <c r="N110" s="28" t="e">
        <f ca="1">[1]!BexGetData("DP_1","003N8EMH8GTFRIVOG7KG9IX8U","GSON1112030040")</f>
        <v>#NAME?</v>
      </c>
      <c r="O110" s="23" t="e">
        <f ca="1">[1]!BexGetData("DP_1","003N8EMH8GTFRIVOG7KG9J3KE","GSON1112030040")</f>
        <v>#NAME?</v>
      </c>
      <c r="P110" s="28" t="e">
        <f ca="1">[1]!BexGetData("DP_1","003N8EMH8GTFRIVOG7KG9J9VY","GSON1112030040")</f>
        <v>#NAME?</v>
      </c>
      <c r="Q110" s="23" t="e">
        <f ca="1">[1]!BexGetData("DP_1","00O2TNJGODT0G5Z4TTKYMM5MT","GSON1112030040")</f>
        <v>#NAME?</v>
      </c>
      <c r="R110" s="23" t="e">
        <f ca="1">[1]!BexGetData("DP_1","00O2TNJGODT0G5Z4TTKYMMBYD","GSON1112030040")</f>
        <v>#NAME?</v>
      </c>
      <c r="S110" s="23" t="e">
        <f ca="1">[1]!BexGetData("DP_1","00O2TNJGODT0G5Z4TTKYMMI9X","GSON1112030040")</f>
        <v>#NAME?</v>
      </c>
      <c r="T110" s="23" t="e">
        <f ca="1">[1]!BexGetData("DP_1","00O2TNJGODT0G5Z4TTKYMMOLH","GSON1112030040")</f>
        <v>#NAME?</v>
      </c>
      <c r="U110" s="28" t="e">
        <f ca="1">[1]!BexGetData("DP_1","00O2TNJGODT0G5Z4TTKYMMUX1","GSON1112030040")</f>
        <v>#NAME?</v>
      </c>
      <c r="V110" s="23" t="e">
        <f ca="1">[1]!BexGetData("DP_1","00O2TNJGODT0G5Z4TTKYMN18L","GSON1112030040")</f>
        <v>#NAME?</v>
      </c>
      <c r="W110" s="28" t="e">
        <f ca="1">[1]!BexGetData("DP_1","00O2TNJGODT0G5Z4TTKYMN7K5","GSON1112030040")</f>
        <v>#NAME?</v>
      </c>
    </row>
    <row r="111" spans="1:23" x14ac:dyDescent="0.2">
      <c r="A111" s="36" t="s">
        <v>1921</v>
      </c>
      <c r="B111" s="27" t="s">
        <v>416</v>
      </c>
      <c r="C111" s="23" t="e">
        <f ca="1">[1]!BexGetData("DP_1","003N8EMH8GTFRCSWKMPXRR8GU","GSON1112030041")</f>
        <v>#NAME?</v>
      </c>
      <c r="D111" s="23" t="e">
        <f ca="1">[1]!BexGetData("DP_1","003N8EMH8GTFRCSWKMPXRRESE","GSON1112030041")</f>
        <v>#NAME?</v>
      </c>
      <c r="E111" s="28" t="e">
        <f ca="1">[1]!BexGetData("DP_1","003N8EMH8GTFRCSWKMPXRRL3Y","GSON1112030041")</f>
        <v>#NAME?</v>
      </c>
      <c r="F111" s="28" t="e">
        <f ca="1">[1]!BexGetData("DP_1","003N8EMH8GTFRCSWKMPXRRRFI","GSON1112030041")</f>
        <v>#NAME?</v>
      </c>
      <c r="G111" s="23" t="e">
        <f ca="1">[1]!BexGetData("DP_1","003N8EMH8GTFRCSWKMPXRRXR2","GSON1112030041")</f>
        <v>#NAME?</v>
      </c>
      <c r="H111" s="23" t="e">
        <f ca="1">[1]!BexGetData("DP_1","003N8EMH8GTFRCSWKMPXRS42M","GSON1112030041")</f>
        <v>#NAME?</v>
      </c>
      <c r="I111" s="28" t="e">
        <f ca="1">[1]!BexGetData("DP_1","003N8EMH8GTFRCSWKMPXRSAE6","GSON1112030041")</f>
        <v>#NAME?</v>
      </c>
      <c r="J111" s="24" t="e">
        <f ca="1">[1]!BexGetData("DP_1","003N8EMH8GTFRCSWKMPXRSGPQ","GSON1112030041")</f>
        <v>#NAME?</v>
      </c>
      <c r="K111" s="28" t="e">
        <f ca="1">[1]!BexGetData("DP_1","003N8EMH8GTFRIVNUPY288VJH","GSON1112030041")</f>
        <v>#NAME?</v>
      </c>
      <c r="L111" s="28" t="e">
        <f ca="1">[1]!BexGetData("DP_1","003N8EMH8GTFRIVNUPY2891V1","GSON1112030041")</f>
        <v>#NAME?</v>
      </c>
      <c r="M111" s="28" t="e">
        <f ca="1">[1]!BexGetData("DP_1","003N8EMH8GTFRIVOG7KG9IQXA","GSON1112030041")</f>
        <v>#NAME?</v>
      </c>
      <c r="N111" s="28" t="e">
        <f ca="1">[1]!BexGetData("DP_1","003N8EMH8GTFRIVOG7KG9IX8U","GSON1112030041")</f>
        <v>#NAME?</v>
      </c>
      <c r="O111" s="28" t="e">
        <f ca="1">[1]!BexGetData("DP_1","003N8EMH8GTFRIVOG7KG9J3KE","GSON1112030041")</f>
        <v>#NAME?</v>
      </c>
      <c r="P111" s="28" t="e">
        <f ca="1">[1]!BexGetData("DP_1","003N8EMH8GTFRIVOG7KG9J9VY","GSON1112030041")</f>
        <v>#NAME?</v>
      </c>
      <c r="Q111" s="24" t="e">
        <f ca="1">[1]!BexGetData("DP_1","00O2TNJGODT0G5Z4TTKYMM5MT","GSON1112030041")</f>
        <v>#NAME?</v>
      </c>
      <c r="R111" s="28" t="e">
        <f ca="1">[1]!BexGetData("DP_1","00O2TNJGODT0G5Z4TTKYMMBYD","GSON1112030041")</f>
        <v>#NAME?</v>
      </c>
      <c r="S111" s="28" t="e">
        <f ca="1">[1]!BexGetData("DP_1","00O2TNJGODT0G5Z4TTKYMMI9X","GSON1112030041")</f>
        <v>#NAME?</v>
      </c>
      <c r="T111" s="28" t="e">
        <f ca="1">[1]!BexGetData("DP_1","00O2TNJGODT0G5Z4TTKYMMOLH","GSON1112030041")</f>
        <v>#NAME?</v>
      </c>
      <c r="U111" s="28" t="e">
        <f ca="1">[1]!BexGetData("DP_1","00O2TNJGODT0G5Z4TTKYMMUX1","GSON1112030041")</f>
        <v>#NAME?</v>
      </c>
      <c r="V111" s="28" t="e">
        <f ca="1">[1]!BexGetData("DP_1","00O2TNJGODT0G5Z4TTKYMN18L","GSON1112030041")</f>
        <v>#NAME?</v>
      </c>
      <c r="W111" s="28" t="e">
        <f ca="1">[1]!BexGetData("DP_1","00O2TNJGODT0G5Z4TTKYMN7K5","GSON1112030041")</f>
        <v>#NAME?</v>
      </c>
    </row>
    <row r="112" spans="1:23" x14ac:dyDescent="0.2">
      <c r="A112" s="36" t="s">
        <v>1922</v>
      </c>
      <c r="B112" s="27" t="s">
        <v>417</v>
      </c>
      <c r="C112" s="23" t="e">
        <f ca="1">[1]!BexGetData("DP_1","003N8EMH8GTFRCSWKMPXRR8GU","GSON1112030043")</f>
        <v>#NAME?</v>
      </c>
      <c r="D112" s="23" t="e">
        <f ca="1">[1]!BexGetData("DP_1","003N8EMH8GTFRCSWKMPXRRESE","GSON1112030043")</f>
        <v>#NAME?</v>
      </c>
      <c r="E112" s="28" t="e">
        <f ca="1">[1]!BexGetData("DP_1","003N8EMH8GTFRCSWKMPXRRL3Y","GSON1112030043")</f>
        <v>#NAME?</v>
      </c>
      <c r="F112" s="28" t="e">
        <f ca="1">[1]!BexGetData("DP_1","003N8EMH8GTFRCSWKMPXRRRFI","GSON1112030043")</f>
        <v>#NAME?</v>
      </c>
      <c r="G112" s="23" t="e">
        <f ca="1">[1]!BexGetData("DP_1","003N8EMH8GTFRCSWKMPXRRXR2","GSON1112030043")</f>
        <v>#NAME?</v>
      </c>
      <c r="H112" s="23" t="e">
        <f ca="1">[1]!BexGetData("DP_1","003N8EMH8GTFRCSWKMPXRS42M","GSON1112030043")</f>
        <v>#NAME?</v>
      </c>
      <c r="I112" s="28" t="e">
        <f ca="1">[1]!BexGetData("DP_1","003N8EMH8GTFRCSWKMPXRSAE6","GSON1112030043")</f>
        <v>#NAME?</v>
      </c>
      <c r="J112" s="23" t="e">
        <f ca="1">[1]!BexGetData("DP_1","003N8EMH8GTFRCSWKMPXRSGPQ","GSON1112030043")</f>
        <v>#NAME?</v>
      </c>
      <c r="K112" s="28" t="e">
        <f ca="1">[1]!BexGetData("DP_1","003N8EMH8GTFRIVNUPY288VJH","GSON1112030043")</f>
        <v>#NAME?</v>
      </c>
      <c r="L112" s="28" t="e">
        <f ca="1">[1]!BexGetData("DP_1","003N8EMH8GTFRIVNUPY2891V1","GSON1112030043")</f>
        <v>#NAME?</v>
      </c>
      <c r="M112" s="28" t="e">
        <f ca="1">[1]!BexGetData("DP_1","003N8EMH8GTFRIVOG7KG9IQXA","GSON1112030043")</f>
        <v>#NAME?</v>
      </c>
      <c r="N112" s="28" t="e">
        <f ca="1">[1]!BexGetData("DP_1","003N8EMH8GTFRIVOG7KG9IX8U","GSON1112030043")</f>
        <v>#NAME?</v>
      </c>
      <c r="O112" s="28" t="e">
        <f ca="1">[1]!BexGetData("DP_1","003N8EMH8GTFRIVOG7KG9J3KE","GSON1112030043")</f>
        <v>#NAME?</v>
      </c>
      <c r="P112" s="28" t="e">
        <f ca="1">[1]!BexGetData("DP_1","003N8EMH8GTFRIVOG7KG9J9VY","GSON1112030043")</f>
        <v>#NAME?</v>
      </c>
      <c r="Q112" s="23" t="e">
        <f ca="1">[1]!BexGetData("DP_1","00O2TNJGODT0G5Z4TTKYMM5MT","GSON1112030043")</f>
        <v>#NAME?</v>
      </c>
      <c r="R112" s="23" t="e">
        <f ca="1">[1]!BexGetData("DP_1","00O2TNJGODT0G5Z4TTKYMMBYD","GSON1112030043")</f>
        <v>#NAME?</v>
      </c>
      <c r="S112" s="23" t="e">
        <f ca="1">[1]!BexGetData("DP_1","00O2TNJGODT0G5Z4TTKYMMI9X","GSON1112030043")</f>
        <v>#NAME?</v>
      </c>
      <c r="T112" s="28" t="e">
        <f ca="1">[1]!BexGetData("DP_1","00O2TNJGODT0G5Z4TTKYMMOLH","GSON1112030043")</f>
        <v>#NAME?</v>
      </c>
      <c r="U112" s="23" t="e">
        <f ca="1">[1]!BexGetData("DP_1","00O2TNJGODT0G5Z4TTKYMMUX1","GSON1112030043")</f>
        <v>#NAME?</v>
      </c>
      <c r="V112" s="28" t="e">
        <f ca="1">[1]!BexGetData("DP_1","00O2TNJGODT0G5Z4TTKYMN18L","GSON1112030043")</f>
        <v>#NAME?</v>
      </c>
      <c r="W112" s="23" t="e">
        <f ca="1">[1]!BexGetData("DP_1","00O2TNJGODT0G5Z4TTKYMN7K5","GSON1112030043")</f>
        <v>#NAME?</v>
      </c>
    </row>
    <row r="113" spans="1:23" x14ac:dyDescent="0.2">
      <c r="A113" s="36" t="s">
        <v>1923</v>
      </c>
      <c r="B113" s="27" t="s">
        <v>1650</v>
      </c>
      <c r="C113" s="23" t="e">
        <f ca="1">[1]!BexGetData("DP_1","003N8EMH8GTFRCSWKMPXRR8GU","GSON1112030045")</f>
        <v>#NAME?</v>
      </c>
      <c r="D113" s="23" t="e">
        <f ca="1">[1]!BexGetData("DP_1","003N8EMH8GTFRCSWKMPXRRESE","GSON1112030045")</f>
        <v>#NAME?</v>
      </c>
      <c r="E113" s="28" t="e">
        <f ca="1">[1]!BexGetData("DP_1","003N8EMH8GTFRCSWKMPXRRL3Y","GSON1112030045")</f>
        <v>#NAME?</v>
      </c>
      <c r="F113" s="28" t="e">
        <f ca="1">[1]!BexGetData("DP_1","003N8EMH8GTFRCSWKMPXRRRFI","GSON1112030045")</f>
        <v>#NAME?</v>
      </c>
      <c r="G113" s="23" t="e">
        <f ca="1">[1]!BexGetData("DP_1","003N8EMH8GTFRCSWKMPXRRXR2","GSON1112030045")</f>
        <v>#NAME?</v>
      </c>
      <c r="H113" s="23" t="e">
        <f ca="1">[1]!BexGetData("DP_1","003N8EMH8GTFRCSWKMPXRS42M","GSON1112030045")</f>
        <v>#NAME?</v>
      </c>
      <c r="I113" s="28" t="e">
        <f ca="1">[1]!BexGetData("DP_1","003N8EMH8GTFRCSWKMPXRSAE6","GSON1112030045")</f>
        <v>#NAME?</v>
      </c>
      <c r="J113" s="24" t="e">
        <f ca="1">[1]!BexGetData("DP_1","003N8EMH8GTFRCSWKMPXRSGPQ","GSON1112030045")</f>
        <v>#NAME?</v>
      </c>
      <c r="K113" s="28" t="e">
        <f ca="1">[1]!BexGetData("DP_1","003N8EMH8GTFRIVNUPY288VJH","GSON1112030045")</f>
        <v>#NAME?</v>
      </c>
      <c r="L113" s="28" t="e">
        <f ca="1">[1]!BexGetData("DP_1","003N8EMH8GTFRIVNUPY2891V1","GSON1112030045")</f>
        <v>#NAME?</v>
      </c>
      <c r="M113" s="28" t="e">
        <f ca="1">[1]!BexGetData("DP_1","003N8EMH8GTFRIVOG7KG9IQXA","GSON1112030045")</f>
        <v>#NAME?</v>
      </c>
      <c r="N113" s="28" t="e">
        <f ca="1">[1]!BexGetData("DP_1","003N8EMH8GTFRIVOG7KG9IX8U","GSON1112030045")</f>
        <v>#NAME?</v>
      </c>
      <c r="O113" s="28" t="e">
        <f ca="1">[1]!BexGetData("DP_1","003N8EMH8GTFRIVOG7KG9J3KE","GSON1112030045")</f>
        <v>#NAME?</v>
      </c>
      <c r="P113" s="28" t="e">
        <f ca="1">[1]!BexGetData("DP_1","003N8EMH8GTFRIVOG7KG9J9VY","GSON1112030045")</f>
        <v>#NAME?</v>
      </c>
      <c r="Q113" s="24" t="e">
        <f ca="1">[1]!BexGetData("DP_1","00O2TNJGODT0G5Z4TTKYMM5MT","GSON1112030045")</f>
        <v>#NAME?</v>
      </c>
      <c r="R113" s="28" t="e">
        <f ca="1">[1]!BexGetData("DP_1","00O2TNJGODT0G5Z4TTKYMMBYD","GSON1112030045")</f>
        <v>#NAME?</v>
      </c>
      <c r="S113" s="28" t="e">
        <f ca="1">[1]!BexGetData("DP_1","00O2TNJGODT0G5Z4TTKYMMI9X","GSON1112030045")</f>
        <v>#NAME?</v>
      </c>
      <c r="T113" s="28" t="e">
        <f ca="1">[1]!BexGetData("DP_1","00O2TNJGODT0G5Z4TTKYMMOLH","GSON1112030045")</f>
        <v>#NAME?</v>
      </c>
      <c r="U113" s="28" t="e">
        <f ca="1">[1]!BexGetData("DP_1","00O2TNJGODT0G5Z4TTKYMMUX1","GSON1112030045")</f>
        <v>#NAME?</v>
      </c>
      <c r="V113" s="28" t="e">
        <f ca="1">[1]!BexGetData("DP_1","00O2TNJGODT0G5Z4TTKYMN18L","GSON1112030045")</f>
        <v>#NAME?</v>
      </c>
      <c r="W113" s="28" t="e">
        <f ca="1">[1]!BexGetData("DP_1","00O2TNJGODT0G5Z4TTKYMN7K5","GSON1112030045")</f>
        <v>#NAME?</v>
      </c>
    </row>
    <row r="114" spans="1:23" x14ac:dyDescent="0.2">
      <c r="A114" s="36" t="s">
        <v>1924</v>
      </c>
      <c r="B114" s="27" t="s">
        <v>758</v>
      </c>
      <c r="C114" s="23" t="e">
        <f ca="1">[1]!BexGetData("DP_1","003N8EMH8GTFRCSWKMPXRR8GU","GSON1112030060")</f>
        <v>#NAME?</v>
      </c>
      <c r="D114" s="28" t="e">
        <f ca="1">[1]!BexGetData("DP_1","003N8EMH8GTFRCSWKMPXRRESE","GSON1112030060")</f>
        <v>#NAME?</v>
      </c>
      <c r="E114" s="23" t="e">
        <f ca="1">[1]!BexGetData("DP_1","003N8EMH8GTFRCSWKMPXRRL3Y","GSON1112030060")</f>
        <v>#NAME?</v>
      </c>
      <c r="F114" s="23" t="e">
        <f ca="1">[1]!BexGetData("DP_1","003N8EMH8GTFRCSWKMPXRRRFI","GSON1112030060")</f>
        <v>#NAME?</v>
      </c>
      <c r="G114" s="23" t="e">
        <f ca="1">[1]!BexGetData("DP_1","003N8EMH8GTFRCSWKMPXRRXR2","GSON1112030060")</f>
        <v>#NAME?</v>
      </c>
      <c r="H114" s="28" t="e">
        <f ca="1">[1]!BexGetData("DP_1","003N8EMH8GTFRCSWKMPXRS42M","GSON1112030060")</f>
        <v>#NAME?</v>
      </c>
      <c r="I114" s="23" t="e">
        <f ca="1">[1]!BexGetData("DP_1","003N8EMH8GTFRCSWKMPXRSAE6","GSON1112030060")</f>
        <v>#NAME?</v>
      </c>
      <c r="J114" s="23" t="e">
        <f ca="1">[1]!BexGetData("DP_1","003N8EMH8GTFRCSWKMPXRSGPQ","GSON1112030060")</f>
        <v>#NAME?</v>
      </c>
      <c r="K114" s="23" t="e">
        <f ca="1">[1]!BexGetData("DP_1","003N8EMH8GTFRIVNUPY288VJH","GSON1112030060")</f>
        <v>#NAME?</v>
      </c>
      <c r="L114" s="23" t="e">
        <f ca="1">[1]!BexGetData("DP_1","003N8EMH8GTFRIVNUPY2891V1","GSON1112030060")</f>
        <v>#NAME?</v>
      </c>
      <c r="M114" s="28" t="e">
        <f ca="1">[1]!BexGetData("DP_1","003N8EMH8GTFRIVOG7KG9IQXA","GSON1112030060")</f>
        <v>#NAME?</v>
      </c>
      <c r="N114" s="23" t="e">
        <f ca="1">[1]!BexGetData("DP_1","003N8EMH8GTFRIVOG7KG9IX8U","GSON1112030060")</f>
        <v>#NAME?</v>
      </c>
      <c r="O114" s="28" t="e">
        <f ca="1">[1]!BexGetData("DP_1","003N8EMH8GTFRIVOG7KG9J3KE","GSON1112030060")</f>
        <v>#NAME?</v>
      </c>
      <c r="P114" s="23" t="e">
        <f ca="1">[1]!BexGetData("DP_1","003N8EMH8GTFRIVOG7KG9J9VY","GSON1112030060")</f>
        <v>#NAME?</v>
      </c>
      <c r="Q114" s="23" t="e">
        <f ca="1">[1]!BexGetData("DP_1","00O2TNJGODT0G5Z4TTKYMM5MT","GSON1112030060")</f>
        <v>#NAME?</v>
      </c>
      <c r="R114" s="23" t="e">
        <f ca="1">[1]!BexGetData("DP_1","00O2TNJGODT0G5Z4TTKYMMBYD","GSON1112030060")</f>
        <v>#NAME?</v>
      </c>
      <c r="S114" s="23" t="e">
        <f ca="1">[1]!BexGetData("DP_1","00O2TNJGODT0G5Z4TTKYMMI9X","GSON1112030060")</f>
        <v>#NAME?</v>
      </c>
      <c r="T114" s="28" t="e">
        <f ca="1">[1]!BexGetData("DP_1","00O2TNJGODT0G5Z4TTKYMMOLH","GSON1112030060")</f>
        <v>#NAME?</v>
      </c>
      <c r="U114" s="23" t="e">
        <f ca="1">[1]!BexGetData("DP_1","00O2TNJGODT0G5Z4TTKYMMUX1","GSON1112030060")</f>
        <v>#NAME?</v>
      </c>
      <c r="V114" s="28" t="e">
        <f ca="1">[1]!BexGetData("DP_1","00O2TNJGODT0G5Z4TTKYMN18L","GSON1112030060")</f>
        <v>#NAME?</v>
      </c>
      <c r="W114" s="23" t="e">
        <f ca="1">[1]!BexGetData("DP_1","00O2TNJGODT0G5Z4TTKYMN7K5","GSON1112030060")</f>
        <v>#NAME?</v>
      </c>
    </row>
    <row r="115" spans="1:23" x14ac:dyDescent="0.2">
      <c r="A115" s="36" t="s">
        <v>1925</v>
      </c>
      <c r="B115" s="27" t="s">
        <v>759</v>
      </c>
      <c r="C115" s="28" t="e">
        <f ca="1">[1]!BexGetData("DP_1","003N8EMH8GTFRCSWKMPXRR8GU","GSON1112030061")</f>
        <v>#NAME?</v>
      </c>
      <c r="D115" s="28" t="e">
        <f ca="1">[1]!BexGetData("DP_1","003N8EMH8GTFRCSWKMPXRRESE","GSON1112030061")</f>
        <v>#NAME?</v>
      </c>
      <c r="E115" s="28" t="e">
        <f ca="1">[1]!BexGetData("DP_1","003N8EMH8GTFRCSWKMPXRRL3Y","GSON1112030061")</f>
        <v>#NAME?</v>
      </c>
      <c r="F115" s="28" t="e">
        <f ca="1">[1]!BexGetData("DP_1","003N8EMH8GTFRCSWKMPXRRRFI","GSON1112030061")</f>
        <v>#NAME?</v>
      </c>
      <c r="G115" s="23" t="e">
        <f ca="1">[1]!BexGetData("DP_1","003N8EMH8GTFRCSWKMPXRRXR2","GSON1112030061")</f>
        <v>#NAME?</v>
      </c>
      <c r="H115" s="23" t="e">
        <f ca="1">[1]!BexGetData("DP_1","003N8EMH8GTFRCSWKMPXRS42M","GSON1112030061")</f>
        <v>#NAME?</v>
      </c>
      <c r="I115" s="28" t="e">
        <f ca="1">[1]!BexGetData("DP_1","003N8EMH8GTFRCSWKMPXRSAE6","GSON1112030061")</f>
        <v>#NAME?</v>
      </c>
      <c r="J115" s="24" t="e">
        <f ca="1">[1]!BexGetData("DP_1","003N8EMH8GTFRCSWKMPXRSGPQ","GSON1112030061")</f>
        <v>#NAME?</v>
      </c>
      <c r="K115" s="28" t="e">
        <f ca="1">[1]!BexGetData("DP_1","003N8EMH8GTFRIVNUPY288VJH","GSON1112030061")</f>
        <v>#NAME?</v>
      </c>
      <c r="L115" s="28" t="e">
        <f ca="1">[1]!BexGetData("DP_1","003N8EMH8GTFRIVNUPY2891V1","GSON1112030061")</f>
        <v>#NAME?</v>
      </c>
      <c r="M115" s="28" t="e">
        <f ca="1">[1]!BexGetData("DP_1","003N8EMH8GTFRIVOG7KG9IQXA","GSON1112030061")</f>
        <v>#NAME?</v>
      </c>
      <c r="N115" s="28" t="e">
        <f ca="1">[1]!BexGetData("DP_1","003N8EMH8GTFRIVOG7KG9IX8U","GSON1112030061")</f>
        <v>#NAME?</v>
      </c>
      <c r="O115" s="28" t="e">
        <f ca="1">[1]!BexGetData("DP_1","003N8EMH8GTFRIVOG7KG9J3KE","GSON1112030061")</f>
        <v>#NAME?</v>
      </c>
      <c r="P115" s="28" t="e">
        <f ca="1">[1]!BexGetData("DP_1","003N8EMH8GTFRIVOG7KG9J9VY","GSON1112030061")</f>
        <v>#NAME?</v>
      </c>
      <c r="Q115" s="24" t="e">
        <f ca="1">[1]!BexGetData("DP_1","00O2TNJGODT0G5Z4TTKYMM5MT","GSON1112030061")</f>
        <v>#NAME?</v>
      </c>
      <c r="R115" s="28" t="e">
        <f ca="1">[1]!BexGetData("DP_1","00O2TNJGODT0G5Z4TTKYMMBYD","GSON1112030061")</f>
        <v>#NAME?</v>
      </c>
      <c r="S115" s="28" t="e">
        <f ca="1">[1]!BexGetData("DP_1","00O2TNJGODT0G5Z4TTKYMMI9X","GSON1112030061")</f>
        <v>#NAME?</v>
      </c>
      <c r="T115" s="28" t="e">
        <f ca="1">[1]!BexGetData("DP_1","00O2TNJGODT0G5Z4TTKYMMOLH","GSON1112030061")</f>
        <v>#NAME?</v>
      </c>
      <c r="U115" s="28" t="e">
        <f ca="1">[1]!BexGetData("DP_1","00O2TNJGODT0G5Z4TTKYMMUX1","GSON1112030061")</f>
        <v>#NAME?</v>
      </c>
      <c r="V115" s="28" t="e">
        <f ca="1">[1]!BexGetData("DP_1","00O2TNJGODT0G5Z4TTKYMN18L","GSON1112030061")</f>
        <v>#NAME?</v>
      </c>
      <c r="W115" s="28" t="e">
        <f ca="1">[1]!BexGetData("DP_1","00O2TNJGODT0G5Z4TTKYMN7K5","GSON1112030061")</f>
        <v>#NAME?</v>
      </c>
    </row>
    <row r="116" spans="1:23" x14ac:dyDescent="0.2">
      <c r="A116" s="36" t="s">
        <v>1926</v>
      </c>
      <c r="B116" s="27" t="s">
        <v>1927</v>
      </c>
      <c r="C116" s="23" t="e">
        <f ca="1">[1]!BexGetData("DP_1","003N8EMH8GTFRCSWKMPXRR8GU","GSON1112030064")</f>
        <v>#NAME?</v>
      </c>
      <c r="D116" s="23" t="e">
        <f ca="1">[1]!BexGetData("DP_1","003N8EMH8GTFRCSWKMPXRRESE","GSON1112030064")</f>
        <v>#NAME?</v>
      </c>
      <c r="E116" s="28" t="e">
        <f ca="1">[1]!BexGetData("DP_1","003N8EMH8GTFRCSWKMPXRRL3Y","GSON1112030064")</f>
        <v>#NAME?</v>
      </c>
      <c r="F116" s="24" t="e">
        <f ca="1">[1]!BexGetData("DP_1","003N8EMH8GTFRCSWKMPXRRRFI","GSON1112030064")</f>
        <v>#NAME?</v>
      </c>
      <c r="G116" s="24" t="e">
        <f ca="1">[1]!BexGetData("DP_1","003N8EMH8GTFRCSWKMPXRRXR2","GSON1112030064")</f>
        <v>#NAME?</v>
      </c>
      <c r="H116" s="24" t="e">
        <f ca="1">[1]!BexGetData("DP_1","003N8EMH8GTFRCSWKMPXRS42M","GSON1112030064")</f>
        <v>#NAME?</v>
      </c>
      <c r="I116" s="24" t="e">
        <f ca="1">[1]!BexGetData("DP_1","003N8EMH8GTFRCSWKMPXRSAE6","GSON1112030064")</f>
        <v>#NAME?</v>
      </c>
      <c r="J116" s="24" t="e">
        <f ca="1">[1]!BexGetData("DP_1","003N8EMH8GTFRCSWKMPXRSGPQ","GSON1112030064")</f>
        <v>#NAME?</v>
      </c>
      <c r="K116" s="28" t="e">
        <f ca="1">[1]!BexGetData("DP_1","003N8EMH8GTFRIVNUPY288VJH","GSON1112030064")</f>
        <v>#NAME?</v>
      </c>
      <c r="L116" s="28" t="e">
        <f ca="1">[1]!BexGetData("DP_1","003N8EMH8GTFRIVNUPY2891V1","GSON1112030064")</f>
        <v>#NAME?</v>
      </c>
      <c r="M116" s="28" t="e">
        <f ca="1">[1]!BexGetData("DP_1","003N8EMH8GTFRIVOG7KG9IQXA","GSON1112030064")</f>
        <v>#NAME?</v>
      </c>
      <c r="N116" s="28" t="e">
        <f ca="1">[1]!BexGetData("DP_1","003N8EMH8GTFRIVOG7KG9IX8U","GSON1112030064")</f>
        <v>#NAME?</v>
      </c>
      <c r="O116" s="28" t="e">
        <f ca="1">[1]!BexGetData("DP_1","003N8EMH8GTFRIVOG7KG9J3KE","GSON1112030064")</f>
        <v>#NAME?</v>
      </c>
      <c r="P116" s="28" t="e">
        <f ca="1">[1]!BexGetData("DP_1","003N8EMH8GTFRIVOG7KG9J9VY","GSON1112030064")</f>
        <v>#NAME?</v>
      </c>
      <c r="Q116" s="24" t="e">
        <f ca="1">[1]!BexGetData("DP_1","00O2TNJGODT0G5Z4TTKYMM5MT","GSON1112030064")</f>
        <v>#NAME?</v>
      </c>
      <c r="R116" s="24" t="e">
        <f ca="1">[1]!BexGetData("DP_1","00O2TNJGODT0G5Z4TTKYMMBYD","GSON1112030064")</f>
        <v>#NAME?</v>
      </c>
      <c r="S116" s="24" t="e">
        <f ca="1">[1]!BexGetData("DP_1","00O2TNJGODT0G5Z4TTKYMMI9X","GSON1112030064")</f>
        <v>#NAME?</v>
      </c>
      <c r="T116" s="24" t="e">
        <f ca="1">[1]!BexGetData("DP_1","00O2TNJGODT0G5Z4TTKYMMOLH","GSON1112030064")</f>
        <v>#NAME?</v>
      </c>
      <c r="U116" s="24" t="e">
        <f ca="1">[1]!BexGetData("DP_1","00O2TNJGODT0G5Z4TTKYMMUX1","GSON1112030064")</f>
        <v>#NAME?</v>
      </c>
      <c r="V116" s="24" t="e">
        <f ca="1">[1]!BexGetData("DP_1","00O2TNJGODT0G5Z4TTKYMN18L","GSON1112030064")</f>
        <v>#NAME?</v>
      </c>
      <c r="W116" s="24" t="e">
        <f ca="1">[1]!BexGetData("DP_1","00O2TNJGODT0G5Z4TTKYMN7K5","GSON1112030064")</f>
        <v>#NAME?</v>
      </c>
    </row>
    <row r="117" spans="1:23" x14ac:dyDescent="0.2">
      <c r="A117" s="36" t="s">
        <v>1928</v>
      </c>
      <c r="B117" s="27" t="s">
        <v>1929</v>
      </c>
      <c r="C117" s="23" t="e">
        <f ca="1">[1]!BexGetData("DP_1","003N8EMH8GTFRCSWKMPXRR8GU","GSON1112030065")</f>
        <v>#NAME?</v>
      </c>
      <c r="D117" s="23" t="e">
        <f ca="1">[1]!BexGetData("DP_1","003N8EMH8GTFRCSWKMPXRRESE","GSON1112030065")</f>
        <v>#NAME?</v>
      </c>
      <c r="E117" s="28" t="e">
        <f ca="1">[1]!BexGetData("DP_1","003N8EMH8GTFRCSWKMPXRRL3Y","GSON1112030065")</f>
        <v>#NAME?</v>
      </c>
      <c r="F117" s="28" t="e">
        <f ca="1">[1]!BexGetData("DP_1","003N8EMH8GTFRCSWKMPXRRRFI","GSON1112030065")</f>
        <v>#NAME?</v>
      </c>
      <c r="G117" s="23" t="e">
        <f ca="1">[1]!BexGetData("DP_1","003N8EMH8GTFRCSWKMPXRRXR2","GSON1112030065")</f>
        <v>#NAME?</v>
      </c>
      <c r="H117" s="23" t="e">
        <f ca="1">[1]!BexGetData("DP_1","003N8EMH8GTFRCSWKMPXRS42M","GSON1112030065")</f>
        <v>#NAME?</v>
      </c>
      <c r="I117" s="28" t="e">
        <f ca="1">[1]!BexGetData("DP_1","003N8EMH8GTFRCSWKMPXRSAE6","GSON1112030065")</f>
        <v>#NAME?</v>
      </c>
      <c r="J117" s="24" t="e">
        <f ca="1">[1]!BexGetData("DP_1","003N8EMH8GTFRCSWKMPXRSGPQ","GSON1112030065")</f>
        <v>#NAME?</v>
      </c>
      <c r="K117" s="28" t="e">
        <f ca="1">[1]!BexGetData("DP_1","003N8EMH8GTFRIVNUPY288VJH","GSON1112030065")</f>
        <v>#NAME?</v>
      </c>
      <c r="L117" s="28" t="e">
        <f ca="1">[1]!BexGetData("DP_1","003N8EMH8GTFRIVNUPY2891V1","GSON1112030065")</f>
        <v>#NAME?</v>
      </c>
      <c r="M117" s="28" t="e">
        <f ca="1">[1]!BexGetData("DP_1","003N8EMH8GTFRIVOG7KG9IQXA","GSON1112030065")</f>
        <v>#NAME?</v>
      </c>
      <c r="N117" s="28" t="e">
        <f ca="1">[1]!BexGetData("DP_1","003N8EMH8GTFRIVOG7KG9IX8U","GSON1112030065")</f>
        <v>#NAME?</v>
      </c>
      <c r="O117" s="28" t="e">
        <f ca="1">[1]!BexGetData("DP_1","003N8EMH8GTFRIVOG7KG9J3KE","GSON1112030065")</f>
        <v>#NAME?</v>
      </c>
      <c r="P117" s="28" t="e">
        <f ca="1">[1]!BexGetData("DP_1","003N8EMH8GTFRIVOG7KG9J9VY","GSON1112030065")</f>
        <v>#NAME?</v>
      </c>
      <c r="Q117" s="24" t="e">
        <f ca="1">[1]!BexGetData("DP_1","00O2TNJGODT0G5Z4TTKYMM5MT","GSON1112030065")</f>
        <v>#NAME?</v>
      </c>
      <c r="R117" s="28" t="e">
        <f ca="1">[1]!BexGetData("DP_1","00O2TNJGODT0G5Z4TTKYMMBYD","GSON1112030065")</f>
        <v>#NAME?</v>
      </c>
      <c r="S117" s="28" t="e">
        <f ca="1">[1]!BexGetData("DP_1","00O2TNJGODT0G5Z4TTKYMMI9X","GSON1112030065")</f>
        <v>#NAME?</v>
      </c>
      <c r="T117" s="28" t="e">
        <f ca="1">[1]!BexGetData("DP_1","00O2TNJGODT0G5Z4TTKYMMOLH","GSON1112030065")</f>
        <v>#NAME?</v>
      </c>
      <c r="U117" s="28" t="e">
        <f ca="1">[1]!BexGetData("DP_1","00O2TNJGODT0G5Z4TTKYMMUX1","GSON1112030065")</f>
        <v>#NAME?</v>
      </c>
      <c r="V117" s="28" t="e">
        <f ca="1">[1]!BexGetData("DP_1","00O2TNJGODT0G5Z4TTKYMN18L","GSON1112030065")</f>
        <v>#NAME?</v>
      </c>
      <c r="W117" s="28" t="e">
        <f ca="1">[1]!BexGetData("DP_1","00O2TNJGODT0G5Z4TTKYMN7K5","GSON1112030065")</f>
        <v>#NAME?</v>
      </c>
    </row>
    <row r="118" spans="1:23" x14ac:dyDescent="0.2">
      <c r="A118" s="36" t="s">
        <v>1930</v>
      </c>
      <c r="B118" s="27" t="s">
        <v>760</v>
      </c>
      <c r="C118" s="23" t="e">
        <f ca="1">[1]!BexGetData("DP_1","003N8EMH8GTFRCSWKMPXRR8GU","GSON1112030070")</f>
        <v>#NAME?</v>
      </c>
      <c r="D118" s="28" t="e">
        <f ca="1">[1]!BexGetData("DP_1","003N8EMH8GTFRCSWKMPXRRESE","GSON1112030070")</f>
        <v>#NAME?</v>
      </c>
      <c r="E118" s="23" t="e">
        <f ca="1">[1]!BexGetData("DP_1","003N8EMH8GTFRCSWKMPXRRL3Y","GSON1112030070")</f>
        <v>#NAME?</v>
      </c>
      <c r="F118" s="23" t="e">
        <f ca="1">[1]!BexGetData("DP_1","003N8EMH8GTFRCSWKMPXRRRFI","GSON1112030070")</f>
        <v>#NAME?</v>
      </c>
      <c r="G118" s="23" t="e">
        <f ca="1">[1]!BexGetData("DP_1","003N8EMH8GTFRCSWKMPXRRXR2","GSON1112030070")</f>
        <v>#NAME?</v>
      </c>
      <c r="H118" s="23" t="e">
        <f ca="1">[1]!BexGetData("DP_1","003N8EMH8GTFRCSWKMPXRS42M","GSON1112030070")</f>
        <v>#NAME?</v>
      </c>
      <c r="I118" s="23" t="e">
        <f ca="1">[1]!BexGetData("DP_1","003N8EMH8GTFRCSWKMPXRSAE6","GSON1112030070")</f>
        <v>#NAME?</v>
      </c>
      <c r="J118" s="23" t="e">
        <f ca="1">[1]!BexGetData("DP_1","003N8EMH8GTFRCSWKMPXRSGPQ","GSON1112030070")</f>
        <v>#NAME?</v>
      </c>
      <c r="K118" s="23" t="e">
        <f ca="1">[1]!BexGetData("DP_1","003N8EMH8GTFRIVNUPY288VJH","GSON1112030070")</f>
        <v>#NAME?</v>
      </c>
      <c r="L118" s="23" t="e">
        <f ca="1">[1]!BexGetData("DP_1","003N8EMH8GTFRIVNUPY2891V1","GSON1112030070")</f>
        <v>#NAME?</v>
      </c>
      <c r="M118" s="28" t="e">
        <f ca="1">[1]!BexGetData("DP_1","003N8EMH8GTFRIVOG7KG9IQXA","GSON1112030070")</f>
        <v>#NAME?</v>
      </c>
      <c r="N118" s="23" t="e">
        <f ca="1">[1]!BexGetData("DP_1","003N8EMH8GTFRIVOG7KG9IX8U","GSON1112030070")</f>
        <v>#NAME?</v>
      </c>
      <c r="O118" s="28" t="e">
        <f ca="1">[1]!BexGetData("DP_1","003N8EMH8GTFRIVOG7KG9J3KE","GSON1112030070")</f>
        <v>#NAME?</v>
      </c>
      <c r="P118" s="23" t="e">
        <f ca="1">[1]!BexGetData("DP_1","003N8EMH8GTFRIVOG7KG9J9VY","GSON1112030070")</f>
        <v>#NAME?</v>
      </c>
      <c r="Q118" s="23" t="e">
        <f ca="1">[1]!BexGetData("DP_1","00O2TNJGODT0G5Z4TTKYMM5MT","GSON1112030070")</f>
        <v>#NAME?</v>
      </c>
      <c r="R118" s="23" t="e">
        <f ca="1">[1]!BexGetData("DP_1","00O2TNJGODT0G5Z4TTKYMMBYD","GSON1112030070")</f>
        <v>#NAME?</v>
      </c>
      <c r="S118" s="23" t="e">
        <f ca="1">[1]!BexGetData("DP_1","00O2TNJGODT0G5Z4TTKYMMI9X","GSON1112030070")</f>
        <v>#NAME?</v>
      </c>
      <c r="T118" s="28" t="e">
        <f ca="1">[1]!BexGetData("DP_1","00O2TNJGODT0G5Z4TTKYMMOLH","GSON1112030070")</f>
        <v>#NAME?</v>
      </c>
      <c r="U118" s="23" t="e">
        <f ca="1">[1]!BexGetData("DP_1","00O2TNJGODT0G5Z4TTKYMMUX1","GSON1112030070")</f>
        <v>#NAME?</v>
      </c>
      <c r="V118" s="28" t="e">
        <f ca="1">[1]!BexGetData("DP_1","00O2TNJGODT0G5Z4TTKYMN18L","GSON1112030070")</f>
        <v>#NAME?</v>
      </c>
      <c r="W118" s="23" t="e">
        <f ca="1">[1]!BexGetData("DP_1","00O2TNJGODT0G5Z4TTKYMN7K5","GSON1112030070")</f>
        <v>#NAME?</v>
      </c>
    </row>
    <row r="119" spans="1:23" x14ac:dyDescent="0.2">
      <c r="A119" s="36" t="s">
        <v>1931</v>
      </c>
      <c r="B119" s="27" t="s">
        <v>761</v>
      </c>
      <c r="C119" s="24" t="e">
        <f ca="1">[1]!BexGetData("DP_1","003N8EMH8GTFRCSWKMPXRR8GU","GSON1112030071")</f>
        <v>#NAME?</v>
      </c>
      <c r="D119" s="24" t="e">
        <f ca="1">[1]!BexGetData("DP_1","003N8EMH8GTFRCSWKMPXRRESE","GSON1112030071")</f>
        <v>#NAME?</v>
      </c>
      <c r="E119" s="24" t="e">
        <f ca="1">[1]!BexGetData("DP_1","003N8EMH8GTFRCSWKMPXRRL3Y","GSON1112030071")</f>
        <v>#NAME?</v>
      </c>
      <c r="F119" s="28" t="e">
        <f ca="1">[1]!BexGetData("DP_1","003N8EMH8GTFRCSWKMPXRRRFI","GSON1112030071")</f>
        <v>#NAME?</v>
      </c>
      <c r="G119" s="23" t="e">
        <f ca="1">[1]!BexGetData("DP_1","003N8EMH8GTFRCSWKMPXRRXR2","GSON1112030071")</f>
        <v>#NAME?</v>
      </c>
      <c r="H119" s="23" t="e">
        <f ca="1">[1]!BexGetData("DP_1","003N8EMH8GTFRCSWKMPXRS42M","GSON1112030071")</f>
        <v>#NAME?</v>
      </c>
      <c r="I119" s="28" t="e">
        <f ca="1">[1]!BexGetData("DP_1","003N8EMH8GTFRCSWKMPXRSAE6","GSON1112030071")</f>
        <v>#NAME?</v>
      </c>
      <c r="J119" s="24" t="e">
        <f ca="1">[1]!BexGetData("DP_1","003N8EMH8GTFRCSWKMPXRSGPQ","GSON1112030071")</f>
        <v>#NAME?</v>
      </c>
      <c r="K119" s="28" t="e">
        <f ca="1">[1]!BexGetData("DP_1","003N8EMH8GTFRIVNUPY288VJH","GSON1112030071")</f>
        <v>#NAME?</v>
      </c>
      <c r="L119" s="28" t="e">
        <f ca="1">[1]!BexGetData("DP_1","003N8EMH8GTFRIVNUPY2891V1","GSON1112030071")</f>
        <v>#NAME?</v>
      </c>
      <c r="M119" s="28" t="e">
        <f ca="1">[1]!BexGetData("DP_1","003N8EMH8GTFRIVOG7KG9IQXA","GSON1112030071")</f>
        <v>#NAME?</v>
      </c>
      <c r="N119" s="28" t="e">
        <f ca="1">[1]!BexGetData("DP_1","003N8EMH8GTFRIVOG7KG9IX8U","GSON1112030071")</f>
        <v>#NAME?</v>
      </c>
      <c r="O119" s="28" t="e">
        <f ca="1">[1]!BexGetData("DP_1","003N8EMH8GTFRIVOG7KG9J3KE","GSON1112030071")</f>
        <v>#NAME?</v>
      </c>
      <c r="P119" s="28" t="e">
        <f ca="1">[1]!BexGetData("DP_1","003N8EMH8GTFRIVOG7KG9J9VY","GSON1112030071")</f>
        <v>#NAME?</v>
      </c>
      <c r="Q119" s="24" t="e">
        <f ca="1">[1]!BexGetData("DP_1","00O2TNJGODT0G5Z4TTKYMM5MT","GSON1112030071")</f>
        <v>#NAME?</v>
      </c>
      <c r="R119" s="28" t="e">
        <f ca="1">[1]!BexGetData("DP_1","00O2TNJGODT0G5Z4TTKYMMBYD","GSON1112030071")</f>
        <v>#NAME?</v>
      </c>
      <c r="S119" s="28" t="e">
        <f ca="1">[1]!BexGetData("DP_1","00O2TNJGODT0G5Z4TTKYMMI9X","GSON1112030071")</f>
        <v>#NAME?</v>
      </c>
      <c r="T119" s="28" t="e">
        <f ca="1">[1]!BexGetData("DP_1","00O2TNJGODT0G5Z4TTKYMMOLH","GSON1112030071")</f>
        <v>#NAME?</v>
      </c>
      <c r="U119" s="28" t="e">
        <f ca="1">[1]!BexGetData("DP_1","00O2TNJGODT0G5Z4TTKYMMUX1","GSON1112030071")</f>
        <v>#NAME?</v>
      </c>
      <c r="V119" s="28" t="e">
        <f ca="1">[1]!BexGetData("DP_1","00O2TNJGODT0G5Z4TTKYMN18L","GSON1112030071")</f>
        <v>#NAME?</v>
      </c>
      <c r="W119" s="28" t="e">
        <f ca="1">[1]!BexGetData("DP_1","00O2TNJGODT0G5Z4TTKYMN7K5","GSON1112030071")</f>
        <v>#NAME?</v>
      </c>
    </row>
    <row r="120" spans="1:23" x14ac:dyDescent="0.2">
      <c r="A120" s="36" t="s">
        <v>1932</v>
      </c>
      <c r="B120" s="27" t="s">
        <v>1933</v>
      </c>
      <c r="C120" s="23" t="e">
        <f ca="1">[1]!BexGetData("DP_1","003N8EMH8GTFRCSWKMPXRR8GU","GSON1112030074")</f>
        <v>#NAME?</v>
      </c>
      <c r="D120" s="23" t="e">
        <f ca="1">[1]!BexGetData("DP_1","003N8EMH8GTFRCSWKMPXRRESE","GSON1112030074")</f>
        <v>#NAME?</v>
      </c>
      <c r="E120" s="28" t="e">
        <f ca="1">[1]!BexGetData("DP_1","003N8EMH8GTFRCSWKMPXRRL3Y","GSON1112030074")</f>
        <v>#NAME?</v>
      </c>
      <c r="F120" s="24" t="e">
        <f ca="1">[1]!BexGetData("DP_1","003N8EMH8GTFRCSWKMPXRRRFI","GSON1112030074")</f>
        <v>#NAME?</v>
      </c>
      <c r="G120" s="24" t="e">
        <f ca="1">[1]!BexGetData("DP_1","003N8EMH8GTFRCSWKMPXRRXR2","GSON1112030074")</f>
        <v>#NAME?</v>
      </c>
      <c r="H120" s="24" t="e">
        <f ca="1">[1]!BexGetData("DP_1","003N8EMH8GTFRCSWKMPXRS42M","GSON1112030074")</f>
        <v>#NAME?</v>
      </c>
      <c r="I120" s="24" t="e">
        <f ca="1">[1]!BexGetData("DP_1","003N8EMH8GTFRCSWKMPXRSAE6","GSON1112030074")</f>
        <v>#NAME?</v>
      </c>
      <c r="J120" s="24" t="e">
        <f ca="1">[1]!BexGetData("DP_1","003N8EMH8GTFRCSWKMPXRSGPQ","GSON1112030074")</f>
        <v>#NAME?</v>
      </c>
      <c r="K120" s="28" t="e">
        <f ca="1">[1]!BexGetData("DP_1","003N8EMH8GTFRIVNUPY288VJH","GSON1112030074")</f>
        <v>#NAME?</v>
      </c>
      <c r="L120" s="28" t="e">
        <f ca="1">[1]!BexGetData("DP_1","003N8EMH8GTFRIVNUPY2891V1","GSON1112030074")</f>
        <v>#NAME?</v>
      </c>
      <c r="M120" s="28" t="e">
        <f ca="1">[1]!BexGetData("DP_1","003N8EMH8GTFRIVOG7KG9IQXA","GSON1112030074")</f>
        <v>#NAME?</v>
      </c>
      <c r="N120" s="28" t="e">
        <f ca="1">[1]!BexGetData("DP_1","003N8EMH8GTFRIVOG7KG9IX8U","GSON1112030074")</f>
        <v>#NAME?</v>
      </c>
      <c r="O120" s="28" t="e">
        <f ca="1">[1]!BexGetData("DP_1","003N8EMH8GTFRIVOG7KG9J3KE","GSON1112030074")</f>
        <v>#NAME?</v>
      </c>
      <c r="P120" s="28" t="e">
        <f ca="1">[1]!BexGetData("DP_1","003N8EMH8GTFRIVOG7KG9J9VY","GSON1112030074")</f>
        <v>#NAME?</v>
      </c>
      <c r="Q120" s="24" t="e">
        <f ca="1">[1]!BexGetData("DP_1","00O2TNJGODT0G5Z4TTKYMM5MT","GSON1112030074")</f>
        <v>#NAME?</v>
      </c>
      <c r="R120" s="24" t="e">
        <f ca="1">[1]!BexGetData("DP_1","00O2TNJGODT0G5Z4TTKYMMBYD","GSON1112030074")</f>
        <v>#NAME?</v>
      </c>
      <c r="S120" s="24" t="e">
        <f ca="1">[1]!BexGetData("DP_1","00O2TNJGODT0G5Z4TTKYMMI9X","GSON1112030074")</f>
        <v>#NAME?</v>
      </c>
      <c r="T120" s="24" t="e">
        <f ca="1">[1]!BexGetData("DP_1","00O2TNJGODT0G5Z4TTKYMMOLH","GSON1112030074")</f>
        <v>#NAME?</v>
      </c>
      <c r="U120" s="24" t="e">
        <f ca="1">[1]!BexGetData("DP_1","00O2TNJGODT0G5Z4TTKYMMUX1","GSON1112030074")</f>
        <v>#NAME?</v>
      </c>
      <c r="V120" s="24" t="e">
        <f ca="1">[1]!BexGetData("DP_1","00O2TNJGODT0G5Z4TTKYMN18L","GSON1112030074")</f>
        <v>#NAME?</v>
      </c>
      <c r="W120" s="24" t="e">
        <f ca="1">[1]!BexGetData("DP_1","00O2TNJGODT0G5Z4TTKYMN7K5","GSON1112030074")</f>
        <v>#NAME?</v>
      </c>
    </row>
    <row r="121" spans="1:23" x14ac:dyDescent="0.2">
      <c r="A121" s="36" t="s">
        <v>1934</v>
      </c>
      <c r="B121" s="27" t="s">
        <v>1935</v>
      </c>
      <c r="C121" s="23" t="e">
        <f ca="1">[1]!BexGetData("DP_1","003N8EMH8GTFRCSWKMPXRR8GU","GSON1112030075")</f>
        <v>#NAME?</v>
      </c>
      <c r="D121" s="23" t="e">
        <f ca="1">[1]!BexGetData("DP_1","003N8EMH8GTFRCSWKMPXRRESE","GSON1112030075")</f>
        <v>#NAME?</v>
      </c>
      <c r="E121" s="28" t="e">
        <f ca="1">[1]!BexGetData("DP_1","003N8EMH8GTFRCSWKMPXRRL3Y","GSON1112030075")</f>
        <v>#NAME?</v>
      </c>
      <c r="F121" s="28" t="e">
        <f ca="1">[1]!BexGetData("DP_1","003N8EMH8GTFRCSWKMPXRRRFI","GSON1112030075")</f>
        <v>#NAME?</v>
      </c>
      <c r="G121" s="23" t="e">
        <f ca="1">[1]!BexGetData("DP_1","003N8EMH8GTFRCSWKMPXRRXR2","GSON1112030075")</f>
        <v>#NAME?</v>
      </c>
      <c r="H121" s="23" t="e">
        <f ca="1">[1]!BexGetData("DP_1","003N8EMH8GTFRCSWKMPXRS42M","GSON1112030075")</f>
        <v>#NAME?</v>
      </c>
      <c r="I121" s="28" t="e">
        <f ca="1">[1]!BexGetData("DP_1","003N8EMH8GTFRCSWKMPXRSAE6","GSON1112030075")</f>
        <v>#NAME?</v>
      </c>
      <c r="J121" s="24" t="e">
        <f ca="1">[1]!BexGetData("DP_1","003N8EMH8GTFRCSWKMPXRSGPQ","GSON1112030075")</f>
        <v>#NAME?</v>
      </c>
      <c r="K121" s="28" t="e">
        <f ca="1">[1]!BexGetData("DP_1","003N8EMH8GTFRIVNUPY288VJH","GSON1112030075")</f>
        <v>#NAME?</v>
      </c>
      <c r="L121" s="28" t="e">
        <f ca="1">[1]!BexGetData("DP_1","003N8EMH8GTFRIVNUPY2891V1","GSON1112030075")</f>
        <v>#NAME?</v>
      </c>
      <c r="M121" s="28" t="e">
        <f ca="1">[1]!BexGetData("DP_1","003N8EMH8GTFRIVOG7KG9IQXA","GSON1112030075")</f>
        <v>#NAME?</v>
      </c>
      <c r="N121" s="28" t="e">
        <f ca="1">[1]!BexGetData("DP_1","003N8EMH8GTFRIVOG7KG9IX8U","GSON1112030075")</f>
        <v>#NAME?</v>
      </c>
      <c r="O121" s="28" t="e">
        <f ca="1">[1]!BexGetData("DP_1","003N8EMH8GTFRIVOG7KG9J3KE","GSON1112030075")</f>
        <v>#NAME?</v>
      </c>
      <c r="P121" s="28" t="e">
        <f ca="1">[1]!BexGetData("DP_1","003N8EMH8GTFRIVOG7KG9J9VY","GSON1112030075")</f>
        <v>#NAME?</v>
      </c>
      <c r="Q121" s="24" t="e">
        <f ca="1">[1]!BexGetData("DP_1","00O2TNJGODT0G5Z4TTKYMM5MT","GSON1112030075")</f>
        <v>#NAME?</v>
      </c>
      <c r="R121" s="28" t="e">
        <f ca="1">[1]!BexGetData("DP_1","00O2TNJGODT0G5Z4TTKYMMBYD","GSON1112030075")</f>
        <v>#NAME?</v>
      </c>
      <c r="S121" s="28" t="e">
        <f ca="1">[1]!BexGetData("DP_1","00O2TNJGODT0G5Z4TTKYMMI9X","GSON1112030075")</f>
        <v>#NAME?</v>
      </c>
      <c r="T121" s="28" t="e">
        <f ca="1">[1]!BexGetData("DP_1","00O2TNJGODT0G5Z4TTKYMMOLH","GSON1112030075")</f>
        <v>#NAME?</v>
      </c>
      <c r="U121" s="28" t="e">
        <f ca="1">[1]!BexGetData("DP_1","00O2TNJGODT0G5Z4TTKYMMUX1","GSON1112030075")</f>
        <v>#NAME?</v>
      </c>
      <c r="V121" s="28" t="e">
        <f ca="1">[1]!BexGetData("DP_1","00O2TNJGODT0G5Z4TTKYMN18L","GSON1112030075")</f>
        <v>#NAME?</v>
      </c>
      <c r="W121" s="28" t="e">
        <f ca="1">[1]!BexGetData("DP_1","00O2TNJGODT0G5Z4TTKYMN7K5","GSON1112030075")</f>
        <v>#NAME?</v>
      </c>
    </row>
    <row r="122" spans="1:23" x14ac:dyDescent="0.2">
      <c r="A122" s="36" t="s">
        <v>1936</v>
      </c>
      <c r="B122" s="27" t="s">
        <v>762</v>
      </c>
      <c r="C122" s="23" t="e">
        <f ca="1">[1]!BexGetData("DP_1","003N8EMH8GTFRCSWKMPXRR8GU","GSON1112030080")</f>
        <v>#NAME?</v>
      </c>
      <c r="D122" s="28" t="e">
        <f ca="1">[1]!BexGetData("DP_1","003N8EMH8GTFRCSWKMPXRRESE","GSON1112030080")</f>
        <v>#NAME?</v>
      </c>
      <c r="E122" s="23" t="e">
        <f ca="1">[1]!BexGetData("DP_1","003N8EMH8GTFRCSWKMPXRRL3Y","GSON1112030080")</f>
        <v>#NAME?</v>
      </c>
      <c r="F122" s="23" t="e">
        <f ca="1">[1]!BexGetData("DP_1","003N8EMH8GTFRCSWKMPXRRRFI","GSON1112030080")</f>
        <v>#NAME?</v>
      </c>
      <c r="G122" s="23" t="e">
        <f ca="1">[1]!BexGetData("DP_1","003N8EMH8GTFRCSWKMPXRRXR2","GSON1112030080")</f>
        <v>#NAME?</v>
      </c>
      <c r="H122" s="28" t="e">
        <f ca="1">[1]!BexGetData("DP_1","003N8EMH8GTFRCSWKMPXRS42M","GSON1112030080")</f>
        <v>#NAME?</v>
      </c>
      <c r="I122" s="23" t="e">
        <f ca="1">[1]!BexGetData("DP_1","003N8EMH8GTFRCSWKMPXRSAE6","GSON1112030080")</f>
        <v>#NAME?</v>
      </c>
      <c r="J122" s="23" t="e">
        <f ca="1">[1]!BexGetData("DP_1","003N8EMH8GTFRCSWKMPXRSGPQ","GSON1112030080")</f>
        <v>#NAME?</v>
      </c>
      <c r="K122" s="23" t="e">
        <f ca="1">[1]!BexGetData("DP_1","003N8EMH8GTFRIVNUPY288VJH","GSON1112030080")</f>
        <v>#NAME?</v>
      </c>
      <c r="L122" s="23" t="e">
        <f ca="1">[1]!BexGetData("DP_1","003N8EMH8GTFRIVNUPY2891V1","GSON1112030080")</f>
        <v>#NAME?</v>
      </c>
      <c r="M122" s="28" t="e">
        <f ca="1">[1]!BexGetData("DP_1","003N8EMH8GTFRIVOG7KG9IQXA","GSON1112030080")</f>
        <v>#NAME?</v>
      </c>
      <c r="N122" s="23" t="e">
        <f ca="1">[1]!BexGetData("DP_1","003N8EMH8GTFRIVOG7KG9IX8U","GSON1112030080")</f>
        <v>#NAME?</v>
      </c>
      <c r="O122" s="28" t="e">
        <f ca="1">[1]!BexGetData("DP_1","003N8EMH8GTFRIVOG7KG9J3KE","GSON1112030080")</f>
        <v>#NAME?</v>
      </c>
      <c r="P122" s="23" t="e">
        <f ca="1">[1]!BexGetData("DP_1","003N8EMH8GTFRIVOG7KG9J9VY","GSON1112030080")</f>
        <v>#NAME?</v>
      </c>
      <c r="Q122" s="23" t="e">
        <f ca="1">[1]!BexGetData("DP_1","00O2TNJGODT0G5Z4TTKYMM5MT","GSON1112030080")</f>
        <v>#NAME?</v>
      </c>
      <c r="R122" s="23" t="e">
        <f ca="1">[1]!BexGetData("DP_1","00O2TNJGODT0G5Z4TTKYMMBYD","GSON1112030080")</f>
        <v>#NAME?</v>
      </c>
      <c r="S122" s="23" t="e">
        <f ca="1">[1]!BexGetData("DP_1","00O2TNJGODT0G5Z4TTKYMMI9X","GSON1112030080")</f>
        <v>#NAME?</v>
      </c>
      <c r="T122" s="28" t="e">
        <f ca="1">[1]!BexGetData("DP_1","00O2TNJGODT0G5Z4TTKYMMOLH","GSON1112030080")</f>
        <v>#NAME?</v>
      </c>
      <c r="U122" s="23" t="e">
        <f ca="1">[1]!BexGetData("DP_1","00O2TNJGODT0G5Z4TTKYMMUX1","GSON1112030080")</f>
        <v>#NAME?</v>
      </c>
      <c r="V122" s="28" t="e">
        <f ca="1">[1]!BexGetData("DP_1","00O2TNJGODT0G5Z4TTKYMN18L","GSON1112030080")</f>
        <v>#NAME?</v>
      </c>
      <c r="W122" s="23" t="e">
        <f ca="1">[1]!BexGetData("DP_1","00O2TNJGODT0G5Z4TTKYMN7K5","GSON1112030080")</f>
        <v>#NAME?</v>
      </c>
    </row>
    <row r="123" spans="1:23" x14ac:dyDescent="0.2">
      <c r="A123" s="36" t="s">
        <v>1937</v>
      </c>
      <c r="B123" s="27" t="s">
        <v>763</v>
      </c>
      <c r="C123" s="24" t="e">
        <f ca="1">[1]!BexGetData("DP_1","003N8EMH8GTFRCSWKMPXRR8GU","GSON1112030081")</f>
        <v>#NAME?</v>
      </c>
      <c r="D123" s="24" t="e">
        <f ca="1">[1]!BexGetData("DP_1","003N8EMH8GTFRCSWKMPXRRESE","GSON1112030081")</f>
        <v>#NAME?</v>
      </c>
      <c r="E123" s="24" t="e">
        <f ca="1">[1]!BexGetData("DP_1","003N8EMH8GTFRCSWKMPXRRL3Y","GSON1112030081")</f>
        <v>#NAME?</v>
      </c>
      <c r="F123" s="28" t="e">
        <f ca="1">[1]!BexGetData("DP_1","003N8EMH8GTFRCSWKMPXRRRFI","GSON1112030081")</f>
        <v>#NAME?</v>
      </c>
      <c r="G123" s="23" t="e">
        <f ca="1">[1]!BexGetData("DP_1","003N8EMH8GTFRCSWKMPXRRXR2","GSON1112030081")</f>
        <v>#NAME?</v>
      </c>
      <c r="H123" s="23" t="e">
        <f ca="1">[1]!BexGetData("DP_1","003N8EMH8GTFRCSWKMPXRS42M","GSON1112030081")</f>
        <v>#NAME?</v>
      </c>
      <c r="I123" s="28" t="e">
        <f ca="1">[1]!BexGetData("DP_1","003N8EMH8GTFRCSWKMPXRSAE6","GSON1112030081")</f>
        <v>#NAME?</v>
      </c>
      <c r="J123" s="24" t="e">
        <f ca="1">[1]!BexGetData("DP_1","003N8EMH8GTFRCSWKMPXRSGPQ","GSON1112030081")</f>
        <v>#NAME?</v>
      </c>
      <c r="K123" s="28" t="e">
        <f ca="1">[1]!BexGetData("DP_1","003N8EMH8GTFRIVNUPY288VJH","GSON1112030081")</f>
        <v>#NAME?</v>
      </c>
      <c r="L123" s="28" t="e">
        <f ca="1">[1]!BexGetData("DP_1","003N8EMH8GTFRIVNUPY2891V1","GSON1112030081")</f>
        <v>#NAME?</v>
      </c>
      <c r="M123" s="28" t="e">
        <f ca="1">[1]!BexGetData("DP_1","003N8EMH8GTFRIVOG7KG9IQXA","GSON1112030081")</f>
        <v>#NAME?</v>
      </c>
      <c r="N123" s="28" t="e">
        <f ca="1">[1]!BexGetData("DP_1","003N8EMH8GTFRIVOG7KG9IX8U","GSON1112030081")</f>
        <v>#NAME?</v>
      </c>
      <c r="O123" s="28" t="e">
        <f ca="1">[1]!BexGetData("DP_1","003N8EMH8GTFRIVOG7KG9J3KE","GSON1112030081")</f>
        <v>#NAME?</v>
      </c>
      <c r="P123" s="28" t="e">
        <f ca="1">[1]!BexGetData("DP_1","003N8EMH8GTFRIVOG7KG9J9VY","GSON1112030081")</f>
        <v>#NAME?</v>
      </c>
      <c r="Q123" s="24" t="e">
        <f ca="1">[1]!BexGetData("DP_1","00O2TNJGODT0G5Z4TTKYMM5MT","GSON1112030081")</f>
        <v>#NAME?</v>
      </c>
      <c r="R123" s="28" t="e">
        <f ca="1">[1]!BexGetData("DP_1","00O2TNJGODT0G5Z4TTKYMMBYD","GSON1112030081")</f>
        <v>#NAME?</v>
      </c>
      <c r="S123" s="28" t="e">
        <f ca="1">[1]!BexGetData("DP_1","00O2TNJGODT0G5Z4TTKYMMI9X","GSON1112030081")</f>
        <v>#NAME?</v>
      </c>
      <c r="T123" s="28" t="e">
        <f ca="1">[1]!BexGetData("DP_1","00O2TNJGODT0G5Z4TTKYMMOLH","GSON1112030081")</f>
        <v>#NAME?</v>
      </c>
      <c r="U123" s="28" t="e">
        <f ca="1">[1]!BexGetData("DP_1","00O2TNJGODT0G5Z4TTKYMMUX1","GSON1112030081")</f>
        <v>#NAME?</v>
      </c>
      <c r="V123" s="28" t="e">
        <f ca="1">[1]!BexGetData("DP_1","00O2TNJGODT0G5Z4TTKYMN18L","GSON1112030081")</f>
        <v>#NAME?</v>
      </c>
      <c r="W123" s="28" t="e">
        <f ca="1">[1]!BexGetData("DP_1","00O2TNJGODT0G5Z4TTKYMN7K5","GSON1112030081")</f>
        <v>#NAME?</v>
      </c>
    </row>
    <row r="124" spans="1:23" x14ac:dyDescent="0.2">
      <c r="A124" s="36" t="s">
        <v>1938</v>
      </c>
      <c r="B124" s="27" t="s">
        <v>1939</v>
      </c>
      <c r="C124" s="23" t="e">
        <f ca="1">[1]!BexGetData("DP_1","003N8EMH8GTFRCSWKMPXRR8GU","GSON1112030085")</f>
        <v>#NAME?</v>
      </c>
      <c r="D124" s="23" t="e">
        <f ca="1">[1]!BexGetData("DP_1","003N8EMH8GTFRCSWKMPXRRESE","GSON1112030085")</f>
        <v>#NAME?</v>
      </c>
      <c r="E124" s="28" t="e">
        <f ca="1">[1]!BexGetData("DP_1","003N8EMH8GTFRCSWKMPXRRL3Y","GSON1112030085")</f>
        <v>#NAME?</v>
      </c>
      <c r="F124" s="28" t="e">
        <f ca="1">[1]!BexGetData("DP_1","003N8EMH8GTFRCSWKMPXRRRFI","GSON1112030085")</f>
        <v>#NAME?</v>
      </c>
      <c r="G124" s="23" t="e">
        <f ca="1">[1]!BexGetData("DP_1","003N8EMH8GTFRCSWKMPXRRXR2","GSON1112030085")</f>
        <v>#NAME?</v>
      </c>
      <c r="H124" s="23" t="e">
        <f ca="1">[1]!BexGetData("DP_1","003N8EMH8GTFRCSWKMPXRS42M","GSON1112030085")</f>
        <v>#NAME?</v>
      </c>
      <c r="I124" s="28" t="e">
        <f ca="1">[1]!BexGetData("DP_1","003N8EMH8GTFRCSWKMPXRSAE6","GSON1112030085")</f>
        <v>#NAME?</v>
      </c>
      <c r="J124" s="24" t="e">
        <f ca="1">[1]!BexGetData("DP_1","003N8EMH8GTFRCSWKMPXRSGPQ","GSON1112030085")</f>
        <v>#NAME?</v>
      </c>
      <c r="K124" s="28" t="e">
        <f ca="1">[1]!BexGetData("DP_1","003N8EMH8GTFRIVNUPY288VJH","GSON1112030085")</f>
        <v>#NAME?</v>
      </c>
      <c r="L124" s="28" t="e">
        <f ca="1">[1]!BexGetData("DP_1","003N8EMH8GTFRIVNUPY2891V1","GSON1112030085")</f>
        <v>#NAME?</v>
      </c>
      <c r="M124" s="28" t="e">
        <f ca="1">[1]!BexGetData("DP_1","003N8EMH8GTFRIVOG7KG9IQXA","GSON1112030085")</f>
        <v>#NAME?</v>
      </c>
      <c r="N124" s="28" t="e">
        <f ca="1">[1]!BexGetData("DP_1","003N8EMH8GTFRIVOG7KG9IX8U","GSON1112030085")</f>
        <v>#NAME?</v>
      </c>
      <c r="O124" s="28" t="e">
        <f ca="1">[1]!BexGetData("DP_1","003N8EMH8GTFRIVOG7KG9J3KE","GSON1112030085")</f>
        <v>#NAME?</v>
      </c>
      <c r="P124" s="28" t="e">
        <f ca="1">[1]!BexGetData("DP_1","003N8EMH8GTFRIVOG7KG9J9VY","GSON1112030085")</f>
        <v>#NAME?</v>
      </c>
      <c r="Q124" s="24" t="e">
        <f ca="1">[1]!BexGetData("DP_1","00O2TNJGODT0G5Z4TTKYMM5MT","GSON1112030085")</f>
        <v>#NAME?</v>
      </c>
      <c r="R124" s="28" t="e">
        <f ca="1">[1]!BexGetData("DP_1","00O2TNJGODT0G5Z4TTKYMMBYD","GSON1112030085")</f>
        <v>#NAME?</v>
      </c>
      <c r="S124" s="28" t="e">
        <f ca="1">[1]!BexGetData("DP_1","00O2TNJGODT0G5Z4TTKYMMI9X","GSON1112030085")</f>
        <v>#NAME?</v>
      </c>
      <c r="T124" s="28" t="e">
        <f ca="1">[1]!BexGetData("DP_1","00O2TNJGODT0G5Z4TTKYMMOLH","GSON1112030085")</f>
        <v>#NAME?</v>
      </c>
      <c r="U124" s="28" t="e">
        <f ca="1">[1]!BexGetData("DP_1","00O2TNJGODT0G5Z4TTKYMMUX1","GSON1112030085")</f>
        <v>#NAME?</v>
      </c>
      <c r="V124" s="28" t="e">
        <f ca="1">[1]!BexGetData("DP_1","00O2TNJGODT0G5Z4TTKYMN18L","GSON1112030085")</f>
        <v>#NAME?</v>
      </c>
      <c r="W124" s="28" t="e">
        <f ca="1">[1]!BexGetData("DP_1","00O2TNJGODT0G5Z4TTKYMN7K5","GSON1112030085")</f>
        <v>#NAME?</v>
      </c>
    </row>
    <row r="125" spans="1:23" x14ac:dyDescent="0.2">
      <c r="A125" s="36" t="s">
        <v>1940</v>
      </c>
      <c r="B125" s="27" t="s">
        <v>764</v>
      </c>
      <c r="C125" s="23" t="e">
        <f ca="1">[1]!BexGetData("DP_1","003N8EMH8GTFRCSWKMPXRR8GU","GSON1112030090")</f>
        <v>#NAME?</v>
      </c>
      <c r="D125" s="28" t="e">
        <f ca="1">[1]!BexGetData("DP_1","003N8EMH8GTFRCSWKMPXRRESE","GSON1112030090")</f>
        <v>#NAME?</v>
      </c>
      <c r="E125" s="23" t="e">
        <f ca="1">[1]!BexGetData("DP_1","003N8EMH8GTFRCSWKMPXRRL3Y","GSON1112030090")</f>
        <v>#NAME?</v>
      </c>
      <c r="F125" s="23" t="e">
        <f ca="1">[1]!BexGetData("DP_1","003N8EMH8GTFRCSWKMPXRRRFI","GSON1112030090")</f>
        <v>#NAME?</v>
      </c>
      <c r="G125" s="23" t="e">
        <f ca="1">[1]!BexGetData("DP_1","003N8EMH8GTFRCSWKMPXRRXR2","GSON1112030090")</f>
        <v>#NAME?</v>
      </c>
      <c r="H125" s="28" t="e">
        <f ca="1">[1]!BexGetData("DP_1","003N8EMH8GTFRCSWKMPXRS42M","GSON1112030090")</f>
        <v>#NAME?</v>
      </c>
      <c r="I125" s="23" t="e">
        <f ca="1">[1]!BexGetData("DP_1","003N8EMH8GTFRCSWKMPXRSAE6","GSON1112030090")</f>
        <v>#NAME?</v>
      </c>
      <c r="J125" s="23" t="e">
        <f ca="1">[1]!BexGetData("DP_1","003N8EMH8GTFRCSWKMPXRSGPQ","GSON1112030090")</f>
        <v>#NAME?</v>
      </c>
      <c r="K125" s="23" t="e">
        <f ca="1">[1]!BexGetData("DP_1","003N8EMH8GTFRIVNUPY288VJH","GSON1112030090")</f>
        <v>#NAME?</v>
      </c>
      <c r="L125" s="23" t="e">
        <f ca="1">[1]!BexGetData("DP_1","003N8EMH8GTFRIVNUPY2891V1","GSON1112030090")</f>
        <v>#NAME?</v>
      </c>
      <c r="M125" s="28" t="e">
        <f ca="1">[1]!BexGetData("DP_1","003N8EMH8GTFRIVOG7KG9IQXA","GSON1112030090")</f>
        <v>#NAME?</v>
      </c>
      <c r="N125" s="23" t="e">
        <f ca="1">[1]!BexGetData("DP_1","003N8EMH8GTFRIVOG7KG9IX8U","GSON1112030090")</f>
        <v>#NAME?</v>
      </c>
      <c r="O125" s="28" t="e">
        <f ca="1">[1]!BexGetData("DP_1","003N8EMH8GTFRIVOG7KG9J3KE","GSON1112030090")</f>
        <v>#NAME?</v>
      </c>
      <c r="P125" s="23" t="e">
        <f ca="1">[1]!BexGetData("DP_1","003N8EMH8GTFRIVOG7KG9J9VY","GSON1112030090")</f>
        <v>#NAME?</v>
      </c>
      <c r="Q125" s="23" t="e">
        <f ca="1">[1]!BexGetData("DP_1","00O2TNJGODT0G5Z4TTKYMM5MT","GSON1112030090")</f>
        <v>#NAME?</v>
      </c>
      <c r="R125" s="23" t="e">
        <f ca="1">[1]!BexGetData("DP_1","00O2TNJGODT0G5Z4TTKYMMBYD","GSON1112030090")</f>
        <v>#NAME?</v>
      </c>
      <c r="S125" s="23" t="e">
        <f ca="1">[1]!BexGetData("DP_1","00O2TNJGODT0G5Z4TTKYMMI9X","GSON1112030090")</f>
        <v>#NAME?</v>
      </c>
      <c r="T125" s="28" t="e">
        <f ca="1">[1]!BexGetData("DP_1","00O2TNJGODT0G5Z4TTKYMMOLH","GSON1112030090")</f>
        <v>#NAME?</v>
      </c>
      <c r="U125" s="23" t="e">
        <f ca="1">[1]!BexGetData("DP_1","00O2TNJGODT0G5Z4TTKYMMUX1","GSON1112030090")</f>
        <v>#NAME?</v>
      </c>
      <c r="V125" s="28" t="e">
        <f ca="1">[1]!BexGetData("DP_1","00O2TNJGODT0G5Z4TTKYMN18L","GSON1112030090")</f>
        <v>#NAME?</v>
      </c>
      <c r="W125" s="23" t="e">
        <f ca="1">[1]!BexGetData("DP_1","00O2TNJGODT0G5Z4TTKYMN7K5","GSON1112030090")</f>
        <v>#NAME?</v>
      </c>
    </row>
    <row r="126" spans="1:23" x14ac:dyDescent="0.2">
      <c r="A126" s="36" t="s">
        <v>1941</v>
      </c>
      <c r="B126" s="27" t="s">
        <v>645</v>
      </c>
      <c r="C126" s="24" t="e">
        <f ca="1">[1]!BexGetData("DP_1","003N8EMH8GTFRCSWKMPXRR8GU","GSON1112030091")</f>
        <v>#NAME?</v>
      </c>
      <c r="D126" s="24" t="e">
        <f ca="1">[1]!BexGetData("DP_1","003N8EMH8GTFRCSWKMPXRRESE","GSON1112030091")</f>
        <v>#NAME?</v>
      </c>
      <c r="E126" s="24" t="e">
        <f ca="1">[1]!BexGetData("DP_1","003N8EMH8GTFRCSWKMPXRRL3Y","GSON1112030091")</f>
        <v>#NAME?</v>
      </c>
      <c r="F126" s="28" t="e">
        <f ca="1">[1]!BexGetData("DP_1","003N8EMH8GTFRCSWKMPXRRRFI","GSON1112030091")</f>
        <v>#NAME?</v>
      </c>
      <c r="G126" s="23" t="e">
        <f ca="1">[1]!BexGetData("DP_1","003N8EMH8GTFRCSWKMPXRRXR2","GSON1112030091")</f>
        <v>#NAME?</v>
      </c>
      <c r="H126" s="23" t="e">
        <f ca="1">[1]!BexGetData("DP_1","003N8EMH8GTFRCSWKMPXRS42M","GSON1112030091")</f>
        <v>#NAME?</v>
      </c>
      <c r="I126" s="28" t="e">
        <f ca="1">[1]!BexGetData("DP_1","003N8EMH8GTFRCSWKMPXRSAE6","GSON1112030091")</f>
        <v>#NAME?</v>
      </c>
      <c r="J126" s="24" t="e">
        <f ca="1">[1]!BexGetData("DP_1","003N8EMH8GTFRCSWKMPXRSGPQ","GSON1112030091")</f>
        <v>#NAME?</v>
      </c>
      <c r="K126" s="28" t="e">
        <f ca="1">[1]!BexGetData("DP_1","003N8EMH8GTFRIVNUPY288VJH","GSON1112030091")</f>
        <v>#NAME?</v>
      </c>
      <c r="L126" s="28" t="e">
        <f ca="1">[1]!BexGetData("DP_1","003N8EMH8GTFRIVNUPY2891V1","GSON1112030091")</f>
        <v>#NAME?</v>
      </c>
      <c r="M126" s="28" t="e">
        <f ca="1">[1]!BexGetData("DP_1","003N8EMH8GTFRIVOG7KG9IQXA","GSON1112030091")</f>
        <v>#NAME?</v>
      </c>
      <c r="N126" s="28" t="e">
        <f ca="1">[1]!BexGetData("DP_1","003N8EMH8GTFRIVOG7KG9IX8U","GSON1112030091")</f>
        <v>#NAME?</v>
      </c>
      <c r="O126" s="28" t="e">
        <f ca="1">[1]!BexGetData("DP_1","003N8EMH8GTFRIVOG7KG9J3KE","GSON1112030091")</f>
        <v>#NAME?</v>
      </c>
      <c r="P126" s="28" t="e">
        <f ca="1">[1]!BexGetData("DP_1","003N8EMH8GTFRIVOG7KG9J9VY","GSON1112030091")</f>
        <v>#NAME?</v>
      </c>
      <c r="Q126" s="24" t="e">
        <f ca="1">[1]!BexGetData("DP_1","00O2TNJGODT0G5Z4TTKYMM5MT","GSON1112030091")</f>
        <v>#NAME?</v>
      </c>
      <c r="R126" s="28" t="e">
        <f ca="1">[1]!BexGetData("DP_1","00O2TNJGODT0G5Z4TTKYMMBYD","GSON1112030091")</f>
        <v>#NAME?</v>
      </c>
      <c r="S126" s="28" t="e">
        <f ca="1">[1]!BexGetData("DP_1","00O2TNJGODT0G5Z4TTKYMMI9X","GSON1112030091")</f>
        <v>#NAME?</v>
      </c>
      <c r="T126" s="28" t="e">
        <f ca="1">[1]!BexGetData("DP_1","00O2TNJGODT0G5Z4TTKYMMOLH","GSON1112030091")</f>
        <v>#NAME?</v>
      </c>
      <c r="U126" s="28" t="e">
        <f ca="1">[1]!BexGetData("DP_1","00O2TNJGODT0G5Z4TTKYMMUX1","GSON1112030091")</f>
        <v>#NAME?</v>
      </c>
      <c r="V126" s="28" t="e">
        <f ca="1">[1]!BexGetData("DP_1","00O2TNJGODT0G5Z4TTKYMN18L","GSON1112030091")</f>
        <v>#NAME?</v>
      </c>
      <c r="W126" s="28" t="e">
        <f ca="1">[1]!BexGetData("DP_1","00O2TNJGODT0G5Z4TTKYMN7K5","GSON1112030091")</f>
        <v>#NAME?</v>
      </c>
    </row>
    <row r="127" spans="1:23" x14ac:dyDescent="0.2">
      <c r="A127" s="36" t="s">
        <v>1942</v>
      </c>
      <c r="B127" s="27" t="s">
        <v>1943</v>
      </c>
      <c r="C127" s="23" t="e">
        <f ca="1">[1]!BexGetData("DP_1","003N8EMH8GTFRCSWKMPXRR8GU","GSON1112030095")</f>
        <v>#NAME?</v>
      </c>
      <c r="D127" s="23" t="e">
        <f ca="1">[1]!BexGetData("DP_1","003N8EMH8GTFRCSWKMPXRRESE","GSON1112030095")</f>
        <v>#NAME?</v>
      </c>
      <c r="E127" s="28" t="e">
        <f ca="1">[1]!BexGetData("DP_1","003N8EMH8GTFRCSWKMPXRRL3Y","GSON1112030095")</f>
        <v>#NAME?</v>
      </c>
      <c r="F127" s="28" t="e">
        <f ca="1">[1]!BexGetData("DP_1","003N8EMH8GTFRCSWKMPXRRRFI","GSON1112030095")</f>
        <v>#NAME?</v>
      </c>
      <c r="G127" s="23" t="e">
        <f ca="1">[1]!BexGetData("DP_1","003N8EMH8GTFRCSWKMPXRRXR2","GSON1112030095")</f>
        <v>#NAME?</v>
      </c>
      <c r="H127" s="23" t="e">
        <f ca="1">[1]!BexGetData("DP_1","003N8EMH8GTFRCSWKMPXRS42M","GSON1112030095")</f>
        <v>#NAME?</v>
      </c>
      <c r="I127" s="28" t="e">
        <f ca="1">[1]!BexGetData("DP_1","003N8EMH8GTFRCSWKMPXRSAE6","GSON1112030095")</f>
        <v>#NAME?</v>
      </c>
      <c r="J127" s="24" t="e">
        <f ca="1">[1]!BexGetData("DP_1","003N8EMH8GTFRCSWKMPXRSGPQ","GSON1112030095")</f>
        <v>#NAME?</v>
      </c>
      <c r="K127" s="28" t="e">
        <f ca="1">[1]!BexGetData("DP_1","003N8EMH8GTFRIVNUPY288VJH","GSON1112030095")</f>
        <v>#NAME?</v>
      </c>
      <c r="L127" s="28" t="e">
        <f ca="1">[1]!BexGetData("DP_1","003N8EMH8GTFRIVNUPY2891V1","GSON1112030095")</f>
        <v>#NAME?</v>
      </c>
      <c r="M127" s="28" t="e">
        <f ca="1">[1]!BexGetData("DP_1","003N8EMH8GTFRIVOG7KG9IQXA","GSON1112030095")</f>
        <v>#NAME?</v>
      </c>
      <c r="N127" s="28" t="e">
        <f ca="1">[1]!BexGetData("DP_1","003N8EMH8GTFRIVOG7KG9IX8U","GSON1112030095")</f>
        <v>#NAME?</v>
      </c>
      <c r="O127" s="28" t="e">
        <f ca="1">[1]!BexGetData("DP_1","003N8EMH8GTFRIVOG7KG9J3KE","GSON1112030095")</f>
        <v>#NAME?</v>
      </c>
      <c r="P127" s="28" t="e">
        <f ca="1">[1]!BexGetData("DP_1","003N8EMH8GTFRIVOG7KG9J9VY","GSON1112030095")</f>
        <v>#NAME?</v>
      </c>
      <c r="Q127" s="24" t="e">
        <f ca="1">[1]!BexGetData("DP_1","00O2TNJGODT0G5Z4TTKYMM5MT","GSON1112030095")</f>
        <v>#NAME?</v>
      </c>
      <c r="R127" s="28" t="e">
        <f ca="1">[1]!BexGetData("DP_1","00O2TNJGODT0G5Z4TTKYMMBYD","GSON1112030095")</f>
        <v>#NAME?</v>
      </c>
      <c r="S127" s="28" t="e">
        <f ca="1">[1]!BexGetData("DP_1","00O2TNJGODT0G5Z4TTKYMMI9X","GSON1112030095")</f>
        <v>#NAME?</v>
      </c>
      <c r="T127" s="28" t="e">
        <f ca="1">[1]!BexGetData("DP_1","00O2TNJGODT0G5Z4TTKYMMOLH","GSON1112030095")</f>
        <v>#NAME?</v>
      </c>
      <c r="U127" s="28" t="e">
        <f ca="1">[1]!BexGetData("DP_1","00O2TNJGODT0G5Z4TTKYMMUX1","GSON1112030095")</f>
        <v>#NAME?</v>
      </c>
      <c r="V127" s="28" t="e">
        <f ca="1">[1]!BexGetData("DP_1","00O2TNJGODT0G5Z4TTKYMN18L","GSON1112030095")</f>
        <v>#NAME?</v>
      </c>
      <c r="W127" s="28" t="e">
        <f ca="1">[1]!BexGetData("DP_1","00O2TNJGODT0G5Z4TTKYMN7K5","GSON1112030095")</f>
        <v>#NAME?</v>
      </c>
    </row>
    <row r="128" spans="1:23" x14ac:dyDescent="0.2">
      <c r="A128" s="36" t="s">
        <v>1944</v>
      </c>
      <c r="B128" s="27" t="s">
        <v>765</v>
      </c>
      <c r="C128" s="23" t="e">
        <f ca="1">[1]!BexGetData("DP_1","003N8EMH8GTFRCSWKMPXRR8GU","GSON1112030100")</f>
        <v>#NAME?</v>
      </c>
      <c r="D128" s="28" t="e">
        <f ca="1">[1]!BexGetData("DP_1","003N8EMH8GTFRCSWKMPXRRESE","GSON1112030100")</f>
        <v>#NAME?</v>
      </c>
      <c r="E128" s="23" t="e">
        <f ca="1">[1]!BexGetData("DP_1","003N8EMH8GTFRCSWKMPXRRL3Y","GSON1112030100")</f>
        <v>#NAME?</v>
      </c>
      <c r="F128" s="23" t="e">
        <f ca="1">[1]!BexGetData("DP_1","003N8EMH8GTFRCSWKMPXRRRFI","GSON1112030100")</f>
        <v>#NAME?</v>
      </c>
      <c r="G128" s="23" t="e">
        <f ca="1">[1]!BexGetData("DP_1","003N8EMH8GTFRCSWKMPXRRXR2","GSON1112030100")</f>
        <v>#NAME?</v>
      </c>
      <c r="H128" s="23" t="e">
        <f ca="1">[1]!BexGetData("DP_1","003N8EMH8GTFRCSWKMPXRS42M","GSON1112030100")</f>
        <v>#NAME?</v>
      </c>
      <c r="I128" s="23" t="e">
        <f ca="1">[1]!BexGetData("DP_1","003N8EMH8GTFRCSWKMPXRSAE6","GSON1112030100")</f>
        <v>#NAME?</v>
      </c>
      <c r="J128" s="23" t="e">
        <f ca="1">[1]!BexGetData("DP_1","003N8EMH8GTFRCSWKMPXRSGPQ","GSON1112030100")</f>
        <v>#NAME?</v>
      </c>
      <c r="K128" s="23" t="e">
        <f ca="1">[1]!BexGetData("DP_1","003N8EMH8GTFRIVNUPY288VJH","GSON1112030100")</f>
        <v>#NAME?</v>
      </c>
      <c r="L128" s="23" t="e">
        <f ca="1">[1]!BexGetData("DP_1","003N8EMH8GTFRIVNUPY2891V1","GSON1112030100")</f>
        <v>#NAME?</v>
      </c>
      <c r="M128" s="28" t="e">
        <f ca="1">[1]!BexGetData("DP_1","003N8EMH8GTFRIVOG7KG9IQXA","GSON1112030100")</f>
        <v>#NAME?</v>
      </c>
      <c r="N128" s="23" t="e">
        <f ca="1">[1]!BexGetData("DP_1","003N8EMH8GTFRIVOG7KG9IX8U","GSON1112030100")</f>
        <v>#NAME?</v>
      </c>
      <c r="O128" s="28" t="e">
        <f ca="1">[1]!BexGetData("DP_1","003N8EMH8GTFRIVOG7KG9J3KE","GSON1112030100")</f>
        <v>#NAME?</v>
      </c>
      <c r="P128" s="23" t="e">
        <f ca="1">[1]!BexGetData("DP_1","003N8EMH8GTFRIVOG7KG9J9VY","GSON1112030100")</f>
        <v>#NAME?</v>
      </c>
      <c r="Q128" s="23" t="e">
        <f ca="1">[1]!BexGetData("DP_1","00O2TNJGODT0G5Z4TTKYMM5MT","GSON1112030100")</f>
        <v>#NAME?</v>
      </c>
      <c r="R128" s="23" t="e">
        <f ca="1">[1]!BexGetData("DP_1","00O2TNJGODT0G5Z4TTKYMMBYD","GSON1112030100")</f>
        <v>#NAME?</v>
      </c>
      <c r="S128" s="23" t="e">
        <f ca="1">[1]!BexGetData("DP_1","00O2TNJGODT0G5Z4TTKYMMI9X","GSON1112030100")</f>
        <v>#NAME?</v>
      </c>
      <c r="T128" s="28" t="e">
        <f ca="1">[1]!BexGetData("DP_1","00O2TNJGODT0G5Z4TTKYMMOLH","GSON1112030100")</f>
        <v>#NAME?</v>
      </c>
      <c r="U128" s="23" t="e">
        <f ca="1">[1]!BexGetData("DP_1","00O2TNJGODT0G5Z4TTKYMMUX1","GSON1112030100")</f>
        <v>#NAME?</v>
      </c>
      <c r="V128" s="28" t="e">
        <f ca="1">[1]!BexGetData("DP_1","00O2TNJGODT0G5Z4TTKYMN18L","GSON1112030100")</f>
        <v>#NAME?</v>
      </c>
      <c r="W128" s="23" t="e">
        <f ca="1">[1]!BexGetData("DP_1","00O2TNJGODT0G5Z4TTKYMN7K5","GSON1112030100")</f>
        <v>#NAME?</v>
      </c>
    </row>
    <row r="129" spans="1:23" x14ac:dyDescent="0.2">
      <c r="A129" s="36" t="s">
        <v>1945</v>
      </c>
      <c r="B129" s="27" t="s">
        <v>766</v>
      </c>
      <c r="C129" s="24" t="e">
        <f ca="1">[1]!BexGetData("DP_1","003N8EMH8GTFRCSWKMPXRR8GU","GSON1112030101")</f>
        <v>#NAME?</v>
      </c>
      <c r="D129" s="24" t="e">
        <f ca="1">[1]!BexGetData("DP_1","003N8EMH8GTFRCSWKMPXRRESE","GSON1112030101")</f>
        <v>#NAME?</v>
      </c>
      <c r="E129" s="24" t="e">
        <f ca="1">[1]!BexGetData("DP_1","003N8EMH8GTFRCSWKMPXRRL3Y","GSON1112030101")</f>
        <v>#NAME?</v>
      </c>
      <c r="F129" s="28" t="e">
        <f ca="1">[1]!BexGetData("DP_1","003N8EMH8GTFRCSWKMPXRRRFI","GSON1112030101")</f>
        <v>#NAME?</v>
      </c>
      <c r="G129" s="23" t="e">
        <f ca="1">[1]!BexGetData("DP_1","003N8EMH8GTFRCSWKMPXRRXR2","GSON1112030101")</f>
        <v>#NAME?</v>
      </c>
      <c r="H129" s="23" t="e">
        <f ca="1">[1]!BexGetData("DP_1","003N8EMH8GTFRCSWKMPXRS42M","GSON1112030101")</f>
        <v>#NAME?</v>
      </c>
      <c r="I129" s="28" t="e">
        <f ca="1">[1]!BexGetData("DP_1","003N8EMH8GTFRCSWKMPXRSAE6","GSON1112030101")</f>
        <v>#NAME?</v>
      </c>
      <c r="J129" s="24" t="e">
        <f ca="1">[1]!BexGetData("DP_1","003N8EMH8GTFRCSWKMPXRSGPQ","GSON1112030101")</f>
        <v>#NAME?</v>
      </c>
      <c r="K129" s="28" t="e">
        <f ca="1">[1]!BexGetData("DP_1","003N8EMH8GTFRIVNUPY288VJH","GSON1112030101")</f>
        <v>#NAME?</v>
      </c>
      <c r="L129" s="28" t="e">
        <f ca="1">[1]!BexGetData("DP_1","003N8EMH8GTFRIVNUPY2891V1","GSON1112030101")</f>
        <v>#NAME?</v>
      </c>
      <c r="M129" s="28" t="e">
        <f ca="1">[1]!BexGetData("DP_1","003N8EMH8GTFRIVOG7KG9IQXA","GSON1112030101")</f>
        <v>#NAME?</v>
      </c>
      <c r="N129" s="28" t="e">
        <f ca="1">[1]!BexGetData("DP_1","003N8EMH8GTFRIVOG7KG9IX8U","GSON1112030101")</f>
        <v>#NAME?</v>
      </c>
      <c r="O129" s="28" t="e">
        <f ca="1">[1]!BexGetData("DP_1","003N8EMH8GTFRIVOG7KG9J3KE","GSON1112030101")</f>
        <v>#NAME?</v>
      </c>
      <c r="P129" s="28" t="e">
        <f ca="1">[1]!BexGetData("DP_1","003N8EMH8GTFRIVOG7KG9J9VY","GSON1112030101")</f>
        <v>#NAME?</v>
      </c>
      <c r="Q129" s="24" t="e">
        <f ca="1">[1]!BexGetData("DP_1","00O2TNJGODT0G5Z4TTKYMM5MT","GSON1112030101")</f>
        <v>#NAME?</v>
      </c>
      <c r="R129" s="28" t="e">
        <f ca="1">[1]!BexGetData("DP_1","00O2TNJGODT0G5Z4TTKYMMBYD","GSON1112030101")</f>
        <v>#NAME?</v>
      </c>
      <c r="S129" s="28" t="e">
        <f ca="1">[1]!BexGetData("DP_1","00O2TNJGODT0G5Z4TTKYMMI9X","GSON1112030101")</f>
        <v>#NAME?</v>
      </c>
      <c r="T129" s="28" t="e">
        <f ca="1">[1]!BexGetData("DP_1","00O2TNJGODT0G5Z4TTKYMMOLH","GSON1112030101")</f>
        <v>#NAME?</v>
      </c>
      <c r="U129" s="28" t="e">
        <f ca="1">[1]!BexGetData("DP_1","00O2TNJGODT0G5Z4TTKYMMUX1","GSON1112030101")</f>
        <v>#NAME?</v>
      </c>
      <c r="V129" s="28" t="e">
        <f ca="1">[1]!BexGetData("DP_1","00O2TNJGODT0G5Z4TTKYMN18L","GSON1112030101")</f>
        <v>#NAME?</v>
      </c>
      <c r="W129" s="28" t="e">
        <f ca="1">[1]!BexGetData("DP_1","00O2TNJGODT0G5Z4TTKYMN7K5","GSON1112030101")</f>
        <v>#NAME?</v>
      </c>
    </row>
    <row r="130" spans="1:23" x14ac:dyDescent="0.2">
      <c r="A130" s="36" t="s">
        <v>1946</v>
      </c>
      <c r="B130" s="27" t="s">
        <v>1947</v>
      </c>
      <c r="C130" s="23" t="e">
        <f ca="1">[1]!BexGetData("DP_1","003N8EMH8GTFRCSWKMPXRR8GU","GSON1112030105")</f>
        <v>#NAME?</v>
      </c>
      <c r="D130" s="23" t="e">
        <f ca="1">[1]!BexGetData("DP_1","003N8EMH8GTFRCSWKMPXRRESE","GSON1112030105")</f>
        <v>#NAME?</v>
      </c>
      <c r="E130" s="28" t="e">
        <f ca="1">[1]!BexGetData("DP_1","003N8EMH8GTFRCSWKMPXRRL3Y","GSON1112030105")</f>
        <v>#NAME?</v>
      </c>
      <c r="F130" s="28" t="e">
        <f ca="1">[1]!BexGetData("DP_1","003N8EMH8GTFRCSWKMPXRRRFI","GSON1112030105")</f>
        <v>#NAME?</v>
      </c>
      <c r="G130" s="23" t="e">
        <f ca="1">[1]!BexGetData("DP_1","003N8EMH8GTFRCSWKMPXRRXR2","GSON1112030105")</f>
        <v>#NAME?</v>
      </c>
      <c r="H130" s="23" t="e">
        <f ca="1">[1]!BexGetData("DP_1","003N8EMH8GTFRCSWKMPXRS42M","GSON1112030105")</f>
        <v>#NAME?</v>
      </c>
      <c r="I130" s="28" t="e">
        <f ca="1">[1]!BexGetData("DP_1","003N8EMH8GTFRCSWKMPXRSAE6","GSON1112030105")</f>
        <v>#NAME?</v>
      </c>
      <c r="J130" s="24" t="e">
        <f ca="1">[1]!BexGetData("DP_1","003N8EMH8GTFRCSWKMPXRSGPQ","GSON1112030105")</f>
        <v>#NAME?</v>
      </c>
      <c r="K130" s="28" t="e">
        <f ca="1">[1]!BexGetData("DP_1","003N8EMH8GTFRIVNUPY288VJH","GSON1112030105")</f>
        <v>#NAME?</v>
      </c>
      <c r="L130" s="28" t="e">
        <f ca="1">[1]!BexGetData("DP_1","003N8EMH8GTFRIVNUPY2891V1","GSON1112030105")</f>
        <v>#NAME?</v>
      </c>
      <c r="M130" s="28" t="e">
        <f ca="1">[1]!BexGetData("DP_1","003N8EMH8GTFRIVOG7KG9IQXA","GSON1112030105")</f>
        <v>#NAME?</v>
      </c>
      <c r="N130" s="28" t="e">
        <f ca="1">[1]!BexGetData("DP_1","003N8EMH8GTFRIVOG7KG9IX8U","GSON1112030105")</f>
        <v>#NAME?</v>
      </c>
      <c r="O130" s="28" t="e">
        <f ca="1">[1]!BexGetData("DP_1","003N8EMH8GTFRIVOG7KG9J3KE","GSON1112030105")</f>
        <v>#NAME?</v>
      </c>
      <c r="P130" s="28" t="e">
        <f ca="1">[1]!BexGetData("DP_1","003N8EMH8GTFRIVOG7KG9J9VY","GSON1112030105")</f>
        <v>#NAME?</v>
      </c>
      <c r="Q130" s="24" t="e">
        <f ca="1">[1]!BexGetData("DP_1","00O2TNJGODT0G5Z4TTKYMM5MT","GSON1112030105")</f>
        <v>#NAME?</v>
      </c>
      <c r="R130" s="28" t="e">
        <f ca="1">[1]!BexGetData("DP_1","00O2TNJGODT0G5Z4TTKYMMBYD","GSON1112030105")</f>
        <v>#NAME?</v>
      </c>
      <c r="S130" s="28" t="e">
        <f ca="1">[1]!BexGetData("DP_1","00O2TNJGODT0G5Z4TTKYMMI9X","GSON1112030105")</f>
        <v>#NAME?</v>
      </c>
      <c r="T130" s="28" t="e">
        <f ca="1">[1]!BexGetData("DP_1","00O2TNJGODT0G5Z4TTKYMMOLH","GSON1112030105")</f>
        <v>#NAME?</v>
      </c>
      <c r="U130" s="28" t="e">
        <f ca="1">[1]!BexGetData("DP_1","00O2TNJGODT0G5Z4TTKYMMUX1","GSON1112030105")</f>
        <v>#NAME?</v>
      </c>
      <c r="V130" s="28" t="e">
        <f ca="1">[1]!BexGetData("DP_1","00O2TNJGODT0G5Z4TTKYMN18L","GSON1112030105")</f>
        <v>#NAME?</v>
      </c>
      <c r="W130" s="28" t="e">
        <f ca="1">[1]!BexGetData("DP_1","00O2TNJGODT0G5Z4TTKYMN7K5","GSON1112030105")</f>
        <v>#NAME?</v>
      </c>
    </row>
    <row r="131" spans="1:23" x14ac:dyDescent="0.2">
      <c r="A131" s="36" t="s">
        <v>1948</v>
      </c>
      <c r="B131" s="27" t="s">
        <v>1949</v>
      </c>
      <c r="C131" s="28" t="e">
        <f ca="1">[1]!BexGetData("DP_1","003N8EMH8GTFRCSWKMPXRR8GU","GSON1112030110")</f>
        <v>#NAME?</v>
      </c>
      <c r="D131" s="28" t="e">
        <f ca="1">[1]!BexGetData("DP_1","003N8EMH8GTFRCSWKMPXRRESE","GSON1112030110")</f>
        <v>#NAME?</v>
      </c>
      <c r="E131" s="28" t="e">
        <f ca="1">[1]!BexGetData("DP_1","003N8EMH8GTFRCSWKMPXRRL3Y","GSON1112030110")</f>
        <v>#NAME?</v>
      </c>
      <c r="F131" s="28" t="e">
        <f ca="1">[1]!BexGetData("DP_1","003N8EMH8GTFRCSWKMPXRRRFI","GSON1112030110")</f>
        <v>#NAME?</v>
      </c>
      <c r="G131" s="28" t="e">
        <f ca="1">[1]!BexGetData("DP_1","003N8EMH8GTFRCSWKMPXRRXR2","GSON1112030110")</f>
        <v>#NAME?</v>
      </c>
      <c r="H131" s="23" t="e">
        <f ca="1">[1]!BexGetData("DP_1","003N8EMH8GTFRCSWKMPXRS42M","GSON1112030110")</f>
        <v>#NAME?</v>
      </c>
      <c r="I131" s="28" t="e">
        <f ca="1">[1]!BexGetData("DP_1","003N8EMH8GTFRCSWKMPXRSAE6","GSON1112030110")</f>
        <v>#NAME?</v>
      </c>
      <c r="J131" s="23" t="e">
        <f ca="1">[1]!BexGetData("DP_1","003N8EMH8GTFRCSWKMPXRSGPQ","GSON1112030110")</f>
        <v>#NAME?</v>
      </c>
      <c r="K131" s="28" t="e">
        <f ca="1">[1]!BexGetData("DP_1","003N8EMH8GTFRIVNUPY288VJH","GSON1112030110")</f>
        <v>#NAME?</v>
      </c>
      <c r="L131" s="28" t="e">
        <f ca="1">[1]!BexGetData("DP_1","003N8EMH8GTFRIVNUPY2891V1","GSON1112030110")</f>
        <v>#NAME?</v>
      </c>
      <c r="M131" s="28" t="e">
        <f ca="1">[1]!BexGetData("DP_1","003N8EMH8GTFRIVOG7KG9IQXA","GSON1112030110")</f>
        <v>#NAME?</v>
      </c>
      <c r="N131" s="28" t="e">
        <f ca="1">[1]!BexGetData("DP_1","003N8EMH8GTFRIVOG7KG9IX8U","GSON1112030110")</f>
        <v>#NAME?</v>
      </c>
      <c r="O131" s="28" t="e">
        <f ca="1">[1]!BexGetData("DP_1","003N8EMH8GTFRIVOG7KG9J3KE","GSON1112030110")</f>
        <v>#NAME?</v>
      </c>
      <c r="P131" s="28" t="e">
        <f ca="1">[1]!BexGetData("DP_1","003N8EMH8GTFRIVOG7KG9J9VY","GSON1112030110")</f>
        <v>#NAME?</v>
      </c>
      <c r="Q131" s="23" t="e">
        <f ca="1">[1]!BexGetData("DP_1","00O2TNJGODT0G5Z4TTKYMM5MT","GSON1112030110")</f>
        <v>#NAME?</v>
      </c>
      <c r="R131" s="23" t="e">
        <f ca="1">[1]!BexGetData("DP_1","00O2TNJGODT0G5Z4TTKYMMBYD","GSON1112030110")</f>
        <v>#NAME?</v>
      </c>
      <c r="S131" s="23" t="e">
        <f ca="1">[1]!BexGetData("DP_1","00O2TNJGODT0G5Z4TTKYMMI9X","GSON1112030110")</f>
        <v>#NAME?</v>
      </c>
      <c r="T131" s="23" t="e">
        <f ca="1">[1]!BexGetData("DP_1","00O2TNJGODT0G5Z4TTKYMMOLH","GSON1112030110")</f>
        <v>#NAME?</v>
      </c>
      <c r="U131" s="28" t="e">
        <f ca="1">[1]!BexGetData("DP_1","00O2TNJGODT0G5Z4TTKYMMUX1","GSON1112030110")</f>
        <v>#NAME?</v>
      </c>
      <c r="V131" s="23" t="e">
        <f ca="1">[1]!BexGetData("DP_1","00O2TNJGODT0G5Z4TTKYMN18L","GSON1112030110")</f>
        <v>#NAME?</v>
      </c>
      <c r="W131" s="28" t="e">
        <f ca="1">[1]!BexGetData("DP_1","00O2TNJGODT0G5Z4TTKYMN7K5","GSON1112030110")</f>
        <v>#NAME?</v>
      </c>
    </row>
    <row r="132" spans="1:23" x14ac:dyDescent="0.2">
      <c r="A132" s="36" t="s">
        <v>1950</v>
      </c>
      <c r="B132" s="27" t="s">
        <v>1951</v>
      </c>
      <c r="C132" s="24" t="e">
        <f ca="1">[1]!BexGetData("DP_1","003N8EMH8GTFRCSWKMPXRR8GU","GSON1112030113")</f>
        <v>#NAME?</v>
      </c>
      <c r="D132" s="24" t="e">
        <f ca="1">[1]!BexGetData("DP_1","003N8EMH8GTFRCSWKMPXRRESE","GSON1112030113")</f>
        <v>#NAME?</v>
      </c>
      <c r="E132" s="24" t="e">
        <f ca="1">[1]!BexGetData("DP_1","003N8EMH8GTFRCSWKMPXRRL3Y","GSON1112030113")</f>
        <v>#NAME?</v>
      </c>
      <c r="F132" s="28" t="e">
        <f ca="1">[1]!BexGetData("DP_1","003N8EMH8GTFRCSWKMPXRRRFI","GSON1112030113")</f>
        <v>#NAME?</v>
      </c>
      <c r="G132" s="23" t="e">
        <f ca="1">[1]!BexGetData("DP_1","003N8EMH8GTFRCSWKMPXRRXR2","GSON1112030113")</f>
        <v>#NAME?</v>
      </c>
      <c r="H132" s="23" t="e">
        <f ca="1">[1]!BexGetData("DP_1","003N8EMH8GTFRCSWKMPXRS42M","GSON1112030113")</f>
        <v>#NAME?</v>
      </c>
      <c r="I132" s="28" t="e">
        <f ca="1">[1]!BexGetData("DP_1","003N8EMH8GTFRCSWKMPXRSAE6","GSON1112030113")</f>
        <v>#NAME?</v>
      </c>
      <c r="J132" s="24" t="e">
        <f ca="1">[1]!BexGetData("DP_1","003N8EMH8GTFRCSWKMPXRSGPQ","GSON1112030113")</f>
        <v>#NAME?</v>
      </c>
      <c r="K132" s="28" t="e">
        <f ca="1">[1]!BexGetData("DP_1","003N8EMH8GTFRIVNUPY288VJH","GSON1112030113")</f>
        <v>#NAME?</v>
      </c>
      <c r="L132" s="28" t="e">
        <f ca="1">[1]!BexGetData("DP_1","003N8EMH8GTFRIVNUPY2891V1","GSON1112030113")</f>
        <v>#NAME?</v>
      </c>
      <c r="M132" s="28" t="e">
        <f ca="1">[1]!BexGetData("DP_1","003N8EMH8GTFRIVOG7KG9IQXA","GSON1112030113")</f>
        <v>#NAME?</v>
      </c>
      <c r="N132" s="28" t="e">
        <f ca="1">[1]!BexGetData("DP_1","003N8EMH8GTFRIVOG7KG9IX8U","GSON1112030113")</f>
        <v>#NAME?</v>
      </c>
      <c r="O132" s="28" t="e">
        <f ca="1">[1]!BexGetData("DP_1","003N8EMH8GTFRIVOG7KG9J3KE","GSON1112030113")</f>
        <v>#NAME?</v>
      </c>
      <c r="P132" s="28" t="e">
        <f ca="1">[1]!BexGetData("DP_1","003N8EMH8GTFRIVOG7KG9J9VY","GSON1112030113")</f>
        <v>#NAME?</v>
      </c>
      <c r="Q132" s="24" t="e">
        <f ca="1">[1]!BexGetData("DP_1","00O2TNJGODT0G5Z4TTKYMM5MT","GSON1112030113")</f>
        <v>#NAME?</v>
      </c>
      <c r="R132" s="28" t="e">
        <f ca="1">[1]!BexGetData("DP_1","00O2TNJGODT0G5Z4TTKYMMBYD","GSON1112030113")</f>
        <v>#NAME?</v>
      </c>
      <c r="S132" s="28" t="e">
        <f ca="1">[1]!BexGetData("DP_1","00O2TNJGODT0G5Z4TTKYMMI9X","GSON1112030113")</f>
        <v>#NAME?</v>
      </c>
      <c r="T132" s="28" t="e">
        <f ca="1">[1]!BexGetData("DP_1","00O2TNJGODT0G5Z4TTKYMMOLH","GSON1112030113")</f>
        <v>#NAME?</v>
      </c>
      <c r="U132" s="28" t="e">
        <f ca="1">[1]!BexGetData("DP_1","00O2TNJGODT0G5Z4TTKYMMUX1","GSON1112030113")</f>
        <v>#NAME?</v>
      </c>
      <c r="V132" s="28" t="e">
        <f ca="1">[1]!BexGetData("DP_1","00O2TNJGODT0G5Z4TTKYMN18L","GSON1112030113")</f>
        <v>#NAME?</v>
      </c>
      <c r="W132" s="28" t="e">
        <f ca="1">[1]!BexGetData("DP_1","00O2TNJGODT0G5Z4TTKYMN7K5","GSON1112030113")</f>
        <v>#NAME?</v>
      </c>
    </row>
    <row r="133" spans="1:23" x14ac:dyDescent="0.2">
      <c r="A133" s="36" t="s">
        <v>1952</v>
      </c>
      <c r="B133" s="27" t="s">
        <v>767</v>
      </c>
      <c r="C133" s="28" t="e">
        <f ca="1">[1]!BexGetData("DP_1","003N8EMH8GTFRCSWKMPXRR8GU","GSON1112030120")</f>
        <v>#NAME?</v>
      </c>
      <c r="D133" s="28" t="e">
        <f ca="1">[1]!BexGetData("DP_1","003N8EMH8GTFRCSWKMPXRRESE","GSON1112030120")</f>
        <v>#NAME?</v>
      </c>
      <c r="E133" s="28" t="e">
        <f ca="1">[1]!BexGetData("DP_1","003N8EMH8GTFRCSWKMPXRRL3Y","GSON1112030120")</f>
        <v>#NAME?</v>
      </c>
      <c r="F133" s="28" t="e">
        <f ca="1">[1]!BexGetData("DP_1","003N8EMH8GTFRCSWKMPXRRRFI","GSON1112030120")</f>
        <v>#NAME?</v>
      </c>
      <c r="G133" s="23" t="e">
        <f ca="1">[1]!BexGetData("DP_1","003N8EMH8GTFRCSWKMPXRRXR2","GSON1112030120")</f>
        <v>#NAME?</v>
      </c>
      <c r="H133" s="23" t="e">
        <f ca="1">[1]!BexGetData("DP_1","003N8EMH8GTFRCSWKMPXRS42M","GSON1112030120")</f>
        <v>#NAME?</v>
      </c>
      <c r="I133" s="28" t="e">
        <f ca="1">[1]!BexGetData("DP_1","003N8EMH8GTFRCSWKMPXRSAE6","GSON1112030120")</f>
        <v>#NAME?</v>
      </c>
      <c r="J133" s="23" t="e">
        <f ca="1">[1]!BexGetData("DP_1","003N8EMH8GTFRCSWKMPXRSGPQ","GSON1112030120")</f>
        <v>#NAME?</v>
      </c>
      <c r="K133" s="28" t="e">
        <f ca="1">[1]!BexGetData("DP_1","003N8EMH8GTFRIVNUPY288VJH","GSON1112030120")</f>
        <v>#NAME?</v>
      </c>
      <c r="L133" s="28" t="e">
        <f ca="1">[1]!BexGetData("DP_1","003N8EMH8GTFRIVNUPY2891V1","GSON1112030120")</f>
        <v>#NAME?</v>
      </c>
      <c r="M133" s="28" t="e">
        <f ca="1">[1]!BexGetData("DP_1","003N8EMH8GTFRIVOG7KG9IQXA","GSON1112030120")</f>
        <v>#NAME?</v>
      </c>
      <c r="N133" s="28" t="e">
        <f ca="1">[1]!BexGetData("DP_1","003N8EMH8GTFRIVOG7KG9IX8U","GSON1112030120")</f>
        <v>#NAME?</v>
      </c>
      <c r="O133" s="28" t="e">
        <f ca="1">[1]!BexGetData("DP_1","003N8EMH8GTFRIVOG7KG9J3KE","GSON1112030120")</f>
        <v>#NAME?</v>
      </c>
      <c r="P133" s="28" t="e">
        <f ca="1">[1]!BexGetData("DP_1","003N8EMH8GTFRIVOG7KG9J9VY","GSON1112030120")</f>
        <v>#NAME?</v>
      </c>
      <c r="Q133" s="23" t="e">
        <f ca="1">[1]!BexGetData("DP_1","00O2TNJGODT0G5Z4TTKYMM5MT","GSON1112030120")</f>
        <v>#NAME?</v>
      </c>
      <c r="R133" s="23" t="e">
        <f ca="1">[1]!BexGetData("DP_1","00O2TNJGODT0G5Z4TTKYMMBYD","GSON1112030120")</f>
        <v>#NAME?</v>
      </c>
      <c r="S133" s="23" t="e">
        <f ca="1">[1]!BexGetData("DP_1","00O2TNJGODT0G5Z4TTKYMMI9X","GSON1112030120")</f>
        <v>#NAME?</v>
      </c>
      <c r="T133" s="23" t="e">
        <f ca="1">[1]!BexGetData("DP_1","00O2TNJGODT0G5Z4TTKYMMOLH","GSON1112030120")</f>
        <v>#NAME?</v>
      </c>
      <c r="U133" s="28" t="e">
        <f ca="1">[1]!BexGetData("DP_1","00O2TNJGODT0G5Z4TTKYMMUX1","GSON1112030120")</f>
        <v>#NAME?</v>
      </c>
      <c r="V133" s="23" t="e">
        <f ca="1">[1]!BexGetData("DP_1","00O2TNJGODT0G5Z4TTKYMN18L","GSON1112030120")</f>
        <v>#NAME?</v>
      </c>
      <c r="W133" s="28" t="e">
        <f ca="1">[1]!BexGetData("DP_1","00O2TNJGODT0G5Z4TTKYMN7K5","GSON1112030120")</f>
        <v>#NAME?</v>
      </c>
    </row>
    <row r="134" spans="1:23" x14ac:dyDescent="0.2">
      <c r="A134" s="36" t="s">
        <v>1953</v>
      </c>
      <c r="B134" s="27" t="s">
        <v>768</v>
      </c>
      <c r="C134" s="24" t="e">
        <f ca="1">[1]!BexGetData("DP_1","003N8EMH8GTFRCSWKMPXRR8GU","GSON1112030121")</f>
        <v>#NAME?</v>
      </c>
      <c r="D134" s="24" t="e">
        <f ca="1">[1]!BexGetData("DP_1","003N8EMH8GTFRCSWKMPXRRESE","GSON1112030121")</f>
        <v>#NAME?</v>
      </c>
      <c r="E134" s="24" t="e">
        <f ca="1">[1]!BexGetData("DP_1","003N8EMH8GTFRCSWKMPXRRL3Y","GSON1112030121")</f>
        <v>#NAME?</v>
      </c>
      <c r="F134" s="28" t="e">
        <f ca="1">[1]!BexGetData("DP_1","003N8EMH8GTFRCSWKMPXRRRFI","GSON1112030121")</f>
        <v>#NAME?</v>
      </c>
      <c r="G134" s="23" t="e">
        <f ca="1">[1]!BexGetData("DP_1","003N8EMH8GTFRCSWKMPXRRXR2","GSON1112030121")</f>
        <v>#NAME?</v>
      </c>
      <c r="H134" s="23" t="e">
        <f ca="1">[1]!BexGetData("DP_1","003N8EMH8GTFRCSWKMPXRS42M","GSON1112030121")</f>
        <v>#NAME?</v>
      </c>
      <c r="I134" s="28" t="e">
        <f ca="1">[1]!BexGetData("DP_1","003N8EMH8GTFRCSWKMPXRSAE6","GSON1112030121")</f>
        <v>#NAME?</v>
      </c>
      <c r="J134" s="24" t="e">
        <f ca="1">[1]!BexGetData("DP_1","003N8EMH8GTFRCSWKMPXRSGPQ","GSON1112030121")</f>
        <v>#NAME?</v>
      </c>
      <c r="K134" s="28" t="e">
        <f ca="1">[1]!BexGetData("DP_1","003N8EMH8GTFRIVNUPY288VJH","GSON1112030121")</f>
        <v>#NAME?</v>
      </c>
      <c r="L134" s="28" t="e">
        <f ca="1">[1]!BexGetData("DP_1","003N8EMH8GTFRIVNUPY2891V1","GSON1112030121")</f>
        <v>#NAME?</v>
      </c>
      <c r="M134" s="28" t="e">
        <f ca="1">[1]!BexGetData("DP_1","003N8EMH8GTFRIVOG7KG9IQXA","GSON1112030121")</f>
        <v>#NAME?</v>
      </c>
      <c r="N134" s="28" t="e">
        <f ca="1">[1]!BexGetData("DP_1","003N8EMH8GTFRIVOG7KG9IX8U","GSON1112030121")</f>
        <v>#NAME?</v>
      </c>
      <c r="O134" s="28" t="e">
        <f ca="1">[1]!BexGetData("DP_1","003N8EMH8GTFRIVOG7KG9J3KE","GSON1112030121")</f>
        <v>#NAME?</v>
      </c>
      <c r="P134" s="28" t="e">
        <f ca="1">[1]!BexGetData("DP_1","003N8EMH8GTFRIVOG7KG9J9VY","GSON1112030121")</f>
        <v>#NAME?</v>
      </c>
      <c r="Q134" s="24" t="e">
        <f ca="1">[1]!BexGetData("DP_1","00O2TNJGODT0G5Z4TTKYMM5MT","GSON1112030121")</f>
        <v>#NAME?</v>
      </c>
      <c r="R134" s="28" t="e">
        <f ca="1">[1]!BexGetData("DP_1","00O2TNJGODT0G5Z4TTKYMMBYD","GSON1112030121")</f>
        <v>#NAME?</v>
      </c>
      <c r="S134" s="28" t="e">
        <f ca="1">[1]!BexGetData("DP_1","00O2TNJGODT0G5Z4TTKYMMI9X","GSON1112030121")</f>
        <v>#NAME?</v>
      </c>
      <c r="T134" s="28" t="e">
        <f ca="1">[1]!BexGetData("DP_1","00O2TNJGODT0G5Z4TTKYMMOLH","GSON1112030121")</f>
        <v>#NAME?</v>
      </c>
      <c r="U134" s="28" t="e">
        <f ca="1">[1]!BexGetData("DP_1","00O2TNJGODT0G5Z4TTKYMMUX1","GSON1112030121")</f>
        <v>#NAME?</v>
      </c>
      <c r="V134" s="28" t="e">
        <f ca="1">[1]!BexGetData("DP_1","00O2TNJGODT0G5Z4TTKYMN18L","GSON1112030121")</f>
        <v>#NAME?</v>
      </c>
      <c r="W134" s="28" t="e">
        <f ca="1">[1]!BexGetData("DP_1","00O2TNJGODT0G5Z4TTKYMN7K5","GSON1112030121")</f>
        <v>#NAME?</v>
      </c>
    </row>
    <row r="135" spans="1:23" x14ac:dyDescent="0.2">
      <c r="A135" s="36" t="s">
        <v>1954</v>
      </c>
      <c r="B135" s="27" t="s">
        <v>1955</v>
      </c>
      <c r="C135" s="24" t="e">
        <f ca="1">[1]!BexGetData("DP_1","003N8EMH8GTFRCSWKMPXRR8GU","GSON1112030123")</f>
        <v>#NAME?</v>
      </c>
      <c r="D135" s="24" t="e">
        <f ca="1">[1]!BexGetData("DP_1","003N8EMH8GTFRCSWKMPXRRESE","GSON1112030123")</f>
        <v>#NAME?</v>
      </c>
      <c r="E135" s="24" t="e">
        <f ca="1">[1]!BexGetData("DP_1","003N8EMH8GTFRCSWKMPXRRL3Y","GSON1112030123")</f>
        <v>#NAME?</v>
      </c>
      <c r="F135" s="28" t="e">
        <f ca="1">[1]!BexGetData("DP_1","003N8EMH8GTFRCSWKMPXRRRFI","GSON1112030123")</f>
        <v>#NAME?</v>
      </c>
      <c r="G135" s="23" t="e">
        <f ca="1">[1]!BexGetData("DP_1","003N8EMH8GTFRCSWKMPXRRXR2","GSON1112030123")</f>
        <v>#NAME?</v>
      </c>
      <c r="H135" s="23" t="e">
        <f ca="1">[1]!BexGetData("DP_1","003N8EMH8GTFRCSWKMPXRS42M","GSON1112030123")</f>
        <v>#NAME?</v>
      </c>
      <c r="I135" s="28" t="e">
        <f ca="1">[1]!BexGetData("DP_1","003N8EMH8GTFRCSWKMPXRSAE6","GSON1112030123")</f>
        <v>#NAME?</v>
      </c>
      <c r="J135" s="24" t="e">
        <f ca="1">[1]!BexGetData("DP_1","003N8EMH8GTFRCSWKMPXRSGPQ","GSON1112030123")</f>
        <v>#NAME?</v>
      </c>
      <c r="K135" s="28" t="e">
        <f ca="1">[1]!BexGetData("DP_1","003N8EMH8GTFRIVNUPY288VJH","GSON1112030123")</f>
        <v>#NAME?</v>
      </c>
      <c r="L135" s="28" t="e">
        <f ca="1">[1]!BexGetData("DP_1","003N8EMH8GTFRIVNUPY2891V1","GSON1112030123")</f>
        <v>#NAME?</v>
      </c>
      <c r="M135" s="28" t="e">
        <f ca="1">[1]!BexGetData("DP_1","003N8EMH8GTFRIVOG7KG9IQXA","GSON1112030123")</f>
        <v>#NAME?</v>
      </c>
      <c r="N135" s="28" t="e">
        <f ca="1">[1]!BexGetData("DP_1","003N8EMH8GTFRIVOG7KG9IX8U","GSON1112030123")</f>
        <v>#NAME?</v>
      </c>
      <c r="O135" s="28" t="e">
        <f ca="1">[1]!BexGetData("DP_1","003N8EMH8GTFRIVOG7KG9J3KE","GSON1112030123")</f>
        <v>#NAME?</v>
      </c>
      <c r="P135" s="28" t="e">
        <f ca="1">[1]!BexGetData("DP_1","003N8EMH8GTFRIVOG7KG9J9VY","GSON1112030123")</f>
        <v>#NAME?</v>
      </c>
      <c r="Q135" s="24" t="e">
        <f ca="1">[1]!BexGetData("DP_1","00O2TNJGODT0G5Z4TTKYMM5MT","GSON1112030123")</f>
        <v>#NAME?</v>
      </c>
      <c r="R135" s="28" t="e">
        <f ca="1">[1]!BexGetData("DP_1","00O2TNJGODT0G5Z4TTKYMMBYD","GSON1112030123")</f>
        <v>#NAME?</v>
      </c>
      <c r="S135" s="28" t="e">
        <f ca="1">[1]!BexGetData("DP_1","00O2TNJGODT0G5Z4TTKYMMI9X","GSON1112030123")</f>
        <v>#NAME?</v>
      </c>
      <c r="T135" s="28" t="e">
        <f ca="1">[1]!BexGetData("DP_1","00O2TNJGODT0G5Z4TTKYMMOLH","GSON1112030123")</f>
        <v>#NAME?</v>
      </c>
      <c r="U135" s="28" t="e">
        <f ca="1">[1]!BexGetData("DP_1","00O2TNJGODT0G5Z4TTKYMMUX1","GSON1112030123")</f>
        <v>#NAME?</v>
      </c>
      <c r="V135" s="28" t="e">
        <f ca="1">[1]!BexGetData("DP_1","00O2TNJGODT0G5Z4TTKYMN18L","GSON1112030123")</f>
        <v>#NAME?</v>
      </c>
      <c r="W135" s="28" t="e">
        <f ca="1">[1]!BexGetData("DP_1","00O2TNJGODT0G5Z4TTKYMN7K5","GSON1112030123")</f>
        <v>#NAME?</v>
      </c>
    </row>
    <row r="136" spans="1:23" x14ac:dyDescent="0.2">
      <c r="A136" s="36" t="s">
        <v>1956</v>
      </c>
      <c r="B136" s="27" t="s">
        <v>1957</v>
      </c>
      <c r="C136" s="28" t="e">
        <f ca="1">[1]!BexGetData("DP_1","003N8EMH8GTFRCSWKMPXRR8GU","GSON1112030125")</f>
        <v>#NAME?</v>
      </c>
      <c r="D136" s="28" t="e">
        <f ca="1">[1]!BexGetData("DP_1","003N8EMH8GTFRCSWKMPXRRESE","GSON1112030125")</f>
        <v>#NAME?</v>
      </c>
      <c r="E136" s="28" t="e">
        <f ca="1">[1]!BexGetData("DP_1","003N8EMH8GTFRCSWKMPXRRL3Y","GSON1112030125")</f>
        <v>#NAME?</v>
      </c>
      <c r="F136" s="28" t="e">
        <f ca="1">[1]!BexGetData("DP_1","003N8EMH8GTFRCSWKMPXRRRFI","GSON1112030125")</f>
        <v>#NAME?</v>
      </c>
      <c r="G136" s="23" t="e">
        <f ca="1">[1]!BexGetData("DP_1","003N8EMH8GTFRCSWKMPXRRXR2","GSON1112030125")</f>
        <v>#NAME?</v>
      </c>
      <c r="H136" s="23" t="e">
        <f ca="1">[1]!BexGetData("DP_1","003N8EMH8GTFRCSWKMPXRS42M","GSON1112030125")</f>
        <v>#NAME?</v>
      </c>
      <c r="I136" s="28" t="e">
        <f ca="1">[1]!BexGetData("DP_1","003N8EMH8GTFRCSWKMPXRSAE6","GSON1112030125")</f>
        <v>#NAME?</v>
      </c>
      <c r="J136" s="24" t="e">
        <f ca="1">[1]!BexGetData("DP_1","003N8EMH8GTFRCSWKMPXRSGPQ","GSON1112030125")</f>
        <v>#NAME?</v>
      </c>
      <c r="K136" s="28" t="e">
        <f ca="1">[1]!BexGetData("DP_1","003N8EMH8GTFRIVNUPY288VJH","GSON1112030125")</f>
        <v>#NAME?</v>
      </c>
      <c r="L136" s="28" t="e">
        <f ca="1">[1]!BexGetData("DP_1","003N8EMH8GTFRIVNUPY2891V1","GSON1112030125")</f>
        <v>#NAME?</v>
      </c>
      <c r="M136" s="28" t="e">
        <f ca="1">[1]!BexGetData("DP_1","003N8EMH8GTFRIVOG7KG9IQXA","GSON1112030125")</f>
        <v>#NAME?</v>
      </c>
      <c r="N136" s="28" t="e">
        <f ca="1">[1]!BexGetData("DP_1","003N8EMH8GTFRIVOG7KG9IX8U","GSON1112030125")</f>
        <v>#NAME?</v>
      </c>
      <c r="O136" s="28" t="e">
        <f ca="1">[1]!BexGetData("DP_1","003N8EMH8GTFRIVOG7KG9J3KE","GSON1112030125")</f>
        <v>#NAME?</v>
      </c>
      <c r="P136" s="28" t="e">
        <f ca="1">[1]!BexGetData("DP_1","003N8EMH8GTFRIVOG7KG9J9VY","GSON1112030125")</f>
        <v>#NAME?</v>
      </c>
      <c r="Q136" s="24" t="e">
        <f ca="1">[1]!BexGetData("DP_1","00O2TNJGODT0G5Z4TTKYMM5MT","GSON1112030125")</f>
        <v>#NAME?</v>
      </c>
      <c r="R136" s="28" t="e">
        <f ca="1">[1]!BexGetData("DP_1","00O2TNJGODT0G5Z4TTKYMMBYD","GSON1112030125")</f>
        <v>#NAME?</v>
      </c>
      <c r="S136" s="28" t="e">
        <f ca="1">[1]!BexGetData("DP_1","00O2TNJGODT0G5Z4TTKYMMI9X","GSON1112030125")</f>
        <v>#NAME?</v>
      </c>
      <c r="T136" s="28" t="e">
        <f ca="1">[1]!BexGetData("DP_1","00O2TNJGODT0G5Z4TTKYMMOLH","GSON1112030125")</f>
        <v>#NAME?</v>
      </c>
      <c r="U136" s="28" t="e">
        <f ca="1">[1]!BexGetData("DP_1","00O2TNJGODT0G5Z4TTKYMMUX1","GSON1112030125")</f>
        <v>#NAME?</v>
      </c>
      <c r="V136" s="28" t="e">
        <f ca="1">[1]!BexGetData("DP_1","00O2TNJGODT0G5Z4TTKYMN18L","GSON1112030125")</f>
        <v>#NAME?</v>
      </c>
      <c r="W136" s="28" t="e">
        <f ca="1">[1]!BexGetData("DP_1","00O2TNJGODT0G5Z4TTKYMN7K5","GSON1112030125")</f>
        <v>#NAME?</v>
      </c>
    </row>
    <row r="137" spans="1:23" x14ac:dyDescent="0.2">
      <c r="A137" s="36" t="s">
        <v>1958</v>
      </c>
      <c r="B137" s="27" t="s">
        <v>1959</v>
      </c>
      <c r="C137" s="28" t="e">
        <f ca="1">[1]!BexGetData("DP_1","003N8EMH8GTFRCSWKMPXRR8GU","GSON1112030130")</f>
        <v>#NAME?</v>
      </c>
      <c r="D137" s="28" t="e">
        <f ca="1">[1]!BexGetData("DP_1","003N8EMH8GTFRCSWKMPXRRESE","GSON1112030130")</f>
        <v>#NAME?</v>
      </c>
      <c r="E137" s="28" t="e">
        <f ca="1">[1]!BexGetData("DP_1","003N8EMH8GTFRCSWKMPXRRL3Y","GSON1112030130")</f>
        <v>#NAME?</v>
      </c>
      <c r="F137" s="28" t="e">
        <f ca="1">[1]!BexGetData("DP_1","003N8EMH8GTFRCSWKMPXRRRFI","GSON1112030130")</f>
        <v>#NAME?</v>
      </c>
      <c r="G137" s="28" t="e">
        <f ca="1">[1]!BexGetData("DP_1","003N8EMH8GTFRCSWKMPXRRXR2","GSON1112030130")</f>
        <v>#NAME?</v>
      </c>
      <c r="H137" s="23" t="e">
        <f ca="1">[1]!BexGetData("DP_1","003N8EMH8GTFRCSWKMPXRS42M","GSON1112030130")</f>
        <v>#NAME?</v>
      </c>
      <c r="I137" s="28" t="e">
        <f ca="1">[1]!BexGetData("DP_1","003N8EMH8GTFRCSWKMPXRSAE6","GSON1112030130")</f>
        <v>#NAME?</v>
      </c>
      <c r="J137" s="23" t="e">
        <f ca="1">[1]!BexGetData("DP_1","003N8EMH8GTFRCSWKMPXRSGPQ","GSON1112030130")</f>
        <v>#NAME?</v>
      </c>
      <c r="K137" s="28" t="e">
        <f ca="1">[1]!BexGetData("DP_1","003N8EMH8GTFRIVNUPY288VJH","GSON1112030130")</f>
        <v>#NAME?</v>
      </c>
      <c r="L137" s="28" t="e">
        <f ca="1">[1]!BexGetData("DP_1","003N8EMH8GTFRIVNUPY2891V1","GSON1112030130")</f>
        <v>#NAME?</v>
      </c>
      <c r="M137" s="28" t="e">
        <f ca="1">[1]!BexGetData("DP_1","003N8EMH8GTFRIVOG7KG9IQXA","GSON1112030130")</f>
        <v>#NAME?</v>
      </c>
      <c r="N137" s="28" t="e">
        <f ca="1">[1]!BexGetData("DP_1","003N8EMH8GTFRIVOG7KG9IX8U","GSON1112030130")</f>
        <v>#NAME?</v>
      </c>
      <c r="O137" s="28" t="e">
        <f ca="1">[1]!BexGetData("DP_1","003N8EMH8GTFRIVOG7KG9J3KE","GSON1112030130")</f>
        <v>#NAME?</v>
      </c>
      <c r="P137" s="28" t="e">
        <f ca="1">[1]!BexGetData("DP_1","003N8EMH8GTFRIVOG7KG9J9VY","GSON1112030130")</f>
        <v>#NAME?</v>
      </c>
      <c r="Q137" s="23" t="e">
        <f ca="1">[1]!BexGetData("DP_1","00O2TNJGODT0G5Z4TTKYMM5MT","GSON1112030130")</f>
        <v>#NAME?</v>
      </c>
      <c r="R137" s="23" t="e">
        <f ca="1">[1]!BexGetData("DP_1","00O2TNJGODT0G5Z4TTKYMMBYD","GSON1112030130")</f>
        <v>#NAME?</v>
      </c>
      <c r="S137" s="23" t="e">
        <f ca="1">[1]!BexGetData("DP_1","00O2TNJGODT0G5Z4TTKYMMI9X","GSON1112030130")</f>
        <v>#NAME?</v>
      </c>
      <c r="T137" s="23" t="e">
        <f ca="1">[1]!BexGetData("DP_1","00O2TNJGODT0G5Z4TTKYMMOLH","GSON1112030130")</f>
        <v>#NAME?</v>
      </c>
      <c r="U137" s="28" t="e">
        <f ca="1">[1]!BexGetData("DP_1","00O2TNJGODT0G5Z4TTKYMMUX1","GSON1112030130")</f>
        <v>#NAME?</v>
      </c>
      <c r="V137" s="23" t="e">
        <f ca="1">[1]!BexGetData("DP_1","00O2TNJGODT0G5Z4TTKYMN18L","GSON1112030130")</f>
        <v>#NAME?</v>
      </c>
      <c r="W137" s="28" t="e">
        <f ca="1">[1]!BexGetData("DP_1","00O2TNJGODT0G5Z4TTKYMN7K5","GSON1112030130")</f>
        <v>#NAME?</v>
      </c>
    </row>
    <row r="138" spans="1:23" x14ac:dyDescent="0.2">
      <c r="A138" s="36" t="s">
        <v>1960</v>
      </c>
      <c r="B138" s="27" t="s">
        <v>1961</v>
      </c>
      <c r="C138" s="24" t="e">
        <f ca="1">[1]!BexGetData("DP_1","003N8EMH8GTFRCSWKMPXRR8GU","GSON1112030133")</f>
        <v>#NAME?</v>
      </c>
      <c r="D138" s="24" t="e">
        <f ca="1">[1]!BexGetData("DP_1","003N8EMH8GTFRCSWKMPXRRESE","GSON1112030133")</f>
        <v>#NAME?</v>
      </c>
      <c r="E138" s="24" t="e">
        <f ca="1">[1]!BexGetData("DP_1","003N8EMH8GTFRCSWKMPXRRL3Y","GSON1112030133")</f>
        <v>#NAME?</v>
      </c>
      <c r="F138" s="28" t="e">
        <f ca="1">[1]!BexGetData("DP_1","003N8EMH8GTFRCSWKMPXRRRFI","GSON1112030133")</f>
        <v>#NAME?</v>
      </c>
      <c r="G138" s="23" t="e">
        <f ca="1">[1]!BexGetData("DP_1","003N8EMH8GTFRCSWKMPXRRXR2","GSON1112030133")</f>
        <v>#NAME?</v>
      </c>
      <c r="H138" s="23" t="e">
        <f ca="1">[1]!BexGetData("DP_1","003N8EMH8GTFRCSWKMPXRS42M","GSON1112030133")</f>
        <v>#NAME?</v>
      </c>
      <c r="I138" s="28" t="e">
        <f ca="1">[1]!BexGetData("DP_1","003N8EMH8GTFRCSWKMPXRSAE6","GSON1112030133")</f>
        <v>#NAME?</v>
      </c>
      <c r="J138" s="24" t="e">
        <f ca="1">[1]!BexGetData("DP_1","003N8EMH8GTFRCSWKMPXRSGPQ","GSON1112030133")</f>
        <v>#NAME?</v>
      </c>
      <c r="K138" s="28" t="e">
        <f ca="1">[1]!BexGetData("DP_1","003N8EMH8GTFRIVNUPY288VJH","GSON1112030133")</f>
        <v>#NAME?</v>
      </c>
      <c r="L138" s="28" t="e">
        <f ca="1">[1]!BexGetData("DP_1","003N8EMH8GTFRIVNUPY2891V1","GSON1112030133")</f>
        <v>#NAME?</v>
      </c>
      <c r="M138" s="28" t="e">
        <f ca="1">[1]!BexGetData("DP_1","003N8EMH8GTFRIVOG7KG9IQXA","GSON1112030133")</f>
        <v>#NAME?</v>
      </c>
      <c r="N138" s="28" t="e">
        <f ca="1">[1]!BexGetData("DP_1","003N8EMH8GTFRIVOG7KG9IX8U","GSON1112030133")</f>
        <v>#NAME?</v>
      </c>
      <c r="O138" s="28" t="e">
        <f ca="1">[1]!BexGetData("DP_1","003N8EMH8GTFRIVOG7KG9J3KE","GSON1112030133")</f>
        <v>#NAME?</v>
      </c>
      <c r="P138" s="28" t="e">
        <f ca="1">[1]!BexGetData("DP_1","003N8EMH8GTFRIVOG7KG9J9VY","GSON1112030133")</f>
        <v>#NAME?</v>
      </c>
      <c r="Q138" s="24" t="e">
        <f ca="1">[1]!BexGetData("DP_1","00O2TNJGODT0G5Z4TTKYMM5MT","GSON1112030133")</f>
        <v>#NAME?</v>
      </c>
      <c r="R138" s="28" t="e">
        <f ca="1">[1]!BexGetData("DP_1","00O2TNJGODT0G5Z4TTKYMMBYD","GSON1112030133")</f>
        <v>#NAME?</v>
      </c>
      <c r="S138" s="28" t="e">
        <f ca="1">[1]!BexGetData("DP_1","00O2TNJGODT0G5Z4TTKYMMI9X","GSON1112030133")</f>
        <v>#NAME?</v>
      </c>
      <c r="T138" s="28" t="e">
        <f ca="1">[1]!BexGetData("DP_1","00O2TNJGODT0G5Z4TTKYMMOLH","GSON1112030133")</f>
        <v>#NAME?</v>
      </c>
      <c r="U138" s="28" t="e">
        <f ca="1">[1]!BexGetData("DP_1","00O2TNJGODT0G5Z4TTKYMMUX1","GSON1112030133")</f>
        <v>#NAME?</v>
      </c>
      <c r="V138" s="28" t="e">
        <f ca="1">[1]!BexGetData("DP_1","00O2TNJGODT0G5Z4TTKYMN18L","GSON1112030133")</f>
        <v>#NAME?</v>
      </c>
      <c r="W138" s="28" t="e">
        <f ca="1">[1]!BexGetData("DP_1","00O2TNJGODT0G5Z4TTKYMN7K5","GSON1112030133")</f>
        <v>#NAME?</v>
      </c>
    </row>
    <row r="139" spans="1:23" x14ac:dyDescent="0.2">
      <c r="A139" s="36" t="s">
        <v>769</v>
      </c>
      <c r="B139" s="27" t="s">
        <v>770</v>
      </c>
      <c r="C139" s="23" t="e">
        <f ca="1">[1]!BexGetData("DP_1","003N8EMH8GTFRCSWKMPXRR8GU","GSON1112030140")</f>
        <v>#NAME?</v>
      </c>
      <c r="D139" s="23" t="e">
        <f ca="1">[1]!BexGetData("DP_1","003N8EMH8GTFRCSWKMPXRRESE","GSON1112030140")</f>
        <v>#NAME?</v>
      </c>
      <c r="E139" s="23" t="e">
        <f ca="1">[1]!BexGetData("DP_1","003N8EMH8GTFRCSWKMPXRRL3Y","GSON1112030140")</f>
        <v>#NAME?</v>
      </c>
      <c r="F139" s="23" t="e">
        <f ca="1">[1]!BexGetData("DP_1","003N8EMH8GTFRCSWKMPXRRRFI","GSON1112030140")</f>
        <v>#NAME?</v>
      </c>
      <c r="G139" s="23" t="e">
        <f ca="1">[1]!BexGetData("DP_1","003N8EMH8GTFRCSWKMPXRRXR2","GSON1112030140")</f>
        <v>#NAME?</v>
      </c>
      <c r="H139" s="28" t="e">
        <f ca="1">[1]!BexGetData("DP_1","003N8EMH8GTFRCSWKMPXRS42M","GSON1112030140")</f>
        <v>#NAME?</v>
      </c>
      <c r="I139" s="23" t="e">
        <f ca="1">[1]!BexGetData("DP_1","003N8EMH8GTFRCSWKMPXRSAE6","GSON1112030140")</f>
        <v>#NAME?</v>
      </c>
      <c r="J139" s="23" t="e">
        <f ca="1">[1]!BexGetData("DP_1","003N8EMH8GTFRCSWKMPXRSGPQ","GSON1112030140")</f>
        <v>#NAME?</v>
      </c>
      <c r="K139" s="23" t="e">
        <f ca="1">[1]!BexGetData("DP_1","003N8EMH8GTFRIVNUPY288VJH","GSON1112030140")</f>
        <v>#NAME?</v>
      </c>
      <c r="L139" s="23" t="e">
        <f ca="1">[1]!BexGetData("DP_1","003N8EMH8GTFRIVNUPY2891V1","GSON1112030140")</f>
        <v>#NAME?</v>
      </c>
      <c r="M139" s="28" t="e">
        <f ca="1">[1]!BexGetData("DP_1","003N8EMH8GTFRIVOG7KG9IQXA","GSON1112030140")</f>
        <v>#NAME?</v>
      </c>
      <c r="N139" s="23" t="e">
        <f ca="1">[1]!BexGetData("DP_1","003N8EMH8GTFRIVOG7KG9IX8U","GSON1112030140")</f>
        <v>#NAME?</v>
      </c>
      <c r="O139" s="28" t="e">
        <f ca="1">[1]!BexGetData("DP_1","003N8EMH8GTFRIVOG7KG9J3KE","GSON1112030140")</f>
        <v>#NAME?</v>
      </c>
      <c r="P139" s="23" t="e">
        <f ca="1">[1]!BexGetData("DP_1","003N8EMH8GTFRIVOG7KG9J9VY","GSON1112030140")</f>
        <v>#NAME?</v>
      </c>
      <c r="Q139" s="23" t="e">
        <f ca="1">[1]!BexGetData("DP_1","00O2TNJGODT0G5Z4TTKYMM5MT","GSON1112030140")</f>
        <v>#NAME?</v>
      </c>
      <c r="R139" s="23" t="e">
        <f ca="1">[1]!BexGetData("DP_1","00O2TNJGODT0G5Z4TTKYMMBYD","GSON1112030140")</f>
        <v>#NAME?</v>
      </c>
      <c r="S139" s="23" t="e">
        <f ca="1">[1]!BexGetData("DP_1","00O2TNJGODT0G5Z4TTKYMMI9X","GSON1112030140")</f>
        <v>#NAME?</v>
      </c>
      <c r="T139" s="28" t="e">
        <f ca="1">[1]!BexGetData("DP_1","00O2TNJGODT0G5Z4TTKYMMOLH","GSON1112030140")</f>
        <v>#NAME?</v>
      </c>
      <c r="U139" s="23" t="e">
        <f ca="1">[1]!BexGetData("DP_1","00O2TNJGODT0G5Z4TTKYMMUX1","GSON1112030140")</f>
        <v>#NAME?</v>
      </c>
      <c r="V139" s="28" t="e">
        <f ca="1">[1]!BexGetData("DP_1","00O2TNJGODT0G5Z4TTKYMN18L","GSON1112030140")</f>
        <v>#NAME?</v>
      </c>
      <c r="W139" s="23" t="e">
        <f ca="1">[1]!BexGetData("DP_1","00O2TNJGODT0G5Z4TTKYMN7K5","GSON1112030140")</f>
        <v>#NAME?</v>
      </c>
    </row>
    <row r="140" spans="1:23" x14ac:dyDescent="0.2">
      <c r="A140" s="36" t="s">
        <v>1962</v>
      </c>
      <c r="B140" s="27" t="s">
        <v>771</v>
      </c>
      <c r="C140" s="24" t="e">
        <f ca="1">[1]!BexGetData("DP_1","003N8EMH8GTFRCSWKMPXRR8GU","GSON1112030141")</f>
        <v>#NAME?</v>
      </c>
      <c r="D140" s="24" t="e">
        <f ca="1">[1]!BexGetData("DP_1","003N8EMH8GTFRCSWKMPXRRESE","GSON1112030141")</f>
        <v>#NAME?</v>
      </c>
      <c r="E140" s="24" t="e">
        <f ca="1">[1]!BexGetData("DP_1","003N8EMH8GTFRCSWKMPXRRL3Y","GSON1112030141")</f>
        <v>#NAME?</v>
      </c>
      <c r="F140" s="28" t="e">
        <f ca="1">[1]!BexGetData("DP_1","003N8EMH8GTFRCSWKMPXRRRFI","GSON1112030141")</f>
        <v>#NAME?</v>
      </c>
      <c r="G140" s="23" t="e">
        <f ca="1">[1]!BexGetData("DP_1","003N8EMH8GTFRCSWKMPXRRXR2","GSON1112030141")</f>
        <v>#NAME?</v>
      </c>
      <c r="H140" s="23" t="e">
        <f ca="1">[1]!BexGetData("DP_1","003N8EMH8GTFRCSWKMPXRS42M","GSON1112030141")</f>
        <v>#NAME?</v>
      </c>
      <c r="I140" s="28" t="e">
        <f ca="1">[1]!BexGetData("DP_1","003N8EMH8GTFRCSWKMPXRSAE6","GSON1112030141")</f>
        <v>#NAME?</v>
      </c>
      <c r="J140" s="24" t="e">
        <f ca="1">[1]!BexGetData("DP_1","003N8EMH8GTFRCSWKMPXRSGPQ","GSON1112030141")</f>
        <v>#NAME?</v>
      </c>
      <c r="K140" s="28" t="e">
        <f ca="1">[1]!BexGetData("DP_1","003N8EMH8GTFRIVNUPY288VJH","GSON1112030141")</f>
        <v>#NAME?</v>
      </c>
      <c r="L140" s="28" t="e">
        <f ca="1">[1]!BexGetData("DP_1","003N8EMH8GTFRIVNUPY2891V1","GSON1112030141")</f>
        <v>#NAME?</v>
      </c>
      <c r="M140" s="28" t="e">
        <f ca="1">[1]!BexGetData("DP_1","003N8EMH8GTFRIVOG7KG9IQXA","GSON1112030141")</f>
        <v>#NAME?</v>
      </c>
      <c r="N140" s="28" t="e">
        <f ca="1">[1]!BexGetData("DP_1","003N8EMH8GTFRIVOG7KG9IX8U","GSON1112030141")</f>
        <v>#NAME?</v>
      </c>
      <c r="O140" s="28" t="e">
        <f ca="1">[1]!BexGetData("DP_1","003N8EMH8GTFRIVOG7KG9J3KE","GSON1112030141")</f>
        <v>#NAME?</v>
      </c>
      <c r="P140" s="28" t="e">
        <f ca="1">[1]!BexGetData("DP_1","003N8EMH8GTFRIVOG7KG9J9VY","GSON1112030141")</f>
        <v>#NAME?</v>
      </c>
      <c r="Q140" s="24" t="e">
        <f ca="1">[1]!BexGetData("DP_1","00O2TNJGODT0G5Z4TTKYMM5MT","GSON1112030141")</f>
        <v>#NAME?</v>
      </c>
      <c r="R140" s="28" t="e">
        <f ca="1">[1]!BexGetData("DP_1","00O2TNJGODT0G5Z4TTKYMMBYD","GSON1112030141")</f>
        <v>#NAME?</v>
      </c>
      <c r="S140" s="28" t="e">
        <f ca="1">[1]!BexGetData("DP_1","00O2TNJGODT0G5Z4TTKYMMI9X","GSON1112030141")</f>
        <v>#NAME?</v>
      </c>
      <c r="T140" s="28" t="e">
        <f ca="1">[1]!BexGetData("DP_1","00O2TNJGODT0G5Z4TTKYMMOLH","GSON1112030141")</f>
        <v>#NAME?</v>
      </c>
      <c r="U140" s="28" t="e">
        <f ca="1">[1]!BexGetData("DP_1","00O2TNJGODT0G5Z4TTKYMMUX1","GSON1112030141")</f>
        <v>#NAME?</v>
      </c>
      <c r="V140" s="28" t="e">
        <f ca="1">[1]!BexGetData("DP_1","00O2TNJGODT0G5Z4TTKYMN18L","GSON1112030141")</f>
        <v>#NAME?</v>
      </c>
      <c r="W140" s="28" t="e">
        <f ca="1">[1]!BexGetData("DP_1","00O2TNJGODT0G5Z4TTKYMN7K5","GSON1112030141")</f>
        <v>#NAME?</v>
      </c>
    </row>
    <row r="141" spans="1:23" x14ac:dyDescent="0.2">
      <c r="A141" s="36" t="s">
        <v>1963</v>
      </c>
      <c r="B141" s="27" t="s">
        <v>1964</v>
      </c>
      <c r="C141" s="23" t="e">
        <f ca="1">[1]!BexGetData("DP_1","003N8EMH8GTFRCSWKMPXRR8GU","GSON1112030145")</f>
        <v>#NAME?</v>
      </c>
      <c r="D141" s="23" t="e">
        <f ca="1">[1]!BexGetData("DP_1","003N8EMH8GTFRCSWKMPXRRESE","GSON1112030145")</f>
        <v>#NAME?</v>
      </c>
      <c r="E141" s="28" t="e">
        <f ca="1">[1]!BexGetData("DP_1","003N8EMH8GTFRCSWKMPXRRL3Y","GSON1112030145")</f>
        <v>#NAME?</v>
      </c>
      <c r="F141" s="28" t="e">
        <f ca="1">[1]!BexGetData("DP_1","003N8EMH8GTFRCSWKMPXRRRFI","GSON1112030145")</f>
        <v>#NAME?</v>
      </c>
      <c r="G141" s="23" t="e">
        <f ca="1">[1]!BexGetData("DP_1","003N8EMH8GTFRCSWKMPXRRXR2","GSON1112030145")</f>
        <v>#NAME?</v>
      </c>
      <c r="H141" s="23" t="e">
        <f ca="1">[1]!BexGetData("DP_1","003N8EMH8GTFRCSWKMPXRS42M","GSON1112030145")</f>
        <v>#NAME?</v>
      </c>
      <c r="I141" s="28" t="e">
        <f ca="1">[1]!BexGetData("DP_1","003N8EMH8GTFRCSWKMPXRSAE6","GSON1112030145")</f>
        <v>#NAME?</v>
      </c>
      <c r="J141" s="24" t="e">
        <f ca="1">[1]!BexGetData("DP_1","003N8EMH8GTFRCSWKMPXRSGPQ","GSON1112030145")</f>
        <v>#NAME?</v>
      </c>
      <c r="K141" s="28" t="e">
        <f ca="1">[1]!BexGetData("DP_1","003N8EMH8GTFRIVNUPY288VJH","GSON1112030145")</f>
        <v>#NAME?</v>
      </c>
      <c r="L141" s="28" t="e">
        <f ca="1">[1]!BexGetData("DP_1","003N8EMH8GTFRIVNUPY2891V1","GSON1112030145")</f>
        <v>#NAME?</v>
      </c>
      <c r="M141" s="28" t="e">
        <f ca="1">[1]!BexGetData("DP_1","003N8EMH8GTFRIVOG7KG9IQXA","GSON1112030145")</f>
        <v>#NAME?</v>
      </c>
      <c r="N141" s="28" t="e">
        <f ca="1">[1]!BexGetData("DP_1","003N8EMH8GTFRIVOG7KG9IX8U","GSON1112030145")</f>
        <v>#NAME?</v>
      </c>
      <c r="O141" s="28" t="e">
        <f ca="1">[1]!BexGetData("DP_1","003N8EMH8GTFRIVOG7KG9J3KE","GSON1112030145")</f>
        <v>#NAME?</v>
      </c>
      <c r="P141" s="28" t="e">
        <f ca="1">[1]!BexGetData("DP_1","003N8EMH8GTFRIVOG7KG9J9VY","GSON1112030145")</f>
        <v>#NAME?</v>
      </c>
      <c r="Q141" s="24" t="e">
        <f ca="1">[1]!BexGetData("DP_1","00O2TNJGODT0G5Z4TTKYMM5MT","GSON1112030145")</f>
        <v>#NAME?</v>
      </c>
      <c r="R141" s="28" t="e">
        <f ca="1">[1]!BexGetData("DP_1","00O2TNJGODT0G5Z4TTKYMMBYD","GSON1112030145")</f>
        <v>#NAME?</v>
      </c>
      <c r="S141" s="28" t="e">
        <f ca="1">[1]!BexGetData("DP_1","00O2TNJGODT0G5Z4TTKYMMI9X","GSON1112030145")</f>
        <v>#NAME?</v>
      </c>
      <c r="T141" s="28" t="e">
        <f ca="1">[1]!BexGetData("DP_1","00O2TNJGODT0G5Z4TTKYMMOLH","GSON1112030145")</f>
        <v>#NAME?</v>
      </c>
      <c r="U141" s="28" t="e">
        <f ca="1">[1]!BexGetData("DP_1","00O2TNJGODT0G5Z4TTKYMMUX1","GSON1112030145")</f>
        <v>#NAME?</v>
      </c>
      <c r="V141" s="28" t="e">
        <f ca="1">[1]!BexGetData("DP_1","00O2TNJGODT0G5Z4TTKYMN18L","GSON1112030145")</f>
        <v>#NAME?</v>
      </c>
      <c r="W141" s="28" t="e">
        <f ca="1">[1]!BexGetData("DP_1","00O2TNJGODT0G5Z4TTKYMN7K5","GSON1112030145")</f>
        <v>#NAME?</v>
      </c>
    </row>
    <row r="142" spans="1:23" x14ac:dyDescent="0.2">
      <c r="A142" s="36" t="s">
        <v>1965</v>
      </c>
      <c r="B142" s="27" t="s">
        <v>1966</v>
      </c>
      <c r="C142" s="28" t="e">
        <f ca="1">[1]!BexGetData("DP_1","003N8EMH8GTFRCSWKMPXRR8GU","GSON1112030160")</f>
        <v>#NAME?</v>
      </c>
      <c r="D142" s="28" t="e">
        <f ca="1">[1]!BexGetData("DP_1","003N8EMH8GTFRCSWKMPXRRESE","GSON1112030160")</f>
        <v>#NAME?</v>
      </c>
      <c r="E142" s="28" t="e">
        <f ca="1">[1]!BexGetData("DP_1","003N8EMH8GTFRCSWKMPXRRL3Y","GSON1112030160")</f>
        <v>#NAME?</v>
      </c>
      <c r="F142" s="28" t="e">
        <f ca="1">[1]!BexGetData("DP_1","003N8EMH8GTFRCSWKMPXRRRFI","GSON1112030160")</f>
        <v>#NAME?</v>
      </c>
      <c r="G142" s="23" t="e">
        <f ca="1">[1]!BexGetData("DP_1","003N8EMH8GTFRCSWKMPXRRXR2","GSON1112030160")</f>
        <v>#NAME?</v>
      </c>
      <c r="H142" s="23" t="e">
        <f ca="1">[1]!BexGetData("DP_1","003N8EMH8GTFRCSWKMPXRS42M","GSON1112030160")</f>
        <v>#NAME?</v>
      </c>
      <c r="I142" s="28" t="e">
        <f ca="1">[1]!BexGetData("DP_1","003N8EMH8GTFRCSWKMPXRSAE6","GSON1112030160")</f>
        <v>#NAME?</v>
      </c>
      <c r="J142" s="23" t="e">
        <f ca="1">[1]!BexGetData("DP_1","003N8EMH8GTFRCSWKMPXRSGPQ","GSON1112030160")</f>
        <v>#NAME?</v>
      </c>
      <c r="K142" s="28" t="e">
        <f ca="1">[1]!BexGetData("DP_1","003N8EMH8GTFRIVNUPY288VJH","GSON1112030160")</f>
        <v>#NAME?</v>
      </c>
      <c r="L142" s="28" t="e">
        <f ca="1">[1]!BexGetData("DP_1","003N8EMH8GTFRIVNUPY2891V1","GSON1112030160")</f>
        <v>#NAME?</v>
      </c>
      <c r="M142" s="28" t="e">
        <f ca="1">[1]!BexGetData("DP_1","003N8EMH8GTFRIVOG7KG9IQXA","GSON1112030160")</f>
        <v>#NAME?</v>
      </c>
      <c r="N142" s="28" t="e">
        <f ca="1">[1]!BexGetData("DP_1","003N8EMH8GTFRIVOG7KG9IX8U","GSON1112030160")</f>
        <v>#NAME?</v>
      </c>
      <c r="O142" s="28" t="e">
        <f ca="1">[1]!BexGetData("DP_1","003N8EMH8GTFRIVOG7KG9J3KE","GSON1112030160")</f>
        <v>#NAME?</v>
      </c>
      <c r="P142" s="28" t="e">
        <f ca="1">[1]!BexGetData("DP_1","003N8EMH8GTFRIVOG7KG9J9VY","GSON1112030160")</f>
        <v>#NAME?</v>
      </c>
      <c r="Q142" s="23" t="e">
        <f ca="1">[1]!BexGetData("DP_1","00O2TNJGODT0G5Z4TTKYMM5MT","GSON1112030160")</f>
        <v>#NAME?</v>
      </c>
      <c r="R142" s="23" t="e">
        <f ca="1">[1]!BexGetData("DP_1","00O2TNJGODT0G5Z4TTKYMMBYD","GSON1112030160")</f>
        <v>#NAME?</v>
      </c>
      <c r="S142" s="23" t="e">
        <f ca="1">[1]!BexGetData("DP_1","00O2TNJGODT0G5Z4TTKYMMI9X","GSON1112030160")</f>
        <v>#NAME?</v>
      </c>
      <c r="T142" s="23" t="e">
        <f ca="1">[1]!BexGetData("DP_1","00O2TNJGODT0G5Z4TTKYMMOLH","GSON1112030160")</f>
        <v>#NAME?</v>
      </c>
      <c r="U142" s="28" t="e">
        <f ca="1">[1]!BexGetData("DP_1","00O2TNJGODT0G5Z4TTKYMMUX1","GSON1112030160")</f>
        <v>#NAME?</v>
      </c>
      <c r="V142" s="23" t="e">
        <f ca="1">[1]!BexGetData("DP_1","00O2TNJGODT0G5Z4TTKYMN18L","GSON1112030160")</f>
        <v>#NAME?</v>
      </c>
      <c r="W142" s="28" t="e">
        <f ca="1">[1]!BexGetData("DP_1","00O2TNJGODT0G5Z4TTKYMN7K5","GSON1112030160")</f>
        <v>#NAME?</v>
      </c>
    </row>
    <row r="143" spans="1:23" x14ac:dyDescent="0.2">
      <c r="A143" s="36" t="s">
        <v>1967</v>
      </c>
      <c r="B143" s="27" t="s">
        <v>1968</v>
      </c>
      <c r="C143" s="24" t="e">
        <f ca="1">[1]!BexGetData("DP_1","003N8EMH8GTFRCSWKMPXRR8GU","GSON1112030161")</f>
        <v>#NAME?</v>
      </c>
      <c r="D143" s="24" t="e">
        <f ca="1">[1]!BexGetData("DP_1","003N8EMH8GTFRCSWKMPXRRESE","GSON1112030161")</f>
        <v>#NAME?</v>
      </c>
      <c r="E143" s="24" t="e">
        <f ca="1">[1]!BexGetData("DP_1","003N8EMH8GTFRCSWKMPXRRL3Y","GSON1112030161")</f>
        <v>#NAME?</v>
      </c>
      <c r="F143" s="28" t="e">
        <f ca="1">[1]!BexGetData("DP_1","003N8EMH8GTFRCSWKMPXRRRFI","GSON1112030161")</f>
        <v>#NAME?</v>
      </c>
      <c r="G143" s="23" t="e">
        <f ca="1">[1]!BexGetData("DP_1","003N8EMH8GTFRCSWKMPXRRXR2","GSON1112030161")</f>
        <v>#NAME?</v>
      </c>
      <c r="H143" s="23" t="e">
        <f ca="1">[1]!BexGetData("DP_1","003N8EMH8GTFRCSWKMPXRS42M","GSON1112030161")</f>
        <v>#NAME?</v>
      </c>
      <c r="I143" s="28" t="e">
        <f ca="1">[1]!BexGetData("DP_1","003N8EMH8GTFRCSWKMPXRSAE6","GSON1112030161")</f>
        <v>#NAME?</v>
      </c>
      <c r="J143" s="24" t="e">
        <f ca="1">[1]!BexGetData("DP_1","003N8EMH8GTFRCSWKMPXRSGPQ","GSON1112030161")</f>
        <v>#NAME?</v>
      </c>
      <c r="K143" s="28" t="e">
        <f ca="1">[1]!BexGetData("DP_1","003N8EMH8GTFRIVNUPY288VJH","GSON1112030161")</f>
        <v>#NAME?</v>
      </c>
      <c r="L143" s="28" t="e">
        <f ca="1">[1]!BexGetData("DP_1","003N8EMH8GTFRIVNUPY2891V1","GSON1112030161")</f>
        <v>#NAME?</v>
      </c>
      <c r="M143" s="28" t="e">
        <f ca="1">[1]!BexGetData("DP_1","003N8EMH8GTFRIVOG7KG9IQXA","GSON1112030161")</f>
        <v>#NAME?</v>
      </c>
      <c r="N143" s="28" t="e">
        <f ca="1">[1]!BexGetData("DP_1","003N8EMH8GTFRIVOG7KG9IX8U","GSON1112030161")</f>
        <v>#NAME?</v>
      </c>
      <c r="O143" s="28" t="e">
        <f ca="1">[1]!BexGetData("DP_1","003N8EMH8GTFRIVOG7KG9J3KE","GSON1112030161")</f>
        <v>#NAME?</v>
      </c>
      <c r="P143" s="28" t="e">
        <f ca="1">[1]!BexGetData("DP_1","003N8EMH8GTFRIVOG7KG9J9VY","GSON1112030161")</f>
        <v>#NAME?</v>
      </c>
      <c r="Q143" s="24" t="e">
        <f ca="1">[1]!BexGetData("DP_1","00O2TNJGODT0G5Z4TTKYMM5MT","GSON1112030161")</f>
        <v>#NAME?</v>
      </c>
      <c r="R143" s="28" t="e">
        <f ca="1">[1]!BexGetData("DP_1","00O2TNJGODT0G5Z4TTKYMMBYD","GSON1112030161")</f>
        <v>#NAME?</v>
      </c>
      <c r="S143" s="28" t="e">
        <f ca="1">[1]!BexGetData("DP_1","00O2TNJGODT0G5Z4TTKYMMI9X","GSON1112030161")</f>
        <v>#NAME?</v>
      </c>
      <c r="T143" s="28" t="e">
        <f ca="1">[1]!BexGetData("DP_1","00O2TNJGODT0G5Z4TTKYMMOLH","GSON1112030161")</f>
        <v>#NAME?</v>
      </c>
      <c r="U143" s="28" t="e">
        <f ca="1">[1]!BexGetData("DP_1","00O2TNJGODT0G5Z4TTKYMMUX1","GSON1112030161")</f>
        <v>#NAME?</v>
      </c>
      <c r="V143" s="28" t="e">
        <f ca="1">[1]!BexGetData("DP_1","00O2TNJGODT0G5Z4TTKYMN18L","GSON1112030161")</f>
        <v>#NAME?</v>
      </c>
      <c r="W143" s="28" t="e">
        <f ca="1">[1]!BexGetData("DP_1","00O2TNJGODT0G5Z4TTKYMN7K5","GSON1112030161")</f>
        <v>#NAME?</v>
      </c>
    </row>
    <row r="144" spans="1:23" x14ac:dyDescent="0.2">
      <c r="A144" s="36" t="s">
        <v>1969</v>
      </c>
      <c r="B144" s="27" t="s">
        <v>1970</v>
      </c>
      <c r="C144" s="24" t="e">
        <f ca="1">[1]!BexGetData("DP_1","003N8EMH8GTFRCSWKMPXRR8GU","GSON1112030163")</f>
        <v>#NAME?</v>
      </c>
      <c r="D144" s="24" t="e">
        <f ca="1">[1]!BexGetData("DP_1","003N8EMH8GTFRCSWKMPXRRESE","GSON1112030163")</f>
        <v>#NAME?</v>
      </c>
      <c r="E144" s="24" t="e">
        <f ca="1">[1]!BexGetData("DP_1","003N8EMH8GTFRCSWKMPXRRL3Y","GSON1112030163")</f>
        <v>#NAME?</v>
      </c>
      <c r="F144" s="28" t="e">
        <f ca="1">[1]!BexGetData("DP_1","003N8EMH8GTFRCSWKMPXRRRFI","GSON1112030163")</f>
        <v>#NAME?</v>
      </c>
      <c r="G144" s="23" t="e">
        <f ca="1">[1]!BexGetData("DP_1","003N8EMH8GTFRCSWKMPXRRXR2","GSON1112030163")</f>
        <v>#NAME?</v>
      </c>
      <c r="H144" s="23" t="e">
        <f ca="1">[1]!BexGetData("DP_1","003N8EMH8GTFRCSWKMPXRS42M","GSON1112030163")</f>
        <v>#NAME?</v>
      </c>
      <c r="I144" s="28" t="e">
        <f ca="1">[1]!BexGetData("DP_1","003N8EMH8GTFRCSWKMPXRSAE6","GSON1112030163")</f>
        <v>#NAME?</v>
      </c>
      <c r="J144" s="24" t="e">
        <f ca="1">[1]!BexGetData("DP_1","003N8EMH8GTFRCSWKMPXRSGPQ","GSON1112030163")</f>
        <v>#NAME?</v>
      </c>
      <c r="K144" s="28" t="e">
        <f ca="1">[1]!BexGetData("DP_1","003N8EMH8GTFRIVNUPY288VJH","GSON1112030163")</f>
        <v>#NAME?</v>
      </c>
      <c r="L144" s="28" t="e">
        <f ca="1">[1]!BexGetData("DP_1","003N8EMH8GTFRIVNUPY2891V1","GSON1112030163")</f>
        <v>#NAME?</v>
      </c>
      <c r="M144" s="28" t="e">
        <f ca="1">[1]!BexGetData("DP_1","003N8EMH8GTFRIVOG7KG9IQXA","GSON1112030163")</f>
        <v>#NAME?</v>
      </c>
      <c r="N144" s="28" t="e">
        <f ca="1">[1]!BexGetData("DP_1","003N8EMH8GTFRIVOG7KG9IX8U","GSON1112030163")</f>
        <v>#NAME?</v>
      </c>
      <c r="O144" s="28" t="e">
        <f ca="1">[1]!BexGetData("DP_1","003N8EMH8GTFRIVOG7KG9J3KE","GSON1112030163")</f>
        <v>#NAME?</v>
      </c>
      <c r="P144" s="28" t="e">
        <f ca="1">[1]!BexGetData("DP_1","003N8EMH8GTFRIVOG7KG9J9VY","GSON1112030163")</f>
        <v>#NAME?</v>
      </c>
      <c r="Q144" s="24" t="e">
        <f ca="1">[1]!BexGetData("DP_1","00O2TNJGODT0G5Z4TTKYMM5MT","GSON1112030163")</f>
        <v>#NAME?</v>
      </c>
      <c r="R144" s="28" t="e">
        <f ca="1">[1]!BexGetData("DP_1","00O2TNJGODT0G5Z4TTKYMMBYD","GSON1112030163")</f>
        <v>#NAME?</v>
      </c>
      <c r="S144" s="28" t="e">
        <f ca="1">[1]!BexGetData("DP_1","00O2TNJGODT0G5Z4TTKYMMI9X","GSON1112030163")</f>
        <v>#NAME?</v>
      </c>
      <c r="T144" s="28" t="e">
        <f ca="1">[1]!BexGetData("DP_1","00O2TNJGODT0G5Z4TTKYMMOLH","GSON1112030163")</f>
        <v>#NAME?</v>
      </c>
      <c r="U144" s="28" t="e">
        <f ca="1">[1]!BexGetData("DP_1","00O2TNJGODT0G5Z4TTKYMMUX1","GSON1112030163")</f>
        <v>#NAME?</v>
      </c>
      <c r="V144" s="28" t="e">
        <f ca="1">[1]!BexGetData("DP_1","00O2TNJGODT0G5Z4TTKYMN18L","GSON1112030163")</f>
        <v>#NAME?</v>
      </c>
      <c r="W144" s="28" t="e">
        <f ca="1">[1]!BexGetData("DP_1","00O2TNJGODT0G5Z4TTKYMN7K5","GSON1112030163")</f>
        <v>#NAME?</v>
      </c>
    </row>
    <row r="145" spans="1:23" x14ac:dyDescent="0.2">
      <c r="A145" s="36" t="s">
        <v>1971</v>
      </c>
      <c r="B145" s="27" t="s">
        <v>1972</v>
      </c>
      <c r="C145" s="24" t="e">
        <f ca="1">[1]!BexGetData("DP_1","003N8EMH8GTFRCSWKMPXRR8GU","GSON1112030164")</f>
        <v>#NAME?</v>
      </c>
      <c r="D145" s="24" t="e">
        <f ca="1">[1]!BexGetData("DP_1","003N8EMH8GTFRCSWKMPXRRESE","GSON1112030164")</f>
        <v>#NAME?</v>
      </c>
      <c r="E145" s="24" t="e">
        <f ca="1">[1]!BexGetData("DP_1","003N8EMH8GTFRCSWKMPXRRL3Y","GSON1112030164")</f>
        <v>#NAME?</v>
      </c>
      <c r="F145" s="28" t="e">
        <f ca="1">[1]!BexGetData("DP_1","003N8EMH8GTFRCSWKMPXRRRFI","GSON1112030164")</f>
        <v>#NAME?</v>
      </c>
      <c r="G145" s="23" t="e">
        <f ca="1">[1]!BexGetData("DP_1","003N8EMH8GTFRCSWKMPXRRXR2","GSON1112030164")</f>
        <v>#NAME?</v>
      </c>
      <c r="H145" s="23" t="e">
        <f ca="1">[1]!BexGetData("DP_1","003N8EMH8GTFRCSWKMPXRS42M","GSON1112030164")</f>
        <v>#NAME?</v>
      </c>
      <c r="I145" s="28" t="e">
        <f ca="1">[1]!BexGetData("DP_1","003N8EMH8GTFRCSWKMPXRSAE6","GSON1112030164")</f>
        <v>#NAME?</v>
      </c>
      <c r="J145" s="24" t="e">
        <f ca="1">[1]!BexGetData("DP_1","003N8EMH8GTFRCSWKMPXRSGPQ","GSON1112030164")</f>
        <v>#NAME?</v>
      </c>
      <c r="K145" s="28" t="e">
        <f ca="1">[1]!BexGetData("DP_1","003N8EMH8GTFRIVNUPY288VJH","GSON1112030164")</f>
        <v>#NAME?</v>
      </c>
      <c r="L145" s="28" t="e">
        <f ca="1">[1]!BexGetData("DP_1","003N8EMH8GTFRIVNUPY2891V1","GSON1112030164")</f>
        <v>#NAME?</v>
      </c>
      <c r="M145" s="28" t="e">
        <f ca="1">[1]!BexGetData("DP_1","003N8EMH8GTFRIVOG7KG9IQXA","GSON1112030164")</f>
        <v>#NAME?</v>
      </c>
      <c r="N145" s="28" t="e">
        <f ca="1">[1]!BexGetData("DP_1","003N8EMH8GTFRIVOG7KG9IX8U","GSON1112030164")</f>
        <v>#NAME?</v>
      </c>
      <c r="O145" s="28" t="e">
        <f ca="1">[1]!BexGetData("DP_1","003N8EMH8GTFRIVOG7KG9J3KE","GSON1112030164")</f>
        <v>#NAME?</v>
      </c>
      <c r="P145" s="28" t="e">
        <f ca="1">[1]!BexGetData("DP_1","003N8EMH8GTFRIVOG7KG9J9VY","GSON1112030164")</f>
        <v>#NAME?</v>
      </c>
      <c r="Q145" s="24" t="e">
        <f ca="1">[1]!BexGetData("DP_1","00O2TNJGODT0G5Z4TTKYMM5MT","GSON1112030164")</f>
        <v>#NAME?</v>
      </c>
      <c r="R145" s="28" t="e">
        <f ca="1">[1]!BexGetData("DP_1","00O2TNJGODT0G5Z4TTKYMMBYD","GSON1112030164")</f>
        <v>#NAME?</v>
      </c>
      <c r="S145" s="28" t="e">
        <f ca="1">[1]!BexGetData("DP_1","00O2TNJGODT0G5Z4TTKYMMI9X","GSON1112030164")</f>
        <v>#NAME?</v>
      </c>
      <c r="T145" s="28" t="e">
        <f ca="1">[1]!BexGetData("DP_1","00O2TNJGODT0G5Z4TTKYMMOLH","GSON1112030164")</f>
        <v>#NAME?</v>
      </c>
      <c r="U145" s="28" t="e">
        <f ca="1">[1]!BexGetData("DP_1","00O2TNJGODT0G5Z4TTKYMMUX1","GSON1112030164")</f>
        <v>#NAME?</v>
      </c>
      <c r="V145" s="28" t="e">
        <f ca="1">[1]!BexGetData("DP_1","00O2TNJGODT0G5Z4TTKYMN18L","GSON1112030164")</f>
        <v>#NAME?</v>
      </c>
      <c r="W145" s="28" t="e">
        <f ca="1">[1]!BexGetData("DP_1","00O2TNJGODT0G5Z4TTKYMN7K5","GSON1112030164")</f>
        <v>#NAME?</v>
      </c>
    </row>
    <row r="146" spans="1:23" x14ac:dyDescent="0.2">
      <c r="A146" s="36" t="s">
        <v>1973</v>
      </c>
      <c r="B146" s="27" t="s">
        <v>1974</v>
      </c>
      <c r="C146" s="28" t="e">
        <f ca="1">[1]!BexGetData("DP_1","003N8EMH8GTFRCSWKMPXRR8GU","GSON1112030165")</f>
        <v>#NAME?</v>
      </c>
      <c r="D146" s="28" t="e">
        <f ca="1">[1]!BexGetData("DP_1","003N8EMH8GTFRCSWKMPXRRESE","GSON1112030165")</f>
        <v>#NAME?</v>
      </c>
      <c r="E146" s="28" t="e">
        <f ca="1">[1]!BexGetData("DP_1","003N8EMH8GTFRCSWKMPXRRL3Y","GSON1112030165")</f>
        <v>#NAME?</v>
      </c>
      <c r="F146" s="28" t="e">
        <f ca="1">[1]!BexGetData("DP_1","003N8EMH8GTFRCSWKMPXRRRFI","GSON1112030165")</f>
        <v>#NAME?</v>
      </c>
      <c r="G146" s="23" t="e">
        <f ca="1">[1]!BexGetData("DP_1","003N8EMH8GTFRCSWKMPXRRXR2","GSON1112030165")</f>
        <v>#NAME?</v>
      </c>
      <c r="H146" s="23" t="e">
        <f ca="1">[1]!BexGetData("DP_1","003N8EMH8GTFRCSWKMPXRS42M","GSON1112030165")</f>
        <v>#NAME?</v>
      </c>
      <c r="I146" s="28" t="e">
        <f ca="1">[1]!BexGetData("DP_1","003N8EMH8GTFRCSWKMPXRSAE6","GSON1112030165")</f>
        <v>#NAME?</v>
      </c>
      <c r="J146" s="24" t="e">
        <f ca="1">[1]!BexGetData("DP_1","003N8EMH8GTFRCSWKMPXRSGPQ","GSON1112030165")</f>
        <v>#NAME?</v>
      </c>
      <c r="K146" s="28" t="e">
        <f ca="1">[1]!BexGetData("DP_1","003N8EMH8GTFRIVNUPY288VJH","GSON1112030165")</f>
        <v>#NAME?</v>
      </c>
      <c r="L146" s="28" t="e">
        <f ca="1">[1]!BexGetData("DP_1","003N8EMH8GTFRIVNUPY2891V1","GSON1112030165")</f>
        <v>#NAME?</v>
      </c>
      <c r="M146" s="28" t="e">
        <f ca="1">[1]!BexGetData("DP_1","003N8EMH8GTFRIVOG7KG9IQXA","GSON1112030165")</f>
        <v>#NAME?</v>
      </c>
      <c r="N146" s="28" t="e">
        <f ca="1">[1]!BexGetData("DP_1","003N8EMH8GTFRIVOG7KG9IX8U","GSON1112030165")</f>
        <v>#NAME?</v>
      </c>
      <c r="O146" s="28" t="e">
        <f ca="1">[1]!BexGetData("DP_1","003N8EMH8GTFRIVOG7KG9J3KE","GSON1112030165")</f>
        <v>#NAME?</v>
      </c>
      <c r="P146" s="28" t="e">
        <f ca="1">[1]!BexGetData("DP_1","003N8EMH8GTFRIVOG7KG9J9VY","GSON1112030165")</f>
        <v>#NAME?</v>
      </c>
      <c r="Q146" s="24" t="e">
        <f ca="1">[1]!BexGetData("DP_1","00O2TNJGODT0G5Z4TTKYMM5MT","GSON1112030165")</f>
        <v>#NAME?</v>
      </c>
      <c r="R146" s="28" t="e">
        <f ca="1">[1]!BexGetData("DP_1","00O2TNJGODT0G5Z4TTKYMMBYD","GSON1112030165")</f>
        <v>#NAME?</v>
      </c>
      <c r="S146" s="28" t="e">
        <f ca="1">[1]!BexGetData("DP_1","00O2TNJGODT0G5Z4TTKYMMI9X","GSON1112030165")</f>
        <v>#NAME?</v>
      </c>
      <c r="T146" s="28" t="e">
        <f ca="1">[1]!BexGetData("DP_1","00O2TNJGODT0G5Z4TTKYMMOLH","GSON1112030165")</f>
        <v>#NAME?</v>
      </c>
      <c r="U146" s="28" t="e">
        <f ca="1">[1]!BexGetData("DP_1","00O2TNJGODT0G5Z4TTKYMMUX1","GSON1112030165")</f>
        <v>#NAME?</v>
      </c>
      <c r="V146" s="28" t="e">
        <f ca="1">[1]!BexGetData("DP_1","00O2TNJGODT0G5Z4TTKYMN18L","GSON1112030165")</f>
        <v>#NAME?</v>
      </c>
      <c r="W146" s="28" t="e">
        <f ca="1">[1]!BexGetData("DP_1","00O2TNJGODT0G5Z4TTKYMN7K5","GSON1112030165")</f>
        <v>#NAME?</v>
      </c>
    </row>
    <row r="147" spans="1:23" x14ac:dyDescent="0.2">
      <c r="A147" s="36" t="s">
        <v>1975</v>
      </c>
      <c r="B147" s="27" t="s">
        <v>772</v>
      </c>
      <c r="C147" s="23" t="e">
        <f ca="1">[1]!BexGetData("DP_1","003N8EMH8GTFRCSWKMPXRR8GU","GSON1112030170")</f>
        <v>#NAME?</v>
      </c>
      <c r="D147" s="28" t="e">
        <f ca="1">[1]!BexGetData("DP_1","003N8EMH8GTFRCSWKMPXRRESE","GSON1112030170")</f>
        <v>#NAME?</v>
      </c>
      <c r="E147" s="23" t="e">
        <f ca="1">[1]!BexGetData("DP_1","003N8EMH8GTFRCSWKMPXRRL3Y","GSON1112030170")</f>
        <v>#NAME?</v>
      </c>
      <c r="F147" s="23" t="e">
        <f ca="1">[1]!BexGetData("DP_1","003N8EMH8GTFRCSWKMPXRRRFI","GSON1112030170")</f>
        <v>#NAME?</v>
      </c>
      <c r="G147" s="23" t="e">
        <f ca="1">[1]!BexGetData("DP_1","003N8EMH8GTFRCSWKMPXRRXR2","GSON1112030170")</f>
        <v>#NAME?</v>
      </c>
      <c r="H147" s="23" t="e">
        <f ca="1">[1]!BexGetData("DP_1","003N8EMH8GTFRCSWKMPXRS42M","GSON1112030170")</f>
        <v>#NAME?</v>
      </c>
      <c r="I147" s="23" t="e">
        <f ca="1">[1]!BexGetData("DP_1","003N8EMH8GTFRCSWKMPXRSAE6","GSON1112030170")</f>
        <v>#NAME?</v>
      </c>
      <c r="J147" s="23" t="e">
        <f ca="1">[1]!BexGetData("DP_1","003N8EMH8GTFRCSWKMPXRSGPQ","GSON1112030170")</f>
        <v>#NAME?</v>
      </c>
      <c r="K147" s="23" t="e">
        <f ca="1">[1]!BexGetData("DP_1","003N8EMH8GTFRIVNUPY288VJH","GSON1112030170")</f>
        <v>#NAME?</v>
      </c>
      <c r="L147" s="23" t="e">
        <f ca="1">[1]!BexGetData("DP_1","003N8EMH8GTFRIVNUPY2891V1","GSON1112030170")</f>
        <v>#NAME?</v>
      </c>
      <c r="M147" s="28" t="e">
        <f ca="1">[1]!BexGetData("DP_1","003N8EMH8GTFRIVOG7KG9IQXA","GSON1112030170")</f>
        <v>#NAME?</v>
      </c>
      <c r="N147" s="23" t="e">
        <f ca="1">[1]!BexGetData("DP_1","003N8EMH8GTFRIVOG7KG9IX8U","GSON1112030170")</f>
        <v>#NAME?</v>
      </c>
      <c r="O147" s="28" t="e">
        <f ca="1">[1]!BexGetData("DP_1","003N8EMH8GTFRIVOG7KG9J3KE","GSON1112030170")</f>
        <v>#NAME?</v>
      </c>
      <c r="P147" s="23" t="e">
        <f ca="1">[1]!BexGetData("DP_1","003N8EMH8GTFRIVOG7KG9J9VY","GSON1112030170")</f>
        <v>#NAME?</v>
      </c>
      <c r="Q147" s="23" t="e">
        <f ca="1">[1]!BexGetData("DP_1","00O2TNJGODT0G5Z4TTKYMM5MT","GSON1112030170")</f>
        <v>#NAME?</v>
      </c>
      <c r="R147" s="23" t="e">
        <f ca="1">[1]!BexGetData("DP_1","00O2TNJGODT0G5Z4TTKYMMBYD","GSON1112030170")</f>
        <v>#NAME?</v>
      </c>
      <c r="S147" s="23" t="e">
        <f ca="1">[1]!BexGetData("DP_1","00O2TNJGODT0G5Z4TTKYMMI9X","GSON1112030170")</f>
        <v>#NAME?</v>
      </c>
      <c r="T147" s="28" t="e">
        <f ca="1">[1]!BexGetData("DP_1","00O2TNJGODT0G5Z4TTKYMMOLH","GSON1112030170")</f>
        <v>#NAME?</v>
      </c>
      <c r="U147" s="23" t="e">
        <f ca="1">[1]!BexGetData("DP_1","00O2TNJGODT0G5Z4TTKYMMUX1","GSON1112030170")</f>
        <v>#NAME?</v>
      </c>
      <c r="V147" s="28" t="e">
        <f ca="1">[1]!BexGetData("DP_1","00O2TNJGODT0G5Z4TTKYMN18L","GSON1112030170")</f>
        <v>#NAME?</v>
      </c>
      <c r="W147" s="23" t="e">
        <f ca="1">[1]!BexGetData("DP_1","00O2TNJGODT0G5Z4TTKYMN7K5","GSON1112030170")</f>
        <v>#NAME?</v>
      </c>
    </row>
    <row r="148" spans="1:23" x14ac:dyDescent="0.2">
      <c r="A148" s="36" t="s">
        <v>1976</v>
      </c>
      <c r="B148" s="27" t="s">
        <v>646</v>
      </c>
      <c r="C148" s="24" t="e">
        <f ca="1">[1]!BexGetData("DP_1","003N8EMH8GTFRCSWKMPXRR8GU","GSON1112030171")</f>
        <v>#NAME?</v>
      </c>
      <c r="D148" s="24" t="e">
        <f ca="1">[1]!BexGetData("DP_1","003N8EMH8GTFRCSWKMPXRRESE","GSON1112030171")</f>
        <v>#NAME?</v>
      </c>
      <c r="E148" s="24" t="e">
        <f ca="1">[1]!BexGetData("DP_1","003N8EMH8GTFRCSWKMPXRRL3Y","GSON1112030171")</f>
        <v>#NAME?</v>
      </c>
      <c r="F148" s="28" t="e">
        <f ca="1">[1]!BexGetData("DP_1","003N8EMH8GTFRCSWKMPXRRRFI","GSON1112030171")</f>
        <v>#NAME?</v>
      </c>
      <c r="G148" s="23" t="e">
        <f ca="1">[1]!BexGetData("DP_1","003N8EMH8GTFRCSWKMPXRRXR2","GSON1112030171")</f>
        <v>#NAME?</v>
      </c>
      <c r="H148" s="23" t="e">
        <f ca="1">[1]!BexGetData("DP_1","003N8EMH8GTFRCSWKMPXRS42M","GSON1112030171")</f>
        <v>#NAME?</v>
      </c>
      <c r="I148" s="28" t="e">
        <f ca="1">[1]!BexGetData("DP_1","003N8EMH8GTFRCSWKMPXRSAE6","GSON1112030171")</f>
        <v>#NAME?</v>
      </c>
      <c r="J148" s="24" t="e">
        <f ca="1">[1]!BexGetData("DP_1","003N8EMH8GTFRCSWKMPXRSGPQ","GSON1112030171")</f>
        <v>#NAME?</v>
      </c>
      <c r="K148" s="28" t="e">
        <f ca="1">[1]!BexGetData("DP_1","003N8EMH8GTFRIVNUPY288VJH","GSON1112030171")</f>
        <v>#NAME?</v>
      </c>
      <c r="L148" s="28" t="e">
        <f ca="1">[1]!BexGetData("DP_1","003N8EMH8GTFRIVNUPY2891V1","GSON1112030171")</f>
        <v>#NAME?</v>
      </c>
      <c r="M148" s="28" t="e">
        <f ca="1">[1]!BexGetData("DP_1","003N8EMH8GTFRIVOG7KG9IQXA","GSON1112030171")</f>
        <v>#NAME?</v>
      </c>
      <c r="N148" s="28" t="e">
        <f ca="1">[1]!BexGetData("DP_1","003N8EMH8GTFRIVOG7KG9IX8U","GSON1112030171")</f>
        <v>#NAME?</v>
      </c>
      <c r="O148" s="28" t="e">
        <f ca="1">[1]!BexGetData("DP_1","003N8EMH8GTFRIVOG7KG9J3KE","GSON1112030171")</f>
        <v>#NAME?</v>
      </c>
      <c r="P148" s="28" t="e">
        <f ca="1">[1]!BexGetData("DP_1","003N8EMH8GTFRIVOG7KG9J9VY","GSON1112030171")</f>
        <v>#NAME?</v>
      </c>
      <c r="Q148" s="24" t="e">
        <f ca="1">[1]!BexGetData("DP_1","00O2TNJGODT0G5Z4TTKYMM5MT","GSON1112030171")</f>
        <v>#NAME?</v>
      </c>
      <c r="R148" s="28" t="e">
        <f ca="1">[1]!BexGetData("DP_1","00O2TNJGODT0G5Z4TTKYMMBYD","GSON1112030171")</f>
        <v>#NAME?</v>
      </c>
      <c r="S148" s="28" t="e">
        <f ca="1">[1]!BexGetData("DP_1","00O2TNJGODT0G5Z4TTKYMMI9X","GSON1112030171")</f>
        <v>#NAME?</v>
      </c>
      <c r="T148" s="28" t="e">
        <f ca="1">[1]!BexGetData("DP_1","00O2TNJGODT0G5Z4TTKYMMOLH","GSON1112030171")</f>
        <v>#NAME?</v>
      </c>
      <c r="U148" s="28" t="e">
        <f ca="1">[1]!BexGetData("DP_1","00O2TNJGODT0G5Z4TTKYMMUX1","GSON1112030171")</f>
        <v>#NAME?</v>
      </c>
      <c r="V148" s="28" t="e">
        <f ca="1">[1]!BexGetData("DP_1","00O2TNJGODT0G5Z4TTKYMN18L","GSON1112030171")</f>
        <v>#NAME?</v>
      </c>
      <c r="W148" s="28" t="e">
        <f ca="1">[1]!BexGetData("DP_1","00O2TNJGODT0G5Z4TTKYMN7K5","GSON1112030171")</f>
        <v>#NAME?</v>
      </c>
    </row>
    <row r="149" spans="1:23" x14ac:dyDescent="0.2">
      <c r="A149" s="36" t="s">
        <v>1977</v>
      </c>
      <c r="B149" s="27" t="s">
        <v>773</v>
      </c>
      <c r="C149" s="24" t="e">
        <f ca="1">[1]!BexGetData("DP_1","003N8EMH8GTFRCSWKMPXRR8GU","GSON1112030174")</f>
        <v>#NAME?</v>
      </c>
      <c r="D149" s="24" t="e">
        <f ca="1">[1]!BexGetData("DP_1","003N8EMH8GTFRCSWKMPXRRESE","GSON1112030174")</f>
        <v>#NAME?</v>
      </c>
      <c r="E149" s="24" t="e">
        <f ca="1">[1]!BexGetData("DP_1","003N8EMH8GTFRCSWKMPXRRL3Y","GSON1112030174")</f>
        <v>#NAME?</v>
      </c>
      <c r="F149" s="28" t="e">
        <f ca="1">[1]!BexGetData("DP_1","003N8EMH8GTFRCSWKMPXRRRFI","GSON1112030174")</f>
        <v>#NAME?</v>
      </c>
      <c r="G149" s="23" t="e">
        <f ca="1">[1]!BexGetData("DP_1","003N8EMH8GTFRCSWKMPXRRXR2","GSON1112030174")</f>
        <v>#NAME?</v>
      </c>
      <c r="H149" s="23" t="e">
        <f ca="1">[1]!BexGetData("DP_1","003N8EMH8GTFRCSWKMPXRS42M","GSON1112030174")</f>
        <v>#NAME?</v>
      </c>
      <c r="I149" s="28" t="e">
        <f ca="1">[1]!BexGetData("DP_1","003N8EMH8GTFRCSWKMPXRSAE6","GSON1112030174")</f>
        <v>#NAME?</v>
      </c>
      <c r="J149" s="24" t="e">
        <f ca="1">[1]!BexGetData("DP_1","003N8EMH8GTFRCSWKMPXRSGPQ","GSON1112030174")</f>
        <v>#NAME?</v>
      </c>
      <c r="K149" s="28" t="e">
        <f ca="1">[1]!BexGetData("DP_1","003N8EMH8GTFRIVNUPY288VJH","GSON1112030174")</f>
        <v>#NAME?</v>
      </c>
      <c r="L149" s="28" t="e">
        <f ca="1">[1]!BexGetData("DP_1","003N8EMH8GTFRIVNUPY2891V1","GSON1112030174")</f>
        <v>#NAME?</v>
      </c>
      <c r="M149" s="28" t="e">
        <f ca="1">[1]!BexGetData("DP_1","003N8EMH8GTFRIVOG7KG9IQXA","GSON1112030174")</f>
        <v>#NAME?</v>
      </c>
      <c r="N149" s="28" t="e">
        <f ca="1">[1]!BexGetData("DP_1","003N8EMH8GTFRIVOG7KG9IX8U","GSON1112030174")</f>
        <v>#NAME?</v>
      </c>
      <c r="O149" s="28" t="e">
        <f ca="1">[1]!BexGetData("DP_1","003N8EMH8GTFRIVOG7KG9J3KE","GSON1112030174")</f>
        <v>#NAME?</v>
      </c>
      <c r="P149" s="28" t="e">
        <f ca="1">[1]!BexGetData("DP_1","003N8EMH8GTFRIVOG7KG9J9VY","GSON1112030174")</f>
        <v>#NAME?</v>
      </c>
      <c r="Q149" s="24" t="e">
        <f ca="1">[1]!BexGetData("DP_1","00O2TNJGODT0G5Z4TTKYMM5MT","GSON1112030174")</f>
        <v>#NAME?</v>
      </c>
      <c r="R149" s="28" t="e">
        <f ca="1">[1]!BexGetData("DP_1","00O2TNJGODT0G5Z4TTKYMMBYD","GSON1112030174")</f>
        <v>#NAME?</v>
      </c>
      <c r="S149" s="28" t="e">
        <f ca="1">[1]!BexGetData("DP_1","00O2TNJGODT0G5Z4TTKYMMI9X","GSON1112030174")</f>
        <v>#NAME?</v>
      </c>
      <c r="T149" s="28" t="e">
        <f ca="1">[1]!BexGetData("DP_1","00O2TNJGODT0G5Z4TTKYMMOLH","GSON1112030174")</f>
        <v>#NAME?</v>
      </c>
      <c r="U149" s="28" t="e">
        <f ca="1">[1]!BexGetData("DP_1","00O2TNJGODT0G5Z4TTKYMMUX1","GSON1112030174")</f>
        <v>#NAME?</v>
      </c>
      <c r="V149" s="28" t="e">
        <f ca="1">[1]!BexGetData("DP_1","00O2TNJGODT0G5Z4TTKYMN18L","GSON1112030174")</f>
        <v>#NAME?</v>
      </c>
      <c r="W149" s="28" t="e">
        <f ca="1">[1]!BexGetData("DP_1","00O2TNJGODT0G5Z4TTKYMN7K5","GSON1112030174")</f>
        <v>#NAME?</v>
      </c>
    </row>
    <row r="150" spans="1:23" x14ac:dyDescent="0.2">
      <c r="A150" s="36" t="s">
        <v>1978</v>
      </c>
      <c r="B150" s="27" t="s">
        <v>1979</v>
      </c>
      <c r="C150" s="23" t="e">
        <f ca="1">[1]!BexGetData("DP_1","003N8EMH8GTFRCSWKMPXRR8GU","GSON1112030175")</f>
        <v>#NAME?</v>
      </c>
      <c r="D150" s="23" t="e">
        <f ca="1">[1]!BexGetData("DP_1","003N8EMH8GTFRCSWKMPXRRESE","GSON1112030175")</f>
        <v>#NAME?</v>
      </c>
      <c r="E150" s="28" t="e">
        <f ca="1">[1]!BexGetData("DP_1","003N8EMH8GTFRCSWKMPXRRL3Y","GSON1112030175")</f>
        <v>#NAME?</v>
      </c>
      <c r="F150" s="28" t="e">
        <f ca="1">[1]!BexGetData("DP_1","003N8EMH8GTFRCSWKMPXRRRFI","GSON1112030175")</f>
        <v>#NAME?</v>
      </c>
      <c r="G150" s="23" t="e">
        <f ca="1">[1]!BexGetData("DP_1","003N8EMH8GTFRCSWKMPXRRXR2","GSON1112030175")</f>
        <v>#NAME?</v>
      </c>
      <c r="H150" s="23" t="e">
        <f ca="1">[1]!BexGetData("DP_1","003N8EMH8GTFRCSWKMPXRS42M","GSON1112030175")</f>
        <v>#NAME?</v>
      </c>
      <c r="I150" s="28" t="e">
        <f ca="1">[1]!BexGetData("DP_1","003N8EMH8GTFRCSWKMPXRSAE6","GSON1112030175")</f>
        <v>#NAME?</v>
      </c>
      <c r="J150" s="24" t="e">
        <f ca="1">[1]!BexGetData("DP_1","003N8EMH8GTFRCSWKMPXRSGPQ","GSON1112030175")</f>
        <v>#NAME?</v>
      </c>
      <c r="K150" s="28" t="e">
        <f ca="1">[1]!BexGetData("DP_1","003N8EMH8GTFRIVNUPY288VJH","GSON1112030175")</f>
        <v>#NAME?</v>
      </c>
      <c r="L150" s="28" t="e">
        <f ca="1">[1]!BexGetData("DP_1","003N8EMH8GTFRIVNUPY2891V1","GSON1112030175")</f>
        <v>#NAME?</v>
      </c>
      <c r="M150" s="28" t="e">
        <f ca="1">[1]!BexGetData("DP_1","003N8EMH8GTFRIVOG7KG9IQXA","GSON1112030175")</f>
        <v>#NAME?</v>
      </c>
      <c r="N150" s="28" t="e">
        <f ca="1">[1]!BexGetData("DP_1","003N8EMH8GTFRIVOG7KG9IX8U","GSON1112030175")</f>
        <v>#NAME?</v>
      </c>
      <c r="O150" s="28" t="e">
        <f ca="1">[1]!BexGetData("DP_1","003N8EMH8GTFRIVOG7KG9J3KE","GSON1112030175")</f>
        <v>#NAME?</v>
      </c>
      <c r="P150" s="28" t="e">
        <f ca="1">[1]!BexGetData("DP_1","003N8EMH8GTFRIVOG7KG9J9VY","GSON1112030175")</f>
        <v>#NAME?</v>
      </c>
      <c r="Q150" s="24" t="e">
        <f ca="1">[1]!BexGetData("DP_1","00O2TNJGODT0G5Z4TTKYMM5MT","GSON1112030175")</f>
        <v>#NAME?</v>
      </c>
      <c r="R150" s="28" t="e">
        <f ca="1">[1]!BexGetData("DP_1","00O2TNJGODT0G5Z4TTKYMMBYD","GSON1112030175")</f>
        <v>#NAME?</v>
      </c>
      <c r="S150" s="28" t="e">
        <f ca="1">[1]!BexGetData("DP_1","00O2TNJGODT0G5Z4TTKYMMI9X","GSON1112030175")</f>
        <v>#NAME?</v>
      </c>
      <c r="T150" s="28" t="e">
        <f ca="1">[1]!BexGetData("DP_1","00O2TNJGODT0G5Z4TTKYMMOLH","GSON1112030175")</f>
        <v>#NAME?</v>
      </c>
      <c r="U150" s="28" t="e">
        <f ca="1">[1]!BexGetData("DP_1","00O2TNJGODT0G5Z4TTKYMMUX1","GSON1112030175")</f>
        <v>#NAME?</v>
      </c>
      <c r="V150" s="28" t="e">
        <f ca="1">[1]!BexGetData("DP_1","00O2TNJGODT0G5Z4TTKYMN18L","GSON1112030175")</f>
        <v>#NAME?</v>
      </c>
      <c r="W150" s="28" t="e">
        <f ca="1">[1]!BexGetData("DP_1","00O2TNJGODT0G5Z4TTKYMN7K5","GSON1112030175")</f>
        <v>#NAME?</v>
      </c>
    </row>
    <row r="151" spans="1:23" x14ac:dyDescent="0.2">
      <c r="A151" s="36" t="s">
        <v>1980</v>
      </c>
      <c r="B151" s="27" t="s">
        <v>774</v>
      </c>
      <c r="C151" s="23" t="e">
        <f ca="1">[1]!BexGetData("DP_1","003N8EMH8GTFRCSWKMPXRR8GU","GSON1112030180")</f>
        <v>#NAME?</v>
      </c>
      <c r="D151" s="28" t="e">
        <f ca="1">[1]!BexGetData("DP_1","003N8EMH8GTFRCSWKMPXRRESE","GSON1112030180")</f>
        <v>#NAME?</v>
      </c>
      <c r="E151" s="23" t="e">
        <f ca="1">[1]!BexGetData("DP_1","003N8EMH8GTFRCSWKMPXRRL3Y","GSON1112030180")</f>
        <v>#NAME?</v>
      </c>
      <c r="F151" s="23" t="e">
        <f ca="1">[1]!BexGetData("DP_1","003N8EMH8GTFRCSWKMPXRRRFI","GSON1112030180")</f>
        <v>#NAME?</v>
      </c>
      <c r="G151" s="23" t="e">
        <f ca="1">[1]!BexGetData("DP_1","003N8EMH8GTFRCSWKMPXRRXR2","GSON1112030180")</f>
        <v>#NAME?</v>
      </c>
      <c r="H151" s="23" t="e">
        <f ca="1">[1]!BexGetData("DP_1","003N8EMH8GTFRCSWKMPXRS42M","GSON1112030180")</f>
        <v>#NAME?</v>
      </c>
      <c r="I151" s="23" t="e">
        <f ca="1">[1]!BexGetData("DP_1","003N8EMH8GTFRCSWKMPXRSAE6","GSON1112030180")</f>
        <v>#NAME?</v>
      </c>
      <c r="J151" s="23" t="e">
        <f ca="1">[1]!BexGetData("DP_1","003N8EMH8GTFRCSWKMPXRSGPQ","GSON1112030180")</f>
        <v>#NAME?</v>
      </c>
      <c r="K151" s="23" t="e">
        <f ca="1">[1]!BexGetData("DP_1","003N8EMH8GTFRIVNUPY288VJH","GSON1112030180")</f>
        <v>#NAME?</v>
      </c>
      <c r="L151" s="23" t="e">
        <f ca="1">[1]!BexGetData("DP_1","003N8EMH8GTFRIVNUPY2891V1","GSON1112030180")</f>
        <v>#NAME?</v>
      </c>
      <c r="M151" s="28" t="e">
        <f ca="1">[1]!BexGetData("DP_1","003N8EMH8GTFRIVOG7KG9IQXA","GSON1112030180")</f>
        <v>#NAME?</v>
      </c>
      <c r="N151" s="23" t="e">
        <f ca="1">[1]!BexGetData("DP_1","003N8EMH8GTFRIVOG7KG9IX8U","GSON1112030180")</f>
        <v>#NAME?</v>
      </c>
      <c r="O151" s="28" t="e">
        <f ca="1">[1]!BexGetData("DP_1","003N8EMH8GTFRIVOG7KG9J3KE","GSON1112030180")</f>
        <v>#NAME?</v>
      </c>
      <c r="P151" s="23" t="e">
        <f ca="1">[1]!BexGetData("DP_1","003N8EMH8GTFRIVOG7KG9J9VY","GSON1112030180")</f>
        <v>#NAME?</v>
      </c>
      <c r="Q151" s="23" t="e">
        <f ca="1">[1]!BexGetData("DP_1","00O2TNJGODT0G5Z4TTKYMM5MT","GSON1112030180")</f>
        <v>#NAME?</v>
      </c>
      <c r="R151" s="23" t="e">
        <f ca="1">[1]!BexGetData("DP_1","00O2TNJGODT0G5Z4TTKYMMBYD","GSON1112030180")</f>
        <v>#NAME?</v>
      </c>
      <c r="S151" s="23" t="e">
        <f ca="1">[1]!BexGetData("DP_1","00O2TNJGODT0G5Z4TTKYMMI9X","GSON1112030180")</f>
        <v>#NAME?</v>
      </c>
      <c r="T151" s="28" t="e">
        <f ca="1">[1]!BexGetData("DP_1","00O2TNJGODT0G5Z4TTKYMMOLH","GSON1112030180")</f>
        <v>#NAME?</v>
      </c>
      <c r="U151" s="23" t="e">
        <f ca="1">[1]!BexGetData("DP_1","00O2TNJGODT0G5Z4TTKYMMUX1","GSON1112030180")</f>
        <v>#NAME?</v>
      </c>
      <c r="V151" s="28" t="e">
        <f ca="1">[1]!BexGetData("DP_1","00O2TNJGODT0G5Z4TTKYMN18L","GSON1112030180")</f>
        <v>#NAME?</v>
      </c>
      <c r="W151" s="23" t="e">
        <f ca="1">[1]!BexGetData("DP_1","00O2TNJGODT0G5Z4TTKYMN7K5","GSON1112030180")</f>
        <v>#NAME?</v>
      </c>
    </row>
    <row r="152" spans="1:23" x14ac:dyDescent="0.2">
      <c r="A152" s="36" t="s">
        <v>1981</v>
      </c>
      <c r="B152" s="27" t="s">
        <v>775</v>
      </c>
      <c r="C152" s="24" t="e">
        <f ca="1">[1]!BexGetData("DP_1","003N8EMH8GTFRCSWKMPXRR8GU","GSON1112030181")</f>
        <v>#NAME?</v>
      </c>
      <c r="D152" s="24" t="e">
        <f ca="1">[1]!BexGetData("DP_1","003N8EMH8GTFRCSWKMPXRRESE","GSON1112030181")</f>
        <v>#NAME?</v>
      </c>
      <c r="E152" s="24" t="e">
        <f ca="1">[1]!BexGetData("DP_1","003N8EMH8GTFRCSWKMPXRRL3Y","GSON1112030181")</f>
        <v>#NAME?</v>
      </c>
      <c r="F152" s="28" t="e">
        <f ca="1">[1]!BexGetData("DP_1","003N8EMH8GTFRCSWKMPXRRRFI","GSON1112030181")</f>
        <v>#NAME?</v>
      </c>
      <c r="G152" s="23" t="e">
        <f ca="1">[1]!BexGetData("DP_1","003N8EMH8GTFRCSWKMPXRRXR2","GSON1112030181")</f>
        <v>#NAME?</v>
      </c>
      <c r="H152" s="23" t="e">
        <f ca="1">[1]!BexGetData("DP_1","003N8EMH8GTFRCSWKMPXRS42M","GSON1112030181")</f>
        <v>#NAME?</v>
      </c>
      <c r="I152" s="28" t="e">
        <f ca="1">[1]!BexGetData("DP_1","003N8EMH8GTFRCSWKMPXRSAE6","GSON1112030181")</f>
        <v>#NAME?</v>
      </c>
      <c r="J152" s="24" t="e">
        <f ca="1">[1]!BexGetData("DP_1","003N8EMH8GTFRCSWKMPXRSGPQ","GSON1112030181")</f>
        <v>#NAME?</v>
      </c>
      <c r="K152" s="28" t="e">
        <f ca="1">[1]!BexGetData("DP_1","003N8EMH8GTFRIVNUPY288VJH","GSON1112030181")</f>
        <v>#NAME?</v>
      </c>
      <c r="L152" s="28" t="e">
        <f ca="1">[1]!BexGetData("DP_1","003N8EMH8GTFRIVNUPY2891V1","GSON1112030181")</f>
        <v>#NAME?</v>
      </c>
      <c r="M152" s="28" t="e">
        <f ca="1">[1]!BexGetData("DP_1","003N8EMH8GTFRIVOG7KG9IQXA","GSON1112030181")</f>
        <v>#NAME?</v>
      </c>
      <c r="N152" s="28" t="e">
        <f ca="1">[1]!BexGetData("DP_1","003N8EMH8GTFRIVOG7KG9IX8U","GSON1112030181")</f>
        <v>#NAME?</v>
      </c>
      <c r="O152" s="28" t="e">
        <f ca="1">[1]!BexGetData("DP_1","003N8EMH8GTFRIVOG7KG9J3KE","GSON1112030181")</f>
        <v>#NAME?</v>
      </c>
      <c r="P152" s="28" t="e">
        <f ca="1">[1]!BexGetData("DP_1","003N8EMH8GTFRIVOG7KG9J9VY","GSON1112030181")</f>
        <v>#NAME?</v>
      </c>
      <c r="Q152" s="24" t="e">
        <f ca="1">[1]!BexGetData("DP_1","00O2TNJGODT0G5Z4TTKYMM5MT","GSON1112030181")</f>
        <v>#NAME?</v>
      </c>
      <c r="R152" s="28" t="e">
        <f ca="1">[1]!BexGetData("DP_1","00O2TNJGODT0G5Z4TTKYMMBYD","GSON1112030181")</f>
        <v>#NAME?</v>
      </c>
      <c r="S152" s="28" t="e">
        <f ca="1">[1]!BexGetData("DP_1","00O2TNJGODT0G5Z4TTKYMMI9X","GSON1112030181")</f>
        <v>#NAME?</v>
      </c>
      <c r="T152" s="28" t="e">
        <f ca="1">[1]!BexGetData("DP_1","00O2TNJGODT0G5Z4TTKYMMOLH","GSON1112030181")</f>
        <v>#NAME?</v>
      </c>
      <c r="U152" s="28" t="e">
        <f ca="1">[1]!BexGetData("DP_1","00O2TNJGODT0G5Z4TTKYMMUX1","GSON1112030181")</f>
        <v>#NAME?</v>
      </c>
      <c r="V152" s="28" t="e">
        <f ca="1">[1]!BexGetData("DP_1","00O2TNJGODT0G5Z4TTKYMN18L","GSON1112030181")</f>
        <v>#NAME?</v>
      </c>
      <c r="W152" s="28" t="e">
        <f ca="1">[1]!BexGetData("DP_1","00O2TNJGODT0G5Z4TTKYMN7K5","GSON1112030181")</f>
        <v>#NAME?</v>
      </c>
    </row>
    <row r="153" spans="1:23" x14ac:dyDescent="0.2">
      <c r="A153" s="36" t="s">
        <v>1982</v>
      </c>
      <c r="B153" s="27" t="s">
        <v>1983</v>
      </c>
      <c r="C153" s="23" t="e">
        <f ca="1">[1]!BexGetData("DP_1","003N8EMH8GTFRCSWKMPXRR8GU","GSON1112030185")</f>
        <v>#NAME?</v>
      </c>
      <c r="D153" s="23" t="e">
        <f ca="1">[1]!BexGetData("DP_1","003N8EMH8GTFRCSWKMPXRRESE","GSON1112030185")</f>
        <v>#NAME?</v>
      </c>
      <c r="E153" s="28" t="e">
        <f ca="1">[1]!BexGetData("DP_1","003N8EMH8GTFRCSWKMPXRRL3Y","GSON1112030185")</f>
        <v>#NAME?</v>
      </c>
      <c r="F153" s="28" t="e">
        <f ca="1">[1]!BexGetData("DP_1","003N8EMH8GTFRCSWKMPXRRRFI","GSON1112030185")</f>
        <v>#NAME?</v>
      </c>
      <c r="G153" s="23" t="e">
        <f ca="1">[1]!BexGetData("DP_1","003N8EMH8GTFRCSWKMPXRRXR2","GSON1112030185")</f>
        <v>#NAME?</v>
      </c>
      <c r="H153" s="23" t="e">
        <f ca="1">[1]!BexGetData("DP_1","003N8EMH8GTFRCSWKMPXRS42M","GSON1112030185")</f>
        <v>#NAME?</v>
      </c>
      <c r="I153" s="28" t="e">
        <f ca="1">[1]!BexGetData("DP_1","003N8EMH8GTFRCSWKMPXRSAE6","GSON1112030185")</f>
        <v>#NAME?</v>
      </c>
      <c r="J153" s="24" t="e">
        <f ca="1">[1]!BexGetData("DP_1","003N8EMH8GTFRCSWKMPXRSGPQ","GSON1112030185")</f>
        <v>#NAME?</v>
      </c>
      <c r="K153" s="28" t="e">
        <f ca="1">[1]!BexGetData("DP_1","003N8EMH8GTFRIVNUPY288VJH","GSON1112030185")</f>
        <v>#NAME?</v>
      </c>
      <c r="L153" s="28" t="e">
        <f ca="1">[1]!BexGetData("DP_1","003N8EMH8GTFRIVNUPY2891V1","GSON1112030185")</f>
        <v>#NAME?</v>
      </c>
      <c r="M153" s="28" t="e">
        <f ca="1">[1]!BexGetData("DP_1","003N8EMH8GTFRIVOG7KG9IQXA","GSON1112030185")</f>
        <v>#NAME?</v>
      </c>
      <c r="N153" s="28" t="e">
        <f ca="1">[1]!BexGetData("DP_1","003N8EMH8GTFRIVOG7KG9IX8U","GSON1112030185")</f>
        <v>#NAME?</v>
      </c>
      <c r="O153" s="28" t="e">
        <f ca="1">[1]!BexGetData("DP_1","003N8EMH8GTFRIVOG7KG9J3KE","GSON1112030185")</f>
        <v>#NAME?</v>
      </c>
      <c r="P153" s="28" t="e">
        <f ca="1">[1]!BexGetData("DP_1","003N8EMH8GTFRIVOG7KG9J9VY","GSON1112030185")</f>
        <v>#NAME?</v>
      </c>
      <c r="Q153" s="24" t="e">
        <f ca="1">[1]!BexGetData("DP_1","00O2TNJGODT0G5Z4TTKYMM5MT","GSON1112030185")</f>
        <v>#NAME?</v>
      </c>
      <c r="R153" s="28" t="e">
        <f ca="1">[1]!BexGetData("DP_1","00O2TNJGODT0G5Z4TTKYMMBYD","GSON1112030185")</f>
        <v>#NAME?</v>
      </c>
      <c r="S153" s="28" t="e">
        <f ca="1">[1]!BexGetData("DP_1","00O2TNJGODT0G5Z4TTKYMMI9X","GSON1112030185")</f>
        <v>#NAME?</v>
      </c>
      <c r="T153" s="28" t="e">
        <f ca="1">[1]!BexGetData("DP_1","00O2TNJGODT0G5Z4TTKYMMOLH","GSON1112030185")</f>
        <v>#NAME?</v>
      </c>
      <c r="U153" s="28" t="e">
        <f ca="1">[1]!BexGetData("DP_1","00O2TNJGODT0G5Z4TTKYMMUX1","GSON1112030185")</f>
        <v>#NAME?</v>
      </c>
      <c r="V153" s="28" t="e">
        <f ca="1">[1]!BexGetData("DP_1","00O2TNJGODT0G5Z4TTKYMN18L","GSON1112030185")</f>
        <v>#NAME?</v>
      </c>
      <c r="W153" s="28" t="e">
        <f ca="1">[1]!BexGetData("DP_1","00O2TNJGODT0G5Z4TTKYMN7K5","GSON1112030185")</f>
        <v>#NAME?</v>
      </c>
    </row>
    <row r="154" spans="1:23" x14ac:dyDescent="0.2">
      <c r="A154" s="36" t="s">
        <v>1984</v>
      </c>
      <c r="B154" s="27" t="s">
        <v>1985</v>
      </c>
      <c r="C154" s="28" t="e">
        <f ca="1">[1]!BexGetData("DP_1","003N8EMH8GTFRCSWKMPXRR8GU","GSON1112030190")</f>
        <v>#NAME?</v>
      </c>
      <c r="D154" s="28" t="e">
        <f ca="1">[1]!BexGetData("DP_1","003N8EMH8GTFRCSWKMPXRRESE","GSON1112030190")</f>
        <v>#NAME?</v>
      </c>
      <c r="E154" s="28" t="e">
        <f ca="1">[1]!BexGetData("DP_1","003N8EMH8GTFRCSWKMPXRRL3Y","GSON1112030190")</f>
        <v>#NAME?</v>
      </c>
      <c r="F154" s="28" t="e">
        <f ca="1">[1]!BexGetData("DP_1","003N8EMH8GTFRCSWKMPXRRRFI","GSON1112030190")</f>
        <v>#NAME?</v>
      </c>
      <c r="G154" s="28" t="e">
        <f ca="1">[1]!BexGetData("DP_1","003N8EMH8GTFRCSWKMPXRRXR2","GSON1112030190")</f>
        <v>#NAME?</v>
      </c>
      <c r="H154" s="23" t="e">
        <f ca="1">[1]!BexGetData("DP_1","003N8EMH8GTFRCSWKMPXRS42M","GSON1112030190")</f>
        <v>#NAME?</v>
      </c>
      <c r="I154" s="28" t="e">
        <f ca="1">[1]!BexGetData("DP_1","003N8EMH8GTFRCSWKMPXRSAE6","GSON1112030190")</f>
        <v>#NAME?</v>
      </c>
      <c r="J154" s="23" t="e">
        <f ca="1">[1]!BexGetData("DP_1","003N8EMH8GTFRCSWKMPXRSGPQ","GSON1112030190")</f>
        <v>#NAME?</v>
      </c>
      <c r="K154" s="28" t="e">
        <f ca="1">[1]!BexGetData("DP_1","003N8EMH8GTFRIVNUPY288VJH","GSON1112030190")</f>
        <v>#NAME?</v>
      </c>
      <c r="L154" s="28" t="e">
        <f ca="1">[1]!BexGetData("DP_1","003N8EMH8GTFRIVNUPY2891V1","GSON1112030190")</f>
        <v>#NAME?</v>
      </c>
      <c r="M154" s="28" t="e">
        <f ca="1">[1]!BexGetData("DP_1","003N8EMH8GTFRIVOG7KG9IQXA","GSON1112030190")</f>
        <v>#NAME?</v>
      </c>
      <c r="N154" s="28" t="e">
        <f ca="1">[1]!BexGetData("DP_1","003N8EMH8GTFRIVOG7KG9IX8U","GSON1112030190")</f>
        <v>#NAME?</v>
      </c>
      <c r="O154" s="28" t="e">
        <f ca="1">[1]!BexGetData("DP_1","003N8EMH8GTFRIVOG7KG9J3KE","GSON1112030190")</f>
        <v>#NAME?</v>
      </c>
      <c r="P154" s="28" t="e">
        <f ca="1">[1]!BexGetData("DP_1","003N8EMH8GTFRIVOG7KG9J9VY","GSON1112030190")</f>
        <v>#NAME?</v>
      </c>
      <c r="Q154" s="23" t="e">
        <f ca="1">[1]!BexGetData("DP_1","00O2TNJGODT0G5Z4TTKYMM5MT","GSON1112030190")</f>
        <v>#NAME?</v>
      </c>
      <c r="R154" s="23" t="e">
        <f ca="1">[1]!BexGetData("DP_1","00O2TNJGODT0G5Z4TTKYMMBYD","GSON1112030190")</f>
        <v>#NAME?</v>
      </c>
      <c r="S154" s="23" t="e">
        <f ca="1">[1]!BexGetData("DP_1","00O2TNJGODT0G5Z4TTKYMMI9X","GSON1112030190")</f>
        <v>#NAME?</v>
      </c>
      <c r="T154" s="23" t="e">
        <f ca="1">[1]!BexGetData("DP_1","00O2TNJGODT0G5Z4TTKYMMOLH","GSON1112030190")</f>
        <v>#NAME?</v>
      </c>
      <c r="U154" s="28" t="e">
        <f ca="1">[1]!BexGetData("DP_1","00O2TNJGODT0G5Z4TTKYMMUX1","GSON1112030190")</f>
        <v>#NAME?</v>
      </c>
      <c r="V154" s="23" t="e">
        <f ca="1">[1]!BexGetData("DP_1","00O2TNJGODT0G5Z4TTKYMN18L","GSON1112030190")</f>
        <v>#NAME?</v>
      </c>
      <c r="W154" s="28" t="e">
        <f ca="1">[1]!BexGetData("DP_1","00O2TNJGODT0G5Z4TTKYMN7K5","GSON1112030190")</f>
        <v>#NAME?</v>
      </c>
    </row>
    <row r="155" spans="1:23" x14ac:dyDescent="0.2">
      <c r="A155" s="36" t="s">
        <v>1986</v>
      </c>
      <c r="B155" s="27" t="s">
        <v>1987</v>
      </c>
      <c r="C155" s="24" t="e">
        <f ca="1">[1]!BexGetData("DP_1","003N8EMH8GTFRCSWKMPXRR8GU","GSON1112030193")</f>
        <v>#NAME?</v>
      </c>
      <c r="D155" s="24" t="e">
        <f ca="1">[1]!BexGetData("DP_1","003N8EMH8GTFRCSWKMPXRRESE","GSON1112030193")</f>
        <v>#NAME?</v>
      </c>
      <c r="E155" s="24" t="e">
        <f ca="1">[1]!BexGetData("DP_1","003N8EMH8GTFRCSWKMPXRRL3Y","GSON1112030193")</f>
        <v>#NAME?</v>
      </c>
      <c r="F155" s="28" t="e">
        <f ca="1">[1]!BexGetData("DP_1","003N8EMH8GTFRCSWKMPXRRRFI","GSON1112030193")</f>
        <v>#NAME?</v>
      </c>
      <c r="G155" s="23" t="e">
        <f ca="1">[1]!BexGetData("DP_1","003N8EMH8GTFRCSWKMPXRRXR2","GSON1112030193")</f>
        <v>#NAME?</v>
      </c>
      <c r="H155" s="23" t="e">
        <f ca="1">[1]!BexGetData("DP_1","003N8EMH8GTFRCSWKMPXRS42M","GSON1112030193")</f>
        <v>#NAME?</v>
      </c>
      <c r="I155" s="28" t="e">
        <f ca="1">[1]!BexGetData("DP_1","003N8EMH8GTFRCSWKMPXRSAE6","GSON1112030193")</f>
        <v>#NAME?</v>
      </c>
      <c r="J155" s="24" t="e">
        <f ca="1">[1]!BexGetData("DP_1","003N8EMH8GTFRCSWKMPXRSGPQ","GSON1112030193")</f>
        <v>#NAME?</v>
      </c>
      <c r="K155" s="28" t="e">
        <f ca="1">[1]!BexGetData("DP_1","003N8EMH8GTFRIVNUPY288VJH","GSON1112030193")</f>
        <v>#NAME?</v>
      </c>
      <c r="L155" s="28" t="e">
        <f ca="1">[1]!BexGetData("DP_1","003N8EMH8GTFRIVNUPY2891V1","GSON1112030193")</f>
        <v>#NAME?</v>
      </c>
      <c r="M155" s="28" t="e">
        <f ca="1">[1]!BexGetData("DP_1","003N8EMH8GTFRIVOG7KG9IQXA","GSON1112030193")</f>
        <v>#NAME?</v>
      </c>
      <c r="N155" s="28" t="e">
        <f ca="1">[1]!BexGetData("DP_1","003N8EMH8GTFRIVOG7KG9IX8U","GSON1112030193")</f>
        <v>#NAME?</v>
      </c>
      <c r="O155" s="28" t="e">
        <f ca="1">[1]!BexGetData("DP_1","003N8EMH8GTFRIVOG7KG9J3KE","GSON1112030193")</f>
        <v>#NAME?</v>
      </c>
      <c r="P155" s="28" t="e">
        <f ca="1">[1]!BexGetData("DP_1","003N8EMH8GTFRIVOG7KG9J9VY","GSON1112030193")</f>
        <v>#NAME?</v>
      </c>
      <c r="Q155" s="24" t="e">
        <f ca="1">[1]!BexGetData("DP_1","00O2TNJGODT0G5Z4TTKYMM5MT","GSON1112030193")</f>
        <v>#NAME?</v>
      </c>
      <c r="R155" s="28" t="e">
        <f ca="1">[1]!BexGetData("DP_1","00O2TNJGODT0G5Z4TTKYMMBYD","GSON1112030193")</f>
        <v>#NAME?</v>
      </c>
      <c r="S155" s="28" t="e">
        <f ca="1">[1]!BexGetData("DP_1","00O2TNJGODT0G5Z4TTKYMMI9X","GSON1112030193")</f>
        <v>#NAME?</v>
      </c>
      <c r="T155" s="28" t="e">
        <f ca="1">[1]!BexGetData("DP_1","00O2TNJGODT0G5Z4TTKYMMOLH","GSON1112030193")</f>
        <v>#NAME?</v>
      </c>
      <c r="U155" s="28" t="e">
        <f ca="1">[1]!BexGetData("DP_1","00O2TNJGODT0G5Z4TTKYMMUX1","GSON1112030193")</f>
        <v>#NAME?</v>
      </c>
      <c r="V155" s="28" t="e">
        <f ca="1">[1]!BexGetData("DP_1","00O2TNJGODT0G5Z4TTKYMN18L","GSON1112030193")</f>
        <v>#NAME?</v>
      </c>
      <c r="W155" s="28" t="e">
        <f ca="1">[1]!BexGetData("DP_1","00O2TNJGODT0G5Z4TTKYMN7K5","GSON1112030193")</f>
        <v>#NAME?</v>
      </c>
    </row>
    <row r="156" spans="1:23" x14ac:dyDescent="0.2">
      <c r="A156" s="36" t="s">
        <v>1988</v>
      </c>
      <c r="B156" s="27" t="s">
        <v>1989</v>
      </c>
      <c r="C156" s="28" t="e">
        <f ca="1">[1]!BexGetData("DP_1","003N8EMH8GTFRCSWKMPXRR8GU","GSON1112030200")</f>
        <v>#NAME?</v>
      </c>
      <c r="D156" s="28" t="e">
        <f ca="1">[1]!BexGetData("DP_1","003N8EMH8GTFRCSWKMPXRRESE","GSON1112030200")</f>
        <v>#NAME?</v>
      </c>
      <c r="E156" s="28" t="e">
        <f ca="1">[1]!BexGetData("DP_1","003N8EMH8GTFRCSWKMPXRRL3Y","GSON1112030200")</f>
        <v>#NAME?</v>
      </c>
      <c r="F156" s="28" t="e">
        <f ca="1">[1]!BexGetData("DP_1","003N8EMH8GTFRCSWKMPXRRRFI","GSON1112030200")</f>
        <v>#NAME?</v>
      </c>
      <c r="G156" s="28" t="e">
        <f ca="1">[1]!BexGetData("DP_1","003N8EMH8GTFRCSWKMPXRRXR2","GSON1112030200")</f>
        <v>#NAME?</v>
      </c>
      <c r="H156" s="23" t="e">
        <f ca="1">[1]!BexGetData("DP_1","003N8EMH8GTFRCSWKMPXRS42M","GSON1112030200")</f>
        <v>#NAME?</v>
      </c>
      <c r="I156" s="28" t="e">
        <f ca="1">[1]!BexGetData("DP_1","003N8EMH8GTFRCSWKMPXRSAE6","GSON1112030200")</f>
        <v>#NAME?</v>
      </c>
      <c r="J156" s="23" t="e">
        <f ca="1">[1]!BexGetData("DP_1","003N8EMH8GTFRCSWKMPXRSGPQ","GSON1112030200")</f>
        <v>#NAME?</v>
      </c>
      <c r="K156" s="28" t="e">
        <f ca="1">[1]!BexGetData("DP_1","003N8EMH8GTFRIVNUPY288VJH","GSON1112030200")</f>
        <v>#NAME?</v>
      </c>
      <c r="L156" s="28" t="e">
        <f ca="1">[1]!BexGetData("DP_1","003N8EMH8GTFRIVNUPY2891V1","GSON1112030200")</f>
        <v>#NAME?</v>
      </c>
      <c r="M156" s="28" t="e">
        <f ca="1">[1]!BexGetData("DP_1","003N8EMH8GTFRIVOG7KG9IQXA","GSON1112030200")</f>
        <v>#NAME?</v>
      </c>
      <c r="N156" s="28" t="e">
        <f ca="1">[1]!BexGetData("DP_1","003N8EMH8GTFRIVOG7KG9IX8U","GSON1112030200")</f>
        <v>#NAME?</v>
      </c>
      <c r="O156" s="28" t="e">
        <f ca="1">[1]!BexGetData("DP_1","003N8EMH8GTFRIVOG7KG9J3KE","GSON1112030200")</f>
        <v>#NAME?</v>
      </c>
      <c r="P156" s="28" t="e">
        <f ca="1">[1]!BexGetData("DP_1","003N8EMH8GTFRIVOG7KG9J9VY","GSON1112030200")</f>
        <v>#NAME?</v>
      </c>
      <c r="Q156" s="23" t="e">
        <f ca="1">[1]!BexGetData("DP_1","00O2TNJGODT0G5Z4TTKYMM5MT","GSON1112030200")</f>
        <v>#NAME?</v>
      </c>
      <c r="R156" s="23" t="e">
        <f ca="1">[1]!BexGetData("DP_1","00O2TNJGODT0G5Z4TTKYMMBYD","GSON1112030200")</f>
        <v>#NAME?</v>
      </c>
      <c r="S156" s="23" t="e">
        <f ca="1">[1]!BexGetData("DP_1","00O2TNJGODT0G5Z4TTKYMMI9X","GSON1112030200")</f>
        <v>#NAME?</v>
      </c>
      <c r="T156" s="23" t="e">
        <f ca="1">[1]!BexGetData("DP_1","00O2TNJGODT0G5Z4TTKYMMOLH","GSON1112030200")</f>
        <v>#NAME?</v>
      </c>
      <c r="U156" s="28" t="e">
        <f ca="1">[1]!BexGetData("DP_1","00O2TNJGODT0G5Z4TTKYMMUX1","GSON1112030200")</f>
        <v>#NAME?</v>
      </c>
      <c r="V156" s="23" t="e">
        <f ca="1">[1]!BexGetData("DP_1","00O2TNJGODT0G5Z4TTKYMN18L","GSON1112030200")</f>
        <v>#NAME?</v>
      </c>
      <c r="W156" s="28" t="e">
        <f ca="1">[1]!BexGetData("DP_1","00O2TNJGODT0G5Z4TTKYMN7K5","GSON1112030200")</f>
        <v>#NAME?</v>
      </c>
    </row>
    <row r="157" spans="1:23" x14ac:dyDescent="0.2">
      <c r="A157" s="36" t="s">
        <v>1990</v>
      </c>
      <c r="B157" s="27" t="s">
        <v>776</v>
      </c>
      <c r="C157" s="24" t="e">
        <f ca="1">[1]!BexGetData("DP_1","003N8EMH8GTFRCSWKMPXRR8GU","GSON1112030203")</f>
        <v>#NAME?</v>
      </c>
      <c r="D157" s="24" t="e">
        <f ca="1">[1]!BexGetData("DP_1","003N8EMH8GTFRCSWKMPXRRESE","GSON1112030203")</f>
        <v>#NAME?</v>
      </c>
      <c r="E157" s="24" t="e">
        <f ca="1">[1]!BexGetData("DP_1","003N8EMH8GTFRCSWKMPXRRL3Y","GSON1112030203")</f>
        <v>#NAME?</v>
      </c>
      <c r="F157" s="28" t="e">
        <f ca="1">[1]!BexGetData("DP_1","003N8EMH8GTFRCSWKMPXRRRFI","GSON1112030203")</f>
        <v>#NAME?</v>
      </c>
      <c r="G157" s="23" t="e">
        <f ca="1">[1]!BexGetData("DP_1","003N8EMH8GTFRCSWKMPXRRXR2","GSON1112030203")</f>
        <v>#NAME?</v>
      </c>
      <c r="H157" s="23" t="e">
        <f ca="1">[1]!BexGetData("DP_1","003N8EMH8GTFRCSWKMPXRS42M","GSON1112030203")</f>
        <v>#NAME?</v>
      </c>
      <c r="I157" s="28" t="e">
        <f ca="1">[1]!BexGetData("DP_1","003N8EMH8GTFRCSWKMPXRSAE6","GSON1112030203")</f>
        <v>#NAME?</v>
      </c>
      <c r="J157" s="24" t="e">
        <f ca="1">[1]!BexGetData("DP_1","003N8EMH8GTFRCSWKMPXRSGPQ","GSON1112030203")</f>
        <v>#NAME?</v>
      </c>
      <c r="K157" s="28" t="e">
        <f ca="1">[1]!BexGetData("DP_1","003N8EMH8GTFRIVNUPY288VJH","GSON1112030203")</f>
        <v>#NAME?</v>
      </c>
      <c r="L157" s="28" t="e">
        <f ca="1">[1]!BexGetData("DP_1","003N8EMH8GTFRIVNUPY2891V1","GSON1112030203")</f>
        <v>#NAME?</v>
      </c>
      <c r="M157" s="28" t="e">
        <f ca="1">[1]!BexGetData("DP_1","003N8EMH8GTFRIVOG7KG9IQXA","GSON1112030203")</f>
        <v>#NAME?</v>
      </c>
      <c r="N157" s="28" t="e">
        <f ca="1">[1]!BexGetData("DP_1","003N8EMH8GTFRIVOG7KG9IX8U","GSON1112030203")</f>
        <v>#NAME?</v>
      </c>
      <c r="O157" s="28" t="e">
        <f ca="1">[1]!BexGetData("DP_1","003N8EMH8GTFRIVOG7KG9J3KE","GSON1112030203")</f>
        <v>#NAME?</v>
      </c>
      <c r="P157" s="28" t="e">
        <f ca="1">[1]!BexGetData("DP_1","003N8EMH8GTFRIVOG7KG9J9VY","GSON1112030203")</f>
        <v>#NAME?</v>
      </c>
      <c r="Q157" s="24" t="e">
        <f ca="1">[1]!BexGetData("DP_1","00O2TNJGODT0G5Z4TTKYMM5MT","GSON1112030203")</f>
        <v>#NAME?</v>
      </c>
      <c r="R157" s="28" t="e">
        <f ca="1">[1]!BexGetData("DP_1","00O2TNJGODT0G5Z4TTKYMMBYD","GSON1112030203")</f>
        <v>#NAME?</v>
      </c>
      <c r="S157" s="28" t="e">
        <f ca="1">[1]!BexGetData("DP_1","00O2TNJGODT0G5Z4TTKYMMI9X","GSON1112030203")</f>
        <v>#NAME?</v>
      </c>
      <c r="T157" s="28" t="e">
        <f ca="1">[1]!BexGetData("DP_1","00O2TNJGODT0G5Z4TTKYMMOLH","GSON1112030203")</f>
        <v>#NAME?</v>
      </c>
      <c r="U157" s="28" t="e">
        <f ca="1">[1]!BexGetData("DP_1","00O2TNJGODT0G5Z4TTKYMMUX1","GSON1112030203")</f>
        <v>#NAME?</v>
      </c>
      <c r="V157" s="28" t="e">
        <f ca="1">[1]!BexGetData("DP_1","00O2TNJGODT0G5Z4TTKYMN18L","GSON1112030203")</f>
        <v>#NAME?</v>
      </c>
      <c r="W157" s="28" t="e">
        <f ca="1">[1]!BexGetData("DP_1","00O2TNJGODT0G5Z4TTKYMN7K5","GSON1112030203")</f>
        <v>#NAME?</v>
      </c>
    </row>
    <row r="158" spans="1:23" x14ac:dyDescent="0.2">
      <c r="A158" s="36" t="s">
        <v>1991</v>
      </c>
      <c r="B158" s="27" t="s">
        <v>1992</v>
      </c>
      <c r="C158" s="28" t="e">
        <f ca="1">[1]!BexGetData("DP_1","003N8EMH8GTFRCSWKMPXRR8GU","GSON1112030220")</f>
        <v>#NAME?</v>
      </c>
      <c r="D158" s="28" t="e">
        <f ca="1">[1]!BexGetData("DP_1","003N8EMH8GTFRCSWKMPXRRESE","GSON1112030220")</f>
        <v>#NAME?</v>
      </c>
      <c r="E158" s="28" t="e">
        <f ca="1">[1]!BexGetData("DP_1","003N8EMH8GTFRCSWKMPXRRL3Y","GSON1112030220")</f>
        <v>#NAME?</v>
      </c>
      <c r="F158" s="28" t="e">
        <f ca="1">[1]!BexGetData("DP_1","003N8EMH8GTFRCSWKMPXRRRFI","GSON1112030220")</f>
        <v>#NAME?</v>
      </c>
      <c r="G158" s="28" t="e">
        <f ca="1">[1]!BexGetData("DP_1","003N8EMH8GTFRCSWKMPXRRXR2","GSON1112030220")</f>
        <v>#NAME?</v>
      </c>
      <c r="H158" s="23" t="e">
        <f ca="1">[1]!BexGetData("DP_1","003N8EMH8GTFRCSWKMPXRS42M","GSON1112030220")</f>
        <v>#NAME?</v>
      </c>
      <c r="I158" s="28" t="e">
        <f ca="1">[1]!BexGetData("DP_1","003N8EMH8GTFRCSWKMPXRSAE6","GSON1112030220")</f>
        <v>#NAME?</v>
      </c>
      <c r="J158" s="23" t="e">
        <f ca="1">[1]!BexGetData("DP_1","003N8EMH8GTFRCSWKMPXRSGPQ","GSON1112030220")</f>
        <v>#NAME?</v>
      </c>
      <c r="K158" s="28" t="e">
        <f ca="1">[1]!BexGetData("DP_1","003N8EMH8GTFRIVNUPY288VJH","GSON1112030220")</f>
        <v>#NAME?</v>
      </c>
      <c r="L158" s="28" t="e">
        <f ca="1">[1]!BexGetData("DP_1","003N8EMH8GTFRIVNUPY2891V1","GSON1112030220")</f>
        <v>#NAME?</v>
      </c>
      <c r="M158" s="28" t="e">
        <f ca="1">[1]!BexGetData("DP_1","003N8EMH8GTFRIVOG7KG9IQXA","GSON1112030220")</f>
        <v>#NAME?</v>
      </c>
      <c r="N158" s="28" t="e">
        <f ca="1">[1]!BexGetData("DP_1","003N8EMH8GTFRIVOG7KG9IX8U","GSON1112030220")</f>
        <v>#NAME?</v>
      </c>
      <c r="O158" s="28" t="e">
        <f ca="1">[1]!BexGetData("DP_1","003N8EMH8GTFRIVOG7KG9J3KE","GSON1112030220")</f>
        <v>#NAME?</v>
      </c>
      <c r="P158" s="28" t="e">
        <f ca="1">[1]!BexGetData("DP_1","003N8EMH8GTFRIVOG7KG9J9VY","GSON1112030220")</f>
        <v>#NAME?</v>
      </c>
      <c r="Q158" s="23" t="e">
        <f ca="1">[1]!BexGetData("DP_1","00O2TNJGODT0G5Z4TTKYMM5MT","GSON1112030220")</f>
        <v>#NAME?</v>
      </c>
      <c r="R158" s="23" t="e">
        <f ca="1">[1]!BexGetData("DP_1","00O2TNJGODT0G5Z4TTKYMMBYD","GSON1112030220")</f>
        <v>#NAME?</v>
      </c>
      <c r="S158" s="23" t="e">
        <f ca="1">[1]!BexGetData("DP_1","00O2TNJGODT0G5Z4TTKYMMI9X","GSON1112030220")</f>
        <v>#NAME?</v>
      </c>
      <c r="T158" s="23" t="e">
        <f ca="1">[1]!BexGetData("DP_1","00O2TNJGODT0G5Z4TTKYMMOLH","GSON1112030220")</f>
        <v>#NAME?</v>
      </c>
      <c r="U158" s="28" t="e">
        <f ca="1">[1]!BexGetData("DP_1","00O2TNJGODT0G5Z4TTKYMMUX1","GSON1112030220")</f>
        <v>#NAME?</v>
      </c>
      <c r="V158" s="23" t="e">
        <f ca="1">[1]!BexGetData("DP_1","00O2TNJGODT0G5Z4TTKYMN18L","GSON1112030220")</f>
        <v>#NAME?</v>
      </c>
      <c r="W158" s="28" t="e">
        <f ca="1">[1]!BexGetData("DP_1","00O2TNJGODT0G5Z4TTKYMN7K5","GSON1112030220")</f>
        <v>#NAME?</v>
      </c>
    </row>
    <row r="159" spans="1:23" x14ac:dyDescent="0.2">
      <c r="A159" s="36" t="s">
        <v>1993</v>
      </c>
      <c r="B159" s="27" t="s">
        <v>1994</v>
      </c>
      <c r="C159" s="24" t="e">
        <f ca="1">[1]!BexGetData("DP_1","003N8EMH8GTFRCSWKMPXRR8GU","GSON1112030223")</f>
        <v>#NAME?</v>
      </c>
      <c r="D159" s="24" t="e">
        <f ca="1">[1]!BexGetData("DP_1","003N8EMH8GTFRCSWKMPXRRESE","GSON1112030223")</f>
        <v>#NAME?</v>
      </c>
      <c r="E159" s="24" t="e">
        <f ca="1">[1]!BexGetData("DP_1","003N8EMH8GTFRCSWKMPXRRL3Y","GSON1112030223")</f>
        <v>#NAME?</v>
      </c>
      <c r="F159" s="28" t="e">
        <f ca="1">[1]!BexGetData("DP_1","003N8EMH8GTFRCSWKMPXRRRFI","GSON1112030223")</f>
        <v>#NAME?</v>
      </c>
      <c r="G159" s="23" t="e">
        <f ca="1">[1]!BexGetData("DP_1","003N8EMH8GTFRCSWKMPXRRXR2","GSON1112030223")</f>
        <v>#NAME?</v>
      </c>
      <c r="H159" s="23" t="e">
        <f ca="1">[1]!BexGetData("DP_1","003N8EMH8GTFRCSWKMPXRS42M","GSON1112030223")</f>
        <v>#NAME?</v>
      </c>
      <c r="I159" s="28" t="e">
        <f ca="1">[1]!BexGetData("DP_1","003N8EMH8GTFRCSWKMPXRSAE6","GSON1112030223")</f>
        <v>#NAME?</v>
      </c>
      <c r="J159" s="24" t="e">
        <f ca="1">[1]!BexGetData("DP_1","003N8EMH8GTFRCSWKMPXRSGPQ","GSON1112030223")</f>
        <v>#NAME?</v>
      </c>
      <c r="K159" s="28" t="e">
        <f ca="1">[1]!BexGetData("DP_1","003N8EMH8GTFRIVNUPY288VJH","GSON1112030223")</f>
        <v>#NAME?</v>
      </c>
      <c r="L159" s="28" t="e">
        <f ca="1">[1]!BexGetData("DP_1","003N8EMH8GTFRIVNUPY2891V1","GSON1112030223")</f>
        <v>#NAME?</v>
      </c>
      <c r="M159" s="28" t="e">
        <f ca="1">[1]!BexGetData("DP_1","003N8EMH8GTFRIVOG7KG9IQXA","GSON1112030223")</f>
        <v>#NAME?</v>
      </c>
      <c r="N159" s="28" t="e">
        <f ca="1">[1]!BexGetData("DP_1","003N8EMH8GTFRIVOG7KG9IX8U","GSON1112030223")</f>
        <v>#NAME?</v>
      </c>
      <c r="O159" s="28" t="e">
        <f ca="1">[1]!BexGetData("DP_1","003N8EMH8GTFRIVOG7KG9J3KE","GSON1112030223")</f>
        <v>#NAME?</v>
      </c>
      <c r="P159" s="28" t="e">
        <f ca="1">[1]!BexGetData("DP_1","003N8EMH8GTFRIVOG7KG9J9VY","GSON1112030223")</f>
        <v>#NAME?</v>
      </c>
      <c r="Q159" s="24" t="e">
        <f ca="1">[1]!BexGetData("DP_1","00O2TNJGODT0G5Z4TTKYMM5MT","GSON1112030223")</f>
        <v>#NAME?</v>
      </c>
      <c r="R159" s="28" t="e">
        <f ca="1">[1]!BexGetData("DP_1","00O2TNJGODT0G5Z4TTKYMMBYD","GSON1112030223")</f>
        <v>#NAME?</v>
      </c>
      <c r="S159" s="28" t="e">
        <f ca="1">[1]!BexGetData("DP_1","00O2TNJGODT0G5Z4TTKYMMI9X","GSON1112030223")</f>
        <v>#NAME?</v>
      </c>
      <c r="T159" s="28" t="e">
        <f ca="1">[1]!BexGetData("DP_1","00O2TNJGODT0G5Z4TTKYMMOLH","GSON1112030223")</f>
        <v>#NAME?</v>
      </c>
      <c r="U159" s="28" t="e">
        <f ca="1">[1]!BexGetData("DP_1","00O2TNJGODT0G5Z4TTKYMMUX1","GSON1112030223")</f>
        <v>#NAME?</v>
      </c>
      <c r="V159" s="28" t="e">
        <f ca="1">[1]!BexGetData("DP_1","00O2TNJGODT0G5Z4TTKYMN18L","GSON1112030223")</f>
        <v>#NAME?</v>
      </c>
      <c r="W159" s="28" t="e">
        <f ca="1">[1]!BexGetData("DP_1","00O2TNJGODT0G5Z4TTKYMN7K5","GSON1112030223")</f>
        <v>#NAME?</v>
      </c>
    </row>
    <row r="160" spans="1:23" x14ac:dyDescent="0.2">
      <c r="A160" s="36" t="s">
        <v>1995</v>
      </c>
      <c r="B160" s="27" t="s">
        <v>777</v>
      </c>
      <c r="C160" s="23" t="e">
        <f ca="1">[1]!BexGetData("DP_1","003N8EMH8GTFRCSWKMPXRR8GU","GSON1112030230")</f>
        <v>#NAME?</v>
      </c>
      <c r="D160" s="28" t="e">
        <f ca="1">[1]!BexGetData("DP_1","003N8EMH8GTFRCSWKMPXRRESE","GSON1112030230")</f>
        <v>#NAME?</v>
      </c>
      <c r="E160" s="23" t="e">
        <f ca="1">[1]!BexGetData("DP_1","003N8EMH8GTFRCSWKMPXRRL3Y","GSON1112030230")</f>
        <v>#NAME?</v>
      </c>
      <c r="F160" s="23" t="e">
        <f ca="1">[1]!BexGetData("DP_1","003N8EMH8GTFRCSWKMPXRRRFI","GSON1112030230")</f>
        <v>#NAME?</v>
      </c>
      <c r="G160" s="23" t="e">
        <f ca="1">[1]!BexGetData("DP_1","003N8EMH8GTFRCSWKMPXRRXR2","GSON1112030230")</f>
        <v>#NAME?</v>
      </c>
      <c r="H160" s="28" t="e">
        <f ca="1">[1]!BexGetData("DP_1","003N8EMH8GTFRCSWKMPXRS42M","GSON1112030230")</f>
        <v>#NAME?</v>
      </c>
      <c r="I160" s="23" t="e">
        <f ca="1">[1]!BexGetData("DP_1","003N8EMH8GTFRCSWKMPXRSAE6","GSON1112030230")</f>
        <v>#NAME?</v>
      </c>
      <c r="J160" s="23" t="e">
        <f ca="1">[1]!BexGetData("DP_1","003N8EMH8GTFRCSWKMPXRSGPQ","GSON1112030230")</f>
        <v>#NAME?</v>
      </c>
      <c r="K160" s="23" t="e">
        <f ca="1">[1]!BexGetData("DP_1","003N8EMH8GTFRIVNUPY288VJH","GSON1112030230")</f>
        <v>#NAME?</v>
      </c>
      <c r="L160" s="23" t="e">
        <f ca="1">[1]!BexGetData("DP_1","003N8EMH8GTFRIVNUPY2891V1","GSON1112030230")</f>
        <v>#NAME?</v>
      </c>
      <c r="M160" s="28" t="e">
        <f ca="1">[1]!BexGetData("DP_1","003N8EMH8GTFRIVOG7KG9IQXA","GSON1112030230")</f>
        <v>#NAME?</v>
      </c>
      <c r="N160" s="23" t="e">
        <f ca="1">[1]!BexGetData("DP_1","003N8EMH8GTFRIVOG7KG9IX8U","GSON1112030230")</f>
        <v>#NAME?</v>
      </c>
      <c r="O160" s="28" t="e">
        <f ca="1">[1]!BexGetData("DP_1","003N8EMH8GTFRIVOG7KG9J3KE","GSON1112030230")</f>
        <v>#NAME?</v>
      </c>
      <c r="P160" s="23" t="e">
        <f ca="1">[1]!BexGetData("DP_1","003N8EMH8GTFRIVOG7KG9J9VY","GSON1112030230")</f>
        <v>#NAME?</v>
      </c>
      <c r="Q160" s="23" t="e">
        <f ca="1">[1]!BexGetData("DP_1","00O2TNJGODT0G5Z4TTKYMM5MT","GSON1112030230")</f>
        <v>#NAME?</v>
      </c>
      <c r="R160" s="23" t="e">
        <f ca="1">[1]!BexGetData("DP_1","00O2TNJGODT0G5Z4TTKYMMBYD","GSON1112030230")</f>
        <v>#NAME?</v>
      </c>
      <c r="S160" s="23" t="e">
        <f ca="1">[1]!BexGetData("DP_1","00O2TNJGODT0G5Z4TTKYMMI9X","GSON1112030230")</f>
        <v>#NAME?</v>
      </c>
      <c r="T160" s="28" t="e">
        <f ca="1">[1]!BexGetData("DP_1","00O2TNJGODT0G5Z4TTKYMMOLH","GSON1112030230")</f>
        <v>#NAME?</v>
      </c>
      <c r="U160" s="23" t="e">
        <f ca="1">[1]!BexGetData("DP_1","00O2TNJGODT0G5Z4TTKYMMUX1","GSON1112030230")</f>
        <v>#NAME?</v>
      </c>
      <c r="V160" s="28" t="e">
        <f ca="1">[1]!BexGetData("DP_1","00O2TNJGODT0G5Z4TTKYMN18L","GSON1112030230")</f>
        <v>#NAME?</v>
      </c>
      <c r="W160" s="23" t="e">
        <f ca="1">[1]!BexGetData("DP_1","00O2TNJGODT0G5Z4TTKYMN7K5","GSON1112030230")</f>
        <v>#NAME?</v>
      </c>
    </row>
    <row r="161" spans="1:23" x14ac:dyDescent="0.2">
      <c r="A161" s="36" t="s">
        <v>1996</v>
      </c>
      <c r="B161" s="27" t="s">
        <v>167</v>
      </c>
      <c r="C161" s="24" t="e">
        <f ca="1">[1]!BexGetData("DP_1","003N8EMH8GTFRCSWKMPXRR8GU","GSON1112030231")</f>
        <v>#NAME?</v>
      </c>
      <c r="D161" s="24" t="e">
        <f ca="1">[1]!BexGetData("DP_1","003N8EMH8GTFRCSWKMPXRRESE","GSON1112030231")</f>
        <v>#NAME?</v>
      </c>
      <c r="E161" s="24" t="e">
        <f ca="1">[1]!BexGetData("DP_1","003N8EMH8GTFRCSWKMPXRRL3Y","GSON1112030231")</f>
        <v>#NAME?</v>
      </c>
      <c r="F161" s="28" t="e">
        <f ca="1">[1]!BexGetData("DP_1","003N8EMH8GTFRCSWKMPXRRRFI","GSON1112030231")</f>
        <v>#NAME?</v>
      </c>
      <c r="G161" s="23" t="e">
        <f ca="1">[1]!BexGetData("DP_1","003N8EMH8GTFRCSWKMPXRRXR2","GSON1112030231")</f>
        <v>#NAME?</v>
      </c>
      <c r="H161" s="23" t="e">
        <f ca="1">[1]!BexGetData("DP_1","003N8EMH8GTFRCSWKMPXRS42M","GSON1112030231")</f>
        <v>#NAME?</v>
      </c>
      <c r="I161" s="28" t="e">
        <f ca="1">[1]!BexGetData("DP_1","003N8EMH8GTFRCSWKMPXRSAE6","GSON1112030231")</f>
        <v>#NAME?</v>
      </c>
      <c r="J161" s="24" t="e">
        <f ca="1">[1]!BexGetData("DP_1","003N8EMH8GTFRCSWKMPXRSGPQ","GSON1112030231")</f>
        <v>#NAME?</v>
      </c>
      <c r="K161" s="28" t="e">
        <f ca="1">[1]!BexGetData("DP_1","003N8EMH8GTFRIVNUPY288VJH","GSON1112030231")</f>
        <v>#NAME?</v>
      </c>
      <c r="L161" s="28" t="e">
        <f ca="1">[1]!BexGetData("DP_1","003N8EMH8GTFRIVNUPY2891V1","GSON1112030231")</f>
        <v>#NAME?</v>
      </c>
      <c r="M161" s="28" t="e">
        <f ca="1">[1]!BexGetData("DP_1","003N8EMH8GTFRIVOG7KG9IQXA","GSON1112030231")</f>
        <v>#NAME?</v>
      </c>
      <c r="N161" s="28" t="e">
        <f ca="1">[1]!BexGetData("DP_1","003N8EMH8GTFRIVOG7KG9IX8U","GSON1112030231")</f>
        <v>#NAME?</v>
      </c>
      <c r="O161" s="28" t="e">
        <f ca="1">[1]!BexGetData("DP_1","003N8EMH8GTFRIVOG7KG9J3KE","GSON1112030231")</f>
        <v>#NAME?</v>
      </c>
      <c r="P161" s="28" t="e">
        <f ca="1">[1]!BexGetData("DP_1","003N8EMH8GTFRIVOG7KG9J9VY","GSON1112030231")</f>
        <v>#NAME?</v>
      </c>
      <c r="Q161" s="24" t="e">
        <f ca="1">[1]!BexGetData("DP_1","00O2TNJGODT0G5Z4TTKYMM5MT","GSON1112030231")</f>
        <v>#NAME?</v>
      </c>
      <c r="R161" s="28" t="e">
        <f ca="1">[1]!BexGetData("DP_1","00O2TNJGODT0G5Z4TTKYMMBYD","GSON1112030231")</f>
        <v>#NAME?</v>
      </c>
      <c r="S161" s="28" t="e">
        <f ca="1">[1]!BexGetData("DP_1","00O2TNJGODT0G5Z4TTKYMMI9X","GSON1112030231")</f>
        <v>#NAME?</v>
      </c>
      <c r="T161" s="28" t="e">
        <f ca="1">[1]!BexGetData("DP_1","00O2TNJGODT0G5Z4TTKYMMOLH","GSON1112030231")</f>
        <v>#NAME?</v>
      </c>
      <c r="U161" s="28" t="e">
        <f ca="1">[1]!BexGetData("DP_1","00O2TNJGODT0G5Z4TTKYMMUX1","GSON1112030231")</f>
        <v>#NAME?</v>
      </c>
      <c r="V161" s="28" t="e">
        <f ca="1">[1]!BexGetData("DP_1","00O2TNJGODT0G5Z4TTKYMN18L","GSON1112030231")</f>
        <v>#NAME?</v>
      </c>
      <c r="W161" s="28" t="e">
        <f ca="1">[1]!BexGetData("DP_1","00O2TNJGODT0G5Z4TTKYMN7K5","GSON1112030231")</f>
        <v>#NAME?</v>
      </c>
    </row>
    <row r="162" spans="1:23" x14ac:dyDescent="0.2">
      <c r="A162" s="36" t="s">
        <v>1997</v>
      </c>
      <c r="B162" s="27" t="s">
        <v>1998</v>
      </c>
      <c r="C162" s="23" t="e">
        <f ca="1">[1]!BexGetData("DP_1","003N8EMH8GTFRCSWKMPXRR8GU","GSON1112030235")</f>
        <v>#NAME?</v>
      </c>
      <c r="D162" s="23" t="e">
        <f ca="1">[1]!BexGetData("DP_1","003N8EMH8GTFRCSWKMPXRRESE","GSON1112030235")</f>
        <v>#NAME?</v>
      </c>
      <c r="E162" s="28" t="e">
        <f ca="1">[1]!BexGetData("DP_1","003N8EMH8GTFRCSWKMPXRRL3Y","GSON1112030235")</f>
        <v>#NAME?</v>
      </c>
      <c r="F162" s="28" t="e">
        <f ca="1">[1]!BexGetData("DP_1","003N8EMH8GTFRCSWKMPXRRRFI","GSON1112030235")</f>
        <v>#NAME?</v>
      </c>
      <c r="G162" s="23" t="e">
        <f ca="1">[1]!BexGetData("DP_1","003N8EMH8GTFRCSWKMPXRRXR2","GSON1112030235")</f>
        <v>#NAME?</v>
      </c>
      <c r="H162" s="23" t="e">
        <f ca="1">[1]!BexGetData("DP_1","003N8EMH8GTFRCSWKMPXRS42M","GSON1112030235")</f>
        <v>#NAME?</v>
      </c>
      <c r="I162" s="28" t="e">
        <f ca="1">[1]!BexGetData("DP_1","003N8EMH8GTFRCSWKMPXRSAE6","GSON1112030235")</f>
        <v>#NAME?</v>
      </c>
      <c r="J162" s="24" t="e">
        <f ca="1">[1]!BexGetData("DP_1","003N8EMH8GTFRCSWKMPXRSGPQ","GSON1112030235")</f>
        <v>#NAME?</v>
      </c>
      <c r="K162" s="28" t="e">
        <f ca="1">[1]!BexGetData("DP_1","003N8EMH8GTFRIVNUPY288VJH","GSON1112030235")</f>
        <v>#NAME?</v>
      </c>
      <c r="L162" s="28" t="e">
        <f ca="1">[1]!BexGetData("DP_1","003N8EMH8GTFRIVNUPY2891V1","GSON1112030235")</f>
        <v>#NAME?</v>
      </c>
      <c r="M162" s="28" t="e">
        <f ca="1">[1]!BexGetData("DP_1","003N8EMH8GTFRIVOG7KG9IQXA","GSON1112030235")</f>
        <v>#NAME?</v>
      </c>
      <c r="N162" s="28" t="e">
        <f ca="1">[1]!BexGetData("DP_1","003N8EMH8GTFRIVOG7KG9IX8U","GSON1112030235")</f>
        <v>#NAME?</v>
      </c>
      <c r="O162" s="28" t="e">
        <f ca="1">[1]!BexGetData("DP_1","003N8EMH8GTFRIVOG7KG9J3KE","GSON1112030235")</f>
        <v>#NAME?</v>
      </c>
      <c r="P162" s="28" t="e">
        <f ca="1">[1]!BexGetData("DP_1","003N8EMH8GTFRIVOG7KG9J9VY","GSON1112030235")</f>
        <v>#NAME?</v>
      </c>
      <c r="Q162" s="24" t="e">
        <f ca="1">[1]!BexGetData("DP_1","00O2TNJGODT0G5Z4TTKYMM5MT","GSON1112030235")</f>
        <v>#NAME?</v>
      </c>
      <c r="R162" s="28" t="e">
        <f ca="1">[1]!BexGetData("DP_1","00O2TNJGODT0G5Z4TTKYMMBYD","GSON1112030235")</f>
        <v>#NAME?</v>
      </c>
      <c r="S162" s="28" t="e">
        <f ca="1">[1]!BexGetData("DP_1","00O2TNJGODT0G5Z4TTKYMMI9X","GSON1112030235")</f>
        <v>#NAME?</v>
      </c>
      <c r="T162" s="28" t="e">
        <f ca="1">[1]!BexGetData("DP_1","00O2TNJGODT0G5Z4TTKYMMOLH","GSON1112030235")</f>
        <v>#NAME?</v>
      </c>
      <c r="U162" s="28" t="e">
        <f ca="1">[1]!BexGetData("DP_1","00O2TNJGODT0G5Z4TTKYMMUX1","GSON1112030235")</f>
        <v>#NAME?</v>
      </c>
      <c r="V162" s="28" t="e">
        <f ca="1">[1]!BexGetData("DP_1","00O2TNJGODT0G5Z4TTKYMN18L","GSON1112030235")</f>
        <v>#NAME?</v>
      </c>
      <c r="W162" s="28" t="e">
        <f ca="1">[1]!BexGetData("DP_1","00O2TNJGODT0G5Z4TTKYMN7K5","GSON1112030235")</f>
        <v>#NAME?</v>
      </c>
    </row>
    <row r="163" spans="1:23" x14ac:dyDescent="0.2">
      <c r="A163" s="36" t="s">
        <v>1999</v>
      </c>
      <c r="B163" s="27" t="s">
        <v>778</v>
      </c>
      <c r="C163" s="23" t="e">
        <f ca="1">[1]!BexGetData("DP_1","003N8EMH8GTFRCSWKMPXRR8GU","GSON1112030240")</f>
        <v>#NAME?</v>
      </c>
      <c r="D163" s="28" t="e">
        <f ca="1">[1]!BexGetData("DP_1","003N8EMH8GTFRCSWKMPXRRESE","GSON1112030240")</f>
        <v>#NAME?</v>
      </c>
      <c r="E163" s="23" t="e">
        <f ca="1">[1]!BexGetData("DP_1","003N8EMH8GTFRCSWKMPXRRL3Y","GSON1112030240")</f>
        <v>#NAME?</v>
      </c>
      <c r="F163" s="23" t="e">
        <f ca="1">[1]!BexGetData("DP_1","003N8EMH8GTFRCSWKMPXRRRFI","GSON1112030240")</f>
        <v>#NAME?</v>
      </c>
      <c r="G163" s="23" t="e">
        <f ca="1">[1]!BexGetData("DP_1","003N8EMH8GTFRCSWKMPXRRXR2","GSON1112030240")</f>
        <v>#NAME?</v>
      </c>
      <c r="H163" s="23" t="e">
        <f ca="1">[1]!BexGetData("DP_1","003N8EMH8GTFRCSWKMPXRS42M","GSON1112030240")</f>
        <v>#NAME?</v>
      </c>
      <c r="I163" s="23" t="e">
        <f ca="1">[1]!BexGetData("DP_1","003N8EMH8GTFRCSWKMPXRSAE6","GSON1112030240")</f>
        <v>#NAME?</v>
      </c>
      <c r="J163" s="23" t="e">
        <f ca="1">[1]!BexGetData("DP_1","003N8EMH8GTFRCSWKMPXRSGPQ","GSON1112030240")</f>
        <v>#NAME?</v>
      </c>
      <c r="K163" s="23" t="e">
        <f ca="1">[1]!BexGetData("DP_1","003N8EMH8GTFRIVNUPY288VJH","GSON1112030240")</f>
        <v>#NAME?</v>
      </c>
      <c r="L163" s="23" t="e">
        <f ca="1">[1]!BexGetData("DP_1","003N8EMH8GTFRIVNUPY2891V1","GSON1112030240")</f>
        <v>#NAME?</v>
      </c>
      <c r="M163" s="28" t="e">
        <f ca="1">[1]!BexGetData("DP_1","003N8EMH8GTFRIVOG7KG9IQXA","GSON1112030240")</f>
        <v>#NAME?</v>
      </c>
      <c r="N163" s="23" t="e">
        <f ca="1">[1]!BexGetData("DP_1","003N8EMH8GTFRIVOG7KG9IX8U","GSON1112030240")</f>
        <v>#NAME?</v>
      </c>
      <c r="O163" s="28" t="e">
        <f ca="1">[1]!BexGetData("DP_1","003N8EMH8GTFRIVOG7KG9J3KE","GSON1112030240")</f>
        <v>#NAME?</v>
      </c>
      <c r="P163" s="23" t="e">
        <f ca="1">[1]!BexGetData("DP_1","003N8EMH8GTFRIVOG7KG9J9VY","GSON1112030240")</f>
        <v>#NAME?</v>
      </c>
      <c r="Q163" s="23" t="e">
        <f ca="1">[1]!BexGetData("DP_1","00O2TNJGODT0G5Z4TTKYMM5MT","GSON1112030240")</f>
        <v>#NAME?</v>
      </c>
      <c r="R163" s="23" t="e">
        <f ca="1">[1]!BexGetData("DP_1","00O2TNJGODT0G5Z4TTKYMMBYD","GSON1112030240")</f>
        <v>#NAME?</v>
      </c>
      <c r="S163" s="23" t="e">
        <f ca="1">[1]!BexGetData("DP_1","00O2TNJGODT0G5Z4TTKYMMI9X","GSON1112030240")</f>
        <v>#NAME?</v>
      </c>
      <c r="T163" s="28" t="e">
        <f ca="1">[1]!BexGetData("DP_1","00O2TNJGODT0G5Z4TTKYMMOLH","GSON1112030240")</f>
        <v>#NAME?</v>
      </c>
      <c r="U163" s="23" t="e">
        <f ca="1">[1]!BexGetData("DP_1","00O2TNJGODT0G5Z4TTKYMMUX1","GSON1112030240")</f>
        <v>#NAME?</v>
      </c>
      <c r="V163" s="28" t="e">
        <f ca="1">[1]!BexGetData("DP_1","00O2TNJGODT0G5Z4TTKYMN18L","GSON1112030240")</f>
        <v>#NAME?</v>
      </c>
      <c r="W163" s="23" t="e">
        <f ca="1">[1]!BexGetData("DP_1","00O2TNJGODT0G5Z4TTKYMN7K5","GSON1112030240")</f>
        <v>#NAME?</v>
      </c>
    </row>
    <row r="164" spans="1:23" x14ac:dyDescent="0.2">
      <c r="A164" s="36" t="s">
        <v>2000</v>
      </c>
      <c r="B164" s="27" t="s">
        <v>779</v>
      </c>
      <c r="C164" s="28" t="e">
        <f ca="1">[1]!BexGetData("DP_1","003N8EMH8GTFRCSWKMPXRR8GU","GSON1112030241")</f>
        <v>#NAME?</v>
      </c>
      <c r="D164" s="28" t="e">
        <f ca="1">[1]!BexGetData("DP_1","003N8EMH8GTFRCSWKMPXRRESE","GSON1112030241")</f>
        <v>#NAME?</v>
      </c>
      <c r="E164" s="28" t="e">
        <f ca="1">[1]!BexGetData("DP_1","003N8EMH8GTFRCSWKMPXRRL3Y","GSON1112030241")</f>
        <v>#NAME?</v>
      </c>
      <c r="F164" s="28" t="e">
        <f ca="1">[1]!BexGetData("DP_1","003N8EMH8GTFRCSWKMPXRRRFI","GSON1112030241")</f>
        <v>#NAME?</v>
      </c>
      <c r="G164" s="23" t="e">
        <f ca="1">[1]!BexGetData("DP_1","003N8EMH8GTFRCSWKMPXRRXR2","GSON1112030241")</f>
        <v>#NAME?</v>
      </c>
      <c r="H164" s="23" t="e">
        <f ca="1">[1]!BexGetData("DP_1","003N8EMH8GTFRCSWKMPXRS42M","GSON1112030241")</f>
        <v>#NAME?</v>
      </c>
      <c r="I164" s="28" t="e">
        <f ca="1">[1]!BexGetData("DP_1","003N8EMH8GTFRCSWKMPXRSAE6","GSON1112030241")</f>
        <v>#NAME?</v>
      </c>
      <c r="J164" s="24" t="e">
        <f ca="1">[1]!BexGetData("DP_1","003N8EMH8GTFRCSWKMPXRSGPQ","GSON1112030241")</f>
        <v>#NAME?</v>
      </c>
      <c r="K164" s="28" t="e">
        <f ca="1">[1]!BexGetData("DP_1","003N8EMH8GTFRIVNUPY288VJH","GSON1112030241")</f>
        <v>#NAME?</v>
      </c>
      <c r="L164" s="28" t="e">
        <f ca="1">[1]!BexGetData("DP_1","003N8EMH8GTFRIVNUPY2891V1","GSON1112030241")</f>
        <v>#NAME?</v>
      </c>
      <c r="M164" s="28" t="e">
        <f ca="1">[1]!BexGetData("DP_1","003N8EMH8GTFRIVOG7KG9IQXA","GSON1112030241")</f>
        <v>#NAME?</v>
      </c>
      <c r="N164" s="28" t="e">
        <f ca="1">[1]!BexGetData("DP_1","003N8EMH8GTFRIVOG7KG9IX8U","GSON1112030241")</f>
        <v>#NAME?</v>
      </c>
      <c r="O164" s="28" t="e">
        <f ca="1">[1]!BexGetData("DP_1","003N8EMH8GTFRIVOG7KG9J3KE","GSON1112030241")</f>
        <v>#NAME?</v>
      </c>
      <c r="P164" s="28" t="e">
        <f ca="1">[1]!BexGetData("DP_1","003N8EMH8GTFRIVOG7KG9J9VY","GSON1112030241")</f>
        <v>#NAME?</v>
      </c>
      <c r="Q164" s="24" t="e">
        <f ca="1">[1]!BexGetData("DP_1","00O2TNJGODT0G5Z4TTKYMM5MT","GSON1112030241")</f>
        <v>#NAME?</v>
      </c>
      <c r="R164" s="28" t="e">
        <f ca="1">[1]!BexGetData("DP_1","00O2TNJGODT0G5Z4TTKYMMBYD","GSON1112030241")</f>
        <v>#NAME?</v>
      </c>
      <c r="S164" s="28" t="e">
        <f ca="1">[1]!BexGetData("DP_1","00O2TNJGODT0G5Z4TTKYMMI9X","GSON1112030241")</f>
        <v>#NAME?</v>
      </c>
      <c r="T164" s="28" t="e">
        <f ca="1">[1]!BexGetData("DP_1","00O2TNJGODT0G5Z4TTKYMMOLH","GSON1112030241")</f>
        <v>#NAME?</v>
      </c>
      <c r="U164" s="28" t="e">
        <f ca="1">[1]!BexGetData("DP_1","00O2TNJGODT0G5Z4TTKYMMUX1","GSON1112030241")</f>
        <v>#NAME?</v>
      </c>
      <c r="V164" s="28" t="e">
        <f ca="1">[1]!BexGetData("DP_1","00O2TNJGODT0G5Z4TTKYMN18L","GSON1112030241")</f>
        <v>#NAME?</v>
      </c>
      <c r="W164" s="28" t="e">
        <f ca="1">[1]!BexGetData("DP_1","00O2TNJGODT0G5Z4TTKYMN7K5","GSON1112030241")</f>
        <v>#NAME?</v>
      </c>
    </row>
    <row r="165" spans="1:23" x14ac:dyDescent="0.2">
      <c r="A165" s="36" t="s">
        <v>2001</v>
      </c>
      <c r="B165" s="27" t="s">
        <v>2002</v>
      </c>
      <c r="C165" s="28" t="e">
        <f ca="1">[1]!BexGetData("DP_1","003N8EMH8GTFRCSWKMPXRR8GU","GSON1112030242")</f>
        <v>#NAME?</v>
      </c>
      <c r="D165" s="28" t="e">
        <f ca="1">[1]!BexGetData("DP_1","003N8EMH8GTFRCSWKMPXRRESE","GSON1112030242")</f>
        <v>#NAME?</v>
      </c>
      <c r="E165" s="28" t="e">
        <f ca="1">[1]!BexGetData("DP_1","003N8EMH8GTFRCSWKMPXRRL3Y","GSON1112030242")</f>
        <v>#NAME?</v>
      </c>
      <c r="F165" s="28" t="e">
        <f ca="1">[1]!BexGetData("DP_1","003N8EMH8GTFRCSWKMPXRRRFI","GSON1112030242")</f>
        <v>#NAME?</v>
      </c>
      <c r="G165" s="23" t="e">
        <f ca="1">[1]!BexGetData("DP_1","003N8EMH8GTFRCSWKMPXRRXR2","GSON1112030242")</f>
        <v>#NAME?</v>
      </c>
      <c r="H165" s="23" t="e">
        <f ca="1">[1]!BexGetData("DP_1","003N8EMH8GTFRCSWKMPXRS42M","GSON1112030242")</f>
        <v>#NAME?</v>
      </c>
      <c r="I165" s="28" t="e">
        <f ca="1">[1]!BexGetData("DP_1","003N8EMH8GTFRCSWKMPXRSAE6","GSON1112030242")</f>
        <v>#NAME?</v>
      </c>
      <c r="J165" s="24" t="e">
        <f ca="1">[1]!BexGetData("DP_1","003N8EMH8GTFRCSWKMPXRSGPQ","GSON1112030242")</f>
        <v>#NAME?</v>
      </c>
      <c r="K165" s="28" t="e">
        <f ca="1">[1]!BexGetData("DP_1","003N8EMH8GTFRIVNUPY288VJH","GSON1112030242")</f>
        <v>#NAME?</v>
      </c>
      <c r="L165" s="28" t="e">
        <f ca="1">[1]!BexGetData("DP_1","003N8EMH8GTFRIVNUPY2891V1","GSON1112030242")</f>
        <v>#NAME?</v>
      </c>
      <c r="M165" s="28" t="e">
        <f ca="1">[1]!BexGetData("DP_1","003N8EMH8GTFRIVOG7KG9IQXA","GSON1112030242")</f>
        <v>#NAME?</v>
      </c>
      <c r="N165" s="28" t="e">
        <f ca="1">[1]!BexGetData("DP_1","003N8EMH8GTFRIVOG7KG9IX8U","GSON1112030242")</f>
        <v>#NAME?</v>
      </c>
      <c r="O165" s="28" t="e">
        <f ca="1">[1]!BexGetData("DP_1","003N8EMH8GTFRIVOG7KG9J3KE","GSON1112030242")</f>
        <v>#NAME?</v>
      </c>
      <c r="P165" s="28" t="e">
        <f ca="1">[1]!BexGetData("DP_1","003N8EMH8GTFRIVOG7KG9J9VY","GSON1112030242")</f>
        <v>#NAME?</v>
      </c>
      <c r="Q165" s="24" t="e">
        <f ca="1">[1]!BexGetData("DP_1","00O2TNJGODT0G5Z4TTKYMM5MT","GSON1112030242")</f>
        <v>#NAME?</v>
      </c>
      <c r="R165" s="28" t="e">
        <f ca="1">[1]!BexGetData("DP_1","00O2TNJGODT0G5Z4TTKYMMBYD","GSON1112030242")</f>
        <v>#NAME?</v>
      </c>
      <c r="S165" s="28" t="e">
        <f ca="1">[1]!BexGetData("DP_1","00O2TNJGODT0G5Z4TTKYMMI9X","GSON1112030242")</f>
        <v>#NAME?</v>
      </c>
      <c r="T165" s="28" t="e">
        <f ca="1">[1]!BexGetData("DP_1","00O2TNJGODT0G5Z4TTKYMMOLH","GSON1112030242")</f>
        <v>#NAME?</v>
      </c>
      <c r="U165" s="28" t="e">
        <f ca="1">[1]!BexGetData("DP_1","00O2TNJGODT0G5Z4TTKYMMUX1","GSON1112030242")</f>
        <v>#NAME?</v>
      </c>
      <c r="V165" s="28" t="e">
        <f ca="1">[1]!BexGetData("DP_1","00O2TNJGODT0G5Z4TTKYMN18L","GSON1112030242")</f>
        <v>#NAME?</v>
      </c>
      <c r="W165" s="28" t="e">
        <f ca="1">[1]!BexGetData("DP_1","00O2TNJGODT0G5Z4TTKYMN7K5","GSON1112030242")</f>
        <v>#NAME?</v>
      </c>
    </row>
    <row r="166" spans="1:23" x14ac:dyDescent="0.2">
      <c r="A166" s="36" t="s">
        <v>2003</v>
      </c>
      <c r="B166" s="27" t="s">
        <v>2004</v>
      </c>
      <c r="C166" s="24" t="e">
        <f ca="1">[1]!BexGetData("DP_1","003N8EMH8GTFRCSWKMPXRR8GU","GSON1112030243")</f>
        <v>#NAME?</v>
      </c>
      <c r="D166" s="24" t="e">
        <f ca="1">[1]!BexGetData("DP_1","003N8EMH8GTFRCSWKMPXRRESE","GSON1112030243")</f>
        <v>#NAME?</v>
      </c>
      <c r="E166" s="24" t="e">
        <f ca="1">[1]!BexGetData("DP_1","003N8EMH8GTFRCSWKMPXRRL3Y","GSON1112030243")</f>
        <v>#NAME?</v>
      </c>
      <c r="F166" s="28" t="e">
        <f ca="1">[1]!BexGetData("DP_1","003N8EMH8GTFRCSWKMPXRRRFI","GSON1112030243")</f>
        <v>#NAME?</v>
      </c>
      <c r="G166" s="23" t="e">
        <f ca="1">[1]!BexGetData("DP_1","003N8EMH8GTFRCSWKMPXRRXR2","GSON1112030243")</f>
        <v>#NAME?</v>
      </c>
      <c r="H166" s="23" t="e">
        <f ca="1">[1]!BexGetData("DP_1","003N8EMH8GTFRCSWKMPXRS42M","GSON1112030243")</f>
        <v>#NAME?</v>
      </c>
      <c r="I166" s="28" t="e">
        <f ca="1">[1]!BexGetData("DP_1","003N8EMH8GTFRCSWKMPXRSAE6","GSON1112030243")</f>
        <v>#NAME?</v>
      </c>
      <c r="J166" s="23" t="e">
        <f ca="1">[1]!BexGetData("DP_1","003N8EMH8GTFRCSWKMPXRSGPQ","GSON1112030243")</f>
        <v>#NAME?</v>
      </c>
      <c r="K166" s="28" t="e">
        <f ca="1">[1]!BexGetData("DP_1","003N8EMH8GTFRIVNUPY288VJH","GSON1112030243")</f>
        <v>#NAME?</v>
      </c>
      <c r="L166" s="28" t="e">
        <f ca="1">[1]!BexGetData("DP_1","003N8EMH8GTFRIVNUPY2891V1","GSON1112030243")</f>
        <v>#NAME?</v>
      </c>
      <c r="M166" s="28" t="e">
        <f ca="1">[1]!BexGetData("DP_1","003N8EMH8GTFRIVOG7KG9IQXA","GSON1112030243")</f>
        <v>#NAME?</v>
      </c>
      <c r="N166" s="28" t="e">
        <f ca="1">[1]!BexGetData("DP_1","003N8EMH8GTFRIVOG7KG9IX8U","GSON1112030243")</f>
        <v>#NAME?</v>
      </c>
      <c r="O166" s="28" t="e">
        <f ca="1">[1]!BexGetData("DP_1","003N8EMH8GTFRIVOG7KG9J3KE","GSON1112030243")</f>
        <v>#NAME?</v>
      </c>
      <c r="P166" s="28" t="e">
        <f ca="1">[1]!BexGetData("DP_1","003N8EMH8GTFRIVOG7KG9J9VY","GSON1112030243")</f>
        <v>#NAME?</v>
      </c>
      <c r="Q166" s="23" t="e">
        <f ca="1">[1]!BexGetData("DP_1","00O2TNJGODT0G5Z4TTKYMM5MT","GSON1112030243")</f>
        <v>#NAME?</v>
      </c>
      <c r="R166" s="23" t="e">
        <f ca="1">[1]!BexGetData("DP_1","00O2TNJGODT0G5Z4TTKYMMBYD","GSON1112030243")</f>
        <v>#NAME?</v>
      </c>
      <c r="S166" s="23" t="e">
        <f ca="1">[1]!BexGetData("DP_1","00O2TNJGODT0G5Z4TTKYMMI9X","GSON1112030243")</f>
        <v>#NAME?</v>
      </c>
      <c r="T166" s="28" t="e">
        <f ca="1">[1]!BexGetData("DP_1","00O2TNJGODT0G5Z4TTKYMMOLH","GSON1112030243")</f>
        <v>#NAME?</v>
      </c>
      <c r="U166" s="23" t="e">
        <f ca="1">[1]!BexGetData("DP_1","00O2TNJGODT0G5Z4TTKYMMUX1","GSON1112030243")</f>
        <v>#NAME?</v>
      </c>
      <c r="V166" s="28" t="e">
        <f ca="1">[1]!BexGetData("DP_1","00O2TNJGODT0G5Z4TTKYMN18L","GSON1112030243")</f>
        <v>#NAME?</v>
      </c>
      <c r="W166" s="23" t="e">
        <f ca="1">[1]!BexGetData("DP_1","00O2TNJGODT0G5Z4TTKYMN7K5","GSON1112030243")</f>
        <v>#NAME?</v>
      </c>
    </row>
    <row r="167" spans="1:23" x14ac:dyDescent="0.2">
      <c r="A167" s="36" t="s">
        <v>2005</v>
      </c>
      <c r="B167" s="27" t="s">
        <v>2006</v>
      </c>
      <c r="C167" s="24" t="e">
        <f ca="1">[1]!BexGetData("DP_1","003N8EMH8GTFRCSWKMPXRR8GU","GSON1112030244")</f>
        <v>#NAME?</v>
      </c>
      <c r="D167" s="24" t="e">
        <f ca="1">[1]!BexGetData("DP_1","003N8EMH8GTFRCSWKMPXRRESE","GSON1112030244")</f>
        <v>#NAME?</v>
      </c>
      <c r="E167" s="24" t="e">
        <f ca="1">[1]!BexGetData("DP_1","003N8EMH8GTFRCSWKMPXRRL3Y","GSON1112030244")</f>
        <v>#NAME?</v>
      </c>
      <c r="F167" s="28" t="e">
        <f ca="1">[1]!BexGetData("DP_1","003N8EMH8GTFRCSWKMPXRRRFI","GSON1112030244")</f>
        <v>#NAME?</v>
      </c>
      <c r="G167" s="23" t="e">
        <f ca="1">[1]!BexGetData("DP_1","003N8EMH8GTFRCSWKMPXRRXR2","GSON1112030244")</f>
        <v>#NAME?</v>
      </c>
      <c r="H167" s="23" t="e">
        <f ca="1">[1]!BexGetData("DP_1","003N8EMH8GTFRCSWKMPXRS42M","GSON1112030244")</f>
        <v>#NAME?</v>
      </c>
      <c r="I167" s="28" t="e">
        <f ca="1">[1]!BexGetData("DP_1","003N8EMH8GTFRCSWKMPXRSAE6","GSON1112030244")</f>
        <v>#NAME?</v>
      </c>
      <c r="J167" s="24" t="e">
        <f ca="1">[1]!BexGetData("DP_1","003N8EMH8GTFRCSWKMPXRSGPQ","GSON1112030244")</f>
        <v>#NAME?</v>
      </c>
      <c r="K167" s="28" t="e">
        <f ca="1">[1]!BexGetData("DP_1","003N8EMH8GTFRIVNUPY288VJH","GSON1112030244")</f>
        <v>#NAME?</v>
      </c>
      <c r="L167" s="28" t="e">
        <f ca="1">[1]!BexGetData("DP_1","003N8EMH8GTFRIVNUPY2891V1","GSON1112030244")</f>
        <v>#NAME?</v>
      </c>
      <c r="M167" s="28" t="e">
        <f ca="1">[1]!BexGetData("DP_1","003N8EMH8GTFRIVOG7KG9IQXA","GSON1112030244")</f>
        <v>#NAME?</v>
      </c>
      <c r="N167" s="28" t="e">
        <f ca="1">[1]!BexGetData("DP_1","003N8EMH8GTFRIVOG7KG9IX8U","GSON1112030244")</f>
        <v>#NAME?</v>
      </c>
      <c r="O167" s="28" t="e">
        <f ca="1">[1]!BexGetData("DP_1","003N8EMH8GTFRIVOG7KG9J3KE","GSON1112030244")</f>
        <v>#NAME?</v>
      </c>
      <c r="P167" s="28" t="e">
        <f ca="1">[1]!BexGetData("DP_1","003N8EMH8GTFRIVOG7KG9J9VY","GSON1112030244")</f>
        <v>#NAME?</v>
      </c>
      <c r="Q167" s="24" t="e">
        <f ca="1">[1]!BexGetData("DP_1","00O2TNJGODT0G5Z4TTKYMM5MT","GSON1112030244")</f>
        <v>#NAME?</v>
      </c>
      <c r="R167" s="28" t="e">
        <f ca="1">[1]!BexGetData("DP_1","00O2TNJGODT0G5Z4TTKYMMBYD","GSON1112030244")</f>
        <v>#NAME?</v>
      </c>
      <c r="S167" s="28" t="e">
        <f ca="1">[1]!BexGetData("DP_1","00O2TNJGODT0G5Z4TTKYMMI9X","GSON1112030244")</f>
        <v>#NAME?</v>
      </c>
      <c r="T167" s="28" t="e">
        <f ca="1">[1]!BexGetData("DP_1","00O2TNJGODT0G5Z4TTKYMMOLH","GSON1112030244")</f>
        <v>#NAME?</v>
      </c>
      <c r="U167" s="28" t="e">
        <f ca="1">[1]!BexGetData("DP_1","00O2TNJGODT0G5Z4TTKYMMUX1","GSON1112030244")</f>
        <v>#NAME?</v>
      </c>
      <c r="V167" s="28" t="e">
        <f ca="1">[1]!BexGetData("DP_1","00O2TNJGODT0G5Z4TTKYMN18L","GSON1112030244")</f>
        <v>#NAME?</v>
      </c>
      <c r="W167" s="28" t="e">
        <f ca="1">[1]!BexGetData("DP_1","00O2TNJGODT0G5Z4TTKYMN7K5","GSON1112030244")</f>
        <v>#NAME?</v>
      </c>
    </row>
    <row r="168" spans="1:23" x14ac:dyDescent="0.2">
      <c r="A168" s="36" t="s">
        <v>2007</v>
      </c>
      <c r="B168" s="27" t="s">
        <v>2008</v>
      </c>
      <c r="C168" s="23" t="e">
        <f ca="1">[1]!BexGetData("DP_1","003N8EMH8GTFRCSWKMPXRR8GU","GSON1112030245")</f>
        <v>#NAME?</v>
      </c>
      <c r="D168" s="23" t="e">
        <f ca="1">[1]!BexGetData("DP_1","003N8EMH8GTFRCSWKMPXRRESE","GSON1112030245")</f>
        <v>#NAME?</v>
      </c>
      <c r="E168" s="28" t="e">
        <f ca="1">[1]!BexGetData("DP_1","003N8EMH8GTFRCSWKMPXRRL3Y","GSON1112030245")</f>
        <v>#NAME?</v>
      </c>
      <c r="F168" s="28" t="e">
        <f ca="1">[1]!BexGetData("DP_1","003N8EMH8GTFRCSWKMPXRRRFI","GSON1112030245")</f>
        <v>#NAME?</v>
      </c>
      <c r="G168" s="23" t="e">
        <f ca="1">[1]!BexGetData("DP_1","003N8EMH8GTFRCSWKMPXRRXR2","GSON1112030245")</f>
        <v>#NAME?</v>
      </c>
      <c r="H168" s="23" t="e">
        <f ca="1">[1]!BexGetData("DP_1","003N8EMH8GTFRCSWKMPXRS42M","GSON1112030245")</f>
        <v>#NAME?</v>
      </c>
      <c r="I168" s="28" t="e">
        <f ca="1">[1]!BexGetData("DP_1","003N8EMH8GTFRCSWKMPXRSAE6","GSON1112030245")</f>
        <v>#NAME?</v>
      </c>
      <c r="J168" s="24" t="e">
        <f ca="1">[1]!BexGetData("DP_1","003N8EMH8GTFRCSWKMPXRSGPQ","GSON1112030245")</f>
        <v>#NAME?</v>
      </c>
      <c r="K168" s="28" t="e">
        <f ca="1">[1]!BexGetData("DP_1","003N8EMH8GTFRIVNUPY288VJH","GSON1112030245")</f>
        <v>#NAME?</v>
      </c>
      <c r="L168" s="28" t="e">
        <f ca="1">[1]!BexGetData("DP_1","003N8EMH8GTFRIVNUPY2891V1","GSON1112030245")</f>
        <v>#NAME?</v>
      </c>
      <c r="M168" s="28" t="e">
        <f ca="1">[1]!BexGetData("DP_1","003N8EMH8GTFRIVOG7KG9IQXA","GSON1112030245")</f>
        <v>#NAME?</v>
      </c>
      <c r="N168" s="28" t="e">
        <f ca="1">[1]!BexGetData("DP_1","003N8EMH8GTFRIVOG7KG9IX8U","GSON1112030245")</f>
        <v>#NAME?</v>
      </c>
      <c r="O168" s="28" t="e">
        <f ca="1">[1]!BexGetData("DP_1","003N8EMH8GTFRIVOG7KG9J3KE","GSON1112030245")</f>
        <v>#NAME?</v>
      </c>
      <c r="P168" s="28" t="e">
        <f ca="1">[1]!BexGetData("DP_1","003N8EMH8GTFRIVOG7KG9J9VY","GSON1112030245")</f>
        <v>#NAME?</v>
      </c>
      <c r="Q168" s="24" t="e">
        <f ca="1">[1]!BexGetData("DP_1","00O2TNJGODT0G5Z4TTKYMM5MT","GSON1112030245")</f>
        <v>#NAME?</v>
      </c>
      <c r="R168" s="28" t="e">
        <f ca="1">[1]!BexGetData("DP_1","00O2TNJGODT0G5Z4TTKYMMBYD","GSON1112030245")</f>
        <v>#NAME?</v>
      </c>
      <c r="S168" s="28" t="e">
        <f ca="1">[1]!BexGetData("DP_1","00O2TNJGODT0G5Z4TTKYMMI9X","GSON1112030245")</f>
        <v>#NAME?</v>
      </c>
      <c r="T168" s="28" t="e">
        <f ca="1">[1]!BexGetData("DP_1","00O2TNJGODT0G5Z4TTKYMMOLH","GSON1112030245")</f>
        <v>#NAME?</v>
      </c>
      <c r="U168" s="28" t="e">
        <f ca="1">[1]!BexGetData("DP_1","00O2TNJGODT0G5Z4TTKYMMUX1","GSON1112030245")</f>
        <v>#NAME?</v>
      </c>
      <c r="V168" s="28" t="e">
        <f ca="1">[1]!BexGetData("DP_1","00O2TNJGODT0G5Z4TTKYMN18L","GSON1112030245")</f>
        <v>#NAME?</v>
      </c>
      <c r="W168" s="28" t="e">
        <f ca="1">[1]!BexGetData("DP_1","00O2TNJGODT0G5Z4TTKYMN7K5","GSON1112030245")</f>
        <v>#NAME?</v>
      </c>
    </row>
    <row r="169" spans="1:23" x14ac:dyDescent="0.2">
      <c r="A169" s="36" t="s">
        <v>2009</v>
      </c>
      <c r="B169" s="27" t="s">
        <v>780</v>
      </c>
      <c r="C169" s="23" t="e">
        <f ca="1">[1]!BexGetData("DP_1","003N8EMH8GTFRCSWKMPXRR8GU","GSON1112030250")</f>
        <v>#NAME?</v>
      </c>
      <c r="D169" s="28" t="e">
        <f ca="1">[1]!BexGetData("DP_1","003N8EMH8GTFRCSWKMPXRRESE","GSON1112030250")</f>
        <v>#NAME?</v>
      </c>
      <c r="E169" s="23" t="e">
        <f ca="1">[1]!BexGetData("DP_1","003N8EMH8GTFRCSWKMPXRRL3Y","GSON1112030250")</f>
        <v>#NAME?</v>
      </c>
      <c r="F169" s="23" t="e">
        <f ca="1">[1]!BexGetData("DP_1","003N8EMH8GTFRCSWKMPXRRRFI","GSON1112030250")</f>
        <v>#NAME?</v>
      </c>
      <c r="G169" s="23" t="e">
        <f ca="1">[1]!BexGetData("DP_1","003N8EMH8GTFRCSWKMPXRRXR2","GSON1112030250")</f>
        <v>#NAME?</v>
      </c>
      <c r="H169" s="28" t="e">
        <f ca="1">[1]!BexGetData("DP_1","003N8EMH8GTFRCSWKMPXRS42M","GSON1112030250")</f>
        <v>#NAME?</v>
      </c>
      <c r="I169" s="23" t="e">
        <f ca="1">[1]!BexGetData("DP_1","003N8EMH8GTFRCSWKMPXRSAE6","GSON1112030250")</f>
        <v>#NAME?</v>
      </c>
      <c r="J169" s="23" t="e">
        <f ca="1">[1]!BexGetData("DP_1","003N8EMH8GTFRCSWKMPXRSGPQ","GSON1112030250")</f>
        <v>#NAME?</v>
      </c>
      <c r="K169" s="23" t="e">
        <f ca="1">[1]!BexGetData("DP_1","003N8EMH8GTFRIVNUPY288VJH","GSON1112030250")</f>
        <v>#NAME?</v>
      </c>
      <c r="L169" s="23" t="e">
        <f ca="1">[1]!BexGetData("DP_1","003N8EMH8GTFRIVNUPY2891V1","GSON1112030250")</f>
        <v>#NAME?</v>
      </c>
      <c r="M169" s="28" t="e">
        <f ca="1">[1]!BexGetData("DP_1","003N8EMH8GTFRIVOG7KG9IQXA","GSON1112030250")</f>
        <v>#NAME?</v>
      </c>
      <c r="N169" s="23" t="e">
        <f ca="1">[1]!BexGetData("DP_1","003N8EMH8GTFRIVOG7KG9IX8U","GSON1112030250")</f>
        <v>#NAME?</v>
      </c>
      <c r="O169" s="28" t="e">
        <f ca="1">[1]!BexGetData("DP_1","003N8EMH8GTFRIVOG7KG9J3KE","GSON1112030250")</f>
        <v>#NAME?</v>
      </c>
      <c r="P169" s="23" t="e">
        <f ca="1">[1]!BexGetData("DP_1","003N8EMH8GTFRIVOG7KG9J9VY","GSON1112030250")</f>
        <v>#NAME?</v>
      </c>
      <c r="Q169" s="23" t="e">
        <f ca="1">[1]!BexGetData("DP_1","00O2TNJGODT0G5Z4TTKYMM5MT","GSON1112030250")</f>
        <v>#NAME?</v>
      </c>
      <c r="R169" s="23" t="e">
        <f ca="1">[1]!BexGetData("DP_1","00O2TNJGODT0G5Z4TTKYMMBYD","GSON1112030250")</f>
        <v>#NAME?</v>
      </c>
      <c r="S169" s="23" t="e">
        <f ca="1">[1]!BexGetData("DP_1","00O2TNJGODT0G5Z4TTKYMMI9X","GSON1112030250")</f>
        <v>#NAME?</v>
      </c>
      <c r="T169" s="28" t="e">
        <f ca="1">[1]!BexGetData("DP_1","00O2TNJGODT0G5Z4TTKYMMOLH","GSON1112030250")</f>
        <v>#NAME?</v>
      </c>
      <c r="U169" s="23" t="e">
        <f ca="1">[1]!BexGetData("DP_1","00O2TNJGODT0G5Z4TTKYMMUX1","GSON1112030250")</f>
        <v>#NAME?</v>
      </c>
      <c r="V169" s="28" t="e">
        <f ca="1">[1]!BexGetData("DP_1","00O2TNJGODT0G5Z4TTKYMN18L","GSON1112030250")</f>
        <v>#NAME?</v>
      </c>
      <c r="W169" s="23" t="e">
        <f ca="1">[1]!BexGetData("DP_1","00O2TNJGODT0G5Z4TTKYMN7K5","GSON1112030250")</f>
        <v>#NAME?</v>
      </c>
    </row>
    <row r="170" spans="1:23" x14ac:dyDescent="0.2">
      <c r="A170" s="36" t="s">
        <v>2010</v>
      </c>
      <c r="B170" s="27" t="s">
        <v>647</v>
      </c>
      <c r="C170" s="24" t="e">
        <f ca="1">[1]!BexGetData("DP_1","003N8EMH8GTFRCSWKMPXRR8GU","GSON1112030251")</f>
        <v>#NAME?</v>
      </c>
      <c r="D170" s="24" t="e">
        <f ca="1">[1]!BexGetData("DP_1","003N8EMH8GTFRCSWKMPXRRESE","GSON1112030251")</f>
        <v>#NAME?</v>
      </c>
      <c r="E170" s="24" t="e">
        <f ca="1">[1]!BexGetData("DP_1","003N8EMH8GTFRCSWKMPXRRL3Y","GSON1112030251")</f>
        <v>#NAME?</v>
      </c>
      <c r="F170" s="28" t="e">
        <f ca="1">[1]!BexGetData("DP_1","003N8EMH8GTFRCSWKMPXRRRFI","GSON1112030251")</f>
        <v>#NAME?</v>
      </c>
      <c r="G170" s="23" t="e">
        <f ca="1">[1]!BexGetData("DP_1","003N8EMH8GTFRCSWKMPXRRXR2","GSON1112030251")</f>
        <v>#NAME?</v>
      </c>
      <c r="H170" s="23" t="e">
        <f ca="1">[1]!BexGetData("DP_1","003N8EMH8GTFRCSWKMPXRS42M","GSON1112030251")</f>
        <v>#NAME?</v>
      </c>
      <c r="I170" s="28" t="e">
        <f ca="1">[1]!BexGetData("DP_1","003N8EMH8GTFRCSWKMPXRSAE6","GSON1112030251")</f>
        <v>#NAME?</v>
      </c>
      <c r="J170" s="24" t="e">
        <f ca="1">[1]!BexGetData("DP_1","003N8EMH8GTFRCSWKMPXRSGPQ","GSON1112030251")</f>
        <v>#NAME?</v>
      </c>
      <c r="K170" s="28" t="e">
        <f ca="1">[1]!BexGetData("DP_1","003N8EMH8GTFRIVNUPY288VJH","GSON1112030251")</f>
        <v>#NAME?</v>
      </c>
      <c r="L170" s="28" t="e">
        <f ca="1">[1]!BexGetData("DP_1","003N8EMH8GTFRIVNUPY2891V1","GSON1112030251")</f>
        <v>#NAME?</v>
      </c>
      <c r="M170" s="28" t="e">
        <f ca="1">[1]!BexGetData("DP_1","003N8EMH8GTFRIVOG7KG9IQXA","GSON1112030251")</f>
        <v>#NAME?</v>
      </c>
      <c r="N170" s="28" t="e">
        <f ca="1">[1]!BexGetData("DP_1","003N8EMH8GTFRIVOG7KG9IX8U","GSON1112030251")</f>
        <v>#NAME?</v>
      </c>
      <c r="O170" s="28" t="e">
        <f ca="1">[1]!BexGetData("DP_1","003N8EMH8GTFRIVOG7KG9J3KE","GSON1112030251")</f>
        <v>#NAME?</v>
      </c>
      <c r="P170" s="28" t="e">
        <f ca="1">[1]!BexGetData("DP_1","003N8EMH8GTFRIVOG7KG9J9VY","GSON1112030251")</f>
        <v>#NAME?</v>
      </c>
      <c r="Q170" s="24" t="e">
        <f ca="1">[1]!BexGetData("DP_1","00O2TNJGODT0G5Z4TTKYMM5MT","GSON1112030251")</f>
        <v>#NAME?</v>
      </c>
      <c r="R170" s="28" t="e">
        <f ca="1">[1]!BexGetData("DP_1","00O2TNJGODT0G5Z4TTKYMMBYD","GSON1112030251")</f>
        <v>#NAME?</v>
      </c>
      <c r="S170" s="28" t="e">
        <f ca="1">[1]!BexGetData("DP_1","00O2TNJGODT0G5Z4TTKYMMI9X","GSON1112030251")</f>
        <v>#NAME?</v>
      </c>
      <c r="T170" s="28" t="e">
        <f ca="1">[1]!BexGetData("DP_1","00O2TNJGODT0G5Z4TTKYMMOLH","GSON1112030251")</f>
        <v>#NAME?</v>
      </c>
      <c r="U170" s="28" t="e">
        <f ca="1">[1]!BexGetData("DP_1","00O2TNJGODT0G5Z4TTKYMMUX1","GSON1112030251")</f>
        <v>#NAME?</v>
      </c>
      <c r="V170" s="28" t="e">
        <f ca="1">[1]!BexGetData("DP_1","00O2TNJGODT0G5Z4TTKYMN18L","GSON1112030251")</f>
        <v>#NAME?</v>
      </c>
      <c r="W170" s="28" t="e">
        <f ca="1">[1]!BexGetData("DP_1","00O2TNJGODT0G5Z4TTKYMN7K5","GSON1112030251")</f>
        <v>#NAME?</v>
      </c>
    </row>
    <row r="171" spans="1:23" x14ac:dyDescent="0.2">
      <c r="A171" s="36" t="s">
        <v>2011</v>
      </c>
      <c r="B171" s="27" t="s">
        <v>2012</v>
      </c>
      <c r="C171" s="24" t="e">
        <f ca="1">[1]!BexGetData("DP_1","003N8EMH8GTFRCSWKMPXRR8GU","GSON1112030254")</f>
        <v>#NAME?</v>
      </c>
      <c r="D171" s="24" t="e">
        <f ca="1">[1]!BexGetData("DP_1","003N8EMH8GTFRCSWKMPXRRESE","GSON1112030254")</f>
        <v>#NAME?</v>
      </c>
      <c r="E171" s="24" t="e">
        <f ca="1">[1]!BexGetData("DP_1","003N8EMH8GTFRCSWKMPXRRL3Y","GSON1112030254")</f>
        <v>#NAME?</v>
      </c>
      <c r="F171" s="28" t="e">
        <f ca="1">[1]!BexGetData("DP_1","003N8EMH8GTFRCSWKMPXRRRFI","GSON1112030254")</f>
        <v>#NAME?</v>
      </c>
      <c r="G171" s="23" t="e">
        <f ca="1">[1]!BexGetData("DP_1","003N8EMH8GTFRCSWKMPXRRXR2","GSON1112030254")</f>
        <v>#NAME?</v>
      </c>
      <c r="H171" s="23" t="e">
        <f ca="1">[1]!BexGetData("DP_1","003N8EMH8GTFRCSWKMPXRS42M","GSON1112030254")</f>
        <v>#NAME?</v>
      </c>
      <c r="I171" s="28" t="e">
        <f ca="1">[1]!BexGetData("DP_1","003N8EMH8GTFRCSWKMPXRSAE6","GSON1112030254")</f>
        <v>#NAME?</v>
      </c>
      <c r="J171" s="24" t="e">
        <f ca="1">[1]!BexGetData("DP_1","003N8EMH8GTFRCSWKMPXRSGPQ","GSON1112030254")</f>
        <v>#NAME?</v>
      </c>
      <c r="K171" s="28" t="e">
        <f ca="1">[1]!BexGetData("DP_1","003N8EMH8GTFRIVNUPY288VJH","GSON1112030254")</f>
        <v>#NAME?</v>
      </c>
      <c r="L171" s="28" t="e">
        <f ca="1">[1]!BexGetData("DP_1","003N8EMH8GTFRIVNUPY2891V1","GSON1112030254")</f>
        <v>#NAME?</v>
      </c>
      <c r="M171" s="28" t="e">
        <f ca="1">[1]!BexGetData("DP_1","003N8EMH8GTFRIVOG7KG9IQXA","GSON1112030254")</f>
        <v>#NAME?</v>
      </c>
      <c r="N171" s="28" t="e">
        <f ca="1">[1]!BexGetData("DP_1","003N8EMH8GTFRIVOG7KG9IX8U","GSON1112030254")</f>
        <v>#NAME?</v>
      </c>
      <c r="O171" s="28" t="e">
        <f ca="1">[1]!BexGetData("DP_1","003N8EMH8GTFRIVOG7KG9J3KE","GSON1112030254")</f>
        <v>#NAME?</v>
      </c>
      <c r="P171" s="28" t="e">
        <f ca="1">[1]!BexGetData("DP_1","003N8EMH8GTFRIVOG7KG9J9VY","GSON1112030254")</f>
        <v>#NAME?</v>
      </c>
      <c r="Q171" s="24" t="e">
        <f ca="1">[1]!BexGetData("DP_1","00O2TNJGODT0G5Z4TTKYMM5MT","GSON1112030254")</f>
        <v>#NAME?</v>
      </c>
      <c r="R171" s="28" t="e">
        <f ca="1">[1]!BexGetData("DP_1","00O2TNJGODT0G5Z4TTKYMMBYD","GSON1112030254")</f>
        <v>#NAME?</v>
      </c>
      <c r="S171" s="28" t="e">
        <f ca="1">[1]!BexGetData("DP_1","00O2TNJGODT0G5Z4TTKYMMI9X","GSON1112030254")</f>
        <v>#NAME?</v>
      </c>
      <c r="T171" s="28" t="e">
        <f ca="1">[1]!BexGetData("DP_1","00O2TNJGODT0G5Z4TTKYMMOLH","GSON1112030254")</f>
        <v>#NAME?</v>
      </c>
      <c r="U171" s="28" t="e">
        <f ca="1">[1]!BexGetData("DP_1","00O2TNJGODT0G5Z4TTKYMMUX1","GSON1112030254")</f>
        <v>#NAME?</v>
      </c>
      <c r="V171" s="28" t="e">
        <f ca="1">[1]!BexGetData("DP_1","00O2TNJGODT0G5Z4TTKYMN18L","GSON1112030254")</f>
        <v>#NAME?</v>
      </c>
      <c r="W171" s="28" t="e">
        <f ca="1">[1]!BexGetData("DP_1","00O2TNJGODT0G5Z4TTKYMN7K5","GSON1112030254")</f>
        <v>#NAME?</v>
      </c>
    </row>
    <row r="172" spans="1:23" x14ac:dyDescent="0.2">
      <c r="A172" s="36" t="s">
        <v>2013</v>
      </c>
      <c r="B172" s="27" t="s">
        <v>2014</v>
      </c>
      <c r="C172" s="23" t="e">
        <f ca="1">[1]!BexGetData("DP_1","003N8EMH8GTFRCSWKMPXRR8GU","GSON1112030255")</f>
        <v>#NAME?</v>
      </c>
      <c r="D172" s="23" t="e">
        <f ca="1">[1]!BexGetData("DP_1","003N8EMH8GTFRCSWKMPXRRESE","GSON1112030255")</f>
        <v>#NAME?</v>
      </c>
      <c r="E172" s="28" t="e">
        <f ca="1">[1]!BexGetData("DP_1","003N8EMH8GTFRCSWKMPXRRL3Y","GSON1112030255")</f>
        <v>#NAME?</v>
      </c>
      <c r="F172" s="28" t="e">
        <f ca="1">[1]!BexGetData("DP_1","003N8EMH8GTFRCSWKMPXRRRFI","GSON1112030255")</f>
        <v>#NAME?</v>
      </c>
      <c r="G172" s="23" t="e">
        <f ca="1">[1]!BexGetData("DP_1","003N8EMH8GTFRCSWKMPXRRXR2","GSON1112030255")</f>
        <v>#NAME?</v>
      </c>
      <c r="H172" s="23" t="e">
        <f ca="1">[1]!BexGetData("DP_1","003N8EMH8GTFRCSWKMPXRS42M","GSON1112030255")</f>
        <v>#NAME?</v>
      </c>
      <c r="I172" s="28" t="e">
        <f ca="1">[1]!BexGetData("DP_1","003N8EMH8GTFRCSWKMPXRSAE6","GSON1112030255")</f>
        <v>#NAME?</v>
      </c>
      <c r="J172" s="24" t="e">
        <f ca="1">[1]!BexGetData("DP_1","003N8EMH8GTFRCSWKMPXRSGPQ","GSON1112030255")</f>
        <v>#NAME?</v>
      </c>
      <c r="K172" s="28" t="e">
        <f ca="1">[1]!BexGetData("DP_1","003N8EMH8GTFRIVNUPY288VJH","GSON1112030255")</f>
        <v>#NAME?</v>
      </c>
      <c r="L172" s="28" t="e">
        <f ca="1">[1]!BexGetData("DP_1","003N8EMH8GTFRIVNUPY2891V1","GSON1112030255")</f>
        <v>#NAME?</v>
      </c>
      <c r="M172" s="28" t="e">
        <f ca="1">[1]!BexGetData("DP_1","003N8EMH8GTFRIVOG7KG9IQXA","GSON1112030255")</f>
        <v>#NAME?</v>
      </c>
      <c r="N172" s="28" t="e">
        <f ca="1">[1]!BexGetData("DP_1","003N8EMH8GTFRIVOG7KG9IX8U","GSON1112030255")</f>
        <v>#NAME?</v>
      </c>
      <c r="O172" s="28" t="e">
        <f ca="1">[1]!BexGetData("DP_1","003N8EMH8GTFRIVOG7KG9J3KE","GSON1112030255")</f>
        <v>#NAME?</v>
      </c>
      <c r="P172" s="28" t="e">
        <f ca="1">[1]!BexGetData("DP_1","003N8EMH8GTFRIVOG7KG9J9VY","GSON1112030255")</f>
        <v>#NAME?</v>
      </c>
      <c r="Q172" s="24" t="e">
        <f ca="1">[1]!BexGetData("DP_1","00O2TNJGODT0G5Z4TTKYMM5MT","GSON1112030255")</f>
        <v>#NAME?</v>
      </c>
      <c r="R172" s="28" t="e">
        <f ca="1">[1]!BexGetData("DP_1","00O2TNJGODT0G5Z4TTKYMMBYD","GSON1112030255")</f>
        <v>#NAME?</v>
      </c>
      <c r="S172" s="28" t="e">
        <f ca="1">[1]!BexGetData("DP_1","00O2TNJGODT0G5Z4TTKYMMI9X","GSON1112030255")</f>
        <v>#NAME?</v>
      </c>
      <c r="T172" s="28" t="e">
        <f ca="1">[1]!BexGetData("DP_1","00O2TNJGODT0G5Z4TTKYMMOLH","GSON1112030255")</f>
        <v>#NAME?</v>
      </c>
      <c r="U172" s="28" t="e">
        <f ca="1">[1]!BexGetData("DP_1","00O2TNJGODT0G5Z4TTKYMMUX1","GSON1112030255")</f>
        <v>#NAME?</v>
      </c>
      <c r="V172" s="28" t="e">
        <f ca="1">[1]!BexGetData("DP_1","00O2TNJGODT0G5Z4TTKYMN18L","GSON1112030255")</f>
        <v>#NAME?</v>
      </c>
      <c r="W172" s="28" t="e">
        <f ca="1">[1]!BexGetData("DP_1","00O2TNJGODT0G5Z4TTKYMN7K5","GSON1112030255")</f>
        <v>#NAME?</v>
      </c>
    </row>
    <row r="173" spans="1:23" x14ac:dyDescent="0.2">
      <c r="A173" s="36" t="s">
        <v>2015</v>
      </c>
      <c r="B173" s="27" t="s">
        <v>2016</v>
      </c>
      <c r="C173" s="28" t="e">
        <f ca="1">[1]!BexGetData("DP_1","003N8EMH8GTFRCSWKMPXRR8GU","GSON1112030260")</f>
        <v>#NAME?</v>
      </c>
      <c r="D173" s="28" t="e">
        <f ca="1">[1]!BexGetData("DP_1","003N8EMH8GTFRCSWKMPXRRESE","GSON1112030260")</f>
        <v>#NAME?</v>
      </c>
      <c r="E173" s="23" t="e">
        <f ca="1">[1]!BexGetData("DP_1","003N8EMH8GTFRCSWKMPXRRL3Y","GSON1112030260")</f>
        <v>#NAME?</v>
      </c>
      <c r="F173" s="23" t="e">
        <f ca="1">[1]!BexGetData("DP_1","003N8EMH8GTFRCSWKMPXRRRFI","GSON1112030260")</f>
        <v>#NAME?</v>
      </c>
      <c r="G173" s="28" t="e">
        <f ca="1">[1]!BexGetData("DP_1","003N8EMH8GTFRCSWKMPXRRXR2","GSON1112030260")</f>
        <v>#NAME?</v>
      </c>
      <c r="H173" s="28" t="e">
        <f ca="1">[1]!BexGetData("DP_1","003N8EMH8GTFRCSWKMPXRS42M","GSON1112030260")</f>
        <v>#NAME?</v>
      </c>
      <c r="I173" s="23" t="e">
        <f ca="1">[1]!BexGetData("DP_1","003N8EMH8GTFRCSWKMPXRSAE6","GSON1112030260")</f>
        <v>#NAME?</v>
      </c>
      <c r="J173" s="23" t="e">
        <f ca="1">[1]!BexGetData("DP_1","003N8EMH8GTFRCSWKMPXRSGPQ","GSON1112030260")</f>
        <v>#NAME?</v>
      </c>
      <c r="K173" s="28" t="e">
        <f ca="1">[1]!BexGetData("DP_1","003N8EMH8GTFRIVNUPY288VJH","GSON1112030260")</f>
        <v>#NAME?</v>
      </c>
      <c r="L173" s="28" t="e">
        <f ca="1">[1]!BexGetData("DP_1","003N8EMH8GTFRIVNUPY2891V1","GSON1112030260")</f>
        <v>#NAME?</v>
      </c>
      <c r="M173" s="28" t="e">
        <f ca="1">[1]!BexGetData("DP_1","003N8EMH8GTFRIVOG7KG9IQXA","GSON1112030260")</f>
        <v>#NAME?</v>
      </c>
      <c r="N173" s="28" t="e">
        <f ca="1">[1]!BexGetData("DP_1","003N8EMH8GTFRIVOG7KG9IX8U","GSON1112030260")</f>
        <v>#NAME?</v>
      </c>
      <c r="O173" s="28" t="e">
        <f ca="1">[1]!BexGetData("DP_1","003N8EMH8GTFRIVOG7KG9J3KE","GSON1112030260")</f>
        <v>#NAME?</v>
      </c>
      <c r="P173" s="28" t="e">
        <f ca="1">[1]!BexGetData("DP_1","003N8EMH8GTFRIVOG7KG9J9VY","GSON1112030260")</f>
        <v>#NAME?</v>
      </c>
      <c r="Q173" s="23" t="e">
        <f ca="1">[1]!BexGetData("DP_1","00O2TNJGODT0G5Z4TTKYMM5MT","GSON1112030260")</f>
        <v>#NAME?</v>
      </c>
      <c r="R173" s="28" t="e">
        <f ca="1">[1]!BexGetData("DP_1","00O2TNJGODT0G5Z4TTKYMMBYD","GSON1112030260")</f>
        <v>#NAME?</v>
      </c>
      <c r="S173" s="28" t="e">
        <f ca="1">[1]!BexGetData("DP_1","00O2TNJGODT0G5Z4TTKYMMI9X","GSON1112030260")</f>
        <v>#NAME?</v>
      </c>
      <c r="T173" s="28" t="e">
        <f ca="1">[1]!BexGetData("DP_1","00O2TNJGODT0G5Z4TTKYMMOLH","GSON1112030260")</f>
        <v>#NAME?</v>
      </c>
      <c r="U173" s="28" t="e">
        <f ca="1">[1]!BexGetData("DP_1","00O2TNJGODT0G5Z4TTKYMMUX1","GSON1112030260")</f>
        <v>#NAME?</v>
      </c>
      <c r="V173" s="28" t="e">
        <f ca="1">[1]!BexGetData("DP_1","00O2TNJGODT0G5Z4TTKYMN18L","GSON1112030260")</f>
        <v>#NAME?</v>
      </c>
      <c r="W173" s="28" t="e">
        <f ca="1">[1]!BexGetData("DP_1","00O2TNJGODT0G5Z4TTKYMN7K5","GSON1112030260")</f>
        <v>#NAME?</v>
      </c>
    </row>
    <row r="174" spans="1:23" x14ac:dyDescent="0.2">
      <c r="A174" s="36" t="s">
        <v>2017</v>
      </c>
      <c r="B174" s="27" t="s">
        <v>1651</v>
      </c>
      <c r="C174" s="28" t="e">
        <f ca="1">[1]!BexGetData("DP_1","003N8EMH8GTFRCSWKMPXRR8GU","GSON1112030270")</f>
        <v>#NAME?</v>
      </c>
      <c r="D174" s="28" t="e">
        <f ca="1">[1]!BexGetData("DP_1","003N8EMH8GTFRCSWKMPXRRESE","GSON1112030270")</f>
        <v>#NAME?</v>
      </c>
      <c r="E174" s="23" t="e">
        <f ca="1">[1]!BexGetData("DP_1","003N8EMH8GTFRCSWKMPXRRL3Y","GSON1112030270")</f>
        <v>#NAME?</v>
      </c>
      <c r="F174" s="23" t="e">
        <f ca="1">[1]!BexGetData("DP_1","003N8EMH8GTFRCSWKMPXRRRFI","GSON1112030270")</f>
        <v>#NAME?</v>
      </c>
      <c r="G174" s="28" t="e">
        <f ca="1">[1]!BexGetData("DP_1","003N8EMH8GTFRCSWKMPXRRXR2","GSON1112030270")</f>
        <v>#NAME?</v>
      </c>
      <c r="H174" s="28" t="e">
        <f ca="1">[1]!BexGetData("DP_1","003N8EMH8GTFRCSWKMPXRS42M","GSON1112030270")</f>
        <v>#NAME?</v>
      </c>
      <c r="I174" s="23" t="e">
        <f ca="1">[1]!BexGetData("DP_1","003N8EMH8GTFRCSWKMPXRSAE6","GSON1112030270")</f>
        <v>#NAME?</v>
      </c>
      <c r="J174" s="23" t="e">
        <f ca="1">[1]!BexGetData("DP_1","003N8EMH8GTFRCSWKMPXRSGPQ","GSON1112030270")</f>
        <v>#NAME?</v>
      </c>
      <c r="K174" s="28" t="e">
        <f ca="1">[1]!BexGetData("DP_1","003N8EMH8GTFRIVNUPY288VJH","GSON1112030270")</f>
        <v>#NAME?</v>
      </c>
      <c r="L174" s="28" t="e">
        <f ca="1">[1]!BexGetData("DP_1","003N8EMH8GTFRIVNUPY2891V1","GSON1112030270")</f>
        <v>#NAME?</v>
      </c>
      <c r="M174" s="28" t="e">
        <f ca="1">[1]!BexGetData("DP_1","003N8EMH8GTFRIVOG7KG9IQXA","GSON1112030270")</f>
        <v>#NAME?</v>
      </c>
      <c r="N174" s="28" t="e">
        <f ca="1">[1]!BexGetData("DP_1","003N8EMH8GTFRIVOG7KG9IX8U","GSON1112030270")</f>
        <v>#NAME?</v>
      </c>
      <c r="O174" s="28" t="e">
        <f ca="1">[1]!BexGetData("DP_1","003N8EMH8GTFRIVOG7KG9J3KE","GSON1112030270")</f>
        <v>#NAME?</v>
      </c>
      <c r="P174" s="28" t="e">
        <f ca="1">[1]!BexGetData("DP_1","003N8EMH8GTFRIVOG7KG9J9VY","GSON1112030270")</f>
        <v>#NAME?</v>
      </c>
      <c r="Q174" s="23" t="e">
        <f ca="1">[1]!BexGetData("DP_1","00O2TNJGODT0G5Z4TTKYMM5MT","GSON1112030270")</f>
        <v>#NAME?</v>
      </c>
      <c r="R174" s="28" t="e">
        <f ca="1">[1]!BexGetData("DP_1","00O2TNJGODT0G5Z4TTKYMMBYD","GSON1112030270")</f>
        <v>#NAME?</v>
      </c>
      <c r="S174" s="28" t="e">
        <f ca="1">[1]!BexGetData("DP_1","00O2TNJGODT0G5Z4TTKYMMI9X","GSON1112030270")</f>
        <v>#NAME?</v>
      </c>
      <c r="T174" s="28" t="e">
        <f ca="1">[1]!BexGetData("DP_1","00O2TNJGODT0G5Z4TTKYMMOLH","GSON1112030270")</f>
        <v>#NAME?</v>
      </c>
      <c r="U174" s="28" t="e">
        <f ca="1">[1]!BexGetData("DP_1","00O2TNJGODT0G5Z4TTKYMMUX1","GSON1112030270")</f>
        <v>#NAME?</v>
      </c>
      <c r="V174" s="28" t="e">
        <f ca="1">[1]!BexGetData("DP_1","00O2TNJGODT0G5Z4TTKYMN18L","GSON1112030270")</f>
        <v>#NAME?</v>
      </c>
      <c r="W174" s="28" t="e">
        <f ca="1">[1]!BexGetData("DP_1","00O2TNJGODT0G5Z4TTKYMN7K5","GSON1112030270")</f>
        <v>#NAME?</v>
      </c>
    </row>
    <row r="175" spans="1:23" x14ac:dyDescent="0.2">
      <c r="A175" s="36" t="s">
        <v>2018</v>
      </c>
      <c r="B175" s="27" t="s">
        <v>781</v>
      </c>
      <c r="C175" s="23" t="e">
        <f ca="1">[1]!BexGetData("DP_1","003N8EMH8GTFRCSWKMPXRR8GU","GSON1112030280")</f>
        <v>#NAME?</v>
      </c>
      <c r="D175" s="28" t="e">
        <f ca="1">[1]!BexGetData("DP_1","003N8EMH8GTFRCSWKMPXRRESE","GSON1112030280")</f>
        <v>#NAME?</v>
      </c>
      <c r="E175" s="23" t="e">
        <f ca="1">[1]!BexGetData("DP_1","003N8EMH8GTFRCSWKMPXRRL3Y","GSON1112030280")</f>
        <v>#NAME?</v>
      </c>
      <c r="F175" s="23" t="e">
        <f ca="1">[1]!BexGetData("DP_1","003N8EMH8GTFRCSWKMPXRRRFI","GSON1112030280")</f>
        <v>#NAME?</v>
      </c>
      <c r="G175" s="23" t="e">
        <f ca="1">[1]!BexGetData("DP_1","003N8EMH8GTFRCSWKMPXRRXR2","GSON1112030280")</f>
        <v>#NAME?</v>
      </c>
      <c r="H175" s="28" t="e">
        <f ca="1">[1]!BexGetData("DP_1","003N8EMH8GTFRCSWKMPXRS42M","GSON1112030280")</f>
        <v>#NAME?</v>
      </c>
      <c r="I175" s="23" t="e">
        <f ca="1">[1]!BexGetData("DP_1","003N8EMH8GTFRCSWKMPXRSAE6","GSON1112030280")</f>
        <v>#NAME?</v>
      </c>
      <c r="J175" s="23" t="e">
        <f ca="1">[1]!BexGetData("DP_1","003N8EMH8GTFRCSWKMPXRSGPQ","GSON1112030280")</f>
        <v>#NAME?</v>
      </c>
      <c r="K175" s="23" t="e">
        <f ca="1">[1]!BexGetData("DP_1","003N8EMH8GTFRIVNUPY288VJH","GSON1112030280")</f>
        <v>#NAME?</v>
      </c>
      <c r="L175" s="23" t="e">
        <f ca="1">[1]!BexGetData("DP_1","003N8EMH8GTFRIVNUPY2891V1","GSON1112030280")</f>
        <v>#NAME?</v>
      </c>
      <c r="M175" s="28" t="e">
        <f ca="1">[1]!BexGetData("DP_1","003N8EMH8GTFRIVOG7KG9IQXA","GSON1112030280")</f>
        <v>#NAME?</v>
      </c>
      <c r="N175" s="23" t="e">
        <f ca="1">[1]!BexGetData("DP_1","003N8EMH8GTFRIVOG7KG9IX8U","GSON1112030280")</f>
        <v>#NAME?</v>
      </c>
      <c r="O175" s="28" t="e">
        <f ca="1">[1]!BexGetData("DP_1","003N8EMH8GTFRIVOG7KG9J3KE","GSON1112030280")</f>
        <v>#NAME?</v>
      </c>
      <c r="P175" s="23" t="e">
        <f ca="1">[1]!BexGetData("DP_1","003N8EMH8GTFRIVOG7KG9J9VY","GSON1112030280")</f>
        <v>#NAME?</v>
      </c>
      <c r="Q175" s="23" t="e">
        <f ca="1">[1]!BexGetData("DP_1","00O2TNJGODT0G5Z4TTKYMM5MT","GSON1112030280")</f>
        <v>#NAME?</v>
      </c>
      <c r="R175" s="23" t="e">
        <f ca="1">[1]!BexGetData("DP_1","00O2TNJGODT0G5Z4TTKYMMBYD","GSON1112030280")</f>
        <v>#NAME?</v>
      </c>
      <c r="S175" s="23" t="e">
        <f ca="1">[1]!BexGetData("DP_1","00O2TNJGODT0G5Z4TTKYMMI9X","GSON1112030280")</f>
        <v>#NAME?</v>
      </c>
      <c r="T175" s="28" t="e">
        <f ca="1">[1]!BexGetData("DP_1","00O2TNJGODT0G5Z4TTKYMMOLH","GSON1112030280")</f>
        <v>#NAME?</v>
      </c>
      <c r="U175" s="23" t="e">
        <f ca="1">[1]!BexGetData("DP_1","00O2TNJGODT0G5Z4TTKYMMUX1","GSON1112030280")</f>
        <v>#NAME?</v>
      </c>
      <c r="V175" s="28" t="e">
        <f ca="1">[1]!BexGetData("DP_1","00O2TNJGODT0G5Z4TTKYMN18L","GSON1112030280")</f>
        <v>#NAME?</v>
      </c>
      <c r="W175" s="23" t="e">
        <f ca="1">[1]!BexGetData("DP_1","00O2TNJGODT0G5Z4TTKYMN7K5","GSON1112030280")</f>
        <v>#NAME?</v>
      </c>
    </row>
    <row r="176" spans="1:23" x14ac:dyDescent="0.2">
      <c r="A176" s="36" t="s">
        <v>2019</v>
      </c>
      <c r="B176" s="27" t="s">
        <v>648</v>
      </c>
      <c r="C176" s="24" t="e">
        <f ca="1">[1]!BexGetData("DP_1","003N8EMH8GTFRCSWKMPXRR8GU","GSON1112030281")</f>
        <v>#NAME?</v>
      </c>
      <c r="D176" s="24" t="e">
        <f ca="1">[1]!BexGetData("DP_1","003N8EMH8GTFRCSWKMPXRRESE","GSON1112030281")</f>
        <v>#NAME?</v>
      </c>
      <c r="E176" s="24" t="e">
        <f ca="1">[1]!BexGetData("DP_1","003N8EMH8GTFRCSWKMPXRRL3Y","GSON1112030281")</f>
        <v>#NAME?</v>
      </c>
      <c r="F176" s="28" t="e">
        <f ca="1">[1]!BexGetData("DP_1","003N8EMH8GTFRCSWKMPXRRRFI","GSON1112030281")</f>
        <v>#NAME?</v>
      </c>
      <c r="G176" s="23" t="e">
        <f ca="1">[1]!BexGetData("DP_1","003N8EMH8GTFRCSWKMPXRRXR2","GSON1112030281")</f>
        <v>#NAME?</v>
      </c>
      <c r="H176" s="23" t="e">
        <f ca="1">[1]!BexGetData("DP_1","003N8EMH8GTFRCSWKMPXRS42M","GSON1112030281")</f>
        <v>#NAME?</v>
      </c>
      <c r="I176" s="28" t="e">
        <f ca="1">[1]!BexGetData("DP_1","003N8EMH8GTFRCSWKMPXRSAE6","GSON1112030281")</f>
        <v>#NAME?</v>
      </c>
      <c r="J176" s="24" t="e">
        <f ca="1">[1]!BexGetData("DP_1","003N8EMH8GTFRCSWKMPXRSGPQ","GSON1112030281")</f>
        <v>#NAME?</v>
      </c>
      <c r="K176" s="28" t="e">
        <f ca="1">[1]!BexGetData("DP_1","003N8EMH8GTFRIVNUPY288VJH","GSON1112030281")</f>
        <v>#NAME?</v>
      </c>
      <c r="L176" s="28" t="e">
        <f ca="1">[1]!BexGetData("DP_1","003N8EMH8GTFRIVNUPY2891V1","GSON1112030281")</f>
        <v>#NAME?</v>
      </c>
      <c r="M176" s="28" t="e">
        <f ca="1">[1]!BexGetData("DP_1","003N8EMH8GTFRIVOG7KG9IQXA","GSON1112030281")</f>
        <v>#NAME?</v>
      </c>
      <c r="N176" s="28" t="e">
        <f ca="1">[1]!BexGetData("DP_1","003N8EMH8GTFRIVOG7KG9IX8U","GSON1112030281")</f>
        <v>#NAME?</v>
      </c>
      <c r="O176" s="28" t="e">
        <f ca="1">[1]!BexGetData("DP_1","003N8EMH8GTFRIVOG7KG9J3KE","GSON1112030281")</f>
        <v>#NAME?</v>
      </c>
      <c r="P176" s="28" t="e">
        <f ca="1">[1]!BexGetData("DP_1","003N8EMH8GTFRIVOG7KG9J9VY","GSON1112030281")</f>
        <v>#NAME?</v>
      </c>
      <c r="Q176" s="24" t="e">
        <f ca="1">[1]!BexGetData("DP_1","00O2TNJGODT0G5Z4TTKYMM5MT","GSON1112030281")</f>
        <v>#NAME?</v>
      </c>
      <c r="R176" s="28" t="e">
        <f ca="1">[1]!BexGetData("DP_1","00O2TNJGODT0G5Z4TTKYMMBYD","GSON1112030281")</f>
        <v>#NAME?</v>
      </c>
      <c r="S176" s="28" t="e">
        <f ca="1">[1]!BexGetData("DP_1","00O2TNJGODT0G5Z4TTKYMMI9X","GSON1112030281")</f>
        <v>#NAME?</v>
      </c>
      <c r="T176" s="28" t="e">
        <f ca="1">[1]!BexGetData("DP_1","00O2TNJGODT0G5Z4TTKYMMOLH","GSON1112030281")</f>
        <v>#NAME?</v>
      </c>
      <c r="U176" s="28" t="e">
        <f ca="1">[1]!BexGetData("DP_1","00O2TNJGODT0G5Z4TTKYMMUX1","GSON1112030281")</f>
        <v>#NAME?</v>
      </c>
      <c r="V176" s="28" t="e">
        <f ca="1">[1]!BexGetData("DP_1","00O2TNJGODT0G5Z4TTKYMN18L","GSON1112030281")</f>
        <v>#NAME?</v>
      </c>
      <c r="W176" s="28" t="e">
        <f ca="1">[1]!BexGetData("DP_1","00O2TNJGODT0G5Z4TTKYMN7K5","GSON1112030281")</f>
        <v>#NAME?</v>
      </c>
    </row>
    <row r="177" spans="1:23" x14ac:dyDescent="0.2">
      <c r="A177" s="36" t="s">
        <v>2020</v>
      </c>
      <c r="B177" s="27" t="s">
        <v>2021</v>
      </c>
      <c r="C177" s="23" t="e">
        <f ca="1">[1]!BexGetData("DP_1","003N8EMH8GTFRCSWKMPXRR8GU","GSON1112030285")</f>
        <v>#NAME?</v>
      </c>
      <c r="D177" s="23" t="e">
        <f ca="1">[1]!BexGetData("DP_1","003N8EMH8GTFRCSWKMPXRRESE","GSON1112030285")</f>
        <v>#NAME?</v>
      </c>
      <c r="E177" s="28" t="e">
        <f ca="1">[1]!BexGetData("DP_1","003N8EMH8GTFRCSWKMPXRRL3Y","GSON1112030285")</f>
        <v>#NAME?</v>
      </c>
      <c r="F177" s="28" t="e">
        <f ca="1">[1]!BexGetData("DP_1","003N8EMH8GTFRCSWKMPXRRRFI","GSON1112030285")</f>
        <v>#NAME?</v>
      </c>
      <c r="G177" s="23" t="e">
        <f ca="1">[1]!BexGetData("DP_1","003N8EMH8GTFRCSWKMPXRRXR2","GSON1112030285")</f>
        <v>#NAME?</v>
      </c>
      <c r="H177" s="23" t="e">
        <f ca="1">[1]!BexGetData("DP_1","003N8EMH8GTFRCSWKMPXRS42M","GSON1112030285")</f>
        <v>#NAME?</v>
      </c>
      <c r="I177" s="28" t="e">
        <f ca="1">[1]!BexGetData("DP_1","003N8EMH8GTFRCSWKMPXRSAE6","GSON1112030285")</f>
        <v>#NAME?</v>
      </c>
      <c r="J177" s="24" t="e">
        <f ca="1">[1]!BexGetData("DP_1","003N8EMH8GTFRCSWKMPXRSGPQ","GSON1112030285")</f>
        <v>#NAME?</v>
      </c>
      <c r="K177" s="28" t="e">
        <f ca="1">[1]!BexGetData("DP_1","003N8EMH8GTFRIVNUPY288VJH","GSON1112030285")</f>
        <v>#NAME?</v>
      </c>
      <c r="L177" s="28" t="e">
        <f ca="1">[1]!BexGetData("DP_1","003N8EMH8GTFRIVNUPY2891V1","GSON1112030285")</f>
        <v>#NAME?</v>
      </c>
      <c r="M177" s="28" t="e">
        <f ca="1">[1]!BexGetData("DP_1","003N8EMH8GTFRIVOG7KG9IQXA","GSON1112030285")</f>
        <v>#NAME?</v>
      </c>
      <c r="N177" s="28" t="e">
        <f ca="1">[1]!BexGetData("DP_1","003N8EMH8GTFRIVOG7KG9IX8U","GSON1112030285")</f>
        <v>#NAME?</v>
      </c>
      <c r="O177" s="28" t="e">
        <f ca="1">[1]!BexGetData("DP_1","003N8EMH8GTFRIVOG7KG9J3KE","GSON1112030285")</f>
        <v>#NAME?</v>
      </c>
      <c r="P177" s="28" t="e">
        <f ca="1">[1]!BexGetData("DP_1","003N8EMH8GTFRIVOG7KG9J9VY","GSON1112030285")</f>
        <v>#NAME?</v>
      </c>
      <c r="Q177" s="24" t="e">
        <f ca="1">[1]!BexGetData("DP_1","00O2TNJGODT0G5Z4TTKYMM5MT","GSON1112030285")</f>
        <v>#NAME?</v>
      </c>
      <c r="R177" s="28" t="e">
        <f ca="1">[1]!BexGetData("DP_1","00O2TNJGODT0G5Z4TTKYMMBYD","GSON1112030285")</f>
        <v>#NAME?</v>
      </c>
      <c r="S177" s="28" t="e">
        <f ca="1">[1]!BexGetData("DP_1","00O2TNJGODT0G5Z4TTKYMMI9X","GSON1112030285")</f>
        <v>#NAME?</v>
      </c>
      <c r="T177" s="28" t="e">
        <f ca="1">[1]!BexGetData("DP_1","00O2TNJGODT0G5Z4TTKYMMOLH","GSON1112030285")</f>
        <v>#NAME?</v>
      </c>
      <c r="U177" s="28" t="e">
        <f ca="1">[1]!BexGetData("DP_1","00O2TNJGODT0G5Z4TTKYMMUX1","GSON1112030285")</f>
        <v>#NAME?</v>
      </c>
      <c r="V177" s="28" t="e">
        <f ca="1">[1]!BexGetData("DP_1","00O2TNJGODT0G5Z4TTKYMN18L","GSON1112030285")</f>
        <v>#NAME?</v>
      </c>
      <c r="W177" s="28" t="e">
        <f ca="1">[1]!BexGetData("DP_1","00O2TNJGODT0G5Z4TTKYMN7K5","GSON1112030285")</f>
        <v>#NAME?</v>
      </c>
    </row>
    <row r="178" spans="1:23" x14ac:dyDescent="0.2">
      <c r="A178" s="36" t="s">
        <v>2022</v>
      </c>
      <c r="B178" s="27" t="s">
        <v>782</v>
      </c>
      <c r="C178" s="28" t="e">
        <f ca="1">[1]!BexGetData("DP_1","003N8EMH8GTFRCSWKMPXRR8GU","GSON1112030290")</f>
        <v>#NAME?</v>
      </c>
      <c r="D178" s="28" t="e">
        <f ca="1">[1]!BexGetData("DP_1","003N8EMH8GTFRCSWKMPXRRESE","GSON1112030290")</f>
        <v>#NAME?</v>
      </c>
      <c r="E178" s="23" t="e">
        <f ca="1">[1]!BexGetData("DP_1","003N8EMH8GTFRCSWKMPXRRL3Y","GSON1112030290")</f>
        <v>#NAME?</v>
      </c>
      <c r="F178" s="23" t="e">
        <f ca="1">[1]!BexGetData("DP_1","003N8EMH8GTFRCSWKMPXRRRFI","GSON1112030290")</f>
        <v>#NAME?</v>
      </c>
      <c r="G178" s="23" t="e">
        <f ca="1">[1]!BexGetData("DP_1","003N8EMH8GTFRCSWKMPXRRXR2","GSON1112030290")</f>
        <v>#NAME?</v>
      </c>
      <c r="H178" s="23" t="e">
        <f ca="1">[1]!BexGetData("DP_1","003N8EMH8GTFRCSWKMPXRS42M","GSON1112030290")</f>
        <v>#NAME?</v>
      </c>
      <c r="I178" s="23" t="e">
        <f ca="1">[1]!BexGetData("DP_1","003N8EMH8GTFRCSWKMPXRSAE6","GSON1112030290")</f>
        <v>#NAME?</v>
      </c>
      <c r="J178" s="23" t="e">
        <f ca="1">[1]!BexGetData("DP_1","003N8EMH8GTFRCSWKMPXRSGPQ","GSON1112030290")</f>
        <v>#NAME?</v>
      </c>
      <c r="K178" s="28" t="e">
        <f ca="1">[1]!BexGetData("DP_1","003N8EMH8GTFRIVNUPY288VJH","GSON1112030290")</f>
        <v>#NAME?</v>
      </c>
      <c r="L178" s="28" t="e">
        <f ca="1">[1]!BexGetData("DP_1","003N8EMH8GTFRIVNUPY2891V1","GSON1112030290")</f>
        <v>#NAME?</v>
      </c>
      <c r="M178" s="28" t="e">
        <f ca="1">[1]!BexGetData("DP_1","003N8EMH8GTFRIVOG7KG9IQXA","GSON1112030290")</f>
        <v>#NAME?</v>
      </c>
      <c r="N178" s="28" t="e">
        <f ca="1">[1]!BexGetData("DP_1","003N8EMH8GTFRIVOG7KG9IX8U","GSON1112030290")</f>
        <v>#NAME?</v>
      </c>
      <c r="O178" s="28" t="e">
        <f ca="1">[1]!BexGetData("DP_1","003N8EMH8GTFRIVOG7KG9J3KE","GSON1112030290")</f>
        <v>#NAME?</v>
      </c>
      <c r="P178" s="28" t="e">
        <f ca="1">[1]!BexGetData("DP_1","003N8EMH8GTFRIVOG7KG9J9VY","GSON1112030290")</f>
        <v>#NAME?</v>
      </c>
      <c r="Q178" s="23" t="e">
        <f ca="1">[1]!BexGetData("DP_1","00O2TNJGODT0G5Z4TTKYMM5MT","GSON1112030290")</f>
        <v>#NAME?</v>
      </c>
      <c r="R178" s="23" t="e">
        <f ca="1">[1]!BexGetData("DP_1","00O2TNJGODT0G5Z4TTKYMMBYD","GSON1112030290")</f>
        <v>#NAME?</v>
      </c>
      <c r="S178" s="23" t="e">
        <f ca="1">[1]!BexGetData("DP_1","00O2TNJGODT0G5Z4TTKYMMI9X","GSON1112030290")</f>
        <v>#NAME?</v>
      </c>
      <c r="T178" s="23" t="e">
        <f ca="1">[1]!BexGetData("DP_1","00O2TNJGODT0G5Z4TTKYMMOLH","GSON1112030290")</f>
        <v>#NAME?</v>
      </c>
      <c r="U178" s="28" t="e">
        <f ca="1">[1]!BexGetData("DP_1","00O2TNJGODT0G5Z4TTKYMMUX1","GSON1112030290")</f>
        <v>#NAME?</v>
      </c>
      <c r="V178" s="23" t="e">
        <f ca="1">[1]!BexGetData("DP_1","00O2TNJGODT0G5Z4TTKYMN18L","GSON1112030290")</f>
        <v>#NAME?</v>
      </c>
      <c r="W178" s="28" t="e">
        <f ca="1">[1]!BexGetData("DP_1","00O2TNJGODT0G5Z4TTKYMN7K5","GSON1112030290")</f>
        <v>#NAME?</v>
      </c>
    </row>
    <row r="179" spans="1:23" x14ac:dyDescent="0.2">
      <c r="A179" s="36" t="s">
        <v>2023</v>
      </c>
      <c r="B179" s="27" t="s">
        <v>783</v>
      </c>
      <c r="C179" s="24" t="e">
        <f ca="1">[1]!BexGetData("DP_1","003N8EMH8GTFRCSWKMPXRR8GU","GSON1112030291")</f>
        <v>#NAME?</v>
      </c>
      <c r="D179" s="24" t="e">
        <f ca="1">[1]!BexGetData("DP_1","003N8EMH8GTFRCSWKMPXRRESE","GSON1112030291")</f>
        <v>#NAME?</v>
      </c>
      <c r="E179" s="24" t="e">
        <f ca="1">[1]!BexGetData("DP_1","003N8EMH8GTFRCSWKMPXRRL3Y","GSON1112030291")</f>
        <v>#NAME?</v>
      </c>
      <c r="F179" s="28" t="e">
        <f ca="1">[1]!BexGetData("DP_1","003N8EMH8GTFRCSWKMPXRRRFI","GSON1112030291")</f>
        <v>#NAME?</v>
      </c>
      <c r="G179" s="23" t="e">
        <f ca="1">[1]!BexGetData("DP_1","003N8EMH8GTFRCSWKMPXRRXR2","GSON1112030291")</f>
        <v>#NAME?</v>
      </c>
      <c r="H179" s="23" t="e">
        <f ca="1">[1]!BexGetData("DP_1","003N8EMH8GTFRCSWKMPXRS42M","GSON1112030291")</f>
        <v>#NAME?</v>
      </c>
      <c r="I179" s="28" t="e">
        <f ca="1">[1]!BexGetData("DP_1","003N8EMH8GTFRCSWKMPXRSAE6","GSON1112030291")</f>
        <v>#NAME?</v>
      </c>
      <c r="J179" s="24" t="e">
        <f ca="1">[1]!BexGetData("DP_1","003N8EMH8GTFRCSWKMPXRSGPQ","GSON1112030291")</f>
        <v>#NAME?</v>
      </c>
      <c r="K179" s="28" t="e">
        <f ca="1">[1]!BexGetData("DP_1","003N8EMH8GTFRIVNUPY288VJH","GSON1112030291")</f>
        <v>#NAME?</v>
      </c>
      <c r="L179" s="28" t="e">
        <f ca="1">[1]!BexGetData("DP_1","003N8EMH8GTFRIVNUPY2891V1","GSON1112030291")</f>
        <v>#NAME?</v>
      </c>
      <c r="M179" s="28" t="e">
        <f ca="1">[1]!BexGetData("DP_1","003N8EMH8GTFRIVOG7KG9IQXA","GSON1112030291")</f>
        <v>#NAME?</v>
      </c>
      <c r="N179" s="28" t="e">
        <f ca="1">[1]!BexGetData("DP_1","003N8EMH8GTFRIVOG7KG9IX8U","GSON1112030291")</f>
        <v>#NAME?</v>
      </c>
      <c r="O179" s="28" t="e">
        <f ca="1">[1]!BexGetData("DP_1","003N8EMH8GTFRIVOG7KG9J3KE","GSON1112030291")</f>
        <v>#NAME?</v>
      </c>
      <c r="P179" s="28" t="e">
        <f ca="1">[1]!BexGetData("DP_1","003N8EMH8GTFRIVOG7KG9J9VY","GSON1112030291")</f>
        <v>#NAME?</v>
      </c>
      <c r="Q179" s="24" t="e">
        <f ca="1">[1]!BexGetData("DP_1","00O2TNJGODT0G5Z4TTKYMM5MT","GSON1112030291")</f>
        <v>#NAME?</v>
      </c>
      <c r="R179" s="28" t="e">
        <f ca="1">[1]!BexGetData("DP_1","00O2TNJGODT0G5Z4TTKYMMBYD","GSON1112030291")</f>
        <v>#NAME?</v>
      </c>
      <c r="S179" s="28" t="e">
        <f ca="1">[1]!BexGetData("DP_1","00O2TNJGODT0G5Z4TTKYMMI9X","GSON1112030291")</f>
        <v>#NAME?</v>
      </c>
      <c r="T179" s="28" t="e">
        <f ca="1">[1]!BexGetData("DP_1","00O2TNJGODT0G5Z4TTKYMMOLH","GSON1112030291")</f>
        <v>#NAME?</v>
      </c>
      <c r="U179" s="28" t="e">
        <f ca="1">[1]!BexGetData("DP_1","00O2TNJGODT0G5Z4TTKYMMUX1","GSON1112030291")</f>
        <v>#NAME?</v>
      </c>
      <c r="V179" s="28" t="e">
        <f ca="1">[1]!BexGetData("DP_1","00O2TNJGODT0G5Z4TTKYMN18L","GSON1112030291")</f>
        <v>#NAME?</v>
      </c>
      <c r="W179" s="28" t="e">
        <f ca="1">[1]!BexGetData("DP_1","00O2TNJGODT0G5Z4TTKYMN7K5","GSON1112030291")</f>
        <v>#NAME?</v>
      </c>
    </row>
    <row r="180" spans="1:23" x14ac:dyDescent="0.2">
      <c r="A180" s="36" t="s">
        <v>2024</v>
      </c>
      <c r="B180" s="27" t="s">
        <v>2025</v>
      </c>
      <c r="C180" s="24" t="e">
        <f ca="1">[1]!BexGetData("DP_1","003N8EMH8GTFRCSWKMPXRR8GU","GSON1112030293")</f>
        <v>#NAME?</v>
      </c>
      <c r="D180" s="24" t="e">
        <f ca="1">[1]!BexGetData("DP_1","003N8EMH8GTFRCSWKMPXRRESE","GSON1112030293")</f>
        <v>#NAME?</v>
      </c>
      <c r="E180" s="24" t="e">
        <f ca="1">[1]!BexGetData("DP_1","003N8EMH8GTFRCSWKMPXRRL3Y","GSON1112030293")</f>
        <v>#NAME?</v>
      </c>
      <c r="F180" s="28" t="e">
        <f ca="1">[1]!BexGetData("DP_1","003N8EMH8GTFRCSWKMPXRRRFI","GSON1112030293")</f>
        <v>#NAME?</v>
      </c>
      <c r="G180" s="23" t="e">
        <f ca="1">[1]!BexGetData("DP_1","003N8EMH8GTFRCSWKMPXRRXR2","GSON1112030293")</f>
        <v>#NAME?</v>
      </c>
      <c r="H180" s="23" t="e">
        <f ca="1">[1]!BexGetData("DP_1","003N8EMH8GTFRCSWKMPXRS42M","GSON1112030293")</f>
        <v>#NAME?</v>
      </c>
      <c r="I180" s="28" t="e">
        <f ca="1">[1]!BexGetData("DP_1","003N8EMH8GTFRCSWKMPXRSAE6","GSON1112030293")</f>
        <v>#NAME?</v>
      </c>
      <c r="J180" s="24" t="e">
        <f ca="1">[1]!BexGetData("DP_1","003N8EMH8GTFRCSWKMPXRSGPQ","GSON1112030293")</f>
        <v>#NAME?</v>
      </c>
      <c r="K180" s="28" t="e">
        <f ca="1">[1]!BexGetData("DP_1","003N8EMH8GTFRIVNUPY288VJH","GSON1112030293")</f>
        <v>#NAME?</v>
      </c>
      <c r="L180" s="28" t="e">
        <f ca="1">[1]!BexGetData("DP_1","003N8EMH8GTFRIVNUPY2891V1","GSON1112030293")</f>
        <v>#NAME?</v>
      </c>
      <c r="M180" s="28" t="e">
        <f ca="1">[1]!BexGetData("DP_1","003N8EMH8GTFRIVOG7KG9IQXA","GSON1112030293")</f>
        <v>#NAME?</v>
      </c>
      <c r="N180" s="28" t="e">
        <f ca="1">[1]!BexGetData("DP_1","003N8EMH8GTFRIVOG7KG9IX8U","GSON1112030293")</f>
        <v>#NAME?</v>
      </c>
      <c r="O180" s="28" t="e">
        <f ca="1">[1]!BexGetData("DP_1","003N8EMH8GTFRIVOG7KG9J3KE","GSON1112030293")</f>
        <v>#NAME?</v>
      </c>
      <c r="P180" s="28" t="e">
        <f ca="1">[1]!BexGetData("DP_1","003N8EMH8GTFRIVOG7KG9J9VY","GSON1112030293")</f>
        <v>#NAME?</v>
      </c>
      <c r="Q180" s="24" t="e">
        <f ca="1">[1]!BexGetData("DP_1","00O2TNJGODT0G5Z4TTKYMM5MT","GSON1112030293")</f>
        <v>#NAME?</v>
      </c>
      <c r="R180" s="28" t="e">
        <f ca="1">[1]!BexGetData("DP_1","00O2TNJGODT0G5Z4TTKYMMBYD","GSON1112030293")</f>
        <v>#NAME?</v>
      </c>
      <c r="S180" s="28" t="e">
        <f ca="1">[1]!BexGetData("DP_1","00O2TNJGODT0G5Z4TTKYMMI9X","GSON1112030293")</f>
        <v>#NAME?</v>
      </c>
      <c r="T180" s="28" t="e">
        <f ca="1">[1]!BexGetData("DP_1","00O2TNJGODT0G5Z4TTKYMMOLH","GSON1112030293")</f>
        <v>#NAME?</v>
      </c>
      <c r="U180" s="28" t="e">
        <f ca="1">[1]!BexGetData("DP_1","00O2TNJGODT0G5Z4TTKYMMUX1","GSON1112030293")</f>
        <v>#NAME?</v>
      </c>
      <c r="V180" s="28" t="e">
        <f ca="1">[1]!BexGetData("DP_1","00O2TNJGODT0G5Z4TTKYMN18L","GSON1112030293")</f>
        <v>#NAME?</v>
      </c>
      <c r="W180" s="28" t="e">
        <f ca="1">[1]!BexGetData("DP_1","00O2TNJGODT0G5Z4TTKYMN7K5","GSON1112030293")</f>
        <v>#NAME?</v>
      </c>
    </row>
    <row r="181" spans="1:23" x14ac:dyDescent="0.2">
      <c r="A181" s="36" t="s">
        <v>2026</v>
      </c>
      <c r="B181" s="27" t="s">
        <v>2027</v>
      </c>
      <c r="C181" s="28" t="e">
        <f ca="1">[1]!BexGetData("DP_1","003N8EMH8GTFRCSWKMPXRR8GU","GSON1112030295")</f>
        <v>#NAME?</v>
      </c>
      <c r="D181" s="28" t="e">
        <f ca="1">[1]!BexGetData("DP_1","003N8EMH8GTFRCSWKMPXRRESE","GSON1112030295")</f>
        <v>#NAME?</v>
      </c>
      <c r="E181" s="28" t="e">
        <f ca="1">[1]!BexGetData("DP_1","003N8EMH8GTFRCSWKMPXRRL3Y","GSON1112030295")</f>
        <v>#NAME?</v>
      </c>
      <c r="F181" s="28" t="e">
        <f ca="1">[1]!BexGetData("DP_1","003N8EMH8GTFRCSWKMPXRRRFI","GSON1112030295")</f>
        <v>#NAME?</v>
      </c>
      <c r="G181" s="23" t="e">
        <f ca="1">[1]!BexGetData("DP_1","003N8EMH8GTFRCSWKMPXRRXR2","GSON1112030295")</f>
        <v>#NAME?</v>
      </c>
      <c r="H181" s="23" t="e">
        <f ca="1">[1]!BexGetData("DP_1","003N8EMH8GTFRCSWKMPXRS42M","GSON1112030295")</f>
        <v>#NAME?</v>
      </c>
      <c r="I181" s="28" t="e">
        <f ca="1">[1]!BexGetData("DP_1","003N8EMH8GTFRCSWKMPXRSAE6","GSON1112030295")</f>
        <v>#NAME?</v>
      </c>
      <c r="J181" s="24" t="e">
        <f ca="1">[1]!BexGetData("DP_1","003N8EMH8GTFRCSWKMPXRSGPQ","GSON1112030295")</f>
        <v>#NAME?</v>
      </c>
      <c r="K181" s="28" t="e">
        <f ca="1">[1]!BexGetData("DP_1","003N8EMH8GTFRIVNUPY288VJH","GSON1112030295")</f>
        <v>#NAME?</v>
      </c>
      <c r="L181" s="28" t="e">
        <f ca="1">[1]!BexGetData("DP_1","003N8EMH8GTFRIVNUPY2891V1","GSON1112030295")</f>
        <v>#NAME?</v>
      </c>
      <c r="M181" s="28" t="e">
        <f ca="1">[1]!BexGetData("DP_1","003N8EMH8GTFRIVOG7KG9IQXA","GSON1112030295")</f>
        <v>#NAME?</v>
      </c>
      <c r="N181" s="28" t="e">
        <f ca="1">[1]!BexGetData("DP_1","003N8EMH8GTFRIVOG7KG9IX8U","GSON1112030295")</f>
        <v>#NAME?</v>
      </c>
      <c r="O181" s="28" t="e">
        <f ca="1">[1]!BexGetData("DP_1","003N8EMH8GTFRIVOG7KG9J3KE","GSON1112030295")</f>
        <v>#NAME?</v>
      </c>
      <c r="P181" s="28" t="e">
        <f ca="1">[1]!BexGetData("DP_1","003N8EMH8GTFRIVOG7KG9J9VY","GSON1112030295")</f>
        <v>#NAME?</v>
      </c>
      <c r="Q181" s="24" t="e">
        <f ca="1">[1]!BexGetData("DP_1","00O2TNJGODT0G5Z4TTKYMM5MT","GSON1112030295")</f>
        <v>#NAME?</v>
      </c>
      <c r="R181" s="28" t="e">
        <f ca="1">[1]!BexGetData("DP_1","00O2TNJGODT0G5Z4TTKYMMBYD","GSON1112030295")</f>
        <v>#NAME?</v>
      </c>
      <c r="S181" s="28" t="e">
        <f ca="1">[1]!BexGetData("DP_1","00O2TNJGODT0G5Z4TTKYMMI9X","GSON1112030295")</f>
        <v>#NAME?</v>
      </c>
      <c r="T181" s="28" t="e">
        <f ca="1">[1]!BexGetData("DP_1","00O2TNJGODT0G5Z4TTKYMMOLH","GSON1112030295")</f>
        <v>#NAME?</v>
      </c>
      <c r="U181" s="28" t="e">
        <f ca="1">[1]!BexGetData("DP_1","00O2TNJGODT0G5Z4TTKYMMUX1","GSON1112030295")</f>
        <v>#NAME?</v>
      </c>
      <c r="V181" s="28" t="e">
        <f ca="1">[1]!BexGetData("DP_1","00O2TNJGODT0G5Z4TTKYMN18L","GSON1112030295")</f>
        <v>#NAME?</v>
      </c>
      <c r="W181" s="28" t="e">
        <f ca="1">[1]!BexGetData("DP_1","00O2TNJGODT0G5Z4TTKYMN7K5","GSON1112030295")</f>
        <v>#NAME?</v>
      </c>
    </row>
    <row r="182" spans="1:23" x14ac:dyDescent="0.2">
      <c r="A182" s="36" t="s">
        <v>2028</v>
      </c>
      <c r="B182" s="27" t="s">
        <v>784</v>
      </c>
      <c r="C182" s="23" t="e">
        <f ca="1">[1]!BexGetData("DP_1","003N8EMH8GTFRCSWKMPXRR8GU","GSON1112030300")</f>
        <v>#NAME?</v>
      </c>
      <c r="D182" s="23" t="e">
        <f ca="1">[1]!BexGetData("DP_1","003N8EMH8GTFRCSWKMPXRRESE","GSON1112030300")</f>
        <v>#NAME?</v>
      </c>
      <c r="E182" s="23" t="e">
        <f ca="1">[1]!BexGetData("DP_1","003N8EMH8GTFRCSWKMPXRRL3Y","GSON1112030300")</f>
        <v>#NAME?</v>
      </c>
      <c r="F182" s="23" t="e">
        <f ca="1">[1]!BexGetData("DP_1","003N8EMH8GTFRCSWKMPXRRRFI","GSON1112030300")</f>
        <v>#NAME?</v>
      </c>
      <c r="G182" s="23" t="e">
        <f ca="1">[1]!BexGetData("DP_1","003N8EMH8GTFRCSWKMPXRRXR2","GSON1112030300")</f>
        <v>#NAME?</v>
      </c>
      <c r="H182" s="23" t="e">
        <f ca="1">[1]!BexGetData("DP_1","003N8EMH8GTFRCSWKMPXRS42M","GSON1112030300")</f>
        <v>#NAME?</v>
      </c>
      <c r="I182" s="23" t="e">
        <f ca="1">[1]!BexGetData("DP_1","003N8EMH8GTFRCSWKMPXRSAE6","GSON1112030300")</f>
        <v>#NAME?</v>
      </c>
      <c r="J182" s="23" t="e">
        <f ca="1">[1]!BexGetData("DP_1","003N8EMH8GTFRCSWKMPXRSGPQ","GSON1112030300")</f>
        <v>#NAME?</v>
      </c>
      <c r="K182" s="23" t="e">
        <f ca="1">[1]!BexGetData("DP_1","003N8EMH8GTFRIVNUPY288VJH","GSON1112030300")</f>
        <v>#NAME?</v>
      </c>
      <c r="L182" s="23" t="e">
        <f ca="1">[1]!BexGetData("DP_1","003N8EMH8GTFRIVNUPY2891V1","GSON1112030300")</f>
        <v>#NAME?</v>
      </c>
      <c r="M182" s="23" t="e">
        <f ca="1">[1]!BexGetData("DP_1","003N8EMH8GTFRIVOG7KG9IQXA","GSON1112030300")</f>
        <v>#NAME?</v>
      </c>
      <c r="N182" s="28" t="e">
        <f ca="1">[1]!BexGetData("DP_1","003N8EMH8GTFRIVOG7KG9IX8U","GSON1112030300")</f>
        <v>#NAME?</v>
      </c>
      <c r="O182" s="23" t="e">
        <f ca="1">[1]!BexGetData("DP_1","003N8EMH8GTFRIVOG7KG9J3KE","GSON1112030300")</f>
        <v>#NAME?</v>
      </c>
      <c r="P182" s="28" t="e">
        <f ca="1">[1]!BexGetData("DP_1","003N8EMH8GTFRIVOG7KG9J9VY","GSON1112030300")</f>
        <v>#NAME?</v>
      </c>
      <c r="Q182" s="23" t="e">
        <f ca="1">[1]!BexGetData("DP_1","00O2TNJGODT0G5Z4TTKYMM5MT","GSON1112030300")</f>
        <v>#NAME?</v>
      </c>
      <c r="R182" s="23" t="e">
        <f ca="1">[1]!BexGetData("DP_1","00O2TNJGODT0G5Z4TTKYMMBYD","GSON1112030300")</f>
        <v>#NAME?</v>
      </c>
      <c r="S182" s="23" t="e">
        <f ca="1">[1]!BexGetData("DP_1","00O2TNJGODT0G5Z4TTKYMMI9X","GSON1112030300")</f>
        <v>#NAME?</v>
      </c>
      <c r="T182" s="28" t="e">
        <f ca="1">[1]!BexGetData("DP_1","00O2TNJGODT0G5Z4TTKYMMOLH","GSON1112030300")</f>
        <v>#NAME?</v>
      </c>
      <c r="U182" s="23" t="e">
        <f ca="1">[1]!BexGetData("DP_1","00O2TNJGODT0G5Z4TTKYMMUX1","GSON1112030300")</f>
        <v>#NAME?</v>
      </c>
      <c r="V182" s="28" t="e">
        <f ca="1">[1]!BexGetData("DP_1","00O2TNJGODT0G5Z4TTKYMN18L","GSON1112030300")</f>
        <v>#NAME?</v>
      </c>
      <c r="W182" s="23" t="e">
        <f ca="1">[1]!BexGetData("DP_1","00O2TNJGODT0G5Z4TTKYMN7K5","GSON1112030300")</f>
        <v>#NAME?</v>
      </c>
    </row>
    <row r="183" spans="1:23" x14ac:dyDescent="0.2">
      <c r="A183" s="36" t="s">
        <v>2029</v>
      </c>
      <c r="B183" s="27" t="s">
        <v>785</v>
      </c>
      <c r="C183" s="23" t="e">
        <f ca="1">[1]!BexGetData("DP_1","003N8EMH8GTFRCSWKMPXRR8GU","GSON1112030301")</f>
        <v>#NAME?</v>
      </c>
      <c r="D183" s="23" t="e">
        <f ca="1">[1]!BexGetData("DP_1","003N8EMH8GTFRCSWKMPXRRESE","GSON1112030301")</f>
        <v>#NAME?</v>
      </c>
      <c r="E183" s="28" t="e">
        <f ca="1">[1]!BexGetData("DP_1","003N8EMH8GTFRCSWKMPXRRL3Y","GSON1112030301")</f>
        <v>#NAME?</v>
      </c>
      <c r="F183" s="28" t="e">
        <f ca="1">[1]!BexGetData("DP_1","003N8EMH8GTFRCSWKMPXRRRFI","GSON1112030301")</f>
        <v>#NAME?</v>
      </c>
      <c r="G183" s="23" t="e">
        <f ca="1">[1]!BexGetData("DP_1","003N8EMH8GTFRCSWKMPXRRXR2","GSON1112030301")</f>
        <v>#NAME?</v>
      </c>
      <c r="H183" s="23" t="e">
        <f ca="1">[1]!BexGetData("DP_1","003N8EMH8GTFRCSWKMPXRS42M","GSON1112030301")</f>
        <v>#NAME?</v>
      </c>
      <c r="I183" s="28" t="e">
        <f ca="1">[1]!BexGetData("DP_1","003N8EMH8GTFRCSWKMPXRSAE6","GSON1112030301")</f>
        <v>#NAME?</v>
      </c>
      <c r="J183" s="24" t="e">
        <f ca="1">[1]!BexGetData("DP_1","003N8EMH8GTFRCSWKMPXRSGPQ","GSON1112030301")</f>
        <v>#NAME?</v>
      </c>
      <c r="K183" s="28" t="e">
        <f ca="1">[1]!BexGetData("DP_1","003N8EMH8GTFRIVNUPY288VJH","GSON1112030301")</f>
        <v>#NAME?</v>
      </c>
      <c r="L183" s="28" t="e">
        <f ca="1">[1]!BexGetData("DP_1","003N8EMH8GTFRIVNUPY2891V1","GSON1112030301")</f>
        <v>#NAME?</v>
      </c>
      <c r="M183" s="28" t="e">
        <f ca="1">[1]!BexGetData("DP_1","003N8EMH8GTFRIVOG7KG9IQXA","GSON1112030301")</f>
        <v>#NAME?</v>
      </c>
      <c r="N183" s="28" t="e">
        <f ca="1">[1]!BexGetData("DP_1","003N8EMH8GTFRIVOG7KG9IX8U","GSON1112030301")</f>
        <v>#NAME?</v>
      </c>
      <c r="O183" s="28" t="e">
        <f ca="1">[1]!BexGetData("DP_1","003N8EMH8GTFRIVOG7KG9J3KE","GSON1112030301")</f>
        <v>#NAME?</v>
      </c>
      <c r="P183" s="28" t="e">
        <f ca="1">[1]!BexGetData("DP_1","003N8EMH8GTFRIVOG7KG9J9VY","GSON1112030301")</f>
        <v>#NAME?</v>
      </c>
      <c r="Q183" s="24" t="e">
        <f ca="1">[1]!BexGetData("DP_1","00O2TNJGODT0G5Z4TTKYMM5MT","GSON1112030301")</f>
        <v>#NAME?</v>
      </c>
      <c r="R183" s="28" t="e">
        <f ca="1">[1]!BexGetData("DP_1","00O2TNJGODT0G5Z4TTKYMMBYD","GSON1112030301")</f>
        <v>#NAME?</v>
      </c>
      <c r="S183" s="28" t="e">
        <f ca="1">[1]!BexGetData("DP_1","00O2TNJGODT0G5Z4TTKYMMI9X","GSON1112030301")</f>
        <v>#NAME?</v>
      </c>
      <c r="T183" s="28" t="e">
        <f ca="1">[1]!BexGetData("DP_1","00O2TNJGODT0G5Z4TTKYMMOLH","GSON1112030301")</f>
        <v>#NAME?</v>
      </c>
      <c r="U183" s="28" t="e">
        <f ca="1">[1]!BexGetData("DP_1","00O2TNJGODT0G5Z4TTKYMMUX1","GSON1112030301")</f>
        <v>#NAME?</v>
      </c>
      <c r="V183" s="28" t="e">
        <f ca="1">[1]!BexGetData("DP_1","00O2TNJGODT0G5Z4TTKYMN18L","GSON1112030301")</f>
        <v>#NAME?</v>
      </c>
      <c r="W183" s="28" t="e">
        <f ca="1">[1]!BexGetData("DP_1","00O2TNJGODT0G5Z4TTKYMN7K5","GSON1112030301")</f>
        <v>#NAME?</v>
      </c>
    </row>
    <row r="184" spans="1:23" x14ac:dyDescent="0.2">
      <c r="A184" s="36" t="s">
        <v>2030</v>
      </c>
      <c r="B184" s="27" t="s">
        <v>2031</v>
      </c>
      <c r="C184" s="23" t="e">
        <f ca="1">[1]!BexGetData("DP_1","003N8EMH8GTFRCSWKMPXRR8GU","GSON1112030303")</f>
        <v>#NAME?</v>
      </c>
      <c r="D184" s="23" t="e">
        <f ca="1">[1]!BexGetData("DP_1","003N8EMH8GTFRCSWKMPXRRESE","GSON1112030303")</f>
        <v>#NAME?</v>
      </c>
      <c r="E184" s="23" t="e">
        <f ca="1">[1]!BexGetData("DP_1","003N8EMH8GTFRCSWKMPXRRL3Y","GSON1112030303")</f>
        <v>#NAME?</v>
      </c>
      <c r="F184" s="28" t="e">
        <f ca="1">[1]!BexGetData("DP_1","003N8EMH8GTFRCSWKMPXRRRFI","GSON1112030303")</f>
        <v>#NAME?</v>
      </c>
      <c r="G184" s="23" t="e">
        <f ca="1">[1]!BexGetData("DP_1","003N8EMH8GTFRCSWKMPXRRXR2","GSON1112030303")</f>
        <v>#NAME?</v>
      </c>
      <c r="H184" s="23" t="e">
        <f ca="1">[1]!BexGetData("DP_1","003N8EMH8GTFRCSWKMPXRS42M","GSON1112030303")</f>
        <v>#NAME?</v>
      </c>
      <c r="I184" s="28" t="e">
        <f ca="1">[1]!BexGetData("DP_1","003N8EMH8GTFRCSWKMPXRSAE6","GSON1112030303")</f>
        <v>#NAME?</v>
      </c>
      <c r="J184" s="24" t="e">
        <f ca="1">[1]!BexGetData("DP_1","003N8EMH8GTFRCSWKMPXRSGPQ","GSON1112030303")</f>
        <v>#NAME?</v>
      </c>
      <c r="K184" s="23" t="e">
        <f ca="1">[1]!BexGetData("DP_1","003N8EMH8GTFRIVNUPY288VJH","GSON1112030303")</f>
        <v>#NAME?</v>
      </c>
      <c r="L184" s="23" t="e">
        <f ca="1">[1]!BexGetData("DP_1","003N8EMH8GTFRIVNUPY2891V1","GSON1112030303")</f>
        <v>#NAME?</v>
      </c>
      <c r="M184" s="23" t="e">
        <f ca="1">[1]!BexGetData("DP_1","003N8EMH8GTFRIVOG7KG9IQXA","GSON1112030303")</f>
        <v>#NAME?</v>
      </c>
      <c r="N184" s="28" t="e">
        <f ca="1">[1]!BexGetData("DP_1","003N8EMH8GTFRIVOG7KG9IX8U","GSON1112030303")</f>
        <v>#NAME?</v>
      </c>
      <c r="O184" s="23" t="e">
        <f ca="1">[1]!BexGetData("DP_1","003N8EMH8GTFRIVOG7KG9J3KE","GSON1112030303")</f>
        <v>#NAME?</v>
      </c>
      <c r="P184" s="28" t="e">
        <f ca="1">[1]!BexGetData("DP_1","003N8EMH8GTFRIVOG7KG9J9VY","GSON1112030303")</f>
        <v>#NAME?</v>
      </c>
      <c r="Q184" s="24" t="e">
        <f ca="1">[1]!BexGetData("DP_1","00O2TNJGODT0G5Z4TTKYMM5MT","GSON1112030303")</f>
        <v>#NAME?</v>
      </c>
      <c r="R184" s="28" t="e">
        <f ca="1">[1]!BexGetData("DP_1","00O2TNJGODT0G5Z4TTKYMMBYD","GSON1112030303")</f>
        <v>#NAME?</v>
      </c>
      <c r="S184" s="28" t="e">
        <f ca="1">[1]!BexGetData("DP_1","00O2TNJGODT0G5Z4TTKYMMI9X","GSON1112030303")</f>
        <v>#NAME?</v>
      </c>
      <c r="T184" s="28" t="e">
        <f ca="1">[1]!BexGetData("DP_1","00O2TNJGODT0G5Z4TTKYMMOLH","GSON1112030303")</f>
        <v>#NAME?</v>
      </c>
      <c r="U184" s="28" t="e">
        <f ca="1">[1]!BexGetData("DP_1","00O2TNJGODT0G5Z4TTKYMMUX1","GSON1112030303")</f>
        <v>#NAME?</v>
      </c>
      <c r="V184" s="28" t="e">
        <f ca="1">[1]!BexGetData("DP_1","00O2TNJGODT0G5Z4TTKYMN18L","GSON1112030303")</f>
        <v>#NAME?</v>
      </c>
      <c r="W184" s="28" t="e">
        <f ca="1">[1]!BexGetData("DP_1","00O2TNJGODT0G5Z4TTKYMN7K5","GSON1112030303")</f>
        <v>#NAME?</v>
      </c>
    </row>
    <row r="185" spans="1:23" x14ac:dyDescent="0.2">
      <c r="A185" s="36" t="s">
        <v>2032</v>
      </c>
      <c r="B185" s="27" t="s">
        <v>2033</v>
      </c>
      <c r="C185" s="23" t="e">
        <f ca="1">[1]!BexGetData("DP_1","003N8EMH8GTFRCSWKMPXRR8GU","GSON1112030305")</f>
        <v>#NAME?</v>
      </c>
      <c r="D185" s="23" t="e">
        <f ca="1">[1]!BexGetData("DP_1","003N8EMH8GTFRCSWKMPXRRESE","GSON1112030305")</f>
        <v>#NAME?</v>
      </c>
      <c r="E185" s="28" t="e">
        <f ca="1">[1]!BexGetData("DP_1","003N8EMH8GTFRCSWKMPXRRL3Y","GSON1112030305")</f>
        <v>#NAME?</v>
      </c>
      <c r="F185" s="28" t="e">
        <f ca="1">[1]!BexGetData("DP_1","003N8EMH8GTFRCSWKMPXRRRFI","GSON1112030305")</f>
        <v>#NAME?</v>
      </c>
      <c r="G185" s="23" t="e">
        <f ca="1">[1]!BexGetData("DP_1","003N8EMH8GTFRCSWKMPXRRXR2","GSON1112030305")</f>
        <v>#NAME?</v>
      </c>
      <c r="H185" s="23" t="e">
        <f ca="1">[1]!BexGetData("DP_1","003N8EMH8GTFRCSWKMPXRS42M","GSON1112030305")</f>
        <v>#NAME?</v>
      </c>
      <c r="I185" s="28" t="e">
        <f ca="1">[1]!BexGetData("DP_1","003N8EMH8GTFRCSWKMPXRSAE6","GSON1112030305")</f>
        <v>#NAME?</v>
      </c>
      <c r="J185" s="24" t="e">
        <f ca="1">[1]!BexGetData("DP_1","003N8EMH8GTFRCSWKMPXRSGPQ","GSON1112030305")</f>
        <v>#NAME?</v>
      </c>
      <c r="K185" s="28" t="e">
        <f ca="1">[1]!BexGetData("DP_1","003N8EMH8GTFRIVNUPY288VJH","GSON1112030305")</f>
        <v>#NAME?</v>
      </c>
      <c r="L185" s="28" t="e">
        <f ca="1">[1]!BexGetData("DP_1","003N8EMH8GTFRIVNUPY2891V1","GSON1112030305")</f>
        <v>#NAME?</v>
      </c>
      <c r="M185" s="28" t="e">
        <f ca="1">[1]!BexGetData("DP_1","003N8EMH8GTFRIVOG7KG9IQXA","GSON1112030305")</f>
        <v>#NAME?</v>
      </c>
      <c r="N185" s="28" t="e">
        <f ca="1">[1]!BexGetData("DP_1","003N8EMH8GTFRIVOG7KG9IX8U","GSON1112030305")</f>
        <v>#NAME?</v>
      </c>
      <c r="O185" s="28" t="e">
        <f ca="1">[1]!BexGetData("DP_1","003N8EMH8GTFRIVOG7KG9J3KE","GSON1112030305")</f>
        <v>#NAME?</v>
      </c>
      <c r="P185" s="28" t="e">
        <f ca="1">[1]!BexGetData("DP_1","003N8EMH8GTFRIVOG7KG9J9VY","GSON1112030305")</f>
        <v>#NAME?</v>
      </c>
      <c r="Q185" s="24" t="e">
        <f ca="1">[1]!BexGetData("DP_1","00O2TNJGODT0G5Z4TTKYMM5MT","GSON1112030305")</f>
        <v>#NAME?</v>
      </c>
      <c r="R185" s="28" t="e">
        <f ca="1">[1]!BexGetData("DP_1","00O2TNJGODT0G5Z4TTKYMMBYD","GSON1112030305")</f>
        <v>#NAME?</v>
      </c>
      <c r="S185" s="28" t="e">
        <f ca="1">[1]!BexGetData("DP_1","00O2TNJGODT0G5Z4TTKYMMI9X","GSON1112030305")</f>
        <v>#NAME?</v>
      </c>
      <c r="T185" s="28" t="e">
        <f ca="1">[1]!BexGetData("DP_1","00O2TNJGODT0G5Z4TTKYMMOLH","GSON1112030305")</f>
        <v>#NAME?</v>
      </c>
      <c r="U185" s="28" t="e">
        <f ca="1">[1]!BexGetData("DP_1","00O2TNJGODT0G5Z4TTKYMMUX1","GSON1112030305")</f>
        <v>#NAME?</v>
      </c>
      <c r="V185" s="28" t="e">
        <f ca="1">[1]!BexGetData("DP_1","00O2TNJGODT0G5Z4TTKYMN18L","GSON1112030305")</f>
        <v>#NAME?</v>
      </c>
      <c r="W185" s="28" t="e">
        <f ca="1">[1]!BexGetData("DP_1","00O2TNJGODT0G5Z4TTKYMN7K5","GSON1112030305")</f>
        <v>#NAME?</v>
      </c>
    </row>
    <row r="186" spans="1:23" x14ac:dyDescent="0.2">
      <c r="A186" s="36" t="s">
        <v>2034</v>
      </c>
      <c r="B186" s="27" t="s">
        <v>786</v>
      </c>
      <c r="C186" s="23" t="e">
        <f ca="1">[1]!BexGetData("DP_1","003N8EMH8GTFRCSWKMPXRR8GU","GSON1112030310")</f>
        <v>#NAME?</v>
      </c>
      <c r="D186" s="23" t="e">
        <f ca="1">[1]!BexGetData("DP_1","003N8EMH8GTFRCSWKMPXRRESE","GSON1112030310")</f>
        <v>#NAME?</v>
      </c>
      <c r="E186" s="23" t="e">
        <f ca="1">[1]!BexGetData("DP_1","003N8EMH8GTFRCSWKMPXRRL3Y","GSON1112030310")</f>
        <v>#NAME?</v>
      </c>
      <c r="F186" s="23" t="e">
        <f ca="1">[1]!BexGetData("DP_1","003N8EMH8GTFRCSWKMPXRRRFI","GSON1112030310")</f>
        <v>#NAME?</v>
      </c>
      <c r="G186" s="23" t="e">
        <f ca="1">[1]!BexGetData("DP_1","003N8EMH8GTFRCSWKMPXRRXR2","GSON1112030310")</f>
        <v>#NAME?</v>
      </c>
      <c r="H186" s="23" t="e">
        <f ca="1">[1]!BexGetData("DP_1","003N8EMH8GTFRCSWKMPXRS42M","GSON1112030310")</f>
        <v>#NAME?</v>
      </c>
      <c r="I186" s="23" t="e">
        <f ca="1">[1]!BexGetData("DP_1","003N8EMH8GTFRCSWKMPXRSAE6","GSON1112030310")</f>
        <v>#NAME?</v>
      </c>
      <c r="J186" s="23" t="e">
        <f ca="1">[1]!BexGetData("DP_1","003N8EMH8GTFRCSWKMPXRSGPQ","GSON1112030310")</f>
        <v>#NAME?</v>
      </c>
      <c r="K186" s="23" t="e">
        <f ca="1">[1]!BexGetData("DP_1","003N8EMH8GTFRIVNUPY288VJH","GSON1112030310")</f>
        <v>#NAME?</v>
      </c>
      <c r="L186" s="23" t="e">
        <f ca="1">[1]!BexGetData("DP_1","003N8EMH8GTFRIVNUPY2891V1","GSON1112030310")</f>
        <v>#NAME?</v>
      </c>
      <c r="M186" s="23" t="e">
        <f ca="1">[1]!BexGetData("DP_1","003N8EMH8GTFRIVOG7KG9IQXA","GSON1112030310")</f>
        <v>#NAME?</v>
      </c>
      <c r="N186" s="28" t="e">
        <f ca="1">[1]!BexGetData("DP_1","003N8EMH8GTFRIVOG7KG9IX8U","GSON1112030310")</f>
        <v>#NAME?</v>
      </c>
      <c r="O186" s="23" t="e">
        <f ca="1">[1]!BexGetData("DP_1","003N8EMH8GTFRIVOG7KG9J3KE","GSON1112030310")</f>
        <v>#NAME?</v>
      </c>
      <c r="P186" s="28" t="e">
        <f ca="1">[1]!BexGetData("DP_1","003N8EMH8GTFRIVOG7KG9J9VY","GSON1112030310")</f>
        <v>#NAME?</v>
      </c>
      <c r="Q186" s="23" t="e">
        <f ca="1">[1]!BexGetData("DP_1","00O2TNJGODT0G5Z4TTKYMM5MT","GSON1112030310")</f>
        <v>#NAME?</v>
      </c>
      <c r="R186" s="23" t="e">
        <f ca="1">[1]!BexGetData("DP_1","00O2TNJGODT0G5Z4TTKYMMBYD","GSON1112030310")</f>
        <v>#NAME?</v>
      </c>
      <c r="S186" s="23" t="e">
        <f ca="1">[1]!BexGetData("DP_1","00O2TNJGODT0G5Z4TTKYMMI9X","GSON1112030310")</f>
        <v>#NAME?</v>
      </c>
      <c r="T186" s="28" t="e">
        <f ca="1">[1]!BexGetData("DP_1","00O2TNJGODT0G5Z4TTKYMMOLH","GSON1112030310")</f>
        <v>#NAME?</v>
      </c>
      <c r="U186" s="23" t="e">
        <f ca="1">[1]!BexGetData("DP_1","00O2TNJGODT0G5Z4TTKYMMUX1","GSON1112030310")</f>
        <v>#NAME?</v>
      </c>
      <c r="V186" s="28" t="e">
        <f ca="1">[1]!BexGetData("DP_1","00O2TNJGODT0G5Z4TTKYMN18L","GSON1112030310")</f>
        <v>#NAME?</v>
      </c>
      <c r="W186" s="23" t="e">
        <f ca="1">[1]!BexGetData("DP_1","00O2TNJGODT0G5Z4TTKYMN7K5","GSON1112030310")</f>
        <v>#NAME?</v>
      </c>
    </row>
    <row r="187" spans="1:23" x14ac:dyDescent="0.2">
      <c r="A187" s="36" t="s">
        <v>2035</v>
      </c>
      <c r="B187" s="27" t="s">
        <v>787</v>
      </c>
      <c r="C187" s="23" t="e">
        <f ca="1">[1]!BexGetData("DP_1","003N8EMH8GTFRCSWKMPXRR8GU","GSON1112030311")</f>
        <v>#NAME?</v>
      </c>
      <c r="D187" s="23" t="e">
        <f ca="1">[1]!BexGetData("DP_1","003N8EMH8GTFRCSWKMPXRRESE","GSON1112030311")</f>
        <v>#NAME?</v>
      </c>
      <c r="E187" s="28" t="e">
        <f ca="1">[1]!BexGetData("DP_1","003N8EMH8GTFRCSWKMPXRRL3Y","GSON1112030311")</f>
        <v>#NAME?</v>
      </c>
      <c r="F187" s="28" t="e">
        <f ca="1">[1]!BexGetData("DP_1","003N8EMH8GTFRCSWKMPXRRRFI","GSON1112030311")</f>
        <v>#NAME?</v>
      </c>
      <c r="G187" s="23" t="e">
        <f ca="1">[1]!BexGetData("DP_1","003N8EMH8GTFRCSWKMPXRRXR2","GSON1112030311")</f>
        <v>#NAME?</v>
      </c>
      <c r="H187" s="23" t="e">
        <f ca="1">[1]!BexGetData("DP_1","003N8EMH8GTFRCSWKMPXRS42M","GSON1112030311")</f>
        <v>#NAME?</v>
      </c>
      <c r="I187" s="28" t="e">
        <f ca="1">[1]!BexGetData("DP_1","003N8EMH8GTFRCSWKMPXRSAE6","GSON1112030311")</f>
        <v>#NAME?</v>
      </c>
      <c r="J187" s="24" t="e">
        <f ca="1">[1]!BexGetData("DP_1","003N8EMH8GTFRCSWKMPXRSGPQ","GSON1112030311")</f>
        <v>#NAME?</v>
      </c>
      <c r="K187" s="28" t="e">
        <f ca="1">[1]!BexGetData("DP_1","003N8EMH8GTFRIVNUPY288VJH","GSON1112030311")</f>
        <v>#NAME?</v>
      </c>
      <c r="L187" s="28" t="e">
        <f ca="1">[1]!BexGetData("DP_1","003N8EMH8GTFRIVNUPY2891V1","GSON1112030311")</f>
        <v>#NAME?</v>
      </c>
      <c r="M187" s="28" t="e">
        <f ca="1">[1]!BexGetData("DP_1","003N8EMH8GTFRIVOG7KG9IQXA","GSON1112030311")</f>
        <v>#NAME?</v>
      </c>
      <c r="N187" s="28" t="e">
        <f ca="1">[1]!BexGetData("DP_1","003N8EMH8GTFRIVOG7KG9IX8U","GSON1112030311")</f>
        <v>#NAME?</v>
      </c>
      <c r="O187" s="28" t="e">
        <f ca="1">[1]!BexGetData("DP_1","003N8EMH8GTFRIVOG7KG9J3KE","GSON1112030311")</f>
        <v>#NAME?</v>
      </c>
      <c r="P187" s="28" t="e">
        <f ca="1">[1]!BexGetData("DP_1","003N8EMH8GTFRIVOG7KG9J9VY","GSON1112030311")</f>
        <v>#NAME?</v>
      </c>
      <c r="Q187" s="24" t="e">
        <f ca="1">[1]!BexGetData("DP_1","00O2TNJGODT0G5Z4TTKYMM5MT","GSON1112030311")</f>
        <v>#NAME?</v>
      </c>
      <c r="R187" s="28" t="e">
        <f ca="1">[1]!BexGetData("DP_1","00O2TNJGODT0G5Z4TTKYMMBYD","GSON1112030311")</f>
        <v>#NAME?</v>
      </c>
      <c r="S187" s="28" t="e">
        <f ca="1">[1]!BexGetData("DP_1","00O2TNJGODT0G5Z4TTKYMMI9X","GSON1112030311")</f>
        <v>#NAME?</v>
      </c>
      <c r="T187" s="28" t="e">
        <f ca="1">[1]!BexGetData("DP_1","00O2TNJGODT0G5Z4TTKYMMOLH","GSON1112030311")</f>
        <v>#NAME?</v>
      </c>
      <c r="U187" s="28" t="e">
        <f ca="1">[1]!BexGetData("DP_1","00O2TNJGODT0G5Z4TTKYMMUX1","GSON1112030311")</f>
        <v>#NAME?</v>
      </c>
      <c r="V187" s="28" t="e">
        <f ca="1">[1]!BexGetData("DP_1","00O2TNJGODT0G5Z4TTKYMN18L","GSON1112030311")</f>
        <v>#NAME?</v>
      </c>
      <c r="W187" s="28" t="e">
        <f ca="1">[1]!BexGetData("DP_1","00O2TNJGODT0G5Z4TTKYMN7K5","GSON1112030311")</f>
        <v>#NAME?</v>
      </c>
    </row>
    <row r="188" spans="1:23" x14ac:dyDescent="0.2">
      <c r="A188" s="36" t="s">
        <v>2036</v>
      </c>
      <c r="B188" s="27" t="s">
        <v>2037</v>
      </c>
      <c r="C188" s="23" t="e">
        <f ca="1">[1]!BexGetData("DP_1","003N8EMH8GTFRCSWKMPXRR8GU","GSON1112030313")</f>
        <v>#NAME?</v>
      </c>
      <c r="D188" s="23" t="e">
        <f ca="1">[1]!BexGetData("DP_1","003N8EMH8GTFRCSWKMPXRRESE","GSON1112030313")</f>
        <v>#NAME?</v>
      </c>
      <c r="E188" s="28" t="e">
        <f ca="1">[1]!BexGetData("DP_1","003N8EMH8GTFRCSWKMPXRRL3Y","GSON1112030313")</f>
        <v>#NAME?</v>
      </c>
      <c r="F188" s="28" t="e">
        <f ca="1">[1]!BexGetData("DP_1","003N8EMH8GTFRCSWKMPXRRRFI","GSON1112030313")</f>
        <v>#NAME?</v>
      </c>
      <c r="G188" s="23" t="e">
        <f ca="1">[1]!BexGetData("DP_1","003N8EMH8GTFRCSWKMPXRRXR2","GSON1112030313")</f>
        <v>#NAME?</v>
      </c>
      <c r="H188" s="23" t="e">
        <f ca="1">[1]!BexGetData("DP_1","003N8EMH8GTFRCSWKMPXRS42M","GSON1112030313")</f>
        <v>#NAME?</v>
      </c>
      <c r="I188" s="28" t="e">
        <f ca="1">[1]!BexGetData("DP_1","003N8EMH8GTFRCSWKMPXRSAE6","GSON1112030313")</f>
        <v>#NAME?</v>
      </c>
      <c r="J188" s="24" t="e">
        <f ca="1">[1]!BexGetData("DP_1","003N8EMH8GTFRCSWKMPXRSGPQ","GSON1112030313")</f>
        <v>#NAME?</v>
      </c>
      <c r="K188" s="28" t="e">
        <f ca="1">[1]!BexGetData("DP_1","003N8EMH8GTFRIVNUPY288VJH","GSON1112030313")</f>
        <v>#NAME?</v>
      </c>
      <c r="L188" s="28" t="e">
        <f ca="1">[1]!BexGetData("DP_1","003N8EMH8GTFRIVNUPY2891V1","GSON1112030313")</f>
        <v>#NAME?</v>
      </c>
      <c r="M188" s="28" t="e">
        <f ca="1">[1]!BexGetData("DP_1","003N8EMH8GTFRIVOG7KG9IQXA","GSON1112030313")</f>
        <v>#NAME?</v>
      </c>
      <c r="N188" s="28" t="e">
        <f ca="1">[1]!BexGetData("DP_1","003N8EMH8GTFRIVOG7KG9IX8U","GSON1112030313")</f>
        <v>#NAME?</v>
      </c>
      <c r="O188" s="28" t="e">
        <f ca="1">[1]!BexGetData("DP_1","003N8EMH8GTFRIVOG7KG9J3KE","GSON1112030313")</f>
        <v>#NAME?</v>
      </c>
      <c r="P188" s="28" t="e">
        <f ca="1">[1]!BexGetData("DP_1","003N8EMH8GTFRIVOG7KG9J9VY","GSON1112030313")</f>
        <v>#NAME?</v>
      </c>
      <c r="Q188" s="24" t="e">
        <f ca="1">[1]!BexGetData("DP_1","00O2TNJGODT0G5Z4TTKYMM5MT","GSON1112030313")</f>
        <v>#NAME?</v>
      </c>
      <c r="R188" s="28" t="e">
        <f ca="1">[1]!BexGetData("DP_1","00O2TNJGODT0G5Z4TTKYMMBYD","GSON1112030313")</f>
        <v>#NAME?</v>
      </c>
      <c r="S188" s="28" t="e">
        <f ca="1">[1]!BexGetData("DP_1","00O2TNJGODT0G5Z4TTKYMMI9X","GSON1112030313")</f>
        <v>#NAME?</v>
      </c>
      <c r="T188" s="28" t="e">
        <f ca="1">[1]!BexGetData("DP_1","00O2TNJGODT0G5Z4TTKYMMOLH","GSON1112030313")</f>
        <v>#NAME?</v>
      </c>
      <c r="U188" s="28" t="e">
        <f ca="1">[1]!BexGetData("DP_1","00O2TNJGODT0G5Z4TTKYMMUX1","GSON1112030313")</f>
        <v>#NAME?</v>
      </c>
      <c r="V188" s="28" t="e">
        <f ca="1">[1]!BexGetData("DP_1","00O2TNJGODT0G5Z4TTKYMN18L","GSON1112030313")</f>
        <v>#NAME?</v>
      </c>
      <c r="W188" s="28" t="e">
        <f ca="1">[1]!BexGetData("DP_1","00O2TNJGODT0G5Z4TTKYMN7K5","GSON1112030313")</f>
        <v>#NAME?</v>
      </c>
    </row>
    <row r="189" spans="1:23" x14ac:dyDescent="0.2">
      <c r="A189" s="36" t="s">
        <v>2038</v>
      </c>
      <c r="B189" s="27" t="s">
        <v>2039</v>
      </c>
      <c r="C189" s="23" t="e">
        <f ca="1">[1]!BexGetData("DP_1","003N8EMH8GTFRCSWKMPXRR8GU","GSON1112030315")</f>
        <v>#NAME?</v>
      </c>
      <c r="D189" s="23" t="e">
        <f ca="1">[1]!BexGetData("DP_1","003N8EMH8GTFRCSWKMPXRRESE","GSON1112030315")</f>
        <v>#NAME?</v>
      </c>
      <c r="E189" s="28" t="e">
        <f ca="1">[1]!BexGetData("DP_1","003N8EMH8GTFRCSWKMPXRRL3Y","GSON1112030315")</f>
        <v>#NAME?</v>
      </c>
      <c r="F189" s="28" t="e">
        <f ca="1">[1]!BexGetData("DP_1","003N8EMH8GTFRCSWKMPXRRRFI","GSON1112030315")</f>
        <v>#NAME?</v>
      </c>
      <c r="G189" s="23" t="e">
        <f ca="1">[1]!BexGetData("DP_1","003N8EMH8GTFRCSWKMPXRRXR2","GSON1112030315")</f>
        <v>#NAME?</v>
      </c>
      <c r="H189" s="23" t="e">
        <f ca="1">[1]!BexGetData("DP_1","003N8EMH8GTFRCSWKMPXRS42M","GSON1112030315")</f>
        <v>#NAME?</v>
      </c>
      <c r="I189" s="28" t="e">
        <f ca="1">[1]!BexGetData("DP_1","003N8EMH8GTFRCSWKMPXRSAE6","GSON1112030315")</f>
        <v>#NAME?</v>
      </c>
      <c r="J189" s="24" t="e">
        <f ca="1">[1]!BexGetData("DP_1","003N8EMH8GTFRCSWKMPXRSGPQ","GSON1112030315")</f>
        <v>#NAME?</v>
      </c>
      <c r="K189" s="28" t="e">
        <f ca="1">[1]!BexGetData("DP_1","003N8EMH8GTFRIVNUPY288VJH","GSON1112030315")</f>
        <v>#NAME?</v>
      </c>
      <c r="L189" s="28" t="e">
        <f ca="1">[1]!BexGetData("DP_1","003N8EMH8GTFRIVNUPY2891V1","GSON1112030315")</f>
        <v>#NAME?</v>
      </c>
      <c r="M189" s="28" t="e">
        <f ca="1">[1]!BexGetData("DP_1","003N8EMH8GTFRIVOG7KG9IQXA","GSON1112030315")</f>
        <v>#NAME?</v>
      </c>
      <c r="N189" s="28" t="e">
        <f ca="1">[1]!BexGetData("DP_1","003N8EMH8GTFRIVOG7KG9IX8U","GSON1112030315")</f>
        <v>#NAME?</v>
      </c>
      <c r="O189" s="28" t="e">
        <f ca="1">[1]!BexGetData("DP_1","003N8EMH8GTFRIVOG7KG9J3KE","GSON1112030315")</f>
        <v>#NAME?</v>
      </c>
      <c r="P189" s="28" t="e">
        <f ca="1">[1]!BexGetData("DP_1","003N8EMH8GTFRIVOG7KG9J9VY","GSON1112030315")</f>
        <v>#NAME?</v>
      </c>
      <c r="Q189" s="24" t="e">
        <f ca="1">[1]!BexGetData("DP_1","00O2TNJGODT0G5Z4TTKYMM5MT","GSON1112030315")</f>
        <v>#NAME?</v>
      </c>
      <c r="R189" s="28" t="e">
        <f ca="1">[1]!BexGetData("DP_1","00O2TNJGODT0G5Z4TTKYMMBYD","GSON1112030315")</f>
        <v>#NAME?</v>
      </c>
      <c r="S189" s="28" t="e">
        <f ca="1">[1]!BexGetData("DP_1","00O2TNJGODT0G5Z4TTKYMMI9X","GSON1112030315")</f>
        <v>#NAME?</v>
      </c>
      <c r="T189" s="28" t="e">
        <f ca="1">[1]!BexGetData("DP_1","00O2TNJGODT0G5Z4TTKYMMOLH","GSON1112030315")</f>
        <v>#NAME?</v>
      </c>
      <c r="U189" s="28" t="e">
        <f ca="1">[1]!BexGetData("DP_1","00O2TNJGODT0G5Z4TTKYMMUX1","GSON1112030315")</f>
        <v>#NAME?</v>
      </c>
      <c r="V189" s="28" t="e">
        <f ca="1">[1]!BexGetData("DP_1","00O2TNJGODT0G5Z4TTKYMN18L","GSON1112030315")</f>
        <v>#NAME?</v>
      </c>
      <c r="W189" s="28" t="e">
        <f ca="1">[1]!BexGetData("DP_1","00O2TNJGODT0G5Z4TTKYMN7K5","GSON1112030315")</f>
        <v>#NAME?</v>
      </c>
    </row>
    <row r="190" spans="1:23" x14ac:dyDescent="0.2">
      <c r="A190" s="36" t="s">
        <v>2040</v>
      </c>
      <c r="B190" s="27" t="s">
        <v>788</v>
      </c>
      <c r="C190" s="28" t="e">
        <f ca="1">[1]!BexGetData("DP_1","003N8EMH8GTFRCSWKMPXRR8GU","GSON1112030320")</f>
        <v>#NAME?</v>
      </c>
      <c r="D190" s="28" t="e">
        <f ca="1">[1]!BexGetData("DP_1","003N8EMH8GTFRCSWKMPXRRESE","GSON1112030320")</f>
        <v>#NAME?</v>
      </c>
      <c r="E190" s="28" t="e">
        <f ca="1">[1]!BexGetData("DP_1","003N8EMH8GTFRCSWKMPXRRL3Y","GSON1112030320")</f>
        <v>#NAME?</v>
      </c>
      <c r="F190" s="28" t="e">
        <f ca="1">[1]!BexGetData("DP_1","003N8EMH8GTFRCSWKMPXRRRFI","GSON1112030320")</f>
        <v>#NAME?</v>
      </c>
      <c r="G190" s="23" t="e">
        <f ca="1">[1]!BexGetData("DP_1","003N8EMH8GTFRCSWKMPXRRXR2","GSON1112030320")</f>
        <v>#NAME?</v>
      </c>
      <c r="H190" s="23" t="e">
        <f ca="1">[1]!BexGetData("DP_1","003N8EMH8GTFRCSWKMPXRS42M","GSON1112030320")</f>
        <v>#NAME?</v>
      </c>
      <c r="I190" s="28" t="e">
        <f ca="1">[1]!BexGetData("DP_1","003N8EMH8GTFRCSWKMPXRSAE6","GSON1112030320")</f>
        <v>#NAME?</v>
      </c>
      <c r="J190" s="23" t="e">
        <f ca="1">[1]!BexGetData("DP_1","003N8EMH8GTFRCSWKMPXRSGPQ","GSON1112030320")</f>
        <v>#NAME?</v>
      </c>
      <c r="K190" s="28" t="e">
        <f ca="1">[1]!BexGetData("DP_1","003N8EMH8GTFRIVNUPY288VJH","GSON1112030320")</f>
        <v>#NAME?</v>
      </c>
      <c r="L190" s="28" t="e">
        <f ca="1">[1]!BexGetData("DP_1","003N8EMH8GTFRIVNUPY2891V1","GSON1112030320")</f>
        <v>#NAME?</v>
      </c>
      <c r="M190" s="28" t="e">
        <f ca="1">[1]!BexGetData("DP_1","003N8EMH8GTFRIVOG7KG9IQXA","GSON1112030320")</f>
        <v>#NAME?</v>
      </c>
      <c r="N190" s="28" t="e">
        <f ca="1">[1]!BexGetData("DP_1","003N8EMH8GTFRIVOG7KG9IX8U","GSON1112030320")</f>
        <v>#NAME?</v>
      </c>
      <c r="O190" s="28" t="e">
        <f ca="1">[1]!BexGetData("DP_1","003N8EMH8GTFRIVOG7KG9J3KE","GSON1112030320")</f>
        <v>#NAME?</v>
      </c>
      <c r="P190" s="28" t="e">
        <f ca="1">[1]!BexGetData("DP_1","003N8EMH8GTFRIVOG7KG9J9VY","GSON1112030320")</f>
        <v>#NAME?</v>
      </c>
      <c r="Q190" s="23" t="e">
        <f ca="1">[1]!BexGetData("DP_1","00O2TNJGODT0G5Z4TTKYMM5MT","GSON1112030320")</f>
        <v>#NAME?</v>
      </c>
      <c r="R190" s="23" t="e">
        <f ca="1">[1]!BexGetData("DP_1","00O2TNJGODT0G5Z4TTKYMMBYD","GSON1112030320")</f>
        <v>#NAME?</v>
      </c>
      <c r="S190" s="23" t="e">
        <f ca="1">[1]!BexGetData("DP_1","00O2TNJGODT0G5Z4TTKYMMI9X","GSON1112030320")</f>
        <v>#NAME?</v>
      </c>
      <c r="T190" s="23" t="e">
        <f ca="1">[1]!BexGetData("DP_1","00O2TNJGODT0G5Z4TTKYMMOLH","GSON1112030320")</f>
        <v>#NAME?</v>
      </c>
      <c r="U190" s="28" t="e">
        <f ca="1">[1]!BexGetData("DP_1","00O2TNJGODT0G5Z4TTKYMMUX1","GSON1112030320")</f>
        <v>#NAME?</v>
      </c>
      <c r="V190" s="23" t="e">
        <f ca="1">[1]!BexGetData("DP_1","00O2TNJGODT0G5Z4TTKYMN18L","GSON1112030320")</f>
        <v>#NAME?</v>
      </c>
      <c r="W190" s="28" t="e">
        <f ca="1">[1]!BexGetData("DP_1","00O2TNJGODT0G5Z4TTKYMN7K5","GSON1112030320")</f>
        <v>#NAME?</v>
      </c>
    </row>
    <row r="191" spans="1:23" x14ac:dyDescent="0.2">
      <c r="A191" s="36" t="s">
        <v>2041</v>
      </c>
      <c r="B191" s="27" t="s">
        <v>789</v>
      </c>
      <c r="C191" s="24" t="e">
        <f ca="1">[1]!BexGetData("DP_1","003N8EMH8GTFRCSWKMPXRR8GU","GSON1112030321")</f>
        <v>#NAME?</v>
      </c>
      <c r="D191" s="24" t="e">
        <f ca="1">[1]!BexGetData("DP_1","003N8EMH8GTFRCSWKMPXRRESE","GSON1112030321")</f>
        <v>#NAME?</v>
      </c>
      <c r="E191" s="24" t="e">
        <f ca="1">[1]!BexGetData("DP_1","003N8EMH8GTFRCSWKMPXRRL3Y","GSON1112030321")</f>
        <v>#NAME?</v>
      </c>
      <c r="F191" s="28" t="e">
        <f ca="1">[1]!BexGetData("DP_1","003N8EMH8GTFRCSWKMPXRRRFI","GSON1112030321")</f>
        <v>#NAME?</v>
      </c>
      <c r="G191" s="23" t="e">
        <f ca="1">[1]!BexGetData("DP_1","003N8EMH8GTFRCSWKMPXRRXR2","GSON1112030321")</f>
        <v>#NAME?</v>
      </c>
      <c r="H191" s="23" t="e">
        <f ca="1">[1]!BexGetData("DP_1","003N8EMH8GTFRCSWKMPXRS42M","GSON1112030321")</f>
        <v>#NAME?</v>
      </c>
      <c r="I191" s="28" t="e">
        <f ca="1">[1]!BexGetData("DP_1","003N8EMH8GTFRCSWKMPXRSAE6","GSON1112030321")</f>
        <v>#NAME?</v>
      </c>
      <c r="J191" s="24" t="e">
        <f ca="1">[1]!BexGetData("DP_1","003N8EMH8GTFRCSWKMPXRSGPQ","GSON1112030321")</f>
        <v>#NAME?</v>
      </c>
      <c r="K191" s="28" t="e">
        <f ca="1">[1]!BexGetData("DP_1","003N8EMH8GTFRIVNUPY288VJH","GSON1112030321")</f>
        <v>#NAME?</v>
      </c>
      <c r="L191" s="28" t="e">
        <f ca="1">[1]!BexGetData("DP_1","003N8EMH8GTFRIVNUPY2891V1","GSON1112030321")</f>
        <v>#NAME?</v>
      </c>
      <c r="M191" s="28" t="e">
        <f ca="1">[1]!BexGetData("DP_1","003N8EMH8GTFRIVOG7KG9IQXA","GSON1112030321")</f>
        <v>#NAME?</v>
      </c>
      <c r="N191" s="28" t="e">
        <f ca="1">[1]!BexGetData("DP_1","003N8EMH8GTFRIVOG7KG9IX8U","GSON1112030321")</f>
        <v>#NAME?</v>
      </c>
      <c r="O191" s="28" t="e">
        <f ca="1">[1]!BexGetData("DP_1","003N8EMH8GTFRIVOG7KG9J3KE","GSON1112030321")</f>
        <v>#NAME?</v>
      </c>
      <c r="P191" s="28" t="e">
        <f ca="1">[1]!BexGetData("DP_1","003N8EMH8GTFRIVOG7KG9J9VY","GSON1112030321")</f>
        <v>#NAME?</v>
      </c>
      <c r="Q191" s="24" t="e">
        <f ca="1">[1]!BexGetData("DP_1","00O2TNJGODT0G5Z4TTKYMM5MT","GSON1112030321")</f>
        <v>#NAME?</v>
      </c>
      <c r="R191" s="28" t="e">
        <f ca="1">[1]!BexGetData("DP_1","00O2TNJGODT0G5Z4TTKYMMBYD","GSON1112030321")</f>
        <v>#NAME?</v>
      </c>
      <c r="S191" s="28" t="e">
        <f ca="1">[1]!BexGetData("DP_1","00O2TNJGODT0G5Z4TTKYMMI9X","GSON1112030321")</f>
        <v>#NAME?</v>
      </c>
      <c r="T191" s="28" t="e">
        <f ca="1">[1]!BexGetData("DP_1","00O2TNJGODT0G5Z4TTKYMMOLH","GSON1112030321")</f>
        <v>#NAME?</v>
      </c>
      <c r="U191" s="28" t="e">
        <f ca="1">[1]!BexGetData("DP_1","00O2TNJGODT0G5Z4TTKYMMUX1","GSON1112030321")</f>
        <v>#NAME?</v>
      </c>
      <c r="V191" s="28" t="e">
        <f ca="1">[1]!BexGetData("DP_1","00O2TNJGODT0G5Z4TTKYMN18L","GSON1112030321")</f>
        <v>#NAME?</v>
      </c>
      <c r="W191" s="28" t="e">
        <f ca="1">[1]!BexGetData("DP_1","00O2TNJGODT0G5Z4TTKYMN7K5","GSON1112030321")</f>
        <v>#NAME?</v>
      </c>
    </row>
    <row r="192" spans="1:23" x14ac:dyDescent="0.2">
      <c r="A192" s="36" t="s">
        <v>2042</v>
      </c>
      <c r="B192" s="27" t="s">
        <v>2043</v>
      </c>
      <c r="C192" s="24" t="e">
        <f ca="1">[1]!BexGetData("DP_1","003N8EMH8GTFRCSWKMPXRR8GU","GSON1112030323")</f>
        <v>#NAME?</v>
      </c>
      <c r="D192" s="24" t="e">
        <f ca="1">[1]!BexGetData("DP_1","003N8EMH8GTFRCSWKMPXRRESE","GSON1112030323")</f>
        <v>#NAME?</v>
      </c>
      <c r="E192" s="24" t="e">
        <f ca="1">[1]!BexGetData("DP_1","003N8EMH8GTFRCSWKMPXRRL3Y","GSON1112030323")</f>
        <v>#NAME?</v>
      </c>
      <c r="F192" s="28" t="e">
        <f ca="1">[1]!BexGetData("DP_1","003N8EMH8GTFRCSWKMPXRRRFI","GSON1112030323")</f>
        <v>#NAME?</v>
      </c>
      <c r="G192" s="23" t="e">
        <f ca="1">[1]!BexGetData("DP_1","003N8EMH8GTFRCSWKMPXRRXR2","GSON1112030323")</f>
        <v>#NAME?</v>
      </c>
      <c r="H192" s="23" t="e">
        <f ca="1">[1]!BexGetData("DP_1","003N8EMH8GTFRCSWKMPXRS42M","GSON1112030323")</f>
        <v>#NAME?</v>
      </c>
      <c r="I192" s="28" t="e">
        <f ca="1">[1]!BexGetData("DP_1","003N8EMH8GTFRCSWKMPXRSAE6","GSON1112030323")</f>
        <v>#NAME?</v>
      </c>
      <c r="J192" s="24" t="e">
        <f ca="1">[1]!BexGetData("DP_1","003N8EMH8GTFRCSWKMPXRSGPQ","GSON1112030323")</f>
        <v>#NAME?</v>
      </c>
      <c r="K192" s="28" t="e">
        <f ca="1">[1]!BexGetData("DP_1","003N8EMH8GTFRIVNUPY288VJH","GSON1112030323")</f>
        <v>#NAME?</v>
      </c>
      <c r="L192" s="28" t="e">
        <f ca="1">[1]!BexGetData("DP_1","003N8EMH8GTFRIVNUPY2891V1","GSON1112030323")</f>
        <v>#NAME?</v>
      </c>
      <c r="M192" s="28" t="e">
        <f ca="1">[1]!BexGetData("DP_1","003N8EMH8GTFRIVOG7KG9IQXA","GSON1112030323")</f>
        <v>#NAME?</v>
      </c>
      <c r="N192" s="28" t="e">
        <f ca="1">[1]!BexGetData("DP_1","003N8EMH8GTFRIVOG7KG9IX8U","GSON1112030323")</f>
        <v>#NAME?</v>
      </c>
      <c r="O192" s="28" t="e">
        <f ca="1">[1]!BexGetData("DP_1","003N8EMH8GTFRIVOG7KG9J3KE","GSON1112030323")</f>
        <v>#NAME?</v>
      </c>
      <c r="P192" s="28" t="e">
        <f ca="1">[1]!BexGetData("DP_1","003N8EMH8GTFRIVOG7KG9J9VY","GSON1112030323")</f>
        <v>#NAME?</v>
      </c>
      <c r="Q192" s="24" t="e">
        <f ca="1">[1]!BexGetData("DP_1","00O2TNJGODT0G5Z4TTKYMM5MT","GSON1112030323")</f>
        <v>#NAME?</v>
      </c>
      <c r="R192" s="28" t="e">
        <f ca="1">[1]!BexGetData("DP_1","00O2TNJGODT0G5Z4TTKYMMBYD","GSON1112030323")</f>
        <v>#NAME?</v>
      </c>
      <c r="S192" s="28" t="e">
        <f ca="1">[1]!BexGetData("DP_1","00O2TNJGODT0G5Z4TTKYMMI9X","GSON1112030323")</f>
        <v>#NAME?</v>
      </c>
      <c r="T192" s="28" t="e">
        <f ca="1">[1]!BexGetData("DP_1","00O2TNJGODT0G5Z4TTKYMMOLH","GSON1112030323")</f>
        <v>#NAME?</v>
      </c>
      <c r="U192" s="28" t="e">
        <f ca="1">[1]!BexGetData("DP_1","00O2TNJGODT0G5Z4TTKYMMUX1","GSON1112030323")</f>
        <v>#NAME?</v>
      </c>
      <c r="V192" s="28" t="e">
        <f ca="1">[1]!BexGetData("DP_1","00O2TNJGODT0G5Z4TTKYMN18L","GSON1112030323")</f>
        <v>#NAME?</v>
      </c>
      <c r="W192" s="28" t="e">
        <f ca="1">[1]!BexGetData("DP_1","00O2TNJGODT0G5Z4TTKYMN7K5","GSON1112030323")</f>
        <v>#NAME?</v>
      </c>
    </row>
    <row r="193" spans="1:23" x14ac:dyDescent="0.2">
      <c r="A193" s="36" t="s">
        <v>2044</v>
      </c>
      <c r="B193" s="27" t="s">
        <v>2045</v>
      </c>
      <c r="C193" s="28" t="e">
        <f ca="1">[1]!BexGetData("DP_1","003N8EMH8GTFRCSWKMPXRR8GU","GSON1112030325")</f>
        <v>#NAME?</v>
      </c>
      <c r="D193" s="28" t="e">
        <f ca="1">[1]!BexGetData("DP_1","003N8EMH8GTFRCSWKMPXRRESE","GSON1112030325")</f>
        <v>#NAME?</v>
      </c>
      <c r="E193" s="28" t="e">
        <f ca="1">[1]!BexGetData("DP_1","003N8EMH8GTFRCSWKMPXRRL3Y","GSON1112030325")</f>
        <v>#NAME?</v>
      </c>
      <c r="F193" s="28" t="e">
        <f ca="1">[1]!BexGetData("DP_1","003N8EMH8GTFRCSWKMPXRRRFI","GSON1112030325")</f>
        <v>#NAME?</v>
      </c>
      <c r="G193" s="23" t="e">
        <f ca="1">[1]!BexGetData("DP_1","003N8EMH8GTFRCSWKMPXRRXR2","GSON1112030325")</f>
        <v>#NAME?</v>
      </c>
      <c r="H193" s="23" t="e">
        <f ca="1">[1]!BexGetData("DP_1","003N8EMH8GTFRCSWKMPXRS42M","GSON1112030325")</f>
        <v>#NAME?</v>
      </c>
      <c r="I193" s="28" t="e">
        <f ca="1">[1]!BexGetData("DP_1","003N8EMH8GTFRCSWKMPXRSAE6","GSON1112030325")</f>
        <v>#NAME?</v>
      </c>
      <c r="J193" s="24" t="e">
        <f ca="1">[1]!BexGetData("DP_1","003N8EMH8GTFRCSWKMPXRSGPQ","GSON1112030325")</f>
        <v>#NAME?</v>
      </c>
      <c r="K193" s="28" t="e">
        <f ca="1">[1]!BexGetData("DP_1","003N8EMH8GTFRIVNUPY288VJH","GSON1112030325")</f>
        <v>#NAME?</v>
      </c>
      <c r="L193" s="28" t="e">
        <f ca="1">[1]!BexGetData("DP_1","003N8EMH8GTFRIVNUPY2891V1","GSON1112030325")</f>
        <v>#NAME?</v>
      </c>
      <c r="M193" s="28" t="e">
        <f ca="1">[1]!BexGetData("DP_1","003N8EMH8GTFRIVOG7KG9IQXA","GSON1112030325")</f>
        <v>#NAME?</v>
      </c>
      <c r="N193" s="28" t="e">
        <f ca="1">[1]!BexGetData("DP_1","003N8EMH8GTFRIVOG7KG9IX8U","GSON1112030325")</f>
        <v>#NAME?</v>
      </c>
      <c r="O193" s="28" t="e">
        <f ca="1">[1]!BexGetData("DP_1","003N8EMH8GTFRIVOG7KG9J3KE","GSON1112030325")</f>
        <v>#NAME?</v>
      </c>
      <c r="P193" s="28" t="e">
        <f ca="1">[1]!BexGetData("DP_1","003N8EMH8GTFRIVOG7KG9J9VY","GSON1112030325")</f>
        <v>#NAME?</v>
      </c>
      <c r="Q193" s="24" t="e">
        <f ca="1">[1]!BexGetData("DP_1","00O2TNJGODT0G5Z4TTKYMM5MT","GSON1112030325")</f>
        <v>#NAME?</v>
      </c>
      <c r="R193" s="28" t="e">
        <f ca="1">[1]!BexGetData("DP_1","00O2TNJGODT0G5Z4TTKYMMBYD","GSON1112030325")</f>
        <v>#NAME?</v>
      </c>
      <c r="S193" s="28" t="e">
        <f ca="1">[1]!BexGetData("DP_1","00O2TNJGODT0G5Z4TTKYMMI9X","GSON1112030325")</f>
        <v>#NAME?</v>
      </c>
      <c r="T193" s="28" t="e">
        <f ca="1">[1]!BexGetData("DP_1","00O2TNJGODT0G5Z4TTKYMMOLH","GSON1112030325")</f>
        <v>#NAME?</v>
      </c>
      <c r="U193" s="28" t="e">
        <f ca="1">[1]!BexGetData("DP_1","00O2TNJGODT0G5Z4TTKYMMUX1","GSON1112030325")</f>
        <v>#NAME?</v>
      </c>
      <c r="V193" s="28" t="e">
        <f ca="1">[1]!BexGetData("DP_1","00O2TNJGODT0G5Z4TTKYMN18L","GSON1112030325")</f>
        <v>#NAME?</v>
      </c>
      <c r="W193" s="28" t="e">
        <f ca="1">[1]!BexGetData("DP_1","00O2TNJGODT0G5Z4TTKYMN7K5","GSON1112030325")</f>
        <v>#NAME?</v>
      </c>
    </row>
    <row r="194" spans="1:23" x14ac:dyDescent="0.2">
      <c r="A194" s="36" t="s">
        <v>2046</v>
      </c>
      <c r="B194" s="27" t="s">
        <v>1652</v>
      </c>
      <c r="C194" s="23" t="e">
        <f ca="1">[1]!BexGetData("DP_1","003N8EMH8GTFRCSWKMPXRR8GU","GSON1112030330")</f>
        <v>#NAME?</v>
      </c>
      <c r="D194" s="23" t="e">
        <f ca="1">[1]!BexGetData("DP_1","003N8EMH8GTFRCSWKMPXRRESE","GSON1112030330")</f>
        <v>#NAME?</v>
      </c>
      <c r="E194" s="23" t="e">
        <f ca="1">[1]!BexGetData("DP_1","003N8EMH8GTFRCSWKMPXRRL3Y","GSON1112030330")</f>
        <v>#NAME?</v>
      </c>
      <c r="F194" s="23" t="e">
        <f ca="1">[1]!BexGetData("DP_1","003N8EMH8GTFRCSWKMPXRRRFI","GSON1112030330")</f>
        <v>#NAME?</v>
      </c>
      <c r="G194" s="23" t="e">
        <f ca="1">[1]!BexGetData("DP_1","003N8EMH8GTFRCSWKMPXRRXR2","GSON1112030330")</f>
        <v>#NAME?</v>
      </c>
      <c r="H194" s="23" t="e">
        <f ca="1">[1]!BexGetData("DP_1","003N8EMH8GTFRCSWKMPXRS42M","GSON1112030330")</f>
        <v>#NAME?</v>
      </c>
      <c r="I194" s="23" t="e">
        <f ca="1">[1]!BexGetData("DP_1","003N8EMH8GTFRCSWKMPXRSAE6","GSON1112030330")</f>
        <v>#NAME?</v>
      </c>
      <c r="J194" s="23" t="e">
        <f ca="1">[1]!BexGetData("DP_1","003N8EMH8GTFRCSWKMPXRSGPQ","GSON1112030330")</f>
        <v>#NAME?</v>
      </c>
      <c r="K194" s="23" t="e">
        <f ca="1">[1]!BexGetData("DP_1","003N8EMH8GTFRIVNUPY288VJH","GSON1112030330")</f>
        <v>#NAME?</v>
      </c>
      <c r="L194" s="23" t="e">
        <f ca="1">[1]!BexGetData("DP_1","003N8EMH8GTFRIVNUPY2891V1","GSON1112030330")</f>
        <v>#NAME?</v>
      </c>
      <c r="M194" s="28" t="e">
        <f ca="1">[1]!BexGetData("DP_1","003N8EMH8GTFRIVOG7KG9IQXA","GSON1112030330")</f>
        <v>#NAME?</v>
      </c>
      <c r="N194" s="23" t="e">
        <f ca="1">[1]!BexGetData("DP_1","003N8EMH8GTFRIVOG7KG9IX8U","GSON1112030330")</f>
        <v>#NAME?</v>
      </c>
      <c r="O194" s="28" t="e">
        <f ca="1">[1]!BexGetData("DP_1","003N8EMH8GTFRIVOG7KG9J3KE","GSON1112030330")</f>
        <v>#NAME?</v>
      </c>
      <c r="P194" s="23" t="e">
        <f ca="1">[1]!BexGetData("DP_1","003N8EMH8GTFRIVOG7KG9J9VY","GSON1112030330")</f>
        <v>#NAME?</v>
      </c>
      <c r="Q194" s="23" t="e">
        <f ca="1">[1]!BexGetData("DP_1","00O2TNJGODT0G5Z4TTKYMM5MT","GSON1112030330")</f>
        <v>#NAME?</v>
      </c>
      <c r="R194" s="23" t="e">
        <f ca="1">[1]!BexGetData("DP_1","00O2TNJGODT0G5Z4TTKYMMBYD","GSON1112030330")</f>
        <v>#NAME?</v>
      </c>
      <c r="S194" s="23" t="e">
        <f ca="1">[1]!BexGetData("DP_1","00O2TNJGODT0G5Z4TTKYMMI9X","GSON1112030330")</f>
        <v>#NAME?</v>
      </c>
      <c r="T194" s="28" t="e">
        <f ca="1">[1]!BexGetData("DP_1","00O2TNJGODT0G5Z4TTKYMMOLH","GSON1112030330")</f>
        <v>#NAME?</v>
      </c>
      <c r="U194" s="23" t="e">
        <f ca="1">[1]!BexGetData("DP_1","00O2TNJGODT0G5Z4TTKYMMUX1","GSON1112030330")</f>
        <v>#NAME?</v>
      </c>
      <c r="V194" s="28" t="e">
        <f ca="1">[1]!BexGetData("DP_1","00O2TNJGODT0G5Z4TTKYMN18L","GSON1112030330")</f>
        <v>#NAME?</v>
      </c>
      <c r="W194" s="23" t="e">
        <f ca="1">[1]!BexGetData("DP_1","00O2TNJGODT0G5Z4TTKYMN7K5","GSON1112030330")</f>
        <v>#NAME?</v>
      </c>
    </row>
    <row r="195" spans="1:23" x14ac:dyDescent="0.2">
      <c r="A195" s="36" t="s">
        <v>2047</v>
      </c>
      <c r="B195" s="27" t="s">
        <v>1653</v>
      </c>
      <c r="C195" s="23" t="e">
        <f ca="1">[1]!BexGetData("DP_1","003N8EMH8GTFRCSWKMPXRR8GU","GSON1112030331")</f>
        <v>#NAME?</v>
      </c>
      <c r="D195" s="23" t="e">
        <f ca="1">[1]!BexGetData("DP_1","003N8EMH8GTFRCSWKMPXRRESE","GSON1112030331")</f>
        <v>#NAME?</v>
      </c>
      <c r="E195" s="28" t="e">
        <f ca="1">[1]!BexGetData("DP_1","003N8EMH8GTFRCSWKMPXRRL3Y","GSON1112030331")</f>
        <v>#NAME?</v>
      </c>
      <c r="F195" s="28" t="e">
        <f ca="1">[1]!BexGetData("DP_1","003N8EMH8GTFRCSWKMPXRRRFI","GSON1112030331")</f>
        <v>#NAME?</v>
      </c>
      <c r="G195" s="23" t="e">
        <f ca="1">[1]!BexGetData("DP_1","003N8EMH8GTFRCSWKMPXRRXR2","GSON1112030331")</f>
        <v>#NAME?</v>
      </c>
      <c r="H195" s="23" t="e">
        <f ca="1">[1]!BexGetData("DP_1","003N8EMH8GTFRCSWKMPXRS42M","GSON1112030331")</f>
        <v>#NAME?</v>
      </c>
      <c r="I195" s="28" t="e">
        <f ca="1">[1]!BexGetData("DP_1","003N8EMH8GTFRCSWKMPXRSAE6","GSON1112030331")</f>
        <v>#NAME?</v>
      </c>
      <c r="J195" s="24" t="e">
        <f ca="1">[1]!BexGetData("DP_1","003N8EMH8GTFRCSWKMPXRSGPQ","GSON1112030331")</f>
        <v>#NAME?</v>
      </c>
      <c r="K195" s="28" t="e">
        <f ca="1">[1]!BexGetData("DP_1","003N8EMH8GTFRIVNUPY288VJH","GSON1112030331")</f>
        <v>#NAME?</v>
      </c>
      <c r="L195" s="28" t="e">
        <f ca="1">[1]!BexGetData("DP_1","003N8EMH8GTFRIVNUPY2891V1","GSON1112030331")</f>
        <v>#NAME?</v>
      </c>
      <c r="M195" s="28" t="e">
        <f ca="1">[1]!BexGetData("DP_1","003N8EMH8GTFRIVOG7KG9IQXA","GSON1112030331")</f>
        <v>#NAME?</v>
      </c>
      <c r="N195" s="28" t="e">
        <f ca="1">[1]!BexGetData("DP_1","003N8EMH8GTFRIVOG7KG9IX8U","GSON1112030331")</f>
        <v>#NAME?</v>
      </c>
      <c r="O195" s="28" t="e">
        <f ca="1">[1]!BexGetData("DP_1","003N8EMH8GTFRIVOG7KG9J3KE","GSON1112030331")</f>
        <v>#NAME?</v>
      </c>
      <c r="P195" s="28" t="e">
        <f ca="1">[1]!BexGetData("DP_1","003N8EMH8GTFRIVOG7KG9J9VY","GSON1112030331")</f>
        <v>#NAME?</v>
      </c>
      <c r="Q195" s="24" t="e">
        <f ca="1">[1]!BexGetData("DP_1","00O2TNJGODT0G5Z4TTKYMM5MT","GSON1112030331")</f>
        <v>#NAME?</v>
      </c>
      <c r="R195" s="28" t="e">
        <f ca="1">[1]!BexGetData("DP_1","00O2TNJGODT0G5Z4TTKYMMBYD","GSON1112030331")</f>
        <v>#NAME?</v>
      </c>
      <c r="S195" s="28" t="e">
        <f ca="1">[1]!BexGetData("DP_1","00O2TNJGODT0G5Z4TTKYMMI9X","GSON1112030331")</f>
        <v>#NAME?</v>
      </c>
      <c r="T195" s="28" t="e">
        <f ca="1">[1]!BexGetData("DP_1","00O2TNJGODT0G5Z4TTKYMMOLH","GSON1112030331")</f>
        <v>#NAME?</v>
      </c>
      <c r="U195" s="28" t="e">
        <f ca="1">[1]!BexGetData("DP_1","00O2TNJGODT0G5Z4TTKYMMUX1","GSON1112030331")</f>
        <v>#NAME?</v>
      </c>
      <c r="V195" s="28" t="e">
        <f ca="1">[1]!BexGetData("DP_1","00O2TNJGODT0G5Z4TTKYMN18L","GSON1112030331")</f>
        <v>#NAME?</v>
      </c>
      <c r="W195" s="28" t="e">
        <f ca="1">[1]!BexGetData("DP_1","00O2TNJGODT0G5Z4TTKYMN7K5","GSON1112030331")</f>
        <v>#NAME?</v>
      </c>
    </row>
    <row r="196" spans="1:23" x14ac:dyDescent="0.2">
      <c r="A196" s="36" t="s">
        <v>2048</v>
      </c>
      <c r="B196" s="27" t="s">
        <v>2049</v>
      </c>
      <c r="C196" s="23" t="e">
        <f ca="1">[1]!BexGetData("DP_1","003N8EMH8GTFRCSWKMPXRR8GU","GSON1112030333")</f>
        <v>#NAME?</v>
      </c>
      <c r="D196" s="23" t="e">
        <f ca="1">[1]!BexGetData("DP_1","003N8EMH8GTFRCSWKMPXRRESE","GSON1112030333")</f>
        <v>#NAME?</v>
      </c>
      <c r="E196" s="28" t="e">
        <f ca="1">[1]!BexGetData("DP_1","003N8EMH8GTFRCSWKMPXRRL3Y","GSON1112030333")</f>
        <v>#NAME?</v>
      </c>
      <c r="F196" s="28" t="e">
        <f ca="1">[1]!BexGetData("DP_1","003N8EMH8GTFRCSWKMPXRRRFI","GSON1112030333")</f>
        <v>#NAME?</v>
      </c>
      <c r="G196" s="23" t="e">
        <f ca="1">[1]!BexGetData("DP_1","003N8EMH8GTFRCSWKMPXRRXR2","GSON1112030333")</f>
        <v>#NAME?</v>
      </c>
      <c r="H196" s="23" t="e">
        <f ca="1">[1]!BexGetData("DP_1","003N8EMH8GTFRCSWKMPXRS42M","GSON1112030333")</f>
        <v>#NAME?</v>
      </c>
      <c r="I196" s="28" t="e">
        <f ca="1">[1]!BexGetData("DP_1","003N8EMH8GTFRCSWKMPXRSAE6","GSON1112030333")</f>
        <v>#NAME?</v>
      </c>
      <c r="J196" s="24" t="e">
        <f ca="1">[1]!BexGetData("DP_1","003N8EMH8GTFRCSWKMPXRSGPQ","GSON1112030333")</f>
        <v>#NAME?</v>
      </c>
      <c r="K196" s="28" t="e">
        <f ca="1">[1]!BexGetData("DP_1","003N8EMH8GTFRIVNUPY288VJH","GSON1112030333")</f>
        <v>#NAME?</v>
      </c>
      <c r="L196" s="28" t="e">
        <f ca="1">[1]!BexGetData("DP_1","003N8EMH8GTFRIVNUPY2891V1","GSON1112030333")</f>
        <v>#NAME?</v>
      </c>
      <c r="M196" s="28" t="e">
        <f ca="1">[1]!BexGetData("DP_1","003N8EMH8GTFRIVOG7KG9IQXA","GSON1112030333")</f>
        <v>#NAME?</v>
      </c>
      <c r="N196" s="28" t="e">
        <f ca="1">[1]!BexGetData("DP_1","003N8EMH8GTFRIVOG7KG9IX8U","GSON1112030333")</f>
        <v>#NAME?</v>
      </c>
      <c r="O196" s="28" t="e">
        <f ca="1">[1]!BexGetData("DP_1","003N8EMH8GTFRIVOG7KG9J3KE","GSON1112030333")</f>
        <v>#NAME?</v>
      </c>
      <c r="P196" s="28" t="e">
        <f ca="1">[1]!BexGetData("DP_1","003N8EMH8GTFRIVOG7KG9J9VY","GSON1112030333")</f>
        <v>#NAME?</v>
      </c>
      <c r="Q196" s="24" t="e">
        <f ca="1">[1]!BexGetData("DP_1","00O2TNJGODT0G5Z4TTKYMM5MT","GSON1112030333")</f>
        <v>#NAME?</v>
      </c>
      <c r="R196" s="28" t="e">
        <f ca="1">[1]!BexGetData("DP_1","00O2TNJGODT0G5Z4TTKYMMBYD","GSON1112030333")</f>
        <v>#NAME?</v>
      </c>
      <c r="S196" s="28" t="e">
        <f ca="1">[1]!BexGetData("DP_1","00O2TNJGODT0G5Z4TTKYMMI9X","GSON1112030333")</f>
        <v>#NAME?</v>
      </c>
      <c r="T196" s="28" t="e">
        <f ca="1">[1]!BexGetData("DP_1","00O2TNJGODT0G5Z4TTKYMMOLH","GSON1112030333")</f>
        <v>#NAME?</v>
      </c>
      <c r="U196" s="28" t="e">
        <f ca="1">[1]!BexGetData("DP_1","00O2TNJGODT0G5Z4TTKYMMUX1","GSON1112030333")</f>
        <v>#NAME?</v>
      </c>
      <c r="V196" s="28" t="e">
        <f ca="1">[1]!BexGetData("DP_1","00O2TNJGODT0G5Z4TTKYMN18L","GSON1112030333")</f>
        <v>#NAME?</v>
      </c>
      <c r="W196" s="28" t="e">
        <f ca="1">[1]!BexGetData("DP_1","00O2TNJGODT0G5Z4TTKYMN7K5","GSON1112030333")</f>
        <v>#NAME?</v>
      </c>
    </row>
    <row r="197" spans="1:23" x14ac:dyDescent="0.2">
      <c r="A197" s="36" t="s">
        <v>2050</v>
      </c>
      <c r="B197" s="27" t="s">
        <v>2051</v>
      </c>
      <c r="C197" s="23" t="e">
        <f ca="1">[1]!BexGetData("DP_1","003N8EMH8GTFRCSWKMPXRR8GU","GSON1112030335")</f>
        <v>#NAME?</v>
      </c>
      <c r="D197" s="23" t="e">
        <f ca="1">[1]!BexGetData("DP_1","003N8EMH8GTFRCSWKMPXRRESE","GSON1112030335")</f>
        <v>#NAME?</v>
      </c>
      <c r="E197" s="28" t="e">
        <f ca="1">[1]!BexGetData("DP_1","003N8EMH8GTFRCSWKMPXRRL3Y","GSON1112030335")</f>
        <v>#NAME?</v>
      </c>
      <c r="F197" s="28" t="e">
        <f ca="1">[1]!BexGetData("DP_1","003N8EMH8GTFRCSWKMPXRRRFI","GSON1112030335")</f>
        <v>#NAME?</v>
      </c>
      <c r="G197" s="23" t="e">
        <f ca="1">[1]!BexGetData("DP_1","003N8EMH8GTFRCSWKMPXRRXR2","GSON1112030335")</f>
        <v>#NAME?</v>
      </c>
      <c r="H197" s="23" t="e">
        <f ca="1">[1]!BexGetData("DP_1","003N8EMH8GTFRCSWKMPXRS42M","GSON1112030335")</f>
        <v>#NAME?</v>
      </c>
      <c r="I197" s="28" t="e">
        <f ca="1">[1]!BexGetData("DP_1","003N8EMH8GTFRCSWKMPXRSAE6","GSON1112030335")</f>
        <v>#NAME?</v>
      </c>
      <c r="J197" s="24" t="e">
        <f ca="1">[1]!BexGetData("DP_1","003N8EMH8GTFRCSWKMPXRSGPQ","GSON1112030335")</f>
        <v>#NAME?</v>
      </c>
      <c r="K197" s="28" t="e">
        <f ca="1">[1]!BexGetData("DP_1","003N8EMH8GTFRIVNUPY288VJH","GSON1112030335")</f>
        <v>#NAME?</v>
      </c>
      <c r="L197" s="28" t="e">
        <f ca="1">[1]!BexGetData("DP_1","003N8EMH8GTFRIVNUPY2891V1","GSON1112030335")</f>
        <v>#NAME?</v>
      </c>
      <c r="M197" s="28" t="e">
        <f ca="1">[1]!BexGetData("DP_1","003N8EMH8GTFRIVOG7KG9IQXA","GSON1112030335")</f>
        <v>#NAME?</v>
      </c>
      <c r="N197" s="28" t="e">
        <f ca="1">[1]!BexGetData("DP_1","003N8EMH8GTFRIVOG7KG9IX8U","GSON1112030335")</f>
        <v>#NAME?</v>
      </c>
      <c r="O197" s="28" t="e">
        <f ca="1">[1]!BexGetData("DP_1","003N8EMH8GTFRIVOG7KG9J3KE","GSON1112030335")</f>
        <v>#NAME?</v>
      </c>
      <c r="P197" s="28" t="e">
        <f ca="1">[1]!BexGetData("DP_1","003N8EMH8GTFRIVOG7KG9J9VY","GSON1112030335")</f>
        <v>#NAME?</v>
      </c>
      <c r="Q197" s="24" t="e">
        <f ca="1">[1]!BexGetData("DP_1","00O2TNJGODT0G5Z4TTKYMM5MT","GSON1112030335")</f>
        <v>#NAME?</v>
      </c>
      <c r="R197" s="28" t="e">
        <f ca="1">[1]!BexGetData("DP_1","00O2TNJGODT0G5Z4TTKYMMBYD","GSON1112030335")</f>
        <v>#NAME?</v>
      </c>
      <c r="S197" s="28" t="e">
        <f ca="1">[1]!BexGetData("DP_1","00O2TNJGODT0G5Z4TTKYMMI9X","GSON1112030335")</f>
        <v>#NAME?</v>
      </c>
      <c r="T197" s="28" t="e">
        <f ca="1">[1]!BexGetData("DP_1","00O2TNJGODT0G5Z4TTKYMMOLH","GSON1112030335")</f>
        <v>#NAME?</v>
      </c>
      <c r="U197" s="28" t="e">
        <f ca="1">[1]!BexGetData("DP_1","00O2TNJGODT0G5Z4TTKYMMUX1","GSON1112030335")</f>
        <v>#NAME?</v>
      </c>
      <c r="V197" s="28" t="e">
        <f ca="1">[1]!BexGetData("DP_1","00O2TNJGODT0G5Z4TTKYMN18L","GSON1112030335")</f>
        <v>#NAME?</v>
      </c>
      <c r="W197" s="28" t="e">
        <f ca="1">[1]!BexGetData("DP_1","00O2TNJGODT0G5Z4TTKYMN7K5","GSON1112030335")</f>
        <v>#NAME?</v>
      </c>
    </row>
    <row r="198" spans="1:23" x14ac:dyDescent="0.2">
      <c r="A198" s="36" t="s">
        <v>2052</v>
      </c>
      <c r="B198" s="27" t="s">
        <v>790</v>
      </c>
      <c r="C198" s="23" t="e">
        <f ca="1">[1]!BexGetData("DP_1","003N8EMH8GTFRCSWKMPXRR8GU","GSON1112030340")</f>
        <v>#NAME?</v>
      </c>
      <c r="D198" s="23" t="e">
        <f ca="1">[1]!BexGetData("DP_1","003N8EMH8GTFRCSWKMPXRRESE","GSON1112030340")</f>
        <v>#NAME?</v>
      </c>
      <c r="E198" s="23" t="e">
        <f ca="1">[1]!BexGetData("DP_1","003N8EMH8GTFRCSWKMPXRRL3Y","GSON1112030340")</f>
        <v>#NAME?</v>
      </c>
      <c r="F198" s="23" t="e">
        <f ca="1">[1]!BexGetData("DP_1","003N8EMH8GTFRCSWKMPXRRRFI","GSON1112030340")</f>
        <v>#NAME?</v>
      </c>
      <c r="G198" s="23" t="e">
        <f ca="1">[1]!BexGetData("DP_1","003N8EMH8GTFRCSWKMPXRRXR2","GSON1112030340")</f>
        <v>#NAME?</v>
      </c>
      <c r="H198" s="23" t="e">
        <f ca="1">[1]!BexGetData("DP_1","003N8EMH8GTFRCSWKMPXRS42M","GSON1112030340")</f>
        <v>#NAME?</v>
      </c>
      <c r="I198" s="23" t="e">
        <f ca="1">[1]!BexGetData("DP_1","003N8EMH8GTFRCSWKMPXRSAE6","GSON1112030340")</f>
        <v>#NAME?</v>
      </c>
      <c r="J198" s="23" t="e">
        <f ca="1">[1]!BexGetData("DP_1","003N8EMH8GTFRCSWKMPXRSGPQ","GSON1112030340")</f>
        <v>#NAME?</v>
      </c>
      <c r="K198" s="23" t="e">
        <f ca="1">[1]!BexGetData("DP_1","003N8EMH8GTFRIVNUPY288VJH","GSON1112030340")</f>
        <v>#NAME?</v>
      </c>
      <c r="L198" s="23" t="e">
        <f ca="1">[1]!BexGetData("DP_1","003N8EMH8GTFRIVNUPY2891V1","GSON1112030340")</f>
        <v>#NAME?</v>
      </c>
      <c r="M198" s="23" t="e">
        <f ca="1">[1]!BexGetData("DP_1","003N8EMH8GTFRIVOG7KG9IQXA","GSON1112030340")</f>
        <v>#NAME?</v>
      </c>
      <c r="N198" s="28" t="e">
        <f ca="1">[1]!BexGetData("DP_1","003N8EMH8GTFRIVOG7KG9IX8U","GSON1112030340")</f>
        <v>#NAME?</v>
      </c>
      <c r="O198" s="23" t="e">
        <f ca="1">[1]!BexGetData("DP_1","003N8EMH8GTFRIVOG7KG9J3KE","GSON1112030340")</f>
        <v>#NAME?</v>
      </c>
      <c r="P198" s="28" t="e">
        <f ca="1">[1]!BexGetData("DP_1","003N8EMH8GTFRIVOG7KG9J9VY","GSON1112030340")</f>
        <v>#NAME?</v>
      </c>
      <c r="Q198" s="23" t="e">
        <f ca="1">[1]!BexGetData("DP_1","00O2TNJGODT0G5Z4TTKYMM5MT","GSON1112030340")</f>
        <v>#NAME?</v>
      </c>
      <c r="R198" s="23" t="e">
        <f ca="1">[1]!BexGetData("DP_1","00O2TNJGODT0G5Z4TTKYMMBYD","GSON1112030340")</f>
        <v>#NAME?</v>
      </c>
      <c r="S198" s="23" t="e">
        <f ca="1">[1]!BexGetData("DP_1","00O2TNJGODT0G5Z4TTKYMMI9X","GSON1112030340")</f>
        <v>#NAME?</v>
      </c>
      <c r="T198" s="28" t="e">
        <f ca="1">[1]!BexGetData("DP_1","00O2TNJGODT0G5Z4TTKYMMOLH","GSON1112030340")</f>
        <v>#NAME?</v>
      </c>
      <c r="U198" s="23" t="e">
        <f ca="1">[1]!BexGetData("DP_1","00O2TNJGODT0G5Z4TTKYMMUX1","GSON1112030340")</f>
        <v>#NAME?</v>
      </c>
      <c r="V198" s="28" t="e">
        <f ca="1">[1]!BexGetData("DP_1","00O2TNJGODT0G5Z4TTKYMN18L","GSON1112030340")</f>
        <v>#NAME?</v>
      </c>
      <c r="W198" s="23" t="e">
        <f ca="1">[1]!BexGetData("DP_1","00O2TNJGODT0G5Z4TTKYMN7K5","GSON1112030340")</f>
        <v>#NAME?</v>
      </c>
    </row>
    <row r="199" spans="1:23" x14ac:dyDescent="0.2">
      <c r="A199" s="36" t="s">
        <v>2053</v>
      </c>
      <c r="B199" s="27" t="s">
        <v>791</v>
      </c>
      <c r="C199" s="23" t="e">
        <f ca="1">[1]!BexGetData("DP_1","003N8EMH8GTFRCSWKMPXRR8GU","GSON1112030341")</f>
        <v>#NAME?</v>
      </c>
      <c r="D199" s="23" t="e">
        <f ca="1">[1]!BexGetData("DP_1","003N8EMH8GTFRCSWKMPXRRESE","GSON1112030341")</f>
        <v>#NAME?</v>
      </c>
      <c r="E199" s="28" t="e">
        <f ca="1">[1]!BexGetData("DP_1","003N8EMH8GTFRCSWKMPXRRL3Y","GSON1112030341")</f>
        <v>#NAME?</v>
      </c>
      <c r="F199" s="28" t="e">
        <f ca="1">[1]!BexGetData("DP_1","003N8EMH8GTFRCSWKMPXRRRFI","GSON1112030341")</f>
        <v>#NAME?</v>
      </c>
      <c r="G199" s="23" t="e">
        <f ca="1">[1]!BexGetData("DP_1","003N8EMH8GTFRCSWKMPXRRXR2","GSON1112030341")</f>
        <v>#NAME?</v>
      </c>
      <c r="H199" s="23" t="e">
        <f ca="1">[1]!BexGetData("DP_1","003N8EMH8GTFRCSWKMPXRS42M","GSON1112030341")</f>
        <v>#NAME?</v>
      </c>
      <c r="I199" s="28" t="e">
        <f ca="1">[1]!BexGetData("DP_1","003N8EMH8GTFRCSWKMPXRSAE6","GSON1112030341")</f>
        <v>#NAME?</v>
      </c>
      <c r="J199" s="24" t="e">
        <f ca="1">[1]!BexGetData("DP_1","003N8EMH8GTFRCSWKMPXRSGPQ","GSON1112030341")</f>
        <v>#NAME?</v>
      </c>
      <c r="K199" s="28" t="e">
        <f ca="1">[1]!BexGetData("DP_1","003N8EMH8GTFRIVNUPY288VJH","GSON1112030341")</f>
        <v>#NAME?</v>
      </c>
      <c r="L199" s="28" t="e">
        <f ca="1">[1]!BexGetData("DP_1","003N8EMH8GTFRIVNUPY2891V1","GSON1112030341")</f>
        <v>#NAME?</v>
      </c>
      <c r="M199" s="28" t="e">
        <f ca="1">[1]!BexGetData("DP_1","003N8EMH8GTFRIVOG7KG9IQXA","GSON1112030341")</f>
        <v>#NAME?</v>
      </c>
      <c r="N199" s="28" t="e">
        <f ca="1">[1]!BexGetData("DP_1","003N8EMH8GTFRIVOG7KG9IX8U","GSON1112030341")</f>
        <v>#NAME?</v>
      </c>
      <c r="O199" s="28" t="e">
        <f ca="1">[1]!BexGetData("DP_1","003N8EMH8GTFRIVOG7KG9J3KE","GSON1112030341")</f>
        <v>#NAME?</v>
      </c>
      <c r="P199" s="28" t="e">
        <f ca="1">[1]!BexGetData("DP_1","003N8EMH8GTFRIVOG7KG9J9VY","GSON1112030341")</f>
        <v>#NAME?</v>
      </c>
      <c r="Q199" s="24" t="e">
        <f ca="1">[1]!BexGetData("DP_1","00O2TNJGODT0G5Z4TTKYMM5MT","GSON1112030341")</f>
        <v>#NAME?</v>
      </c>
      <c r="R199" s="28" t="e">
        <f ca="1">[1]!BexGetData("DP_1","00O2TNJGODT0G5Z4TTKYMMBYD","GSON1112030341")</f>
        <v>#NAME?</v>
      </c>
      <c r="S199" s="28" t="e">
        <f ca="1">[1]!BexGetData("DP_1","00O2TNJGODT0G5Z4TTKYMMI9X","GSON1112030341")</f>
        <v>#NAME?</v>
      </c>
      <c r="T199" s="28" t="e">
        <f ca="1">[1]!BexGetData("DP_1","00O2TNJGODT0G5Z4TTKYMMOLH","GSON1112030341")</f>
        <v>#NAME?</v>
      </c>
      <c r="U199" s="28" t="e">
        <f ca="1">[1]!BexGetData("DP_1","00O2TNJGODT0G5Z4TTKYMMUX1","GSON1112030341")</f>
        <v>#NAME?</v>
      </c>
      <c r="V199" s="28" t="e">
        <f ca="1">[1]!BexGetData("DP_1","00O2TNJGODT0G5Z4TTKYMN18L","GSON1112030341")</f>
        <v>#NAME?</v>
      </c>
      <c r="W199" s="28" t="e">
        <f ca="1">[1]!BexGetData("DP_1","00O2TNJGODT0G5Z4TTKYMN7K5","GSON1112030341")</f>
        <v>#NAME?</v>
      </c>
    </row>
    <row r="200" spans="1:23" x14ac:dyDescent="0.2">
      <c r="A200" s="36" t="s">
        <v>2054</v>
      </c>
      <c r="B200" s="27" t="s">
        <v>2055</v>
      </c>
      <c r="C200" s="23" t="e">
        <f ca="1">[1]!BexGetData("DP_1","003N8EMH8GTFRCSWKMPXRR8GU","GSON1112030343")</f>
        <v>#NAME?</v>
      </c>
      <c r="D200" s="23" t="e">
        <f ca="1">[1]!BexGetData("DP_1","003N8EMH8GTFRCSWKMPXRRESE","GSON1112030343")</f>
        <v>#NAME?</v>
      </c>
      <c r="E200" s="28" t="e">
        <f ca="1">[1]!BexGetData("DP_1","003N8EMH8GTFRCSWKMPXRRL3Y","GSON1112030343")</f>
        <v>#NAME?</v>
      </c>
      <c r="F200" s="28" t="e">
        <f ca="1">[1]!BexGetData("DP_1","003N8EMH8GTFRCSWKMPXRRRFI","GSON1112030343")</f>
        <v>#NAME?</v>
      </c>
      <c r="G200" s="23" t="e">
        <f ca="1">[1]!BexGetData("DP_1","003N8EMH8GTFRCSWKMPXRRXR2","GSON1112030343")</f>
        <v>#NAME?</v>
      </c>
      <c r="H200" s="23" t="e">
        <f ca="1">[1]!BexGetData("DP_1","003N8EMH8GTFRCSWKMPXRS42M","GSON1112030343")</f>
        <v>#NAME?</v>
      </c>
      <c r="I200" s="28" t="e">
        <f ca="1">[1]!BexGetData("DP_1","003N8EMH8GTFRCSWKMPXRSAE6","GSON1112030343")</f>
        <v>#NAME?</v>
      </c>
      <c r="J200" s="24" t="e">
        <f ca="1">[1]!BexGetData("DP_1","003N8EMH8GTFRCSWKMPXRSGPQ","GSON1112030343")</f>
        <v>#NAME?</v>
      </c>
      <c r="K200" s="28" t="e">
        <f ca="1">[1]!BexGetData("DP_1","003N8EMH8GTFRIVNUPY288VJH","GSON1112030343")</f>
        <v>#NAME?</v>
      </c>
      <c r="L200" s="28" t="e">
        <f ca="1">[1]!BexGetData("DP_1","003N8EMH8GTFRIVNUPY2891V1","GSON1112030343")</f>
        <v>#NAME?</v>
      </c>
      <c r="M200" s="28" t="e">
        <f ca="1">[1]!BexGetData("DP_1","003N8EMH8GTFRIVOG7KG9IQXA","GSON1112030343")</f>
        <v>#NAME?</v>
      </c>
      <c r="N200" s="28" t="e">
        <f ca="1">[1]!BexGetData("DP_1","003N8EMH8GTFRIVOG7KG9IX8U","GSON1112030343")</f>
        <v>#NAME?</v>
      </c>
      <c r="O200" s="28" t="e">
        <f ca="1">[1]!BexGetData("DP_1","003N8EMH8GTFRIVOG7KG9J3KE","GSON1112030343")</f>
        <v>#NAME?</v>
      </c>
      <c r="P200" s="28" t="e">
        <f ca="1">[1]!BexGetData("DP_1","003N8EMH8GTFRIVOG7KG9J9VY","GSON1112030343")</f>
        <v>#NAME?</v>
      </c>
      <c r="Q200" s="24" t="e">
        <f ca="1">[1]!BexGetData("DP_1","00O2TNJGODT0G5Z4TTKYMM5MT","GSON1112030343")</f>
        <v>#NAME?</v>
      </c>
      <c r="R200" s="28" t="e">
        <f ca="1">[1]!BexGetData("DP_1","00O2TNJGODT0G5Z4TTKYMMBYD","GSON1112030343")</f>
        <v>#NAME?</v>
      </c>
      <c r="S200" s="28" t="e">
        <f ca="1">[1]!BexGetData("DP_1","00O2TNJGODT0G5Z4TTKYMMI9X","GSON1112030343")</f>
        <v>#NAME?</v>
      </c>
      <c r="T200" s="28" t="e">
        <f ca="1">[1]!BexGetData("DP_1","00O2TNJGODT0G5Z4TTKYMMOLH","GSON1112030343")</f>
        <v>#NAME?</v>
      </c>
      <c r="U200" s="28" t="e">
        <f ca="1">[1]!BexGetData("DP_1","00O2TNJGODT0G5Z4TTKYMMUX1","GSON1112030343")</f>
        <v>#NAME?</v>
      </c>
      <c r="V200" s="28" t="e">
        <f ca="1">[1]!BexGetData("DP_1","00O2TNJGODT0G5Z4TTKYMN18L","GSON1112030343")</f>
        <v>#NAME?</v>
      </c>
      <c r="W200" s="28" t="e">
        <f ca="1">[1]!BexGetData("DP_1","00O2TNJGODT0G5Z4TTKYMN7K5","GSON1112030343")</f>
        <v>#NAME?</v>
      </c>
    </row>
    <row r="201" spans="1:23" x14ac:dyDescent="0.2">
      <c r="A201" s="36" t="s">
        <v>2056</v>
      </c>
      <c r="B201" s="27" t="s">
        <v>2057</v>
      </c>
      <c r="C201" s="23" t="e">
        <f ca="1">[1]!BexGetData("DP_1","003N8EMH8GTFRCSWKMPXRR8GU","GSON1112030345")</f>
        <v>#NAME?</v>
      </c>
      <c r="D201" s="23" t="e">
        <f ca="1">[1]!BexGetData("DP_1","003N8EMH8GTFRCSWKMPXRRESE","GSON1112030345")</f>
        <v>#NAME?</v>
      </c>
      <c r="E201" s="28" t="e">
        <f ca="1">[1]!BexGetData("DP_1","003N8EMH8GTFRCSWKMPXRRL3Y","GSON1112030345")</f>
        <v>#NAME?</v>
      </c>
      <c r="F201" s="28" t="e">
        <f ca="1">[1]!BexGetData("DP_1","003N8EMH8GTFRCSWKMPXRRRFI","GSON1112030345")</f>
        <v>#NAME?</v>
      </c>
      <c r="G201" s="23" t="e">
        <f ca="1">[1]!BexGetData("DP_1","003N8EMH8GTFRCSWKMPXRRXR2","GSON1112030345")</f>
        <v>#NAME?</v>
      </c>
      <c r="H201" s="23" t="e">
        <f ca="1">[1]!BexGetData("DP_1","003N8EMH8GTFRCSWKMPXRS42M","GSON1112030345")</f>
        <v>#NAME?</v>
      </c>
      <c r="I201" s="28" t="e">
        <f ca="1">[1]!BexGetData("DP_1","003N8EMH8GTFRCSWKMPXRSAE6","GSON1112030345")</f>
        <v>#NAME?</v>
      </c>
      <c r="J201" s="24" t="e">
        <f ca="1">[1]!BexGetData("DP_1","003N8EMH8GTFRCSWKMPXRSGPQ","GSON1112030345")</f>
        <v>#NAME?</v>
      </c>
      <c r="K201" s="28" t="e">
        <f ca="1">[1]!BexGetData("DP_1","003N8EMH8GTFRIVNUPY288VJH","GSON1112030345")</f>
        <v>#NAME?</v>
      </c>
      <c r="L201" s="28" t="e">
        <f ca="1">[1]!BexGetData("DP_1","003N8EMH8GTFRIVNUPY2891V1","GSON1112030345")</f>
        <v>#NAME?</v>
      </c>
      <c r="M201" s="28" t="e">
        <f ca="1">[1]!BexGetData("DP_1","003N8EMH8GTFRIVOG7KG9IQXA","GSON1112030345")</f>
        <v>#NAME?</v>
      </c>
      <c r="N201" s="28" t="e">
        <f ca="1">[1]!BexGetData("DP_1","003N8EMH8GTFRIVOG7KG9IX8U","GSON1112030345")</f>
        <v>#NAME?</v>
      </c>
      <c r="O201" s="28" t="e">
        <f ca="1">[1]!BexGetData("DP_1","003N8EMH8GTFRIVOG7KG9J3KE","GSON1112030345")</f>
        <v>#NAME?</v>
      </c>
      <c r="P201" s="28" t="e">
        <f ca="1">[1]!BexGetData("DP_1","003N8EMH8GTFRIVOG7KG9J9VY","GSON1112030345")</f>
        <v>#NAME?</v>
      </c>
      <c r="Q201" s="24" t="e">
        <f ca="1">[1]!BexGetData("DP_1","00O2TNJGODT0G5Z4TTKYMM5MT","GSON1112030345")</f>
        <v>#NAME?</v>
      </c>
      <c r="R201" s="28" t="e">
        <f ca="1">[1]!BexGetData("DP_1","00O2TNJGODT0G5Z4TTKYMMBYD","GSON1112030345")</f>
        <v>#NAME?</v>
      </c>
      <c r="S201" s="28" t="e">
        <f ca="1">[1]!BexGetData("DP_1","00O2TNJGODT0G5Z4TTKYMMI9X","GSON1112030345")</f>
        <v>#NAME?</v>
      </c>
      <c r="T201" s="28" t="e">
        <f ca="1">[1]!BexGetData("DP_1","00O2TNJGODT0G5Z4TTKYMMOLH","GSON1112030345")</f>
        <v>#NAME?</v>
      </c>
      <c r="U201" s="28" t="e">
        <f ca="1">[1]!BexGetData("DP_1","00O2TNJGODT0G5Z4TTKYMMUX1","GSON1112030345")</f>
        <v>#NAME?</v>
      </c>
      <c r="V201" s="28" t="e">
        <f ca="1">[1]!BexGetData("DP_1","00O2TNJGODT0G5Z4TTKYMN18L","GSON1112030345")</f>
        <v>#NAME?</v>
      </c>
      <c r="W201" s="28" t="e">
        <f ca="1">[1]!BexGetData("DP_1","00O2TNJGODT0G5Z4TTKYMN7K5","GSON1112030345")</f>
        <v>#NAME?</v>
      </c>
    </row>
    <row r="202" spans="1:23" x14ac:dyDescent="0.2">
      <c r="A202" s="36" t="s">
        <v>2058</v>
      </c>
      <c r="B202" s="27" t="s">
        <v>792</v>
      </c>
      <c r="C202" s="28" t="e">
        <f ca="1">[1]!BexGetData("DP_1","003N8EMH8GTFRCSWKMPXRR8GU","GSON1112030350")</f>
        <v>#NAME?</v>
      </c>
      <c r="D202" s="28" t="e">
        <f ca="1">[1]!BexGetData("DP_1","003N8EMH8GTFRCSWKMPXRRESE","GSON1112030350")</f>
        <v>#NAME?</v>
      </c>
      <c r="E202" s="28" t="e">
        <f ca="1">[1]!BexGetData("DP_1","003N8EMH8GTFRCSWKMPXRRL3Y","GSON1112030350")</f>
        <v>#NAME?</v>
      </c>
      <c r="F202" s="28" t="e">
        <f ca="1">[1]!BexGetData("DP_1","003N8EMH8GTFRCSWKMPXRRRFI","GSON1112030350")</f>
        <v>#NAME?</v>
      </c>
      <c r="G202" s="23" t="e">
        <f ca="1">[1]!BexGetData("DP_1","003N8EMH8GTFRCSWKMPXRRXR2","GSON1112030350")</f>
        <v>#NAME?</v>
      </c>
      <c r="H202" s="23" t="e">
        <f ca="1">[1]!BexGetData("DP_1","003N8EMH8GTFRCSWKMPXRS42M","GSON1112030350")</f>
        <v>#NAME?</v>
      </c>
      <c r="I202" s="28" t="e">
        <f ca="1">[1]!BexGetData("DP_1","003N8EMH8GTFRCSWKMPXRSAE6","GSON1112030350")</f>
        <v>#NAME?</v>
      </c>
      <c r="J202" s="23" t="e">
        <f ca="1">[1]!BexGetData("DP_1","003N8EMH8GTFRCSWKMPXRSGPQ","GSON1112030350")</f>
        <v>#NAME?</v>
      </c>
      <c r="K202" s="28" t="e">
        <f ca="1">[1]!BexGetData("DP_1","003N8EMH8GTFRIVNUPY288VJH","GSON1112030350")</f>
        <v>#NAME?</v>
      </c>
      <c r="L202" s="28" t="e">
        <f ca="1">[1]!BexGetData("DP_1","003N8EMH8GTFRIVNUPY2891V1","GSON1112030350")</f>
        <v>#NAME?</v>
      </c>
      <c r="M202" s="28" t="e">
        <f ca="1">[1]!BexGetData("DP_1","003N8EMH8GTFRIVOG7KG9IQXA","GSON1112030350")</f>
        <v>#NAME?</v>
      </c>
      <c r="N202" s="28" t="e">
        <f ca="1">[1]!BexGetData("DP_1","003N8EMH8GTFRIVOG7KG9IX8U","GSON1112030350")</f>
        <v>#NAME?</v>
      </c>
      <c r="O202" s="28" t="e">
        <f ca="1">[1]!BexGetData("DP_1","003N8EMH8GTFRIVOG7KG9J3KE","GSON1112030350")</f>
        <v>#NAME?</v>
      </c>
      <c r="P202" s="28" t="e">
        <f ca="1">[1]!BexGetData("DP_1","003N8EMH8GTFRIVOG7KG9J9VY","GSON1112030350")</f>
        <v>#NAME?</v>
      </c>
      <c r="Q202" s="23" t="e">
        <f ca="1">[1]!BexGetData("DP_1","00O2TNJGODT0G5Z4TTKYMM5MT","GSON1112030350")</f>
        <v>#NAME?</v>
      </c>
      <c r="R202" s="23" t="e">
        <f ca="1">[1]!BexGetData("DP_1","00O2TNJGODT0G5Z4TTKYMMBYD","GSON1112030350")</f>
        <v>#NAME?</v>
      </c>
      <c r="S202" s="23" t="e">
        <f ca="1">[1]!BexGetData("DP_1","00O2TNJGODT0G5Z4TTKYMMI9X","GSON1112030350")</f>
        <v>#NAME?</v>
      </c>
      <c r="T202" s="23" t="e">
        <f ca="1">[1]!BexGetData("DP_1","00O2TNJGODT0G5Z4TTKYMMOLH","GSON1112030350")</f>
        <v>#NAME?</v>
      </c>
      <c r="U202" s="28" t="e">
        <f ca="1">[1]!BexGetData("DP_1","00O2TNJGODT0G5Z4TTKYMMUX1","GSON1112030350")</f>
        <v>#NAME?</v>
      </c>
      <c r="V202" s="23" t="e">
        <f ca="1">[1]!BexGetData("DP_1","00O2TNJGODT0G5Z4TTKYMN18L","GSON1112030350")</f>
        <v>#NAME?</v>
      </c>
      <c r="W202" s="28" t="e">
        <f ca="1">[1]!BexGetData("DP_1","00O2TNJGODT0G5Z4TTKYMN7K5","GSON1112030350")</f>
        <v>#NAME?</v>
      </c>
    </row>
    <row r="203" spans="1:23" x14ac:dyDescent="0.2">
      <c r="A203" s="36" t="s">
        <v>1607</v>
      </c>
      <c r="B203" s="27" t="s">
        <v>793</v>
      </c>
      <c r="C203" s="24" t="e">
        <f ca="1">[1]!BexGetData("DP_1","003N8EMH8GTFRCSWKMPXRR8GU","GSON1112030351")</f>
        <v>#NAME?</v>
      </c>
      <c r="D203" s="24" t="e">
        <f ca="1">[1]!BexGetData("DP_1","003N8EMH8GTFRCSWKMPXRRESE","GSON1112030351")</f>
        <v>#NAME?</v>
      </c>
      <c r="E203" s="24" t="e">
        <f ca="1">[1]!BexGetData("DP_1","003N8EMH8GTFRCSWKMPXRRL3Y","GSON1112030351")</f>
        <v>#NAME?</v>
      </c>
      <c r="F203" s="28" t="e">
        <f ca="1">[1]!BexGetData("DP_1","003N8EMH8GTFRCSWKMPXRRRFI","GSON1112030351")</f>
        <v>#NAME?</v>
      </c>
      <c r="G203" s="23" t="e">
        <f ca="1">[1]!BexGetData("DP_1","003N8EMH8GTFRCSWKMPXRRXR2","GSON1112030351")</f>
        <v>#NAME?</v>
      </c>
      <c r="H203" s="23" t="e">
        <f ca="1">[1]!BexGetData("DP_1","003N8EMH8GTFRCSWKMPXRS42M","GSON1112030351")</f>
        <v>#NAME?</v>
      </c>
      <c r="I203" s="28" t="e">
        <f ca="1">[1]!BexGetData("DP_1","003N8EMH8GTFRCSWKMPXRSAE6","GSON1112030351")</f>
        <v>#NAME?</v>
      </c>
      <c r="J203" s="24" t="e">
        <f ca="1">[1]!BexGetData("DP_1","003N8EMH8GTFRCSWKMPXRSGPQ","GSON1112030351")</f>
        <v>#NAME?</v>
      </c>
      <c r="K203" s="28" t="e">
        <f ca="1">[1]!BexGetData("DP_1","003N8EMH8GTFRIVNUPY288VJH","GSON1112030351")</f>
        <v>#NAME?</v>
      </c>
      <c r="L203" s="28" t="e">
        <f ca="1">[1]!BexGetData("DP_1","003N8EMH8GTFRIVNUPY2891V1","GSON1112030351")</f>
        <v>#NAME?</v>
      </c>
      <c r="M203" s="28" t="e">
        <f ca="1">[1]!BexGetData("DP_1","003N8EMH8GTFRIVOG7KG9IQXA","GSON1112030351")</f>
        <v>#NAME?</v>
      </c>
      <c r="N203" s="28" t="e">
        <f ca="1">[1]!BexGetData("DP_1","003N8EMH8GTFRIVOG7KG9IX8U","GSON1112030351")</f>
        <v>#NAME?</v>
      </c>
      <c r="O203" s="28" t="e">
        <f ca="1">[1]!BexGetData("DP_1","003N8EMH8GTFRIVOG7KG9J3KE","GSON1112030351")</f>
        <v>#NAME?</v>
      </c>
      <c r="P203" s="28" t="e">
        <f ca="1">[1]!BexGetData("DP_1","003N8EMH8GTFRIVOG7KG9J9VY","GSON1112030351")</f>
        <v>#NAME?</v>
      </c>
      <c r="Q203" s="24" t="e">
        <f ca="1">[1]!BexGetData("DP_1","00O2TNJGODT0G5Z4TTKYMM5MT","GSON1112030351")</f>
        <v>#NAME?</v>
      </c>
      <c r="R203" s="28" t="e">
        <f ca="1">[1]!BexGetData("DP_1","00O2TNJGODT0G5Z4TTKYMMBYD","GSON1112030351")</f>
        <v>#NAME?</v>
      </c>
      <c r="S203" s="28" t="e">
        <f ca="1">[1]!BexGetData("DP_1","00O2TNJGODT0G5Z4TTKYMMI9X","GSON1112030351")</f>
        <v>#NAME?</v>
      </c>
      <c r="T203" s="28" t="e">
        <f ca="1">[1]!BexGetData("DP_1","00O2TNJGODT0G5Z4TTKYMMOLH","GSON1112030351")</f>
        <v>#NAME?</v>
      </c>
      <c r="U203" s="28" t="e">
        <f ca="1">[1]!BexGetData("DP_1","00O2TNJGODT0G5Z4TTKYMMUX1","GSON1112030351")</f>
        <v>#NAME?</v>
      </c>
      <c r="V203" s="28" t="e">
        <f ca="1">[1]!BexGetData("DP_1","00O2TNJGODT0G5Z4TTKYMN18L","GSON1112030351")</f>
        <v>#NAME?</v>
      </c>
      <c r="W203" s="28" t="e">
        <f ca="1">[1]!BexGetData("DP_1","00O2TNJGODT0G5Z4TTKYMN7K5","GSON1112030351")</f>
        <v>#NAME?</v>
      </c>
    </row>
    <row r="204" spans="1:23" x14ac:dyDescent="0.2">
      <c r="A204" s="36" t="s">
        <v>2059</v>
      </c>
      <c r="B204" s="27" t="s">
        <v>2060</v>
      </c>
      <c r="C204" s="24" t="e">
        <f ca="1">[1]!BexGetData("DP_1","003N8EMH8GTFRCSWKMPXRR8GU","GSON1112030353")</f>
        <v>#NAME?</v>
      </c>
      <c r="D204" s="24" t="e">
        <f ca="1">[1]!BexGetData("DP_1","003N8EMH8GTFRCSWKMPXRRESE","GSON1112030353")</f>
        <v>#NAME?</v>
      </c>
      <c r="E204" s="24" t="e">
        <f ca="1">[1]!BexGetData("DP_1","003N8EMH8GTFRCSWKMPXRRL3Y","GSON1112030353")</f>
        <v>#NAME?</v>
      </c>
      <c r="F204" s="28" t="e">
        <f ca="1">[1]!BexGetData("DP_1","003N8EMH8GTFRCSWKMPXRRRFI","GSON1112030353")</f>
        <v>#NAME?</v>
      </c>
      <c r="G204" s="23" t="e">
        <f ca="1">[1]!BexGetData("DP_1","003N8EMH8GTFRCSWKMPXRRXR2","GSON1112030353")</f>
        <v>#NAME?</v>
      </c>
      <c r="H204" s="23" t="e">
        <f ca="1">[1]!BexGetData("DP_1","003N8EMH8GTFRCSWKMPXRS42M","GSON1112030353")</f>
        <v>#NAME?</v>
      </c>
      <c r="I204" s="28" t="e">
        <f ca="1">[1]!BexGetData("DP_1","003N8EMH8GTFRCSWKMPXRSAE6","GSON1112030353")</f>
        <v>#NAME?</v>
      </c>
      <c r="J204" s="24" t="e">
        <f ca="1">[1]!BexGetData("DP_1","003N8EMH8GTFRCSWKMPXRSGPQ","GSON1112030353")</f>
        <v>#NAME?</v>
      </c>
      <c r="K204" s="28" t="e">
        <f ca="1">[1]!BexGetData("DP_1","003N8EMH8GTFRIVNUPY288VJH","GSON1112030353")</f>
        <v>#NAME?</v>
      </c>
      <c r="L204" s="28" t="e">
        <f ca="1">[1]!BexGetData("DP_1","003N8EMH8GTFRIVNUPY2891V1","GSON1112030353")</f>
        <v>#NAME?</v>
      </c>
      <c r="M204" s="28" t="e">
        <f ca="1">[1]!BexGetData("DP_1","003N8EMH8GTFRIVOG7KG9IQXA","GSON1112030353")</f>
        <v>#NAME?</v>
      </c>
      <c r="N204" s="28" t="e">
        <f ca="1">[1]!BexGetData("DP_1","003N8EMH8GTFRIVOG7KG9IX8U","GSON1112030353")</f>
        <v>#NAME?</v>
      </c>
      <c r="O204" s="28" t="e">
        <f ca="1">[1]!BexGetData("DP_1","003N8EMH8GTFRIVOG7KG9J3KE","GSON1112030353")</f>
        <v>#NAME?</v>
      </c>
      <c r="P204" s="28" t="e">
        <f ca="1">[1]!BexGetData("DP_1","003N8EMH8GTFRIVOG7KG9J9VY","GSON1112030353")</f>
        <v>#NAME?</v>
      </c>
      <c r="Q204" s="24" t="e">
        <f ca="1">[1]!BexGetData("DP_1","00O2TNJGODT0G5Z4TTKYMM5MT","GSON1112030353")</f>
        <v>#NAME?</v>
      </c>
      <c r="R204" s="28" t="e">
        <f ca="1">[1]!BexGetData("DP_1","00O2TNJGODT0G5Z4TTKYMMBYD","GSON1112030353")</f>
        <v>#NAME?</v>
      </c>
      <c r="S204" s="28" t="e">
        <f ca="1">[1]!BexGetData("DP_1","00O2TNJGODT0G5Z4TTKYMMI9X","GSON1112030353")</f>
        <v>#NAME?</v>
      </c>
      <c r="T204" s="28" t="e">
        <f ca="1">[1]!BexGetData("DP_1","00O2TNJGODT0G5Z4TTKYMMOLH","GSON1112030353")</f>
        <v>#NAME?</v>
      </c>
      <c r="U204" s="28" t="e">
        <f ca="1">[1]!BexGetData("DP_1","00O2TNJGODT0G5Z4TTKYMMUX1","GSON1112030353")</f>
        <v>#NAME?</v>
      </c>
      <c r="V204" s="28" t="e">
        <f ca="1">[1]!BexGetData("DP_1","00O2TNJGODT0G5Z4TTKYMN18L","GSON1112030353")</f>
        <v>#NAME?</v>
      </c>
      <c r="W204" s="28" t="e">
        <f ca="1">[1]!BexGetData("DP_1","00O2TNJGODT0G5Z4TTKYMN7K5","GSON1112030353")</f>
        <v>#NAME?</v>
      </c>
    </row>
    <row r="205" spans="1:23" x14ac:dyDescent="0.2">
      <c r="A205" s="36" t="s">
        <v>2061</v>
      </c>
      <c r="B205" s="27" t="s">
        <v>2062</v>
      </c>
      <c r="C205" s="28" t="e">
        <f ca="1">[1]!BexGetData("DP_1","003N8EMH8GTFRCSWKMPXRR8GU","GSON1112030355")</f>
        <v>#NAME?</v>
      </c>
      <c r="D205" s="28" t="e">
        <f ca="1">[1]!BexGetData("DP_1","003N8EMH8GTFRCSWKMPXRRESE","GSON1112030355")</f>
        <v>#NAME?</v>
      </c>
      <c r="E205" s="28" t="e">
        <f ca="1">[1]!BexGetData("DP_1","003N8EMH8GTFRCSWKMPXRRL3Y","GSON1112030355")</f>
        <v>#NAME?</v>
      </c>
      <c r="F205" s="28" t="e">
        <f ca="1">[1]!BexGetData("DP_1","003N8EMH8GTFRCSWKMPXRRRFI","GSON1112030355")</f>
        <v>#NAME?</v>
      </c>
      <c r="G205" s="23" t="e">
        <f ca="1">[1]!BexGetData("DP_1","003N8EMH8GTFRCSWKMPXRRXR2","GSON1112030355")</f>
        <v>#NAME?</v>
      </c>
      <c r="H205" s="23" t="e">
        <f ca="1">[1]!BexGetData("DP_1","003N8EMH8GTFRCSWKMPXRS42M","GSON1112030355")</f>
        <v>#NAME?</v>
      </c>
      <c r="I205" s="28" t="e">
        <f ca="1">[1]!BexGetData("DP_1","003N8EMH8GTFRCSWKMPXRSAE6","GSON1112030355")</f>
        <v>#NAME?</v>
      </c>
      <c r="J205" s="24" t="e">
        <f ca="1">[1]!BexGetData("DP_1","003N8EMH8GTFRCSWKMPXRSGPQ","GSON1112030355")</f>
        <v>#NAME?</v>
      </c>
      <c r="K205" s="28" t="e">
        <f ca="1">[1]!BexGetData("DP_1","003N8EMH8GTFRIVNUPY288VJH","GSON1112030355")</f>
        <v>#NAME?</v>
      </c>
      <c r="L205" s="28" t="e">
        <f ca="1">[1]!BexGetData("DP_1","003N8EMH8GTFRIVNUPY2891V1","GSON1112030355")</f>
        <v>#NAME?</v>
      </c>
      <c r="M205" s="28" t="e">
        <f ca="1">[1]!BexGetData("DP_1","003N8EMH8GTFRIVOG7KG9IQXA","GSON1112030355")</f>
        <v>#NAME?</v>
      </c>
      <c r="N205" s="28" t="e">
        <f ca="1">[1]!BexGetData("DP_1","003N8EMH8GTFRIVOG7KG9IX8U","GSON1112030355")</f>
        <v>#NAME?</v>
      </c>
      <c r="O205" s="28" t="e">
        <f ca="1">[1]!BexGetData("DP_1","003N8EMH8GTFRIVOG7KG9J3KE","GSON1112030355")</f>
        <v>#NAME?</v>
      </c>
      <c r="P205" s="28" t="e">
        <f ca="1">[1]!BexGetData("DP_1","003N8EMH8GTFRIVOG7KG9J9VY","GSON1112030355")</f>
        <v>#NAME?</v>
      </c>
      <c r="Q205" s="24" t="e">
        <f ca="1">[1]!BexGetData("DP_1","00O2TNJGODT0G5Z4TTKYMM5MT","GSON1112030355")</f>
        <v>#NAME?</v>
      </c>
      <c r="R205" s="28" t="e">
        <f ca="1">[1]!BexGetData("DP_1","00O2TNJGODT0G5Z4TTKYMMBYD","GSON1112030355")</f>
        <v>#NAME?</v>
      </c>
      <c r="S205" s="28" t="e">
        <f ca="1">[1]!BexGetData("DP_1","00O2TNJGODT0G5Z4TTKYMMI9X","GSON1112030355")</f>
        <v>#NAME?</v>
      </c>
      <c r="T205" s="28" t="e">
        <f ca="1">[1]!BexGetData("DP_1","00O2TNJGODT0G5Z4TTKYMMOLH","GSON1112030355")</f>
        <v>#NAME?</v>
      </c>
      <c r="U205" s="28" t="e">
        <f ca="1">[1]!BexGetData("DP_1","00O2TNJGODT0G5Z4TTKYMMUX1","GSON1112030355")</f>
        <v>#NAME?</v>
      </c>
      <c r="V205" s="28" t="e">
        <f ca="1">[1]!BexGetData("DP_1","00O2TNJGODT0G5Z4TTKYMN18L","GSON1112030355")</f>
        <v>#NAME?</v>
      </c>
      <c r="W205" s="28" t="e">
        <f ca="1">[1]!BexGetData("DP_1","00O2TNJGODT0G5Z4TTKYMN7K5","GSON1112030355")</f>
        <v>#NAME?</v>
      </c>
    </row>
    <row r="206" spans="1:23" x14ac:dyDescent="0.2">
      <c r="A206" s="36" t="s">
        <v>2063</v>
      </c>
      <c r="B206" s="27" t="s">
        <v>2064</v>
      </c>
      <c r="C206" s="28" t="e">
        <f ca="1">[1]!BexGetData("DP_1","003N8EMH8GTFRCSWKMPXRR8GU","GSON1112030360")</f>
        <v>#NAME?</v>
      </c>
      <c r="D206" s="28" t="e">
        <f ca="1">[1]!BexGetData("DP_1","003N8EMH8GTFRCSWKMPXRRESE","GSON1112030360")</f>
        <v>#NAME?</v>
      </c>
      <c r="E206" s="23" t="e">
        <f ca="1">[1]!BexGetData("DP_1","003N8EMH8GTFRCSWKMPXRRL3Y","GSON1112030360")</f>
        <v>#NAME?</v>
      </c>
      <c r="F206" s="23" t="e">
        <f ca="1">[1]!BexGetData("DP_1","003N8EMH8GTFRCSWKMPXRRRFI","GSON1112030360")</f>
        <v>#NAME?</v>
      </c>
      <c r="G206" s="28" t="e">
        <f ca="1">[1]!BexGetData("DP_1","003N8EMH8GTFRCSWKMPXRRXR2","GSON1112030360")</f>
        <v>#NAME?</v>
      </c>
      <c r="H206" s="28" t="e">
        <f ca="1">[1]!BexGetData("DP_1","003N8EMH8GTFRCSWKMPXRS42M","GSON1112030360")</f>
        <v>#NAME?</v>
      </c>
      <c r="I206" s="23" t="e">
        <f ca="1">[1]!BexGetData("DP_1","003N8EMH8GTFRCSWKMPXRSAE6","GSON1112030360")</f>
        <v>#NAME?</v>
      </c>
      <c r="J206" s="23" t="e">
        <f ca="1">[1]!BexGetData("DP_1","003N8EMH8GTFRCSWKMPXRSGPQ","GSON1112030360")</f>
        <v>#NAME?</v>
      </c>
      <c r="K206" s="28" t="e">
        <f ca="1">[1]!BexGetData("DP_1","003N8EMH8GTFRIVNUPY288VJH","GSON1112030360")</f>
        <v>#NAME?</v>
      </c>
      <c r="L206" s="28" t="e">
        <f ca="1">[1]!BexGetData("DP_1","003N8EMH8GTFRIVNUPY2891V1","GSON1112030360")</f>
        <v>#NAME?</v>
      </c>
      <c r="M206" s="28" t="e">
        <f ca="1">[1]!BexGetData("DP_1","003N8EMH8GTFRIVOG7KG9IQXA","GSON1112030360")</f>
        <v>#NAME?</v>
      </c>
      <c r="N206" s="28" t="e">
        <f ca="1">[1]!BexGetData("DP_1","003N8EMH8GTFRIVOG7KG9IX8U","GSON1112030360")</f>
        <v>#NAME?</v>
      </c>
      <c r="O206" s="28" t="e">
        <f ca="1">[1]!BexGetData("DP_1","003N8EMH8GTFRIVOG7KG9J3KE","GSON1112030360")</f>
        <v>#NAME?</v>
      </c>
      <c r="P206" s="28" t="e">
        <f ca="1">[1]!BexGetData("DP_1","003N8EMH8GTFRIVOG7KG9J9VY","GSON1112030360")</f>
        <v>#NAME?</v>
      </c>
      <c r="Q206" s="23" t="e">
        <f ca="1">[1]!BexGetData("DP_1","00O2TNJGODT0G5Z4TTKYMM5MT","GSON1112030360")</f>
        <v>#NAME?</v>
      </c>
      <c r="R206" s="28" t="e">
        <f ca="1">[1]!BexGetData("DP_1","00O2TNJGODT0G5Z4TTKYMMBYD","GSON1112030360")</f>
        <v>#NAME?</v>
      </c>
      <c r="S206" s="28" t="e">
        <f ca="1">[1]!BexGetData("DP_1","00O2TNJGODT0G5Z4TTKYMMI9X","GSON1112030360")</f>
        <v>#NAME?</v>
      </c>
      <c r="T206" s="28" t="e">
        <f ca="1">[1]!BexGetData("DP_1","00O2TNJGODT0G5Z4TTKYMMOLH","GSON1112030360")</f>
        <v>#NAME?</v>
      </c>
      <c r="U206" s="28" t="e">
        <f ca="1">[1]!BexGetData("DP_1","00O2TNJGODT0G5Z4TTKYMMUX1","GSON1112030360")</f>
        <v>#NAME?</v>
      </c>
      <c r="V206" s="28" t="e">
        <f ca="1">[1]!BexGetData("DP_1","00O2TNJGODT0G5Z4TTKYMN18L","GSON1112030360")</f>
        <v>#NAME?</v>
      </c>
      <c r="W206" s="28" t="e">
        <f ca="1">[1]!BexGetData("DP_1","00O2TNJGODT0G5Z4TTKYMN7K5","GSON1112030360")</f>
        <v>#NAME?</v>
      </c>
    </row>
    <row r="207" spans="1:23" x14ac:dyDescent="0.2">
      <c r="A207" s="36" t="s">
        <v>2065</v>
      </c>
      <c r="B207" s="27" t="s">
        <v>2066</v>
      </c>
      <c r="C207" s="28" t="e">
        <f ca="1">[1]!BexGetData("DP_1","003N8EMH8GTFRCSWKMPXRR8GU","GSON1112030365")</f>
        <v>#NAME?</v>
      </c>
      <c r="D207" s="28" t="e">
        <f ca="1">[1]!BexGetData("DP_1","003N8EMH8GTFRCSWKMPXRRESE","GSON1112030365")</f>
        <v>#NAME?</v>
      </c>
      <c r="E207" s="28" t="e">
        <f ca="1">[1]!BexGetData("DP_1","003N8EMH8GTFRCSWKMPXRRL3Y","GSON1112030365")</f>
        <v>#NAME?</v>
      </c>
      <c r="F207" s="28" t="e">
        <f ca="1">[1]!BexGetData("DP_1","003N8EMH8GTFRCSWKMPXRRRFI","GSON1112030365")</f>
        <v>#NAME?</v>
      </c>
      <c r="G207" s="23" t="e">
        <f ca="1">[1]!BexGetData("DP_1","003N8EMH8GTFRCSWKMPXRRXR2","GSON1112030365")</f>
        <v>#NAME?</v>
      </c>
      <c r="H207" s="23" t="e">
        <f ca="1">[1]!BexGetData("DP_1","003N8EMH8GTFRCSWKMPXRS42M","GSON1112030365")</f>
        <v>#NAME?</v>
      </c>
      <c r="I207" s="28" t="e">
        <f ca="1">[1]!BexGetData("DP_1","003N8EMH8GTFRCSWKMPXRSAE6","GSON1112030365")</f>
        <v>#NAME?</v>
      </c>
      <c r="J207" s="24" t="e">
        <f ca="1">[1]!BexGetData("DP_1","003N8EMH8GTFRCSWKMPXRSGPQ","GSON1112030365")</f>
        <v>#NAME?</v>
      </c>
      <c r="K207" s="28" t="e">
        <f ca="1">[1]!BexGetData("DP_1","003N8EMH8GTFRIVNUPY288VJH","GSON1112030365")</f>
        <v>#NAME?</v>
      </c>
      <c r="L207" s="28" t="e">
        <f ca="1">[1]!BexGetData("DP_1","003N8EMH8GTFRIVNUPY2891V1","GSON1112030365")</f>
        <v>#NAME?</v>
      </c>
      <c r="M207" s="28" t="e">
        <f ca="1">[1]!BexGetData("DP_1","003N8EMH8GTFRIVOG7KG9IQXA","GSON1112030365")</f>
        <v>#NAME?</v>
      </c>
      <c r="N207" s="28" t="e">
        <f ca="1">[1]!BexGetData("DP_1","003N8EMH8GTFRIVOG7KG9IX8U","GSON1112030365")</f>
        <v>#NAME?</v>
      </c>
      <c r="O207" s="28" t="e">
        <f ca="1">[1]!BexGetData("DP_1","003N8EMH8GTFRIVOG7KG9J3KE","GSON1112030365")</f>
        <v>#NAME?</v>
      </c>
      <c r="P207" s="28" t="e">
        <f ca="1">[1]!BexGetData("DP_1","003N8EMH8GTFRIVOG7KG9J9VY","GSON1112030365")</f>
        <v>#NAME?</v>
      </c>
      <c r="Q207" s="24" t="e">
        <f ca="1">[1]!BexGetData("DP_1","00O2TNJGODT0G5Z4TTKYMM5MT","GSON1112030365")</f>
        <v>#NAME?</v>
      </c>
      <c r="R207" s="28" t="e">
        <f ca="1">[1]!BexGetData("DP_1","00O2TNJGODT0G5Z4TTKYMMBYD","GSON1112030365")</f>
        <v>#NAME?</v>
      </c>
      <c r="S207" s="28" t="e">
        <f ca="1">[1]!BexGetData("DP_1","00O2TNJGODT0G5Z4TTKYMMI9X","GSON1112030365")</f>
        <v>#NAME?</v>
      </c>
      <c r="T207" s="28" t="e">
        <f ca="1">[1]!BexGetData("DP_1","00O2TNJGODT0G5Z4TTKYMMOLH","GSON1112030365")</f>
        <v>#NAME?</v>
      </c>
      <c r="U207" s="28" t="e">
        <f ca="1">[1]!BexGetData("DP_1","00O2TNJGODT0G5Z4TTKYMMUX1","GSON1112030365")</f>
        <v>#NAME?</v>
      </c>
      <c r="V207" s="28" t="e">
        <f ca="1">[1]!BexGetData("DP_1","00O2TNJGODT0G5Z4TTKYMN18L","GSON1112030365")</f>
        <v>#NAME?</v>
      </c>
      <c r="W207" s="28" t="e">
        <f ca="1">[1]!BexGetData("DP_1","00O2TNJGODT0G5Z4TTKYMN7K5","GSON1112030365")</f>
        <v>#NAME?</v>
      </c>
    </row>
    <row r="208" spans="1:23" x14ac:dyDescent="0.2">
      <c r="A208" s="36" t="s">
        <v>2067</v>
      </c>
      <c r="B208" s="27" t="s">
        <v>794</v>
      </c>
      <c r="C208" s="28" t="e">
        <f ca="1">[1]!BexGetData("DP_1","003N8EMH8GTFRCSWKMPXRR8GU","GSON1112030370")</f>
        <v>#NAME?</v>
      </c>
      <c r="D208" s="28" t="e">
        <f ca="1">[1]!BexGetData("DP_1","003N8EMH8GTFRCSWKMPXRRESE","GSON1112030370")</f>
        <v>#NAME?</v>
      </c>
      <c r="E208" s="23" t="e">
        <f ca="1">[1]!BexGetData("DP_1","003N8EMH8GTFRCSWKMPXRRL3Y","GSON1112030370")</f>
        <v>#NAME?</v>
      </c>
      <c r="F208" s="23" t="e">
        <f ca="1">[1]!BexGetData("DP_1","003N8EMH8GTFRCSWKMPXRRRFI","GSON1112030370")</f>
        <v>#NAME?</v>
      </c>
      <c r="G208" s="23" t="e">
        <f ca="1">[1]!BexGetData("DP_1","003N8EMH8GTFRCSWKMPXRRXR2","GSON1112030370")</f>
        <v>#NAME?</v>
      </c>
      <c r="H208" s="23" t="e">
        <f ca="1">[1]!BexGetData("DP_1","003N8EMH8GTFRCSWKMPXRS42M","GSON1112030370")</f>
        <v>#NAME?</v>
      </c>
      <c r="I208" s="23" t="e">
        <f ca="1">[1]!BexGetData("DP_1","003N8EMH8GTFRCSWKMPXRSAE6","GSON1112030370")</f>
        <v>#NAME?</v>
      </c>
      <c r="J208" s="23" t="e">
        <f ca="1">[1]!BexGetData("DP_1","003N8EMH8GTFRCSWKMPXRSGPQ","GSON1112030370")</f>
        <v>#NAME?</v>
      </c>
      <c r="K208" s="28" t="e">
        <f ca="1">[1]!BexGetData("DP_1","003N8EMH8GTFRIVNUPY288VJH","GSON1112030370")</f>
        <v>#NAME?</v>
      </c>
      <c r="L208" s="28" t="e">
        <f ca="1">[1]!BexGetData("DP_1","003N8EMH8GTFRIVNUPY2891V1","GSON1112030370")</f>
        <v>#NAME?</v>
      </c>
      <c r="M208" s="28" t="e">
        <f ca="1">[1]!BexGetData("DP_1","003N8EMH8GTFRIVOG7KG9IQXA","GSON1112030370")</f>
        <v>#NAME?</v>
      </c>
      <c r="N208" s="28" t="e">
        <f ca="1">[1]!BexGetData("DP_1","003N8EMH8GTFRIVOG7KG9IX8U","GSON1112030370")</f>
        <v>#NAME?</v>
      </c>
      <c r="O208" s="28" t="e">
        <f ca="1">[1]!BexGetData("DP_1","003N8EMH8GTFRIVOG7KG9J3KE","GSON1112030370")</f>
        <v>#NAME?</v>
      </c>
      <c r="P208" s="28" t="e">
        <f ca="1">[1]!BexGetData("DP_1","003N8EMH8GTFRIVOG7KG9J9VY","GSON1112030370")</f>
        <v>#NAME?</v>
      </c>
      <c r="Q208" s="23" t="e">
        <f ca="1">[1]!BexGetData("DP_1","00O2TNJGODT0G5Z4TTKYMM5MT","GSON1112030370")</f>
        <v>#NAME?</v>
      </c>
      <c r="R208" s="23" t="e">
        <f ca="1">[1]!BexGetData("DP_1","00O2TNJGODT0G5Z4TTKYMMBYD","GSON1112030370")</f>
        <v>#NAME?</v>
      </c>
      <c r="S208" s="23" t="e">
        <f ca="1">[1]!BexGetData("DP_1","00O2TNJGODT0G5Z4TTKYMMI9X","GSON1112030370")</f>
        <v>#NAME?</v>
      </c>
      <c r="T208" s="23" t="e">
        <f ca="1">[1]!BexGetData("DP_1","00O2TNJGODT0G5Z4TTKYMMOLH","GSON1112030370")</f>
        <v>#NAME?</v>
      </c>
      <c r="U208" s="28" t="e">
        <f ca="1">[1]!BexGetData("DP_1","00O2TNJGODT0G5Z4TTKYMMUX1","GSON1112030370")</f>
        <v>#NAME?</v>
      </c>
      <c r="V208" s="23" t="e">
        <f ca="1">[1]!BexGetData("DP_1","00O2TNJGODT0G5Z4TTKYMN18L","GSON1112030370")</f>
        <v>#NAME?</v>
      </c>
      <c r="W208" s="28" t="e">
        <f ca="1">[1]!BexGetData("DP_1","00O2TNJGODT0G5Z4TTKYMN7K5","GSON1112030370")</f>
        <v>#NAME?</v>
      </c>
    </row>
    <row r="209" spans="1:23" x14ac:dyDescent="0.2">
      <c r="A209" s="36" t="s">
        <v>2068</v>
      </c>
      <c r="B209" s="27" t="s">
        <v>795</v>
      </c>
      <c r="C209" s="24" t="e">
        <f ca="1">[1]!BexGetData("DP_1","003N8EMH8GTFRCSWKMPXRR8GU","GSON1112030371")</f>
        <v>#NAME?</v>
      </c>
      <c r="D209" s="24" t="e">
        <f ca="1">[1]!BexGetData("DP_1","003N8EMH8GTFRCSWKMPXRRESE","GSON1112030371")</f>
        <v>#NAME?</v>
      </c>
      <c r="E209" s="24" t="e">
        <f ca="1">[1]!BexGetData("DP_1","003N8EMH8GTFRCSWKMPXRRL3Y","GSON1112030371")</f>
        <v>#NAME?</v>
      </c>
      <c r="F209" s="28" t="e">
        <f ca="1">[1]!BexGetData("DP_1","003N8EMH8GTFRCSWKMPXRRRFI","GSON1112030371")</f>
        <v>#NAME?</v>
      </c>
      <c r="G209" s="23" t="e">
        <f ca="1">[1]!BexGetData("DP_1","003N8EMH8GTFRCSWKMPXRRXR2","GSON1112030371")</f>
        <v>#NAME?</v>
      </c>
      <c r="H209" s="23" t="e">
        <f ca="1">[1]!BexGetData("DP_1","003N8EMH8GTFRCSWKMPXRS42M","GSON1112030371")</f>
        <v>#NAME?</v>
      </c>
      <c r="I209" s="28" t="e">
        <f ca="1">[1]!BexGetData("DP_1","003N8EMH8GTFRCSWKMPXRSAE6","GSON1112030371")</f>
        <v>#NAME?</v>
      </c>
      <c r="J209" s="24" t="e">
        <f ca="1">[1]!BexGetData("DP_1","003N8EMH8GTFRCSWKMPXRSGPQ","GSON1112030371")</f>
        <v>#NAME?</v>
      </c>
      <c r="K209" s="28" t="e">
        <f ca="1">[1]!BexGetData("DP_1","003N8EMH8GTFRIVNUPY288VJH","GSON1112030371")</f>
        <v>#NAME?</v>
      </c>
      <c r="L209" s="28" t="e">
        <f ca="1">[1]!BexGetData("DP_1","003N8EMH8GTFRIVNUPY2891V1","GSON1112030371")</f>
        <v>#NAME?</v>
      </c>
      <c r="M209" s="28" t="e">
        <f ca="1">[1]!BexGetData("DP_1","003N8EMH8GTFRIVOG7KG9IQXA","GSON1112030371")</f>
        <v>#NAME?</v>
      </c>
      <c r="N209" s="28" t="e">
        <f ca="1">[1]!BexGetData("DP_1","003N8EMH8GTFRIVOG7KG9IX8U","GSON1112030371")</f>
        <v>#NAME?</v>
      </c>
      <c r="O209" s="28" t="e">
        <f ca="1">[1]!BexGetData("DP_1","003N8EMH8GTFRIVOG7KG9J3KE","GSON1112030371")</f>
        <v>#NAME?</v>
      </c>
      <c r="P209" s="28" t="e">
        <f ca="1">[1]!BexGetData("DP_1","003N8EMH8GTFRIVOG7KG9J9VY","GSON1112030371")</f>
        <v>#NAME?</v>
      </c>
      <c r="Q209" s="24" t="e">
        <f ca="1">[1]!BexGetData("DP_1","00O2TNJGODT0G5Z4TTKYMM5MT","GSON1112030371")</f>
        <v>#NAME?</v>
      </c>
      <c r="R209" s="28" t="e">
        <f ca="1">[1]!BexGetData("DP_1","00O2TNJGODT0G5Z4TTKYMMBYD","GSON1112030371")</f>
        <v>#NAME?</v>
      </c>
      <c r="S209" s="28" t="e">
        <f ca="1">[1]!BexGetData("DP_1","00O2TNJGODT0G5Z4TTKYMMI9X","GSON1112030371")</f>
        <v>#NAME?</v>
      </c>
      <c r="T209" s="28" t="e">
        <f ca="1">[1]!BexGetData("DP_1","00O2TNJGODT0G5Z4TTKYMMOLH","GSON1112030371")</f>
        <v>#NAME?</v>
      </c>
      <c r="U209" s="28" t="e">
        <f ca="1">[1]!BexGetData("DP_1","00O2TNJGODT0G5Z4TTKYMMUX1","GSON1112030371")</f>
        <v>#NAME?</v>
      </c>
      <c r="V209" s="28" t="e">
        <f ca="1">[1]!BexGetData("DP_1","00O2TNJGODT0G5Z4TTKYMN18L","GSON1112030371")</f>
        <v>#NAME?</v>
      </c>
      <c r="W209" s="28" t="e">
        <f ca="1">[1]!BexGetData("DP_1","00O2TNJGODT0G5Z4TTKYMN7K5","GSON1112030371")</f>
        <v>#NAME?</v>
      </c>
    </row>
    <row r="210" spans="1:23" x14ac:dyDescent="0.2">
      <c r="A210" s="36" t="s">
        <v>2069</v>
      </c>
      <c r="B210" s="27" t="s">
        <v>2070</v>
      </c>
      <c r="C210" s="24" t="e">
        <f ca="1">[1]!BexGetData("DP_1","003N8EMH8GTFRCSWKMPXRR8GU","GSON1112030373")</f>
        <v>#NAME?</v>
      </c>
      <c r="D210" s="24" t="e">
        <f ca="1">[1]!BexGetData("DP_1","003N8EMH8GTFRCSWKMPXRRESE","GSON1112030373")</f>
        <v>#NAME?</v>
      </c>
      <c r="E210" s="24" t="e">
        <f ca="1">[1]!BexGetData("DP_1","003N8EMH8GTFRCSWKMPXRRL3Y","GSON1112030373")</f>
        <v>#NAME?</v>
      </c>
      <c r="F210" s="28" t="e">
        <f ca="1">[1]!BexGetData("DP_1","003N8EMH8GTFRCSWKMPXRRRFI","GSON1112030373")</f>
        <v>#NAME?</v>
      </c>
      <c r="G210" s="23" t="e">
        <f ca="1">[1]!BexGetData("DP_1","003N8EMH8GTFRCSWKMPXRRXR2","GSON1112030373")</f>
        <v>#NAME?</v>
      </c>
      <c r="H210" s="23" t="e">
        <f ca="1">[1]!BexGetData("DP_1","003N8EMH8GTFRCSWKMPXRS42M","GSON1112030373")</f>
        <v>#NAME?</v>
      </c>
      <c r="I210" s="28" t="e">
        <f ca="1">[1]!BexGetData("DP_1","003N8EMH8GTFRCSWKMPXRSAE6","GSON1112030373")</f>
        <v>#NAME?</v>
      </c>
      <c r="J210" s="24" t="e">
        <f ca="1">[1]!BexGetData("DP_1","003N8EMH8GTFRCSWKMPXRSGPQ","GSON1112030373")</f>
        <v>#NAME?</v>
      </c>
      <c r="K210" s="28" t="e">
        <f ca="1">[1]!BexGetData("DP_1","003N8EMH8GTFRIVNUPY288VJH","GSON1112030373")</f>
        <v>#NAME?</v>
      </c>
      <c r="L210" s="28" t="e">
        <f ca="1">[1]!BexGetData("DP_1","003N8EMH8GTFRIVNUPY2891V1","GSON1112030373")</f>
        <v>#NAME?</v>
      </c>
      <c r="M210" s="28" t="e">
        <f ca="1">[1]!BexGetData("DP_1","003N8EMH8GTFRIVOG7KG9IQXA","GSON1112030373")</f>
        <v>#NAME?</v>
      </c>
      <c r="N210" s="28" t="e">
        <f ca="1">[1]!BexGetData("DP_1","003N8EMH8GTFRIVOG7KG9IX8U","GSON1112030373")</f>
        <v>#NAME?</v>
      </c>
      <c r="O210" s="28" t="e">
        <f ca="1">[1]!BexGetData("DP_1","003N8EMH8GTFRIVOG7KG9J3KE","GSON1112030373")</f>
        <v>#NAME?</v>
      </c>
      <c r="P210" s="28" t="e">
        <f ca="1">[1]!BexGetData("DP_1","003N8EMH8GTFRIVOG7KG9J9VY","GSON1112030373")</f>
        <v>#NAME?</v>
      </c>
      <c r="Q210" s="24" t="e">
        <f ca="1">[1]!BexGetData("DP_1","00O2TNJGODT0G5Z4TTKYMM5MT","GSON1112030373")</f>
        <v>#NAME?</v>
      </c>
      <c r="R210" s="28" t="e">
        <f ca="1">[1]!BexGetData("DP_1","00O2TNJGODT0G5Z4TTKYMMBYD","GSON1112030373")</f>
        <v>#NAME?</v>
      </c>
      <c r="S210" s="28" t="e">
        <f ca="1">[1]!BexGetData("DP_1","00O2TNJGODT0G5Z4TTKYMMI9X","GSON1112030373")</f>
        <v>#NAME?</v>
      </c>
      <c r="T210" s="28" t="e">
        <f ca="1">[1]!BexGetData("DP_1","00O2TNJGODT0G5Z4TTKYMMOLH","GSON1112030373")</f>
        <v>#NAME?</v>
      </c>
      <c r="U210" s="28" t="e">
        <f ca="1">[1]!BexGetData("DP_1","00O2TNJGODT0G5Z4TTKYMMUX1","GSON1112030373")</f>
        <v>#NAME?</v>
      </c>
      <c r="V210" s="28" t="e">
        <f ca="1">[1]!BexGetData("DP_1","00O2TNJGODT0G5Z4TTKYMN18L","GSON1112030373")</f>
        <v>#NAME?</v>
      </c>
      <c r="W210" s="28" t="e">
        <f ca="1">[1]!BexGetData("DP_1","00O2TNJGODT0G5Z4TTKYMN7K5","GSON1112030373")</f>
        <v>#NAME?</v>
      </c>
    </row>
    <row r="211" spans="1:23" x14ac:dyDescent="0.2">
      <c r="A211" s="36" t="s">
        <v>2071</v>
      </c>
      <c r="B211" s="27" t="s">
        <v>2072</v>
      </c>
      <c r="C211" s="28" t="e">
        <f ca="1">[1]!BexGetData("DP_1","003N8EMH8GTFRCSWKMPXRR8GU","GSON1112030375")</f>
        <v>#NAME?</v>
      </c>
      <c r="D211" s="28" t="e">
        <f ca="1">[1]!BexGetData("DP_1","003N8EMH8GTFRCSWKMPXRRESE","GSON1112030375")</f>
        <v>#NAME?</v>
      </c>
      <c r="E211" s="28" t="e">
        <f ca="1">[1]!BexGetData("DP_1","003N8EMH8GTFRCSWKMPXRRL3Y","GSON1112030375")</f>
        <v>#NAME?</v>
      </c>
      <c r="F211" s="28" t="e">
        <f ca="1">[1]!BexGetData("DP_1","003N8EMH8GTFRCSWKMPXRRRFI","GSON1112030375")</f>
        <v>#NAME?</v>
      </c>
      <c r="G211" s="23" t="e">
        <f ca="1">[1]!BexGetData("DP_1","003N8EMH8GTFRCSWKMPXRRXR2","GSON1112030375")</f>
        <v>#NAME?</v>
      </c>
      <c r="H211" s="23" t="e">
        <f ca="1">[1]!BexGetData("DP_1","003N8EMH8GTFRCSWKMPXRS42M","GSON1112030375")</f>
        <v>#NAME?</v>
      </c>
      <c r="I211" s="28" t="e">
        <f ca="1">[1]!BexGetData("DP_1","003N8EMH8GTFRCSWKMPXRSAE6","GSON1112030375")</f>
        <v>#NAME?</v>
      </c>
      <c r="J211" s="24" t="e">
        <f ca="1">[1]!BexGetData("DP_1","003N8EMH8GTFRCSWKMPXRSGPQ","GSON1112030375")</f>
        <v>#NAME?</v>
      </c>
      <c r="K211" s="28" t="e">
        <f ca="1">[1]!BexGetData("DP_1","003N8EMH8GTFRIVNUPY288VJH","GSON1112030375")</f>
        <v>#NAME?</v>
      </c>
      <c r="L211" s="28" t="e">
        <f ca="1">[1]!BexGetData("DP_1","003N8EMH8GTFRIVNUPY2891V1","GSON1112030375")</f>
        <v>#NAME?</v>
      </c>
      <c r="M211" s="28" t="e">
        <f ca="1">[1]!BexGetData("DP_1","003N8EMH8GTFRIVOG7KG9IQXA","GSON1112030375")</f>
        <v>#NAME?</v>
      </c>
      <c r="N211" s="28" t="e">
        <f ca="1">[1]!BexGetData("DP_1","003N8EMH8GTFRIVOG7KG9IX8U","GSON1112030375")</f>
        <v>#NAME?</v>
      </c>
      <c r="O211" s="28" t="e">
        <f ca="1">[1]!BexGetData("DP_1","003N8EMH8GTFRIVOG7KG9J3KE","GSON1112030375")</f>
        <v>#NAME?</v>
      </c>
      <c r="P211" s="28" t="e">
        <f ca="1">[1]!BexGetData("DP_1","003N8EMH8GTFRIVOG7KG9J9VY","GSON1112030375")</f>
        <v>#NAME?</v>
      </c>
      <c r="Q211" s="24" t="e">
        <f ca="1">[1]!BexGetData("DP_1","00O2TNJGODT0G5Z4TTKYMM5MT","GSON1112030375")</f>
        <v>#NAME?</v>
      </c>
      <c r="R211" s="28" t="e">
        <f ca="1">[1]!BexGetData("DP_1","00O2TNJGODT0G5Z4TTKYMMBYD","GSON1112030375")</f>
        <v>#NAME?</v>
      </c>
      <c r="S211" s="28" t="e">
        <f ca="1">[1]!BexGetData("DP_1","00O2TNJGODT0G5Z4TTKYMMI9X","GSON1112030375")</f>
        <v>#NAME?</v>
      </c>
      <c r="T211" s="28" t="e">
        <f ca="1">[1]!BexGetData("DP_1","00O2TNJGODT0G5Z4TTKYMMOLH","GSON1112030375")</f>
        <v>#NAME?</v>
      </c>
      <c r="U211" s="28" t="e">
        <f ca="1">[1]!BexGetData("DP_1","00O2TNJGODT0G5Z4TTKYMMUX1","GSON1112030375")</f>
        <v>#NAME?</v>
      </c>
      <c r="V211" s="28" t="e">
        <f ca="1">[1]!BexGetData("DP_1","00O2TNJGODT0G5Z4TTKYMN18L","GSON1112030375")</f>
        <v>#NAME?</v>
      </c>
      <c r="W211" s="28" t="e">
        <f ca="1">[1]!BexGetData("DP_1","00O2TNJGODT0G5Z4TTKYMN7K5","GSON1112030375")</f>
        <v>#NAME?</v>
      </c>
    </row>
    <row r="212" spans="1:23" x14ac:dyDescent="0.2">
      <c r="A212" s="36" t="s">
        <v>2073</v>
      </c>
      <c r="B212" s="27" t="s">
        <v>796</v>
      </c>
      <c r="C212" s="23" t="e">
        <f ca="1">[1]!BexGetData("DP_1","003N8EMH8GTFRCSWKMPXRR8GU","GSON1112030380")</f>
        <v>#NAME?</v>
      </c>
      <c r="D212" s="28" t="e">
        <f ca="1">[1]!BexGetData("DP_1","003N8EMH8GTFRCSWKMPXRRESE","GSON1112030380")</f>
        <v>#NAME?</v>
      </c>
      <c r="E212" s="23" t="e">
        <f ca="1">[1]!BexGetData("DP_1","003N8EMH8GTFRCSWKMPXRRL3Y","GSON1112030380")</f>
        <v>#NAME?</v>
      </c>
      <c r="F212" s="23" t="e">
        <f ca="1">[1]!BexGetData("DP_1","003N8EMH8GTFRCSWKMPXRRRFI","GSON1112030380")</f>
        <v>#NAME?</v>
      </c>
      <c r="G212" s="23" t="e">
        <f ca="1">[1]!BexGetData("DP_1","003N8EMH8GTFRCSWKMPXRRXR2","GSON1112030380")</f>
        <v>#NAME?</v>
      </c>
      <c r="H212" s="23" t="e">
        <f ca="1">[1]!BexGetData("DP_1","003N8EMH8GTFRCSWKMPXRS42M","GSON1112030380")</f>
        <v>#NAME?</v>
      </c>
      <c r="I212" s="23" t="e">
        <f ca="1">[1]!BexGetData("DP_1","003N8EMH8GTFRCSWKMPXRSAE6","GSON1112030380")</f>
        <v>#NAME?</v>
      </c>
      <c r="J212" s="23" t="e">
        <f ca="1">[1]!BexGetData("DP_1","003N8EMH8GTFRCSWKMPXRSGPQ","GSON1112030380")</f>
        <v>#NAME?</v>
      </c>
      <c r="K212" s="23" t="e">
        <f ca="1">[1]!BexGetData("DP_1","003N8EMH8GTFRIVNUPY288VJH","GSON1112030380")</f>
        <v>#NAME?</v>
      </c>
      <c r="L212" s="23" t="e">
        <f ca="1">[1]!BexGetData("DP_1","003N8EMH8GTFRIVNUPY2891V1","GSON1112030380")</f>
        <v>#NAME?</v>
      </c>
      <c r="M212" s="28" t="e">
        <f ca="1">[1]!BexGetData("DP_1","003N8EMH8GTFRIVOG7KG9IQXA","GSON1112030380")</f>
        <v>#NAME?</v>
      </c>
      <c r="N212" s="23" t="e">
        <f ca="1">[1]!BexGetData("DP_1","003N8EMH8GTFRIVOG7KG9IX8U","GSON1112030380")</f>
        <v>#NAME?</v>
      </c>
      <c r="O212" s="28" t="e">
        <f ca="1">[1]!BexGetData("DP_1","003N8EMH8GTFRIVOG7KG9J3KE","GSON1112030380")</f>
        <v>#NAME?</v>
      </c>
      <c r="P212" s="23" t="e">
        <f ca="1">[1]!BexGetData("DP_1","003N8EMH8GTFRIVOG7KG9J9VY","GSON1112030380")</f>
        <v>#NAME?</v>
      </c>
      <c r="Q212" s="23" t="e">
        <f ca="1">[1]!BexGetData("DP_1","00O2TNJGODT0G5Z4TTKYMM5MT","GSON1112030380")</f>
        <v>#NAME?</v>
      </c>
      <c r="R212" s="23" t="e">
        <f ca="1">[1]!BexGetData("DP_1","00O2TNJGODT0G5Z4TTKYMMBYD","GSON1112030380")</f>
        <v>#NAME?</v>
      </c>
      <c r="S212" s="23" t="e">
        <f ca="1">[1]!BexGetData("DP_1","00O2TNJGODT0G5Z4TTKYMMI9X","GSON1112030380")</f>
        <v>#NAME?</v>
      </c>
      <c r="T212" s="23" t="e">
        <f ca="1">[1]!BexGetData("DP_1","00O2TNJGODT0G5Z4TTKYMMOLH","GSON1112030380")</f>
        <v>#NAME?</v>
      </c>
      <c r="U212" s="28" t="e">
        <f ca="1">[1]!BexGetData("DP_1","00O2TNJGODT0G5Z4TTKYMMUX1","GSON1112030380")</f>
        <v>#NAME?</v>
      </c>
      <c r="V212" s="23" t="e">
        <f ca="1">[1]!BexGetData("DP_1","00O2TNJGODT0G5Z4TTKYMN18L","GSON1112030380")</f>
        <v>#NAME?</v>
      </c>
      <c r="W212" s="28" t="e">
        <f ca="1">[1]!BexGetData("DP_1","00O2TNJGODT0G5Z4TTKYMN7K5","GSON1112030380")</f>
        <v>#NAME?</v>
      </c>
    </row>
    <row r="213" spans="1:23" x14ac:dyDescent="0.2">
      <c r="A213" s="36" t="s">
        <v>2074</v>
      </c>
      <c r="B213" s="27" t="s">
        <v>797</v>
      </c>
      <c r="C213" s="24" t="e">
        <f ca="1">[1]!BexGetData("DP_1","003N8EMH8GTFRCSWKMPXRR8GU","GSON1112030381")</f>
        <v>#NAME?</v>
      </c>
      <c r="D213" s="24" t="e">
        <f ca="1">[1]!BexGetData("DP_1","003N8EMH8GTFRCSWKMPXRRESE","GSON1112030381")</f>
        <v>#NAME?</v>
      </c>
      <c r="E213" s="24" t="e">
        <f ca="1">[1]!BexGetData("DP_1","003N8EMH8GTFRCSWKMPXRRL3Y","GSON1112030381")</f>
        <v>#NAME?</v>
      </c>
      <c r="F213" s="28" t="e">
        <f ca="1">[1]!BexGetData("DP_1","003N8EMH8GTFRCSWKMPXRRRFI","GSON1112030381")</f>
        <v>#NAME?</v>
      </c>
      <c r="G213" s="23" t="e">
        <f ca="1">[1]!BexGetData("DP_1","003N8EMH8GTFRCSWKMPXRRXR2","GSON1112030381")</f>
        <v>#NAME?</v>
      </c>
      <c r="H213" s="23" t="e">
        <f ca="1">[1]!BexGetData("DP_1","003N8EMH8GTFRCSWKMPXRS42M","GSON1112030381")</f>
        <v>#NAME?</v>
      </c>
      <c r="I213" s="28" t="e">
        <f ca="1">[1]!BexGetData("DP_1","003N8EMH8GTFRCSWKMPXRSAE6","GSON1112030381")</f>
        <v>#NAME?</v>
      </c>
      <c r="J213" s="24" t="e">
        <f ca="1">[1]!BexGetData("DP_1","003N8EMH8GTFRCSWKMPXRSGPQ","GSON1112030381")</f>
        <v>#NAME?</v>
      </c>
      <c r="K213" s="28" t="e">
        <f ca="1">[1]!BexGetData("DP_1","003N8EMH8GTFRIVNUPY288VJH","GSON1112030381")</f>
        <v>#NAME?</v>
      </c>
      <c r="L213" s="28" t="e">
        <f ca="1">[1]!BexGetData("DP_1","003N8EMH8GTFRIVNUPY2891V1","GSON1112030381")</f>
        <v>#NAME?</v>
      </c>
      <c r="M213" s="28" t="e">
        <f ca="1">[1]!BexGetData("DP_1","003N8EMH8GTFRIVOG7KG9IQXA","GSON1112030381")</f>
        <v>#NAME?</v>
      </c>
      <c r="N213" s="28" t="e">
        <f ca="1">[1]!BexGetData("DP_1","003N8EMH8GTFRIVOG7KG9IX8U","GSON1112030381")</f>
        <v>#NAME?</v>
      </c>
      <c r="O213" s="28" t="e">
        <f ca="1">[1]!BexGetData("DP_1","003N8EMH8GTFRIVOG7KG9J3KE","GSON1112030381")</f>
        <v>#NAME?</v>
      </c>
      <c r="P213" s="28" t="e">
        <f ca="1">[1]!BexGetData("DP_1","003N8EMH8GTFRIVOG7KG9J9VY","GSON1112030381")</f>
        <v>#NAME?</v>
      </c>
      <c r="Q213" s="24" t="e">
        <f ca="1">[1]!BexGetData("DP_1","00O2TNJGODT0G5Z4TTKYMM5MT","GSON1112030381")</f>
        <v>#NAME?</v>
      </c>
      <c r="R213" s="28" t="e">
        <f ca="1">[1]!BexGetData("DP_1","00O2TNJGODT0G5Z4TTKYMMBYD","GSON1112030381")</f>
        <v>#NAME?</v>
      </c>
      <c r="S213" s="28" t="e">
        <f ca="1">[1]!BexGetData("DP_1","00O2TNJGODT0G5Z4TTKYMMI9X","GSON1112030381")</f>
        <v>#NAME?</v>
      </c>
      <c r="T213" s="28" t="e">
        <f ca="1">[1]!BexGetData("DP_1","00O2TNJGODT0G5Z4TTKYMMOLH","GSON1112030381")</f>
        <v>#NAME?</v>
      </c>
      <c r="U213" s="28" t="e">
        <f ca="1">[1]!BexGetData("DP_1","00O2TNJGODT0G5Z4TTKYMMUX1","GSON1112030381")</f>
        <v>#NAME?</v>
      </c>
      <c r="V213" s="28" t="e">
        <f ca="1">[1]!BexGetData("DP_1","00O2TNJGODT0G5Z4TTKYMN18L","GSON1112030381")</f>
        <v>#NAME?</v>
      </c>
      <c r="W213" s="28" t="e">
        <f ca="1">[1]!BexGetData("DP_1","00O2TNJGODT0G5Z4TTKYMN7K5","GSON1112030381")</f>
        <v>#NAME?</v>
      </c>
    </row>
    <row r="214" spans="1:23" x14ac:dyDescent="0.2">
      <c r="A214" s="36" t="s">
        <v>2075</v>
      </c>
      <c r="B214" s="27" t="s">
        <v>2076</v>
      </c>
      <c r="C214" s="24" t="e">
        <f ca="1">[1]!BexGetData("DP_1","003N8EMH8GTFRCSWKMPXRR8GU","GSON1112030383")</f>
        <v>#NAME?</v>
      </c>
      <c r="D214" s="24" t="e">
        <f ca="1">[1]!BexGetData("DP_1","003N8EMH8GTFRCSWKMPXRRESE","GSON1112030383")</f>
        <v>#NAME?</v>
      </c>
      <c r="E214" s="24" t="e">
        <f ca="1">[1]!BexGetData("DP_1","003N8EMH8GTFRCSWKMPXRRL3Y","GSON1112030383")</f>
        <v>#NAME?</v>
      </c>
      <c r="F214" s="28" t="e">
        <f ca="1">[1]!BexGetData("DP_1","003N8EMH8GTFRCSWKMPXRRRFI","GSON1112030383")</f>
        <v>#NAME?</v>
      </c>
      <c r="G214" s="23" t="e">
        <f ca="1">[1]!BexGetData("DP_1","003N8EMH8GTFRCSWKMPXRRXR2","GSON1112030383")</f>
        <v>#NAME?</v>
      </c>
      <c r="H214" s="23" t="e">
        <f ca="1">[1]!BexGetData("DP_1","003N8EMH8GTFRCSWKMPXRS42M","GSON1112030383")</f>
        <v>#NAME?</v>
      </c>
      <c r="I214" s="28" t="e">
        <f ca="1">[1]!BexGetData("DP_1","003N8EMH8GTFRCSWKMPXRSAE6","GSON1112030383")</f>
        <v>#NAME?</v>
      </c>
      <c r="J214" s="24" t="e">
        <f ca="1">[1]!BexGetData("DP_1","003N8EMH8GTFRCSWKMPXRSGPQ","GSON1112030383")</f>
        <v>#NAME?</v>
      </c>
      <c r="K214" s="28" t="e">
        <f ca="1">[1]!BexGetData("DP_1","003N8EMH8GTFRIVNUPY288VJH","GSON1112030383")</f>
        <v>#NAME?</v>
      </c>
      <c r="L214" s="28" t="e">
        <f ca="1">[1]!BexGetData("DP_1","003N8EMH8GTFRIVNUPY2891V1","GSON1112030383")</f>
        <v>#NAME?</v>
      </c>
      <c r="M214" s="28" t="e">
        <f ca="1">[1]!BexGetData("DP_1","003N8EMH8GTFRIVOG7KG9IQXA","GSON1112030383")</f>
        <v>#NAME?</v>
      </c>
      <c r="N214" s="28" t="e">
        <f ca="1">[1]!BexGetData("DP_1","003N8EMH8GTFRIVOG7KG9IX8U","GSON1112030383")</f>
        <v>#NAME?</v>
      </c>
      <c r="O214" s="28" t="e">
        <f ca="1">[1]!BexGetData("DP_1","003N8EMH8GTFRIVOG7KG9J3KE","GSON1112030383")</f>
        <v>#NAME?</v>
      </c>
      <c r="P214" s="28" t="e">
        <f ca="1">[1]!BexGetData("DP_1","003N8EMH8GTFRIVOG7KG9J9VY","GSON1112030383")</f>
        <v>#NAME?</v>
      </c>
      <c r="Q214" s="24" t="e">
        <f ca="1">[1]!BexGetData("DP_1","00O2TNJGODT0G5Z4TTKYMM5MT","GSON1112030383")</f>
        <v>#NAME?</v>
      </c>
      <c r="R214" s="28" t="e">
        <f ca="1">[1]!BexGetData("DP_1","00O2TNJGODT0G5Z4TTKYMMBYD","GSON1112030383")</f>
        <v>#NAME?</v>
      </c>
      <c r="S214" s="28" t="e">
        <f ca="1">[1]!BexGetData("DP_1","00O2TNJGODT0G5Z4TTKYMMI9X","GSON1112030383")</f>
        <v>#NAME?</v>
      </c>
      <c r="T214" s="28" t="e">
        <f ca="1">[1]!BexGetData("DP_1","00O2TNJGODT0G5Z4TTKYMMOLH","GSON1112030383")</f>
        <v>#NAME?</v>
      </c>
      <c r="U214" s="28" t="e">
        <f ca="1">[1]!BexGetData("DP_1","00O2TNJGODT0G5Z4TTKYMMUX1","GSON1112030383")</f>
        <v>#NAME?</v>
      </c>
      <c r="V214" s="28" t="e">
        <f ca="1">[1]!BexGetData("DP_1","00O2TNJGODT0G5Z4TTKYMN18L","GSON1112030383")</f>
        <v>#NAME?</v>
      </c>
      <c r="W214" s="28" t="e">
        <f ca="1">[1]!BexGetData("DP_1","00O2TNJGODT0G5Z4TTKYMN7K5","GSON1112030383")</f>
        <v>#NAME?</v>
      </c>
    </row>
    <row r="215" spans="1:23" x14ac:dyDescent="0.2">
      <c r="A215" s="36" t="s">
        <v>2077</v>
      </c>
      <c r="B215" s="27" t="s">
        <v>2078</v>
      </c>
      <c r="C215" s="23" t="e">
        <f ca="1">[1]!BexGetData("DP_1","003N8EMH8GTFRCSWKMPXRR8GU","GSON1112030385")</f>
        <v>#NAME?</v>
      </c>
      <c r="D215" s="23" t="e">
        <f ca="1">[1]!BexGetData("DP_1","003N8EMH8GTFRCSWKMPXRRESE","GSON1112030385")</f>
        <v>#NAME?</v>
      </c>
      <c r="E215" s="28" t="e">
        <f ca="1">[1]!BexGetData("DP_1","003N8EMH8GTFRCSWKMPXRRL3Y","GSON1112030385")</f>
        <v>#NAME?</v>
      </c>
      <c r="F215" s="28" t="e">
        <f ca="1">[1]!BexGetData("DP_1","003N8EMH8GTFRCSWKMPXRRRFI","GSON1112030385")</f>
        <v>#NAME?</v>
      </c>
      <c r="G215" s="23" t="e">
        <f ca="1">[1]!BexGetData("DP_1","003N8EMH8GTFRCSWKMPXRRXR2","GSON1112030385")</f>
        <v>#NAME?</v>
      </c>
      <c r="H215" s="23" t="e">
        <f ca="1">[1]!BexGetData("DP_1","003N8EMH8GTFRCSWKMPXRS42M","GSON1112030385")</f>
        <v>#NAME?</v>
      </c>
      <c r="I215" s="28" t="e">
        <f ca="1">[1]!BexGetData("DP_1","003N8EMH8GTFRCSWKMPXRSAE6","GSON1112030385")</f>
        <v>#NAME?</v>
      </c>
      <c r="J215" s="24" t="e">
        <f ca="1">[1]!BexGetData("DP_1","003N8EMH8GTFRCSWKMPXRSGPQ","GSON1112030385")</f>
        <v>#NAME?</v>
      </c>
      <c r="K215" s="28" t="e">
        <f ca="1">[1]!BexGetData("DP_1","003N8EMH8GTFRIVNUPY288VJH","GSON1112030385")</f>
        <v>#NAME?</v>
      </c>
      <c r="L215" s="28" t="e">
        <f ca="1">[1]!BexGetData("DP_1","003N8EMH8GTFRIVNUPY2891V1","GSON1112030385")</f>
        <v>#NAME?</v>
      </c>
      <c r="M215" s="28" t="e">
        <f ca="1">[1]!BexGetData("DP_1","003N8EMH8GTFRIVOG7KG9IQXA","GSON1112030385")</f>
        <v>#NAME?</v>
      </c>
      <c r="N215" s="28" t="e">
        <f ca="1">[1]!BexGetData("DP_1","003N8EMH8GTFRIVOG7KG9IX8U","GSON1112030385")</f>
        <v>#NAME?</v>
      </c>
      <c r="O215" s="28" t="e">
        <f ca="1">[1]!BexGetData("DP_1","003N8EMH8GTFRIVOG7KG9J3KE","GSON1112030385")</f>
        <v>#NAME?</v>
      </c>
      <c r="P215" s="28" t="e">
        <f ca="1">[1]!BexGetData("DP_1","003N8EMH8GTFRIVOG7KG9J9VY","GSON1112030385")</f>
        <v>#NAME?</v>
      </c>
      <c r="Q215" s="24" t="e">
        <f ca="1">[1]!BexGetData("DP_1","00O2TNJGODT0G5Z4TTKYMM5MT","GSON1112030385")</f>
        <v>#NAME?</v>
      </c>
      <c r="R215" s="28" t="e">
        <f ca="1">[1]!BexGetData("DP_1","00O2TNJGODT0G5Z4TTKYMMBYD","GSON1112030385")</f>
        <v>#NAME?</v>
      </c>
      <c r="S215" s="28" t="e">
        <f ca="1">[1]!BexGetData("DP_1","00O2TNJGODT0G5Z4TTKYMMI9X","GSON1112030385")</f>
        <v>#NAME?</v>
      </c>
      <c r="T215" s="28" t="e">
        <f ca="1">[1]!BexGetData("DP_1","00O2TNJGODT0G5Z4TTKYMMOLH","GSON1112030385")</f>
        <v>#NAME?</v>
      </c>
      <c r="U215" s="28" t="e">
        <f ca="1">[1]!BexGetData("DP_1","00O2TNJGODT0G5Z4TTKYMMUX1","GSON1112030385")</f>
        <v>#NAME?</v>
      </c>
      <c r="V215" s="28" t="e">
        <f ca="1">[1]!BexGetData("DP_1","00O2TNJGODT0G5Z4TTKYMN18L","GSON1112030385")</f>
        <v>#NAME?</v>
      </c>
      <c r="W215" s="28" t="e">
        <f ca="1">[1]!BexGetData("DP_1","00O2TNJGODT0G5Z4TTKYMN7K5","GSON1112030385")</f>
        <v>#NAME?</v>
      </c>
    </row>
    <row r="216" spans="1:23" x14ac:dyDescent="0.2">
      <c r="A216" s="36" t="s">
        <v>2079</v>
      </c>
      <c r="B216" s="27" t="s">
        <v>798</v>
      </c>
      <c r="C216" s="23" t="e">
        <f ca="1">[1]!BexGetData("DP_1","003N8EMH8GTFRCSWKMPXRR8GU","GSON1112030390")</f>
        <v>#NAME?</v>
      </c>
      <c r="D216" s="28" t="e">
        <f ca="1">[1]!BexGetData("DP_1","003N8EMH8GTFRCSWKMPXRRESE","GSON1112030390")</f>
        <v>#NAME?</v>
      </c>
      <c r="E216" s="23" t="e">
        <f ca="1">[1]!BexGetData("DP_1","003N8EMH8GTFRCSWKMPXRRL3Y","GSON1112030390")</f>
        <v>#NAME?</v>
      </c>
      <c r="F216" s="23" t="e">
        <f ca="1">[1]!BexGetData("DP_1","003N8EMH8GTFRCSWKMPXRRRFI","GSON1112030390")</f>
        <v>#NAME?</v>
      </c>
      <c r="G216" s="23" t="e">
        <f ca="1">[1]!BexGetData("DP_1","003N8EMH8GTFRCSWKMPXRRXR2","GSON1112030390")</f>
        <v>#NAME?</v>
      </c>
      <c r="H216" s="23" t="e">
        <f ca="1">[1]!BexGetData("DP_1","003N8EMH8GTFRCSWKMPXRS42M","GSON1112030390")</f>
        <v>#NAME?</v>
      </c>
      <c r="I216" s="23" t="e">
        <f ca="1">[1]!BexGetData("DP_1","003N8EMH8GTFRCSWKMPXRSAE6","GSON1112030390")</f>
        <v>#NAME?</v>
      </c>
      <c r="J216" s="23" t="e">
        <f ca="1">[1]!BexGetData("DP_1","003N8EMH8GTFRCSWKMPXRSGPQ","GSON1112030390")</f>
        <v>#NAME?</v>
      </c>
      <c r="K216" s="23" t="e">
        <f ca="1">[1]!BexGetData("DP_1","003N8EMH8GTFRIVNUPY288VJH","GSON1112030390")</f>
        <v>#NAME?</v>
      </c>
      <c r="L216" s="23" t="e">
        <f ca="1">[1]!BexGetData("DP_1","003N8EMH8GTFRIVNUPY2891V1","GSON1112030390")</f>
        <v>#NAME?</v>
      </c>
      <c r="M216" s="28" t="e">
        <f ca="1">[1]!BexGetData("DP_1","003N8EMH8GTFRIVOG7KG9IQXA","GSON1112030390")</f>
        <v>#NAME?</v>
      </c>
      <c r="N216" s="23" t="e">
        <f ca="1">[1]!BexGetData("DP_1","003N8EMH8GTFRIVOG7KG9IX8U","GSON1112030390")</f>
        <v>#NAME?</v>
      </c>
      <c r="O216" s="28" t="e">
        <f ca="1">[1]!BexGetData("DP_1","003N8EMH8GTFRIVOG7KG9J3KE","GSON1112030390")</f>
        <v>#NAME?</v>
      </c>
      <c r="P216" s="23" t="e">
        <f ca="1">[1]!BexGetData("DP_1","003N8EMH8GTFRIVOG7KG9J9VY","GSON1112030390")</f>
        <v>#NAME?</v>
      </c>
      <c r="Q216" s="23" t="e">
        <f ca="1">[1]!BexGetData("DP_1","00O2TNJGODT0G5Z4TTKYMM5MT","GSON1112030390")</f>
        <v>#NAME?</v>
      </c>
      <c r="R216" s="23" t="e">
        <f ca="1">[1]!BexGetData("DP_1","00O2TNJGODT0G5Z4TTKYMMBYD","GSON1112030390")</f>
        <v>#NAME?</v>
      </c>
      <c r="S216" s="23" t="e">
        <f ca="1">[1]!BexGetData("DP_1","00O2TNJGODT0G5Z4TTKYMMI9X","GSON1112030390")</f>
        <v>#NAME?</v>
      </c>
      <c r="T216" s="28" t="e">
        <f ca="1">[1]!BexGetData("DP_1","00O2TNJGODT0G5Z4TTKYMMOLH","GSON1112030390")</f>
        <v>#NAME?</v>
      </c>
      <c r="U216" s="23" t="e">
        <f ca="1">[1]!BexGetData("DP_1","00O2TNJGODT0G5Z4TTKYMMUX1","GSON1112030390")</f>
        <v>#NAME?</v>
      </c>
      <c r="V216" s="28" t="e">
        <f ca="1">[1]!BexGetData("DP_1","00O2TNJGODT0G5Z4TTKYMN18L","GSON1112030390")</f>
        <v>#NAME?</v>
      </c>
      <c r="W216" s="23" t="e">
        <f ca="1">[1]!BexGetData("DP_1","00O2TNJGODT0G5Z4TTKYMN7K5","GSON1112030390")</f>
        <v>#NAME?</v>
      </c>
    </row>
    <row r="217" spans="1:23" x14ac:dyDescent="0.2">
      <c r="A217" s="36" t="s">
        <v>2080</v>
      </c>
      <c r="B217" s="27" t="s">
        <v>799</v>
      </c>
      <c r="C217" s="24" t="e">
        <f ca="1">[1]!BexGetData("DP_1","003N8EMH8GTFRCSWKMPXRR8GU","GSON1112030391")</f>
        <v>#NAME?</v>
      </c>
      <c r="D217" s="24" t="e">
        <f ca="1">[1]!BexGetData("DP_1","003N8EMH8GTFRCSWKMPXRRESE","GSON1112030391")</f>
        <v>#NAME?</v>
      </c>
      <c r="E217" s="24" t="e">
        <f ca="1">[1]!BexGetData("DP_1","003N8EMH8GTFRCSWKMPXRRL3Y","GSON1112030391")</f>
        <v>#NAME?</v>
      </c>
      <c r="F217" s="28" t="e">
        <f ca="1">[1]!BexGetData("DP_1","003N8EMH8GTFRCSWKMPXRRRFI","GSON1112030391")</f>
        <v>#NAME?</v>
      </c>
      <c r="G217" s="23" t="e">
        <f ca="1">[1]!BexGetData("DP_1","003N8EMH8GTFRCSWKMPXRRXR2","GSON1112030391")</f>
        <v>#NAME?</v>
      </c>
      <c r="H217" s="23" t="e">
        <f ca="1">[1]!BexGetData("DP_1","003N8EMH8GTFRCSWKMPXRS42M","GSON1112030391")</f>
        <v>#NAME?</v>
      </c>
      <c r="I217" s="28" t="e">
        <f ca="1">[1]!BexGetData("DP_1","003N8EMH8GTFRCSWKMPXRSAE6","GSON1112030391")</f>
        <v>#NAME?</v>
      </c>
      <c r="J217" s="24" t="e">
        <f ca="1">[1]!BexGetData("DP_1","003N8EMH8GTFRCSWKMPXRSGPQ","GSON1112030391")</f>
        <v>#NAME?</v>
      </c>
      <c r="K217" s="28" t="e">
        <f ca="1">[1]!BexGetData("DP_1","003N8EMH8GTFRIVNUPY288VJH","GSON1112030391")</f>
        <v>#NAME?</v>
      </c>
      <c r="L217" s="28" t="e">
        <f ca="1">[1]!BexGetData("DP_1","003N8EMH8GTFRIVNUPY2891V1","GSON1112030391")</f>
        <v>#NAME?</v>
      </c>
      <c r="M217" s="28" t="e">
        <f ca="1">[1]!BexGetData("DP_1","003N8EMH8GTFRIVOG7KG9IQXA","GSON1112030391")</f>
        <v>#NAME?</v>
      </c>
      <c r="N217" s="28" t="e">
        <f ca="1">[1]!BexGetData("DP_1","003N8EMH8GTFRIVOG7KG9IX8U","GSON1112030391")</f>
        <v>#NAME?</v>
      </c>
      <c r="O217" s="28" t="e">
        <f ca="1">[1]!BexGetData("DP_1","003N8EMH8GTFRIVOG7KG9J3KE","GSON1112030391")</f>
        <v>#NAME?</v>
      </c>
      <c r="P217" s="28" t="e">
        <f ca="1">[1]!BexGetData("DP_1","003N8EMH8GTFRIVOG7KG9J9VY","GSON1112030391")</f>
        <v>#NAME?</v>
      </c>
      <c r="Q217" s="24" t="e">
        <f ca="1">[1]!BexGetData("DP_1","00O2TNJGODT0G5Z4TTKYMM5MT","GSON1112030391")</f>
        <v>#NAME?</v>
      </c>
      <c r="R217" s="28" t="e">
        <f ca="1">[1]!BexGetData("DP_1","00O2TNJGODT0G5Z4TTKYMMBYD","GSON1112030391")</f>
        <v>#NAME?</v>
      </c>
      <c r="S217" s="28" t="e">
        <f ca="1">[1]!BexGetData("DP_1","00O2TNJGODT0G5Z4TTKYMMI9X","GSON1112030391")</f>
        <v>#NAME?</v>
      </c>
      <c r="T217" s="28" t="e">
        <f ca="1">[1]!BexGetData("DP_1","00O2TNJGODT0G5Z4TTKYMMOLH","GSON1112030391")</f>
        <v>#NAME?</v>
      </c>
      <c r="U217" s="28" t="e">
        <f ca="1">[1]!BexGetData("DP_1","00O2TNJGODT0G5Z4TTKYMMUX1","GSON1112030391")</f>
        <v>#NAME?</v>
      </c>
      <c r="V217" s="28" t="e">
        <f ca="1">[1]!BexGetData("DP_1","00O2TNJGODT0G5Z4TTKYMN18L","GSON1112030391")</f>
        <v>#NAME?</v>
      </c>
      <c r="W217" s="28" t="e">
        <f ca="1">[1]!BexGetData("DP_1","00O2TNJGODT0G5Z4TTKYMN7K5","GSON1112030391")</f>
        <v>#NAME?</v>
      </c>
    </row>
    <row r="218" spans="1:23" x14ac:dyDescent="0.2">
      <c r="A218" s="36" t="s">
        <v>2081</v>
      </c>
      <c r="B218" s="27" t="s">
        <v>2082</v>
      </c>
      <c r="C218" s="24" t="e">
        <f ca="1">[1]!BexGetData("DP_1","003N8EMH8GTFRCSWKMPXRR8GU","GSON1112030392")</f>
        <v>#NAME?</v>
      </c>
      <c r="D218" s="24" t="e">
        <f ca="1">[1]!BexGetData("DP_1","003N8EMH8GTFRCSWKMPXRRESE","GSON1112030392")</f>
        <v>#NAME?</v>
      </c>
      <c r="E218" s="24" t="e">
        <f ca="1">[1]!BexGetData("DP_1","003N8EMH8GTFRCSWKMPXRRL3Y","GSON1112030392")</f>
        <v>#NAME?</v>
      </c>
      <c r="F218" s="28" t="e">
        <f ca="1">[1]!BexGetData("DP_1","003N8EMH8GTFRCSWKMPXRRRFI","GSON1112030392")</f>
        <v>#NAME?</v>
      </c>
      <c r="G218" s="23" t="e">
        <f ca="1">[1]!BexGetData("DP_1","003N8EMH8GTFRCSWKMPXRRXR2","GSON1112030392")</f>
        <v>#NAME?</v>
      </c>
      <c r="H218" s="23" t="e">
        <f ca="1">[1]!BexGetData("DP_1","003N8EMH8GTFRCSWKMPXRS42M","GSON1112030392")</f>
        <v>#NAME?</v>
      </c>
      <c r="I218" s="28" t="e">
        <f ca="1">[1]!BexGetData("DP_1","003N8EMH8GTFRCSWKMPXRSAE6","GSON1112030392")</f>
        <v>#NAME?</v>
      </c>
      <c r="J218" s="24" t="e">
        <f ca="1">[1]!BexGetData("DP_1","003N8EMH8GTFRCSWKMPXRSGPQ","GSON1112030392")</f>
        <v>#NAME?</v>
      </c>
      <c r="K218" s="28" t="e">
        <f ca="1">[1]!BexGetData("DP_1","003N8EMH8GTFRIVNUPY288VJH","GSON1112030392")</f>
        <v>#NAME?</v>
      </c>
      <c r="L218" s="28" t="e">
        <f ca="1">[1]!BexGetData("DP_1","003N8EMH8GTFRIVNUPY2891V1","GSON1112030392")</f>
        <v>#NAME?</v>
      </c>
      <c r="M218" s="28" t="e">
        <f ca="1">[1]!BexGetData("DP_1","003N8EMH8GTFRIVOG7KG9IQXA","GSON1112030392")</f>
        <v>#NAME?</v>
      </c>
      <c r="N218" s="28" t="e">
        <f ca="1">[1]!BexGetData("DP_1","003N8EMH8GTFRIVOG7KG9IX8U","GSON1112030392")</f>
        <v>#NAME?</v>
      </c>
      <c r="O218" s="28" t="e">
        <f ca="1">[1]!BexGetData("DP_1","003N8EMH8GTFRIVOG7KG9J3KE","GSON1112030392")</f>
        <v>#NAME?</v>
      </c>
      <c r="P218" s="28" t="e">
        <f ca="1">[1]!BexGetData("DP_1","003N8EMH8GTFRIVOG7KG9J9VY","GSON1112030392")</f>
        <v>#NAME?</v>
      </c>
      <c r="Q218" s="24" t="e">
        <f ca="1">[1]!BexGetData("DP_1","00O2TNJGODT0G5Z4TTKYMM5MT","GSON1112030392")</f>
        <v>#NAME?</v>
      </c>
      <c r="R218" s="28" t="e">
        <f ca="1">[1]!BexGetData("DP_1","00O2TNJGODT0G5Z4TTKYMMBYD","GSON1112030392")</f>
        <v>#NAME?</v>
      </c>
      <c r="S218" s="28" t="e">
        <f ca="1">[1]!BexGetData("DP_1","00O2TNJGODT0G5Z4TTKYMMI9X","GSON1112030392")</f>
        <v>#NAME?</v>
      </c>
      <c r="T218" s="28" t="e">
        <f ca="1">[1]!BexGetData("DP_1","00O2TNJGODT0G5Z4TTKYMMOLH","GSON1112030392")</f>
        <v>#NAME?</v>
      </c>
      <c r="U218" s="28" t="e">
        <f ca="1">[1]!BexGetData("DP_1","00O2TNJGODT0G5Z4TTKYMMUX1","GSON1112030392")</f>
        <v>#NAME?</v>
      </c>
      <c r="V218" s="28" t="e">
        <f ca="1">[1]!BexGetData("DP_1","00O2TNJGODT0G5Z4TTKYMN18L","GSON1112030392")</f>
        <v>#NAME?</v>
      </c>
      <c r="W218" s="28" t="e">
        <f ca="1">[1]!BexGetData("DP_1","00O2TNJGODT0G5Z4TTKYMN7K5","GSON1112030392")</f>
        <v>#NAME?</v>
      </c>
    </row>
    <row r="219" spans="1:23" x14ac:dyDescent="0.2">
      <c r="A219" s="36" t="s">
        <v>2083</v>
      </c>
      <c r="B219" s="27" t="s">
        <v>2084</v>
      </c>
      <c r="C219" s="23" t="e">
        <f ca="1">[1]!BexGetData("DP_1","003N8EMH8GTFRCSWKMPXRR8GU","GSON1112030395")</f>
        <v>#NAME?</v>
      </c>
      <c r="D219" s="23" t="e">
        <f ca="1">[1]!BexGetData("DP_1","003N8EMH8GTFRCSWKMPXRRESE","GSON1112030395")</f>
        <v>#NAME?</v>
      </c>
      <c r="E219" s="28" t="e">
        <f ca="1">[1]!BexGetData("DP_1","003N8EMH8GTFRCSWKMPXRRL3Y","GSON1112030395")</f>
        <v>#NAME?</v>
      </c>
      <c r="F219" s="28" t="e">
        <f ca="1">[1]!BexGetData("DP_1","003N8EMH8GTFRCSWKMPXRRRFI","GSON1112030395")</f>
        <v>#NAME?</v>
      </c>
      <c r="G219" s="23" t="e">
        <f ca="1">[1]!BexGetData("DP_1","003N8EMH8GTFRCSWKMPXRRXR2","GSON1112030395")</f>
        <v>#NAME?</v>
      </c>
      <c r="H219" s="23" t="e">
        <f ca="1">[1]!BexGetData("DP_1","003N8EMH8GTFRCSWKMPXRS42M","GSON1112030395")</f>
        <v>#NAME?</v>
      </c>
      <c r="I219" s="28" t="e">
        <f ca="1">[1]!BexGetData("DP_1","003N8EMH8GTFRCSWKMPXRSAE6","GSON1112030395")</f>
        <v>#NAME?</v>
      </c>
      <c r="J219" s="24" t="e">
        <f ca="1">[1]!BexGetData("DP_1","003N8EMH8GTFRCSWKMPXRSGPQ","GSON1112030395")</f>
        <v>#NAME?</v>
      </c>
      <c r="K219" s="28" t="e">
        <f ca="1">[1]!BexGetData("DP_1","003N8EMH8GTFRIVNUPY288VJH","GSON1112030395")</f>
        <v>#NAME?</v>
      </c>
      <c r="L219" s="28" t="e">
        <f ca="1">[1]!BexGetData("DP_1","003N8EMH8GTFRIVNUPY2891V1","GSON1112030395")</f>
        <v>#NAME?</v>
      </c>
      <c r="M219" s="28" t="e">
        <f ca="1">[1]!BexGetData("DP_1","003N8EMH8GTFRIVOG7KG9IQXA","GSON1112030395")</f>
        <v>#NAME?</v>
      </c>
      <c r="N219" s="28" t="e">
        <f ca="1">[1]!BexGetData("DP_1","003N8EMH8GTFRIVOG7KG9IX8U","GSON1112030395")</f>
        <v>#NAME?</v>
      </c>
      <c r="O219" s="28" t="e">
        <f ca="1">[1]!BexGetData("DP_1","003N8EMH8GTFRIVOG7KG9J3KE","GSON1112030395")</f>
        <v>#NAME?</v>
      </c>
      <c r="P219" s="28" t="e">
        <f ca="1">[1]!BexGetData("DP_1","003N8EMH8GTFRIVOG7KG9J9VY","GSON1112030395")</f>
        <v>#NAME?</v>
      </c>
      <c r="Q219" s="24" t="e">
        <f ca="1">[1]!BexGetData("DP_1","00O2TNJGODT0G5Z4TTKYMM5MT","GSON1112030395")</f>
        <v>#NAME?</v>
      </c>
      <c r="R219" s="28" t="e">
        <f ca="1">[1]!BexGetData("DP_1","00O2TNJGODT0G5Z4TTKYMMBYD","GSON1112030395")</f>
        <v>#NAME?</v>
      </c>
      <c r="S219" s="28" t="e">
        <f ca="1">[1]!BexGetData("DP_1","00O2TNJGODT0G5Z4TTKYMMI9X","GSON1112030395")</f>
        <v>#NAME?</v>
      </c>
      <c r="T219" s="28" t="e">
        <f ca="1">[1]!BexGetData("DP_1","00O2TNJGODT0G5Z4TTKYMMOLH","GSON1112030395")</f>
        <v>#NAME?</v>
      </c>
      <c r="U219" s="28" t="e">
        <f ca="1">[1]!BexGetData("DP_1","00O2TNJGODT0G5Z4TTKYMMUX1","GSON1112030395")</f>
        <v>#NAME?</v>
      </c>
      <c r="V219" s="28" t="e">
        <f ca="1">[1]!BexGetData("DP_1","00O2TNJGODT0G5Z4TTKYMN18L","GSON1112030395")</f>
        <v>#NAME?</v>
      </c>
      <c r="W219" s="28" t="e">
        <f ca="1">[1]!BexGetData("DP_1","00O2TNJGODT0G5Z4TTKYMN7K5","GSON1112030395")</f>
        <v>#NAME?</v>
      </c>
    </row>
    <row r="220" spans="1:23" x14ac:dyDescent="0.2">
      <c r="A220" s="36" t="s">
        <v>2085</v>
      </c>
      <c r="B220" s="27" t="s">
        <v>800</v>
      </c>
      <c r="C220" s="23" t="e">
        <f ca="1">[1]!BexGetData("DP_1","003N8EMH8GTFRCSWKMPXRR8GU","GSON1112030490")</f>
        <v>#NAME?</v>
      </c>
      <c r="D220" s="23" t="e">
        <f ca="1">[1]!BexGetData("DP_1","003N8EMH8GTFRCSWKMPXRRESE","GSON1112030490")</f>
        <v>#NAME?</v>
      </c>
      <c r="E220" s="23" t="e">
        <f ca="1">[1]!BexGetData("DP_1","003N8EMH8GTFRCSWKMPXRRL3Y","GSON1112030490")</f>
        <v>#NAME?</v>
      </c>
      <c r="F220" s="23" t="e">
        <f ca="1">[1]!BexGetData("DP_1","003N8EMH8GTFRCSWKMPXRRRFI","GSON1112030490")</f>
        <v>#NAME?</v>
      </c>
      <c r="G220" s="23" t="e">
        <f ca="1">[1]!BexGetData("DP_1","003N8EMH8GTFRCSWKMPXRRXR2","GSON1112030490")</f>
        <v>#NAME?</v>
      </c>
      <c r="H220" s="23" t="e">
        <f ca="1">[1]!BexGetData("DP_1","003N8EMH8GTFRCSWKMPXRS42M","GSON1112030490")</f>
        <v>#NAME?</v>
      </c>
      <c r="I220" s="23" t="e">
        <f ca="1">[1]!BexGetData("DP_1","003N8EMH8GTFRCSWKMPXRSAE6","GSON1112030490")</f>
        <v>#NAME?</v>
      </c>
      <c r="J220" s="23" t="e">
        <f ca="1">[1]!BexGetData("DP_1","003N8EMH8GTFRCSWKMPXRSGPQ","GSON1112030490")</f>
        <v>#NAME?</v>
      </c>
      <c r="K220" s="23" t="e">
        <f ca="1">[1]!BexGetData("DP_1","003N8EMH8GTFRIVNUPY288VJH","GSON1112030490")</f>
        <v>#NAME?</v>
      </c>
      <c r="L220" s="23" t="e">
        <f ca="1">[1]!BexGetData("DP_1","003N8EMH8GTFRIVNUPY2891V1","GSON1112030490")</f>
        <v>#NAME?</v>
      </c>
      <c r="M220" s="28" t="e">
        <f ca="1">[1]!BexGetData("DP_1","003N8EMH8GTFRIVOG7KG9IQXA","GSON1112030490")</f>
        <v>#NAME?</v>
      </c>
      <c r="N220" s="23" t="e">
        <f ca="1">[1]!BexGetData("DP_1","003N8EMH8GTFRIVOG7KG9IX8U","GSON1112030490")</f>
        <v>#NAME?</v>
      </c>
      <c r="O220" s="28" t="e">
        <f ca="1">[1]!BexGetData("DP_1","003N8EMH8GTFRIVOG7KG9J3KE","GSON1112030490")</f>
        <v>#NAME?</v>
      </c>
      <c r="P220" s="23" t="e">
        <f ca="1">[1]!BexGetData("DP_1","003N8EMH8GTFRIVOG7KG9J9VY","GSON1112030490")</f>
        <v>#NAME?</v>
      </c>
      <c r="Q220" s="23" t="e">
        <f ca="1">[1]!BexGetData("DP_1","00O2TNJGODT0G5Z4TTKYMM5MT","GSON1112030490")</f>
        <v>#NAME?</v>
      </c>
      <c r="R220" s="23" t="e">
        <f ca="1">[1]!BexGetData("DP_1","00O2TNJGODT0G5Z4TTKYMMBYD","GSON1112030490")</f>
        <v>#NAME?</v>
      </c>
      <c r="S220" s="23" t="e">
        <f ca="1">[1]!BexGetData("DP_1","00O2TNJGODT0G5Z4TTKYMMI9X","GSON1112030490")</f>
        <v>#NAME?</v>
      </c>
      <c r="T220" s="23" t="e">
        <f ca="1">[1]!BexGetData("DP_1","00O2TNJGODT0G5Z4TTKYMMOLH","GSON1112030490")</f>
        <v>#NAME?</v>
      </c>
      <c r="U220" s="28" t="e">
        <f ca="1">[1]!BexGetData("DP_1","00O2TNJGODT0G5Z4TTKYMMUX1","GSON1112030490")</f>
        <v>#NAME?</v>
      </c>
      <c r="V220" s="23" t="e">
        <f ca="1">[1]!BexGetData("DP_1","00O2TNJGODT0G5Z4TTKYMN18L","GSON1112030490")</f>
        <v>#NAME?</v>
      </c>
      <c r="W220" s="28" t="e">
        <f ca="1">[1]!BexGetData("DP_1","00O2TNJGODT0G5Z4TTKYMN7K5","GSON1112030490")</f>
        <v>#NAME?</v>
      </c>
    </row>
    <row r="221" spans="1:23" x14ac:dyDescent="0.2">
      <c r="A221" s="36" t="s">
        <v>2086</v>
      </c>
      <c r="B221" s="27" t="s">
        <v>418</v>
      </c>
      <c r="C221" s="23" t="e">
        <f ca="1">[1]!BexGetData("DP_1","003N8EMH8GTFRCSWKMPXRR8GU","GSON1112030491")</f>
        <v>#NAME?</v>
      </c>
      <c r="D221" s="23" t="e">
        <f ca="1">[1]!BexGetData("DP_1","003N8EMH8GTFRCSWKMPXRRESE","GSON1112030491")</f>
        <v>#NAME?</v>
      </c>
      <c r="E221" s="23" t="e">
        <f ca="1">[1]!BexGetData("DP_1","003N8EMH8GTFRCSWKMPXRRL3Y","GSON1112030491")</f>
        <v>#NAME?</v>
      </c>
      <c r="F221" s="23" t="e">
        <f ca="1">[1]!BexGetData("DP_1","003N8EMH8GTFRCSWKMPXRRRFI","GSON1112030491")</f>
        <v>#NAME?</v>
      </c>
      <c r="G221" s="23" t="e">
        <f ca="1">[1]!BexGetData("DP_1","003N8EMH8GTFRCSWKMPXRRXR2","GSON1112030491")</f>
        <v>#NAME?</v>
      </c>
      <c r="H221" s="23" t="e">
        <f ca="1">[1]!BexGetData("DP_1","003N8EMH8GTFRCSWKMPXRS42M","GSON1112030491")</f>
        <v>#NAME?</v>
      </c>
      <c r="I221" s="23" t="e">
        <f ca="1">[1]!BexGetData("DP_1","003N8EMH8GTFRCSWKMPXRSAE6","GSON1112030491")</f>
        <v>#NAME?</v>
      </c>
      <c r="J221" s="23" t="e">
        <f ca="1">[1]!BexGetData("DP_1","003N8EMH8GTFRCSWKMPXRSGPQ","GSON1112030491")</f>
        <v>#NAME?</v>
      </c>
      <c r="K221" s="23" t="e">
        <f ca="1">[1]!BexGetData("DP_1","003N8EMH8GTFRIVNUPY288VJH","GSON1112030491")</f>
        <v>#NAME?</v>
      </c>
      <c r="L221" s="23" t="e">
        <f ca="1">[1]!BexGetData("DP_1","003N8EMH8GTFRIVNUPY2891V1","GSON1112030491")</f>
        <v>#NAME?</v>
      </c>
      <c r="M221" s="23" t="e">
        <f ca="1">[1]!BexGetData("DP_1","003N8EMH8GTFRIVOG7KG9IQXA","GSON1112030491")</f>
        <v>#NAME?</v>
      </c>
      <c r="N221" s="28" t="e">
        <f ca="1">[1]!BexGetData("DP_1","003N8EMH8GTFRIVOG7KG9IX8U","GSON1112030491")</f>
        <v>#NAME?</v>
      </c>
      <c r="O221" s="23" t="e">
        <f ca="1">[1]!BexGetData("DP_1","003N8EMH8GTFRIVOG7KG9J3KE","GSON1112030491")</f>
        <v>#NAME?</v>
      </c>
      <c r="P221" s="28" t="e">
        <f ca="1">[1]!BexGetData("DP_1","003N8EMH8GTFRIVOG7KG9J9VY","GSON1112030491")</f>
        <v>#NAME?</v>
      </c>
      <c r="Q221" s="23" t="e">
        <f ca="1">[1]!BexGetData("DP_1","00O2TNJGODT0G5Z4TTKYMM5MT","GSON1112030491")</f>
        <v>#NAME?</v>
      </c>
      <c r="R221" s="23" t="e">
        <f ca="1">[1]!BexGetData("DP_1","00O2TNJGODT0G5Z4TTKYMMBYD","GSON1112030491")</f>
        <v>#NAME?</v>
      </c>
      <c r="S221" s="23" t="e">
        <f ca="1">[1]!BexGetData("DP_1","00O2TNJGODT0G5Z4TTKYMMI9X","GSON1112030491")</f>
        <v>#NAME?</v>
      </c>
      <c r="T221" s="28" t="e">
        <f ca="1">[1]!BexGetData("DP_1","00O2TNJGODT0G5Z4TTKYMMOLH","GSON1112030491")</f>
        <v>#NAME?</v>
      </c>
      <c r="U221" s="23" t="e">
        <f ca="1">[1]!BexGetData("DP_1","00O2TNJGODT0G5Z4TTKYMMUX1","GSON1112030491")</f>
        <v>#NAME?</v>
      </c>
      <c r="V221" s="28" t="e">
        <f ca="1">[1]!BexGetData("DP_1","00O2TNJGODT0G5Z4TTKYMN18L","GSON1112030491")</f>
        <v>#NAME?</v>
      </c>
      <c r="W221" s="23" t="e">
        <f ca="1">[1]!BexGetData("DP_1","00O2TNJGODT0G5Z4TTKYMN7K5","GSON1112030491")</f>
        <v>#NAME?</v>
      </c>
    </row>
    <row r="222" spans="1:23" x14ac:dyDescent="0.2">
      <c r="A222" s="36" t="s">
        <v>2087</v>
      </c>
      <c r="B222" s="27" t="s">
        <v>801</v>
      </c>
      <c r="C222" s="23" t="e">
        <f ca="1">[1]!BexGetData("DP_1","003N8EMH8GTFRCSWKMPXRR8GU","GSON1112030492")</f>
        <v>#NAME?</v>
      </c>
      <c r="D222" s="23" t="e">
        <f ca="1">[1]!BexGetData("DP_1","003N8EMH8GTFRCSWKMPXRRESE","GSON1112030492")</f>
        <v>#NAME?</v>
      </c>
      <c r="E222" s="28" t="e">
        <f ca="1">[1]!BexGetData("DP_1","003N8EMH8GTFRCSWKMPXRRL3Y","GSON1112030492")</f>
        <v>#NAME?</v>
      </c>
      <c r="F222" s="28" t="e">
        <f ca="1">[1]!BexGetData("DP_1","003N8EMH8GTFRCSWKMPXRRRFI","GSON1112030492")</f>
        <v>#NAME?</v>
      </c>
      <c r="G222" s="23" t="e">
        <f ca="1">[1]!BexGetData("DP_1","003N8EMH8GTFRCSWKMPXRRXR2","GSON1112030492")</f>
        <v>#NAME?</v>
      </c>
      <c r="H222" s="23" t="e">
        <f ca="1">[1]!BexGetData("DP_1","003N8EMH8GTFRCSWKMPXRS42M","GSON1112030492")</f>
        <v>#NAME?</v>
      </c>
      <c r="I222" s="28" t="e">
        <f ca="1">[1]!BexGetData("DP_1","003N8EMH8GTFRCSWKMPXRSAE6","GSON1112030492")</f>
        <v>#NAME?</v>
      </c>
      <c r="J222" s="24" t="e">
        <f ca="1">[1]!BexGetData("DP_1","003N8EMH8GTFRCSWKMPXRSGPQ","GSON1112030492")</f>
        <v>#NAME?</v>
      </c>
      <c r="K222" s="28" t="e">
        <f ca="1">[1]!BexGetData("DP_1","003N8EMH8GTFRIVNUPY288VJH","GSON1112030492")</f>
        <v>#NAME?</v>
      </c>
      <c r="L222" s="28" t="e">
        <f ca="1">[1]!BexGetData("DP_1","003N8EMH8GTFRIVNUPY2891V1","GSON1112030492")</f>
        <v>#NAME?</v>
      </c>
      <c r="M222" s="28" t="e">
        <f ca="1">[1]!BexGetData("DP_1","003N8EMH8GTFRIVOG7KG9IQXA","GSON1112030492")</f>
        <v>#NAME?</v>
      </c>
      <c r="N222" s="28" t="e">
        <f ca="1">[1]!BexGetData("DP_1","003N8EMH8GTFRIVOG7KG9IX8U","GSON1112030492")</f>
        <v>#NAME?</v>
      </c>
      <c r="O222" s="28" t="e">
        <f ca="1">[1]!BexGetData("DP_1","003N8EMH8GTFRIVOG7KG9J3KE","GSON1112030492")</f>
        <v>#NAME?</v>
      </c>
      <c r="P222" s="28" t="e">
        <f ca="1">[1]!BexGetData("DP_1","003N8EMH8GTFRIVOG7KG9J9VY","GSON1112030492")</f>
        <v>#NAME?</v>
      </c>
      <c r="Q222" s="24" t="e">
        <f ca="1">[1]!BexGetData("DP_1","00O2TNJGODT0G5Z4TTKYMM5MT","GSON1112030492")</f>
        <v>#NAME?</v>
      </c>
      <c r="R222" s="28" t="e">
        <f ca="1">[1]!BexGetData("DP_1","00O2TNJGODT0G5Z4TTKYMMBYD","GSON1112030492")</f>
        <v>#NAME?</v>
      </c>
      <c r="S222" s="28" t="e">
        <f ca="1">[1]!BexGetData("DP_1","00O2TNJGODT0G5Z4TTKYMMI9X","GSON1112030492")</f>
        <v>#NAME?</v>
      </c>
      <c r="T222" s="28" t="e">
        <f ca="1">[1]!BexGetData("DP_1","00O2TNJGODT0G5Z4TTKYMMOLH","GSON1112030492")</f>
        <v>#NAME?</v>
      </c>
      <c r="U222" s="28" t="e">
        <f ca="1">[1]!BexGetData("DP_1","00O2TNJGODT0G5Z4TTKYMMUX1","GSON1112030492")</f>
        <v>#NAME?</v>
      </c>
      <c r="V222" s="28" t="e">
        <f ca="1">[1]!BexGetData("DP_1","00O2TNJGODT0G5Z4TTKYMN18L","GSON1112030492")</f>
        <v>#NAME?</v>
      </c>
      <c r="W222" s="28" t="e">
        <f ca="1">[1]!BexGetData("DP_1","00O2TNJGODT0G5Z4TTKYMN7K5","GSON1112030492")</f>
        <v>#NAME?</v>
      </c>
    </row>
    <row r="223" spans="1:23" x14ac:dyDescent="0.2">
      <c r="A223" s="36" t="s">
        <v>2088</v>
      </c>
      <c r="B223" s="27" t="s">
        <v>802</v>
      </c>
      <c r="C223" s="23" t="e">
        <f ca="1">[1]!BexGetData("DP_1","003N8EMH8GTFRCSWKMPXRR8GU","GSON1112030493")</f>
        <v>#NAME?</v>
      </c>
      <c r="D223" s="23" t="e">
        <f ca="1">[1]!BexGetData("DP_1","003N8EMH8GTFRCSWKMPXRRESE","GSON1112030493")</f>
        <v>#NAME?</v>
      </c>
      <c r="E223" s="28" t="e">
        <f ca="1">[1]!BexGetData("DP_1","003N8EMH8GTFRCSWKMPXRRL3Y","GSON1112030493")</f>
        <v>#NAME?</v>
      </c>
      <c r="F223" s="28" t="e">
        <f ca="1">[1]!BexGetData("DP_1","003N8EMH8GTFRCSWKMPXRRRFI","GSON1112030493")</f>
        <v>#NAME?</v>
      </c>
      <c r="G223" s="23" t="e">
        <f ca="1">[1]!BexGetData("DP_1","003N8EMH8GTFRCSWKMPXRRXR2","GSON1112030493")</f>
        <v>#NAME?</v>
      </c>
      <c r="H223" s="23" t="e">
        <f ca="1">[1]!BexGetData("DP_1","003N8EMH8GTFRCSWKMPXRS42M","GSON1112030493")</f>
        <v>#NAME?</v>
      </c>
      <c r="I223" s="28" t="e">
        <f ca="1">[1]!BexGetData("DP_1","003N8EMH8GTFRCSWKMPXRSAE6","GSON1112030493")</f>
        <v>#NAME?</v>
      </c>
      <c r="J223" s="24" t="e">
        <f ca="1">[1]!BexGetData("DP_1","003N8EMH8GTFRCSWKMPXRSGPQ","GSON1112030493")</f>
        <v>#NAME?</v>
      </c>
      <c r="K223" s="28" t="e">
        <f ca="1">[1]!BexGetData("DP_1","003N8EMH8GTFRIVNUPY288VJH","GSON1112030493")</f>
        <v>#NAME?</v>
      </c>
      <c r="L223" s="28" t="e">
        <f ca="1">[1]!BexGetData("DP_1","003N8EMH8GTFRIVNUPY2891V1","GSON1112030493")</f>
        <v>#NAME?</v>
      </c>
      <c r="M223" s="28" t="e">
        <f ca="1">[1]!BexGetData("DP_1","003N8EMH8GTFRIVOG7KG9IQXA","GSON1112030493")</f>
        <v>#NAME?</v>
      </c>
      <c r="N223" s="28" t="e">
        <f ca="1">[1]!BexGetData("DP_1","003N8EMH8GTFRIVOG7KG9IX8U","GSON1112030493")</f>
        <v>#NAME?</v>
      </c>
      <c r="O223" s="28" t="e">
        <f ca="1">[1]!BexGetData("DP_1","003N8EMH8GTFRIVOG7KG9J3KE","GSON1112030493")</f>
        <v>#NAME?</v>
      </c>
      <c r="P223" s="28" t="e">
        <f ca="1">[1]!BexGetData("DP_1","003N8EMH8GTFRIVOG7KG9J9VY","GSON1112030493")</f>
        <v>#NAME?</v>
      </c>
      <c r="Q223" s="24" t="e">
        <f ca="1">[1]!BexGetData("DP_1","00O2TNJGODT0G5Z4TTKYMM5MT","GSON1112030493")</f>
        <v>#NAME?</v>
      </c>
      <c r="R223" s="28" t="e">
        <f ca="1">[1]!BexGetData("DP_1","00O2TNJGODT0G5Z4TTKYMMBYD","GSON1112030493")</f>
        <v>#NAME?</v>
      </c>
      <c r="S223" s="28" t="e">
        <f ca="1">[1]!BexGetData("DP_1","00O2TNJGODT0G5Z4TTKYMMI9X","GSON1112030493")</f>
        <v>#NAME?</v>
      </c>
      <c r="T223" s="28" t="e">
        <f ca="1">[1]!BexGetData("DP_1","00O2TNJGODT0G5Z4TTKYMMOLH","GSON1112030493")</f>
        <v>#NAME?</v>
      </c>
      <c r="U223" s="28" t="e">
        <f ca="1">[1]!BexGetData("DP_1","00O2TNJGODT0G5Z4TTKYMMUX1","GSON1112030493")</f>
        <v>#NAME?</v>
      </c>
      <c r="V223" s="28" t="e">
        <f ca="1">[1]!BexGetData("DP_1","00O2TNJGODT0G5Z4TTKYMN18L","GSON1112030493")</f>
        <v>#NAME?</v>
      </c>
      <c r="W223" s="28" t="e">
        <f ca="1">[1]!BexGetData("DP_1","00O2TNJGODT0G5Z4TTKYMN7K5","GSON1112030493")</f>
        <v>#NAME?</v>
      </c>
    </row>
    <row r="224" spans="1:23" x14ac:dyDescent="0.2">
      <c r="A224" s="36" t="s">
        <v>2089</v>
      </c>
      <c r="B224" s="27" t="s">
        <v>803</v>
      </c>
      <c r="C224" s="23" t="e">
        <f ca="1">[1]!BexGetData("DP_1","003N8EMH8GTFRCSWKMPXRR8GU","GSON1112030494")</f>
        <v>#NAME?</v>
      </c>
      <c r="D224" s="23" t="e">
        <f ca="1">[1]!BexGetData("DP_1","003N8EMH8GTFRCSWKMPXRRESE","GSON1112030494")</f>
        <v>#NAME?</v>
      </c>
      <c r="E224" s="28" t="e">
        <f ca="1">[1]!BexGetData("DP_1","003N8EMH8GTFRCSWKMPXRRL3Y","GSON1112030494")</f>
        <v>#NAME?</v>
      </c>
      <c r="F224" s="28" t="e">
        <f ca="1">[1]!BexGetData("DP_1","003N8EMH8GTFRCSWKMPXRRRFI","GSON1112030494")</f>
        <v>#NAME?</v>
      </c>
      <c r="G224" s="23" t="e">
        <f ca="1">[1]!BexGetData("DP_1","003N8EMH8GTFRCSWKMPXRRXR2","GSON1112030494")</f>
        <v>#NAME?</v>
      </c>
      <c r="H224" s="23" t="e">
        <f ca="1">[1]!BexGetData("DP_1","003N8EMH8GTFRCSWKMPXRS42M","GSON1112030494")</f>
        <v>#NAME?</v>
      </c>
      <c r="I224" s="28" t="e">
        <f ca="1">[1]!BexGetData("DP_1","003N8EMH8GTFRCSWKMPXRSAE6","GSON1112030494")</f>
        <v>#NAME?</v>
      </c>
      <c r="J224" s="24" t="e">
        <f ca="1">[1]!BexGetData("DP_1","003N8EMH8GTFRCSWKMPXRSGPQ","GSON1112030494")</f>
        <v>#NAME?</v>
      </c>
      <c r="K224" s="28" t="e">
        <f ca="1">[1]!BexGetData("DP_1","003N8EMH8GTFRIVNUPY288VJH","GSON1112030494")</f>
        <v>#NAME?</v>
      </c>
      <c r="L224" s="28" t="e">
        <f ca="1">[1]!BexGetData("DP_1","003N8EMH8GTFRIVNUPY2891V1","GSON1112030494")</f>
        <v>#NAME?</v>
      </c>
      <c r="M224" s="28" t="e">
        <f ca="1">[1]!BexGetData("DP_1","003N8EMH8GTFRIVOG7KG9IQXA","GSON1112030494")</f>
        <v>#NAME?</v>
      </c>
      <c r="N224" s="28" t="e">
        <f ca="1">[1]!BexGetData("DP_1","003N8EMH8GTFRIVOG7KG9IX8U","GSON1112030494")</f>
        <v>#NAME?</v>
      </c>
      <c r="O224" s="28" t="e">
        <f ca="1">[1]!BexGetData("DP_1","003N8EMH8GTFRIVOG7KG9J3KE","GSON1112030494")</f>
        <v>#NAME?</v>
      </c>
      <c r="P224" s="28" t="e">
        <f ca="1">[1]!BexGetData("DP_1","003N8EMH8GTFRIVOG7KG9J9VY","GSON1112030494")</f>
        <v>#NAME?</v>
      </c>
      <c r="Q224" s="24" t="e">
        <f ca="1">[1]!BexGetData("DP_1","00O2TNJGODT0G5Z4TTKYMM5MT","GSON1112030494")</f>
        <v>#NAME?</v>
      </c>
      <c r="R224" s="28" t="e">
        <f ca="1">[1]!BexGetData("DP_1","00O2TNJGODT0G5Z4TTKYMMBYD","GSON1112030494")</f>
        <v>#NAME?</v>
      </c>
      <c r="S224" s="28" t="e">
        <f ca="1">[1]!BexGetData("DP_1","00O2TNJGODT0G5Z4TTKYMMI9X","GSON1112030494")</f>
        <v>#NAME?</v>
      </c>
      <c r="T224" s="28" t="e">
        <f ca="1">[1]!BexGetData("DP_1","00O2TNJGODT0G5Z4TTKYMMOLH","GSON1112030494")</f>
        <v>#NAME?</v>
      </c>
      <c r="U224" s="28" t="e">
        <f ca="1">[1]!BexGetData("DP_1","00O2TNJGODT0G5Z4TTKYMMUX1","GSON1112030494")</f>
        <v>#NAME?</v>
      </c>
      <c r="V224" s="28" t="e">
        <f ca="1">[1]!BexGetData("DP_1","00O2TNJGODT0G5Z4TTKYMN18L","GSON1112030494")</f>
        <v>#NAME?</v>
      </c>
      <c r="W224" s="28" t="e">
        <f ca="1">[1]!BexGetData("DP_1","00O2TNJGODT0G5Z4TTKYMN7K5","GSON1112030494")</f>
        <v>#NAME?</v>
      </c>
    </row>
    <row r="225" spans="1:23" x14ac:dyDescent="0.2">
      <c r="A225" s="36" t="s">
        <v>2090</v>
      </c>
      <c r="B225" s="27" t="s">
        <v>804</v>
      </c>
      <c r="C225" s="23" t="e">
        <f ca="1">[1]!BexGetData("DP_1","003N8EMH8GTFRCSWKMPXRR8GU","GSON1112030500")</f>
        <v>#NAME?</v>
      </c>
      <c r="D225" s="23" t="e">
        <f ca="1">[1]!BexGetData("DP_1","003N8EMH8GTFRCSWKMPXRRESE","GSON1112030500")</f>
        <v>#NAME?</v>
      </c>
      <c r="E225" s="23" t="e">
        <f ca="1">[1]!BexGetData("DP_1","003N8EMH8GTFRCSWKMPXRRL3Y","GSON1112030500")</f>
        <v>#NAME?</v>
      </c>
      <c r="F225" s="23" t="e">
        <f ca="1">[1]!BexGetData("DP_1","003N8EMH8GTFRCSWKMPXRRRFI","GSON1112030500")</f>
        <v>#NAME?</v>
      </c>
      <c r="G225" s="23" t="e">
        <f ca="1">[1]!BexGetData("DP_1","003N8EMH8GTFRCSWKMPXRRXR2","GSON1112030500")</f>
        <v>#NAME?</v>
      </c>
      <c r="H225" s="23" t="e">
        <f ca="1">[1]!BexGetData("DP_1","003N8EMH8GTFRCSWKMPXRS42M","GSON1112030500")</f>
        <v>#NAME?</v>
      </c>
      <c r="I225" s="23" t="e">
        <f ca="1">[1]!BexGetData("DP_1","003N8EMH8GTFRCSWKMPXRSAE6","GSON1112030500")</f>
        <v>#NAME?</v>
      </c>
      <c r="J225" s="23" t="e">
        <f ca="1">[1]!BexGetData("DP_1","003N8EMH8GTFRCSWKMPXRSGPQ","GSON1112030500")</f>
        <v>#NAME?</v>
      </c>
      <c r="K225" s="23" t="e">
        <f ca="1">[1]!BexGetData("DP_1","003N8EMH8GTFRIVNUPY288VJH","GSON1112030500")</f>
        <v>#NAME?</v>
      </c>
      <c r="L225" s="23" t="e">
        <f ca="1">[1]!BexGetData("DP_1","003N8EMH8GTFRIVNUPY2891V1","GSON1112030500")</f>
        <v>#NAME?</v>
      </c>
      <c r="M225" s="28" t="e">
        <f ca="1">[1]!BexGetData("DP_1","003N8EMH8GTFRIVOG7KG9IQXA","GSON1112030500")</f>
        <v>#NAME?</v>
      </c>
      <c r="N225" s="23" t="e">
        <f ca="1">[1]!BexGetData("DP_1","003N8EMH8GTFRIVOG7KG9IX8U","GSON1112030500")</f>
        <v>#NAME?</v>
      </c>
      <c r="O225" s="28" t="e">
        <f ca="1">[1]!BexGetData("DP_1","003N8EMH8GTFRIVOG7KG9J3KE","GSON1112030500")</f>
        <v>#NAME?</v>
      </c>
      <c r="P225" s="23" t="e">
        <f ca="1">[1]!BexGetData("DP_1","003N8EMH8GTFRIVOG7KG9J9VY","GSON1112030500")</f>
        <v>#NAME?</v>
      </c>
      <c r="Q225" s="23" t="e">
        <f ca="1">[1]!BexGetData("DP_1","00O2TNJGODT0G5Z4TTKYMM5MT","GSON1112030500")</f>
        <v>#NAME?</v>
      </c>
      <c r="R225" s="23" t="e">
        <f ca="1">[1]!BexGetData("DP_1","00O2TNJGODT0G5Z4TTKYMMBYD","GSON1112030500")</f>
        <v>#NAME?</v>
      </c>
      <c r="S225" s="23" t="e">
        <f ca="1">[1]!BexGetData("DP_1","00O2TNJGODT0G5Z4TTKYMMI9X","GSON1112030500")</f>
        <v>#NAME?</v>
      </c>
      <c r="T225" s="28" t="e">
        <f ca="1">[1]!BexGetData("DP_1","00O2TNJGODT0G5Z4TTKYMMOLH","GSON1112030500")</f>
        <v>#NAME?</v>
      </c>
      <c r="U225" s="23" t="e">
        <f ca="1">[1]!BexGetData("DP_1","00O2TNJGODT0G5Z4TTKYMMUX1","GSON1112030500")</f>
        <v>#NAME?</v>
      </c>
      <c r="V225" s="28" t="e">
        <f ca="1">[1]!BexGetData("DP_1","00O2TNJGODT0G5Z4TTKYMN18L","GSON1112030500")</f>
        <v>#NAME?</v>
      </c>
      <c r="W225" s="23" t="e">
        <f ca="1">[1]!BexGetData("DP_1","00O2TNJGODT0G5Z4TTKYMN7K5","GSON1112030500")</f>
        <v>#NAME?</v>
      </c>
    </row>
    <row r="226" spans="1:23" x14ac:dyDescent="0.2">
      <c r="A226" s="36" t="s">
        <v>2091</v>
      </c>
      <c r="B226" s="27" t="s">
        <v>805</v>
      </c>
      <c r="C226" s="23" t="e">
        <f ca="1">[1]!BexGetData("DP_1","003N8EMH8GTFRCSWKMPXRR8GU","GSON1112030501")</f>
        <v>#NAME?</v>
      </c>
      <c r="D226" s="23" t="e">
        <f ca="1">[1]!BexGetData("DP_1","003N8EMH8GTFRCSWKMPXRRESE","GSON1112030501")</f>
        <v>#NAME?</v>
      </c>
      <c r="E226" s="23" t="e">
        <f ca="1">[1]!BexGetData("DP_1","003N8EMH8GTFRCSWKMPXRRL3Y","GSON1112030501")</f>
        <v>#NAME?</v>
      </c>
      <c r="F226" s="23" t="e">
        <f ca="1">[1]!BexGetData("DP_1","003N8EMH8GTFRCSWKMPXRRRFI","GSON1112030501")</f>
        <v>#NAME?</v>
      </c>
      <c r="G226" s="23" t="e">
        <f ca="1">[1]!BexGetData("DP_1","003N8EMH8GTFRCSWKMPXRRXR2","GSON1112030501")</f>
        <v>#NAME?</v>
      </c>
      <c r="H226" s="23" t="e">
        <f ca="1">[1]!BexGetData("DP_1","003N8EMH8GTFRCSWKMPXRS42M","GSON1112030501")</f>
        <v>#NAME?</v>
      </c>
      <c r="I226" s="23" t="e">
        <f ca="1">[1]!BexGetData("DP_1","003N8EMH8GTFRCSWKMPXRSAE6","GSON1112030501")</f>
        <v>#NAME?</v>
      </c>
      <c r="J226" s="23" t="e">
        <f ca="1">[1]!BexGetData("DP_1","003N8EMH8GTFRCSWKMPXRSGPQ","GSON1112030501")</f>
        <v>#NAME?</v>
      </c>
      <c r="K226" s="23" t="e">
        <f ca="1">[1]!BexGetData("DP_1","003N8EMH8GTFRIVNUPY288VJH","GSON1112030501")</f>
        <v>#NAME?</v>
      </c>
      <c r="L226" s="23" t="e">
        <f ca="1">[1]!BexGetData("DP_1","003N8EMH8GTFRIVNUPY2891V1","GSON1112030501")</f>
        <v>#NAME?</v>
      </c>
      <c r="M226" s="28" t="e">
        <f ca="1">[1]!BexGetData("DP_1","003N8EMH8GTFRIVOG7KG9IQXA","GSON1112030501")</f>
        <v>#NAME?</v>
      </c>
      <c r="N226" s="23" t="e">
        <f ca="1">[1]!BexGetData("DP_1","003N8EMH8GTFRIVOG7KG9IX8U","GSON1112030501")</f>
        <v>#NAME?</v>
      </c>
      <c r="O226" s="28" t="e">
        <f ca="1">[1]!BexGetData("DP_1","003N8EMH8GTFRIVOG7KG9J3KE","GSON1112030501")</f>
        <v>#NAME?</v>
      </c>
      <c r="P226" s="23" t="e">
        <f ca="1">[1]!BexGetData("DP_1","003N8EMH8GTFRIVOG7KG9J9VY","GSON1112030501")</f>
        <v>#NAME?</v>
      </c>
      <c r="Q226" s="23" t="e">
        <f ca="1">[1]!BexGetData("DP_1","00O2TNJGODT0G5Z4TTKYMM5MT","GSON1112030501")</f>
        <v>#NAME?</v>
      </c>
      <c r="R226" s="23" t="e">
        <f ca="1">[1]!BexGetData("DP_1","00O2TNJGODT0G5Z4TTKYMMBYD","GSON1112030501")</f>
        <v>#NAME?</v>
      </c>
      <c r="S226" s="23" t="e">
        <f ca="1">[1]!BexGetData("DP_1","00O2TNJGODT0G5Z4TTKYMMI9X","GSON1112030501")</f>
        <v>#NAME?</v>
      </c>
      <c r="T226" s="23" t="e">
        <f ca="1">[1]!BexGetData("DP_1","00O2TNJGODT0G5Z4TTKYMMOLH","GSON1112030501")</f>
        <v>#NAME?</v>
      </c>
      <c r="U226" s="28" t="e">
        <f ca="1">[1]!BexGetData("DP_1","00O2TNJGODT0G5Z4TTKYMMUX1","GSON1112030501")</f>
        <v>#NAME?</v>
      </c>
      <c r="V226" s="23" t="e">
        <f ca="1">[1]!BexGetData("DP_1","00O2TNJGODT0G5Z4TTKYMN18L","GSON1112030501")</f>
        <v>#NAME?</v>
      </c>
      <c r="W226" s="28" t="e">
        <f ca="1">[1]!BexGetData("DP_1","00O2TNJGODT0G5Z4TTKYMN7K5","GSON1112030501")</f>
        <v>#NAME?</v>
      </c>
    </row>
    <row r="227" spans="1:23" x14ac:dyDescent="0.2">
      <c r="A227" s="36" t="s">
        <v>2092</v>
      </c>
      <c r="B227" s="27" t="s">
        <v>2093</v>
      </c>
      <c r="C227" s="23" t="e">
        <f ca="1">[1]!BexGetData("DP_1","003N8EMH8GTFRCSWKMPXRR8GU","GSON1112030502")</f>
        <v>#NAME?</v>
      </c>
      <c r="D227" s="23" t="e">
        <f ca="1">[1]!BexGetData("DP_1","003N8EMH8GTFRCSWKMPXRRESE","GSON1112030502")</f>
        <v>#NAME?</v>
      </c>
      <c r="E227" s="28" t="e">
        <f ca="1">[1]!BexGetData("DP_1","003N8EMH8GTFRCSWKMPXRRL3Y","GSON1112030502")</f>
        <v>#NAME?</v>
      </c>
      <c r="F227" s="23" t="e">
        <f ca="1">[1]!BexGetData("DP_1","003N8EMH8GTFRCSWKMPXRRRFI","GSON1112030502")</f>
        <v>#NAME?</v>
      </c>
      <c r="G227" s="23" t="e">
        <f ca="1">[1]!BexGetData("DP_1","003N8EMH8GTFRCSWKMPXRRXR2","GSON1112030502")</f>
        <v>#NAME?</v>
      </c>
      <c r="H227" s="23" t="e">
        <f ca="1">[1]!BexGetData("DP_1","003N8EMH8GTFRCSWKMPXRS42M","GSON1112030502")</f>
        <v>#NAME?</v>
      </c>
      <c r="I227" s="23" t="e">
        <f ca="1">[1]!BexGetData("DP_1","003N8EMH8GTFRCSWKMPXRSAE6","GSON1112030502")</f>
        <v>#NAME?</v>
      </c>
      <c r="J227" s="24" t="e">
        <f ca="1">[1]!BexGetData("DP_1","003N8EMH8GTFRCSWKMPXRSGPQ","GSON1112030502")</f>
        <v>#NAME?</v>
      </c>
      <c r="K227" s="23" t="e">
        <f ca="1">[1]!BexGetData("DP_1","003N8EMH8GTFRIVNUPY288VJH","GSON1112030502")</f>
        <v>#NAME?</v>
      </c>
      <c r="L227" s="23" t="e">
        <f ca="1">[1]!BexGetData("DP_1","003N8EMH8GTFRIVNUPY2891V1","GSON1112030502")</f>
        <v>#NAME?</v>
      </c>
      <c r="M227" s="23" t="e">
        <f ca="1">[1]!BexGetData("DP_1","003N8EMH8GTFRIVOG7KG9IQXA","GSON1112030502")</f>
        <v>#NAME?</v>
      </c>
      <c r="N227" s="28" t="e">
        <f ca="1">[1]!BexGetData("DP_1","003N8EMH8GTFRIVOG7KG9IX8U","GSON1112030502")</f>
        <v>#NAME?</v>
      </c>
      <c r="O227" s="23" t="e">
        <f ca="1">[1]!BexGetData("DP_1","003N8EMH8GTFRIVOG7KG9J3KE","GSON1112030502")</f>
        <v>#NAME?</v>
      </c>
      <c r="P227" s="28" t="e">
        <f ca="1">[1]!BexGetData("DP_1","003N8EMH8GTFRIVOG7KG9J9VY","GSON1112030502")</f>
        <v>#NAME?</v>
      </c>
      <c r="Q227" s="24" t="e">
        <f ca="1">[1]!BexGetData("DP_1","00O2TNJGODT0G5Z4TTKYMM5MT","GSON1112030502")</f>
        <v>#NAME?</v>
      </c>
      <c r="R227" s="23" t="e">
        <f ca="1">[1]!BexGetData("DP_1","00O2TNJGODT0G5Z4TTKYMMBYD","GSON1112030502")</f>
        <v>#NAME?</v>
      </c>
      <c r="S227" s="23" t="e">
        <f ca="1">[1]!BexGetData("DP_1","00O2TNJGODT0G5Z4TTKYMMI9X","GSON1112030502")</f>
        <v>#NAME?</v>
      </c>
      <c r="T227" s="28" t="e">
        <f ca="1">[1]!BexGetData("DP_1","00O2TNJGODT0G5Z4TTKYMMOLH","GSON1112030502")</f>
        <v>#NAME?</v>
      </c>
      <c r="U227" s="23" t="e">
        <f ca="1">[1]!BexGetData("DP_1","00O2TNJGODT0G5Z4TTKYMMUX1","GSON1112030502")</f>
        <v>#NAME?</v>
      </c>
      <c r="V227" s="28" t="e">
        <f ca="1">[1]!BexGetData("DP_1","00O2TNJGODT0G5Z4TTKYMN18L","GSON1112030502")</f>
        <v>#NAME?</v>
      </c>
      <c r="W227" s="23" t="e">
        <f ca="1">[1]!BexGetData("DP_1","00O2TNJGODT0G5Z4TTKYMN7K5","GSON1112030502")</f>
        <v>#NAME?</v>
      </c>
    </row>
    <row r="228" spans="1:23" x14ac:dyDescent="0.2">
      <c r="A228" s="36" t="s">
        <v>2094</v>
      </c>
      <c r="B228" s="27" t="s">
        <v>806</v>
      </c>
      <c r="C228" s="23" t="e">
        <f ca="1">[1]!BexGetData("DP_1","003N8EMH8GTFRCSWKMPXRR8GU","GSON1112030503")</f>
        <v>#NAME?</v>
      </c>
      <c r="D228" s="23" t="e">
        <f ca="1">[1]!BexGetData("DP_1","003N8EMH8GTFRCSWKMPXRRESE","GSON1112030503")</f>
        <v>#NAME?</v>
      </c>
      <c r="E228" s="28" t="e">
        <f ca="1">[1]!BexGetData("DP_1","003N8EMH8GTFRCSWKMPXRRL3Y","GSON1112030503")</f>
        <v>#NAME?</v>
      </c>
      <c r="F228" s="23" t="e">
        <f ca="1">[1]!BexGetData("DP_1","003N8EMH8GTFRCSWKMPXRRRFI","GSON1112030503")</f>
        <v>#NAME?</v>
      </c>
      <c r="G228" s="23" t="e">
        <f ca="1">[1]!BexGetData("DP_1","003N8EMH8GTFRCSWKMPXRRXR2","GSON1112030503")</f>
        <v>#NAME?</v>
      </c>
      <c r="H228" s="23" t="e">
        <f ca="1">[1]!BexGetData("DP_1","003N8EMH8GTFRCSWKMPXRS42M","GSON1112030503")</f>
        <v>#NAME?</v>
      </c>
      <c r="I228" s="23" t="e">
        <f ca="1">[1]!BexGetData("DP_1","003N8EMH8GTFRCSWKMPXRSAE6","GSON1112030503")</f>
        <v>#NAME?</v>
      </c>
      <c r="J228" s="24" t="e">
        <f ca="1">[1]!BexGetData("DP_1","003N8EMH8GTFRCSWKMPXRSGPQ","GSON1112030503")</f>
        <v>#NAME?</v>
      </c>
      <c r="K228" s="23" t="e">
        <f ca="1">[1]!BexGetData("DP_1","003N8EMH8GTFRIVNUPY288VJH","GSON1112030503")</f>
        <v>#NAME?</v>
      </c>
      <c r="L228" s="23" t="e">
        <f ca="1">[1]!BexGetData("DP_1","003N8EMH8GTFRIVNUPY2891V1","GSON1112030503")</f>
        <v>#NAME?</v>
      </c>
      <c r="M228" s="23" t="e">
        <f ca="1">[1]!BexGetData("DP_1","003N8EMH8GTFRIVOG7KG9IQXA","GSON1112030503")</f>
        <v>#NAME?</v>
      </c>
      <c r="N228" s="28" t="e">
        <f ca="1">[1]!BexGetData("DP_1","003N8EMH8GTFRIVOG7KG9IX8U","GSON1112030503")</f>
        <v>#NAME?</v>
      </c>
      <c r="O228" s="23" t="e">
        <f ca="1">[1]!BexGetData("DP_1","003N8EMH8GTFRIVOG7KG9J3KE","GSON1112030503")</f>
        <v>#NAME?</v>
      </c>
      <c r="P228" s="28" t="e">
        <f ca="1">[1]!BexGetData("DP_1","003N8EMH8GTFRIVOG7KG9J9VY","GSON1112030503")</f>
        <v>#NAME?</v>
      </c>
      <c r="Q228" s="24" t="e">
        <f ca="1">[1]!BexGetData("DP_1","00O2TNJGODT0G5Z4TTKYMM5MT","GSON1112030503")</f>
        <v>#NAME?</v>
      </c>
      <c r="R228" s="23" t="e">
        <f ca="1">[1]!BexGetData("DP_1","00O2TNJGODT0G5Z4TTKYMMBYD","GSON1112030503")</f>
        <v>#NAME?</v>
      </c>
      <c r="S228" s="23" t="e">
        <f ca="1">[1]!BexGetData("DP_1","00O2TNJGODT0G5Z4TTKYMMI9X","GSON1112030503")</f>
        <v>#NAME?</v>
      </c>
      <c r="T228" s="28" t="e">
        <f ca="1">[1]!BexGetData("DP_1","00O2TNJGODT0G5Z4TTKYMMOLH","GSON1112030503")</f>
        <v>#NAME?</v>
      </c>
      <c r="U228" s="23" t="e">
        <f ca="1">[1]!BexGetData("DP_1","00O2TNJGODT0G5Z4TTKYMMUX1","GSON1112030503")</f>
        <v>#NAME?</v>
      </c>
      <c r="V228" s="28" t="e">
        <f ca="1">[1]!BexGetData("DP_1","00O2TNJGODT0G5Z4TTKYMN18L","GSON1112030503")</f>
        <v>#NAME?</v>
      </c>
      <c r="W228" s="23" t="e">
        <f ca="1">[1]!BexGetData("DP_1","00O2TNJGODT0G5Z4TTKYMN7K5","GSON1112030503")</f>
        <v>#NAME?</v>
      </c>
    </row>
    <row r="229" spans="1:23" x14ac:dyDescent="0.2">
      <c r="A229" s="36" t="s">
        <v>2095</v>
      </c>
      <c r="B229" s="27" t="s">
        <v>807</v>
      </c>
      <c r="C229" s="23" t="e">
        <f ca="1">[1]!BexGetData("DP_1","003N8EMH8GTFRCSWKMPXRR8GU","GSON1112030504")</f>
        <v>#NAME?</v>
      </c>
      <c r="D229" s="23" t="e">
        <f ca="1">[1]!BexGetData("DP_1","003N8EMH8GTFRCSWKMPXRRESE","GSON1112030504")</f>
        <v>#NAME?</v>
      </c>
      <c r="E229" s="28" t="e">
        <f ca="1">[1]!BexGetData("DP_1","003N8EMH8GTFRCSWKMPXRRL3Y","GSON1112030504")</f>
        <v>#NAME?</v>
      </c>
      <c r="F229" s="23" t="e">
        <f ca="1">[1]!BexGetData("DP_1","003N8EMH8GTFRCSWKMPXRRRFI","GSON1112030504")</f>
        <v>#NAME?</v>
      </c>
      <c r="G229" s="23" t="e">
        <f ca="1">[1]!BexGetData("DP_1","003N8EMH8GTFRCSWKMPXRRXR2","GSON1112030504")</f>
        <v>#NAME?</v>
      </c>
      <c r="H229" s="23" t="e">
        <f ca="1">[1]!BexGetData("DP_1","003N8EMH8GTFRCSWKMPXRS42M","GSON1112030504")</f>
        <v>#NAME?</v>
      </c>
      <c r="I229" s="23" t="e">
        <f ca="1">[1]!BexGetData("DP_1","003N8EMH8GTFRCSWKMPXRSAE6","GSON1112030504")</f>
        <v>#NAME?</v>
      </c>
      <c r="J229" s="24" t="e">
        <f ca="1">[1]!BexGetData("DP_1","003N8EMH8GTFRCSWKMPXRSGPQ","GSON1112030504")</f>
        <v>#NAME?</v>
      </c>
      <c r="K229" s="23" t="e">
        <f ca="1">[1]!BexGetData("DP_1","003N8EMH8GTFRIVNUPY288VJH","GSON1112030504")</f>
        <v>#NAME?</v>
      </c>
      <c r="L229" s="23" t="e">
        <f ca="1">[1]!BexGetData("DP_1","003N8EMH8GTFRIVNUPY2891V1","GSON1112030504")</f>
        <v>#NAME?</v>
      </c>
      <c r="M229" s="28" t="e">
        <f ca="1">[1]!BexGetData("DP_1","003N8EMH8GTFRIVOG7KG9IQXA","GSON1112030504")</f>
        <v>#NAME?</v>
      </c>
      <c r="N229" s="23" t="e">
        <f ca="1">[1]!BexGetData("DP_1","003N8EMH8GTFRIVOG7KG9IX8U","GSON1112030504")</f>
        <v>#NAME?</v>
      </c>
      <c r="O229" s="28" t="e">
        <f ca="1">[1]!BexGetData("DP_1","003N8EMH8GTFRIVOG7KG9J3KE","GSON1112030504")</f>
        <v>#NAME?</v>
      </c>
      <c r="P229" s="23" t="e">
        <f ca="1">[1]!BexGetData("DP_1","003N8EMH8GTFRIVOG7KG9J9VY","GSON1112030504")</f>
        <v>#NAME?</v>
      </c>
      <c r="Q229" s="24" t="e">
        <f ca="1">[1]!BexGetData("DP_1","00O2TNJGODT0G5Z4TTKYMM5MT","GSON1112030504")</f>
        <v>#NAME?</v>
      </c>
      <c r="R229" s="23" t="e">
        <f ca="1">[1]!BexGetData("DP_1","00O2TNJGODT0G5Z4TTKYMMBYD","GSON1112030504")</f>
        <v>#NAME?</v>
      </c>
      <c r="S229" s="23" t="e">
        <f ca="1">[1]!BexGetData("DP_1","00O2TNJGODT0G5Z4TTKYMMI9X","GSON1112030504")</f>
        <v>#NAME?</v>
      </c>
      <c r="T229" s="23" t="e">
        <f ca="1">[1]!BexGetData("DP_1","00O2TNJGODT0G5Z4TTKYMMOLH","GSON1112030504")</f>
        <v>#NAME?</v>
      </c>
      <c r="U229" s="28" t="e">
        <f ca="1">[1]!BexGetData("DP_1","00O2TNJGODT0G5Z4TTKYMMUX1","GSON1112030504")</f>
        <v>#NAME?</v>
      </c>
      <c r="V229" s="23" t="e">
        <f ca="1">[1]!BexGetData("DP_1","00O2TNJGODT0G5Z4TTKYMN18L","GSON1112030504")</f>
        <v>#NAME?</v>
      </c>
      <c r="W229" s="28" t="e">
        <f ca="1">[1]!BexGetData("DP_1","00O2TNJGODT0G5Z4TTKYMN7K5","GSON1112030504")</f>
        <v>#NAME?</v>
      </c>
    </row>
    <row r="230" spans="1:23" x14ac:dyDescent="0.2">
      <c r="A230" s="36" t="s">
        <v>168</v>
      </c>
      <c r="B230" s="27" t="s">
        <v>169</v>
      </c>
      <c r="C230" s="23" t="e">
        <f ca="1">[1]!BexGetData("DP_1","003N8EMH8GTFRCSWKMPXRR8GU","GSON1112030510")</f>
        <v>#NAME?</v>
      </c>
      <c r="D230" s="23" t="e">
        <f ca="1">[1]!BexGetData("DP_1","003N8EMH8GTFRCSWKMPXRRESE","GSON1112030510")</f>
        <v>#NAME?</v>
      </c>
      <c r="E230" s="23" t="e">
        <f ca="1">[1]!BexGetData("DP_1","003N8EMH8GTFRCSWKMPXRRL3Y","GSON1112030510")</f>
        <v>#NAME?</v>
      </c>
      <c r="F230" s="23" t="e">
        <f ca="1">[1]!BexGetData("DP_1","003N8EMH8GTFRCSWKMPXRRRFI","GSON1112030510")</f>
        <v>#NAME?</v>
      </c>
      <c r="G230" s="23" t="e">
        <f ca="1">[1]!BexGetData("DP_1","003N8EMH8GTFRCSWKMPXRRXR2","GSON1112030510")</f>
        <v>#NAME?</v>
      </c>
      <c r="H230" s="23" t="e">
        <f ca="1">[1]!BexGetData("DP_1","003N8EMH8GTFRCSWKMPXRS42M","GSON1112030510")</f>
        <v>#NAME?</v>
      </c>
      <c r="I230" s="23" t="e">
        <f ca="1">[1]!BexGetData("DP_1","003N8EMH8GTFRCSWKMPXRSAE6","GSON1112030510")</f>
        <v>#NAME?</v>
      </c>
      <c r="J230" s="23" t="e">
        <f ca="1">[1]!BexGetData("DP_1","003N8EMH8GTFRCSWKMPXRSGPQ","GSON1112030510")</f>
        <v>#NAME?</v>
      </c>
      <c r="K230" s="23" t="e">
        <f ca="1">[1]!BexGetData("DP_1","003N8EMH8GTFRIVNUPY288VJH","GSON1112030510")</f>
        <v>#NAME?</v>
      </c>
      <c r="L230" s="23" t="e">
        <f ca="1">[1]!BexGetData("DP_1","003N8EMH8GTFRIVNUPY2891V1","GSON1112030510")</f>
        <v>#NAME?</v>
      </c>
      <c r="M230" s="28" t="e">
        <f ca="1">[1]!BexGetData("DP_1","003N8EMH8GTFRIVOG7KG9IQXA","GSON1112030510")</f>
        <v>#NAME?</v>
      </c>
      <c r="N230" s="23" t="e">
        <f ca="1">[1]!BexGetData("DP_1","003N8EMH8GTFRIVOG7KG9IX8U","GSON1112030510")</f>
        <v>#NAME?</v>
      </c>
      <c r="O230" s="28" t="e">
        <f ca="1">[1]!BexGetData("DP_1","003N8EMH8GTFRIVOG7KG9J3KE","GSON1112030510")</f>
        <v>#NAME?</v>
      </c>
      <c r="P230" s="23" t="e">
        <f ca="1">[1]!BexGetData("DP_1","003N8EMH8GTFRIVOG7KG9J9VY","GSON1112030510")</f>
        <v>#NAME?</v>
      </c>
      <c r="Q230" s="23" t="e">
        <f ca="1">[1]!BexGetData("DP_1","00O2TNJGODT0G5Z4TTKYMM5MT","GSON1112030510")</f>
        <v>#NAME?</v>
      </c>
      <c r="R230" s="23" t="e">
        <f ca="1">[1]!BexGetData("DP_1","00O2TNJGODT0G5Z4TTKYMMBYD","GSON1112030510")</f>
        <v>#NAME?</v>
      </c>
      <c r="S230" s="23" t="e">
        <f ca="1">[1]!BexGetData("DP_1","00O2TNJGODT0G5Z4TTKYMMI9X","GSON1112030510")</f>
        <v>#NAME?</v>
      </c>
      <c r="T230" s="23" t="e">
        <f ca="1">[1]!BexGetData("DP_1","00O2TNJGODT0G5Z4TTKYMMOLH","GSON1112030510")</f>
        <v>#NAME?</v>
      </c>
      <c r="U230" s="28" t="e">
        <f ca="1">[1]!BexGetData("DP_1","00O2TNJGODT0G5Z4TTKYMMUX1","GSON1112030510")</f>
        <v>#NAME?</v>
      </c>
      <c r="V230" s="23" t="e">
        <f ca="1">[1]!BexGetData("DP_1","00O2TNJGODT0G5Z4TTKYMN18L","GSON1112030510")</f>
        <v>#NAME?</v>
      </c>
      <c r="W230" s="28" t="e">
        <f ca="1">[1]!BexGetData("DP_1","00O2TNJGODT0G5Z4TTKYMN7K5","GSON1112030510")</f>
        <v>#NAME?</v>
      </c>
    </row>
    <row r="231" spans="1:23" x14ac:dyDescent="0.2">
      <c r="A231" s="36" t="s">
        <v>170</v>
      </c>
      <c r="B231" s="27" t="s">
        <v>171</v>
      </c>
      <c r="C231" s="23" t="e">
        <f ca="1">[1]!BexGetData("DP_1","003N8EMH8GTFRCSWKMPXRR8GU","GSON1112030511")</f>
        <v>#NAME?</v>
      </c>
      <c r="D231" s="23" t="e">
        <f ca="1">[1]!BexGetData("DP_1","003N8EMH8GTFRCSWKMPXRRESE","GSON1112030511")</f>
        <v>#NAME?</v>
      </c>
      <c r="E231" s="23" t="e">
        <f ca="1">[1]!BexGetData("DP_1","003N8EMH8GTFRCSWKMPXRRL3Y","GSON1112030511")</f>
        <v>#NAME?</v>
      </c>
      <c r="F231" s="23" t="e">
        <f ca="1">[1]!BexGetData("DP_1","003N8EMH8GTFRCSWKMPXRRRFI","GSON1112030511")</f>
        <v>#NAME?</v>
      </c>
      <c r="G231" s="23" t="e">
        <f ca="1">[1]!BexGetData("DP_1","003N8EMH8GTFRCSWKMPXRRXR2","GSON1112030511")</f>
        <v>#NAME?</v>
      </c>
      <c r="H231" s="23" t="e">
        <f ca="1">[1]!BexGetData("DP_1","003N8EMH8GTFRCSWKMPXRS42M","GSON1112030511")</f>
        <v>#NAME?</v>
      </c>
      <c r="I231" s="23" t="e">
        <f ca="1">[1]!BexGetData("DP_1","003N8EMH8GTFRCSWKMPXRSAE6","GSON1112030511")</f>
        <v>#NAME?</v>
      </c>
      <c r="J231" s="23" t="e">
        <f ca="1">[1]!BexGetData("DP_1","003N8EMH8GTFRCSWKMPXRSGPQ","GSON1112030511")</f>
        <v>#NAME?</v>
      </c>
      <c r="K231" s="23" t="e">
        <f ca="1">[1]!BexGetData("DP_1","003N8EMH8GTFRIVNUPY288VJH","GSON1112030511")</f>
        <v>#NAME?</v>
      </c>
      <c r="L231" s="23" t="e">
        <f ca="1">[1]!BexGetData("DP_1","003N8EMH8GTFRIVNUPY2891V1","GSON1112030511")</f>
        <v>#NAME?</v>
      </c>
      <c r="M231" s="28" t="e">
        <f ca="1">[1]!BexGetData("DP_1","003N8EMH8GTFRIVOG7KG9IQXA","GSON1112030511")</f>
        <v>#NAME?</v>
      </c>
      <c r="N231" s="23" t="e">
        <f ca="1">[1]!BexGetData("DP_1","003N8EMH8GTFRIVOG7KG9IX8U","GSON1112030511")</f>
        <v>#NAME?</v>
      </c>
      <c r="O231" s="28" t="e">
        <f ca="1">[1]!BexGetData("DP_1","003N8EMH8GTFRIVOG7KG9J3KE","GSON1112030511")</f>
        <v>#NAME?</v>
      </c>
      <c r="P231" s="23" t="e">
        <f ca="1">[1]!BexGetData("DP_1","003N8EMH8GTFRIVOG7KG9J9VY","GSON1112030511")</f>
        <v>#NAME?</v>
      </c>
      <c r="Q231" s="23" t="e">
        <f ca="1">[1]!BexGetData("DP_1","00O2TNJGODT0G5Z4TTKYMM5MT","GSON1112030511")</f>
        <v>#NAME?</v>
      </c>
      <c r="R231" s="23" t="e">
        <f ca="1">[1]!BexGetData("DP_1","00O2TNJGODT0G5Z4TTKYMMBYD","GSON1112030511")</f>
        <v>#NAME?</v>
      </c>
      <c r="S231" s="23" t="e">
        <f ca="1">[1]!BexGetData("DP_1","00O2TNJGODT0G5Z4TTKYMMI9X","GSON1112030511")</f>
        <v>#NAME?</v>
      </c>
      <c r="T231" s="23" t="e">
        <f ca="1">[1]!BexGetData("DP_1","00O2TNJGODT0G5Z4TTKYMMOLH","GSON1112030511")</f>
        <v>#NAME?</v>
      </c>
      <c r="U231" s="28" t="e">
        <f ca="1">[1]!BexGetData("DP_1","00O2TNJGODT0G5Z4TTKYMMUX1","GSON1112030511")</f>
        <v>#NAME?</v>
      </c>
      <c r="V231" s="23" t="e">
        <f ca="1">[1]!BexGetData("DP_1","00O2TNJGODT0G5Z4TTKYMN18L","GSON1112030511")</f>
        <v>#NAME?</v>
      </c>
      <c r="W231" s="28" t="e">
        <f ca="1">[1]!BexGetData("DP_1","00O2TNJGODT0G5Z4TTKYMN7K5","GSON1112030511")</f>
        <v>#NAME?</v>
      </c>
    </row>
    <row r="232" spans="1:23" x14ac:dyDescent="0.2">
      <c r="A232" s="36" t="s">
        <v>1654</v>
      </c>
      <c r="B232" s="27" t="s">
        <v>1655</v>
      </c>
      <c r="C232" s="23" t="e">
        <f ca="1">[1]!BexGetData("DP_1","003N8EMH8GTFRCSWKMPXRR8GU","GSON1112030512")</f>
        <v>#NAME?</v>
      </c>
      <c r="D232" s="23" t="e">
        <f ca="1">[1]!BexGetData("DP_1","003N8EMH8GTFRCSWKMPXRRESE","GSON1112030512")</f>
        <v>#NAME?</v>
      </c>
      <c r="E232" s="23" t="e">
        <f ca="1">[1]!BexGetData("DP_1","003N8EMH8GTFRCSWKMPXRRL3Y","GSON1112030512")</f>
        <v>#NAME?</v>
      </c>
      <c r="F232" s="23" t="e">
        <f ca="1">[1]!BexGetData("DP_1","003N8EMH8GTFRCSWKMPXRRRFI","GSON1112030512")</f>
        <v>#NAME?</v>
      </c>
      <c r="G232" s="23" t="e">
        <f ca="1">[1]!BexGetData("DP_1","003N8EMH8GTFRCSWKMPXRRXR2","GSON1112030512")</f>
        <v>#NAME?</v>
      </c>
      <c r="H232" s="23" t="e">
        <f ca="1">[1]!BexGetData("DP_1","003N8EMH8GTFRCSWKMPXRS42M","GSON1112030512")</f>
        <v>#NAME?</v>
      </c>
      <c r="I232" s="23" t="e">
        <f ca="1">[1]!BexGetData("DP_1","003N8EMH8GTFRCSWKMPXRSAE6","GSON1112030512")</f>
        <v>#NAME?</v>
      </c>
      <c r="J232" s="24" t="e">
        <f ca="1">[1]!BexGetData("DP_1","003N8EMH8GTFRCSWKMPXRSGPQ","GSON1112030512")</f>
        <v>#NAME?</v>
      </c>
      <c r="K232" s="23" t="e">
        <f ca="1">[1]!BexGetData("DP_1","003N8EMH8GTFRIVNUPY288VJH","GSON1112030512")</f>
        <v>#NAME?</v>
      </c>
      <c r="L232" s="23" t="e">
        <f ca="1">[1]!BexGetData("DP_1","003N8EMH8GTFRIVNUPY2891V1","GSON1112030512")</f>
        <v>#NAME?</v>
      </c>
      <c r="M232" s="23" t="e">
        <f ca="1">[1]!BexGetData("DP_1","003N8EMH8GTFRIVOG7KG9IQXA","GSON1112030512")</f>
        <v>#NAME?</v>
      </c>
      <c r="N232" s="28" t="e">
        <f ca="1">[1]!BexGetData("DP_1","003N8EMH8GTFRIVOG7KG9IX8U","GSON1112030512")</f>
        <v>#NAME?</v>
      </c>
      <c r="O232" s="23" t="e">
        <f ca="1">[1]!BexGetData("DP_1","003N8EMH8GTFRIVOG7KG9J3KE","GSON1112030512")</f>
        <v>#NAME?</v>
      </c>
      <c r="P232" s="28" t="e">
        <f ca="1">[1]!BexGetData("DP_1","003N8EMH8GTFRIVOG7KG9J9VY","GSON1112030512")</f>
        <v>#NAME?</v>
      </c>
      <c r="Q232" s="24" t="e">
        <f ca="1">[1]!BexGetData("DP_1","00O2TNJGODT0G5Z4TTKYMM5MT","GSON1112030512")</f>
        <v>#NAME?</v>
      </c>
      <c r="R232" s="23" t="e">
        <f ca="1">[1]!BexGetData("DP_1","00O2TNJGODT0G5Z4TTKYMMBYD","GSON1112030512")</f>
        <v>#NAME?</v>
      </c>
      <c r="S232" s="23" t="e">
        <f ca="1">[1]!BexGetData("DP_1","00O2TNJGODT0G5Z4TTKYMMI9X","GSON1112030512")</f>
        <v>#NAME?</v>
      </c>
      <c r="T232" s="28" t="e">
        <f ca="1">[1]!BexGetData("DP_1","00O2TNJGODT0G5Z4TTKYMMOLH","GSON1112030512")</f>
        <v>#NAME?</v>
      </c>
      <c r="U232" s="23" t="e">
        <f ca="1">[1]!BexGetData("DP_1","00O2TNJGODT0G5Z4TTKYMMUX1","GSON1112030512")</f>
        <v>#NAME?</v>
      </c>
      <c r="V232" s="28" t="e">
        <f ca="1">[1]!BexGetData("DP_1","00O2TNJGODT0G5Z4TTKYMN18L","GSON1112030512")</f>
        <v>#NAME?</v>
      </c>
      <c r="W232" s="23" t="e">
        <f ca="1">[1]!BexGetData("DP_1","00O2TNJGODT0G5Z4TTKYMN7K5","GSON1112030512")</f>
        <v>#NAME?</v>
      </c>
    </row>
    <row r="233" spans="1:23" x14ac:dyDescent="0.2">
      <c r="A233" s="36" t="s">
        <v>172</v>
      </c>
      <c r="B233" s="27" t="s">
        <v>173</v>
      </c>
      <c r="C233" s="23" t="e">
        <f ca="1">[1]!BexGetData("DP_1","003N8EMH8GTFRCSWKMPXRR8GU","GSON1112030513")</f>
        <v>#NAME?</v>
      </c>
      <c r="D233" s="23" t="e">
        <f ca="1">[1]!BexGetData("DP_1","003N8EMH8GTFRCSWKMPXRRESE","GSON1112030513")</f>
        <v>#NAME?</v>
      </c>
      <c r="E233" s="23" t="e">
        <f ca="1">[1]!BexGetData("DP_1","003N8EMH8GTFRCSWKMPXRRL3Y","GSON1112030513")</f>
        <v>#NAME?</v>
      </c>
      <c r="F233" s="23" t="e">
        <f ca="1">[1]!BexGetData("DP_1","003N8EMH8GTFRCSWKMPXRRRFI","GSON1112030513")</f>
        <v>#NAME?</v>
      </c>
      <c r="G233" s="23" t="e">
        <f ca="1">[1]!BexGetData("DP_1","003N8EMH8GTFRCSWKMPXRRXR2","GSON1112030513")</f>
        <v>#NAME?</v>
      </c>
      <c r="H233" s="23" t="e">
        <f ca="1">[1]!BexGetData("DP_1","003N8EMH8GTFRCSWKMPXRS42M","GSON1112030513")</f>
        <v>#NAME?</v>
      </c>
      <c r="I233" s="23" t="e">
        <f ca="1">[1]!BexGetData("DP_1","003N8EMH8GTFRCSWKMPXRSAE6","GSON1112030513")</f>
        <v>#NAME?</v>
      </c>
      <c r="J233" s="24" t="e">
        <f ca="1">[1]!BexGetData("DP_1","003N8EMH8GTFRCSWKMPXRSGPQ","GSON1112030513")</f>
        <v>#NAME?</v>
      </c>
      <c r="K233" s="23" t="e">
        <f ca="1">[1]!BexGetData("DP_1","003N8EMH8GTFRIVNUPY288VJH","GSON1112030513")</f>
        <v>#NAME?</v>
      </c>
      <c r="L233" s="23" t="e">
        <f ca="1">[1]!BexGetData("DP_1","003N8EMH8GTFRIVNUPY2891V1","GSON1112030513")</f>
        <v>#NAME?</v>
      </c>
      <c r="M233" s="28" t="e">
        <f ca="1">[1]!BexGetData("DP_1","003N8EMH8GTFRIVOG7KG9IQXA","GSON1112030513")</f>
        <v>#NAME?</v>
      </c>
      <c r="N233" s="23" t="e">
        <f ca="1">[1]!BexGetData("DP_1","003N8EMH8GTFRIVOG7KG9IX8U","GSON1112030513")</f>
        <v>#NAME?</v>
      </c>
      <c r="O233" s="28" t="e">
        <f ca="1">[1]!BexGetData("DP_1","003N8EMH8GTFRIVOG7KG9J3KE","GSON1112030513")</f>
        <v>#NAME?</v>
      </c>
      <c r="P233" s="23" t="e">
        <f ca="1">[1]!BexGetData("DP_1","003N8EMH8GTFRIVOG7KG9J9VY","GSON1112030513")</f>
        <v>#NAME?</v>
      </c>
      <c r="Q233" s="24" t="e">
        <f ca="1">[1]!BexGetData("DP_1","00O2TNJGODT0G5Z4TTKYMM5MT","GSON1112030513")</f>
        <v>#NAME?</v>
      </c>
      <c r="R233" s="23" t="e">
        <f ca="1">[1]!BexGetData("DP_1","00O2TNJGODT0G5Z4TTKYMMBYD","GSON1112030513")</f>
        <v>#NAME?</v>
      </c>
      <c r="S233" s="23" t="e">
        <f ca="1">[1]!BexGetData("DP_1","00O2TNJGODT0G5Z4TTKYMMI9X","GSON1112030513")</f>
        <v>#NAME?</v>
      </c>
      <c r="T233" s="28" t="e">
        <f ca="1">[1]!BexGetData("DP_1","00O2TNJGODT0G5Z4TTKYMMOLH","GSON1112030513")</f>
        <v>#NAME?</v>
      </c>
      <c r="U233" s="23" t="e">
        <f ca="1">[1]!BexGetData("DP_1","00O2TNJGODT0G5Z4TTKYMMUX1","GSON1112030513")</f>
        <v>#NAME?</v>
      </c>
      <c r="V233" s="28" t="e">
        <f ca="1">[1]!BexGetData("DP_1","00O2TNJGODT0G5Z4TTKYMN18L","GSON1112030513")</f>
        <v>#NAME?</v>
      </c>
      <c r="W233" s="23" t="e">
        <f ca="1">[1]!BexGetData("DP_1","00O2TNJGODT0G5Z4TTKYMN7K5","GSON1112030513")</f>
        <v>#NAME?</v>
      </c>
    </row>
    <row r="234" spans="1:23" x14ac:dyDescent="0.2">
      <c r="A234" s="36" t="s">
        <v>808</v>
      </c>
      <c r="B234" s="27" t="s">
        <v>174</v>
      </c>
      <c r="C234" s="23" t="e">
        <f ca="1">[1]!BexGetData("DP_1","003N8EMH8GTFRCSWKMPXRR8GU","GSON1112030514")</f>
        <v>#NAME?</v>
      </c>
      <c r="D234" s="23" t="e">
        <f ca="1">[1]!BexGetData("DP_1","003N8EMH8GTFRCSWKMPXRRESE","GSON1112030514")</f>
        <v>#NAME?</v>
      </c>
      <c r="E234" s="23" t="e">
        <f ca="1">[1]!BexGetData("DP_1","003N8EMH8GTFRCSWKMPXRRL3Y","GSON1112030514")</f>
        <v>#NAME?</v>
      </c>
      <c r="F234" s="23" t="e">
        <f ca="1">[1]!BexGetData("DP_1","003N8EMH8GTFRCSWKMPXRRRFI","GSON1112030514")</f>
        <v>#NAME?</v>
      </c>
      <c r="G234" s="23" t="e">
        <f ca="1">[1]!BexGetData("DP_1","003N8EMH8GTFRCSWKMPXRRXR2","GSON1112030514")</f>
        <v>#NAME?</v>
      </c>
      <c r="H234" s="23" t="e">
        <f ca="1">[1]!BexGetData("DP_1","003N8EMH8GTFRCSWKMPXRS42M","GSON1112030514")</f>
        <v>#NAME?</v>
      </c>
      <c r="I234" s="23" t="e">
        <f ca="1">[1]!BexGetData("DP_1","003N8EMH8GTFRCSWKMPXRSAE6","GSON1112030514")</f>
        <v>#NAME?</v>
      </c>
      <c r="J234" s="24" t="e">
        <f ca="1">[1]!BexGetData("DP_1","003N8EMH8GTFRCSWKMPXRSGPQ","GSON1112030514")</f>
        <v>#NAME?</v>
      </c>
      <c r="K234" s="23" t="e">
        <f ca="1">[1]!BexGetData("DP_1","003N8EMH8GTFRIVNUPY288VJH","GSON1112030514")</f>
        <v>#NAME?</v>
      </c>
      <c r="L234" s="23" t="e">
        <f ca="1">[1]!BexGetData("DP_1","003N8EMH8GTFRIVNUPY2891V1","GSON1112030514")</f>
        <v>#NAME?</v>
      </c>
      <c r="M234" s="23" t="e">
        <f ca="1">[1]!BexGetData("DP_1","003N8EMH8GTFRIVOG7KG9IQXA","GSON1112030514")</f>
        <v>#NAME?</v>
      </c>
      <c r="N234" s="28" t="e">
        <f ca="1">[1]!BexGetData("DP_1","003N8EMH8GTFRIVOG7KG9IX8U","GSON1112030514")</f>
        <v>#NAME?</v>
      </c>
      <c r="O234" s="23" t="e">
        <f ca="1">[1]!BexGetData("DP_1","003N8EMH8GTFRIVOG7KG9J3KE","GSON1112030514")</f>
        <v>#NAME?</v>
      </c>
      <c r="P234" s="28" t="e">
        <f ca="1">[1]!BexGetData("DP_1","003N8EMH8GTFRIVOG7KG9J9VY","GSON1112030514")</f>
        <v>#NAME?</v>
      </c>
      <c r="Q234" s="24" t="e">
        <f ca="1">[1]!BexGetData("DP_1","00O2TNJGODT0G5Z4TTKYMM5MT","GSON1112030514")</f>
        <v>#NAME?</v>
      </c>
      <c r="R234" s="23" t="e">
        <f ca="1">[1]!BexGetData("DP_1","00O2TNJGODT0G5Z4TTKYMMBYD","GSON1112030514")</f>
        <v>#NAME?</v>
      </c>
      <c r="S234" s="23" t="e">
        <f ca="1">[1]!BexGetData("DP_1","00O2TNJGODT0G5Z4TTKYMMI9X","GSON1112030514")</f>
        <v>#NAME?</v>
      </c>
      <c r="T234" s="28" t="e">
        <f ca="1">[1]!BexGetData("DP_1","00O2TNJGODT0G5Z4TTKYMMOLH","GSON1112030514")</f>
        <v>#NAME?</v>
      </c>
      <c r="U234" s="23" t="e">
        <f ca="1">[1]!BexGetData("DP_1","00O2TNJGODT0G5Z4TTKYMMUX1","GSON1112030514")</f>
        <v>#NAME?</v>
      </c>
      <c r="V234" s="28" t="e">
        <f ca="1">[1]!BexGetData("DP_1","00O2TNJGODT0G5Z4TTKYMN18L","GSON1112030514")</f>
        <v>#NAME?</v>
      </c>
      <c r="W234" s="23" t="e">
        <f ca="1">[1]!BexGetData("DP_1","00O2TNJGODT0G5Z4TTKYMN7K5","GSON1112030514")</f>
        <v>#NAME?</v>
      </c>
    </row>
    <row r="235" spans="1:23" x14ac:dyDescent="0.2">
      <c r="A235" s="36" t="s">
        <v>809</v>
      </c>
      <c r="B235" s="27" t="s">
        <v>810</v>
      </c>
      <c r="C235" s="23" t="e">
        <f ca="1">[1]!BexGetData("DP_1","003N8EMH8GTFRCSWKMPXRR8GU","GSON1112030520")</f>
        <v>#NAME?</v>
      </c>
      <c r="D235" s="23" t="e">
        <f ca="1">[1]!BexGetData("DP_1","003N8EMH8GTFRCSWKMPXRRESE","GSON1112030520")</f>
        <v>#NAME?</v>
      </c>
      <c r="E235" s="23" t="e">
        <f ca="1">[1]!BexGetData("DP_1","003N8EMH8GTFRCSWKMPXRRL3Y","GSON1112030520")</f>
        <v>#NAME?</v>
      </c>
      <c r="F235" s="23" t="e">
        <f ca="1">[1]!BexGetData("DP_1","003N8EMH8GTFRCSWKMPXRRRFI","GSON1112030520")</f>
        <v>#NAME?</v>
      </c>
      <c r="G235" s="23" t="e">
        <f ca="1">[1]!BexGetData("DP_1","003N8EMH8GTFRCSWKMPXRRXR2","GSON1112030520")</f>
        <v>#NAME?</v>
      </c>
      <c r="H235" s="23" t="e">
        <f ca="1">[1]!BexGetData("DP_1","003N8EMH8GTFRCSWKMPXRS42M","GSON1112030520")</f>
        <v>#NAME?</v>
      </c>
      <c r="I235" s="23" t="e">
        <f ca="1">[1]!BexGetData("DP_1","003N8EMH8GTFRCSWKMPXRSAE6","GSON1112030520")</f>
        <v>#NAME?</v>
      </c>
      <c r="J235" s="23" t="e">
        <f ca="1">[1]!BexGetData("DP_1","003N8EMH8GTFRCSWKMPXRSGPQ","GSON1112030520")</f>
        <v>#NAME?</v>
      </c>
      <c r="K235" s="23" t="e">
        <f ca="1">[1]!BexGetData("DP_1","003N8EMH8GTFRIVNUPY288VJH","GSON1112030520")</f>
        <v>#NAME?</v>
      </c>
      <c r="L235" s="23" t="e">
        <f ca="1">[1]!BexGetData("DP_1","003N8EMH8GTFRIVNUPY2891V1","GSON1112030520")</f>
        <v>#NAME?</v>
      </c>
      <c r="M235" s="28" t="e">
        <f ca="1">[1]!BexGetData("DP_1","003N8EMH8GTFRIVOG7KG9IQXA","GSON1112030520")</f>
        <v>#NAME?</v>
      </c>
      <c r="N235" s="23" t="e">
        <f ca="1">[1]!BexGetData("DP_1","003N8EMH8GTFRIVOG7KG9IX8U","GSON1112030520")</f>
        <v>#NAME?</v>
      </c>
      <c r="O235" s="28" t="e">
        <f ca="1">[1]!BexGetData("DP_1","003N8EMH8GTFRIVOG7KG9J3KE","GSON1112030520")</f>
        <v>#NAME?</v>
      </c>
      <c r="P235" s="23" t="e">
        <f ca="1">[1]!BexGetData("DP_1","003N8EMH8GTFRIVOG7KG9J9VY","GSON1112030520")</f>
        <v>#NAME?</v>
      </c>
      <c r="Q235" s="23" t="e">
        <f ca="1">[1]!BexGetData("DP_1","00O2TNJGODT0G5Z4TTKYMM5MT","GSON1112030520")</f>
        <v>#NAME?</v>
      </c>
      <c r="R235" s="23" t="e">
        <f ca="1">[1]!BexGetData("DP_1","00O2TNJGODT0G5Z4TTKYMMBYD","GSON1112030520")</f>
        <v>#NAME?</v>
      </c>
      <c r="S235" s="23" t="e">
        <f ca="1">[1]!BexGetData("DP_1","00O2TNJGODT0G5Z4TTKYMMI9X","GSON1112030520")</f>
        <v>#NAME?</v>
      </c>
      <c r="T235" s="23" t="e">
        <f ca="1">[1]!BexGetData("DP_1","00O2TNJGODT0G5Z4TTKYMMOLH","GSON1112030520")</f>
        <v>#NAME?</v>
      </c>
      <c r="U235" s="28" t="e">
        <f ca="1">[1]!BexGetData("DP_1","00O2TNJGODT0G5Z4TTKYMMUX1","GSON1112030520")</f>
        <v>#NAME?</v>
      </c>
      <c r="V235" s="23" t="e">
        <f ca="1">[1]!BexGetData("DP_1","00O2TNJGODT0G5Z4TTKYMN18L","GSON1112030520")</f>
        <v>#NAME?</v>
      </c>
      <c r="W235" s="28" t="e">
        <f ca="1">[1]!BexGetData("DP_1","00O2TNJGODT0G5Z4TTKYMN7K5","GSON1112030520")</f>
        <v>#NAME?</v>
      </c>
    </row>
    <row r="236" spans="1:23" x14ac:dyDescent="0.2">
      <c r="A236" s="36" t="s">
        <v>811</v>
      </c>
      <c r="B236" s="27" t="s">
        <v>812</v>
      </c>
      <c r="C236" s="23" t="e">
        <f ca="1">[1]!BexGetData("DP_1","003N8EMH8GTFRCSWKMPXRR8GU","GSON1112030521")</f>
        <v>#NAME?</v>
      </c>
      <c r="D236" s="23" t="e">
        <f ca="1">[1]!BexGetData("DP_1","003N8EMH8GTFRCSWKMPXRRESE","GSON1112030521")</f>
        <v>#NAME?</v>
      </c>
      <c r="E236" s="23" t="e">
        <f ca="1">[1]!BexGetData("DP_1","003N8EMH8GTFRCSWKMPXRRL3Y","GSON1112030521")</f>
        <v>#NAME?</v>
      </c>
      <c r="F236" s="23" t="e">
        <f ca="1">[1]!BexGetData("DP_1","003N8EMH8GTFRCSWKMPXRRRFI","GSON1112030521")</f>
        <v>#NAME?</v>
      </c>
      <c r="G236" s="23" t="e">
        <f ca="1">[1]!BexGetData("DP_1","003N8EMH8GTFRCSWKMPXRRXR2","GSON1112030521")</f>
        <v>#NAME?</v>
      </c>
      <c r="H236" s="23" t="e">
        <f ca="1">[1]!BexGetData("DP_1","003N8EMH8GTFRCSWKMPXRS42M","GSON1112030521")</f>
        <v>#NAME?</v>
      </c>
      <c r="I236" s="23" t="e">
        <f ca="1">[1]!BexGetData("DP_1","003N8EMH8GTFRCSWKMPXRSAE6","GSON1112030521")</f>
        <v>#NAME?</v>
      </c>
      <c r="J236" s="23" t="e">
        <f ca="1">[1]!BexGetData("DP_1","003N8EMH8GTFRCSWKMPXRSGPQ","GSON1112030521")</f>
        <v>#NAME?</v>
      </c>
      <c r="K236" s="23" t="e">
        <f ca="1">[1]!BexGetData("DP_1","003N8EMH8GTFRIVNUPY288VJH","GSON1112030521")</f>
        <v>#NAME?</v>
      </c>
      <c r="L236" s="23" t="e">
        <f ca="1">[1]!BexGetData("DP_1","003N8EMH8GTFRIVNUPY2891V1","GSON1112030521")</f>
        <v>#NAME?</v>
      </c>
      <c r="M236" s="28" t="e">
        <f ca="1">[1]!BexGetData("DP_1","003N8EMH8GTFRIVOG7KG9IQXA","GSON1112030521")</f>
        <v>#NAME?</v>
      </c>
      <c r="N236" s="23" t="e">
        <f ca="1">[1]!BexGetData("DP_1","003N8EMH8GTFRIVOG7KG9IX8U","GSON1112030521")</f>
        <v>#NAME?</v>
      </c>
      <c r="O236" s="28" t="e">
        <f ca="1">[1]!BexGetData("DP_1","003N8EMH8GTFRIVOG7KG9J3KE","GSON1112030521")</f>
        <v>#NAME?</v>
      </c>
      <c r="P236" s="23" t="e">
        <f ca="1">[1]!BexGetData("DP_1","003N8EMH8GTFRIVOG7KG9J9VY","GSON1112030521")</f>
        <v>#NAME?</v>
      </c>
      <c r="Q236" s="23" t="e">
        <f ca="1">[1]!BexGetData("DP_1","00O2TNJGODT0G5Z4TTKYMM5MT","GSON1112030521")</f>
        <v>#NAME?</v>
      </c>
      <c r="R236" s="23" t="e">
        <f ca="1">[1]!BexGetData("DP_1","00O2TNJGODT0G5Z4TTKYMMBYD","GSON1112030521")</f>
        <v>#NAME?</v>
      </c>
      <c r="S236" s="23" t="e">
        <f ca="1">[1]!BexGetData("DP_1","00O2TNJGODT0G5Z4TTKYMMI9X","GSON1112030521")</f>
        <v>#NAME?</v>
      </c>
      <c r="T236" s="28" t="e">
        <f ca="1">[1]!BexGetData("DP_1","00O2TNJGODT0G5Z4TTKYMMOLH","GSON1112030521")</f>
        <v>#NAME?</v>
      </c>
      <c r="U236" s="23" t="e">
        <f ca="1">[1]!BexGetData("DP_1","00O2TNJGODT0G5Z4TTKYMMUX1","GSON1112030521")</f>
        <v>#NAME?</v>
      </c>
      <c r="V236" s="28" t="e">
        <f ca="1">[1]!BexGetData("DP_1","00O2TNJGODT0G5Z4TTKYMN18L","GSON1112030521")</f>
        <v>#NAME?</v>
      </c>
      <c r="W236" s="23" t="e">
        <f ca="1">[1]!BexGetData("DP_1","00O2TNJGODT0G5Z4TTKYMN7K5","GSON1112030521")</f>
        <v>#NAME?</v>
      </c>
    </row>
    <row r="237" spans="1:23" x14ac:dyDescent="0.2">
      <c r="A237" s="36" t="s">
        <v>2096</v>
      </c>
      <c r="B237" s="27" t="s">
        <v>2097</v>
      </c>
      <c r="C237" s="23" t="e">
        <f ca="1">[1]!BexGetData("DP_1","003N8EMH8GTFRCSWKMPXRR8GU","GSON1112030522")</f>
        <v>#NAME?</v>
      </c>
      <c r="D237" s="23" t="e">
        <f ca="1">[1]!BexGetData("DP_1","003N8EMH8GTFRCSWKMPXRRESE","GSON1112030522")</f>
        <v>#NAME?</v>
      </c>
      <c r="E237" s="28" t="e">
        <f ca="1">[1]!BexGetData("DP_1","003N8EMH8GTFRCSWKMPXRRL3Y","GSON1112030522")</f>
        <v>#NAME?</v>
      </c>
      <c r="F237" s="28" t="e">
        <f ca="1">[1]!BexGetData("DP_1","003N8EMH8GTFRCSWKMPXRRRFI","GSON1112030522")</f>
        <v>#NAME?</v>
      </c>
      <c r="G237" s="23" t="e">
        <f ca="1">[1]!BexGetData("DP_1","003N8EMH8GTFRCSWKMPXRRXR2","GSON1112030522")</f>
        <v>#NAME?</v>
      </c>
      <c r="H237" s="23" t="e">
        <f ca="1">[1]!BexGetData("DP_1","003N8EMH8GTFRCSWKMPXRS42M","GSON1112030522")</f>
        <v>#NAME?</v>
      </c>
      <c r="I237" s="28" t="e">
        <f ca="1">[1]!BexGetData("DP_1","003N8EMH8GTFRCSWKMPXRSAE6","GSON1112030522")</f>
        <v>#NAME?</v>
      </c>
      <c r="J237" s="24" t="e">
        <f ca="1">[1]!BexGetData("DP_1","003N8EMH8GTFRCSWKMPXRSGPQ","GSON1112030522")</f>
        <v>#NAME?</v>
      </c>
      <c r="K237" s="28" t="e">
        <f ca="1">[1]!BexGetData("DP_1","003N8EMH8GTFRIVNUPY288VJH","GSON1112030522")</f>
        <v>#NAME?</v>
      </c>
      <c r="L237" s="28" t="e">
        <f ca="1">[1]!BexGetData("DP_1","003N8EMH8GTFRIVNUPY2891V1","GSON1112030522")</f>
        <v>#NAME?</v>
      </c>
      <c r="M237" s="28" t="e">
        <f ca="1">[1]!BexGetData("DP_1","003N8EMH8GTFRIVOG7KG9IQXA","GSON1112030522")</f>
        <v>#NAME?</v>
      </c>
      <c r="N237" s="28" t="e">
        <f ca="1">[1]!BexGetData("DP_1","003N8EMH8GTFRIVOG7KG9IX8U","GSON1112030522")</f>
        <v>#NAME?</v>
      </c>
      <c r="O237" s="28" t="e">
        <f ca="1">[1]!BexGetData("DP_1","003N8EMH8GTFRIVOG7KG9J3KE","GSON1112030522")</f>
        <v>#NAME?</v>
      </c>
      <c r="P237" s="28" t="e">
        <f ca="1">[1]!BexGetData("DP_1","003N8EMH8GTFRIVOG7KG9J9VY","GSON1112030522")</f>
        <v>#NAME?</v>
      </c>
      <c r="Q237" s="24" t="e">
        <f ca="1">[1]!BexGetData("DP_1","00O2TNJGODT0G5Z4TTKYMM5MT","GSON1112030522")</f>
        <v>#NAME?</v>
      </c>
      <c r="R237" s="28" t="e">
        <f ca="1">[1]!BexGetData("DP_1","00O2TNJGODT0G5Z4TTKYMMBYD","GSON1112030522")</f>
        <v>#NAME?</v>
      </c>
      <c r="S237" s="28" t="e">
        <f ca="1">[1]!BexGetData("DP_1","00O2TNJGODT0G5Z4TTKYMMI9X","GSON1112030522")</f>
        <v>#NAME?</v>
      </c>
      <c r="T237" s="28" t="e">
        <f ca="1">[1]!BexGetData("DP_1","00O2TNJGODT0G5Z4TTKYMMOLH","GSON1112030522")</f>
        <v>#NAME?</v>
      </c>
      <c r="U237" s="28" t="e">
        <f ca="1">[1]!BexGetData("DP_1","00O2TNJGODT0G5Z4TTKYMMUX1","GSON1112030522")</f>
        <v>#NAME?</v>
      </c>
      <c r="V237" s="28" t="e">
        <f ca="1">[1]!BexGetData("DP_1","00O2TNJGODT0G5Z4TTKYMN18L","GSON1112030522")</f>
        <v>#NAME?</v>
      </c>
      <c r="W237" s="28" t="e">
        <f ca="1">[1]!BexGetData("DP_1","00O2TNJGODT0G5Z4TTKYMN7K5","GSON1112030522")</f>
        <v>#NAME?</v>
      </c>
    </row>
    <row r="238" spans="1:23" x14ac:dyDescent="0.2">
      <c r="A238" s="36" t="s">
        <v>813</v>
      </c>
      <c r="B238" s="27" t="s">
        <v>814</v>
      </c>
      <c r="C238" s="23" t="e">
        <f ca="1">[1]!BexGetData("DP_1","003N8EMH8GTFRCSWKMPXRR8GU","GSON1112030523")</f>
        <v>#NAME?</v>
      </c>
      <c r="D238" s="23" t="e">
        <f ca="1">[1]!BexGetData("DP_1","003N8EMH8GTFRCSWKMPXRRESE","GSON1112030523")</f>
        <v>#NAME?</v>
      </c>
      <c r="E238" s="23" t="e">
        <f ca="1">[1]!BexGetData("DP_1","003N8EMH8GTFRCSWKMPXRRL3Y","GSON1112030523")</f>
        <v>#NAME?</v>
      </c>
      <c r="F238" s="23" t="e">
        <f ca="1">[1]!BexGetData("DP_1","003N8EMH8GTFRCSWKMPXRRRFI","GSON1112030523")</f>
        <v>#NAME?</v>
      </c>
      <c r="G238" s="23" t="e">
        <f ca="1">[1]!BexGetData("DP_1","003N8EMH8GTFRCSWKMPXRRXR2","GSON1112030523")</f>
        <v>#NAME?</v>
      </c>
      <c r="H238" s="23" t="e">
        <f ca="1">[1]!BexGetData("DP_1","003N8EMH8GTFRCSWKMPXRS42M","GSON1112030523")</f>
        <v>#NAME?</v>
      </c>
      <c r="I238" s="23" t="e">
        <f ca="1">[1]!BexGetData("DP_1","003N8EMH8GTFRCSWKMPXRSAE6","GSON1112030523")</f>
        <v>#NAME?</v>
      </c>
      <c r="J238" s="24" t="e">
        <f ca="1">[1]!BexGetData("DP_1","003N8EMH8GTFRCSWKMPXRSGPQ","GSON1112030523")</f>
        <v>#NAME?</v>
      </c>
      <c r="K238" s="23" t="e">
        <f ca="1">[1]!BexGetData("DP_1","003N8EMH8GTFRIVNUPY288VJH","GSON1112030523")</f>
        <v>#NAME?</v>
      </c>
      <c r="L238" s="23" t="e">
        <f ca="1">[1]!BexGetData("DP_1","003N8EMH8GTFRIVNUPY2891V1","GSON1112030523")</f>
        <v>#NAME?</v>
      </c>
      <c r="M238" s="23" t="e">
        <f ca="1">[1]!BexGetData("DP_1","003N8EMH8GTFRIVOG7KG9IQXA","GSON1112030523")</f>
        <v>#NAME?</v>
      </c>
      <c r="N238" s="28" t="e">
        <f ca="1">[1]!BexGetData("DP_1","003N8EMH8GTFRIVOG7KG9IX8U","GSON1112030523")</f>
        <v>#NAME?</v>
      </c>
      <c r="O238" s="23" t="e">
        <f ca="1">[1]!BexGetData("DP_1","003N8EMH8GTFRIVOG7KG9J3KE","GSON1112030523")</f>
        <v>#NAME?</v>
      </c>
      <c r="P238" s="28" t="e">
        <f ca="1">[1]!BexGetData("DP_1","003N8EMH8GTFRIVOG7KG9J9VY","GSON1112030523")</f>
        <v>#NAME?</v>
      </c>
      <c r="Q238" s="24" t="e">
        <f ca="1">[1]!BexGetData("DP_1","00O2TNJGODT0G5Z4TTKYMM5MT","GSON1112030523")</f>
        <v>#NAME?</v>
      </c>
      <c r="R238" s="23" t="e">
        <f ca="1">[1]!BexGetData("DP_1","00O2TNJGODT0G5Z4TTKYMMBYD","GSON1112030523")</f>
        <v>#NAME?</v>
      </c>
      <c r="S238" s="23" t="e">
        <f ca="1">[1]!BexGetData("DP_1","00O2TNJGODT0G5Z4TTKYMMI9X","GSON1112030523")</f>
        <v>#NAME?</v>
      </c>
      <c r="T238" s="28" t="e">
        <f ca="1">[1]!BexGetData("DP_1","00O2TNJGODT0G5Z4TTKYMMOLH","GSON1112030523")</f>
        <v>#NAME?</v>
      </c>
      <c r="U238" s="23" t="e">
        <f ca="1">[1]!BexGetData("DP_1","00O2TNJGODT0G5Z4TTKYMMUX1","GSON1112030523")</f>
        <v>#NAME?</v>
      </c>
      <c r="V238" s="28" t="e">
        <f ca="1">[1]!BexGetData("DP_1","00O2TNJGODT0G5Z4TTKYMN18L","GSON1112030523")</f>
        <v>#NAME?</v>
      </c>
      <c r="W238" s="23" t="e">
        <f ca="1">[1]!BexGetData("DP_1","00O2TNJGODT0G5Z4TTKYMN7K5","GSON1112030523")</f>
        <v>#NAME?</v>
      </c>
    </row>
    <row r="239" spans="1:23" x14ac:dyDescent="0.2">
      <c r="A239" s="36" t="s">
        <v>815</v>
      </c>
      <c r="B239" s="27" t="s">
        <v>816</v>
      </c>
      <c r="C239" s="23" t="e">
        <f ca="1">[1]!BexGetData("DP_1","003N8EMH8GTFRCSWKMPXRR8GU","GSON1112030524")</f>
        <v>#NAME?</v>
      </c>
      <c r="D239" s="23" t="e">
        <f ca="1">[1]!BexGetData("DP_1","003N8EMH8GTFRCSWKMPXRRESE","GSON1112030524")</f>
        <v>#NAME?</v>
      </c>
      <c r="E239" s="28" t="e">
        <f ca="1">[1]!BexGetData("DP_1","003N8EMH8GTFRCSWKMPXRRL3Y","GSON1112030524")</f>
        <v>#NAME?</v>
      </c>
      <c r="F239" s="28" t="e">
        <f ca="1">[1]!BexGetData("DP_1","003N8EMH8GTFRCSWKMPXRRRFI","GSON1112030524")</f>
        <v>#NAME?</v>
      </c>
      <c r="G239" s="23" t="e">
        <f ca="1">[1]!BexGetData("DP_1","003N8EMH8GTFRCSWKMPXRRXR2","GSON1112030524")</f>
        <v>#NAME?</v>
      </c>
      <c r="H239" s="23" t="e">
        <f ca="1">[1]!BexGetData("DP_1","003N8EMH8GTFRCSWKMPXRS42M","GSON1112030524")</f>
        <v>#NAME?</v>
      </c>
      <c r="I239" s="28" t="e">
        <f ca="1">[1]!BexGetData("DP_1","003N8EMH8GTFRCSWKMPXRSAE6","GSON1112030524")</f>
        <v>#NAME?</v>
      </c>
      <c r="J239" s="24" t="e">
        <f ca="1">[1]!BexGetData("DP_1","003N8EMH8GTFRCSWKMPXRSGPQ","GSON1112030524")</f>
        <v>#NAME?</v>
      </c>
      <c r="K239" s="28" t="e">
        <f ca="1">[1]!BexGetData("DP_1","003N8EMH8GTFRIVNUPY288VJH","GSON1112030524")</f>
        <v>#NAME?</v>
      </c>
      <c r="L239" s="28" t="e">
        <f ca="1">[1]!BexGetData("DP_1","003N8EMH8GTFRIVNUPY2891V1","GSON1112030524")</f>
        <v>#NAME?</v>
      </c>
      <c r="M239" s="28" t="e">
        <f ca="1">[1]!BexGetData("DP_1","003N8EMH8GTFRIVOG7KG9IQXA","GSON1112030524")</f>
        <v>#NAME?</v>
      </c>
      <c r="N239" s="28" t="e">
        <f ca="1">[1]!BexGetData("DP_1","003N8EMH8GTFRIVOG7KG9IX8U","GSON1112030524")</f>
        <v>#NAME?</v>
      </c>
      <c r="O239" s="28" t="e">
        <f ca="1">[1]!BexGetData("DP_1","003N8EMH8GTFRIVOG7KG9J3KE","GSON1112030524")</f>
        <v>#NAME?</v>
      </c>
      <c r="P239" s="28" t="e">
        <f ca="1">[1]!BexGetData("DP_1","003N8EMH8GTFRIVOG7KG9J9VY","GSON1112030524")</f>
        <v>#NAME?</v>
      </c>
      <c r="Q239" s="24" t="e">
        <f ca="1">[1]!BexGetData("DP_1","00O2TNJGODT0G5Z4TTKYMM5MT","GSON1112030524")</f>
        <v>#NAME?</v>
      </c>
      <c r="R239" s="28" t="e">
        <f ca="1">[1]!BexGetData("DP_1","00O2TNJGODT0G5Z4TTKYMMBYD","GSON1112030524")</f>
        <v>#NAME?</v>
      </c>
      <c r="S239" s="28" t="e">
        <f ca="1">[1]!BexGetData("DP_1","00O2TNJGODT0G5Z4TTKYMMI9X","GSON1112030524")</f>
        <v>#NAME?</v>
      </c>
      <c r="T239" s="28" t="e">
        <f ca="1">[1]!BexGetData("DP_1","00O2TNJGODT0G5Z4TTKYMMOLH","GSON1112030524")</f>
        <v>#NAME?</v>
      </c>
      <c r="U239" s="28" t="e">
        <f ca="1">[1]!BexGetData("DP_1","00O2TNJGODT0G5Z4TTKYMMUX1","GSON1112030524")</f>
        <v>#NAME?</v>
      </c>
      <c r="V239" s="28" t="e">
        <f ca="1">[1]!BexGetData("DP_1","00O2TNJGODT0G5Z4TTKYMN18L","GSON1112030524")</f>
        <v>#NAME?</v>
      </c>
      <c r="W239" s="28" t="e">
        <f ca="1">[1]!BexGetData("DP_1","00O2TNJGODT0G5Z4TTKYMN7K5","GSON1112030524")</f>
        <v>#NAME?</v>
      </c>
    </row>
    <row r="240" spans="1:23" x14ac:dyDescent="0.2">
      <c r="A240" s="36" t="s">
        <v>817</v>
      </c>
      <c r="B240" s="27" t="s">
        <v>818</v>
      </c>
      <c r="C240" s="23" t="e">
        <f ca="1">[1]!BexGetData("DP_1","003N8EMH8GTFRCSWKMPXRR8GU","GSON1112030530")</f>
        <v>#NAME?</v>
      </c>
      <c r="D240" s="23" t="e">
        <f ca="1">[1]!BexGetData("DP_1","003N8EMH8GTFRCSWKMPXRRESE","GSON1112030530")</f>
        <v>#NAME?</v>
      </c>
      <c r="E240" s="23" t="e">
        <f ca="1">[1]!BexGetData("DP_1","003N8EMH8GTFRCSWKMPXRRL3Y","GSON1112030530")</f>
        <v>#NAME?</v>
      </c>
      <c r="F240" s="23" t="e">
        <f ca="1">[1]!BexGetData("DP_1","003N8EMH8GTFRCSWKMPXRRRFI","GSON1112030530")</f>
        <v>#NAME?</v>
      </c>
      <c r="G240" s="23" t="e">
        <f ca="1">[1]!BexGetData("DP_1","003N8EMH8GTFRCSWKMPXRRXR2","GSON1112030530")</f>
        <v>#NAME?</v>
      </c>
      <c r="H240" s="23" t="e">
        <f ca="1">[1]!BexGetData("DP_1","003N8EMH8GTFRCSWKMPXRS42M","GSON1112030530")</f>
        <v>#NAME?</v>
      </c>
      <c r="I240" s="23" t="e">
        <f ca="1">[1]!BexGetData("DP_1","003N8EMH8GTFRCSWKMPXRSAE6","GSON1112030530")</f>
        <v>#NAME?</v>
      </c>
      <c r="J240" s="23" t="e">
        <f ca="1">[1]!BexGetData("DP_1","003N8EMH8GTFRCSWKMPXRSGPQ","GSON1112030530")</f>
        <v>#NAME?</v>
      </c>
      <c r="K240" s="23" t="e">
        <f ca="1">[1]!BexGetData("DP_1","003N8EMH8GTFRIVNUPY288VJH","GSON1112030530")</f>
        <v>#NAME?</v>
      </c>
      <c r="L240" s="23" t="e">
        <f ca="1">[1]!BexGetData("DP_1","003N8EMH8GTFRIVNUPY2891V1","GSON1112030530")</f>
        <v>#NAME?</v>
      </c>
      <c r="M240" s="28" t="e">
        <f ca="1">[1]!BexGetData("DP_1","003N8EMH8GTFRIVOG7KG9IQXA","GSON1112030530")</f>
        <v>#NAME?</v>
      </c>
      <c r="N240" s="23" t="e">
        <f ca="1">[1]!BexGetData("DP_1","003N8EMH8GTFRIVOG7KG9IX8U","GSON1112030530")</f>
        <v>#NAME?</v>
      </c>
      <c r="O240" s="28" t="e">
        <f ca="1">[1]!BexGetData("DP_1","003N8EMH8GTFRIVOG7KG9J3KE","GSON1112030530")</f>
        <v>#NAME?</v>
      </c>
      <c r="P240" s="23" t="e">
        <f ca="1">[1]!BexGetData("DP_1","003N8EMH8GTFRIVOG7KG9J9VY","GSON1112030530")</f>
        <v>#NAME?</v>
      </c>
      <c r="Q240" s="23" t="e">
        <f ca="1">[1]!BexGetData("DP_1","00O2TNJGODT0G5Z4TTKYMM5MT","GSON1112030530")</f>
        <v>#NAME?</v>
      </c>
      <c r="R240" s="23" t="e">
        <f ca="1">[1]!BexGetData("DP_1","00O2TNJGODT0G5Z4TTKYMMBYD","GSON1112030530")</f>
        <v>#NAME?</v>
      </c>
      <c r="S240" s="23" t="e">
        <f ca="1">[1]!BexGetData("DP_1","00O2TNJGODT0G5Z4TTKYMMI9X","GSON1112030530")</f>
        <v>#NAME?</v>
      </c>
      <c r="T240" s="23" t="e">
        <f ca="1">[1]!BexGetData("DP_1","00O2TNJGODT0G5Z4TTKYMMOLH","GSON1112030530")</f>
        <v>#NAME?</v>
      </c>
      <c r="U240" s="28" t="e">
        <f ca="1">[1]!BexGetData("DP_1","00O2TNJGODT0G5Z4TTKYMMUX1","GSON1112030530")</f>
        <v>#NAME?</v>
      </c>
      <c r="V240" s="23" t="e">
        <f ca="1">[1]!BexGetData("DP_1","00O2TNJGODT0G5Z4TTKYMN18L","GSON1112030530")</f>
        <v>#NAME?</v>
      </c>
      <c r="W240" s="28" t="e">
        <f ca="1">[1]!BexGetData("DP_1","00O2TNJGODT0G5Z4TTKYMN7K5","GSON1112030530")</f>
        <v>#NAME?</v>
      </c>
    </row>
    <row r="241" spans="1:23" x14ac:dyDescent="0.2">
      <c r="A241" s="36" t="s">
        <v>819</v>
      </c>
      <c r="B241" s="27" t="s">
        <v>820</v>
      </c>
      <c r="C241" s="23" t="e">
        <f ca="1">[1]!BexGetData("DP_1","003N8EMH8GTFRCSWKMPXRR8GU","GSON1112030531")</f>
        <v>#NAME?</v>
      </c>
      <c r="D241" s="23" t="e">
        <f ca="1">[1]!BexGetData("DP_1","003N8EMH8GTFRCSWKMPXRRESE","GSON1112030531")</f>
        <v>#NAME?</v>
      </c>
      <c r="E241" s="23" t="e">
        <f ca="1">[1]!BexGetData("DP_1","003N8EMH8GTFRCSWKMPXRRL3Y","GSON1112030531")</f>
        <v>#NAME?</v>
      </c>
      <c r="F241" s="23" t="e">
        <f ca="1">[1]!BexGetData("DP_1","003N8EMH8GTFRCSWKMPXRRRFI","GSON1112030531")</f>
        <v>#NAME?</v>
      </c>
      <c r="G241" s="23" t="e">
        <f ca="1">[1]!BexGetData("DP_1","003N8EMH8GTFRCSWKMPXRRXR2","GSON1112030531")</f>
        <v>#NAME?</v>
      </c>
      <c r="H241" s="23" t="e">
        <f ca="1">[1]!BexGetData("DP_1","003N8EMH8GTFRCSWKMPXRS42M","GSON1112030531")</f>
        <v>#NAME?</v>
      </c>
      <c r="I241" s="23" t="e">
        <f ca="1">[1]!BexGetData("DP_1","003N8EMH8GTFRCSWKMPXRSAE6","GSON1112030531")</f>
        <v>#NAME?</v>
      </c>
      <c r="J241" s="23" t="e">
        <f ca="1">[1]!BexGetData("DP_1","003N8EMH8GTFRCSWKMPXRSGPQ","GSON1112030531")</f>
        <v>#NAME?</v>
      </c>
      <c r="K241" s="23" t="e">
        <f ca="1">[1]!BexGetData("DP_1","003N8EMH8GTFRIVNUPY288VJH","GSON1112030531")</f>
        <v>#NAME?</v>
      </c>
      <c r="L241" s="23" t="e">
        <f ca="1">[1]!BexGetData("DP_1","003N8EMH8GTFRIVNUPY2891V1","GSON1112030531")</f>
        <v>#NAME?</v>
      </c>
      <c r="M241" s="28" t="e">
        <f ca="1">[1]!BexGetData("DP_1","003N8EMH8GTFRIVOG7KG9IQXA","GSON1112030531")</f>
        <v>#NAME?</v>
      </c>
      <c r="N241" s="23" t="e">
        <f ca="1">[1]!BexGetData("DP_1","003N8EMH8GTFRIVOG7KG9IX8U","GSON1112030531")</f>
        <v>#NAME?</v>
      </c>
      <c r="O241" s="28" t="e">
        <f ca="1">[1]!BexGetData("DP_1","003N8EMH8GTFRIVOG7KG9J3KE","GSON1112030531")</f>
        <v>#NAME?</v>
      </c>
      <c r="P241" s="23" t="e">
        <f ca="1">[1]!BexGetData("DP_1","003N8EMH8GTFRIVOG7KG9J9VY","GSON1112030531")</f>
        <v>#NAME?</v>
      </c>
      <c r="Q241" s="23" t="e">
        <f ca="1">[1]!BexGetData("DP_1","00O2TNJGODT0G5Z4TTKYMM5MT","GSON1112030531")</f>
        <v>#NAME?</v>
      </c>
      <c r="R241" s="23" t="e">
        <f ca="1">[1]!BexGetData("DP_1","00O2TNJGODT0G5Z4TTKYMMBYD","GSON1112030531")</f>
        <v>#NAME?</v>
      </c>
      <c r="S241" s="23" t="e">
        <f ca="1">[1]!BexGetData("DP_1","00O2TNJGODT0G5Z4TTKYMMI9X","GSON1112030531")</f>
        <v>#NAME?</v>
      </c>
      <c r="T241" s="23" t="e">
        <f ca="1">[1]!BexGetData("DP_1","00O2TNJGODT0G5Z4TTKYMMOLH","GSON1112030531")</f>
        <v>#NAME?</v>
      </c>
      <c r="U241" s="28" t="e">
        <f ca="1">[1]!BexGetData("DP_1","00O2TNJGODT0G5Z4TTKYMMUX1","GSON1112030531")</f>
        <v>#NAME?</v>
      </c>
      <c r="V241" s="23" t="e">
        <f ca="1">[1]!BexGetData("DP_1","00O2TNJGODT0G5Z4TTKYMN18L","GSON1112030531")</f>
        <v>#NAME?</v>
      </c>
      <c r="W241" s="28" t="e">
        <f ca="1">[1]!BexGetData("DP_1","00O2TNJGODT0G5Z4TTKYMN7K5","GSON1112030531")</f>
        <v>#NAME?</v>
      </c>
    </row>
    <row r="242" spans="1:23" x14ac:dyDescent="0.2">
      <c r="A242" s="36" t="s">
        <v>2098</v>
      </c>
      <c r="B242" s="27" t="s">
        <v>2099</v>
      </c>
      <c r="C242" s="23" t="e">
        <f ca="1">[1]!BexGetData("DP_1","003N8EMH8GTFRCSWKMPXRR8GU","GSON1112030532")</f>
        <v>#NAME?</v>
      </c>
      <c r="D242" s="23" t="e">
        <f ca="1">[1]!BexGetData("DP_1","003N8EMH8GTFRCSWKMPXRRESE","GSON1112030532")</f>
        <v>#NAME?</v>
      </c>
      <c r="E242" s="28" t="e">
        <f ca="1">[1]!BexGetData("DP_1","003N8EMH8GTFRCSWKMPXRRL3Y","GSON1112030532")</f>
        <v>#NAME?</v>
      </c>
      <c r="F242" s="23" t="e">
        <f ca="1">[1]!BexGetData("DP_1","003N8EMH8GTFRCSWKMPXRRRFI","GSON1112030532")</f>
        <v>#NAME?</v>
      </c>
      <c r="G242" s="23" t="e">
        <f ca="1">[1]!BexGetData("DP_1","003N8EMH8GTFRCSWKMPXRRXR2","GSON1112030532")</f>
        <v>#NAME?</v>
      </c>
      <c r="H242" s="23" t="e">
        <f ca="1">[1]!BexGetData("DP_1","003N8EMH8GTFRCSWKMPXRS42M","GSON1112030532")</f>
        <v>#NAME?</v>
      </c>
      <c r="I242" s="23" t="e">
        <f ca="1">[1]!BexGetData("DP_1","003N8EMH8GTFRCSWKMPXRSAE6","GSON1112030532")</f>
        <v>#NAME?</v>
      </c>
      <c r="J242" s="24" t="e">
        <f ca="1">[1]!BexGetData("DP_1","003N8EMH8GTFRCSWKMPXRSGPQ","GSON1112030532")</f>
        <v>#NAME?</v>
      </c>
      <c r="K242" s="23" t="e">
        <f ca="1">[1]!BexGetData("DP_1","003N8EMH8GTFRIVNUPY288VJH","GSON1112030532")</f>
        <v>#NAME?</v>
      </c>
      <c r="L242" s="23" t="e">
        <f ca="1">[1]!BexGetData("DP_1","003N8EMH8GTFRIVNUPY2891V1","GSON1112030532")</f>
        <v>#NAME?</v>
      </c>
      <c r="M242" s="23" t="e">
        <f ca="1">[1]!BexGetData("DP_1","003N8EMH8GTFRIVOG7KG9IQXA","GSON1112030532")</f>
        <v>#NAME?</v>
      </c>
      <c r="N242" s="28" t="e">
        <f ca="1">[1]!BexGetData("DP_1","003N8EMH8GTFRIVOG7KG9IX8U","GSON1112030532")</f>
        <v>#NAME?</v>
      </c>
      <c r="O242" s="23" t="e">
        <f ca="1">[1]!BexGetData("DP_1","003N8EMH8GTFRIVOG7KG9J3KE","GSON1112030532")</f>
        <v>#NAME?</v>
      </c>
      <c r="P242" s="28" t="e">
        <f ca="1">[1]!BexGetData("DP_1","003N8EMH8GTFRIVOG7KG9J9VY","GSON1112030532")</f>
        <v>#NAME?</v>
      </c>
      <c r="Q242" s="24" t="e">
        <f ca="1">[1]!BexGetData("DP_1","00O2TNJGODT0G5Z4TTKYMM5MT","GSON1112030532")</f>
        <v>#NAME?</v>
      </c>
      <c r="R242" s="23" t="e">
        <f ca="1">[1]!BexGetData("DP_1","00O2TNJGODT0G5Z4TTKYMMBYD","GSON1112030532")</f>
        <v>#NAME?</v>
      </c>
      <c r="S242" s="23" t="e">
        <f ca="1">[1]!BexGetData("DP_1","00O2TNJGODT0G5Z4TTKYMMI9X","GSON1112030532")</f>
        <v>#NAME?</v>
      </c>
      <c r="T242" s="28" t="e">
        <f ca="1">[1]!BexGetData("DP_1","00O2TNJGODT0G5Z4TTKYMMOLH","GSON1112030532")</f>
        <v>#NAME?</v>
      </c>
      <c r="U242" s="23" t="e">
        <f ca="1">[1]!BexGetData("DP_1","00O2TNJGODT0G5Z4TTKYMMUX1","GSON1112030532")</f>
        <v>#NAME?</v>
      </c>
      <c r="V242" s="28" t="e">
        <f ca="1">[1]!BexGetData("DP_1","00O2TNJGODT0G5Z4TTKYMN18L","GSON1112030532")</f>
        <v>#NAME?</v>
      </c>
      <c r="W242" s="23" t="e">
        <f ca="1">[1]!BexGetData("DP_1","00O2TNJGODT0G5Z4TTKYMN7K5","GSON1112030532")</f>
        <v>#NAME?</v>
      </c>
    </row>
    <row r="243" spans="1:23" x14ac:dyDescent="0.2">
      <c r="A243" s="36" t="s">
        <v>821</v>
      </c>
      <c r="B243" s="27" t="s">
        <v>822</v>
      </c>
      <c r="C243" s="23" t="e">
        <f ca="1">[1]!BexGetData("DP_1","003N8EMH8GTFRCSWKMPXRR8GU","GSON1112030533")</f>
        <v>#NAME?</v>
      </c>
      <c r="D243" s="23" t="e">
        <f ca="1">[1]!BexGetData("DP_1","003N8EMH8GTFRCSWKMPXRRESE","GSON1112030533")</f>
        <v>#NAME?</v>
      </c>
      <c r="E243" s="23" t="e">
        <f ca="1">[1]!BexGetData("DP_1","003N8EMH8GTFRCSWKMPXRRL3Y","GSON1112030533")</f>
        <v>#NAME?</v>
      </c>
      <c r="F243" s="28" t="e">
        <f ca="1">[1]!BexGetData("DP_1","003N8EMH8GTFRCSWKMPXRRRFI","GSON1112030533")</f>
        <v>#NAME?</v>
      </c>
      <c r="G243" s="23" t="e">
        <f ca="1">[1]!BexGetData("DP_1","003N8EMH8GTFRCSWKMPXRRXR2","GSON1112030533")</f>
        <v>#NAME?</v>
      </c>
      <c r="H243" s="23" t="e">
        <f ca="1">[1]!BexGetData("DP_1","003N8EMH8GTFRCSWKMPXRS42M","GSON1112030533")</f>
        <v>#NAME?</v>
      </c>
      <c r="I243" s="28" t="e">
        <f ca="1">[1]!BexGetData("DP_1","003N8EMH8GTFRCSWKMPXRSAE6","GSON1112030533")</f>
        <v>#NAME?</v>
      </c>
      <c r="J243" s="24" t="e">
        <f ca="1">[1]!BexGetData("DP_1","003N8EMH8GTFRCSWKMPXRSGPQ","GSON1112030533")</f>
        <v>#NAME?</v>
      </c>
      <c r="K243" s="23" t="e">
        <f ca="1">[1]!BexGetData("DP_1","003N8EMH8GTFRIVNUPY288VJH","GSON1112030533")</f>
        <v>#NAME?</v>
      </c>
      <c r="L243" s="23" t="e">
        <f ca="1">[1]!BexGetData("DP_1","003N8EMH8GTFRIVNUPY2891V1","GSON1112030533")</f>
        <v>#NAME?</v>
      </c>
      <c r="M243" s="28" t="e">
        <f ca="1">[1]!BexGetData("DP_1","003N8EMH8GTFRIVOG7KG9IQXA","GSON1112030533")</f>
        <v>#NAME?</v>
      </c>
      <c r="N243" s="23" t="e">
        <f ca="1">[1]!BexGetData("DP_1","003N8EMH8GTFRIVOG7KG9IX8U","GSON1112030533")</f>
        <v>#NAME?</v>
      </c>
      <c r="O243" s="28" t="e">
        <f ca="1">[1]!BexGetData("DP_1","003N8EMH8GTFRIVOG7KG9J3KE","GSON1112030533")</f>
        <v>#NAME?</v>
      </c>
      <c r="P243" s="23" t="e">
        <f ca="1">[1]!BexGetData("DP_1","003N8EMH8GTFRIVOG7KG9J9VY","GSON1112030533")</f>
        <v>#NAME?</v>
      </c>
      <c r="Q243" s="24" t="e">
        <f ca="1">[1]!BexGetData("DP_1","00O2TNJGODT0G5Z4TTKYMM5MT","GSON1112030533")</f>
        <v>#NAME?</v>
      </c>
      <c r="R243" s="28" t="e">
        <f ca="1">[1]!BexGetData("DP_1","00O2TNJGODT0G5Z4TTKYMMBYD","GSON1112030533")</f>
        <v>#NAME?</v>
      </c>
      <c r="S243" s="28" t="e">
        <f ca="1">[1]!BexGetData("DP_1","00O2TNJGODT0G5Z4TTKYMMI9X","GSON1112030533")</f>
        <v>#NAME?</v>
      </c>
      <c r="T243" s="28" t="e">
        <f ca="1">[1]!BexGetData("DP_1","00O2TNJGODT0G5Z4TTKYMMOLH","GSON1112030533")</f>
        <v>#NAME?</v>
      </c>
      <c r="U243" s="28" t="e">
        <f ca="1">[1]!BexGetData("DP_1","00O2TNJGODT0G5Z4TTKYMMUX1","GSON1112030533")</f>
        <v>#NAME?</v>
      </c>
      <c r="V243" s="28" t="e">
        <f ca="1">[1]!BexGetData("DP_1","00O2TNJGODT0G5Z4TTKYMN18L","GSON1112030533")</f>
        <v>#NAME?</v>
      </c>
      <c r="W243" s="28" t="e">
        <f ca="1">[1]!BexGetData("DP_1","00O2TNJGODT0G5Z4TTKYMN7K5","GSON1112030533")</f>
        <v>#NAME?</v>
      </c>
    </row>
    <row r="244" spans="1:23" x14ac:dyDescent="0.2">
      <c r="A244" s="36" t="s">
        <v>823</v>
      </c>
      <c r="B244" s="27" t="s">
        <v>824</v>
      </c>
      <c r="C244" s="23" t="e">
        <f ca="1">[1]!BexGetData("DP_1","003N8EMH8GTFRCSWKMPXRR8GU","GSON1112030534")</f>
        <v>#NAME?</v>
      </c>
      <c r="D244" s="23" t="e">
        <f ca="1">[1]!BexGetData("DP_1","003N8EMH8GTFRCSWKMPXRRESE","GSON1112030534")</f>
        <v>#NAME?</v>
      </c>
      <c r="E244" s="28" t="e">
        <f ca="1">[1]!BexGetData("DP_1","003N8EMH8GTFRCSWKMPXRRL3Y","GSON1112030534")</f>
        <v>#NAME?</v>
      </c>
      <c r="F244" s="28" t="e">
        <f ca="1">[1]!BexGetData("DP_1","003N8EMH8GTFRCSWKMPXRRRFI","GSON1112030534")</f>
        <v>#NAME?</v>
      </c>
      <c r="G244" s="23" t="e">
        <f ca="1">[1]!BexGetData("DP_1","003N8EMH8GTFRCSWKMPXRRXR2","GSON1112030534")</f>
        <v>#NAME?</v>
      </c>
      <c r="H244" s="23" t="e">
        <f ca="1">[1]!BexGetData("DP_1","003N8EMH8GTFRCSWKMPXRS42M","GSON1112030534")</f>
        <v>#NAME?</v>
      </c>
      <c r="I244" s="28" t="e">
        <f ca="1">[1]!BexGetData("DP_1","003N8EMH8GTFRCSWKMPXRSAE6","GSON1112030534")</f>
        <v>#NAME?</v>
      </c>
      <c r="J244" s="24" t="e">
        <f ca="1">[1]!BexGetData("DP_1","003N8EMH8GTFRCSWKMPXRSGPQ","GSON1112030534")</f>
        <v>#NAME?</v>
      </c>
      <c r="K244" s="28" t="e">
        <f ca="1">[1]!BexGetData("DP_1","003N8EMH8GTFRIVNUPY288VJH","GSON1112030534")</f>
        <v>#NAME?</v>
      </c>
      <c r="L244" s="28" t="e">
        <f ca="1">[1]!BexGetData("DP_1","003N8EMH8GTFRIVNUPY2891V1","GSON1112030534")</f>
        <v>#NAME?</v>
      </c>
      <c r="M244" s="28" t="e">
        <f ca="1">[1]!BexGetData("DP_1","003N8EMH8GTFRIVOG7KG9IQXA","GSON1112030534")</f>
        <v>#NAME?</v>
      </c>
      <c r="N244" s="28" t="e">
        <f ca="1">[1]!BexGetData("DP_1","003N8EMH8GTFRIVOG7KG9IX8U","GSON1112030534")</f>
        <v>#NAME?</v>
      </c>
      <c r="O244" s="28" t="e">
        <f ca="1">[1]!BexGetData("DP_1","003N8EMH8GTFRIVOG7KG9J3KE","GSON1112030534")</f>
        <v>#NAME?</v>
      </c>
      <c r="P244" s="28" t="e">
        <f ca="1">[1]!BexGetData("DP_1","003N8EMH8GTFRIVOG7KG9J9VY","GSON1112030534")</f>
        <v>#NAME?</v>
      </c>
      <c r="Q244" s="24" t="e">
        <f ca="1">[1]!BexGetData("DP_1","00O2TNJGODT0G5Z4TTKYMM5MT","GSON1112030534")</f>
        <v>#NAME?</v>
      </c>
      <c r="R244" s="28" t="e">
        <f ca="1">[1]!BexGetData("DP_1","00O2TNJGODT0G5Z4TTKYMMBYD","GSON1112030534")</f>
        <v>#NAME?</v>
      </c>
      <c r="S244" s="28" t="e">
        <f ca="1">[1]!BexGetData("DP_1","00O2TNJGODT0G5Z4TTKYMMI9X","GSON1112030534")</f>
        <v>#NAME?</v>
      </c>
      <c r="T244" s="28" t="e">
        <f ca="1">[1]!BexGetData("DP_1","00O2TNJGODT0G5Z4TTKYMMOLH","GSON1112030534")</f>
        <v>#NAME?</v>
      </c>
      <c r="U244" s="28" t="e">
        <f ca="1">[1]!BexGetData("DP_1","00O2TNJGODT0G5Z4TTKYMMUX1","GSON1112030534")</f>
        <v>#NAME?</v>
      </c>
      <c r="V244" s="28" t="e">
        <f ca="1">[1]!BexGetData("DP_1","00O2TNJGODT0G5Z4TTKYMN18L","GSON1112030534")</f>
        <v>#NAME?</v>
      </c>
      <c r="W244" s="28" t="e">
        <f ca="1">[1]!BexGetData("DP_1","00O2TNJGODT0G5Z4TTKYMN7K5","GSON1112030534")</f>
        <v>#NAME?</v>
      </c>
    </row>
    <row r="245" spans="1:23" x14ac:dyDescent="0.2">
      <c r="A245" s="36" t="s">
        <v>825</v>
      </c>
      <c r="B245" s="27" t="s">
        <v>826</v>
      </c>
      <c r="C245" s="23" t="e">
        <f ca="1">[1]!BexGetData("DP_1","003N8EMH8GTFRCSWKMPXRR8GU","GSON1112030550")</f>
        <v>#NAME?</v>
      </c>
      <c r="D245" s="23" t="e">
        <f ca="1">[1]!BexGetData("DP_1","003N8EMH8GTFRCSWKMPXRRESE","GSON1112030550")</f>
        <v>#NAME?</v>
      </c>
      <c r="E245" s="23" t="e">
        <f ca="1">[1]!BexGetData("DP_1","003N8EMH8GTFRCSWKMPXRRL3Y","GSON1112030550")</f>
        <v>#NAME?</v>
      </c>
      <c r="F245" s="23" t="e">
        <f ca="1">[1]!BexGetData("DP_1","003N8EMH8GTFRCSWKMPXRRRFI","GSON1112030550")</f>
        <v>#NAME?</v>
      </c>
      <c r="G245" s="23" t="e">
        <f ca="1">[1]!BexGetData("DP_1","003N8EMH8GTFRCSWKMPXRRXR2","GSON1112030550")</f>
        <v>#NAME?</v>
      </c>
      <c r="H245" s="23" t="e">
        <f ca="1">[1]!BexGetData("DP_1","003N8EMH8GTFRCSWKMPXRS42M","GSON1112030550")</f>
        <v>#NAME?</v>
      </c>
      <c r="I245" s="23" t="e">
        <f ca="1">[1]!BexGetData("DP_1","003N8EMH8GTFRCSWKMPXRSAE6","GSON1112030550")</f>
        <v>#NAME?</v>
      </c>
      <c r="J245" s="23" t="e">
        <f ca="1">[1]!BexGetData("DP_1","003N8EMH8GTFRCSWKMPXRSGPQ","GSON1112030550")</f>
        <v>#NAME?</v>
      </c>
      <c r="K245" s="23" t="e">
        <f ca="1">[1]!BexGetData("DP_1","003N8EMH8GTFRIVNUPY288VJH","GSON1112030550")</f>
        <v>#NAME?</v>
      </c>
      <c r="L245" s="23" t="e">
        <f ca="1">[1]!BexGetData("DP_1","003N8EMH8GTFRIVNUPY2891V1","GSON1112030550")</f>
        <v>#NAME?</v>
      </c>
      <c r="M245" s="28" t="e">
        <f ca="1">[1]!BexGetData("DP_1","003N8EMH8GTFRIVOG7KG9IQXA","GSON1112030550")</f>
        <v>#NAME?</v>
      </c>
      <c r="N245" s="23" t="e">
        <f ca="1">[1]!BexGetData("DP_1","003N8EMH8GTFRIVOG7KG9IX8U","GSON1112030550")</f>
        <v>#NAME?</v>
      </c>
      <c r="O245" s="28" t="e">
        <f ca="1">[1]!BexGetData("DP_1","003N8EMH8GTFRIVOG7KG9J3KE","GSON1112030550")</f>
        <v>#NAME?</v>
      </c>
      <c r="P245" s="23" t="e">
        <f ca="1">[1]!BexGetData("DP_1","003N8EMH8GTFRIVOG7KG9J9VY","GSON1112030550")</f>
        <v>#NAME?</v>
      </c>
      <c r="Q245" s="23" t="e">
        <f ca="1">[1]!BexGetData("DP_1","00O2TNJGODT0G5Z4TTKYMM5MT","GSON1112030550")</f>
        <v>#NAME?</v>
      </c>
      <c r="R245" s="23" t="e">
        <f ca="1">[1]!BexGetData("DP_1","00O2TNJGODT0G5Z4TTKYMMBYD","GSON1112030550")</f>
        <v>#NAME?</v>
      </c>
      <c r="S245" s="23" t="e">
        <f ca="1">[1]!BexGetData("DP_1","00O2TNJGODT0G5Z4TTKYMMI9X","GSON1112030550")</f>
        <v>#NAME?</v>
      </c>
      <c r="T245" s="23" t="e">
        <f ca="1">[1]!BexGetData("DP_1","00O2TNJGODT0G5Z4TTKYMMOLH","GSON1112030550")</f>
        <v>#NAME?</v>
      </c>
      <c r="U245" s="28" t="e">
        <f ca="1">[1]!BexGetData("DP_1","00O2TNJGODT0G5Z4TTKYMMUX1","GSON1112030550")</f>
        <v>#NAME?</v>
      </c>
      <c r="V245" s="23" t="e">
        <f ca="1">[1]!BexGetData("DP_1","00O2TNJGODT0G5Z4TTKYMN18L","GSON1112030550")</f>
        <v>#NAME?</v>
      </c>
      <c r="W245" s="28" t="e">
        <f ca="1">[1]!BexGetData("DP_1","00O2TNJGODT0G5Z4TTKYMN7K5","GSON1112030550")</f>
        <v>#NAME?</v>
      </c>
    </row>
    <row r="246" spans="1:23" x14ac:dyDescent="0.2">
      <c r="A246" s="36" t="s">
        <v>827</v>
      </c>
      <c r="B246" s="27" t="s">
        <v>828</v>
      </c>
      <c r="C246" s="23" t="e">
        <f ca="1">[1]!BexGetData("DP_1","003N8EMH8GTFRCSWKMPXRR8GU","GSON1112030551")</f>
        <v>#NAME?</v>
      </c>
      <c r="D246" s="23" t="e">
        <f ca="1">[1]!BexGetData("DP_1","003N8EMH8GTFRCSWKMPXRRESE","GSON1112030551")</f>
        <v>#NAME?</v>
      </c>
      <c r="E246" s="23" t="e">
        <f ca="1">[1]!BexGetData("DP_1","003N8EMH8GTFRCSWKMPXRRL3Y","GSON1112030551")</f>
        <v>#NAME?</v>
      </c>
      <c r="F246" s="23" t="e">
        <f ca="1">[1]!BexGetData("DP_1","003N8EMH8GTFRCSWKMPXRRRFI","GSON1112030551")</f>
        <v>#NAME?</v>
      </c>
      <c r="G246" s="23" t="e">
        <f ca="1">[1]!BexGetData("DP_1","003N8EMH8GTFRCSWKMPXRRXR2","GSON1112030551")</f>
        <v>#NAME?</v>
      </c>
      <c r="H246" s="23" t="e">
        <f ca="1">[1]!BexGetData("DP_1","003N8EMH8GTFRCSWKMPXRS42M","GSON1112030551")</f>
        <v>#NAME?</v>
      </c>
      <c r="I246" s="23" t="e">
        <f ca="1">[1]!BexGetData("DP_1","003N8EMH8GTFRCSWKMPXRSAE6","GSON1112030551")</f>
        <v>#NAME?</v>
      </c>
      <c r="J246" s="23" t="e">
        <f ca="1">[1]!BexGetData("DP_1","003N8EMH8GTFRCSWKMPXRSGPQ","GSON1112030551")</f>
        <v>#NAME?</v>
      </c>
      <c r="K246" s="23" t="e">
        <f ca="1">[1]!BexGetData("DP_1","003N8EMH8GTFRIVNUPY288VJH","GSON1112030551")</f>
        <v>#NAME?</v>
      </c>
      <c r="L246" s="23" t="e">
        <f ca="1">[1]!BexGetData("DP_1","003N8EMH8GTFRIVNUPY2891V1","GSON1112030551")</f>
        <v>#NAME?</v>
      </c>
      <c r="M246" s="23" t="e">
        <f ca="1">[1]!BexGetData("DP_1","003N8EMH8GTFRIVOG7KG9IQXA","GSON1112030551")</f>
        <v>#NAME?</v>
      </c>
      <c r="N246" s="28" t="e">
        <f ca="1">[1]!BexGetData("DP_1","003N8EMH8GTFRIVOG7KG9IX8U","GSON1112030551")</f>
        <v>#NAME?</v>
      </c>
      <c r="O246" s="23" t="e">
        <f ca="1">[1]!BexGetData("DP_1","003N8EMH8GTFRIVOG7KG9J3KE","GSON1112030551")</f>
        <v>#NAME?</v>
      </c>
      <c r="P246" s="28" t="e">
        <f ca="1">[1]!BexGetData("DP_1","003N8EMH8GTFRIVOG7KG9J9VY","GSON1112030551")</f>
        <v>#NAME?</v>
      </c>
      <c r="Q246" s="23" t="e">
        <f ca="1">[1]!BexGetData("DP_1","00O2TNJGODT0G5Z4TTKYMM5MT","GSON1112030551")</f>
        <v>#NAME?</v>
      </c>
      <c r="R246" s="23" t="e">
        <f ca="1">[1]!BexGetData("DP_1","00O2TNJGODT0G5Z4TTKYMMBYD","GSON1112030551")</f>
        <v>#NAME?</v>
      </c>
      <c r="S246" s="23" t="e">
        <f ca="1">[1]!BexGetData("DP_1","00O2TNJGODT0G5Z4TTKYMMI9X","GSON1112030551")</f>
        <v>#NAME?</v>
      </c>
      <c r="T246" s="23" t="e">
        <f ca="1">[1]!BexGetData("DP_1","00O2TNJGODT0G5Z4TTKYMMOLH","GSON1112030551")</f>
        <v>#NAME?</v>
      </c>
      <c r="U246" s="28" t="e">
        <f ca="1">[1]!BexGetData("DP_1","00O2TNJGODT0G5Z4TTKYMMUX1","GSON1112030551")</f>
        <v>#NAME?</v>
      </c>
      <c r="V246" s="23" t="e">
        <f ca="1">[1]!BexGetData("DP_1","00O2TNJGODT0G5Z4TTKYMN18L","GSON1112030551")</f>
        <v>#NAME?</v>
      </c>
      <c r="W246" s="28" t="e">
        <f ca="1">[1]!BexGetData("DP_1","00O2TNJGODT0G5Z4TTKYMN7K5","GSON1112030551")</f>
        <v>#NAME?</v>
      </c>
    </row>
    <row r="247" spans="1:23" x14ac:dyDescent="0.2">
      <c r="A247" s="36" t="s">
        <v>2100</v>
      </c>
      <c r="B247" s="27" t="s">
        <v>2101</v>
      </c>
      <c r="C247" s="23" t="e">
        <f ca="1">[1]!BexGetData("DP_1","003N8EMH8GTFRCSWKMPXRR8GU","GSON1112030552")</f>
        <v>#NAME?</v>
      </c>
      <c r="D247" s="23" t="e">
        <f ca="1">[1]!BexGetData("DP_1","003N8EMH8GTFRCSWKMPXRRESE","GSON1112030552")</f>
        <v>#NAME?</v>
      </c>
      <c r="E247" s="28" t="e">
        <f ca="1">[1]!BexGetData("DP_1","003N8EMH8GTFRCSWKMPXRRL3Y","GSON1112030552")</f>
        <v>#NAME?</v>
      </c>
      <c r="F247" s="23" t="e">
        <f ca="1">[1]!BexGetData("DP_1","003N8EMH8GTFRCSWKMPXRRRFI","GSON1112030552")</f>
        <v>#NAME?</v>
      </c>
      <c r="G247" s="23" t="e">
        <f ca="1">[1]!BexGetData("DP_1","003N8EMH8GTFRCSWKMPXRRXR2","GSON1112030552")</f>
        <v>#NAME?</v>
      </c>
      <c r="H247" s="23" t="e">
        <f ca="1">[1]!BexGetData("DP_1","003N8EMH8GTFRCSWKMPXRS42M","GSON1112030552")</f>
        <v>#NAME?</v>
      </c>
      <c r="I247" s="23" t="e">
        <f ca="1">[1]!BexGetData("DP_1","003N8EMH8GTFRCSWKMPXRSAE6","GSON1112030552")</f>
        <v>#NAME?</v>
      </c>
      <c r="J247" s="24" t="e">
        <f ca="1">[1]!BexGetData("DP_1","003N8EMH8GTFRCSWKMPXRSGPQ","GSON1112030552")</f>
        <v>#NAME?</v>
      </c>
      <c r="K247" s="23" t="e">
        <f ca="1">[1]!BexGetData("DP_1","003N8EMH8GTFRIVNUPY288VJH","GSON1112030552")</f>
        <v>#NAME?</v>
      </c>
      <c r="L247" s="23" t="e">
        <f ca="1">[1]!BexGetData("DP_1","003N8EMH8GTFRIVNUPY2891V1","GSON1112030552")</f>
        <v>#NAME?</v>
      </c>
      <c r="M247" s="23" t="e">
        <f ca="1">[1]!BexGetData("DP_1","003N8EMH8GTFRIVOG7KG9IQXA","GSON1112030552")</f>
        <v>#NAME?</v>
      </c>
      <c r="N247" s="28" t="e">
        <f ca="1">[1]!BexGetData("DP_1","003N8EMH8GTFRIVOG7KG9IX8U","GSON1112030552")</f>
        <v>#NAME?</v>
      </c>
      <c r="O247" s="23" t="e">
        <f ca="1">[1]!BexGetData("DP_1","003N8EMH8GTFRIVOG7KG9J3KE","GSON1112030552")</f>
        <v>#NAME?</v>
      </c>
      <c r="P247" s="28" t="e">
        <f ca="1">[1]!BexGetData("DP_1","003N8EMH8GTFRIVOG7KG9J9VY","GSON1112030552")</f>
        <v>#NAME?</v>
      </c>
      <c r="Q247" s="24" t="e">
        <f ca="1">[1]!BexGetData("DP_1","00O2TNJGODT0G5Z4TTKYMM5MT","GSON1112030552")</f>
        <v>#NAME?</v>
      </c>
      <c r="R247" s="23" t="e">
        <f ca="1">[1]!BexGetData("DP_1","00O2TNJGODT0G5Z4TTKYMMBYD","GSON1112030552")</f>
        <v>#NAME?</v>
      </c>
      <c r="S247" s="23" t="e">
        <f ca="1">[1]!BexGetData("DP_1","00O2TNJGODT0G5Z4TTKYMMI9X","GSON1112030552")</f>
        <v>#NAME?</v>
      </c>
      <c r="T247" s="28" t="e">
        <f ca="1">[1]!BexGetData("DP_1","00O2TNJGODT0G5Z4TTKYMMOLH","GSON1112030552")</f>
        <v>#NAME?</v>
      </c>
      <c r="U247" s="23" t="e">
        <f ca="1">[1]!BexGetData("DP_1","00O2TNJGODT0G5Z4TTKYMMUX1","GSON1112030552")</f>
        <v>#NAME?</v>
      </c>
      <c r="V247" s="28" t="e">
        <f ca="1">[1]!BexGetData("DP_1","00O2TNJGODT0G5Z4TTKYMN18L","GSON1112030552")</f>
        <v>#NAME?</v>
      </c>
      <c r="W247" s="23" t="e">
        <f ca="1">[1]!BexGetData("DP_1","00O2TNJGODT0G5Z4TTKYMN7K5","GSON1112030552")</f>
        <v>#NAME?</v>
      </c>
    </row>
    <row r="248" spans="1:23" x14ac:dyDescent="0.2">
      <c r="A248" s="36" t="s">
        <v>2102</v>
      </c>
      <c r="B248" s="27" t="s">
        <v>2103</v>
      </c>
      <c r="C248" s="23" t="e">
        <f ca="1">[1]!BexGetData("DP_1","003N8EMH8GTFRCSWKMPXRR8GU","GSON1112030553")</f>
        <v>#NAME?</v>
      </c>
      <c r="D248" s="23" t="e">
        <f ca="1">[1]!BexGetData("DP_1","003N8EMH8GTFRCSWKMPXRRESE","GSON1112030553")</f>
        <v>#NAME?</v>
      </c>
      <c r="E248" s="28" t="e">
        <f ca="1">[1]!BexGetData("DP_1","003N8EMH8GTFRCSWKMPXRRL3Y","GSON1112030553")</f>
        <v>#NAME?</v>
      </c>
      <c r="F248" s="23" t="e">
        <f ca="1">[1]!BexGetData("DP_1","003N8EMH8GTFRCSWKMPXRRRFI","GSON1112030553")</f>
        <v>#NAME?</v>
      </c>
      <c r="G248" s="23" t="e">
        <f ca="1">[1]!BexGetData("DP_1","003N8EMH8GTFRCSWKMPXRRXR2","GSON1112030553")</f>
        <v>#NAME?</v>
      </c>
      <c r="H248" s="23" t="e">
        <f ca="1">[1]!BexGetData("DP_1","003N8EMH8GTFRCSWKMPXRS42M","GSON1112030553")</f>
        <v>#NAME?</v>
      </c>
      <c r="I248" s="23" t="e">
        <f ca="1">[1]!BexGetData("DP_1","003N8EMH8GTFRCSWKMPXRSAE6","GSON1112030553")</f>
        <v>#NAME?</v>
      </c>
      <c r="J248" s="24" t="e">
        <f ca="1">[1]!BexGetData("DP_1","003N8EMH8GTFRCSWKMPXRSGPQ","GSON1112030553")</f>
        <v>#NAME?</v>
      </c>
      <c r="K248" s="23" t="e">
        <f ca="1">[1]!BexGetData("DP_1","003N8EMH8GTFRIVNUPY288VJH","GSON1112030553")</f>
        <v>#NAME?</v>
      </c>
      <c r="L248" s="23" t="e">
        <f ca="1">[1]!BexGetData("DP_1","003N8EMH8GTFRIVNUPY2891V1","GSON1112030553")</f>
        <v>#NAME?</v>
      </c>
      <c r="M248" s="28" t="e">
        <f ca="1">[1]!BexGetData("DP_1","003N8EMH8GTFRIVOG7KG9IQXA","GSON1112030553")</f>
        <v>#NAME?</v>
      </c>
      <c r="N248" s="23" t="e">
        <f ca="1">[1]!BexGetData("DP_1","003N8EMH8GTFRIVOG7KG9IX8U","GSON1112030553")</f>
        <v>#NAME?</v>
      </c>
      <c r="O248" s="28" t="e">
        <f ca="1">[1]!BexGetData("DP_1","003N8EMH8GTFRIVOG7KG9J3KE","GSON1112030553")</f>
        <v>#NAME?</v>
      </c>
      <c r="P248" s="23" t="e">
        <f ca="1">[1]!BexGetData("DP_1","003N8EMH8GTFRIVOG7KG9J9VY","GSON1112030553")</f>
        <v>#NAME?</v>
      </c>
      <c r="Q248" s="24" t="e">
        <f ca="1">[1]!BexGetData("DP_1","00O2TNJGODT0G5Z4TTKYMM5MT","GSON1112030553")</f>
        <v>#NAME?</v>
      </c>
      <c r="R248" s="23" t="e">
        <f ca="1">[1]!BexGetData("DP_1","00O2TNJGODT0G5Z4TTKYMMBYD","GSON1112030553")</f>
        <v>#NAME?</v>
      </c>
      <c r="S248" s="23" t="e">
        <f ca="1">[1]!BexGetData("DP_1","00O2TNJGODT0G5Z4TTKYMMI9X","GSON1112030553")</f>
        <v>#NAME?</v>
      </c>
      <c r="T248" s="23" t="e">
        <f ca="1">[1]!BexGetData("DP_1","00O2TNJGODT0G5Z4TTKYMMOLH","GSON1112030553")</f>
        <v>#NAME?</v>
      </c>
      <c r="U248" s="28" t="e">
        <f ca="1">[1]!BexGetData("DP_1","00O2TNJGODT0G5Z4TTKYMMUX1","GSON1112030553")</f>
        <v>#NAME?</v>
      </c>
      <c r="V248" s="23" t="e">
        <f ca="1">[1]!BexGetData("DP_1","00O2TNJGODT0G5Z4TTKYMN18L","GSON1112030553")</f>
        <v>#NAME?</v>
      </c>
      <c r="W248" s="28" t="e">
        <f ca="1">[1]!BexGetData("DP_1","00O2TNJGODT0G5Z4TTKYMN7K5","GSON1112030553")</f>
        <v>#NAME?</v>
      </c>
    </row>
    <row r="249" spans="1:23" x14ac:dyDescent="0.2">
      <c r="A249" s="36" t="s">
        <v>829</v>
      </c>
      <c r="B249" s="27" t="s">
        <v>830</v>
      </c>
      <c r="C249" s="23" t="e">
        <f ca="1">[1]!BexGetData("DP_1","003N8EMH8GTFRCSWKMPXRR8GU","GSON1112030554")</f>
        <v>#NAME?</v>
      </c>
      <c r="D249" s="23" t="e">
        <f ca="1">[1]!BexGetData("DP_1","003N8EMH8GTFRCSWKMPXRRESE","GSON1112030554")</f>
        <v>#NAME?</v>
      </c>
      <c r="E249" s="28" t="e">
        <f ca="1">[1]!BexGetData("DP_1","003N8EMH8GTFRCSWKMPXRRL3Y","GSON1112030554")</f>
        <v>#NAME?</v>
      </c>
      <c r="F249" s="28" t="e">
        <f ca="1">[1]!BexGetData("DP_1","003N8EMH8GTFRCSWKMPXRRRFI","GSON1112030554")</f>
        <v>#NAME?</v>
      </c>
      <c r="G249" s="23" t="e">
        <f ca="1">[1]!BexGetData("DP_1","003N8EMH8GTFRCSWKMPXRRXR2","GSON1112030554")</f>
        <v>#NAME?</v>
      </c>
      <c r="H249" s="23" t="e">
        <f ca="1">[1]!BexGetData("DP_1","003N8EMH8GTFRCSWKMPXRS42M","GSON1112030554")</f>
        <v>#NAME?</v>
      </c>
      <c r="I249" s="28" t="e">
        <f ca="1">[1]!BexGetData("DP_1","003N8EMH8GTFRCSWKMPXRSAE6","GSON1112030554")</f>
        <v>#NAME?</v>
      </c>
      <c r="J249" s="24" t="e">
        <f ca="1">[1]!BexGetData("DP_1","003N8EMH8GTFRCSWKMPXRSGPQ","GSON1112030554")</f>
        <v>#NAME?</v>
      </c>
      <c r="K249" s="28" t="e">
        <f ca="1">[1]!BexGetData("DP_1","003N8EMH8GTFRIVNUPY288VJH","GSON1112030554")</f>
        <v>#NAME?</v>
      </c>
      <c r="L249" s="28" t="e">
        <f ca="1">[1]!BexGetData("DP_1","003N8EMH8GTFRIVNUPY2891V1","GSON1112030554")</f>
        <v>#NAME?</v>
      </c>
      <c r="M249" s="28" t="e">
        <f ca="1">[1]!BexGetData("DP_1","003N8EMH8GTFRIVOG7KG9IQXA","GSON1112030554")</f>
        <v>#NAME?</v>
      </c>
      <c r="N249" s="28" t="e">
        <f ca="1">[1]!BexGetData("DP_1","003N8EMH8GTFRIVOG7KG9IX8U","GSON1112030554")</f>
        <v>#NAME?</v>
      </c>
      <c r="O249" s="28" t="e">
        <f ca="1">[1]!BexGetData("DP_1","003N8EMH8GTFRIVOG7KG9J3KE","GSON1112030554")</f>
        <v>#NAME?</v>
      </c>
      <c r="P249" s="28" t="e">
        <f ca="1">[1]!BexGetData("DP_1","003N8EMH8GTFRIVOG7KG9J9VY","GSON1112030554")</f>
        <v>#NAME?</v>
      </c>
      <c r="Q249" s="24" t="e">
        <f ca="1">[1]!BexGetData("DP_1","00O2TNJGODT0G5Z4TTKYMM5MT","GSON1112030554")</f>
        <v>#NAME?</v>
      </c>
      <c r="R249" s="28" t="e">
        <f ca="1">[1]!BexGetData("DP_1","00O2TNJGODT0G5Z4TTKYMMBYD","GSON1112030554")</f>
        <v>#NAME?</v>
      </c>
      <c r="S249" s="28" t="e">
        <f ca="1">[1]!BexGetData("DP_1","00O2TNJGODT0G5Z4TTKYMMI9X","GSON1112030554")</f>
        <v>#NAME?</v>
      </c>
      <c r="T249" s="28" t="e">
        <f ca="1">[1]!BexGetData("DP_1","00O2TNJGODT0G5Z4TTKYMMOLH","GSON1112030554")</f>
        <v>#NAME?</v>
      </c>
      <c r="U249" s="28" t="e">
        <f ca="1">[1]!BexGetData("DP_1","00O2TNJGODT0G5Z4TTKYMMUX1","GSON1112030554")</f>
        <v>#NAME?</v>
      </c>
      <c r="V249" s="28" t="e">
        <f ca="1">[1]!BexGetData("DP_1","00O2TNJGODT0G5Z4TTKYMN18L","GSON1112030554")</f>
        <v>#NAME?</v>
      </c>
      <c r="W249" s="28" t="e">
        <f ca="1">[1]!BexGetData("DP_1","00O2TNJGODT0G5Z4TTKYMN7K5","GSON1112030554")</f>
        <v>#NAME?</v>
      </c>
    </row>
    <row r="250" spans="1:23" x14ac:dyDescent="0.2">
      <c r="A250" s="36" t="s">
        <v>831</v>
      </c>
      <c r="B250" s="27" t="s">
        <v>832</v>
      </c>
      <c r="C250" s="23" t="e">
        <f ca="1">[1]!BexGetData("DP_1","003N8EMH8GTFRCSWKMPXRR8GU","GSON1112030560")</f>
        <v>#NAME?</v>
      </c>
      <c r="D250" s="23" t="e">
        <f ca="1">[1]!BexGetData("DP_1","003N8EMH8GTFRCSWKMPXRRESE","GSON1112030560")</f>
        <v>#NAME?</v>
      </c>
      <c r="E250" s="23" t="e">
        <f ca="1">[1]!BexGetData("DP_1","003N8EMH8GTFRCSWKMPXRRL3Y","GSON1112030560")</f>
        <v>#NAME?</v>
      </c>
      <c r="F250" s="23" t="e">
        <f ca="1">[1]!BexGetData("DP_1","003N8EMH8GTFRCSWKMPXRRRFI","GSON1112030560")</f>
        <v>#NAME?</v>
      </c>
      <c r="G250" s="23" t="e">
        <f ca="1">[1]!BexGetData("DP_1","003N8EMH8GTFRCSWKMPXRRXR2","GSON1112030560")</f>
        <v>#NAME?</v>
      </c>
      <c r="H250" s="23" t="e">
        <f ca="1">[1]!BexGetData("DP_1","003N8EMH8GTFRCSWKMPXRS42M","GSON1112030560")</f>
        <v>#NAME?</v>
      </c>
      <c r="I250" s="23" t="e">
        <f ca="1">[1]!BexGetData("DP_1","003N8EMH8GTFRCSWKMPXRSAE6","GSON1112030560")</f>
        <v>#NAME?</v>
      </c>
      <c r="J250" s="23" t="e">
        <f ca="1">[1]!BexGetData("DP_1","003N8EMH8GTFRCSWKMPXRSGPQ","GSON1112030560")</f>
        <v>#NAME?</v>
      </c>
      <c r="K250" s="23" t="e">
        <f ca="1">[1]!BexGetData("DP_1","003N8EMH8GTFRIVNUPY288VJH","GSON1112030560")</f>
        <v>#NAME?</v>
      </c>
      <c r="L250" s="23" t="e">
        <f ca="1">[1]!BexGetData("DP_1","003N8EMH8GTFRIVNUPY2891V1","GSON1112030560")</f>
        <v>#NAME?</v>
      </c>
      <c r="M250" s="28" t="e">
        <f ca="1">[1]!BexGetData("DP_1","003N8EMH8GTFRIVOG7KG9IQXA","GSON1112030560")</f>
        <v>#NAME?</v>
      </c>
      <c r="N250" s="23" t="e">
        <f ca="1">[1]!BexGetData("DP_1","003N8EMH8GTFRIVOG7KG9IX8U","GSON1112030560")</f>
        <v>#NAME?</v>
      </c>
      <c r="O250" s="28" t="e">
        <f ca="1">[1]!BexGetData("DP_1","003N8EMH8GTFRIVOG7KG9J3KE","GSON1112030560")</f>
        <v>#NAME?</v>
      </c>
      <c r="P250" s="23" t="e">
        <f ca="1">[1]!BexGetData("DP_1","003N8EMH8GTFRIVOG7KG9J9VY","GSON1112030560")</f>
        <v>#NAME?</v>
      </c>
      <c r="Q250" s="23" t="e">
        <f ca="1">[1]!BexGetData("DP_1","00O2TNJGODT0G5Z4TTKYMM5MT","GSON1112030560")</f>
        <v>#NAME?</v>
      </c>
      <c r="R250" s="23" t="e">
        <f ca="1">[1]!BexGetData("DP_1","00O2TNJGODT0G5Z4TTKYMMBYD","GSON1112030560")</f>
        <v>#NAME?</v>
      </c>
      <c r="S250" s="23" t="e">
        <f ca="1">[1]!BexGetData("DP_1","00O2TNJGODT0G5Z4TTKYMMI9X","GSON1112030560")</f>
        <v>#NAME?</v>
      </c>
      <c r="T250" s="23" t="e">
        <f ca="1">[1]!BexGetData("DP_1","00O2TNJGODT0G5Z4TTKYMMOLH","GSON1112030560")</f>
        <v>#NAME?</v>
      </c>
      <c r="U250" s="28" t="e">
        <f ca="1">[1]!BexGetData("DP_1","00O2TNJGODT0G5Z4TTKYMMUX1","GSON1112030560")</f>
        <v>#NAME?</v>
      </c>
      <c r="V250" s="23" t="e">
        <f ca="1">[1]!BexGetData("DP_1","00O2TNJGODT0G5Z4TTKYMN18L","GSON1112030560")</f>
        <v>#NAME?</v>
      </c>
      <c r="W250" s="28" t="e">
        <f ca="1">[1]!BexGetData("DP_1","00O2TNJGODT0G5Z4TTKYMN7K5","GSON1112030560")</f>
        <v>#NAME?</v>
      </c>
    </row>
    <row r="251" spans="1:23" x14ac:dyDescent="0.2">
      <c r="A251" s="36" t="s">
        <v>833</v>
      </c>
      <c r="B251" s="27" t="s">
        <v>834</v>
      </c>
      <c r="C251" s="23" t="e">
        <f ca="1">[1]!BexGetData("DP_1","003N8EMH8GTFRCSWKMPXRR8GU","GSON1112030561")</f>
        <v>#NAME?</v>
      </c>
      <c r="D251" s="23" t="e">
        <f ca="1">[1]!BexGetData("DP_1","003N8EMH8GTFRCSWKMPXRRESE","GSON1112030561")</f>
        <v>#NAME?</v>
      </c>
      <c r="E251" s="23" t="e">
        <f ca="1">[1]!BexGetData("DP_1","003N8EMH8GTFRCSWKMPXRRL3Y","GSON1112030561")</f>
        <v>#NAME?</v>
      </c>
      <c r="F251" s="23" t="e">
        <f ca="1">[1]!BexGetData("DP_1","003N8EMH8GTFRCSWKMPXRRRFI","GSON1112030561")</f>
        <v>#NAME?</v>
      </c>
      <c r="G251" s="23" t="e">
        <f ca="1">[1]!BexGetData("DP_1","003N8EMH8GTFRCSWKMPXRRXR2","GSON1112030561")</f>
        <v>#NAME?</v>
      </c>
      <c r="H251" s="23" t="e">
        <f ca="1">[1]!BexGetData("DP_1","003N8EMH8GTFRCSWKMPXRS42M","GSON1112030561")</f>
        <v>#NAME?</v>
      </c>
      <c r="I251" s="23" t="e">
        <f ca="1">[1]!BexGetData("DP_1","003N8EMH8GTFRCSWKMPXRSAE6","GSON1112030561")</f>
        <v>#NAME?</v>
      </c>
      <c r="J251" s="23" t="e">
        <f ca="1">[1]!BexGetData("DP_1","003N8EMH8GTFRCSWKMPXRSGPQ","GSON1112030561")</f>
        <v>#NAME?</v>
      </c>
      <c r="K251" s="23" t="e">
        <f ca="1">[1]!BexGetData("DP_1","003N8EMH8GTFRIVNUPY288VJH","GSON1112030561")</f>
        <v>#NAME?</v>
      </c>
      <c r="L251" s="23" t="e">
        <f ca="1">[1]!BexGetData("DP_1","003N8EMH8GTFRIVNUPY2891V1","GSON1112030561")</f>
        <v>#NAME?</v>
      </c>
      <c r="M251" s="28" t="e">
        <f ca="1">[1]!BexGetData("DP_1","003N8EMH8GTFRIVOG7KG9IQXA","GSON1112030561")</f>
        <v>#NAME?</v>
      </c>
      <c r="N251" s="23" t="e">
        <f ca="1">[1]!BexGetData("DP_1","003N8EMH8GTFRIVOG7KG9IX8U","GSON1112030561")</f>
        <v>#NAME?</v>
      </c>
      <c r="O251" s="28" t="e">
        <f ca="1">[1]!BexGetData("DP_1","003N8EMH8GTFRIVOG7KG9J3KE","GSON1112030561")</f>
        <v>#NAME?</v>
      </c>
      <c r="P251" s="23" t="e">
        <f ca="1">[1]!BexGetData("DP_1","003N8EMH8GTFRIVOG7KG9J9VY","GSON1112030561")</f>
        <v>#NAME?</v>
      </c>
      <c r="Q251" s="23" t="e">
        <f ca="1">[1]!BexGetData("DP_1","00O2TNJGODT0G5Z4TTKYMM5MT","GSON1112030561")</f>
        <v>#NAME?</v>
      </c>
      <c r="R251" s="23" t="e">
        <f ca="1">[1]!BexGetData("DP_1","00O2TNJGODT0G5Z4TTKYMMBYD","GSON1112030561")</f>
        <v>#NAME?</v>
      </c>
      <c r="S251" s="23" t="e">
        <f ca="1">[1]!BexGetData("DP_1","00O2TNJGODT0G5Z4TTKYMMI9X","GSON1112030561")</f>
        <v>#NAME?</v>
      </c>
      <c r="T251" s="23" t="e">
        <f ca="1">[1]!BexGetData("DP_1","00O2TNJGODT0G5Z4TTKYMMOLH","GSON1112030561")</f>
        <v>#NAME?</v>
      </c>
      <c r="U251" s="28" t="e">
        <f ca="1">[1]!BexGetData("DP_1","00O2TNJGODT0G5Z4TTKYMMUX1","GSON1112030561")</f>
        <v>#NAME?</v>
      </c>
      <c r="V251" s="23" t="e">
        <f ca="1">[1]!BexGetData("DP_1","00O2TNJGODT0G5Z4TTKYMN18L","GSON1112030561")</f>
        <v>#NAME?</v>
      </c>
      <c r="W251" s="28" t="e">
        <f ca="1">[1]!BexGetData("DP_1","00O2TNJGODT0G5Z4TTKYMN7K5","GSON1112030561")</f>
        <v>#NAME?</v>
      </c>
    </row>
    <row r="252" spans="1:23" x14ac:dyDescent="0.2">
      <c r="A252" s="36" t="s">
        <v>835</v>
      </c>
      <c r="B252" s="27" t="s">
        <v>836</v>
      </c>
      <c r="C252" s="23" t="e">
        <f ca="1">[1]!BexGetData("DP_1","003N8EMH8GTFRCSWKMPXRR8GU","GSON1112030562")</f>
        <v>#NAME?</v>
      </c>
      <c r="D252" s="23" t="e">
        <f ca="1">[1]!BexGetData("DP_1","003N8EMH8GTFRCSWKMPXRRESE","GSON1112030562")</f>
        <v>#NAME?</v>
      </c>
      <c r="E252" s="28" t="e">
        <f ca="1">[1]!BexGetData("DP_1","003N8EMH8GTFRCSWKMPXRRL3Y","GSON1112030562")</f>
        <v>#NAME?</v>
      </c>
      <c r="F252" s="23" t="e">
        <f ca="1">[1]!BexGetData("DP_1","003N8EMH8GTFRCSWKMPXRRRFI","GSON1112030562")</f>
        <v>#NAME?</v>
      </c>
      <c r="G252" s="23" t="e">
        <f ca="1">[1]!BexGetData("DP_1","003N8EMH8GTFRCSWKMPXRRXR2","GSON1112030562")</f>
        <v>#NAME?</v>
      </c>
      <c r="H252" s="23" t="e">
        <f ca="1">[1]!BexGetData("DP_1","003N8EMH8GTFRCSWKMPXRS42M","GSON1112030562")</f>
        <v>#NAME?</v>
      </c>
      <c r="I252" s="23" t="e">
        <f ca="1">[1]!BexGetData("DP_1","003N8EMH8GTFRCSWKMPXRSAE6","GSON1112030562")</f>
        <v>#NAME?</v>
      </c>
      <c r="J252" s="24" t="e">
        <f ca="1">[1]!BexGetData("DP_1","003N8EMH8GTFRCSWKMPXRSGPQ","GSON1112030562")</f>
        <v>#NAME?</v>
      </c>
      <c r="K252" s="23" t="e">
        <f ca="1">[1]!BexGetData("DP_1","003N8EMH8GTFRIVNUPY288VJH","GSON1112030562")</f>
        <v>#NAME?</v>
      </c>
      <c r="L252" s="23" t="e">
        <f ca="1">[1]!BexGetData("DP_1","003N8EMH8GTFRIVNUPY2891V1","GSON1112030562")</f>
        <v>#NAME?</v>
      </c>
      <c r="M252" s="23" t="e">
        <f ca="1">[1]!BexGetData("DP_1","003N8EMH8GTFRIVOG7KG9IQXA","GSON1112030562")</f>
        <v>#NAME?</v>
      </c>
      <c r="N252" s="28" t="e">
        <f ca="1">[1]!BexGetData("DP_1","003N8EMH8GTFRIVOG7KG9IX8U","GSON1112030562")</f>
        <v>#NAME?</v>
      </c>
      <c r="O252" s="23" t="e">
        <f ca="1">[1]!BexGetData("DP_1","003N8EMH8GTFRIVOG7KG9J3KE","GSON1112030562")</f>
        <v>#NAME?</v>
      </c>
      <c r="P252" s="28" t="e">
        <f ca="1">[1]!BexGetData("DP_1","003N8EMH8GTFRIVOG7KG9J9VY","GSON1112030562")</f>
        <v>#NAME?</v>
      </c>
      <c r="Q252" s="24" t="e">
        <f ca="1">[1]!BexGetData("DP_1","00O2TNJGODT0G5Z4TTKYMM5MT","GSON1112030562")</f>
        <v>#NAME?</v>
      </c>
      <c r="R252" s="23" t="e">
        <f ca="1">[1]!BexGetData("DP_1","00O2TNJGODT0G5Z4TTKYMMBYD","GSON1112030562")</f>
        <v>#NAME?</v>
      </c>
      <c r="S252" s="23" t="e">
        <f ca="1">[1]!BexGetData("DP_1","00O2TNJGODT0G5Z4TTKYMMI9X","GSON1112030562")</f>
        <v>#NAME?</v>
      </c>
      <c r="T252" s="28" t="e">
        <f ca="1">[1]!BexGetData("DP_1","00O2TNJGODT0G5Z4TTKYMMOLH","GSON1112030562")</f>
        <v>#NAME?</v>
      </c>
      <c r="U252" s="23" t="e">
        <f ca="1">[1]!BexGetData("DP_1","00O2TNJGODT0G5Z4TTKYMMUX1","GSON1112030562")</f>
        <v>#NAME?</v>
      </c>
      <c r="V252" s="28" t="e">
        <f ca="1">[1]!BexGetData("DP_1","00O2TNJGODT0G5Z4TTKYMN18L","GSON1112030562")</f>
        <v>#NAME?</v>
      </c>
      <c r="W252" s="23" t="e">
        <f ca="1">[1]!BexGetData("DP_1","00O2TNJGODT0G5Z4TTKYMN7K5","GSON1112030562")</f>
        <v>#NAME?</v>
      </c>
    </row>
    <row r="253" spans="1:23" x14ac:dyDescent="0.2">
      <c r="A253" s="36" t="s">
        <v>2104</v>
      </c>
      <c r="B253" s="27" t="s">
        <v>2105</v>
      </c>
      <c r="C253" s="23" t="e">
        <f ca="1">[1]!BexGetData("DP_1","003N8EMH8GTFRCSWKMPXRR8GU","GSON1112030563")</f>
        <v>#NAME?</v>
      </c>
      <c r="D253" s="23" t="e">
        <f ca="1">[1]!BexGetData("DP_1","003N8EMH8GTFRCSWKMPXRRESE","GSON1112030563")</f>
        <v>#NAME?</v>
      </c>
      <c r="E253" s="23" t="e">
        <f ca="1">[1]!BexGetData("DP_1","003N8EMH8GTFRCSWKMPXRRL3Y","GSON1112030563")</f>
        <v>#NAME?</v>
      </c>
      <c r="F253" s="23" t="e">
        <f ca="1">[1]!BexGetData("DP_1","003N8EMH8GTFRCSWKMPXRRRFI","GSON1112030563")</f>
        <v>#NAME?</v>
      </c>
      <c r="G253" s="23" t="e">
        <f ca="1">[1]!BexGetData("DP_1","003N8EMH8GTFRCSWKMPXRRXR2","GSON1112030563")</f>
        <v>#NAME?</v>
      </c>
      <c r="H253" s="23" t="e">
        <f ca="1">[1]!BexGetData("DP_1","003N8EMH8GTFRCSWKMPXRS42M","GSON1112030563")</f>
        <v>#NAME?</v>
      </c>
      <c r="I253" s="23" t="e">
        <f ca="1">[1]!BexGetData("DP_1","003N8EMH8GTFRCSWKMPXRSAE6","GSON1112030563")</f>
        <v>#NAME?</v>
      </c>
      <c r="J253" s="24" t="e">
        <f ca="1">[1]!BexGetData("DP_1","003N8EMH8GTFRCSWKMPXRSGPQ","GSON1112030563")</f>
        <v>#NAME?</v>
      </c>
      <c r="K253" s="23" t="e">
        <f ca="1">[1]!BexGetData("DP_1","003N8EMH8GTFRIVNUPY288VJH","GSON1112030563")</f>
        <v>#NAME?</v>
      </c>
      <c r="L253" s="23" t="e">
        <f ca="1">[1]!BexGetData("DP_1","003N8EMH8GTFRIVNUPY2891V1","GSON1112030563")</f>
        <v>#NAME?</v>
      </c>
      <c r="M253" s="23" t="e">
        <f ca="1">[1]!BexGetData("DP_1","003N8EMH8GTFRIVOG7KG9IQXA","GSON1112030563")</f>
        <v>#NAME?</v>
      </c>
      <c r="N253" s="28" t="e">
        <f ca="1">[1]!BexGetData("DP_1","003N8EMH8GTFRIVOG7KG9IX8U","GSON1112030563")</f>
        <v>#NAME?</v>
      </c>
      <c r="O253" s="23" t="e">
        <f ca="1">[1]!BexGetData("DP_1","003N8EMH8GTFRIVOG7KG9J3KE","GSON1112030563")</f>
        <v>#NAME?</v>
      </c>
      <c r="P253" s="28" t="e">
        <f ca="1">[1]!BexGetData("DP_1","003N8EMH8GTFRIVOG7KG9J9VY","GSON1112030563")</f>
        <v>#NAME?</v>
      </c>
      <c r="Q253" s="24" t="e">
        <f ca="1">[1]!BexGetData("DP_1","00O2TNJGODT0G5Z4TTKYMM5MT","GSON1112030563")</f>
        <v>#NAME?</v>
      </c>
      <c r="R253" s="23" t="e">
        <f ca="1">[1]!BexGetData("DP_1","00O2TNJGODT0G5Z4TTKYMMBYD","GSON1112030563")</f>
        <v>#NAME?</v>
      </c>
      <c r="S253" s="23" t="e">
        <f ca="1">[1]!BexGetData("DP_1","00O2TNJGODT0G5Z4TTKYMMI9X","GSON1112030563")</f>
        <v>#NAME?</v>
      </c>
      <c r="T253" s="28" t="e">
        <f ca="1">[1]!BexGetData("DP_1","00O2TNJGODT0G5Z4TTKYMMOLH","GSON1112030563")</f>
        <v>#NAME?</v>
      </c>
      <c r="U253" s="23" t="e">
        <f ca="1">[1]!BexGetData("DP_1","00O2TNJGODT0G5Z4TTKYMMUX1","GSON1112030563")</f>
        <v>#NAME?</v>
      </c>
      <c r="V253" s="28" t="e">
        <f ca="1">[1]!BexGetData("DP_1","00O2TNJGODT0G5Z4TTKYMN18L","GSON1112030563")</f>
        <v>#NAME?</v>
      </c>
      <c r="W253" s="23" t="e">
        <f ca="1">[1]!BexGetData("DP_1","00O2TNJGODT0G5Z4TTKYMN7K5","GSON1112030563")</f>
        <v>#NAME?</v>
      </c>
    </row>
    <row r="254" spans="1:23" x14ac:dyDescent="0.2">
      <c r="A254" s="36" t="s">
        <v>837</v>
      </c>
      <c r="B254" s="27" t="s">
        <v>838</v>
      </c>
      <c r="C254" s="23" t="e">
        <f ca="1">[1]!BexGetData("DP_1","003N8EMH8GTFRCSWKMPXRR8GU","GSON1112030564")</f>
        <v>#NAME?</v>
      </c>
      <c r="D254" s="23" t="e">
        <f ca="1">[1]!BexGetData("DP_1","003N8EMH8GTFRCSWKMPXRRESE","GSON1112030564")</f>
        <v>#NAME?</v>
      </c>
      <c r="E254" s="28" t="e">
        <f ca="1">[1]!BexGetData("DP_1","003N8EMH8GTFRCSWKMPXRRL3Y","GSON1112030564")</f>
        <v>#NAME?</v>
      </c>
      <c r="F254" s="28" t="e">
        <f ca="1">[1]!BexGetData("DP_1","003N8EMH8GTFRCSWKMPXRRRFI","GSON1112030564")</f>
        <v>#NAME?</v>
      </c>
      <c r="G254" s="23" t="e">
        <f ca="1">[1]!BexGetData("DP_1","003N8EMH8GTFRCSWKMPXRRXR2","GSON1112030564")</f>
        <v>#NAME?</v>
      </c>
      <c r="H254" s="23" t="e">
        <f ca="1">[1]!BexGetData("DP_1","003N8EMH8GTFRCSWKMPXRS42M","GSON1112030564")</f>
        <v>#NAME?</v>
      </c>
      <c r="I254" s="28" t="e">
        <f ca="1">[1]!BexGetData("DP_1","003N8EMH8GTFRCSWKMPXRSAE6","GSON1112030564")</f>
        <v>#NAME?</v>
      </c>
      <c r="J254" s="24" t="e">
        <f ca="1">[1]!BexGetData("DP_1","003N8EMH8GTFRCSWKMPXRSGPQ","GSON1112030564")</f>
        <v>#NAME?</v>
      </c>
      <c r="K254" s="28" t="e">
        <f ca="1">[1]!BexGetData("DP_1","003N8EMH8GTFRIVNUPY288VJH","GSON1112030564")</f>
        <v>#NAME?</v>
      </c>
      <c r="L254" s="28" t="e">
        <f ca="1">[1]!BexGetData("DP_1","003N8EMH8GTFRIVNUPY2891V1","GSON1112030564")</f>
        <v>#NAME?</v>
      </c>
      <c r="M254" s="28" t="e">
        <f ca="1">[1]!BexGetData("DP_1","003N8EMH8GTFRIVOG7KG9IQXA","GSON1112030564")</f>
        <v>#NAME?</v>
      </c>
      <c r="N254" s="28" t="e">
        <f ca="1">[1]!BexGetData("DP_1","003N8EMH8GTFRIVOG7KG9IX8U","GSON1112030564")</f>
        <v>#NAME?</v>
      </c>
      <c r="O254" s="28" t="e">
        <f ca="1">[1]!BexGetData("DP_1","003N8EMH8GTFRIVOG7KG9J3KE","GSON1112030564")</f>
        <v>#NAME?</v>
      </c>
      <c r="P254" s="28" t="e">
        <f ca="1">[1]!BexGetData("DP_1","003N8EMH8GTFRIVOG7KG9J9VY","GSON1112030564")</f>
        <v>#NAME?</v>
      </c>
      <c r="Q254" s="24" t="e">
        <f ca="1">[1]!BexGetData("DP_1","00O2TNJGODT0G5Z4TTKYMM5MT","GSON1112030564")</f>
        <v>#NAME?</v>
      </c>
      <c r="R254" s="28" t="e">
        <f ca="1">[1]!BexGetData("DP_1","00O2TNJGODT0G5Z4TTKYMMBYD","GSON1112030564")</f>
        <v>#NAME?</v>
      </c>
      <c r="S254" s="28" t="e">
        <f ca="1">[1]!BexGetData("DP_1","00O2TNJGODT0G5Z4TTKYMMI9X","GSON1112030564")</f>
        <v>#NAME?</v>
      </c>
      <c r="T254" s="28" t="e">
        <f ca="1">[1]!BexGetData("DP_1","00O2TNJGODT0G5Z4TTKYMMOLH","GSON1112030564")</f>
        <v>#NAME?</v>
      </c>
      <c r="U254" s="28" t="e">
        <f ca="1">[1]!BexGetData("DP_1","00O2TNJGODT0G5Z4TTKYMMUX1","GSON1112030564")</f>
        <v>#NAME?</v>
      </c>
      <c r="V254" s="28" t="e">
        <f ca="1">[1]!BexGetData("DP_1","00O2TNJGODT0G5Z4TTKYMN18L","GSON1112030564")</f>
        <v>#NAME?</v>
      </c>
      <c r="W254" s="28" t="e">
        <f ca="1">[1]!BexGetData("DP_1","00O2TNJGODT0G5Z4TTKYMN7K5","GSON1112030564")</f>
        <v>#NAME?</v>
      </c>
    </row>
    <row r="255" spans="1:23" x14ac:dyDescent="0.2">
      <c r="A255" s="36" t="s">
        <v>839</v>
      </c>
      <c r="B255" s="27" t="s">
        <v>840</v>
      </c>
      <c r="C255" s="23" t="e">
        <f ca="1">[1]!BexGetData("DP_1","003N8EMH8GTFRCSWKMPXRR8GU","GSON1112030570")</f>
        <v>#NAME?</v>
      </c>
      <c r="D255" s="23" t="e">
        <f ca="1">[1]!BexGetData("DP_1","003N8EMH8GTFRCSWKMPXRRESE","GSON1112030570")</f>
        <v>#NAME?</v>
      </c>
      <c r="E255" s="23" t="e">
        <f ca="1">[1]!BexGetData("DP_1","003N8EMH8GTFRCSWKMPXRRL3Y","GSON1112030570")</f>
        <v>#NAME?</v>
      </c>
      <c r="F255" s="23" t="e">
        <f ca="1">[1]!BexGetData("DP_1","003N8EMH8GTFRCSWKMPXRRRFI","GSON1112030570")</f>
        <v>#NAME?</v>
      </c>
      <c r="G255" s="23" t="e">
        <f ca="1">[1]!BexGetData("DP_1","003N8EMH8GTFRCSWKMPXRRXR2","GSON1112030570")</f>
        <v>#NAME?</v>
      </c>
      <c r="H255" s="23" t="e">
        <f ca="1">[1]!BexGetData("DP_1","003N8EMH8GTFRCSWKMPXRS42M","GSON1112030570")</f>
        <v>#NAME?</v>
      </c>
      <c r="I255" s="23" t="e">
        <f ca="1">[1]!BexGetData("DP_1","003N8EMH8GTFRCSWKMPXRSAE6","GSON1112030570")</f>
        <v>#NAME?</v>
      </c>
      <c r="J255" s="23" t="e">
        <f ca="1">[1]!BexGetData("DP_1","003N8EMH8GTFRCSWKMPXRSGPQ","GSON1112030570")</f>
        <v>#NAME?</v>
      </c>
      <c r="K255" s="23" t="e">
        <f ca="1">[1]!BexGetData("DP_1","003N8EMH8GTFRIVNUPY288VJH","GSON1112030570")</f>
        <v>#NAME?</v>
      </c>
      <c r="L255" s="23" t="e">
        <f ca="1">[1]!BexGetData("DP_1","003N8EMH8GTFRIVNUPY2891V1","GSON1112030570")</f>
        <v>#NAME?</v>
      </c>
      <c r="M255" s="28" t="e">
        <f ca="1">[1]!BexGetData("DP_1","003N8EMH8GTFRIVOG7KG9IQXA","GSON1112030570")</f>
        <v>#NAME?</v>
      </c>
      <c r="N255" s="23" t="e">
        <f ca="1">[1]!BexGetData("DP_1","003N8EMH8GTFRIVOG7KG9IX8U","GSON1112030570")</f>
        <v>#NAME?</v>
      </c>
      <c r="O255" s="28" t="e">
        <f ca="1">[1]!BexGetData("DP_1","003N8EMH8GTFRIVOG7KG9J3KE","GSON1112030570")</f>
        <v>#NAME?</v>
      </c>
      <c r="P255" s="23" t="e">
        <f ca="1">[1]!BexGetData("DP_1","003N8EMH8GTFRIVOG7KG9J9VY","GSON1112030570")</f>
        <v>#NAME?</v>
      </c>
      <c r="Q255" s="23" t="e">
        <f ca="1">[1]!BexGetData("DP_1","00O2TNJGODT0G5Z4TTKYMM5MT","GSON1112030570")</f>
        <v>#NAME?</v>
      </c>
      <c r="R255" s="23" t="e">
        <f ca="1">[1]!BexGetData("DP_1","00O2TNJGODT0G5Z4TTKYMMBYD","GSON1112030570")</f>
        <v>#NAME?</v>
      </c>
      <c r="S255" s="23" t="e">
        <f ca="1">[1]!BexGetData("DP_1","00O2TNJGODT0G5Z4TTKYMMI9X","GSON1112030570")</f>
        <v>#NAME?</v>
      </c>
      <c r="T255" s="23" t="e">
        <f ca="1">[1]!BexGetData("DP_1","00O2TNJGODT0G5Z4TTKYMMOLH","GSON1112030570")</f>
        <v>#NAME?</v>
      </c>
      <c r="U255" s="28" t="e">
        <f ca="1">[1]!BexGetData("DP_1","00O2TNJGODT0G5Z4TTKYMMUX1","GSON1112030570")</f>
        <v>#NAME?</v>
      </c>
      <c r="V255" s="23" t="e">
        <f ca="1">[1]!BexGetData("DP_1","00O2TNJGODT0G5Z4TTKYMN18L","GSON1112030570")</f>
        <v>#NAME?</v>
      </c>
      <c r="W255" s="28" t="e">
        <f ca="1">[1]!BexGetData("DP_1","00O2TNJGODT0G5Z4TTKYMN7K5","GSON1112030570")</f>
        <v>#NAME?</v>
      </c>
    </row>
    <row r="256" spans="1:23" x14ac:dyDescent="0.2">
      <c r="A256" s="36" t="s">
        <v>841</v>
      </c>
      <c r="B256" s="27" t="s">
        <v>842</v>
      </c>
      <c r="C256" s="23" t="e">
        <f ca="1">[1]!BexGetData("DP_1","003N8EMH8GTFRCSWKMPXRR8GU","GSON1112030571")</f>
        <v>#NAME?</v>
      </c>
      <c r="D256" s="23" t="e">
        <f ca="1">[1]!BexGetData("DP_1","003N8EMH8GTFRCSWKMPXRRESE","GSON1112030571")</f>
        <v>#NAME?</v>
      </c>
      <c r="E256" s="23" t="e">
        <f ca="1">[1]!BexGetData("DP_1","003N8EMH8GTFRCSWKMPXRRL3Y","GSON1112030571")</f>
        <v>#NAME?</v>
      </c>
      <c r="F256" s="23" t="e">
        <f ca="1">[1]!BexGetData("DP_1","003N8EMH8GTFRCSWKMPXRRRFI","GSON1112030571")</f>
        <v>#NAME?</v>
      </c>
      <c r="G256" s="23" t="e">
        <f ca="1">[1]!BexGetData("DP_1","003N8EMH8GTFRCSWKMPXRRXR2","GSON1112030571")</f>
        <v>#NAME?</v>
      </c>
      <c r="H256" s="23" t="e">
        <f ca="1">[1]!BexGetData("DP_1","003N8EMH8GTFRCSWKMPXRS42M","GSON1112030571")</f>
        <v>#NAME?</v>
      </c>
      <c r="I256" s="23" t="e">
        <f ca="1">[1]!BexGetData("DP_1","003N8EMH8GTFRCSWKMPXRSAE6","GSON1112030571")</f>
        <v>#NAME?</v>
      </c>
      <c r="J256" s="24" t="e">
        <f ca="1">[1]!BexGetData("DP_1","003N8EMH8GTFRCSWKMPXRSGPQ","GSON1112030571")</f>
        <v>#NAME?</v>
      </c>
      <c r="K256" s="23" t="e">
        <f ca="1">[1]!BexGetData("DP_1","003N8EMH8GTFRIVNUPY288VJH","GSON1112030571")</f>
        <v>#NAME?</v>
      </c>
      <c r="L256" s="23" t="e">
        <f ca="1">[1]!BexGetData("DP_1","003N8EMH8GTFRIVNUPY2891V1","GSON1112030571")</f>
        <v>#NAME?</v>
      </c>
      <c r="M256" s="28" t="e">
        <f ca="1">[1]!BexGetData("DP_1","003N8EMH8GTFRIVOG7KG9IQXA","GSON1112030571")</f>
        <v>#NAME?</v>
      </c>
      <c r="N256" s="23" t="e">
        <f ca="1">[1]!BexGetData("DP_1","003N8EMH8GTFRIVOG7KG9IX8U","GSON1112030571")</f>
        <v>#NAME?</v>
      </c>
      <c r="O256" s="28" t="e">
        <f ca="1">[1]!BexGetData("DP_1","003N8EMH8GTFRIVOG7KG9J3KE","GSON1112030571")</f>
        <v>#NAME?</v>
      </c>
      <c r="P256" s="23" t="e">
        <f ca="1">[1]!BexGetData("DP_1","003N8EMH8GTFRIVOG7KG9J9VY","GSON1112030571")</f>
        <v>#NAME?</v>
      </c>
      <c r="Q256" s="24" t="e">
        <f ca="1">[1]!BexGetData("DP_1","00O2TNJGODT0G5Z4TTKYMM5MT","GSON1112030571")</f>
        <v>#NAME?</v>
      </c>
      <c r="R256" s="23" t="e">
        <f ca="1">[1]!BexGetData("DP_1","00O2TNJGODT0G5Z4TTKYMMBYD","GSON1112030571")</f>
        <v>#NAME?</v>
      </c>
      <c r="S256" s="23" t="e">
        <f ca="1">[1]!BexGetData("DP_1","00O2TNJGODT0G5Z4TTKYMMI9X","GSON1112030571")</f>
        <v>#NAME?</v>
      </c>
      <c r="T256" s="28" t="e">
        <f ca="1">[1]!BexGetData("DP_1","00O2TNJGODT0G5Z4TTKYMMOLH","GSON1112030571")</f>
        <v>#NAME?</v>
      </c>
      <c r="U256" s="23" t="e">
        <f ca="1">[1]!BexGetData("DP_1","00O2TNJGODT0G5Z4TTKYMMUX1","GSON1112030571")</f>
        <v>#NAME?</v>
      </c>
      <c r="V256" s="28" t="e">
        <f ca="1">[1]!BexGetData("DP_1","00O2TNJGODT0G5Z4TTKYMN18L","GSON1112030571")</f>
        <v>#NAME?</v>
      </c>
      <c r="W256" s="23" t="e">
        <f ca="1">[1]!BexGetData("DP_1","00O2TNJGODT0G5Z4TTKYMN7K5","GSON1112030571")</f>
        <v>#NAME?</v>
      </c>
    </row>
    <row r="257" spans="1:23" x14ac:dyDescent="0.2">
      <c r="A257" s="36" t="s">
        <v>2106</v>
      </c>
      <c r="B257" s="27" t="s">
        <v>2107</v>
      </c>
      <c r="C257" s="23" t="e">
        <f ca="1">[1]!BexGetData("DP_1","003N8EMH8GTFRCSWKMPXRR8GU","GSON1112030573")</f>
        <v>#NAME?</v>
      </c>
      <c r="D257" s="23" t="e">
        <f ca="1">[1]!BexGetData("DP_1","003N8EMH8GTFRCSWKMPXRRESE","GSON1112030573")</f>
        <v>#NAME?</v>
      </c>
      <c r="E257" s="28" t="e">
        <f ca="1">[1]!BexGetData("DP_1","003N8EMH8GTFRCSWKMPXRRL3Y","GSON1112030573")</f>
        <v>#NAME?</v>
      </c>
      <c r="F257" s="28" t="e">
        <f ca="1">[1]!BexGetData("DP_1","003N8EMH8GTFRCSWKMPXRRRFI","GSON1112030573")</f>
        <v>#NAME?</v>
      </c>
      <c r="G257" s="23" t="e">
        <f ca="1">[1]!BexGetData("DP_1","003N8EMH8GTFRCSWKMPXRRXR2","GSON1112030573")</f>
        <v>#NAME?</v>
      </c>
      <c r="H257" s="23" t="e">
        <f ca="1">[1]!BexGetData("DP_1","003N8EMH8GTFRCSWKMPXRS42M","GSON1112030573")</f>
        <v>#NAME?</v>
      </c>
      <c r="I257" s="28" t="e">
        <f ca="1">[1]!BexGetData("DP_1","003N8EMH8GTFRCSWKMPXRSAE6","GSON1112030573")</f>
        <v>#NAME?</v>
      </c>
      <c r="J257" s="24" t="e">
        <f ca="1">[1]!BexGetData("DP_1","003N8EMH8GTFRCSWKMPXRSGPQ","GSON1112030573")</f>
        <v>#NAME?</v>
      </c>
      <c r="K257" s="28" t="e">
        <f ca="1">[1]!BexGetData("DP_1","003N8EMH8GTFRIVNUPY288VJH","GSON1112030573")</f>
        <v>#NAME?</v>
      </c>
      <c r="L257" s="28" t="e">
        <f ca="1">[1]!BexGetData("DP_1","003N8EMH8GTFRIVNUPY2891V1","GSON1112030573")</f>
        <v>#NAME?</v>
      </c>
      <c r="M257" s="28" t="e">
        <f ca="1">[1]!BexGetData("DP_1","003N8EMH8GTFRIVOG7KG9IQXA","GSON1112030573")</f>
        <v>#NAME?</v>
      </c>
      <c r="N257" s="28" t="e">
        <f ca="1">[1]!BexGetData("DP_1","003N8EMH8GTFRIVOG7KG9IX8U","GSON1112030573")</f>
        <v>#NAME?</v>
      </c>
      <c r="O257" s="28" t="e">
        <f ca="1">[1]!BexGetData("DP_1","003N8EMH8GTFRIVOG7KG9J3KE","GSON1112030573")</f>
        <v>#NAME?</v>
      </c>
      <c r="P257" s="28" t="e">
        <f ca="1">[1]!BexGetData("DP_1","003N8EMH8GTFRIVOG7KG9J9VY","GSON1112030573")</f>
        <v>#NAME?</v>
      </c>
      <c r="Q257" s="24" t="e">
        <f ca="1">[1]!BexGetData("DP_1","00O2TNJGODT0G5Z4TTKYMM5MT","GSON1112030573")</f>
        <v>#NAME?</v>
      </c>
      <c r="R257" s="28" t="e">
        <f ca="1">[1]!BexGetData("DP_1","00O2TNJGODT0G5Z4TTKYMMBYD","GSON1112030573")</f>
        <v>#NAME?</v>
      </c>
      <c r="S257" s="28" t="e">
        <f ca="1">[1]!BexGetData("DP_1","00O2TNJGODT0G5Z4TTKYMMI9X","GSON1112030573")</f>
        <v>#NAME?</v>
      </c>
      <c r="T257" s="28" t="e">
        <f ca="1">[1]!BexGetData("DP_1","00O2TNJGODT0G5Z4TTKYMMOLH","GSON1112030573")</f>
        <v>#NAME?</v>
      </c>
      <c r="U257" s="28" t="e">
        <f ca="1">[1]!BexGetData("DP_1","00O2TNJGODT0G5Z4TTKYMMUX1","GSON1112030573")</f>
        <v>#NAME?</v>
      </c>
      <c r="V257" s="28" t="e">
        <f ca="1">[1]!BexGetData("DP_1","00O2TNJGODT0G5Z4TTKYMN18L","GSON1112030573")</f>
        <v>#NAME?</v>
      </c>
      <c r="W257" s="28" t="e">
        <f ca="1">[1]!BexGetData("DP_1","00O2TNJGODT0G5Z4TTKYMN7K5","GSON1112030573")</f>
        <v>#NAME?</v>
      </c>
    </row>
    <row r="258" spans="1:23" x14ac:dyDescent="0.2">
      <c r="A258" s="36" t="s">
        <v>2108</v>
      </c>
      <c r="B258" s="27" t="s">
        <v>2109</v>
      </c>
      <c r="C258" s="23" t="e">
        <f ca="1">[1]!BexGetData("DP_1","003N8EMH8GTFRCSWKMPXRR8GU","GSON1112030574")</f>
        <v>#NAME?</v>
      </c>
      <c r="D258" s="23" t="e">
        <f ca="1">[1]!BexGetData("DP_1","003N8EMH8GTFRCSWKMPXRRESE","GSON1112030574")</f>
        <v>#NAME?</v>
      </c>
      <c r="E258" s="28" t="e">
        <f ca="1">[1]!BexGetData("DP_1","003N8EMH8GTFRCSWKMPXRRL3Y","GSON1112030574")</f>
        <v>#NAME?</v>
      </c>
      <c r="F258" s="28" t="e">
        <f ca="1">[1]!BexGetData("DP_1","003N8EMH8GTFRCSWKMPXRRRFI","GSON1112030574")</f>
        <v>#NAME?</v>
      </c>
      <c r="G258" s="23" t="e">
        <f ca="1">[1]!BexGetData("DP_1","003N8EMH8GTFRCSWKMPXRRXR2","GSON1112030574")</f>
        <v>#NAME?</v>
      </c>
      <c r="H258" s="23" t="e">
        <f ca="1">[1]!BexGetData("DP_1","003N8EMH8GTFRCSWKMPXRS42M","GSON1112030574")</f>
        <v>#NAME?</v>
      </c>
      <c r="I258" s="28" t="e">
        <f ca="1">[1]!BexGetData("DP_1","003N8EMH8GTFRCSWKMPXRSAE6","GSON1112030574")</f>
        <v>#NAME?</v>
      </c>
      <c r="J258" s="24" t="e">
        <f ca="1">[1]!BexGetData("DP_1","003N8EMH8GTFRCSWKMPXRSGPQ","GSON1112030574")</f>
        <v>#NAME?</v>
      </c>
      <c r="K258" s="28" t="e">
        <f ca="1">[1]!BexGetData("DP_1","003N8EMH8GTFRIVNUPY288VJH","GSON1112030574")</f>
        <v>#NAME?</v>
      </c>
      <c r="L258" s="28" t="e">
        <f ca="1">[1]!BexGetData("DP_1","003N8EMH8GTFRIVNUPY2891V1","GSON1112030574")</f>
        <v>#NAME?</v>
      </c>
      <c r="M258" s="28" t="e">
        <f ca="1">[1]!BexGetData("DP_1","003N8EMH8GTFRIVOG7KG9IQXA","GSON1112030574")</f>
        <v>#NAME?</v>
      </c>
      <c r="N258" s="28" t="e">
        <f ca="1">[1]!BexGetData("DP_1","003N8EMH8GTFRIVOG7KG9IX8U","GSON1112030574")</f>
        <v>#NAME?</v>
      </c>
      <c r="O258" s="28" t="e">
        <f ca="1">[1]!BexGetData("DP_1","003N8EMH8GTFRIVOG7KG9J3KE","GSON1112030574")</f>
        <v>#NAME?</v>
      </c>
      <c r="P258" s="28" t="e">
        <f ca="1">[1]!BexGetData("DP_1","003N8EMH8GTFRIVOG7KG9J9VY","GSON1112030574")</f>
        <v>#NAME?</v>
      </c>
      <c r="Q258" s="24" t="e">
        <f ca="1">[1]!BexGetData("DP_1","00O2TNJGODT0G5Z4TTKYMM5MT","GSON1112030574")</f>
        <v>#NAME?</v>
      </c>
      <c r="R258" s="28" t="e">
        <f ca="1">[1]!BexGetData("DP_1","00O2TNJGODT0G5Z4TTKYMMBYD","GSON1112030574")</f>
        <v>#NAME?</v>
      </c>
      <c r="S258" s="28" t="e">
        <f ca="1">[1]!BexGetData("DP_1","00O2TNJGODT0G5Z4TTKYMMI9X","GSON1112030574")</f>
        <v>#NAME?</v>
      </c>
      <c r="T258" s="28" t="e">
        <f ca="1">[1]!BexGetData("DP_1","00O2TNJGODT0G5Z4TTKYMMOLH","GSON1112030574")</f>
        <v>#NAME?</v>
      </c>
      <c r="U258" s="28" t="e">
        <f ca="1">[1]!BexGetData("DP_1","00O2TNJGODT0G5Z4TTKYMMUX1","GSON1112030574")</f>
        <v>#NAME?</v>
      </c>
      <c r="V258" s="28" t="e">
        <f ca="1">[1]!BexGetData("DP_1","00O2TNJGODT0G5Z4TTKYMN18L","GSON1112030574")</f>
        <v>#NAME?</v>
      </c>
      <c r="W258" s="28" t="e">
        <f ca="1">[1]!BexGetData("DP_1","00O2TNJGODT0G5Z4TTKYMN7K5","GSON1112030574")</f>
        <v>#NAME?</v>
      </c>
    </row>
    <row r="259" spans="1:23" x14ac:dyDescent="0.2">
      <c r="A259" s="36" t="s">
        <v>843</v>
      </c>
      <c r="B259" s="27" t="s">
        <v>844</v>
      </c>
      <c r="C259" s="23" t="e">
        <f ca="1">[1]!BexGetData("DP_1","003N8EMH8GTFRCSWKMPXRR8GU","GSON1112030580")</f>
        <v>#NAME?</v>
      </c>
      <c r="D259" s="23" t="e">
        <f ca="1">[1]!BexGetData("DP_1","003N8EMH8GTFRCSWKMPXRRESE","GSON1112030580")</f>
        <v>#NAME?</v>
      </c>
      <c r="E259" s="23" t="e">
        <f ca="1">[1]!BexGetData("DP_1","003N8EMH8GTFRCSWKMPXRRL3Y","GSON1112030580")</f>
        <v>#NAME?</v>
      </c>
      <c r="F259" s="23" t="e">
        <f ca="1">[1]!BexGetData("DP_1","003N8EMH8GTFRCSWKMPXRRRFI","GSON1112030580")</f>
        <v>#NAME?</v>
      </c>
      <c r="G259" s="23" t="e">
        <f ca="1">[1]!BexGetData("DP_1","003N8EMH8GTFRCSWKMPXRRXR2","GSON1112030580")</f>
        <v>#NAME?</v>
      </c>
      <c r="H259" s="23" t="e">
        <f ca="1">[1]!BexGetData("DP_1","003N8EMH8GTFRCSWKMPXRS42M","GSON1112030580")</f>
        <v>#NAME?</v>
      </c>
      <c r="I259" s="23" t="e">
        <f ca="1">[1]!BexGetData("DP_1","003N8EMH8GTFRCSWKMPXRSAE6","GSON1112030580")</f>
        <v>#NAME?</v>
      </c>
      <c r="J259" s="23" t="e">
        <f ca="1">[1]!BexGetData("DP_1","003N8EMH8GTFRCSWKMPXRSGPQ","GSON1112030580")</f>
        <v>#NAME?</v>
      </c>
      <c r="K259" s="23" t="e">
        <f ca="1">[1]!BexGetData("DP_1","003N8EMH8GTFRIVNUPY288VJH","GSON1112030580")</f>
        <v>#NAME?</v>
      </c>
      <c r="L259" s="23" t="e">
        <f ca="1">[1]!BexGetData("DP_1","003N8EMH8GTFRIVNUPY2891V1","GSON1112030580")</f>
        <v>#NAME?</v>
      </c>
      <c r="M259" s="28" t="e">
        <f ca="1">[1]!BexGetData("DP_1","003N8EMH8GTFRIVOG7KG9IQXA","GSON1112030580")</f>
        <v>#NAME?</v>
      </c>
      <c r="N259" s="23" t="e">
        <f ca="1">[1]!BexGetData("DP_1","003N8EMH8GTFRIVOG7KG9IX8U","GSON1112030580")</f>
        <v>#NAME?</v>
      </c>
      <c r="O259" s="28" t="e">
        <f ca="1">[1]!BexGetData("DP_1","003N8EMH8GTFRIVOG7KG9J3KE","GSON1112030580")</f>
        <v>#NAME?</v>
      </c>
      <c r="P259" s="23" t="e">
        <f ca="1">[1]!BexGetData("DP_1","003N8EMH8GTFRIVOG7KG9J9VY","GSON1112030580")</f>
        <v>#NAME?</v>
      </c>
      <c r="Q259" s="23" t="e">
        <f ca="1">[1]!BexGetData("DP_1","00O2TNJGODT0G5Z4TTKYMM5MT","GSON1112030580")</f>
        <v>#NAME?</v>
      </c>
      <c r="R259" s="23" t="e">
        <f ca="1">[1]!BexGetData("DP_1","00O2TNJGODT0G5Z4TTKYMMBYD","GSON1112030580")</f>
        <v>#NAME?</v>
      </c>
      <c r="S259" s="23" t="e">
        <f ca="1">[1]!BexGetData("DP_1","00O2TNJGODT0G5Z4TTKYMMI9X","GSON1112030580")</f>
        <v>#NAME?</v>
      </c>
      <c r="T259" s="23" t="e">
        <f ca="1">[1]!BexGetData("DP_1","00O2TNJGODT0G5Z4TTKYMMOLH","GSON1112030580")</f>
        <v>#NAME?</v>
      </c>
      <c r="U259" s="28" t="e">
        <f ca="1">[1]!BexGetData("DP_1","00O2TNJGODT0G5Z4TTKYMMUX1","GSON1112030580")</f>
        <v>#NAME?</v>
      </c>
      <c r="V259" s="23" t="e">
        <f ca="1">[1]!BexGetData("DP_1","00O2TNJGODT0G5Z4TTKYMN18L","GSON1112030580")</f>
        <v>#NAME?</v>
      </c>
      <c r="W259" s="28" t="e">
        <f ca="1">[1]!BexGetData("DP_1","00O2TNJGODT0G5Z4TTKYMN7K5","GSON1112030580")</f>
        <v>#NAME?</v>
      </c>
    </row>
    <row r="260" spans="1:23" x14ac:dyDescent="0.2">
      <c r="A260" s="36" t="s">
        <v>845</v>
      </c>
      <c r="B260" s="27" t="s">
        <v>846</v>
      </c>
      <c r="C260" s="23" t="e">
        <f ca="1">[1]!BexGetData("DP_1","003N8EMH8GTFRCSWKMPXRR8GU","GSON1112030581")</f>
        <v>#NAME?</v>
      </c>
      <c r="D260" s="23" t="e">
        <f ca="1">[1]!BexGetData("DP_1","003N8EMH8GTFRCSWKMPXRRESE","GSON1112030581")</f>
        <v>#NAME?</v>
      </c>
      <c r="E260" s="23" t="e">
        <f ca="1">[1]!BexGetData("DP_1","003N8EMH8GTFRCSWKMPXRRL3Y","GSON1112030581")</f>
        <v>#NAME?</v>
      </c>
      <c r="F260" s="23" t="e">
        <f ca="1">[1]!BexGetData("DP_1","003N8EMH8GTFRCSWKMPXRRRFI","GSON1112030581")</f>
        <v>#NAME?</v>
      </c>
      <c r="G260" s="23" t="e">
        <f ca="1">[1]!BexGetData("DP_1","003N8EMH8GTFRCSWKMPXRRXR2","GSON1112030581")</f>
        <v>#NAME?</v>
      </c>
      <c r="H260" s="23" t="e">
        <f ca="1">[1]!BexGetData("DP_1","003N8EMH8GTFRCSWKMPXRS42M","GSON1112030581")</f>
        <v>#NAME?</v>
      </c>
      <c r="I260" s="23" t="e">
        <f ca="1">[1]!BexGetData("DP_1","003N8EMH8GTFRCSWKMPXRSAE6","GSON1112030581")</f>
        <v>#NAME?</v>
      </c>
      <c r="J260" s="23" t="e">
        <f ca="1">[1]!BexGetData("DP_1","003N8EMH8GTFRCSWKMPXRSGPQ","GSON1112030581")</f>
        <v>#NAME?</v>
      </c>
      <c r="K260" s="23" t="e">
        <f ca="1">[1]!BexGetData("DP_1","003N8EMH8GTFRIVNUPY288VJH","GSON1112030581")</f>
        <v>#NAME?</v>
      </c>
      <c r="L260" s="23" t="e">
        <f ca="1">[1]!BexGetData("DP_1","003N8EMH8GTFRIVNUPY2891V1","GSON1112030581")</f>
        <v>#NAME?</v>
      </c>
      <c r="M260" s="23" t="e">
        <f ca="1">[1]!BexGetData("DP_1","003N8EMH8GTFRIVOG7KG9IQXA","GSON1112030581")</f>
        <v>#NAME?</v>
      </c>
      <c r="N260" s="28" t="e">
        <f ca="1">[1]!BexGetData("DP_1","003N8EMH8GTFRIVOG7KG9IX8U","GSON1112030581")</f>
        <v>#NAME?</v>
      </c>
      <c r="O260" s="23" t="e">
        <f ca="1">[1]!BexGetData("DP_1","003N8EMH8GTFRIVOG7KG9J3KE","GSON1112030581")</f>
        <v>#NAME?</v>
      </c>
      <c r="P260" s="28" t="e">
        <f ca="1">[1]!BexGetData("DP_1","003N8EMH8GTFRIVOG7KG9J9VY","GSON1112030581")</f>
        <v>#NAME?</v>
      </c>
      <c r="Q260" s="23" t="e">
        <f ca="1">[1]!BexGetData("DP_1","00O2TNJGODT0G5Z4TTKYMM5MT","GSON1112030581")</f>
        <v>#NAME?</v>
      </c>
      <c r="R260" s="23" t="e">
        <f ca="1">[1]!BexGetData("DP_1","00O2TNJGODT0G5Z4TTKYMMBYD","GSON1112030581")</f>
        <v>#NAME?</v>
      </c>
      <c r="S260" s="23" t="e">
        <f ca="1">[1]!BexGetData("DP_1","00O2TNJGODT0G5Z4TTKYMMI9X","GSON1112030581")</f>
        <v>#NAME?</v>
      </c>
      <c r="T260" s="28" t="e">
        <f ca="1">[1]!BexGetData("DP_1","00O2TNJGODT0G5Z4TTKYMMOLH","GSON1112030581")</f>
        <v>#NAME?</v>
      </c>
      <c r="U260" s="23" t="e">
        <f ca="1">[1]!BexGetData("DP_1","00O2TNJGODT0G5Z4TTKYMMUX1","GSON1112030581")</f>
        <v>#NAME?</v>
      </c>
      <c r="V260" s="28" t="e">
        <f ca="1">[1]!BexGetData("DP_1","00O2TNJGODT0G5Z4TTKYMN18L","GSON1112030581")</f>
        <v>#NAME?</v>
      </c>
      <c r="W260" s="23" t="e">
        <f ca="1">[1]!BexGetData("DP_1","00O2TNJGODT0G5Z4TTKYMN7K5","GSON1112030581")</f>
        <v>#NAME?</v>
      </c>
    </row>
    <row r="261" spans="1:23" x14ac:dyDescent="0.2">
      <c r="A261" s="36" t="s">
        <v>2110</v>
      </c>
      <c r="B261" s="27" t="s">
        <v>2111</v>
      </c>
      <c r="C261" s="23" t="e">
        <f ca="1">[1]!BexGetData("DP_1","003N8EMH8GTFRCSWKMPXRR8GU","GSON1112030582")</f>
        <v>#NAME?</v>
      </c>
      <c r="D261" s="23" t="e">
        <f ca="1">[1]!BexGetData("DP_1","003N8EMH8GTFRCSWKMPXRRESE","GSON1112030582")</f>
        <v>#NAME?</v>
      </c>
      <c r="E261" s="23" t="e">
        <f ca="1">[1]!BexGetData("DP_1","003N8EMH8GTFRCSWKMPXRRL3Y","GSON1112030582")</f>
        <v>#NAME?</v>
      </c>
      <c r="F261" s="23" t="e">
        <f ca="1">[1]!BexGetData("DP_1","003N8EMH8GTFRCSWKMPXRRRFI","GSON1112030582")</f>
        <v>#NAME?</v>
      </c>
      <c r="G261" s="23" t="e">
        <f ca="1">[1]!BexGetData("DP_1","003N8EMH8GTFRCSWKMPXRRXR2","GSON1112030582")</f>
        <v>#NAME?</v>
      </c>
      <c r="H261" s="23" t="e">
        <f ca="1">[1]!BexGetData("DP_1","003N8EMH8GTFRCSWKMPXRS42M","GSON1112030582")</f>
        <v>#NAME?</v>
      </c>
      <c r="I261" s="23" t="e">
        <f ca="1">[1]!BexGetData("DP_1","003N8EMH8GTFRCSWKMPXRSAE6","GSON1112030582")</f>
        <v>#NAME?</v>
      </c>
      <c r="J261" s="24" t="e">
        <f ca="1">[1]!BexGetData("DP_1","003N8EMH8GTFRCSWKMPXRSGPQ","GSON1112030582")</f>
        <v>#NAME?</v>
      </c>
      <c r="K261" s="23" t="e">
        <f ca="1">[1]!BexGetData("DP_1","003N8EMH8GTFRIVNUPY288VJH","GSON1112030582")</f>
        <v>#NAME?</v>
      </c>
      <c r="L261" s="23" t="e">
        <f ca="1">[1]!BexGetData("DP_1","003N8EMH8GTFRIVNUPY2891V1","GSON1112030582")</f>
        <v>#NAME?</v>
      </c>
      <c r="M261" s="23" t="e">
        <f ca="1">[1]!BexGetData("DP_1","003N8EMH8GTFRIVOG7KG9IQXA","GSON1112030582")</f>
        <v>#NAME?</v>
      </c>
      <c r="N261" s="28" t="e">
        <f ca="1">[1]!BexGetData("DP_1","003N8EMH8GTFRIVOG7KG9IX8U","GSON1112030582")</f>
        <v>#NAME?</v>
      </c>
      <c r="O261" s="23" t="e">
        <f ca="1">[1]!BexGetData("DP_1","003N8EMH8GTFRIVOG7KG9J3KE","GSON1112030582")</f>
        <v>#NAME?</v>
      </c>
      <c r="P261" s="28" t="e">
        <f ca="1">[1]!BexGetData("DP_1","003N8EMH8GTFRIVOG7KG9J9VY","GSON1112030582")</f>
        <v>#NAME?</v>
      </c>
      <c r="Q261" s="24" t="e">
        <f ca="1">[1]!BexGetData("DP_1","00O2TNJGODT0G5Z4TTKYMM5MT","GSON1112030582")</f>
        <v>#NAME?</v>
      </c>
      <c r="R261" s="23" t="e">
        <f ca="1">[1]!BexGetData("DP_1","00O2TNJGODT0G5Z4TTKYMMBYD","GSON1112030582")</f>
        <v>#NAME?</v>
      </c>
      <c r="S261" s="23" t="e">
        <f ca="1">[1]!BexGetData("DP_1","00O2TNJGODT0G5Z4TTKYMMI9X","GSON1112030582")</f>
        <v>#NAME?</v>
      </c>
      <c r="T261" s="28" t="e">
        <f ca="1">[1]!BexGetData("DP_1","00O2TNJGODT0G5Z4TTKYMMOLH","GSON1112030582")</f>
        <v>#NAME?</v>
      </c>
      <c r="U261" s="23" t="e">
        <f ca="1">[1]!BexGetData("DP_1","00O2TNJGODT0G5Z4TTKYMMUX1","GSON1112030582")</f>
        <v>#NAME?</v>
      </c>
      <c r="V261" s="28" t="e">
        <f ca="1">[1]!BexGetData("DP_1","00O2TNJGODT0G5Z4TTKYMN18L","GSON1112030582")</f>
        <v>#NAME?</v>
      </c>
      <c r="W261" s="23" t="e">
        <f ca="1">[1]!BexGetData("DP_1","00O2TNJGODT0G5Z4TTKYMN7K5","GSON1112030582")</f>
        <v>#NAME?</v>
      </c>
    </row>
    <row r="262" spans="1:23" x14ac:dyDescent="0.2">
      <c r="A262" s="36" t="s">
        <v>847</v>
      </c>
      <c r="B262" s="27" t="s">
        <v>848</v>
      </c>
      <c r="C262" s="23" t="e">
        <f ca="1">[1]!BexGetData("DP_1","003N8EMH8GTFRCSWKMPXRR8GU","GSON1112030583")</f>
        <v>#NAME?</v>
      </c>
      <c r="D262" s="23" t="e">
        <f ca="1">[1]!BexGetData("DP_1","003N8EMH8GTFRCSWKMPXRRESE","GSON1112030583")</f>
        <v>#NAME?</v>
      </c>
      <c r="E262" s="28" t="e">
        <f ca="1">[1]!BexGetData("DP_1","003N8EMH8GTFRCSWKMPXRRL3Y","GSON1112030583")</f>
        <v>#NAME?</v>
      </c>
      <c r="F262" s="23" t="e">
        <f ca="1">[1]!BexGetData("DP_1","003N8EMH8GTFRCSWKMPXRRRFI","GSON1112030583")</f>
        <v>#NAME?</v>
      </c>
      <c r="G262" s="23" t="e">
        <f ca="1">[1]!BexGetData("DP_1","003N8EMH8GTFRCSWKMPXRRXR2","GSON1112030583")</f>
        <v>#NAME?</v>
      </c>
      <c r="H262" s="23" t="e">
        <f ca="1">[1]!BexGetData("DP_1","003N8EMH8GTFRCSWKMPXRS42M","GSON1112030583")</f>
        <v>#NAME?</v>
      </c>
      <c r="I262" s="23" t="e">
        <f ca="1">[1]!BexGetData("DP_1","003N8EMH8GTFRCSWKMPXRSAE6","GSON1112030583")</f>
        <v>#NAME?</v>
      </c>
      <c r="J262" s="24" t="e">
        <f ca="1">[1]!BexGetData("DP_1","003N8EMH8GTFRCSWKMPXRSGPQ","GSON1112030583")</f>
        <v>#NAME?</v>
      </c>
      <c r="K262" s="23" t="e">
        <f ca="1">[1]!BexGetData("DP_1","003N8EMH8GTFRIVNUPY288VJH","GSON1112030583")</f>
        <v>#NAME?</v>
      </c>
      <c r="L262" s="23" t="e">
        <f ca="1">[1]!BexGetData("DP_1","003N8EMH8GTFRIVNUPY2891V1","GSON1112030583")</f>
        <v>#NAME?</v>
      </c>
      <c r="M262" s="28" t="e">
        <f ca="1">[1]!BexGetData("DP_1","003N8EMH8GTFRIVOG7KG9IQXA","GSON1112030583")</f>
        <v>#NAME?</v>
      </c>
      <c r="N262" s="23" t="e">
        <f ca="1">[1]!BexGetData("DP_1","003N8EMH8GTFRIVOG7KG9IX8U","GSON1112030583")</f>
        <v>#NAME?</v>
      </c>
      <c r="O262" s="28" t="e">
        <f ca="1">[1]!BexGetData("DP_1","003N8EMH8GTFRIVOG7KG9J3KE","GSON1112030583")</f>
        <v>#NAME?</v>
      </c>
      <c r="P262" s="23" t="e">
        <f ca="1">[1]!BexGetData("DP_1","003N8EMH8GTFRIVOG7KG9J9VY","GSON1112030583")</f>
        <v>#NAME?</v>
      </c>
      <c r="Q262" s="24" t="e">
        <f ca="1">[1]!BexGetData("DP_1","00O2TNJGODT0G5Z4TTKYMM5MT","GSON1112030583")</f>
        <v>#NAME?</v>
      </c>
      <c r="R262" s="23" t="e">
        <f ca="1">[1]!BexGetData("DP_1","00O2TNJGODT0G5Z4TTKYMMBYD","GSON1112030583")</f>
        <v>#NAME?</v>
      </c>
      <c r="S262" s="23" t="e">
        <f ca="1">[1]!BexGetData("DP_1","00O2TNJGODT0G5Z4TTKYMMI9X","GSON1112030583")</f>
        <v>#NAME?</v>
      </c>
      <c r="T262" s="23" t="e">
        <f ca="1">[1]!BexGetData("DP_1","00O2TNJGODT0G5Z4TTKYMMOLH","GSON1112030583")</f>
        <v>#NAME?</v>
      </c>
      <c r="U262" s="28" t="e">
        <f ca="1">[1]!BexGetData("DP_1","00O2TNJGODT0G5Z4TTKYMMUX1","GSON1112030583")</f>
        <v>#NAME?</v>
      </c>
      <c r="V262" s="23" t="e">
        <f ca="1">[1]!BexGetData("DP_1","00O2TNJGODT0G5Z4TTKYMN18L","GSON1112030583")</f>
        <v>#NAME?</v>
      </c>
      <c r="W262" s="28" t="e">
        <f ca="1">[1]!BexGetData("DP_1","00O2TNJGODT0G5Z4TTKYMN7K5","GSON1112030583")</f>
        <v>#NAME?</v>
      </c>
    </row>
    <row r="263" spans="1:23" x14ac:dyDescent="0.2">
      <c r="A263" s="36" t="s">
        <v>2112</v>
      </c>
      <c r="B263" s="27" t="s">
        <v>849</v>
      </c>
      <c r="C263" s="23" t="e">
        <f ca="1">[1]!BexGetData("DP_1","003N8EMH8GTFRCSWKMPXRR8GU","GSON1112030584")</f>
        <v>#NAME?</v>
      </c>
      <c r="D263" s="23" t="e">
        <f ca="1">[1]!BexGetData("DP_1","003N8EMH8GTFRCSWKMPXRRESE","GSON1112030584")</f>
        <v>#NAME?</v>
      </c>
      <c r="E263" s="23" t="e">
        <f ca="1">[1]!BexGetData("DP_1","003N8EMH8GTFRCSWKMPXRRL3Y","GSON1112030584")</f>
        <v>#NAME?</v>
      </c>
      <c r="F263" s="28" t="e">
        <f ca="1">[1]!BexGetData("DP_1","003N8EMH8GTFRCSWKMPXRRRFI","GSON1112030584")</f>
        <v>#NAME?</v>
      </c>
      <c r="G263" s="23" t="e">
        <f ca="1">[1]!BexGetData("DP_1","003N8EMH8GTFRCSWKMPXRRXR2","GSON1112030584")</f>
        <v>#NAME?</v>
      </c>
      <c r="H263" s="23" t="e">
        <f ca="1">[1]!BexGetData("DP_1","003N8EMH8GTFRCSWKMPXRS42M","GSON1112030584")</f>
        <v>#NAME?</v>
      </c>
      <c r="I263" s="28" t="e">
        <f ca="1">[1]!BexGetData("DP_1","003N8EMH8GTFRCSWKMPXRSAE6","GSON1112030584")</f>
        <v>#NAME?</v>
      </c>
      <c r="J263" s="24" t="e">
        <f ca="1">[1]!BexGetData("DP_1","003N8EMH8GTFRCSWKMPXRSGPQ","GSON1112030584")</f>
        <v>#NAME?</v>
      </c>
      <c r="K263" s="23" t="e">
        <f ca="1">[1]!BexGetData("DP_1","003N8EMH8GTFRIVNUPY288VJH","GSON1112030584")</f>
        <v>#NAME?</v>
      </c>
      <c r="L263" s="23" t="e">
        <f ca="1">[1]!BexGetData("DP_1","003N8EMH8GTFRIVNUPY2891V1","GSON1112030584")</f>
        <v>#NAME?</v>
      </c>
      <c r="M263" s="28" t="e">
        <f ca="1">[1]!BexGetData("DP_1","003N8EMH8GTFRIVOG7KG9IQXA","GSON1112030584")</f>
        <v>#NAME?</v>
      </c>
      <c r="N263" s="23" t="e">
        <f ca="1">[1]!BexGetData("DP_1","003N8EMH8GTFRIVOG7KG9IX8U","GSON1112030584")</f>
        <v>#NAME?</v>
      </c>
      <c r="O263" s="28" t="e">
        <f ca="1">[1]!BexGetData("DP_1","003N8EMH8GTFRIVOG7KG9J3KE","GSON1112030584")</f>
        <v>#NAME?</v>
      </c>
      <c r="P263" s="23" t="e">
        <f ca="1">[1]!BexGetData("DP_1","003N8EMH8GTFRIVOG7KG9J9VY","GSON1112030584")</f>
        <v>#NAME?</v>
      </c>
      <c r="Q263" s="24" t="e">
        <f ca="1">[1]!BexGetData("DP_1","00O2TNJGODT0G5Z4TTKYMM5MT","GSON1112030584")</f>
        <v>#NAME?</v>
      </c>
      <c r="R263" s="28" t="e">
        <f ca="1">[1]!BexGetData("DP_1","00O2TNJGODT0G5Z4TTKYMMBYD","GSON1112030584")</f>
        <v>#NAME?</v>
      </c>
      <c r="S263" s="28" t="e">
        <f ca="1">[1]!BexGetData("DP_1","00O2TNJGODT0G5Z4TTKYMMI9X","GSON1112030584")</f>
        <v>#NAME?</v>
      </c>
      <c r="T263" s="28" t="e">
        <f ca="1">[1]!BexGetData("DP_1","00O2TNJGODT0G5Z4TTKYMMOLH","GSON1112030584")</f>
        <v>#NAME?</v>
      </c>
      <c r="U263" s="28" t="e">
        <f ca="1">[1]!BexGetData("DP_1","00O2TNJGODT0G5Z4TTKYMMUX1","GSON1112030584")</f>
        <v>#NAME?</v>
      </c>
      <c r="V263" s="28" t="e">
        <f ca="1">[1]!BexGetData("DP_1","00O2TNJGODT0G5Z4TTKYMN18L","GSON1112030584")</f>
        <v>#NAME?</v>
      </c>
      <c r="W263" s="28" t="e">
        <f ca="1">[1]!BexGetData("DP_1","00O2TNJGODT0G5Z4TTKYMN7K5","GSON1112030584")</f>
        <v>#NAME?</v>
      </c>
    </row>
    <row r="264" spans="1:23" x14ac:dyDescent="0.2">
      <c r="A264" s="36" t="s">
        <v>175</v>
      </c>
      <c r="B264" s="27" t="s">
        <v>176</v>
      </c>
      <c r="C264" s="23" t="e">
        <f ca="1">[1]!BexGetData("DP_1","003N8EMH8GTFRCSWKMPXRR8GU","GSON1112030590")</f>
        <v>#NAME?</v>
      </c>
      <c r="D264" s="23" t="e">
        <f ca="1">[1]!BexGetData("DP_1","003N8EMH8GTFRCSWKMPXRRESE","GSON1112030590")</f>
        <v>#NAME?</v>
      </c>
      <c r="E264" s="23" t="e">
        <f ca="1">[1]!BexGetData("DP_1","003N8EMH8GTFRCSWKMPXRRL3Y","GSON1112030590")</f>
        <v>#NAME?</v>
      </c>
      <c r="F264" s="23" t="e">
        <f ca="1">[1]!BexGetData("DP_1","003N8EMH8GTFRCSWKMPXRRRFI","GSON1112030590")</f>
        <v>#NAME?</v>
      </c>
      <c r="G264" s="23" t="e">
        <f ca="1">[1]!BexGetData("DP_1","003N8EMH8GTFRCSWKMPXRRXR2","GSON1112030590")</f>
        <v>#NAME?</v>
      </c>
      <c r="H264" s="23" t="e">
        <f ca="1">[1]!BexGetData("DP_1","003N8EMH8GTFRCSWKMPXRS42M","GSON1112030590")</f>
        <v>#NAME?</v>
      </c>
      <c r="I264" s="23" t="e">
        <f ca="1">[1]!BexGetData("DP_1","003N8EMH8GTFRCSWKMPXRSAE6","GSON1112030590")</f>
        <v>#NAME?</v>
      </c>
      <c r="J264" s="23" t="e">
        <f ca="1">[1]!BexGetData("DP_1","003N8EMH8GTFRCSWKMPXRSGPQ","GSON1112030590")</f>
        <v>#NAME?</v>
      </c>
      <c r="K264" s="23" t="e">
        <f ca="1">[1]!BexGetData("DP_1","003N8EMH8GTFRIVNUPY288VJH","GSON1112030590")</f>
        <v>#NAME?</v>
      </c>
      <c r="L264" s="23" t="e">
        <f ca="1">[1]!BexGetData("DP_1","003N8EMH8GTFRIVNUPY2891V1","GSON1112030590")</f>
        <v>#NAME?</v>
      </c>
      <c r="M264" s="28" t="e">
        <f ca="1">[1]!BexGetData("DP_1","003N8EMH8GTFRIVOG7KG9IQXA","GSON1112030590")</f>
        <v>#NAME?</v>
      </c>
      <c r="N264" s="23" t="e">
        <f ca="1">[1]!BexGetData("DP_1","003N8EMH8GTFRIVOG7KG9IX8U","GSON1112030590")</f>
        <v>#NAME?</v>
      </c>
      <c r="O264" s="28" t="e">
        <f ca="1">[1]!BexGetData("DP_1","003N8EMH8GTFRIVOG7KG9J3KE","GSON1112030590")</f>
        <v>#NAME?</v>
      </c>
      <c r="P264" s="23" t="e">
        <f ca="1">[1]!BexGetData("DP_1","003N8EMH8GTFRIVOG7KG9J9VY","GSON1112030590")</f>
        <v>#NAME?</v>
      </c>
      <c r="Q264" s="23" t="e">
        <f ca="1">[1]!BexGetData("DP_1","00O2TNJGODT0G5Z4TTKYMM5MT","GSON1112030590")</f>
        <v>#NAME?</v>
      </c>
      <c r="R264" s="23" t="e">
        <f ca="1">[1]!BexGetData("DP_1","00O2TNJGODT0G5Z4TTKYMMBYD","GSON1112030590")</f>
        <v>#NAME?</v>
      </c>
      <c r="S264" s="23" t="e">
        <f ca="1">[1]!BexGetData("DP_1","00O2TNJGODT0G5Z4TTKYMMI9X","GSON1112030590")</f>
        <v>#NAME?</v>
      </c>
      <c r="T264" s="23" t="e">
        <f ca="1">[1]!BexGetData("DP_1","00O2TNJGODT0G5Z4TTKYMMOLH","GSON1112030590")</f>
        <v>#NAME?</v>
      </c>
      <c r="U264" s="28" t="e">
        <f ca="1">[1]!BexGetData("DP_1","00O2TNJGODT0G5Z4TTKYMMUX1","GSON1112030590")</f>
        <v>#NAME?</v>
      </c>
      <c r="V264" s="23" t="e">
        <f ca="1">[1]!BexGetData("DP_1","00O2TNJGODT0G5Z4TTKYMN18L","GSON1112030590")</f>
        <v>#NAME?</v>
      </c>
      <c r="W264" s="28" t="e">
        <f ca="1">[1]!BexGetData("DP_1","00O2TNJGODT0G5Z4TTKYMN7K5","GSON1112030590")</f>
        <v>#NAME?</v>
      </c>
    </row>
    <row r="265" spans="1:23" x14ac:dyDescent="0.2">
      <c r="A265" s="36" t="s">
        <v>177</v>
      </c>
      <c r="B265" s="27" t="s">
        <v>178</v>
      </c>
      <c r="C265" s="23" t="e">
        <f ca="1">[1]!BexGetData("DP_1","003N8EMH8GTFRCSWKMPXRR8GU","GSON1112030591")</f>
        <v>#NAME?</v>
      </c>
      <c r="D265" s="23" t="e">
        <f ca="1">[1]!BexGetData("DP_1","003N8EMH8GTFRCSWKMPXRRESE","GSON1112030591")</f>
        <v>#NAME?</v>
      </c>
      <c r="E265" s="23" t="e">
        <f ca="1">[1]!BexGetData("DP_1","003N8EMH8GTFRCSWKMPXRRL3Y","GSON1112030591")</f>
        <v>#NAME?</v>
      </c>
      <c r="F265" s="23" t="e">
        <f ca="1">[1]!BexGetData("DP_1","003N8EMH8GTFRCSWKMPXRRRFI","GSON1112030591")</f>
        <v>#NAME?</v>
      </c>
      <c r="G265" s="23" t="e">
        <f ca="1">[1]!BexGetData("DP_1","003N8EMH8GTFRCSWKMPXRRXR2","GSON1112030591")</f>
        <v>#NAME?</v>
      </c>
      <c r="H265" s="23" t="e">
        <f ca="1">[1]!BexGetData("DP_1","003N8EMH8GTFRCSWKMPXRS42M","GSON1112030591")</f>
        <v>#NAME?</v>
      </c>
      <c r="I265" s="23" t="e">
        <f ca="1">[1]!BexGetData("DP_1","003N8EMH8GTFRCSWKMPXRSAE6","GSON1112030591")</f>
        <v>#NAME?</v>
      </c>
      <c r="J265" s="23" t="e">
        <f ca="1">[1]!BexGetData("DP_1","003N8EMH8GTFRCSWKMPXRSGPQ","GSON1112030591")</f>
        <v>#NAME?</v>
      </c>
      <c r="K265" s="23" t="e">
        <f ca="1">[1]!BexGetData("DP_1","003N8EMH8GTFRIVNUPY288VJH","GSON1112030591")</f>
        <v>#NAME?</v>
      </c>
      <c r="L265" s="23" t="e">
        <f ca="1">[1]!BexGetData("DP_1","003N8EMH8GTFRIVNUPY2891V1","GSON1112030591")</f>
        <v>#NAME?</v>
      </c>
      <c r="M265" s="23" t="e">
        <f ca="1">[1]!BexGetData("DP_1","003N8EMH8GTFRIVOG7KG9IQXA","GSON1112030591")</f>
        <v>#NAME?</v>
      </c>
      <c r="N265" s="28" t="e">
        <f ca="1">[1]!BexGetData("DP_1","003N8EMH8GTFRIVOG7KG9IX8U","GSON1112030591")</f>
        <v>#NAME?</v>
      </c>
      <c r="O265" s="23" t="e">
        <f ca="1">[1]!BexGetData("DP_1","003N8EMH8GTFRIVOG7KG9J3KE","GSON1112030591")</f>
        <v>#NAME?</v>
      </c>
      <c r="P265" s="28" t="e">
        <f ca="1">[1]!BexGetData("DP_1","003N8EMH8GTFRIVOG7KG9J9VY","GSON1112030591")</f>
        <v>#NAME?</v>
      </c>
      <c r="Q265" s="23" t="e">
        <f ca="1">[1]!BexGetData("DP_1","00O2TNJGODT0G5Z4TTKYMM5MT","GSON1112030591")</f>
        <v>#NAME?</v>
      </c>
      <c r="R265" s="23" t="e">
        <f ca="1">[1]!BexGetData("DP_1","00O2TNJGODT0G5Z4TTKYMMBYD","GSON1112030591")</f>
        <v>#NAME?</v>
      </c>
      <c r="S265" s="23" t="e">
        <f ca="1">[1]!BexGetData("DP_1","00O2TNJGODT0G5Z4TTKYMMI9X","GSON1112030591")</f>
        <v>#NAME?</v>
      </c>
      <c r="T265" s="28" t="e">
        <f ca="1">[1]!BexGetData("DP_1","00O2TNJGODT0G5Z4TTKYMMOLH","GSON1112030591")</f>
        <v>#NAME?</v>
      </c>
      <c r="U265" s="23" t="e">
        <f ca="1">[1]!BexGetData("DP_1","00O2TNJGODT0G5Z4TTKYMMUX1","GSON1112030591")</f>
        <v>#NAME?</v>
      </c>
      <c r="V265" s="28" t="e">
        <f ca="1">[1]!BexGetData("DP_1","00O2TNJGODT0G5Z4TTKYMN18L","GSON1112030591")</f>
        <v>#NAME?</v>
      </c>
      <c r="W265" s="23" t="e">
        <f ca="1">[1]!BexGetData("DP_1","00O2TNJGODT0G5Z4TTKYMN7K5","GSON1112030591")</f>
        <v>#NAME?</v>
      </c>
    </row>
    <row r="266" spans="1:23" x14ac:dyDescent="0.2">
      <c r="A266" s="36" t="s">
        <v>2113</v>
      </c>
      <c r="B266" s="27" t="s">
        <v>2114</v>
      </c>
      <c r="C266" s="23" t="e">
        <f ca="1">[1]!BexGetData("DP_1","003N8EMH8GTFRCSWKMPXRR8GU","GSON1112030592")</f>
        <v>#NAME?</v>
      </c>
      <c r="D266" s="23" t="e">
        <f ca="1">[1]!BexGetData("DP_1","003N8EMH8GTFRCSWKMPXRRESE","GSON1112030592")</f>
        <v>#NAME?</v>
      </c>
      <c r="E266" s="28" t="e">
        <f ca="1">[1]!BexGetData("DP_1","003N8EMH8GTFRCSWKMPXRRL3Y","GSON1112030592")</f>
        <v>#NAME?</v>
      </c>
      <c r="F266" s="23" t="e">
        <f ca="1">[1]!BexGetData("DP_1","003N8EMH8GTFRCSWKMPXRRRFI","GSON1112030592")</f>
        <v>#NAME?</v>
      </c>
      <c r="G266" s="23" t="e">
        <f ca="1">[1]!BexGetData("DP_1","003N8EMH8GTFRCSWKMPXRRXR2","GSON1112030592")</f>
        <v>#NAME?</v>
      </c>
      <c r="H266" s="23" t="e">
        <f ca="1">[1]!BexGetData("DP_1","003N8EMH8GTFRCSWKMPXRS42M","GSON1112030592")</f>
        <v>#NAME?</v>
      </c>
      <c r="I266" s="23" t="e">
        <f ca="1">[1]!BexGetData("DP_1","003N8EMH8GTFRCSWKMPXRSAE6","GSON1112030592")</f>
        <v>#NAME?</v>
      </c>
      <c r="J266" s="24" t="e">
        <f ca="1">[1]!BexGetData("DP_1","003N8EMH8GTFRCSWKMPXRSGPQ","GSON1112030592")</f>
        <v>#NAME?</v>
      </c>
      <c r="K266" s="23" t="e">
        <f ca="1">[1]!BexGetData("DP_1","003N8EMH8GTFRIVNUPY288VJH","GSON1112030592")</f>
        <v>#NAME?</v>
      </c>
      <c r="L266" s="23" t="e">
        <f ca="1">[1]!BexGetData("DP_1","003N8EMH8GTFRIVNUPY2891V1","GSON1112030592")</f>
        <v>#NAME?</v>
      </c>
      <c r="M266" s="23" t="e">
        <f ca="1">[1]!BexGetData("DP_1","003N8EMH8GTFRIVOG7KG9IQXA","GSON1112030592")</f>
        <v>#NAME?</v>
      </c>
      <c r="N266" s="28" t="e">
        <f ca="1">[1]!BexGetData("DP_1","003N8EMH8GTFRIVOG7KG9IX8U","GSON1112030592")</f>
        <v>#NAME?</v>
      </c>
      <c r="O266" s="23" t="e">
        <f ca="1">[1]!BexGetData("DP_1","003N8EMH8GTFRIVOG7KG9J3KE","GSON1112030592")</f>
        <v>#NAME?</v>
      </c>
      <c r="P266" s="28" t="e">
        <f ca="1">[1]!BexGetData("DP_1","003N8EMH8GTFRIVOG7KG9J9VY","GSON1112030592")</f>
        <v>#NAME?</v>
      </c>
      <c r="Q266" s="24" t="e">
        <f ca="1">[1]!BexGetData("DP_1","00O2TNJGODT0G5Z4TTKYMM5MT","GSON1112030592")</f>
        <v>#NAME?</v>
      </c>
      <c r="R266" s="23" t="e">
        <f ca="1">[1]!BexGetData("DP_1","00O2TNJGODT0G5Z4TTKYMMBYD","GSON1112030592")</f>
        <v>#NAME?</v>
      </c>
      <c r="S266" s="23" t="e">
        <f ca="1">[1]!BexGetData("DP_1","00O2TNJGODT0G5Z4TTKYMMI9X","GSON1112030592")</f>
        <v>#NAME?</v>
      </c>
      <c r="T266" s="28" t="e">
        <f ca="1">[1]!BexGetData("DP_1","00O2TNJGODT0G5Z4TTKYMMOLH","GSON1112030592")</f>
        <v>#NAME?</v>
      </c>
      <c r="U266" s="23" t="e">
        <f ca="1">[1]!BexGetData("DP_1","00O2TNJGODT0G5Z4TTKYMMUX1","GSON1112030592")</f>
        <v>#NAME?</v>
      </c>
      <c r="V266" s="28" t="e">
        <f ca="1">[1]!BexGetData("DP_1","00O2TNJGODT0G5Z4TTKYMN18L","GSON1112030592")</f>
        <v>#NAME?</v>
      </c>
      <c r="W266" s="23" t="e">
        <f ca="1">[1]!BexGetData("DP_1","00O2TNJGODT0G5Z4TTKYMN7K5","GSON1112030592")</f>
        <v>#NAME?</v>
      </c>
    </row>
    <row r="267" spans="1:23" x14ac:dyDescent="0.2">
      <c r="A267" s="36" t="s">
        <v>179</v>
      </c>
      <c r="B267" s="27" t="s">
        <v>180</v>
      </c>
      <c r="C267" s="23" t="e">
        <f ca="1">[1]!BexGetData("DP_1","003N8EMH8GTFRCSWKMPXRR8GU","GSON1112030593")</f>
        <v>#NAME?</v>
      </c>
      <c r="D267" s="23" t="e">
        <f ca="1">[1]!BexGetData("DP_1","003N8EMH8GTFRCSWKMPXRRESE","GSON1112030593")</f>
        <v>#NAME?</v>
      </c>
      <c r="E267" s="23" t="e">
        <f ca="1">[1]!BexGetData("DP_1","003N8EMH8GTFRCSWKMPXRRL3Y","GSON1112030593")</f>
        <v>#NAME?</v>
      </c>
      <c r="F267" s="28" t="e">
        <f ca="1">[1]!BexGetData("DP_1","003N8EMH8GTFRCSWKMPXRRRFI","GSON1112030593")</f>
        <v>#NAME?</v>
      </c>
      <c r="G267" s="23" t="e">
        <f ca="1">[1]!BexGetData("DP_1","003N8EMH8GTFRCSWKMPXRRXR2","GSON1112030593")</f>
        <v>#NAME?</v>
      </c>
      <c r="H267" s="23" t="e">
        <f ca="1">[1]!BexGetData("DP_1","003N8EMH8GTFRCSWKMPXRS42M","GSON1112030593")</f>
        <v>#NAME?</v>
      </c>
      <c r="I267" s="28" t="e">
        <f ca="1">[1]!BexGetData("DP_1","003N8EMH8GTFRCSWKMPXRSAE6","GSON1112030593")</f>
        <v>#NAME?</v>
      </c>
      <c r="J267" s="24" t="e">
        <f ca="1">[1]!BexGetData("DP_1","003N8EMH8GTFRCSWKMPXRSGPQ","GSON1112030593")</f>
        <v>#NAME?</v>
      </c>
      <c r="K267" s="23" t="e">
        <f ca="1">[1]!BexGetData("DP_1","003N8EMH8GTFRIVNUPY288VJH","GSON1112030593")</f>
        <v>#NAME?</v>
      </c>
      <c r="L267" s="23" t="e">
        <f ca="1">[1]!BexGetData("DP_1","003N8EMH8GTFRIVNUPY2891V1","GSON1112030593")</f>
        <v>#NAME?</v>
      </c>
      <c r="M267" s="28" t="e">
        <f ca="1">[1]!BexGetData("DP_1","003N8EMH8GTFRIVOG7KG9IQXA","GSON1112030593")</f>
        <v>#NAME?</v>
      </c>
      <c r="N267" s="23" t="e">
        <f ca="1">[1]!BexGetData("DP_1","003N8EMH8GTFRIVOG7KG9IX8U","GSON1112030593")</f>
        <v>#NAME?</v>
      </c>
      <c r="O267" s="28" t="e">
        <f ca="1">[1]!BexGetData("DP_1","003N8EMH8GTFRIVOG7KG9J3KE","GSON1112030593")</f>
        <v>#NAME?</v>
      </c>
      <c r="P267" s="23" t="e">
        <f ca="1">[1]!BexGetData("DP_1","003N8EMH8GTFRIVOG7KG9J9VY","GSON1112030593")</f>
        <v>#NAME?</v>
      </c>
      <c r="Q267" s="24" t="e">
        <f ca="1">[1]!BexGetData("DP_1","00O2TNJGODT0G5Z4TTKYMM5MT","GSON1112030593")</f>
        <v>#NAME?</v>
      </c>
      <c r="R267" s="28" t="e">
        <f ca="1">[1]!BexGetData("DP_1","00O2TNJGODT0G5Z4TTKYMMBYD","GSON1112030593")</f>
        <v>#NAME?</v>
      </c>
      <c r="S267" s="28" t="e">
        <f ca="1">[1]!BexGetData("DP_1","00O2TNJGODT0G5Z4TTKYMMI9X","GSON1112030593")</f>
        <v>#NAME?</v>
      </c>
      <c r="T267" s="28" t="e">
        <f ca="1">[1]!BexGetData("DP_1","00O2TNJGODT0G5Z4TTKYMMOLH","GSON1112030593")</f>
        <v>#NAME?</v>
      </c>
      <c r="U267" s="28" t="e">
        <f ca="1">[1]!BexGetData("DP_1","00O2TNJGODT0G5Z4TTKYMMUX1","GSON1112030593")</f>
        <v>#NAME?</v>
      </c>
      <c r="V267" s="28" t="e">
        <f ca="1">[1]!BexGetData("DP_1","00O2TNJGODT0G5Z4TTKYMN18L","GSON1112030593")</f>
        <v>#NAME?</v>
      </c>
      <c r="W267" s="28" t="e">
        <f ca="1">[1]!BexGetData("DP_1","00O2TNJGODT0G5Z4TTKYMN7K5","GSON1112030593")</f>
        <v>#NAME?</v>
      </c>
    </row>
    <row r="268" spans="1:23" x14ac:dyDescent="0.2">
      <c r="A268" s="36" t="s">
        <v>2115</v>
      </c>
      <c r="B268" s="27" t="s">
        <v>181</v>
      </c>
      <c r="C268" s="23" t="e">
        <f ca="1">[1]!BexGetData("DP_1","003N8EMH8GTFRCSWKMPXRR8GU","GSON1112030594")</f>
        <v>#NAME?</v>
      </c>
      <c r="D268" s="23" t="e">
        <f ca="1">[1]!BexGetData("DP_1","003N8EMH8GTFRCSWKMPXRRESE","GSON1112030594")</f>
        <v>#NAME?</v>
      </c>
      <c r="E268" s="23" t="e">
        <f ca="1">[1]!BexGetData("DP_1","003N8EMH8GTFRCSWKMPXRRL3Y","GSON1112030594")</f>
        <v>#NAME?</v>
      </c>
      <c r="F268" s="28" t="e">
        <f ca="1">[1]!BexGetData("DP_1","003N8EMH8GTFRCSWKMPXRRRFI","GSON1112030594")</f>
        <v>#NAME?</v>
      </c>
      <c r="G268" s="23" t="e">
        <f ca="1">[1]!BexGetData("DP_1","003N8EMH8GTFRCSWKMPXRRXR2","GSON1112030594")</f>
        <v>#NAME?</v>
      </c>
      <c r="H268" s="23" t="e">
        <f ca="1">[1]!BexGetData("DP_1","003N8EMH8GTFRCSWKMPXRS42M","GSON1112030594")</f>
        <v>#NAME?</v>
      </c>
      <c r="I268" s="28" t="e">
        <f ca="1">[1]!BexGetData("DP_1","003N8EMH8GTFRCSWKMPXRSAE6","GSON1112030594")</f>
        <v>#NAME?</v>
      </c>
      <c r="J268" s="24" t="e">
        <f ca="1">[1]!BexGetData("DP_1","003N8EMH8GTFRCSWKMPXRSGPQ","GSON1112030594")</f>
        <v>#NAME?</v>
      </c>
      <c r="K268" s="23" t="e">
        <f ca="1">[1]!BexGetData("DP_1","003N8EMH8GTFRIVNUPY288VJH","GSON1112030594")</f>
        <v>#NAME?</v>
      </c>
      <c r="L268" s="23" t="e">
        <f ca="1">[1]!BexGetData("DP_1","003N8EMH8GTFRIVNUPY2891V1","GSON1112030594")</f>
        <v>#NAME?</v>
      </c>
      <c r="M268" s="28" t="e">
        <f ca="1">[1]!BexGetData("DP_1","003N8EMH8GTFRIVOG7KG9IQXA","GSON1112030594")</f>
        <v>#NAME?</v>
      </c>
      <c r="N268" s="23" t="e">
        <f ca="1">[1]!BexGetData("DP_1","003N8EMH8GTFRIVOG7KG9IX8U","GSON1112030594")</f>
        <v>#NAME?</v>
      </c>
      <c r="O268" s="28" t="e">
        <f ca="1">[1]!BexGetData("DP_1","003N8EMH8GTFRIVOG7KG9J3KE","GSON1112030594")</f>
        <v>#NAME?</v>
      </c>
      <c r="P268" s="23" t="e">
        <f ca="1">[1]!BexGetData("DP_1","003N8EMH8GTFRIVOG7KG9J9VY","GSON1112030594")</f>
        <v>#NAME?</v>
      </c>
      <c r="Q268" s="24" t="e">
        <f ca="1">[1]!BexGetData("DP_1","00O2TNJGODT0G5Z4TTKYMM5MT","GSON1112030594")</f>
        <v>#NAME?</v>
      </c>
      <c r="R268" s="28" t="e">
        <f ca="1">[1]!BexGetData("DP_1","00O2TNJGODT0G5Z4TTKYMMBYD","GSON1112030594")</f>
        <v>#NAME?</v>
      </c>
      <c r="S268" s="28" t="e">
        <f ca="1">[1]!BexGetData("DP_1","00O2TNJGODT0G5Z4TTKYMMI9X","GSON1112030594")</f>
        <v>#NAME?</v>
      </c>
      <c r="T268" s="28" t="e">
        <f ca="1">[1]!BexGetData("DP_1","00O2TNJGODT0G5Z4TTKYMMOLH","GSON1112030594")</f>
        <v>#NAME?</v>
      </c>
      <c r="U268" s="28" t="e">
        <f ca="1">[1]!BexGetData("DP_1","00O2TNJGODT0G5Z4TTKYMMUX1","GSON1112030594")</f>
        <v>#NAME?</v>
      </c>
      <c r="V268" s="28" t="e">
        <f ca="1">[1]!BexGetData("DP_1","00O2TNJGODT0G5Z4TTKYMN18L","GSON1112030594")</f>
        <v>#NAME?</v>
      </c>
      <c r="W268" s="28" t="e">
        <f ca="1">[1]!BexGetData("DP_1","00O2TNJGODT0G5Z4TTKYMN7K5","GSON1112030594")</f>
        <v>#NAME?</v>
      </c>
    </row>
    <row r="269" spans="1:23" x14ac:dyDescent="0.2">
      <c r="A269" s="36" t="s">
        <v>850</v>
      </c>
      <c r="B269" s="27" t="s">
        <v>851</v>
      </c>
      <c r="C269" s="23" t="e">
        <f ca="1">[1]!BexGetData("DP_1","003N8EMH8GTFRCSWKMPXRR8GU","GSON1112030600")</f>
        <v>#NAME?</v>
      </c>
      <c r="D269" s="23" t="e">
        <f ca="1">[1]!BexGetData("DP_1","003N8EMH8GTFRCSWKMPXRRESE","GSON1112030600")</f>
        <v>#NAME?</v>
      </c>
      <c r="E269" s="23" t="e">
        <f ca="1">[1]!BexGetData("DP_1","003N8EMH8GTFRCSWKMPXRRL3Y","GSON1112030600")</f>
        <v>#NAME?</v>
      </c>
      <c r="F269" s="23" t="e">
        <f ca="1">[1]!BexGetData("DP_1","003N8EMH8GTFRCSWKMPXRRRFI","GSON1112030600")</f>
        <v>#NAME?</v>
      </c>
      <c r="G269" s="23" t="e">
        <f ca="1">[1]!BexGetData("DP_1","003N8EMH8GTFRCSWKMPXRRXR2","GSON1112030600")</f>
        <v>#NAME?</v>
      </c>
      <c r="H269" s="23" t="e">
        <f ca="1">[1]!BexGetData("DP_1","003N8EMH8GTFRCSWKMPXRS42M","GSON1112030600")</f>
        <v>#NAME?</v>
      </c>
      <c r="I269" s="23" t="e">
        <f ca="1">[1]!BexGetData("DP_1","003N8EMH8GTFRCSWKMPXRSAE6","GSON1112030600")</f>
        <v>#NAME?</v>
      </c>
      <c r="J269" s="23" t="e">
        <f ca="1">[1]!BexGetData("DP_1","003N8EMH8GTFRCSWKMPXRSGPQ","GSON1112030600")</f>
        <v>#NAME?</v>
      </c>
      <c r="K269" s="23" t="e">
        <f ca="1">[1]!BexGetData("DP_1","003N8EMH8GTFRIVNUPY288VJH","GSON1112030600")</f>
        <v>#NAME?</v>
      </c>
      <c r="L269" s="23" t="e">
        <f ca="1">[1]!BexGetData("DP_1","003N8EMH8GTFRIVNUPY2891V1","GSON1112030600")</f>
        <v>#NAME?</v>
      </c>
      <c r="M269" s="28" t="e">
        <f ca="1">[1]!BexGetData("DP_1","003N8EMH8GTFRIVOG7KG9IQXA","GSON1112030600")</f>
        <v>#NAME?</v>
      </c>
      <c r="N269" s="23" t="e">
        <f ca="1">[1]!BexGetData("DP_1","003N8EMH8GTFRIVOG7KG9IX8U","GSON1112030600")</f>
        <v>#NAME?</v>
      </c>
      <c r="O269" s="28" t="e">
        <f ca="1">[1]!BexGetData("DP_1","003N8EMH8GTFRIVOG7KG9J3KE","GSON1112030600")</f>
        <v>#NAME?</v>
      </c>
      <c r="P269" s="23" t="e">
        <f ca="1">[1]!BexGetData("DP_1","003N8EMH8GTFRIVOG7KG9J9VY","GSON1112030600")</f>
        <v>#NAME?</v>
      </c>
      <c r="Q269" s="23" t="e">
        <f ca="1">[1]!BexGetData("DP_1","00O2TNJGODT0G5Z4TTKYMM5MT","GSON1112030600")</f>
        <v>#NAME?</v>
      </c>
      <c r="R269" s="23" t="e">
        <f ca="1">[1]!BexGetData("DP_1","00O2TNJGODT0G5Z4TTKYMMBYD","GSON1112030600")</f>
        <v>#NAME?</v>
      </c>
      <c r="S269" s="23" t="e">
        <f ca="1">[1]!BexGetData("DP_1","00O2TNJGODT0G5Z4TTKYMMI9X","GSON1112030600")</f>
        <v>#NAME?</v>
      </c>
      <c r="T269" s="28" t="e">
        <f ca="1">[1]!BexGetData("DP_1","00O2TNJGODT0G5Z4TTKYMMOLH","GSON1112030600")</f>
        <v>#NAME?</v>
      </c>
      <c r="U269" s="23" t="e">
        <f ca="1">[1]!BexGetData("DP_1","00O2TNJGODT0G5Z4TTKYMMUX1","GSON1112030600")</f>
        <v>#NAME?</v>
      </c>
      <c r="V269" s="28" t="e">
        <f ca="1">[1]!BexGetData("DP_1","00O2TNJGODT0G5Z4TTKYMN18L","GSON1112030600")</f>
        <v>#NAME?</v>
      </c>
      <c r="W269" s="23" t="e">
        <f ca="1">[1]!BexGetData("DP_1","00O2TNJGODT0G5Z4TTKYMN7K5","GSON1112030600")</f>
        <v>#NAME?</v>
      </c>
    </row>
    <row r="270" spans="1:23" x14ac:dyDescent="0.2">
      <c r="A270" s="36" t="s">
        <v>852</v>
      </c>
      <c r="B270" s="27" t="s">
        <v>853</v>
      </c>
      <c r="C270" s="23" t="e">
        <f ca="1">[1]!BexGetData("DP_1","003N8EMH8GTFRCSWKMPXRR8GU","GSON1112030601")</f>
        <v>#NAME?</v>
      </c>
      <c r="D270" s="23" t="e">
        <f ca="1">[1]!BexGetData("DP_1","003N8EMH8GTFRCSWKMPXRRESE","GSON1112030601")</f>
        <v>#NAME?</v>
      </c>
      <c r="E270" s="23" t="e">
        <f ca="1">[1]!BexGetData("DP_1","003N8EMH8GTFRCSWKMPXRRL3Y","GSON1112030601")</f>
        <v>#NAME?</v>
      </c>
      <c r="F270" s="23" t="e">
        <f ca="1">[1]!BexGetData("DP_1","003N8EMH8GTFRCSWKMPXRRRFI","GSON1112030601")</f>
        <v>#NAME?</v>
      </c>
      <c r="G270" s="23" t="e">
        <f ca="1">[1]!BexGetData("DP_1","003N8EMH8GTFRCSWKMPXRRXR2","GSON1112030601")</f>
        <v>#NAME?</v>
      </c>
      <c r="H270" s="23" t="e">
        <f ca="1">[1]!BexGetData("DP_1","003N8EMH8GTFRCSWKMPXRS42M","GSON1112030601")</f>
        <v>#NAME?</v>
      </c>
      <c r="I270" s="23" t="e">
        <f ca="1">[1]!BexGetData("DP_1","003N8EMH8GTFRCSWKMPXRSAE6","GSON1112030601")</f>
        <v>#NAME?</v>
      </c>
      <c r="J270" s="23" t="e">
        <f ca="1">[1]!BexGetData("DP_1","003N8EMH8GTFRCSWKMPXRSGPQ","GSON1112030601")</f>
        <v>#NAME?</v>
      </c>
      <c r="K270" s="23" t="e">
        <f ca="1">[1]!BexGetData("DP_1","003N8EMH8GTFRIVNUPY288VJH","GSON1112030601")</f>
        <v>#NAME?</v>
      </c>
      <c r="L270" s="23" t="e">
        <f ca="1">[1]!BexGetData("DP_1","003N8EMH8GTFRIVNUPY2891V1","GSON1112030601")</f>
        <v>#NAME?</v>
      </c>
      <c r="M270" s="28" t="e">
        <f ca="1">[1]!BexGetData("DP_1","003N8EMH8GTFRIVOG7KG9IQXA","GSON1112030601")</f>
        <v>#NAME?</v>
      </c>
      <c r="N270" s="23" t="e">
        <f ca="1">[1]!BexGetData("DP_1","003N8EMH8GTFRIVOG7KG9IX8U","GSON1112030601")</f>
        <v>#NAME?</v>
      </c>
      <c r="O270" s="28" t="e">
        <f ca="1">[1]!BexGetData("DP_1","003N8EMH8GTFRIVOG7KG9J3KE","GSON1112030601")</f>
        <v>#NAME?</v>
      </c>
      <c r="P270" s="23" t="e">
        <f ca="1">[1]!BexGetData("DP_1","003N8EMH8GTFRIVOG7KG9J9VY","GSON1112030601")</f>
        <v>#NAME?</v>
      </c>
      <c r="Q270" s="23" t="e">
        <f ca="1">[1]!BexGetData("DP_1","00O2TNJGODT0G5Z4TTKYMM5MT","GSON1112030601")</f>
        <v>#NAME?</v>
      </c>
      <c r="R270" s="23" t="e">
        <f ca="1">[1]!BexGetData("DP_1","00O2TNJGODT0G5Z4TTKYMMBYD","GSON1112030601")</f>
        <v>#NAME?</v>
      </c>
      <c r="S270" s="23" t="e">
        <f ca="1">[1]!BexGetData("DP_1","00O2TNJGODT0G5Z4TTKYMMI9X","GSON1112030601")</f>
        <v>#NAME?</v>
      </c>
      <c r="T270" s="23" t="e">
        <f ca="1">[1]!BexGetData("DP_1","00O2TNJGODT0G5Z4TTKYMMOLH","GSON1112030601")</f>
        <v>#NAME?</v>
      </c>
      <c r="U270" s="28" t="e">
        <f ca="1">[1]!BexGetData("DP_1","00O2TNJGODT0G5Z4TTKYMMUX1","GSON1112030601")</f>
        <v>#NAME?</v>
      </c>
      <c r="V270" s="23" t="e">
        <f ca="1">[1]!BexGetData("DP_1","00O2TNJGODT0G5Z4TTKYMN18L","GSON1112030601")</f>
        <v>#NAME?</v>
      </c>
      <c r="W270" s="28" t="e">
        <f ca="1">[1]!BexGetData("DP_1","00O2TNJGODT0G5Z4TTKYMN7K5","GSON1112030601")</f>
        <v>#NAME?</v>
      </c>
    </row>
    <row r="271" spans="1:23" x14ac:dyDescent="0.2">
      <c r="A271" s="36" t="s">
        <v>2116</v>
      </c>
      <c r="B271" s="27" t="s">
        <v>2117</v>
      </c>
      <c r="C271" s="23" t="e">
        <f ca="1">[1]!BexGetData("DP_1","003N8EMH8GTFRCSWKMPXRR8GU","GSON1112030602")</f>
        <v>#NAME?</v>
      </c>
      <c r="D271" s="23" t="e">
        <f ca="1">[1]!BexGetData("DP_1","003N8EMH8GTFRCSWKMPXRRESE","GSON1112030602")</f>
        <v>#NAME?</v>
      </c>
      <c r="E271" s="28" t="e">
        <f ca="1">[1]!BexGetData("DP_1","003N8EMH8GTFRCSWKMPXRRL3Y","GSON1112030602")</f>
        <v>#NAME?</v>
      </c>
      <c r="F271" s="23" t="e">
        <f ca="1">[1]!BexGetData("DP_1","003N8EMH8GTFRCSWKMPXRRRFI","GSON1112030602")</f>
        <v>#NAME?</v>
      </c>
      <c r="G271" s="23" t="e">
        <f ca="1">[1]!BexGetData("DP_1","003N8EMH8GTFRCSWKMPXRRXR2","GSON1112030602")</f>
        <v>#NAME?</v>
      </c>
      <c r="H271" s="23" t="e">
        <f ca="1">[1]!BexGetData("DP_1","003N8EMH8GTFRCSWKMPXRS42M","GSON1112030602")</f>
        <v>#NAME?</v>
      </c>
      <c r="I271" s="23" t="e">
        <f ca="1">[1]!BexGetData("DP_1","003N8EMH8GTFRCSWKMPXRSAE6","GSON1112030602")</f>
        <v>#NAME?</v>
      </c>
      <c r="J271" s="24" t="e">
        <f ca="1">[1]!BexGetData("DP_1","003N8EMH8GTFRCSWKMPXRSGPQ","GSON1112030602")</f>
        <v>#NAME?</v>
      </c>
      <c r="K271" s="23" t="e">
        <f ca="1">[1]!BexGetData("DP_1","003N8EMH8GTFRIVNUPY288VJH","GSON1112030602")</f>
        <v>#NAME?</v>
      </c>
      <c r="L271" s="23" t="e">
        <f ca="1">[1]!BexGetData("DP_1","003N8EMH8GTFRIVNUPY2891V1","GSON1112030602")</f>
        <v>#NAME?</v>
      </c>
      <c r="M271" s="23" t="e">
        <f ca="1">[1]!BexGetData("DP_1","003N8EMH8GTFRIVOG7KG9IQXA","GSON1112030602")</f>
        <v>#NAME?</v>
      </c>
      <c r="N271" s="28" t="e">
        <f ca="1">[1]!BexGetData("DP_1","003N8EMH8GTFRIVOG7KG9IX8U","GSON1112030602")</f>
        <v>#NAME?</v>
      </c>
      <c r="O271" s="23" t="e">
        <f ca="1">[1]!BexGetData("DP_1","003N8EMH8GTFRIVOG7KG9J3KE","GSON1112030602")</f>
        <v>#NAME?</v>
      </c>
      <c r="P271" s="28" t="e">
        <f ca="1">[1]!BexGetData("DP_1","003N8EMH8GTFRIVOG7KG9J9VY","GSON1112030602")</f>
        <v>#NAME?</v>
      </c>
      <c r="Q271" s="24" t="e">
        <f ca="1">[1]!BexGetData("DP_1","00O2TNJGODT0G5Z4TTKYMM5MT","GSON1112030602")</f>
        <v>#NAME?</v>
      </c>
      <c r="R271" s="23" t="e">
        <f ca="1">[1]!BexGetData("DP_1","00O2TNJGODT0G5Z4TTKYMMBYD","GSON1112030602")</f>
        <v>#NAME?</v>
      </c>
      <c r="S271" s="23" t="e">
        <f ca="1">[1]!BexGetData("DP_1","00O2TNJGODT0G5Z4TTKYMMI9X","GSON1112030602")</f>
        <v>#NAME?</v>
      </c>
      <c r="T271" s="28" t="e">
        <f ca="1">[1]!BexGetData("DP_1","00O2TNJGODT0G5Z4TTKYMMOLH","GSON1112030602")</f>
        <v>#NAME?</v>
      </c>
      <c r="U271" s="23" t="e">
        <f ca="1">[1]!BexGetData("DP_1","00O2TNJGODT0G5Z4TTKYMMUX1","GSON1112030602")</f>
        <v>#NAME?</v>
      </c>
      <c r="V271" s="28" t="e">
        <f ca="1">[1]!BexGetData("DP_1","00O2TNJGODT0G5Z4TTKYMN18L","GSON1112030602")</f>
        <v>#NAME?</v>
      </c>
      <c r="W271" s="23" t="e">
        <f ca="1">[1]!BexGetData("DP_1","00O2TNJGODT0G5Z4TTKYMN7K5","GSON1112030602")</f>
        <v>#NAME?</v>
      </c>
    </row>
    <row r="272" spans="1:23" x14ac:dyDescent="0.2">
      <c r="A272" s="36" t="s">
        <v>2118</v>
      </c>
      <c r="B272" s="27" t="s">
        <v>2119</v>
      </c>
      <c r="C272" s="23" t="e">
        <f ca="1">[1]!BexGetData("DP_1","003N8EMH8GTFRCSWKMPXRR8GU","GSON1112030603")</f>
        <v>#NAME?</v>
      </c>
      <c r="D272" s="23" t="e">
        <f ca="1">[1]!BexGetData("DP_1","003N8EMH8GTFRCSWKMPXRRESE","GSON1112030603")</f>
        <v>#NAME?</v>
      </c>
      <c r="E272" s="28" t="e">
        <f ca="1">[1]!BexGetData("DP_1","003N8EMH8GTFRCSWKMPXRRL3Y","GSON1112030603")</f>
        <v>#NAME?</v>
      </c>
      <c r="F272" s="28" t="e">
        <f ca="1">[1]!BexGetData("DP_1","003N8EMH8GTFRCSWKMPXRRRFI","GSON1112030603")</f>
        <v>#NAME?</v>
      </c>
      <c r="G272" s="23" t="e">
        <f ca="1">[1]!BexGetData("DP_1","003N8EMH8GTFRCSWKMPXRRXR2","GSON1112030603")</f>
        <v>#NAME?</v>
      </c>
      <c r="H272" s="23" t="e">
        <f ca="1">[1]!BexGetData("DP_1","003N8EMH8GTFRCSWKMPXRS42M","GSON1112030603")</f>
        <v>#NAME?</v>
      </c>
      <c r="I272" s="28" t="e">
        <f ca="1">[1]!BexGetData("DP_1","003N8EMH8GTFRCSWKMPXRSAE6","GSON1112030603")</f>
        <v>#NAME?</v>
      </c>
      <c r="J272" s="24" t="e">
        <f ca="1">[1]!BexGetData("DP_1","003N8EMH8GTFRCSWKMPXRSGPQ","GSON1112030603")</f>
        <v>#NAME?</v>
      </c>
      <c r="K272" s="28" t="e">
        <f ca="1">[1]!BexGetData("DP_1","003N8EMH8GTFRIVNUPY288VJH","GSON1112030603")</f>
        <v>#NAME?</v>
      </c>
      <c r="L272" s="28" t="e">
        <f ca="1">[1]!BexGetData("DP_1","003N8EMH8GTFRIVNUPY2891V1","GSON1112030603")</f>
        <v>#NAME?</v>
      </c>
      <c r="M272" s="28" t="e">
        <f ca="1">[1]!BexGetData("DP_1","003N8EMH8GTFRIVOG7KG9IQXA","GSON1112030603")</f>
        <v>#NAME?</v>
      </c>
      <c r="N272" s="28" t="e">
        <f ca="1">[1]!BexGetData("DP_1","003N8EMH8GTFRIVOG7KG9IX8U","GSON1112030603")</f>
        <v>#NAME?</v>
      </c>
      <c r="O272" s="28" t="e">
        <f ca="1">[1]!BexGetData("DP_1","003N8EMH8GTFRIVOG7KG9J3KE","GSON1112030603")</f>
        <v>#NAME?</v>
      </c>
      <c r="P272" s="28" t="e">
        <f ca="1">[1]!BexGetData("DP_1","003N8EMH8GTFRIVOG7KG9J9VY","GSON1112030603")</f>
        <v>#NAME?</v>
      </c>
      <c r="Q272" s="24" t="e">
        <f ca="1">[1]!BexGetData("DP_1","00O2TNJGODT0G5Z4TTKYMM5MT","GSON1112030603")</f>
        <v>#NAME?</v>
      </c>
      <c r="R272" s="28" t="e">
        <f ca="1">[1]!BexGetData("DP_1","00O2TNJGODT0G5Z4TTKYMMBYD","GSON1112030603")</f>
        <v>#NAME?</v>
      </c>
      <c r="S272" s="28" t="e">
        <f ca="1">[1]!BexGetData("DP_1","00O2TNJGODT0G5Z4TTKYMMI9X","GSON1112030603")</f>
        <v>#NAME?</v>
      </c>
      <c r="T272" s="28" t="e">
        <f ca="1">[1]!BexGetData("DP_1","00O2TNJGODT0G5Z4TTKYMMOLH","GSON1112030603")</f>
        <v>#NAME?</v>
      </c>
      <c r="U272" s="28" t="e">
        <f ca="1">[1]!BexGetData("DP_1","00O2TNJGODT0G5Z4TTKYMMUX1","GSON1112030603")</f>
        <v>#NAME?</v>
      </c>
      <c r="V272" s="28" t="e">
        <f ca="1">[1]!BexGetData("DP_1","00O2TNJGODT0G5Z4TTKYMN18L","GSON1112030603")</f>
        <v>#NAME?</v>
      </c>
      <c r="W272" s="28" t="e">
        <f ca="1">[1]!BexGetData("DP_1","00O2TNJGODT0G5Z4TTKYMN7K5","GSON1112030603")</f>
        <v>#NAME?</v>
      </c>
    </row>
    <row r="273" spans="1:23" x14ac:dyDescent="0.2">
      <c r="A273" s="36" t="s">
        <v>2120</v>
      </c>
      <c r="B273" s="27" t="s">
        <v>854</v>
      </c>
      <c r="C273" s="23" t="e">
        <f ca="1">[1]!BexGetData("DP_1","003N8EMH8GTFRCSWKMPXRR8GU","GSON1112030604")</f>
        <v>#NAME?</v>
      </c>
      <c r="D273" s="23" t="e">
        <f ca="1">[1]!BexGetData("DP_1","003N8EMH8GTFRCSWKMPXRRESE","GSON1112030604")</f>
        <v>#NAME?</v>
      </c>
      <c r="E273" s="28" t="e">
        <f ca="1">[1]!BexGetData("DP_1","003N8EMH8GTFRCSWKMPXRRL3Y","GSON1112030604")</f>
        <v>#NAME?</v>
      </c>
      <c r="F273" s="28" t="e">
        <f ca="1">[1]!BexGetData("DP_1","003N8EMH8GTFRCSWKMPXRRRFI","GSON1112030604")</f>
        <v>#NAME?</v>
      </c>
      <c r="G273" s="23" t="e">
        <f ca="1">[1]!BexGetData("DP_1","003N8EMH8GTFRCSWKMPXRRXR2","GSON1112030604")</f>
        <v>#NAME?</v>
      </c>
      <c r="H273" s="23" t="e">
        <f ca="1">[1]!BexGetData("DP_1","003N8EMH8GTFRCSWKMPXRS42M","GSON1112030604")</f>
        <v>#NAME?</v>
      </c>
      <c r="I273" s="28" t="e">
        <f ca="1">[1]!BexGetData("DP_1","003N8EMH8GTFRCSWKMPXRSAE6","GSON1112030604")</f>
        <v>#NAME?</v>
      </c>
      <c r="J273" s="24" t="e">
        <f ca="1">[1]!BexGetData("DP_1","003N8EMH8GTFRCSWKMPXRSGPQ","GSON1112030604")</f>
        <v>#NAME?</v>
      </c>
      <c r="K273" s="28" t="e">
        <f ca="1">[1]!BexGetData("DP_1","003N8EMH8GTFRIVNUPY288VJH","GSON1112030604")</f>
        <v>#NAME?</v>
      </c>
      <c r="L273" s="28" t="e">
        <f ca="1">[1]!BexGetData("DP_1","003N8EMH8GTFRIVNUPY2891V1","GSON1112030604")</f>
        <v>#NAME?</v>
      </c>
      <c r="M273" s="28" t="e">
        <f ca="1">[1]!BexGetData("DP_1","003N8EMH8GTFRIVOG7KG9IQXA","GSON1112030604")</f>
        <v>#NAME?</v>
      </c>
      <c r="N273" s="28" t="e">
        <f ca="1">[1]!BexGetData("DP_1","003N8EMH8GTFRIVOG7KG9IX8U","GSON1112030604")</f>
        <v>#NAME?</v>
      </c>
      <c r="O273" s="28" t="e">
        <f ca="1">[1]!BexGetData("DP_1","003N8EMH8GTFRIVOG7KG9J3KE","GSON1112030604")</f>
        <v>#NAME?</v>
      </c>
      <c r="P273" s="28" t="e">
        <f ca="1">[1]!BexGetData("DP_1","003N8EMH8GTFRIVOG7KG9J9VY","GSON1112030604")</f>
        <v>#NAME?</v>
      </c>
      <c r="Q273" s="24" t="e">
        <f ca="1">[1]!BexGetData("DP_1","00O2TNJGODT0G5Z4TTKYMM5MT","GSON1112030604")</f>
        <v>#NAME?</v>
      </c>
      <c r="R273" s="28" t="e">
        <f ca="1">[1]!BexGetData("DP_1","00O2TNJGODT0G5Z4TTKYMMBYD","GSON1112030604")</f>
        <v>#NAME?</v>
      </c>
      <c r="S273" s="28" t="e">
        <f ca="1">[1]!BexGetData("DP_1","00O2TNJGODT0G5Z4TTKYMMI9X","GSON1112030604")</f>
        <v>#NAME?</v>
      </c>
      <c r="T273" s="28" t="e">
        <f ca="1">[1]!BexGetData("DP_1","00O2TNJGODT0G5Z4TTKYMMOLH","GSON1112030604")</f>
        <v>#NAME?</v>
      </c>
      <c r="U273" s="28" t="e">
        <f ca="1">[1]!BexGetData("DP_1","00O2TNJGODT0G5Z4TTKYMMUX1","GSON1112030604")</f>
        <v>#NAME?</v>
      </c>
      <c r="V273" s="28" t="e">
        <f ca="1">[1]!BexGetData("DP_1","00O2TNJGODT0G5Z4TTKYMN18L","GSON1112030604")</f>
        <v>#NAME?</v>
      </c>
      <c r="W273" s="28" t="e">
        <f ca="1">[1]!BexGetData("DP_1","00O2TNJGODT0G5Z4TTKYMN7K5","GSON1112030604")</f>
        <v>#NAME?</v>
      </c>
    </row>
    <row r="274" spans="1:23" x14ac:dyDescent="0.2">
      <c r="A274" s="36" t="s">
        <v>855</v>
      </c>
      <c r="B274" s="27" t="s">
        <v>856</v>
      </c>
      <c r="C274" s="23" t="e">
        <f ca="1">[1]!BexGetData("DP_1","003N8EMH8GTFRCSWKMPXRR8GU","GSON1112030610")</f>
        <v>#NAME?</v>
      </c>
      <c r="D274" s="23" t="e">
        <f ca="1">[1]!BexGetData("DP_1","003N8EMH8GTFRCSWKMPXRRESE","GSON1112030610")</f>
        <v>#NAME?</v>
      </c>
      <c r="E274" s="23" t="e">
        <f ca="1">[1]!BexGetData("DP_1","003N8EMH8GTFRCSWKMPXRRL3Y","GSON1112030610")</f>
        <v>#NAME?</v>
      </c>
      <c r="F274" s="23" t="e">
        <f ca="1">[1]!BexGetData("DP_1","003N8EMH8GTFRCSWKMPXRRRFI","GSON1112030610")</f>
        <v>#NAME?</v>
      </c>
      <c r="G274" s="23" t="e">
        <f ca="1">[1]!BexGetData("DP_1","003N8EMH8GTFRCSWKMPXRRXR2","GSON1112030610")</f>
        <v>#NAME?</v>
      </c>
      <c r="H274" s="23" t="e">
        <f ca="1">[1]!BexGetData("DP_1","003N8EMH8GTFRCSWKMPXRS42M","GSON1112030610")</f>
        <v>#NAME?</v>
      </c>
      <c r="I274" s="23" t="e">
        <f ca="1">[1]!BexGetData("DP_1","003N8EMH8GTFRCSWKMPXRSAE6","GSON1112030610")</f>
        <v>#NAME?</v>
      </c>
      <c r="J274" s="23" t="e">
        <f ca="1">[1]!BexGetData("DP_1","003N8EMH8GTFRCSWKMPXRSGPQ","GSON1112030610")</f>
        <v>#NAME?</v>
      </c>
      <c r="K274" s="23" t="e">
        <f ca="1">[1]!BexGetData("DP_1","003N8EMH8GTFRIVNUPY288VJH","GSON1112030610")</f>
        <v>#NAME?</v>
      </c>
      <c r="L274" s="23" t="e">
        <f ca="1">[1]!BexGetData("DP_1","003N8EMH8GTFRIVNUPY2891V1","GSON1112030610")</f>
        <v>#NAME?</v>
      </c>
      <c r="M274" s="28" t="e">
        <f ca="1">[1]!BexGetData("DP_1","003N8EMH8GTFRIVOG7KG9IQXA","GSON1112030610")</f>
        <v>#NAME?</v>
      </c>
      <c r="N274" s="23" t="e">
        <f ca="1">[1]!BexGetData("DP_1","003N8EMH8GTFRIVOG7KG9IX8U","GSON1112030610")</f>
        <v>#NAME?</v>
      </c>
      <c r="O274" s="28" t="e">
        <f ca="1">[1]!BexGetData("DP_1","003N8EMH8GTFRIVOG7KG9J3KE","GSON1112030610")</f>
        <v>#NAME?</v>
      </c>
      <c r="P274" s="23" t="e">
        <f ca="1">[1]!BexGetData("DP_1","003N8EMH8GTFRIVOG7KG9J9VY","GSON1112030610")</f>
        <v>#NAME?</v>
      </c>
      <c r="Q274" s="23" t="e">
        <f ca="1">[1]!BexGetData("DP_1","00O2TNJGODT0G5Z4TTKYMM5MT","GSON1112030610")</f>
        <v>#NAME?</v>
      </c>
      <c r="R274" s="23" t="e">
        <f ca="1">[1]!BexGetData("DP_1","00O2TNJGODT0G5Z4TTKYMMBYD","GSON1112030610")</f>
        <v>#NAME?</v>
      </c>
      <c r="S274" s="23" t="e">
        <f ca="1">[1]!BexGetData("DP_1","00O2TNJGODT0G5Z4TTKYMMI9X","GSON1112030610")</f>
        <v>#NAME?</v>
      </c>
      <c r="T274" s="28" t="e">
        <f ca="1">[1]!BexGetData("DP_1","00O2TNJGODT0G5Z4TTKYMMOLH","GSON1112030610")</f>
        <v>#NAME?</v>
      </c>
      <c r="U274" s="23" t="e">
        <f ca="1">[1]!BexGetData("DP_1","00O2TNJGODT0G5Z4TTKYMMUX1","GSON1112030610")</f>
        <v>#NAME?</v>
      </c>
      <c r="V274" s="28" t="e">
        <f ca="1">[1]!BexGetData("DP_1","00O2TNJGODT0G5Z4TTKYMN18L","GSON1112030610")</f>
        <v>#NAME?</v>
      </c>
      <c r="W274" s="23" t="e">
        <f ca="1">[1]!BexGetData("DP_1","00O2TNJGODT0G5Z4TTKYMN7K5","GSON1112030610")</f>
        <v>#NAME?</v>
      </c>
    </row>
    <row r="275" spans="1:23" x14ac:dyDescent="0.2">
      <c r="A275" s="36" t="s">
        <v>857</v>
      </c>
      <c r="B275" s="27" t="s">
        <v>858</v>
      </c>
      <c r="C275" s="23" t="e">
        <f ca="1">[1]!BexGetData("DP_1","003N8EMH8GTFRCSWKMPXRR8GU","GSON1112030611")</f>
        <v>#NAME?</v>
      </c>
      <c r="D275" s="23" t="e">
        <f ca="1">[1]!BexGetData("DP_1","003N8EMH8GTFRCSWKMPXRRESE","GSON1112030611")</f>
        <v>#NAME?</v>
      </c>
      <c r="E275" s="23" t="e">
        <f ca="1">[1]!BexGetData("DP_1","003N8EMH8GTFRCSWKMPXRRL3Y","GSON1112030611")</f>
        <v>#NAME?</v>
      </c>
      <c r="F275" s="23" t="e">
        <f ca="1">[1]!BexGetData("DP_1","003N8EMH8GTFRCSWKMPXRRRFI","GSON1112030611")</f>
        <v>#NAME?</v>
      </c>
      <c r="G275" s="23" t="e">
        <f ca="1">[1]!BexGetData("DP_1","003N8EMH8GTFRCSWKMPXRRXR2","GSON1112030611")</f>
        <v>#NAME?</v>
      </c>
      <c r="H275" s="23" t="e">
        <f ca="1">[1]!BexGetData("DP_1","003N8EMH8GTFRCSWKMPXRS42M","GSON1112030611")</f>
        <v>#NAME?</v>
      </c>
      <c r="I275" s="23" t="e">
        <f ca="1">[1]!BexGetData("DP_1","003N8EMH8GTFRCSWKMPXRSAE6","GSON1112030611")</f>
        <v>#NAME?</v>
      </c>
      <c r="J275" s="23" t="e">
        <f ca="1">[1]!BexGetData("DP_1","003N8EMH8GTFRCSWKMPXRSGPQ","GSON1112030611")</f>
        <v>#NAME?</v>
      </c>
      <c r="K275" s="23" t="e">
        <f ca="1">[1]!BexGetData("DP_1","003N8EMH8GTFRIVNUPY288VJH","GSON1112030611")</f>
        <v>#NAME?</v>
      </c>
      <c r="L275" s="23" t="e">
        <f ca="1">[1]!BexGetData("DP_1","003N8EMH8GTFRIVNUPY2891V1","GSON1112030611")</f>
        <v>#NAME?</v>
      </c>
      <c r="M275" s="28" t="e">
        <f ca="1">[1]!BexGetData("DP_1","003N8EMH8GTFRIVOG7KG9IQXA","GSON1112030611")</f>
        <v>#NAME?</v>
      </c>
      <c r="N275" s="23" t="e">
        <f ca="1">[1]!BexGetData("DP_1","003N8EMH8GTFRIVOG7KG9IX8U","GSON1112030611")</f>
        <v>#NAME?</v>
      </c>
      <c r="O275" s="28" t="e">
        <f ca="1">[1]!BexGetData("DP_1","003N8EMH8GTFRIVOG7KG9J3KE","GSON1112030611")</f>
        <v>#NAME?</v>
      </c>
      <c r="P275" s="23" t="e">
        <f ca="1">[1]!BexGetData("DP_1","003N8EMH8GTFRIVOG7KG9J9VY","GSON1112030611")</f>
        <v>#NAME?</v>
      </c>
      <c r="Q275" s="23" t="e">
        <f ca="1">[1]!BexGetData("DP_1","00O2TNJGODT0G5Z4TTKYMM5MT","GSON1112030611")</f>
        <v>#NAME?</v>
      </c>
      <c r="R275" s="23" t="e">
        <f ca="1">[1]!BexGetData("DP_1","00O2TNJGODT0G5Z4TTKYMMBYD","GSON1112030611")</f>
        <v>#NAME?</v>
      </c>
      <c r="S275" s="23" t="e">
        <f ca="1">[1]!BexGetData("DP_1","00O2TNJGODT0G5Z4TTKYMMI9X","GSON1112030611")</f>
        <v>#NAME?</v>
      </c>
      <c r="T275" s="23" t="e">
        <f ca="1">[1]!BexGetData("DP_1","00O2TNJGODT0G5Z4TTKYMMOLH","GSON1112030611")</f>
        <v>#NAME?</v>
      </c>
      <c r="U275" s="28" t="e">
        <f ca="1">[1]!BexGetData("DP_1","00O2TNJGODT0G5Z4TTKYMMUX1","GSON1112030611")</f>
        <v>#NAME?</v>
      </c>
      <c r="V275" s="23" t="e">
        <f ca="1">[1]!BexGetData("DP_1","00O2TNJGODT0G5Z4TTKYMN18L","GSON1112030611")</f>
        <v>#NAME?</v>
      </c>
      <c r="W275" s="28" t="e">
        <f ca="1">[1]!BexGetData("DP_1","00O2TNJGODT0G5Z4TTKYMN7K5","GSON1112030611")</f>
        <v>#NAME?</v>
      </c>
    </row>
    <row r="276" spans="1:23" x14ac:dyDescent="0.2">
      <c r="A276" s="36" t="s">
        <v>2121</v>
      </c>
      <c r="B276" s="27" t="s">
        <v>2122</v>
      </c>
      <c r="C276" s="23" t="e">
        <f ca="1">[1]!BexGetData("DP_1","003N8EMH8GTFRCSWKMPXRR8GU","GSON1112030612")</f>
        <v>#NAME?</v>
      </c>
      <c r="D276" s="23" t="e">
        <f ca="1">[1]!BexGetData("DP_1","003N8EMH8GTFRCSWKMPXRRESE","GSON1112030612")</f>
        <v>#NAME?</v>
      </c>
      <c r="E276" s="28" t="e">
        <f ca="1">[1]!BexGetData("DP_1","003N8EMH8GTFRCSWKMPXRRL3Y","GSON1112030612")</f>
        <v>#NAME?</v>
      </c>
      <c r="F276" s="23" t="e">
        <f ca="1">[1]!BexGetData("DP_1","003N8EMH8GTFRCSWKMPXRRRFI","GSON1112030612")</f>
        <v>#NAME?</v>
      </c>
      <c r="G276" s="23" t="e">
        <f ca="1">[1]!BexGetData("DP_1","003N8EMH8GTFRCSWKMPXRRXR2","GSON1112030612")</f>
        <v>#NAME?</v>
      </c>
      <c r="H276" s="28" t="e">
        <f ca="1">[1]!BexGetData("DP_1","003N8EMH8GTFRCSWKMPXRS42M","GSON1112030612")</f>
        <v>#NAME?</v>
      </c>
      <c r="I276" s="23" t="e">
        <f ca="1">[1]!BexGetData("DP_1","003N8EMH8GTFRCSWKMPXRSAE6","GSON1112030612")</f>
        <v>#NAME?</v>
      </c>
      <c r="J276" s="24" t="e">
        <f ca="1">[1]!BexGetData("DP_1","003N8EMH8GTFRCSWKMPXRSGPQ","GSON1112030612")</f>
        <v>#NAME?</v>
      </c>
      <c r="K276" s="23" t="e">
        <f ca="1">[1]!BexGetData("DP_1","003N8EMH8GTFRIVNUPY288VJH","GSON1112030612")</f>
        <v>#NAME?</v>
      </c>
      <c r="L276" s="23" t="e">
        <f ca="1">[1]!BexGetData("DP_1","003N8EMH8GTFRIVNUPY2891V1","GSON1112030612")</f>
        <v>#NAME?</v>
      </c>
      <c r="M276" s="23" t="e">
        <f ca="1">[1]!BexGetData("DP_1","003N8EMH8GTFRIVOG7KG9IQXA","GSON1112030612")</f>
        <v>#NAME?</v>
      </c>
      <c r="N276" s="28" t="e">
        <f ca="1">[1]!BexGetData("DP_1","003N8EMH8GTFRIVOG7KG9IX8U","GSON1112030612")</f>
        <v>#NAME?</v>
      </c>
      <c r="O276" s="23" t="e">
        <f ca="1">[1]!BexGetData("DP_1","003N8EMH8GTFRIVOG7KG9J3KE","GSON1112030612")</f>
        <v>#NAME?</v>
      </c>
      <c r="P276" s="28" t="e">
        <f ca="1">[1]!BexGetData("DP_1","003N8EMH8GTFRIVOG7KG9J9VY","GSON1112030612")</f>
        <v>#NAME?</v>
      </c>
      <c r="Q276" s="24" t="e">
        <f ca="1">[1]!BexGetData("DP_1","00O2TNJGODT0G5Z4TTKYMM5MT","GSON1112030612")</f>
        <v>#NAME?</v>
      </c>
      <c r="R276" s="23" t="e">
        <f ca="1">[1]!BexGetData("DP_1","00O2TNJGODT0G5Z4TTKYMMBYD","GSON1112030612")</f>
        <v>#NAME?</v>
      </c>
      <c r="S276" s="23" t="e">
        <f ca="1">[1]!BexGetData("DP_1","00O2TNJGODT0G5Z4TTKYMMI9X","GSON1112030612")</f>
        <v>#NAME?</v>
      </c>
      <c r="T276" s="28" t="e">
        <f ca="1">[1]!BexGetData("DP_1","00O2TNJGODT0G5Z4TTKYMMOLH","GSON1112030612")</f>
        <v>#NAME?</v>
      </c>
      <c r="U276" s="23" t="e">
        <f ca="1">[1]!BexGetData("DP_1","00O2TNJGODT0G5Z4TTKYMMUX1","GSON1112030612")</f>
        <v>#NAME?</v>
      </c>
      <c r="V276" s="28" t="e">
        <f ca="1">[1]!BexGetData("DP_1","00O2TNJGODT0G5Z4TTKYMN18L","GSON1112030612")</f>
        <v>#NAME?</v>
      </c>
      <c r="W276" s="23" t="e">
        <f ca="1">[1]!BexGetData("DP_1","00O2TNJGODT0G5Z4TTKYMN7K5","GSON1112030612")</f>
        <v>#NAME?</v>
      </c>
    </row>
    <row r="277" spans="1:23" x14ac:dyDescent="0.2">
      <c r="A277" s="36" t="s">
        <v>2123</v>
      </c>
      <c r="B277" s="27" t="s">
        <v>2124</v>
      </c>
      <c r="C277" s="23" t="e">
        <f ca="1">[1]!BexGetData("DP_1","003N8EMH8GTFRCSWKMPXRR8GU","GSON1112030613")</f>
        <v>#NAME?</v>
      </c>
      <c r="D277" s="23" t="e">
        <f ca="1">[1]!BexGetData("DP_1","003N8EMH8GTFRCSWKMPXRRESE","GSON1112030613")</f>
        <v>#NAME?</v>
      </c>
      <c r="E277" s="28" t="e">
        <f ca="1">[1]!BexGetData("DP_1","003N8EMH8GTFRCSWKMPXRRL3Y","GSON1112030613")</f>
        <v>#NAME?</v>
      </c>
      <c r="F277" s="23" t="e">
        <f ca="1">[1]!BexGetData("DP_1","003N8EMH8GTFRCSWKMPXRRRFI","GSON1112030613")</f>
        <v>#NAME?</v>
      </c>
      <c r="G277" s="23" t="e">
        <f ca="1">[1]!BexGetData("DP_1","003N8EMH8GTFRCSWKMPXRRXR2","GSON1112030613")</f>
        <v>#NAME?</v>
      </c>
      <c r="H277" s="23" t="e">
        <f ca="1">[1]!BexGetData("DP_1","003N8EMH8GTFRCSWKMPXRS42M","GSON1112030613")</f>
        <v>#NAME?</v>
      </c>
      <c r="I277" s="23" t="e">
        <f ca="1">[1]!BexGetData("DP_1","003N8EMH8GTFRCSWKMPXRSAE6","GSON1112030613")</f>
        <v>#NAME?</v>
      </c>
      <c r="J277" s="24" t="e">
        <f ca="1">[1]!BexGetData("DP_1","003N8EMH8GTFRCSWKMPXRSGPQ","GSON1112030613")</f>
        <v>#NAME?</v>
      </c>
      <c r="K277" s="23" t="e">
        <f ca="1">[1]!BexGetData("DP_1","003N8EMH8GTFRIVNUPY288VJH","GSON1112030613")</f>
        <v>#NAME?</v>
      </c>
      <c r="L277" s="23" t="e">
        <f ca="1">[1]!BexGetData("DP_1","003N8EMH8GTFRIVNUPY2891V1","GSON1112030613")</f>
        <v>#NAME?</v>
      </c>
      <c r="M277" s="23" t="e">
        <f ca="1">[1]!BexGetData("DP_1","003N8EMH8GTFRIVOG7KG9IQXA","GSON1112030613")</f>
        <v>#NAME?</v>
      </c>
      <c r="N277" s="28" t="e">
        <f ca="1">[1]!BexGetData("DP_1","003N8EMH8GTFRIVOG7KG9IX8U","GSON1112030613")</f>
        <v>#NAME?</v>
      </c>
      <c r="O277" s="23" t="e">
        <f ca="1">[1]!BexGetData("DP_1","003N8EMH8GTFRIVOG7KG9J3KE","GSON1112030613")</f>
        <v>#NAME?</v>
      </c>
      <c r="P277" s="28" t="e">
        <f ca="1">[1]!BexGetData("DP_1","003N8EMH8GTFRIVOG7KG9J9VY","GSON1112030613")</f>
        <v>#NAME?</v>
      </c>
      <c r="Q277" s="24" t="e">
        <f ca="1">[1]!BexGetData("DP_1","00O2TNJGODT0G5Z4TTKYMM5MT","GSON1112030613")</f>
        <v>#NAME?</v>
      </c>
      <c r="R277" s="23" t="e">
        <f ca="1">[1]!BexGetData("DP_1","00O2TNJGODT0G5Z4TTKYMMBYD","GSON1112030613")</f>
        <v>#NAME?</v>
      </c>
      <c r="S277" s="23" t="e">
        <f ca="1">[1]!BexGetData("DP_1","00O2TNJGODT0G5Z4TTKYMMI9X","GSON1112030613")</f>
        <v>#NAME?</v>
      </c>
      <c r="T277" s="28" t="e">
        <f ca="1">[1]!BexGetData("DP_1","00O2TNJGODT0G5Z4TTKYMMOLH","GSON1112030613")</f>
        <v>#NAME?</v>
      </c>
      <c r="U277" s="23" t="e">
        <f ca="1">[1]!BexGetData("DP_1","00O2TNJGODT0G5Z4TTKYMMUX1","GSON1112030613")</f>
        <v>#NAME?</v>
      </c>
      <c r="V277" s="28" t="e">
        <f ca="1">[1]!BexGetData("DP_1","00O2TNJGODT0G5Z4TTKYMN18L","GSON1112030613")</f>
        <v>#NAME?</v>
      </c>
      <c r="W277" s="23" t="e">
        <f ca="1">[1]!BexGetData("DP_1","00O2TNJGODT0G5Z4TTKYMN7K5","GSON1112030613")</f>
        <v>#NAME?</v>
      </c>
    </row>
    <row r="278" spans="1:23" x14ac:dyDescent="0.2">
      <c r="A278" s="36" t="s">
        <v>2125</v>
      </c>
      <c r="B278" s="27" t="s">
        <v>859</v>
      </c>
      <c r="C278" s="23" t="e">
        <f ca="1">[1]!BexGetData("DP_1","003N8EMH8GTFRCSWKMPXRR8GU","GSON1112030614")</f>
        <v>#NAME?</v>
      </c>
      <c r="D278" s="23" t="e">
        <f ca="1">[1]!BexGetData("DP_1","003N8EMH8GTFRCSWKMPXRRESE","GSON1112030614")</f>
        <v>#NAME?</v>
      </c>
      <c r="E278" s="28" t="e">
        <f ca="1">[1]!BexGetData("DP_1","003N8EMH8GTFRCSWKMPXRRL3Y","GSON1112030614")</f>
        <v>#NAME?</v>
      </c>
      <c r="F278" s="28" t="e">
        <f ca="1">[1]!BexGetData("DP_1","003N8EMH8GTFRCSWKMPXRRRFI","GSON1112030614")</f>
        <v>#NAME?</v>
      </c>
      <c r="G278" s="23" t="e">
        <f ca="1">[1]!BexGetData("DP_1","003N8EMH8GTFRCSWKMPXRRXR2","GSON1112030614")</f>
        <v>#NAME?</v>
      </c>
      <c r="H278" s="23" t="e">
        <f ca="1">[1]!BexGetData("DP_1","003N8EMH8GTFRCSWKMPXRS42M","GSON1112030614")</f>
        <v>#NAME?</v>
      </c>
      <c r="I278" s="28" t="e">
        <f ca="1">[1]!BexGetData("DP_1","003N8EMH8GTFRCSWKMPXRSAE6","GSON1112030614")</f>
        <v>#NAME?</v>
      </c>
      <c r="J278" s="24" t="e">
        <f ca="1">[1]!BexGetData("DP_1","003N8EMH8GTFRCSWKMPXRSGPQ","GSON1112030614")</f>
        <v>#NAME?</v>
      </c>
      <c r="K278" s="28" t="e">
        <f ca="1">[1]!BexGetData("DP_1","003N8EMH8GTFRIVNUPY288VJH","GSON1112030614")</f>
        <v>#NAME?</v>
      </c>
      <c r="L278" s="28" t="e">
        <f ca="1">[1]!BexGetData("DP_1","003N8EMH8GTFRIVNUPY2891V1","GSON1112030614")</f>
        <v>#NAME?</v>
      </c>
      <c r="M278" s="28" t="e">
        <f ca="1">[1]!BexGetData("DP_1","003N8EMH8GTFRIVOG7KG9IQXA","GSON1112030614")</f>
        <v>#NAME?</v>
      </c>
      <c r="N278" s="28" t="e">
        <f ca="1">[1]!BexGetData("DP_1","003N8EMH8GTFRIVOG7KG9IX8U","GSON1112030614")</f>
        <v>#NAME?</v>
      </c>
      <c r="O278" s="28" t="e">
        <f ca="1">[1]!BexGetData("DP_1","003N8EMH8GTFRIVOG7KG9J3KE","GSON1112030614")</f>
        <v>#NAME?</v>
      </c>
      <c r="P278" s="28" t="e">
        <f ca="1">[1]!BexGetData("DP_1","003N8EMH8GTFRIVOG7KG9J9VY","GSON1112030614")</f>
        <v>#NAME?</v>
      </c>
      <c r="Q278" s="24" t="e">
        <f ca="1">[1]!BexGetData("DP_1","00O2TNJGODT0G5Z4TTKYMM5MT","GSON1112030614")</f>
        <v>#NAME?</v>
      </c>
      <c r="R278" s="28" t="e">
        <f ca="1">[1]!BexGetData("DP_1","00O2TNJGODT0G5Z4TTKYMMBYD","GSON1112030614")</f>
        <v>#NAME?</v>
      </c>
      <c r="S278" s="28" t="e">
        <f ca="1">[1]!BexGetData("DP_1","00O2TNJGODT0G5Z4TTKYMMI9X","GSON1112030614")</f>
        <v>#NAME?</v>
      </c>
      <c r="T278" s="28" t="e">
        <f ca="1">[1]!BexGetData("DP_1","00O2TNJGODT0G5Z4TTKYMMOLH","GSON1112030614")</f>
        <v>#NAME?</v>
      </c>
      <c r="U278" s="28" t="e">
        <f ca="1">[1]!BexGetData("DP_1","00O2TNJGODT0G5Z4TTKYMMUX1","GSON1112030614")</f>
        <v>#NAME?</v>
      </c>
      <c r="V278" s="28" t="e">
        <f ca="1">[1]!BexGetData("DP_1","00O2TNJGODT0G5Z4TTKYMN18L","GSON1112030614")</f>
        <v>#NAME?</v>
      </c>
      <c r="W278" s="28" t="e">
        <f ca="1">[1]!BexGetData("DP_1","00O2TNJGODT0G5Z4TTKYMN7K5","GSON1112030614")</f>
        <v>#NAME?</v>
      </c>
    </row>
    <row r="279" spans="1:23" x14ac:dyDescent="0.2">
      <c r="A279" s="36" t="s">
        <v>182</v>
      </c>
      <c r="B279" s="27" t="s">
        <v>183</v>
      </c>
      <c r="C279" s="23" t="e">
        <f ca="1">[1]!BexGetData("DP_1","003N8EMH8GTFRCSWKMPXRR8GU","GSON1112030620")</f>
        <v>#NAME?</v>
      </c>
      <c r="D279" s="23" t="e">
        <f ca="1">[1]!BexGetData("DP_1","003N8EMH8GTFRCSWKMPXRRESE","GSON1112030620")</f>
        <v>#NAME?</v>
      </c>
      <c r="E279" s="23" t="e">
        <f ca="1">[1]!BexGetData("DP_1","003N8EMH8GTFRCSWKMPXRRL3Y","GSON1112030620")</f>
        <v>#NAME?</v>
      </c>
      <c r="F279" s="23" t="e">
        <f ca="1">[1]!BexGetData("DP_1","003N8EMH8GTFRCSWKMPXRRRFI","GSON1112030620")</f>
        <v>#NAME?</v>
      </c>
      <c r="G279" s="23" t="e">
        <f ca="1">[1]!BexGetData("DP_1","003N8EMH8GTFRCSWKMPXRRXR2","GSON1112030620")</f>
        <v>#NAME?</v>
      </c>
      <c r="H279" s="23" t="e">
        <f ca="1">[1]!BexGetData("DP_1","003N8EMH8GTFRCSWKMPXRS42M","GSON1112030620")</f>
        <v>#NAME?</v>
      </c>
      <c r="I279" s="23" t="e">
        <f ca="1">[1]!BexGetData("DP_1","003N8EMH8GTFRCSWKMPXRSAE6","GSON1112030620")</f>
        <v>#NAME?</v>
      </c>
      <c r="J279" s="23" t="e">
        <f ca="1">[1]!BexGetData("DP_1","003N8EMH8GTFRCSWKMPXRSGPQ","GSON1112030620")</f>
        <v>#NAME?</v>
      </c>
      <c r="K279" s="23" t="e">
        <f ca="1">[1]!BexGetData("DP_1","003N8EMH8GTFRIVNUPY288VJH","GSON1112030620")</f>
        <v>#NAME?</v>
      </c>
      <c r="L279" s="23" t="e">
        <f ca="1">[1]!BexGetData("DP_1","003N8EMH8GTFRIVNUPY2891V1","GSON1112030620")</f>
        <v>#NAME?</v>
      </c>
      <c r="M279" s="28" t="e">
        <f ca="1">[1]!BexGetData("DP_1","003N8EMH8GTFRIVOG7KG9IQXA","GSON1112030620")</f>
        <v>#NAME?</v>
      </c>
      <c r="N279" s="23" t="e">
        <f ca="1">[1]!BexGetData("DP_1","003N8EMH8GTFRIVOG7KG9IX8U","GSON1112030620")</f>
        <v>#NAME?</v>
      </c>
      <c r="O279" s="28" t="e">
        <f ca="1">[1]!BexGetData("DP_1","003N8EMH8GTFRIVOG7KG9J3KE","GSON1112030620")</f>
        <v>#NAME?</v>
      </c>
      <c r="P279" s="23" t="e">
        <f ca="1">[1]!BexGetData("DP_1","003N8EMH8GTFRIVOG7KG9J9VY","GSON1112030620")</f>
        <v>#NAME?</v>
      </c>
      <c r="Q279" s="23" t="e">
        <f ca="1">[1]!BexGetData("DP_1","00O2TNJGODT0G5Z4TTKYMM5MT","GSON1112030620")</f>
        <v>#NAME?</v>
      </c>
      <c r="R279" s="23" t="e">
        <f ca="1">[1]!BexGetData("DP_1","00O2TNJGODT0G5Z4TTKYMMBYD","GSON1112030620")</f>
        <v>#NAME?</v>
      </c>
      <c r="S279" s="23" t="e">
        <f ca="1">[1]!BexGetData("DP_1","00O2TNJGODT0G5Z4TTKYMMI9X","GSON1112030620")</f>
        <v>#NAME?</v>
      </c>
      <c r="T279" s="28" t="e">
        <f ca="1">[1]!BexGetData("DP_1","00O2TNJGODT0G5Z4TTKYMMOLH","GSON1112030620")</f>
        <v>#NAME?</v>
      </c>
      <c r="U279" s="23" t="e">
        <f ca="1">[1]!BexGetData("DP_1","00O2TNJGODT0G5Z4TTKYMMUX1","GSON1112030620")</f>
        <v>#NAME?</v>
      </c>
      <c r="V279" s="28" t="e">
        <f ca="1">[1]!BexGetData("DP_1","00O2TNJGODT0G5Z4TTKYMN18L","GSON1112030620")</f>
        <v>#NAME?</v>
      </c>
      <c r="W279" s="23" t="e">
        <f ca="1">[1]!BexGetData("DP_1","00O2TNJGODT0G5Z4TTKYMN7K5","GSON1112030620")</f>
        <v>#NAME?</v>
      </c>
    </row>
    <row r="280" spans="1:23" x14ac:dyDescent="0.2">
      <c r="A280" s="36" t="s">
        <v>184</v>
      </c>
      <c r="B280" s="27" t="s">
        <v>185</v>
      </c>
      <c r="C280" s="23" t="e">
        <f ca="1">[1]!BexGetData("DP_1","003N8EMH8GTFRCSWKMPXRR8GU","GSON1112030621")</f>
        <v>#NAME?</v>
      </c>
      <c r="D280" s="23" t="e">
        <f ca="1">[1]!BexGetData("DP_1","003N8EMH8GTFRCSWKMPXRRESE","GSON1112030621")</f>
        <v>#NAME?</v>
      </c>
      <c r="E280" s="28" t="e">
        <f ca="1">[1]!BexGetData("DP_1","003N8EMH8GTFRCSWKMPXRRL3Y","GSON1112030621")</f>
        <v>#NAME?</v>
      </c>
      <c r="F280" s="28" t="e">
        <f ca="1">[1]!BexGetData("DP_1","003N8EMH8GTFRCSWKMPXRRRFI","GSON1112030621")</f>
        <v>#NAME?</v>
      </c>
      <c r="G280" s="23" t="e">
        <f ca="1">[1]!BexGetData("DP_1","003N8EMH8GTFRCSWKMPXRRXR2","GSON1112030621")</f>
        <v>#NAME?</v>
      </c>
      <c r="H280" s="23" t="e">
        <f ca="1">[1]!BexGetData("DP_1","003N8EMH8GTFRCSWKMPXRS42M","GSON1112030621")</f>
        <v>#NAME?</v>
      </c>
      <c r="I280" s="28" t="e">
        <f ca="1">[1]!BexGetData("DP_1","003N8EMH8GTFRCSWKMPXRSAE6","GSON1112030621")</f>
        <v>#NAME?</v>
      </c>
      <c r="J280" s="23" t="e">
        <f ca="1">[1]!BexGetData("DP_1","003N8EMH8GTFRCSWKMPXRSGPQ","GSON1112030621")</f>
        <v>#NAME?</v>
      </c>
      <c r="K280" s="28" t="e">
        <f ca="1">[1]!BexGetData("DP_1","003N8EMH8GTFRIVNUPY288VJH","GSON1112030621")</f>
        <v>#NAME?</v>
      </c>
      <c r="L280" s="28" t="e">
        <f ca="1">[1]!BexGetData("DP_1","003N8EMH8GTFRIVNUPY2891V1","GSON1112030621")</f>
        <v>#NAME?</v>
      </c>
      <c r="M280" s="28" t="e">
        <f ca="1">[1]!BexGetData("DP_1","003N8EMH8GTFRIVOG7KG9IQXA","GSON1112030621")</f>
        <v>#NAME?</v>
      </c>
      <c r="N280" s="28" t="e">
        <f ca="1">[1]!BexGetData("DP_1","003N8EMH8GTFRIVOG7KG9IX8U","GSON1112030621")</f>
        <v>#NAME?</v>
      </c>
      <c r="O280" s="28" t="e">
        <f ca="1">[1]!BexGetData("DP_1","003N8EMH8GTFRIVOG7KG9J3KE","GSON1112030621")</f>
        <v>#NAME?</v>
      </c>
      <c r="P280" s="28" t="e">
        <f ca="1">[1]!BexGetData("DP_1","003N8EMH8GTFRIVOG7KG9J9VY","GSON1112030621")</f>
        <v>#NAME?</v>
      </c>
      <c r="Q280" s="23" t="e">
        <f ca="1">[1]!BexGetData("DP_1","00O2TNJGODT0G5Z4TTKYMM5MT","GSON1112030621")</f>
        <v>#NAME?</v>
      </c>
      <c r="R280" s="23" t="e">
        <f ca="1">[1]!BexGetData("DP_1","00O2TNJGODT0G5Z4TTKYMMBYD","GSON1112030621")</f>
        <v>#NAME?</v>
      </c>
      <c r="S280" s="23" t="e">
        <f ca="1">[1]!BexGetData("DP_1","00O2TNJGODT0G5Z4TTKYMMI9X","GSON1112030621")</f>
        <v>#NAME?</v>
      </c>
      <c r="T280" s="23" t="e">
        <f ca="1">[1]!BexGetData("DP_1","00O2TNJGODT0G5Z4TTKYMMOLH","GSON1112030621")</f>
        <v>#NAME?</v>
      </c>
      <c r="U280" s="28" t="e">
        <f ca="1">[1]!BexGetData("DP_1","00O2TNJGODT0G5Z4TTKYMMUX1","GSON1112030621")</f>
        <v>#NAME?</v>
      </c>
      <c r="V280" s="23" t="e">
        <f ca="1">[1]!BexGetData("DP_1","00O2TNJGODT0G5Z4TTKYMN18L","GSON1112030621")</f>
        <v>#NAME?</v>
      </c>
      <c r="W280" s="28" t="e">
        <f ca="1">[1]!BexGetData("DP_1","00O2TNJGODT0G5Z4TTKYMN7K5","GSON1112030621")</f>
        <v>#NAME?</v>
      </c>
    </row>
    <row r="281" spans="1:23" x14ac:dyDescent="0.2">
      <c r="A281" s="36" t="s">
        <v>1608</v>
      </c>
      <c r="B281" s="27" t="s">
        <v>1609</v>
      </c>
      <c r="C281" s="24" t="e">
        <f ca="1">[1]!BexGetData("DP_1","003N8EMH8GTFRCSWKMPXRR8GU","GSON1112030623")</f>
        <v>#NAME?</v>
      </c>
      <c r="D281" s="24" t="e">
        <f ca="1">[1]!BexGetData("DP_1","003N8EMH8GTFRCSWKMPXRRESE","GSON1112030623")</f>
        <v>#NAME?</v>
      </c>
      <c r="E281" s="24" t="e">
        <f ca="1">[1]!BexGetData("DP_1","003N8EMH8GTFRCSWKMPXRRL3Y","GSON1112030623")</f>
        <v>#NAME?</v>
      </c>
      <c r="F281" s="28" t="e">
        <f ca="1">[1]!BexGetData("DP_1","003N8EMH8GTFRCSWKMPXRRRFI","GSON1112030623")</f>
        <v>#NAME?</v>
      </c>
      <c r="G281" s="23" t="e">
        <f ca="1">[1]!BexGetData("DP_1","003N8EMH8GTFRCSWKMPXRRXR2","GSON1112030623")</f>
        <v>#NAME?</v>
      </c>
      <c r="H281" s="23" t="e">
        <f ca="1">[1]!BexGetData("DP_1","003N8EMH8GTFRCSWKMPXRS42M","GSON1112030623")</f>
        <v>#NAME?</v>
      </c>
      <c r="I281" s="28" t="e">
        <f ca="1">[1]!BexGetData("DP_1","003N8EMH8GTFRCSWKMPXRSAE6","GSON1112030623")</f>
        <v>#NAME?</v>
      </c>
      <c r="J281" s="24" t="e">
        <f ca="1">[1]!BexGetData("DP_1","003N8EMH8GTFRCSWKMPXRSGPQ","GSON1112030623")</f>
        <v>#NAME?</v>
      </c>
      <c r="K281" s="28" t="e">
        <f ca="1">[1]!BexGetData("DP_1","003N8EMH8GTFRIVNUPY288VJH","GSON1112030623")</f>
        <v>#NAME?</v>
      </c>
      <c r="L281" s="28" t="e">
        <f ca="1">[1]!BexGetData("DP_1","003N8EMH8GTFRIVNUPY2891V1","GSON1112030623")</f>
        <v>#NAME?</v>
      </c>
      <c r="M281" s="28" t="e">
        <f ca="1">[1]!BexGetData("DP_1","003N8EMH8GTFRIVOG7KG9IQXA","GSON1112030623")</f>
        <v>#NAME?</v>
      </c>
      <c r="N281" s="28" t="e">
        <f ca="1">[1]!BexGetData("DP_1","003N8EMH8GTFRIVOG7KG9IX8U","GSON1112030623")</f>
        <v>#NAME?</v>
      </c>
      <c r="O281" s="28" t="e">
        <f ca="1">[1]!BexGetData("DP_1","003N8EMH8GTFRIVOG7KG9J3KE","GSON1112030623")</f>
        <v>#NAME?</v>
      </c>
      <c r="P281" s="28" t="e">
        <f ca="1">[1]!BexGetData("DP_1","003N8EMH8GTFRIVOG7KG9J9VY","GSON1112030623")</f>
        <v>#NAME?</v>
      </c>
      <c r="Q281" s="24" t="e">
        <f ca="1">[1]!BexGetData("DP_1","00O2TNJGODT0G5Z4TTKYMM5MT","GSON1112030623")</f>
        <v>#NAME?</v>
      </c>
      <c r="R281" s="28" t="e">
        <f ca="1">[1]!BexGetData("DP_1","00O2TNJGODT0G5Z4TTKYMMBYD","GSON1112030623")</f>
        <v>#NAME?</v>
      </c>
      <c r="S281" s="28" t="e">
        <f ca="1">[1]!BexGetData("DP_1","00O2TNJGODT0G5Z4TTKYMMI9X","GSON1112030623")</f>
        <v>#NAME?</v>
      </c>
      <c r="T281" s="28" t="e">
        <f ca="1">[1]!BexGetData("DP_1","00O2TNJGODT0G5Z4TTKYMMOLH","GSON1112030623")</f>
        <v>#NAME?</v>
      </c>
      <c r="U281" s="28" t="e">
        <f ca="1">[1]!BexGetData("DP_1","00O2TNJGODT0G5Z4TTKYMMUX1","GSON1112030623")</f>
        <v>#NAME?</v>
      </c>
      <c r="V281" s="28" t="e">
        <f ca="1">[1]!BexGetData("DP_1","00O2TNJGODT0G5Z4TTKYMN18L","GSON1112030623")</f>
        <v>#NAME?</v>
      </c>
      <c r="W281" s="28" t="e">
        <f ca="1">[1]!BexGetData("DP_1","00O2TNJGODT0G5Z4TTKYMN7K5","GSON1112030623")</f>
        <v>#NAME?</v>
      </c>
    </row>
    <row r="282" spans="1:23" x14ac:dyDescent="0.2">
      <c r="A282" s="36" t="s">
        <v>2126</v>
      </c>
      <c r="B282" s="27" t="s">
        <v>2127</v>
      </c>
      <c r="C282" s="23" t="e">
        <f ca="1">[1]!BexGetData("DP_1","003N8EMH8GTFRCSWKMPXRR8GU","GSON1112030624")</f>
        <v>#NAME?</v>
      </c>
      <c r="D282" s="23" t="e">
        <f ca="1">[1]!BexGetData("DP_1","003N8EMH8GTFRCSWKMPXRRESE","GSON1112030624")</f>
        <v>#NAME?</v>
      </c>
      <c r="E282" s="28" t="e">
        <f ca="1">[1]!BexGetData("DP_1","003N8EMH8GTFRCSWKMPXRRL3Y","GSON1112030624")</f>
        <v>#NAME?</v>
      </c>
      <c r="F282" s="28" t="e">
        <f ca="1">[1]!BexGetData("DP_1","003N8EMH8GTFRCSWKMPXRRRFI","GSON1112030624")</f>
        <v>#NAME?</v>
      </c>
      <c r="G282" s="23" t="e">
        <f ca="1">[1]!BexGetData("DP_1","003N8EMH8GTFRCSWKMPXRRXR2","GSON1112030624")</f>
        <v>#NAME?</v>
      </c>
      <c r="H282" s="23" t="e">
        <f ca="1">[1]!BexGetData("DP_1","003N8EMH8GTFRCSWKMPXRS42M","GSON1112030624")</f>
        <v>#NAME?</v>
      </c>
      <c r="I282" s="28" t="e">
        <f ca="1">[1]!BexGetData("DP_1","003N8EMH8GTFRCSWKMPXRSAE6","GSON1112030624")</f>
        <v>#NAME?</v>
      </c>
      <c r="J282" s="24" t="e">
        <f ca="1">[1]!BexGetData("DP_1","003N8EMH8GTFRCSWKMPXRSGPQ","GSON1112030624")</f>
        <v>#NAME?</v>
      </c>
      <c r="K282" s="28" t="e">
        <f ca="1">[1]!BexGetData("DP_1","003N8EMH8GTFRIVNUPY288VJH","GSON1112030624")</f>
        <v>#NAME?</v>
      </c>
      <c r="L282" s="28" t="e">
        <f ca="1">[1]!BexGetData("DP_1","003N8EMH8GTFRIVNUPY2891V1","GSON1112030624")</f>
        <v>#NAME?</v>
      </c>
      <c r="M282" s="28" t="e">
        <f ca="1">[1]!BexGetData("DP_1","003N8EMH8GTFRIVOG7KG9IQXA","GSON1112030624")</f>
        <v>#NAME?</v>
      </c>
      <c r="N282" s="28" t="e">
        <f ca="1">[1]!BexGetData("DP_1","003N8EMH8GTFRIVOG7KG9IX8U","GSON1112030624")</f>
        <v>#NAME?</v>
      </c>
      <c r="O282" s="28" t="e">
        <f ca="1">[1]!BexGetData("DP_1","003N8EMH8GTFRIVOG7KG9J3KE","GSON1112030624")</f>
        <v>#NAME?</v>
      </c>
      <c r="P282" s="28" t="e">
        <f ca="1">[1]!BexGetData("DP_1","003N8EMH8GTFRIVOG7KG9J9VY","GSON1112030624")</f>
        <v>#NAME?</v>
      </c>
      <c r="Q282" s="24" t="e">
        <f ca="1">[1]!BexGetData("DP_1","00O2TNJGODT0G5Z4TTKYMM5MT","GSON1112030624")</f>
        <v>#NAME?</v>
      </c>
      <c r="R282" s="28" t="e">
        <f ca="1">[1]!BexGetData("DP_1","00O2TNJGODT0G5Z4TTKYMMBYD","GSON1112030624")</f>
        <v>#NAME?</v>
      </c>
      <c r="S282" s="28" t="e">
        <f ca="1">[1]!BexGetData("DP_1","00O2TNJGODT0G5Z4TTKYMMI9X","GSON1112030624")</f>
        <v>#NAME?</v>
      </c>
      <c r="T282" s="28" t="e">
        <f ca="1">[1]!BexGetData("DP_1","00O2TNJGODT0G5Z4TTKYMMOLH","GSON1112030624")</f>
        <v>#NAME?</v>
      </c>
      <c r="U282" s="28" t="e">
        <f ca="1">[1]!BexGetData("DP_1","00O2TNJGODT0G5Z4TTKYMMUX1","GSON1112030624")</f>
        <v>#NAME?</v>
      </c>
      <c r="V282" s="28" t="e">
        <f ca="1">[1]!BexGetData("DP_1","00O2TNJGODT0G5Z4TTKYMN18L","GSON1112030624")</f>
        <v>#NAME?</v>
      </c>
      <c r="W282" s="28" t="e">
        <f ca="1">[1]!BexGetData("DP_1","00O2TNJGODT0G5Z4TTKYMN7K5","GSON1112030624")</f>
        <v>#NAME?</v>
      </c>
    </row>
    <row r="283" spans="1:23" x14ac:dyDescent="0.2">
      <c r="A283" s="36" t="s">
        <v>186</v>
      </c>
      <c r="B283" s="27" t="s">
        <v>187</v>
      </c>
      <c r="C283" s="23" t="e">
        <f ca="1">[1]!BexGetData("DP_1","003N8EMH8GTFRCSWKMPXRR8GU","GSON1112030630")</f>
        <v>#NAME?</v>
      </c>
      <c r="D283" s="23" t="e">
        <f ca="1">[1]!BexGetData("DP_1","003N8EMH8GTFRCSWKMPXRRESE","GSON1112030630")</f>
        <v>#NAME?</v>
      </c>
      <c r="E283" s="23" t="e">
        <f ca="1">[1]!BexGetData("DP_1","003N8EMH8GTFRCSWKMPXRRL3Y","GSON1112030630")</f>
        <v>#NAME?</v>
      </c>
      <c r="F283" s="23" t="e">
        <f ca="1">[1]!BexGetData("DP_1","003N8EMH8GTFRCSWKMPXRRRFI","GSON1112030630")</f>
        <v>#NAME?</v>
      </c>
      <c r="G283" s="23" t="e">
        <f ca="1">[1]!BexGetData("DP_1","003N8EMH8GTFRCSWKMPXRRXR2","GSON1112030630")</f>
        <v>#NAME?</v>
      </c>
      <c r="H283" s="23" t="e">
        <f ca="1">[1]!BexGetData("DP_1","003N8EMH8GTFRCSWKMPXRS42M","GSON1112030630")</f>
        <v>#NAME?</v>
      </c>
      <c r="I283" s="23" t="e">
        <f ca="1">[1]!BexGetData("DP_1","003N8EMH8GTFRCSWKMPXRSAE6","GSON1112030630")</f>
        <v>#NAME?</v>
      </c>
      <c r="J283" s="23" t="e">
        <f ca="1">[1]!BexGetData("DP_1","003N8EMH8GTFRCSWKMPXRSGPQ","GSON1112030630")</f>
        <v>#NAME?</v>
      </c>
      <c r="K283" s="23" t="e">
        <f ca="1">[1]!BexGetData("DP_1","003N8EMH8GTFRIVNUPY288VJH","GSON1112030630")</f>
        <v>#NAME?</v>
      </c>
      <c r="L283" s="23" t="e">
        <f ca="1">[1]!BexGetData("DP_1","003N8EMH8GTFRIVNUPY2891V1","GSON1112030630")</f>
        <v>#NAME?</v>
      </c>
      <c r="M283" s="28" t="e">
        <f ca="1">[1]!BexGetData("DP_1","003N8EMH8GTFRIVOG7KG9IQXA","GSON1112030630")</f>
        <v>#NAME?</v>
      </c>
      <c r="N283" s="23" t="e">
        <f ca="1">[1]!BexGetData("DP_1","003N8EMH8GTFRIVOG7KG9IX8U","GSON1112030630")</f>
        <v>#NAME?</v>
      </c>
      <c r="O283" s="28" t="e">
        <f ca="1">[1]!BexGetData("DP_1","003N8EMH8GTFRIVOG7KG9J3KE","GSON1112030630")</f>
        <v>#NAME?</v>
      </c>
      <c r="P283" s="23" t="e">
        <f ca="1">[1]!BexGetData("DP_1","003N8EMH8GTFRIVOG7KG9J9VY","GSON1112030630")</f>
        <v>#NAME?</v>
      </c>
      <c r="Q283" s="23" t="e">
        <f ca="1">[1]!BexGetData("DP_1","00O2TNJGODT0G5Z4TTKYMM5MT","GSON1112030630")</f>
        <v>#NAME?</v>
      </c>
      <c r="R283" s="23" t="e">
        <f ca="1">[1]!BexGetData("DP_1","00O2TNJGODT0G5Z4TTKYMMBYD","GSON1112030630")</f>
        <v>#NAME?</v>
      </c>
      <c r="S283" s="23" t="e">
        <f ca="1">[1]!BexGetData("DP_1","00O2TNJGODT0G5Z4TTKYMMI9X","GSON1112030630")</f>
        <v>#NAME?</v>
      </c>
      <c r="T283" s="23" t="e">
        <f ca="1">[1]!BexGetData("DP_1","00O2TNJGODT0G5Z4TTKYMMOLH","GSON1112030630")</f>
        <v>#NAME?</v>
      </c>
      <c r="U283" s="28" t="e">
        <f ca="1">[1]!BexGetData("DP_1","00O2TNJGODT0G5Z4TTKYMMUX1","GSON1112030630")</f>
        <v>#NAME?</v>
      </c>
      <c r="V283" s="23" t="e">
        <f ca="1">[1]!BexGetData("DP_1","00O2TNJGODT0G5Z4TTKYMN18L","GSON1112030630")</f>
        <v>#NAME?</v>
      </c>
      <c r="W283" s="28" t="e">
        <f ca="1">[1]!BexGetData("DP_1","00O2TNJGODT0G5Z4TTKYMN7K5","GSON1112030630")</f>
        <v>#NAME?</v>
      </c>
    </row>
    <row r="284" spans="1:23" x14ac:dyDescent="0.2">
      <c r="A284" s="36" t="s">
        <v>188</v>
      </c>
      <c r="B284" s="27" t="s">
        <v>189</v>
      </c>
      <c r="C284" s="23" t="e">
        <f ca="1">[1]!BexGetData("DP_1","003N8EMH8GTFRCSWKMPXRR8GU","GSON1112030631")</f>
        <v>#NAME?</v>
      </c>
      <c r="D284" s="23" t="e">
        <f ca="1">[1]!BexGetData("DP_1","003N8EMH8GTFRCSWKMPXRRESE","GSON1112030631")</f>
        <v>#NAME?</v>
      </c>
      <c r="E284" s="23" t="e">
        <f ca="1">[1]!BexGetData("DP_1","003N8EMH8GTFRCSWKMPXRRL3Y","GSON1112030631")</f>
        <v>#NAME?</v>
      </c>
      <c r="F284" s="23" t="e">
        <f ca="1">[1]!BexGetData("DP_1","003N8EMH8GTFRCSWKMPXRRRFI","GSON1112030631")</f>
        <v>#NAME?</v>
      </c>
      <c r="G284" s="23" t="e">
        <f ca="1">[1]!BexGetData("DP_1","003N8EMH8GTFRCSWKMPXRRXR2","GSON1112030631")</f>
        <v>#NAME?</v>
      </c>
      <c r="H284" s="23" t="e">
        <f ca="1">[1]!BexGetData("DP_1","003N8EMH8GTFRCSWKMPXRS42M","GSON1112030631")</f>
        <v>#NAME?</v>
      </c>
      <c r="I284" s="23" t="e">
        <f ca="1">[1]!BexGetData("DP_1","003N8EMH8GTFRCSWKMPXRSAE6","GSON1112030631")</f>
        <v>#NAME?</v>
      </c>
      <c r="J284" s="23" t="e">
        <f ca="1">[1]!BexGetData("DP_1","003N8EMH8GTFRCSWKMPXRSGPQ","GSON1112030631")</f>
        <v>#NAME?</v>
      </c>
      <c r="K284" s="23" t="e">
        <f ca="1">[1]!BexGetData("DP_1","003N8EMH8GTFRIVNUPY288VJH","GSON1112030631")</f>
        <v>#NAME?</v>
      </c>
      <c r="L284" s="23" t="e">
        <f ca="1">[1]!BexGetData("DP_1","003N8EMH8GTFRIVNUPY2891V1","GSON1112030631")</f>
        <v>#NAME?</v>
      </c>
      <c r="M284" s="23" t="e">
        <f ca="1">[1]!BexGetData("DP_1","003N8EMH8GTFRIVOG7KG9IQXA","GSON1112030631")</f>
        <v>#NAME?</v>
      </c>
      <c r="N284" s="28" t="e">
        <f ca="1">[1]!BexGetData("DP_1","003N8EMH8GTFRIVOG7KG9IX8U","GSON1112030631")</f>
        <v>#NAME?</v>
      </c>
      <c r="O284" s="23" t="e">
        <f ca="1">[1]!BexGetData("DP_1","003N8EMH8GTFRIVOG7KG9J3KE","GSON1112030631")</f>
        <v>#NAME?</v>
      </c>
      <c r="P284" s="28" t="e">
        <f ca="1">[1]!BexGetData("DP_1","003N8EMH8GTFRIVOG7KG9J9VY","GSON1112030631")</f>
        <v>#NAME?</v>
      </c>
      <c r="Q284" s="23" t="e">
        <f ca="1">[1]!BexGetData("DP_1","00O2TNJGODT0G5Z4TTKYMM5MT","GSON1112030631")</f>
        <v>#NAME?</v>
      </c>
      <c r="R284" s="23" t="e">
        <f ca="1">[1]!BexGetData("DP_1","00O2TNJGODT0G5Z4TTKYMMBYD","GSON1112030631")</f>
        <v>#NAME?</v>
      </c>
      <c r="S284" s="23" t="e">
        <f ca="1">[1]!BexGetData("DP_1","00O2TNJGODT0G5Z4TTKYMMI9X","GSON1112030631")</f>
        <v>#NAME?</v>
      </c>
      <c r="T284" s="28" t="e">
        <f ca="1">[1]!BexGetData("DP_1","00O2TNJGODT0G5Z4TTKYMMOLH","GSON1112030631")</f>
        <v>#NAME?</v>
      </c>
      <c r="U284" s="23" t="e">
        <f ca="1">[1]!BexGetData("DP_1","00O2TNJGODT0G5Z4TTKYMMUX1","GSON1112030631")</f>
        <v>#NAME?</v>
      </c>
      <c r="V284" s="28" t="e">
        <f ca="1">[1]!BexGetData("DP_1","00O2TNJGODT0G5Z4TTKYMN18L","GSON1112030631")</f>
        <v>#NAME?</v>
      </c>
      <c r="W284" s="23" t="e">
        <f ca="1">[1]!BexGetData("DP_1","00O2TNJGODT0G5Z4TTKYMN7K5","GSON1112030631")</f>
        <v>#NAME?</v>
      </c>
    </row>
    <row r="285" spans="1:23" x14ac:dyDescent="0.2">
      <c r="A285" s="36" t="s">
        <v>2128</v>
      </c>
      <c r="B285" s="27" t="s">
        <v>2129</v>
      </c>
      <c r="C285" s="23" t="e">
        <f ca="1">[1]!BexGetData("DP_1","003N8EMH8GTFRCSWKMPXRR8GU","GSON1112030632")</f>
        <v>#NAME?</v>
      </c>
      <c r="D285" s="23" t="e">
        <f ca="1">[1]!BexGetData("DP_1","003N8EMH8GTFRCSWKMPXRRESE","GSON1112030632")</f>
        <v>#NAME?</v>
      </c>
      <c r="E285" s="23" t="e">
        <f ca="1">[1]!BexGetData("DP_1","003N8EMH8GTFRCSWKMPXRRL3Y","GSON1112030632")</f>
        <v>#NAME?</v>
      </c>
      <c r="F285" s="23" t="e">
        <f ca="1">[1]!BexGetData("DP_1","003N8EMH8GTFRCSWKMPXRRRFI","GSON1112030632")</f>
        <v>#NAME?</v>
      </c>
      <c r="G285" s="23" t="e">
        <f ca="1">[1]!BexGetData("DP_1","003N8EMH8GTFRCSWKMPXRRXR2","GSON1112030632")</f>
        <v>#NAME?</v>
      </c>
      <c r="H285" s="28" t="e">
        <f ca="1">[1]!BexGetData("DP_1","003N8EMH8GTFRCSWKMPXRS42M","GSON1112030632")</f>
        <v>#NAME?</v>
      </c>
      <c r="I285" s="23" t="e">
        <f ca="1">[1]!BexGetData("DP_1","003N8EMH8GTFRCSWKMPXRSAE6","GSON1112030632")</f>
        <v>#NAME?</v>
      </c>
      <c r="J285" s="24" t="e">
        <f ca="1">[1]!BexGetData("DP_1","003N8EMH8GTFRCSWKMPXRSGPQ","GSON1112030632")</f>
        <v>#NAME?</v>
      </c>
      <c r="K285" s="23" t="e">
        <f ca="1">[1]!BexGetData("DP_1","003N8EMH8GTFRIVNUPY288VJH","GSON1112030632")</f>
        <v>#NAME?</v>
      </c>
      <c r="L285" s="23" t="e">
        <f ca="1">[1]!BexGetData("DP_1","003N8EMH8GTFRIVNUPY2891V1","GSON1112030632")</f>
        <v>#NAME?</v>
      </c>
      <c r="M285" s="23" t="e">
        <f ca="1">[1]!BexGetData("DP_1","003N8EMH8GTFRIVOG7KG9IQXA","GSON1112030632")</f>
        <v>#NAME?</v>
      </c>
      <c r="N285" s="28" t="e">
        <f ca="1">[1]!BexGetData("DP_1","003N8EMH8GTFRIVOG7KG9IX8U","GSON1112030632")</f>
        <v>#NAME?</v>
      </c>
      <c r="O285" s="23" t="e">
        <f ca="1">[1]!BexGetData("DP_1","003N8EMH8GTFRIVOG7KG9J3KE","GSON1112030632")</f>
        <v>#NAME?</v>
      </c>
      <c r="P285" s="28" t="e">
        <f ca="1">[1]!BexGetData("DP_1","003N8EMH8GTFRIVOG7KG9J9VY","GSON1112030632")</f>
        <v>#NAME?</v>
      </c>
      <c r="Q285" s="24" t="e">
        <f ca="1">[1]!BexGetData("DP_1","00O2TNJGODT0G5Z4TTKYMM5MT","GSON1112030632")</f>
        <v>#NAME?</v>
      </c>
      <c r="R285" s="23" t="e">
        <f ca="1">[1]!BexGetData("DP_1","00O2TNJGODT0G5Z4TTKYMMBYD","GSON1112030632")</f>
        <v>#NAME?</v>
      </c>
      <c r="S285" s="23" t="e">
        <f ca="1">[1]!BexGetData("DP_1","00O2TNJGODT0G5Z4TTKYMMI9X","GSON1112030632")</f>
        <v>#NAME?</v>
      </c>
      <c r="T285" s="28" t="e">
        <f ca="1">[1]!BexGetData("DP_1","00O2TNJGODT0G5Z4TTKYMMOLH","GSON1112030632")</f>
        <v>#NAME?</v>
      </c>
      <c r="U285" s="23" t="e">
        <f ca="1">[1]!BexGetData("DP_1","00O2TNJGODT0G5Z4TTKYMMUX1","GSON1112030632")</f>
        <v>#NAME?</v>
      </c>
      <c r="V285" s="28" t="e">
        <f ca="1">[1]!BexGetData("DP_1","00O2TNJGODT0G5Z4TTKYMN18L","GSON1112030632")</f>
        <v>#NAME?</v>
      </c>
      <c r="W285" s="23" t="e">
        <f ca="1">[1]!BexGetData("DP_1","00O2TNJGODT0G5Z4TTKYMN7K5","GSON1112030632")</f>
        <v>#NAME?</v>
      </c>
    </row>
    <row r="286" spans="1:23" x14ac:dyDescent="0.2">
      <c r="A286" s="36" t="s">
        <v>190</v>
      </c>
      <c r="B286" s="27" t="s">
        <v>191</v>
      </c>
      <c r="C286" s="23" t="e">
        <f ca="1">[1]!BexGetData("DP_1","003N8EMH8GTFRCSWKMPXRR8GU","GSON1112030633")</f>
        <v>#NAME?</v>
      </c>
      <c r="D286" s="23" t="e">
        <f ca="1">[1]!BexGetData("DP_1","003N8EMH8GTFRCSWKMPXRRESE","GSON1112030633")</f>
        <v>#NAME?</v>
      </c>
      <c r="E286" s="23" t="e">
        <f ca="1">[1]!BexGetData("DP_1","003N8EMH8GTFRCSWKMPXRRL3Y","GSON1112030633")</f>
        <v>#NAME?</v>
      </c>
      <c r="F286" s="23" t="e">
        <f ca="1">[1]!BexGetData("DP_1","003N8EMH8GTFRCSWKMPXRRRFI","GSON1112030633")</f>
        <v>#NAME?</v>
      </c>
      <c r="G286" s="23" t="e">
        <f ca="1">[1]!BexGetData("DP_1","003N8EMH8GTFRCSWKMPXRRXR2","GSON1112030633")</f>
        <v>#NAME?</v>
      </c>
      <c r="H286" s="23" t="e">
        <f ca="1">[1]!BexGetData("DP_1","003N8EMH8GTFRCSWKMPXRS42M","GSON1112030633")</f>
        <v>#NAME?</v>
      </c>
      <c r="I286" s="23" t="e">
        <f ca="1">[1]!BexGetData("DP_1","003N8EMH8GTFRCSWKMPXRSAE6","GSON1112030633")</f>
        <v>#NAME?</v>
      </c>
      <c r="J286" s="24" t="e">
        <f ca="1">[1]!BexGetData("DP_1","003N8EMH8GTFRCSWKMPXRSGPQ","GSON1112030633")</f>
        <v>#NAME?</v>
      </c>
      <c r="K286" s="23" t="e">
        <f ca="1">[1]!BexGetData("DP_1","003N8EMH8GTFRIVNUPY288VJH","GSON1112030633")</f>
        <v>#NAME?</v>
      </c>
      <c r="L286" s="23" t="e">
        <f ca="1">[1]!BexGetData("DP_1","003N8EMH8GTFRIVNUPY2891V1","GSON1112030633")</f>
        <v>#NAME?</v>
      </c>
      <c r="M286" s="23" t="e">
        <f ca="1">[1]!BexGetData("DP_1","003N8EMH8GTFRIVOG7KG9IQXA","GSON1112030633")</f>
        <v>#NAME?</v>
      </c>
      <c r="N286" s="28" t="e">
        <f ca="1">[1]!BexGetData("DP_1","003N8EMH8GTFRIVOG7KG9IX8U","GSON1112030633")</f>
        <v>#NAME?</v>
      </c>
      <c r="O286" s="23" t="e">
        <f ca="1">[1]!BexGetData("DP_1","003N8EMH8GTFRIVOG7KG9J3KE","GSON1112030633")</f>
        <v>#NAME?</v>
      </c>
      <c r="P286" s="28" t="e">
        <f ca="1">[1]!BexGetData("DP_1","003N8EMH8GTFRIVOG7KG9J9VY","GSON1112030633")</f>
        <v>#NAME?</v>
      </c>
      <c r="Q286" s="24" t="e">
        <f ca="1">[1]!BexGetData("DP_1","00O2TNJGODT0G5Z4TTKYMM5MT","GSON1112030633")</f>
        <v>#NAME?</v>
      </c>
      <c r="R286" s="23" t="e">
        <f ca="1">[1]!BexGetData("DP_1","00O2TNJGODT0G5Z4TTKYMMBYD","GSON1112030633")</f>
        <v>#NAME?</v>
      </c>
      <c r="S286" s="23" t="e">
        <f ca="1">[1]!BexGetData("DP_1","00O2TNJGODT0G5Z4TTKYMMI9X","GSON1112030633")</f>
        <v>#NAME?</v>
      </c>
      <c r="T286" s="28" t="e">
        <f ca="1">[1]!BexGetData("DP_1","00O2TNJGODT0G5Z4TTKYMMOLH","GSON1112030633")</f>
        <v>#NAME?</v>
      </c>
      <c r="U286" s="23" t="e">
        <f ca="1">[1]!BexGetData("DP_1","00O2TNJGODT0G5Z4TTKYMMUX1","GSON1112030633")</f>
        <v>#NAME?</v>
      </c>
      <c r="V286" s="28" t="e">
        <f ca="1">[1]!BexGetData("DP_1","00O2TNJGODT0G5Z4TTKYMN18L","GSON1112030633")</f>
        <v>#NAME?</v>
      </c>
      <c r="W286" s="23" t="e">
        <f ca="1">[1]!BexGetData("DP_1","00O2TNJGODT0G5Z4TTKYMN7K5","GSON1112030633")</f>
        <v>#NAME?</v>
      </c>
    </row>
    <row r="287" spans="1:23" x14ac:dyDescent="0.2">
      <c r="A287" s="36" t="s">
        <v>2130</v>
      </c>
      <c r="B287" s="27" t="s">
        <v>192</v>
      </c>
      <c r="C287" s="23" t="e">
        <f ca="1">[1]!BexGetData("DP_1","003N8EMH8GTFRCSWKMPXRR8GU","GSON1112030634")</f>
        <v>#NAME?</v>
      </c>
      <c r="D287" s="23" t="e">
        <f ca="1">[1]!BexGetData("DP_1","003N8EMH8GTFRCSWKMPXRRESE","GSON1112030634")</f>
        <v>#NAME?</v>
      </c>
      <c r="E287" s="23" t="e">
        <f ca="1">[1]!BexGetData("DP_1","003N8EMH8GTFRCSWKMPXRRL3Y","GSON1112030634")</f>
        <v>#NAME?</v>
      </c>
      <c r="F287" s="23" t="e">
        <f ca="1">[1]!BexGetData("DP_1","003N8EMH8GTFRCSWKMPXRRRFI","GSON1112030634")</f>
        <v>#NAME?</v>
      </c>
      <c r="G287" s="23" t="e">
        <f ca="1">[1]!BexGetData("DP_1","003N8EMH8GTFRCSWKMPXRRXR2","GSON1112030634")</f>
        <v>#NAME?</v>
      </c>
      <c r="H287" s="23" t="e">
        <f ca="1">[1]!BexGetData("DP_1","003N8EMH8GTFRCSWKMPXRS42M","GSON1112030634")</f>
        <v>#NAME?</v>
      </c>
      <c r="I287" s="23" t="e">
        <f ca="1">[1]!BexGetData("DP_1","003N8EMH8GTFRCSWKMPXRSAE6","GSON1112030634")</f>
        <v>#NAME?</v>
      </c>
      <c r="J287" s="24" t="e">
        <f ca="1">[1]!BexGetData("DP_1","003N8EMH8GTFRCSWKMPXRSGPQ","GSON1112030634")</f>
        <v>#NAME?</v>
      </c>
      <c r="K287" s="23" t="e">
        <f ca="1">[1]!BexGetData("DP_1","003N8EMH8GTFRIVNUPY288VJH","GSON1112030634")</f>
        <v>#NAME?</v>
      </c>
      <c r="L287" s="23" t="e">
        <f ca="1">[1]!BexGetData("DP_1","003N8EMH8GTFRIVNUPY2891V1","GSON1112030634")</f>
        <v>#NAME?</v>
      </c>
      <c r="M287" s="23" t="e">
        <f ca="1">[1]!BexGetData("DP_1","003N8EMH8GTFRIVOG7KG9IQXA","GSON1112030634")</f>
        <v>#NAME?</v>
      </c>
      <c r="N287" s="28" t="e">
        <f ca="1">[1]!BexGetData("DP_1","003N8EMH8GTFRIVOG7KG9IX8U","GSON1112030634")</f>
        <v>#NAME?</v>
      </c>
      <c r="O287" s="23" t="e">
        <f ca="1">[1]!BexGetData("DP_1","003N8EMH8GTFRIVOG7KG9J3KE","GSON1112030634")</f>
        <v>#NAME?</v>
      </c>
      <c r="P287" s="28" t="e">
        <f ca="1">[1]!BexGetData("DP_1","003N8EMH8GTFRIVOG7KG9J9VY","GSON1112030634")</f>
        <v>#NAME?</v>
      </c>
      <c r="Q287" s="24" t="e">
        <f ca="1">[1]!BexGetData("DP_1","00O2TNJGODT0G5Z4TTKYMM5MT","GSON1112030634")</f>
        <v>#NAME?</v>
      </c>
      <c r="R287" s="23" t="e">
        <f ca="1">[1]!BexGetData("DP_1","00O2TNJGODT0G5Z4TTKYMMBYD","GSON1112030634")</f>
        <v>#NAME?</v>
      </c>
      <c r="S287" s="23" t="e">
        <f ca="1">[1]!BexGetData("DP_1","00O2TNJGODT0G5Z4TTKYMMI9X","GSON1112030634")</f>
        <v>#NAME?</v>
      </c>
      <c r="T287" s="28" t="e">
        <f ca="1">[1]!BexGetData("DP_1","00O2TNJGODT0G5Z4TTKYMMOLH","GSON1112030634")</f>
        <v>#NAME?</v>
      </c>
      <c r="U287" s="23" t="e">
        <f ca="1">[1]!BexGetData("DP_1","00O2TNJGODT0G5Z4TTKYMMUX1","GSON1112030634")</f>
        <v>#NAME?</v>
      </c>
      <c r="V287" s="28" t="e">
        <f ca="1">[1]!BexGetData("DP_1","00O2TNJGODT0G5Z4TTKYMN18L","GSON1112030634")</f>
        <v>#NAME?</v>
      </c>
      <c r="W287" s="23" t="e">
        <f ca="1">[1]!BexGetData("DP_1","00O2TNJGODT0G5Z4TTKYMN7K5","GSON1112030634")</f>
        <v>#NAME?</v>
      </c>
    </row>
    <row r="288" spans="1:23" x14ac:dyDescent="0.2">
      <c r="A288" s="36" t="s">
        <v>2131</v>
      </c>
      <c r="B288" s="27" t="s">
        <v>2132</v>
      </c>
      <c r="C288" s="23" t="e">
        <f ca="1">[1]!BexGetData("DP_1","003N8EMH8GTFRCSWKMPXRR8GU","GSON1112030635")</f>
        <v>#NAME?</v>
      </c>
      <c r="D288" s="28" t="e">
        <f ca="1">[1]!BexGetData("DP_1","003N8EMH8GTFRCSWKMPXRRESE","GSON1112030635")</f>
        <v>#NAME?</v>
      </c>
      <c r="E288" s="28" t="e">
        <f ca="1">[1]!BexGetData("DP_1","003N8EMH8GTFRCSWKMPXRRL3Y","GSON1112030635")</f>
        <v>#NAME?</v>
      </c>
      <c r="F288" s="23" t="e">
        <f ca="1">[1]!BexGetData("DP_1","003N8EMH8GTFRCSWKMPXRRRFI","GSON1112030635")</f>
        <v>#NAME?</v>
      </c>
      <c r="G288" s="28" t="e">
        <f ca="1">[1]!BexGetData("DP_1","003N8EMH8GTFRCSWKMPXRRXR2","GSON1112030635")</f>
        <v>#NAME?</v>
      </c>
      <c r="H288" s="23" t="e">
        <f ca="1">[1]!BexGetData("DP_1","003N8EMH8GTFRCSWKMPXRS42M","GSON1112030635")</f>
        <v>#NAME?</v>
      </c>
      <c r="I288" s="23" t="e">
        <f ca="1">[1]!BexGetData("DP_1","003N8EMH8GTFRCSWKMPXRSAE6","GSON1112030635")</f>
        <v>#NAME?</v>
      </c>
      <c r="J288" s="24" t="e">
        <f ca="1">[1]!BexGetData("DP_1","003N8EMH8GTFRCSWKMPXRSGPQ","GSON1112030635")</f>
        <v>#NAME?</v>
      </c>
      <c r="K288" s="23" t="e">
        <f ca="1">[1]!BexGetData("DP_1","003N8EMH8GTFRIVNUPY288VJH","GSON1112030635")</f>
        <v>#NAME?</v>
      </c>
      <c r="L288" s="23" t="e">
        <f ca="1">[1]!BexGetData("DP_1","003N8EMH8GTFRIVNUPY2891V1","GSON1112030635")</f>
        <v>#NAME?</v>
      </c>
      <c r="M288" s="28" t="e">
        <f ca="1">[1]!BexGetData("DP_1","003N8EMH8GTFRIVOG7KG9IQXA","GSON1112030635")</f>
        <v>#NAME?</v>
      </c>
      <c r="N288" s="23" t="e">
        <f ca="1">[1]!BexGetData("DP_1","003N8EMH8GTFRIVOG7KG9IX8U","GSON1112030635")</f>
        <v>#NAME?</v>
      </c>
      <c r="O288" s="28" t="e">
        <f ca="1">[1]!BexGetData("DP_1","003N8EMH8GTFRIVOG7KG9J3KE","GSON1112030635")</f>
        <v>#NAME?</v>
      </c>
      <c r="P288" s="23" t="e">
        <f ca="1">[1]!BexGetData("DP_1","003N8EMH8GTFRIVOG7KG9J9VY","GSON1112030635")</f>
        <v>#NAME?</v>
      </c>
      <c r="Q288" s="24" t="e">
        <f ca="1">[1]!BexGetData("DP_1","00O2TNJGODT0G5Z4TTKYMM5MT","GSON1112030635")</f>
        <v>#NAME?</v>
      </c>
      <c r="R288" s="23" t="e">
        <f ca="1">[1]!BexGetData("DP_1","00O2TNJGODT0G5Z4TTKYMMBYD","GSON1112030635")</f>
        <v>#NAME?</v>
      </c>
      <c r="S288" s="23" t="e">
        <f ca="1">[1]!BexGetData("DP_1","00O2TNJGODT0G5Z4TTKYMMI9X","GSON1112030635")</f>
        <v>#NAME?</v>
      </c>
      <c r="T288" s="23" t="e">
        <f ca="1">[1]!BexGetData("DP_1","00O2TNJGODT0G5Z4TTKYMMOLH","GSON1112030635")</f>
        <v>#NAME?</v>
      </c>
      <c r="U288" s="28" t="e">
        <f ca="1">[1]!BexGetData("DP_1","00O2TNJGODT0G5Z4TTKYMMUX1","GSON1112030635")</f>
        <v>#NAME?</v>
      </c>
      <c r="V288" s="23" t="e">
        <f ca="1">[1]!BexGetData("DP_1","00O2TNJGODT0G5Z4TTKYMN18L","GSON1112030635")</f>
        <v>#NAME?</v>
      </c>
      <c r="W288" s="28" t="e">
        <f ca="1">[1]!BexGetData("DP_1","00O2TNJGODT0G5Z4TTKYMN7K5","GSON1112030635")</f>
        <v>#NAME?</v>
      </c>
    </row>
    <row r="289" spans="1:23" x14ac:dyDescent="0.2">
      <c r="A289" s="36" t="s">
        <v>193</v>
      </c>
      <c r="B289" s="27" t="s">
        <v>194</v>
      </c>
      <c r="C289" s="23" t="e">
        <f ca="1">[1]!BexGetData("DP_1","003N8EMH8GTFRCSWKMPXRR8GU","GSON1112030640")</f>
        <v>#NAME?</v>
      </c>
      <c r="D289" s="23" t="e">
        <f ca="1">[1]!BexGetData("DP_1","003N8EMH8GTFRCSWKMPXRRESE","GSON1112030640")</f>
        <v>#NAME?</v>
      </c>
      <c r="E289" s="23" t="e">
        <f ca="1">[1]!BexGetData("DP_1","003N8EMH8GTFRCSWKMPXRRL3Y","GSON1112030640")</f>
        <v>#NAME?</v>
      </c>
      <c r="F289" s="23" t="e">
        <f ca="1">[1]!BexGetData("DP_1","003N8EMH8GTFRCSWKMPXRRRFI","GSON1112030640")</f>
        <v>#NAME?</v>
      </c>
      <c r="G289" s="23" t="e">
        <f ca="1">[1]!BexGetData("DP_1","003N8EMH8GTFRCSWKMPXRRXR2","GSON1112030640")</f>
        <v>#NAME?</v>
      </c>
      <c r="H289" s="23" t="e">
        <f ca="1">[1]!BexGetData("DP_1","003N8EMH8GTFRCSWKMPXRS42M","GSON1112030640")</f>
        <v>#NAME?</v>
      </c>
      <c r="I289" s="23" t="e">
        <f ca="1">[1]!BexGetData("DP_1","003N8EMH8GTFRCSWKMPXRSAE6","GSON1112030640")</f>
        <v>#NAME?</v>
      </c>
      <c r="J289" s="23" t="e">
        <f ca="1">[1]!BexGetData("DP_1","003N8EMH8GTFRCSWKMPXRSGPQ","GSON1112030640")</f>
        <v>#NAME?</v>
      </c>
      <c r="K289" s="23" t="e">
        <f ca="1">[1]!BexGetData("DP_1","003N8EMH8GTFRIVNUPY288VJH","GSON1112030640")</f>
        <v>#NAME?</v>
      </c>
      <c r="L289" s="23" t="e">
        <f ca="1">[1]!BexGetData("DP_1","003N8EMH8GTFRIVNUPY2891V1","GSON1112030640")</f>
        <v>#NAME?</v>
      </c>
      <c r="M289" s="28" t="e">
        <f ca="1">[1]!BexGetData("DP_1","003N8EMH8GTFRIVOG7KG9IQXA","GSON1112030640")</f>
        <v>#NAME?</v>
      </c>
      <c r="N289" s="23" t="e">
        <f ca="1">[1]!BexGetData("DP_1","003N8EMH8GTFRIVOG7KG9IX8U","GSON1112030640")</f>
        <v>#NAME?</v>
      </c>
      <c r="O289" s="28" t="e">
        <f ca="1">[1]!BexGetData("DP_1","003N8EMH8GTFRIVOG7KG9J3KE","GSON1112030640")</f>
        <v>#NAME?</v>
      </c>
      <c r="P289" s="23" t="e">
        <f ca="1">[1]!BexGetData("DP_1","003N8EMH8GTFRIVOG7KG9J9VY","GSON1112030640")</f>
        <v>#NAME?</v>
      </c>
      <c r="Q289" s="23" t="e">
        <f ca="1">[1]!BexGetData("DP_1","00O2TNJGODT0G5Z4TTKYMM5MT","GSON1112030640")</f>
        <v>#NAME?</v>
      </c>
      <c r="R289" s="23" t="e">
        <f ca="1">[1]!BexGetData("DP_1","00O2TNJGODT0G5Z4TTKYMMBYD","GSON1112030640")</f>
        <v>#NAME?</v>
      </c>
      <c r="S289" s="23" t="e">
        <f ca="1">[1]!BexGetData("DP_1","00O2TNJGODT0G5Z4TTKYMMI9X","GSON1112030640")</f>
        <v>#NAME?</v>
      </c>
      <c r="T289" s="23" t="e">
        <f ca="1">[1]!BexGetData("DP_1","00O2TNJGODT0G5Z4TTKYMMOLH","GSON1112030640")</f>
        <v>#NAME?</v>
      </c>
      <c r="U289" s="28" t="e">
        <f ca="1">[1]!BexGetData("DP_1","00O2TNJGODT0G5Z4TTKYMMUX1","GSON1112030640")</f>
        <v>#NAME?</v>
      </c>
      <c r="V289" s="23" t="e">
        <f ca="1">[1]!BexGetData("DP_1","00O2TNJGODT0G5Z4TTKYMN18L","GSON1112030640")</f>
        <v>#NAME?</v>
      </c>
      <c r="W289" s="28" t="e">
        <f ca="1">[1]!BexGetData("DP_1","00O2TNJGODT0G5Z4TTKYMN7K5","GSON1112030640")</f>
        <v>#NAME?</v>
      </c>
    </row>
    <row r="290" spans="1:23" x14ac:dyDescent="0.2">
      <c r="A290" s="36" t="s">
        <v>195</v>
      </c>
      <c r="B290" s="27" t="s">
        <v>196</v>
      </c>
      <c r="C290" s="23" t="e">
        <f ca="1">[1]!BexGetData("DP_1","003N8EMH8GTFRCSWKMPXRR8GU","GSON1112030641")</f>
        <v>#NAME?</v>
      </c>
      <c r="D290" s="23" t="e">
        <f ca="1">[1]!BexGetData("DP_1","003N8EMH8GTFRCSWKMPXRRESE","GSON1112030641")</f>
        <v>#NAME?</v>
      </c>
      <c r="E290" s="23" t="e">
        <f ca="1">[1]!BexGetData("DP_1","003N8EMH8GTFRCSWKMPXRRL3Y","GSON1112030641")</f>
        <v>#NAME?</v>
      </c>
      <c r="F290" s="23" t="e">
        <f ca="1">[1]!BexGetData("DP_1","003N8EMH8GTFRCSWKMPXRRRFI","GSON1112030641")</f>
        <v>#NAME?</v>
      </c>
      <c r="G290" s="23" t="e">
        <f ca="1">[1]!BexGetData("DP_1","003N8EMH8GTFRCSWKMPXRRXR2","GSON1112030641")</f>
        <v>#NAME?</v>
      </c>
      <c r="H290" s="23" t="e">
        <f ca="1">[1]!BexGetData("DP_1","003N8EMH8GTFRCSWKMPXRS42M","GSON1112030641")</f>
        <v>#NAME?</v>
      </c>
      <c r="I290" s="23" t="e">
        <f ca="1">[1]!BexGetData("DP_1","003N8EMH8GTFRCSWKMPXRSAE6","GSON1112030641")</f>
        <v>#NAME?</v>
      </c>
      <c r="J290" s="23" t="e">
        <f ca="1">[1]!BexGetData("DP_1","003N8EMH8GTFRCSWKMPXRSGPQ","GSON1112030641")</f>
        <v>#NAME?</v>
      </c>
      <c r="K290" s="23" t="e">
        <f ca="1">[1]!BexGetData("DP_1","003N8EMH8GTFRIVNUPY288VJH","GSON1112030641")</f>
        <v>#NAME?</v>
      </c>
      <c r="L290" s="23" t="e">
        <f ca="1">[1]!BexGetData("DP_1","003N8EMH8GTFRIVNUPY2891V1","GSON1112030641")</f>
        <v>#NAME?</v>
      </c>
      <c r="M290" s="28" t="e">
        <f ca="1">[1]!BexGetData("DP_1","003N8EMH8GTFRIVOG7KG9IQXA","GSON1112030641")</f>
        <v>#NAME?</v>
      </c>
      <c r="N290" s="23" t="e">
        <f ca="1">[1]!BexGetData("DP_1","003N8EMH8GTFRIVOG7KG9IX8U","GSON1112030641")</f>
        <v>#NAME?</v>
      </c>
      <c r="O290" s="28" t="e">
        <f ca="1">[1]!BexGetData("DP_1","003N8EMH8GTFRIVOG7KG9J3KE","GSON1112030641")</f>
        <v>#NAME?</v>
      </c>
      <c r="P290" s="23" t="e">
        <f ca="1">[1]!BexGetData("DP_1","003N8EMH8GTFRIVOG7KG9J9VY","GSON1112030641")</f>
        <v>#NAME?</v>
      </c>
      <c r="Q290" s="23" t="e">
        <f ca="1">[1]!BexGetData("DP_1","00O2TNJGODT0G5Z4TTKYMM5MT","GSON1112030641")</f>
        <v>#NAME?</v>
      </c>
      <c r="R290" s="23" t="e">
        <f ca="1">[1]!BexGetData("DP_1","00O2TNJGODT0G5Z4TTKYMMBYD","GSON1112030641")</f>
        <v>#NAME?</v>
      </c>
      <c r="S290" s="23" t="e">
        <f ca="1">[1]!BexGetData("DP_1","00O2TNJGODT0G5Z4TTKYMMI9X","GSON1112030641")</f>
        <v>#NAME?</v>
      </c>
      <c r="T290" s="23" t="e">
        <f ca="1">[1]!BexGetData("DP_1","00O2TNJGODT0G5Z4TTKYMMOLH","GSON1112030641")</f>
        <v>#NAME?</v>
      </c>
      <c r="U290" s="28" t="e">
        <f ca="1">[1]!BexGetData("DP_1","00O2TNJGODT0G5Z4TTKYMMUX1","GSON1112030641")</f>
        <v>#NAME?</v>
      </c>
      <c r="V290" s="23" t="e">
        <f ca="1">[1]!BexGetData("DP_1","00O2TNJGODT0G5Z4TTKYMN18L","GSON1112030641")</f>
        <v>#NAME?</v>
      </c>
      <c r="W290" s="28" t="e">
        <f ca="1">[1]!BexGetData("DP_1","00O2TNJGODT0G5Z4TTKYMN7K5","GSON1112030641")</f>
        <v>#NAME?</v>
      </c>
    </row>
    <row r="291" spans="1:23" x14ac:dyDescent="0.2">
      <c r="A291" s="36" t="s">
        <v>2133</v>
      </c>
      <c r="B291" s="27" t="s">
        <v>2134</v>
      </c>
      <c r="C291" s="23" t="e">
        <f ca="1">[1]!BexGetData("DP_1","003N8EMH8GTFRCSWKMPXRR8GU","GSON1112030642")</f>
        <v>#NAME?</v>
      </c>
      <c r="D291" s="23" t="e">
        <f ca="1">[1]!BexGetData("DP_1","003N8EMH8GTFRCSWKMPXRRESE","GSON1112030642")</f>
        <v>#NAME?</v>
      </c>
      <c r="E291" s="28" t="e">
        <f ca="1">[1]!BexGetData("DP_1","003N8EMH8GTFRCSWKMPXRRL3Y","GSON1112030642")</f>
        <v>#NAME?</v>
      </c>
      <c r="F291" s="28" t="e">
        <f ca="1">[1]!BexGetData("DP_1","003N8EMH8GTFRCSWKMPXRRRFI","GSON1112030642")</f>
        <v>#NAME?</v>
      </c>
      <c r="G291" s="23" t="e">
        <f ca="1">[1]!BexGetData("DP_1","003N8EMH8GTFRCSWKMPXRRXR2","GSON1112030642")</f>
        <v>#NAME?</v>
      </c>
      <c r="H291" s="23" t="e">
        <f ca="1">[1]!BexGetData("DP_1","003N8EMH8GTFRCSWKMPXRS42M","GSON1112030642")</f>
        <v>#NAME?</v>
      </c>
      <c r="I291" s="28" t="e">
        <f ca="1">[1]!BexGetData("DP_1","003N8EMH8GTFRCSWKMPXRSAE6","GSON1112030642")</f>
        <v>#NAME?</v>
      </c>
      <c r="J291" s="24" t="e">
        <f ca="1">[1]!BexGetData("DP_1","003N8EMH8GTFRCSWKMPXRSGPQ","GSON1112030642")</f>
        <v>#NAME?</v>
      </c>
      <c r="K291" s="28" t="e">
        <f ca="1">[1]!BexGetData("DP_1","003N8EMH8GTFRIVNUPY288VJH","GSON1112030642")</f>
        <v>#NAME?</v>
      </c>
      <c r="L291" s="28" t="e">
        <f ca="1">[1]!BexGetData("DP_1","003N8EMH8GTFRIVNUPY2891V1","GSON1112030642")</f>
        <v>#NAME?</v>
      </c>
      <c r="M291" s="28" t="e">
        <f ca="1">[1]!BexGetData("DP_1","003N8EMH8GTFRIVOG7KG9IQXA","GSON1112030642")</f>
        <v>#NAME?</v>
      </c>
      <c r="N291" s="28" t="e">
        <f ca="1">[1]!BexGetData("DP_1","003N8EMH8GTFRIVOG7KG9IX8U","GSON1112030642")</f>
        <v>#NAME?</v>
      </c>
      <c r="O291" s="28" t="e">
        <f ca="1">[1]!BexGetData("DP_1","003N8EMH8GTFRIVOG7KG9J3KE","GSON1112030642")</f>
        <v>#NAME?</v>
      </c>
      <c r="P291" s="28" t="e">
        <f ca="1">[1]!BexGetData("DP_1","003N8EMH8GTFRIVOG7KG9J9VY","GSON1112030642")</f>
        <v>#NAME?</v>
      </c>
      <c r="Q291" s="24" t="e">
        <f ca="1">[1]!BexGetData("DP_1","00O2TNJGODT0G5Z4TTKYMM5MT","GSON1112030642")</f>
        <v>#NAME?</v>
      </c>
      <c r="R291" s="28" t="e">
        <f ca="1">[1]!BexGetData("DP_1","00O2TNJGODT0G5Z4TTKYMMBYD","GSON1112030642")</f>
        <v>#NAME?</v>
      </c>
      <c r="S291" s="28" t="e">
        <f ca="1">[1]!BexGetData("DP_1","00O2TNJGODT0G5Z4TTKYMMI9X","GSON1112030642")</f>
        <v>#NAME?</v>
      </c>
      <c r="T291" s="28" t="e">
        <f ca="1">[1]!BexGetData("DP_1","00O2TNJGODT0G5Z4TTKYMMOLH","GSON1112030642")</f>
        <v>#NAME?</v>
      </c>
      <c r="U291" s="28" t="e">
        <f ca="1">[1]!BexGetData("DP_1","00O2TNJGODT0G5Z4TTKYMMUX1","GSON1112030642")</f>
        <v>#NAME?</v>
      </c>
      <c r="V291" s="28" t="e">
        <f ca="1">[1]!BexGetData("DP_1","00O2TNJGODT0G5Z4TTKYMN18L","GSON1112030642")</f>
        <v>#NAME?</v>
      </c>
      <c r="W291" s="28" t="e">
        <f ca="1">[1]!BexGetData("DP_1","00O2TNJGODT0G5Z4TTKYMN7K5","GSON1112030642")</f>
        <v>#NAME?</v>
      </c>
    </row>
    <row r="292" spans="1:23" x14ac:dyDescent="0.2">
      <c r="A292" s="36" t="s">
        <v>197</v>
      </c>
      <c r="B292" s="27" t="s">
        <v>198</v>
      </c>
      <c r="C292" s="23" t="e">
        <f ca="1">[1]!BexGetData("DP_1","003N8EMH8GTFRCSWKMPXRR8GU","GSON1112030643")</f>
        <v>#NAME?</v>
      </c>
      <c r="D292" s="23" t="e">
        <f ca="1">[1]!BexGetData("DP_1","003N8EMH8GTFRCSWKMPXRRESE","GSON1112030643")</f>
        <v>#NAME?</v>
      </c>
      <c r="E292" s="23" t="e">
        <f ca="1">[1]!BexGetData("DP_1","003N8EMH8GTFRCSWKMPXRRL3Y","GSON1112030643")</f>
        <v>#NAME?</v>
      </c>
      <c r="F292" s="23" t="e">
        <f ca="1">[1]!BexGetData("DP_1","003N8EMH8GTFRCSWKMPXRRRFI","GSON1112030643")</f>
        <v>#NAME?</v>
      </c>
      <c r="G292" s="23" t="e">
        <f ca="1">[1]!BexGetData("DP_1","003N8EMH8GTFRCSWKMPXRRXR2","GSON1112030643")</f>
        <v>#NAME?</v>
      </c>
      <c r="H292" s="23" t="e">
        <f ca="1">[1]!BexGetData("DP_1","003N8EMH8GTFRCSWKMPXRS42M","GSON1112030643")</f>
        <v>#NAME?</v>
      </c>
      <c r="I292" s="23" t="e">
        <f ca="1">[1]!BexGetData("DP_1","003N8EMH8GTFRCSWKMPXRSAE6","GSON1112030643")</f>
        <v>#NAME?</v>
      </c>
      <c r="J292" s="24" t="e">
        <f ca="1">[1]!BexGetData("DP_1","003N8EMH8GTFRCSWKMPXRSGPQ","GSON1112030643")</f>
        <v>#NAME?</v>
      </c>
      <c r="K292" s="28" t="e">
        <f ca="1">[1]!BexGetData("DP_1","003N8EMH8GTFRIVNUPY288VJH","GSON1112030643")</f>
        <v>#NAME?</v>
      </c>
      <c r="L292" s="28" t="e">
        <f ca="1">[1]!BexGetData("DP_1","003N8EMH8GTFRIVNUPY2891V1","GSON1112030643")</f>
        <v>#NAME?</v>
      </c>
      <c r="M292" s="28" t="e">
        <f ca="1">[1]!BexGetData("DP_1","003N8EMH8GTFRIVOG7KG9IQXA","GSON1112030643")</f>
        <v>#NAME?</v>
      </c>
      <c r="N292" s="28" t="e">
        <f ca="1">[1]!BexGetData("DP_1","003N8EMH8GTFRIVOG7KG9IX8U","GSON1112030643")</f>
        <v>#NAME?</v>
      </c>
      <c r="O292" s="28" t="e">
        <f ca="1">[1]!BexGetData("DP_1","003N8EMH8GTFRIVOG7KG9J3KE","GSON1112030643")</f>
        <v>#NAME?</v>
      </c>
      <c r="P292" s="28" t="e">
        <f ca="1">[1]!BexGetData("DP_1","003N8EMH8GTFRIVOG7KG9J9VY","GSON1112030643")</f>
        <v>#NAME?</v>
      </c>
      <c r="Q292" s="24" t="e">
        <f ca="1">[1]!BexGetData("DP_1","00O2TNJGODT0G5Z4TTKYMM5MT","GSON1112030643")</f>
        <v>#NAME?</v>
      </c>
      <c r="R292" s="23" t="e">
        <f ca="1">[1]!BexGetData("DP_1","00O2TNJGODT0G5Z4TTKYMMBYD","GSON1112030643")</f>
        <v>#NAME?</v>
      </c>
      <c r="S292" s="23" t="e">
        <f ca="1">[1]!BexGetData("DP_1","00O2TNJGODT0G5Z4TTKYMMI9X","GSON1112030643")</f>
        <v>#NAME?</v>
      </c>
      <c r="T292" s="28" t="e">
        <f ca="1">[1]!BexGetData("DP_1","00O2TNJGODT0G5Z4TTKYMMOLH","GSON1112030643")</f>
        <v>#NAME?</v>
      </c>
      <c r="U292" s="23" t="e">
        <f ca="1">[1]!BexGetData("DP_1","00O2TNJGODT0G5Z4TTKYMMUX1","GSON1112030643")</f>
        <v>#NAME?</v>
      </c>
      <c r="V292" s="28" t="e">
        <f ca="1">[1]!BexGetData("DP_1","00O2TNJGODT0G5Z4TTKYMN18L","GSON1112030643")</f>
        <v>#NAME?</v>
      </c>
      <c r="W292" s="23" t="e">
        <f ca="1">[1]!BexGetData("DP_1","00O2TNJGODT0G5Z4TTKYMN7K5","GSON1112030643")</f>
        <v>#NAME?</v>
      </c>
    </row>
    <row r="293" spans="1:23" x14ac:dyDescent="0.2">
      <c r="A293" s="36" t="s">
        <v>2135</v>
      </c>
      <c r="B293" s="27" t="s">
        <v>199</v>
      </c>
      <c r="C293" s="23" t="e">
        <f ca="1">[1]!BexGetData("DP_1","003N8EMH8GTFRCSWKMPXRR8GU","GSON1112030644")</f>
        <v>#NAME?</v>
      </c>
      <c r="D293" s="23" t="e">
        <f ca="1">[1]!BexGetData("DP_1","003N8EMH8GTFRCSWKMPXRRESE","GSON1112030644")</f>
        <v>#NAME?</v>
      </c>
      <c r="E293" s="28" t="e">
        <f ca="1">[1]!BexGetData("DP_1","003N8EMH8GTFRCSWKMPXRRL3Y","GSON1112030644")</f>
        <v>#NAME?</v>
      </c>
      <c r="F293" s="28" t="e">
        <f ca="1">[1]!BexGetData("DP_1","003N8EMH8GTFRCSWKMPXRRRFI","GSON1112030644")</f>
        <v>#NAME?</v>
      </c>
      <c r="G293" s="23" t="e">
        <f ca="1">[1]!BexGetData("DP_1","003N8EMH8GTFRCSWKMPXRRXR2","GSON1112030644")</f>
        <v>#NAME?</v>
      </c>
      <c r="H293" s="23" t="e">
        <f ca="1">[1]!BexGetData("DP_1","003N8EMH8GTFRCSWKMPXRS42M","GSON1112030644")</f>
        <v>#NAME?</v>
      </c>
      <c r="I293" s="28" t="e">
        <f ca="1">[1]!BexGetData("DP_1","003N8EMH8GTFRCSWKMPXRSAE6","GSON1112030644")</f>
        <v>#NAME?</v>
      </c>
      <c r="J293" s="24" t="e">
        <f ca="1">[1]!BexGetData("DP_1","003N8EMH8GTFRCSWKMPXRSGPQ","GSON1112030644")</f>
        <v>#NAME?</v>
      </c>
      <c r="K293" s="28" t="e">
        <f ca="1">[1]!BexGetData("DP_1","003N8EMH8GTFRIVNUPY288VJH","GSON1112030644")</f>
        <v>#NAME?</v>
      </c>
      <c r="L293" s="28" t="e">
        <f ca="1">[1]!BexGetData("DP_1","003N8EMH8GTFRIVNUPY2891V1","GSON1112030644")</f>
        <v>#NAME?</v>
      </c>
      <c r="M293" s="28" t="e">
        <f ca="1">[1]!BexGetData("DP_1","003N8EMH8GTFRIVOG7KG9IQXA","GSON1112030644")</f>
        <v>#NAME?</v>
      </c>
      <c r="N293" s="28" t="e">
        <f ca="1">[1]!BexGetData("DP_1","003N8EMH8GTFRIVOG7KG9IX8U","GSON1112030644")</f>
        <v>#NAME?</v>
      </c>
      <c r="O293" s="28" t="e">
        <f ca="1">[1]!BexGetData("DP_1","003N8EMH8GTFRIVOG7KG9J3KE","GSON1112030644")</f>
        <v>#NAME?</v>
      </c>
      <c r="P293" s="28" t="e">
        <f ca="1">[1]!BexGetData("DP_1","003N8EMH8GTFRIVOG7KG9J9VY","GSON1112030644")</f>
        <v>#NAME?</v>
      </c>
      <c r="Q293" s="24" t="e">
        <f ca="1">[1]!BexGetData("DP_1","00O2TNJGODT0G5Z4TTKYMM5MT","GSON1112030644")</f>
        <v>#NAME?</v>
      </c>
      <c r="R293" s="28" t="e">
        <f ca="1">[1]!BexGetData("DP_1","00O2TNJGODT0G5Z4TTKYMMBYD","GSON1112030644")</f>
        <v>#NAME?</v>
      </c>
      <c r="S293" s="28" t="e">
        <f ca="1">[1]!BexGetData("DP_1","00O2TNJGODT0G5Z4TTKYMMI9X","GSON1112030644")</f>
        <v>#NAME?</v>
      </c>
      <c r="T293" s="28" t="e">
        <f ca="1">[1]!BexGetData("DP_1","00O2TNJGODT0G5Z4TTKYMMOLH","GSON1112030644")</f>
        <v>#NAME?</v>
      </c>
      <c r="U293" s="28" t="e">
        <f ca="1">[1]!BexGetData("DP_1","00O2TNJGODT0G5Z4TTKYMMUX1","GSON1112030644")</f>
        <v>#NAME?</v>
      </c>
      <c r="V293" s="28" t="e">
        <f ca="1">[1]!BexGetData("DP_1","00O2TNJGODT0G5Z4TTKYMN18L","GSON1112030644")</f>
        <v>#NAME?</v>
      </c>
      <c r="W293" s="28" t="e">
        <f ca="1">[1]!BexGetData("DP_1","00O2TNJGODT0G5Z4TTKYMN7K5","GSON1112030644")</f>
        <v>#NAME?</v>
      </c>
    </row>
    <row r="294" spans="1:23" x14ac:dyDescent="0.2">
      <c r="A294" s="36" t="s">
        <v>200</v>
      </c>
      <c r="B294" s="27" t="s">
        <v>201</v>
      </c>
      <c r="C294" s="23" t="e">
        <f ca="1">[1]!BexGetData("DP_1","003N8EMH8GTFRCSWKMPXRR8GU","GSON1112030650")</f>
        <v>#NAME?</v>
      </c>
      <c r="D294" s="23" t="e">
        <f ca="1">[1]!BexGetData("DP_1","003N8EMH8GTFRCSWKMPXRRESE","GSON1112030650")</f>
        <v>#NAME?</v>
      </c>
      <c r="E294" s="23" t="e">
        <f ca="1">[1]!BexGetData("DP_1","003N8EMH8GTFRCSWKMPXRRL3Y","GSON1112030650")</f>
        <v>#NAME?</v>
      </c>
      <c r="F294" s="23" t="e">
        <f ca="1">[1]!BexGetData("DP_1","003N8EMH8GTFRCSWKMPXRRRFI","GSON1112030650")</f>
        <v>#NAME?</v>
      </c>
      <c r="G294" s="23" t="e">
        <f ca="1">[1]!BexGetData("DP_1","003N8EMH8GTFRCSWKMPXRRXR2","GSON1112030650")</f>
        <v>#NAME?</v>
      </c>
      <c r="H294" s="23" t="e">
        <f ca="1">[1]!BexGetData("DP_1","003N8EMH8GTFRCSWKMPXRS42M","GSON1112030650")</f>
        <v>#NAME?</v>
      </c>
      <c r="I294" s="23" t="e">
        <f ca="1">[1]!BexGetData("DP_1","003N8EMH8GTFRCSWKMPXRSAE6","GSON1112030650")</f>
        <v>#NAME?</v>
      </c>
      <c r="J294" s="23" t="e">
        <f ca="1">[1]!BexGetData("DP_1","003N8EMH8GTFRCSWKMPXRSGPQ","GSON1112030650")</f>
        <v>#NAME?</v>
      </c>
      <c r="K294" s="23" t="e">
        <f ca="1">[1]!BexGetData("DP_1","003N8EMH8GTFRIVNUPY288VJH","GSON1112030650")</f>
        <v>#NAME?</v>
      </c>
      <c r="L294" s="23" t="e">
        <f ca="1">[1]!BexGetData("DP_1","003N8EMH8GTFRIVNUPY2891V1","GSON1112030650")</f>
        <v>#NAME?</v>
      </c>
      <c r="M294" s="28" t="e">
        <f ca="1">[1]!BexGetData("DP_1","003N8EMH8GTFRIVOG7KG9IQXA","GSON1112030650")</f>
        <v>#NAME?</v>
      </c>
      <c r="N294" s="23" t="e">
        <f ca="1">[1]!BexGetData("DP_1","003N8EMH8GTFRIVOG7KG9IX8U","GSON1112030650")</f>
        <v>#NAME?</v>
      </c>
      <c r="O294" s="28" t="e">
        <f ca="1">[1]!BexGetData("DP_1","003N8EMH8GTFRIVOG7KG9J3KE","GSON1112030650")</f>
        <v>#NAME?</v>
      </c>
      <c r="P294" s="23" t="e">
        <f ca="1">[1]!BexGetData("DP_1","003N8EMH8GTFRIVOG7KG9J9VY","GSON1112030650")</f>
        <v>#NAME?</v>
      </c>
      <c r="Q294" s="23" t="e">
        <f ca="1">[1]!BexGetData("DP_1","00O2TNJGODT0G5Z4TTKYMM5MT","GSON1112030650")</f>
        <v>#NAME?</v>
      </c>
      <c r="R294" s="23" t="e">
        <f ca="1">[1]!BexGetData("DP_1","00O2TNJGODT0G5Z4TTKYMMBYD","GSON1112030650")</f>
        <v>#NAME?</v>
      </c>
      <c r="S294" s="23" t="e">
        <f ca="1">[1]!BexGetData("DP_1","00O2TNJGODT0G5Z4TTKYMMI9X","GSON1112030650")</f>
        <v>#NAME?</v>
      </c>
      <c r="T294" s="23" t="e">
        <f ca="1">[1]!BexGetData("DP_1","00O2TNJGODT0G5Z4TTKYMMOLH","GSON1112030650")</f>
        <v>#NAME?</v>
      </c>
      <c r="U294" s="28" t="e">
        <f ca="1">[1]!BexGetData("DP_1","00O2TNJGODT0G5Z4TTKYMMUX1","GSON1112030650")</f>
        <v>#NAME?</v>
      </c>
      <c r="V294" s="23" t="e">
        <f ca="1">[1]!BexGetData("DP_1","00O2TNJGODT0G5Z4TTKYMN18L","GSON1112030650")</f>
        <v>#NAME?</v>
      </c>
      <c r="W294" s="28" t="e">
        <f ca="1">[1]!BexGetData("DP_1","00O2TNJGODT0G5Z4TTKYMN7K5","GSON1112030650")</f>
        <v>#NAME?</v>
      </c>
    </row>
    <row r="295" spans="1:23" x14ac:dyDescent="0.2">
      <c r="A295" s="36" t="s">
        <v>202</v>
      </c>
      <c r="B295" s="27" t="s">
        <v>203</v>
      </c>
      <c r="C295" s="23" t="e">
        <f ca="1">[1]!BexGetData("DP_1","003N8EMH8GTFRCSWKMPXRR8GU","GSON1112030651")</f>
        <v>#NAME?</v>
      </c>
      <c r="D295" s="23" t="e">
        <f ca="1">[1]!BexGetData("DP_1","003N8EMH8GTFRCSWKMPXRRESE","GSON1112030651")</f>
        <v>#NAME?</v>
      </c>
      <c r="E295" s="23" t="e">
        <f ca="1">[1]!BexGetData("DP_1","003N8EMH8GTFRCSWKMPXRRL3Y","GSON1112030651")</f>
        <v>#NAME?</v>
      </c>
      <c r="F295" s="23" t="e">
        <f ca="1">[1]!BexGetData("DP_1","003N8EMH8GTFRCSWKMPXRRRFI","GSON1112030651")</f>
        <v>#NAME?</v>
      </c>
      <c r="G295" s="23" t="e">
        <f ca="1">[1]!BexGetData("DP_1","003N8EMH8GTFRCSWKMPXRRXR2","GSON1112030651")</f>
        <v>#NAME?</v>
      </c>
      <c r="H295" s="23" t="e">
        <f ca="1">[1]!BexGetData("DP_1","003N8EMH8GTFRCSWKMPXRS42M","GSON1112030651")</f>
        <v>#NAME?</v>
      </c>
      <c r="I295" s="23" t="e">
        <f ca="1">[1]!BexGetData("DP_1","003N8EMH8GTFRCSWKMPXRSAE6","GSON1112030651")</f>
        <v>#NAME?</v>
      </c>
      <c r="J295" s="23" t="e">
        <f ca="1">[1]!BexGetData("DP_1","003N8EMH8GTFRCSWKMPXRSGPQ","GSON1112030651")</f>
        <v>#NAME?</v>
      </c>
      <c r="K295" s="23" t="e">
        <f ca="1">[1]!BexGetData("DP_1","003N8EMH8GTFRIVNUPY288VJH","GSON1112030651")</f>
        <v>#NAME?</v>
      </c>
      <c r="L295" s="23" t="e">
        <f ca="1">[1]!BexGetData("DP_1","003N8EMH8GTFRIVNUPY2891V1","GSON1112030651")</f>
        <v>#NAME?</v>
      </c>
      <c r="M295" s="28" t="e">
        <f ca="1">[1]!BexGetData("DP_1","003N8EMH8GTFRIVOG7KG9IQXA","GSON1112030651")</f>
        <v>#NAME?</v>
      </c>
      <c r="N295" s="23" t="e">
        <f ca="1">[1]!BexGetData("DP_1","003N8EMH8GTFRIVOG7KG9IX8U","GSON1112030651")</f>
        <v>#NAME?</v>
      </c>
      <c r="O295" s="28" t="e">
        <f ca="1">[1]!BexGetData("DP_1","003N8EMH8GTFRIVOG7KG9J3KE","GSON1112030651")</f>
        <v>#NAME?</v>
      </c>
      <c r="P295" s="23" t="e">
        <f ca="1">[1]!BexGetData("DP_1","003N8EMH8GTFRIVOG7KG9J9VY","GSON1112030651")</f>
        <v>#NAME?</v>
      </c>
      <c r="Q295" s="23" t="e">
        <f ca="1">[1]!BexGetData("DP_1","00O2TNJGODT0G5Z4TTKYMM5MT","GSON1112030651")</f>
        <v>#NAME?</v>
      </c>
      <c r="R295" s="23" t="e">
        <f ca="1">[1]!BexGetData("DP_1","00O2TNJGODT0G5Z4TTKYMMBYD","GSON1112030651")</f>
        <v>#NAME?</v>
      </c>
      <c r="S295" s="23" t="e">
        <f ca="1">[1]!BexGetData("DP_1","00O2TNJGODT0G5Z4TTKYMMI9X","GSON1112030651")</f>
        <v>#NAME?</v>
      </c>
      <c r="T295" s="23" t="e">
        <f ca="1">[1]!BexGetData("DP_1","00O2TNJGODT0G5Z4TTKYMMOLH","GSON1112030651")</f>
        <v>#NAME?</v>
      </c>
      <c r="U295" s="28" t="e">
        <f ca="1">[1]!BexGetData("DP_1","00O2TNJGODT0G5Z4TTKYMMUX1","GSON1112030651")</f>
        <v>#NAME?</v>
      </c>
      <c r="V295" s="23" t="e">
        <f ca="1">[1]!BexGetData("DP_1","00O2TNJGODT0G5Z4TTKYMN18L","GSON1112030651")</f>
        <v>#NAME?</v>
      </c>
      <c r="W295" s="28" t="e">
        <f ca="1">[1]!BexGetData("DP_1","00O2TNJGODT0G5Z4TTKYMN7K5","GSON1112030651")</f>
        <v>#NAME?</v>
      </c>
    </row>
    <row r="296" spans="1:23" x14ac:dyDescent="0.2">
      <c r="A296" s="36" t="s">
        <v>2136</v>
      </c>
      <c r="B296" s="27" t="s">
        <v>2137</v>
      </c>
      <c r="C296" s="23" t="e">
        <f ca="1">[1]!BexGetData("DP_1","003N8EMH8GTFRCSWKMPXRR8GU","GSON1112030652")</f>
        <v>#NAME?</v>
      </c>
      <c r="D296" s="23" t="e">
        <f ca="1">[1]!BexGetData("DP_1","003N8EMH8GTFRCSWKMPXRRESE","GSON1112030652")</f>
        <v>#NAME?</v>
      </c>
      <c r="E296" s="23" t="e">
        <f ca="1">[1]!BexGetData("DP_1","003N8EMH8GTFRCSWKMPXRRL3Y","GSON1112030652")</f>
        <v>#NAME?</v>
      </c>
      <c r="F296" s="23" t="e">
        <f ca="1">[1]!BexGetData("DP_1","003N8EMH8GTFRCSWKMPXRRRFI","GSON1112030652")</f>
        <v>#NAME?</v>
      </c>
      <c r="G296" s="23" t="e">
        <f ca="1">[1]!BexGetData("DP_1","003N8EMH8GTFRCSWKMPXRRXR2","GSON1112030652")</f>
        <v>#NAME?</v>
      </c>
      <c r="H296" s="28" t="e">
        <f ca="1">[1]!BexGetData("DP_1","003N8EMH8GTFRCSWKMPXRS42M","GSON1112030652")</f>
        <v>#NAME?</v>
      </c>
      <c r="I296" s="23" t="e">
        <f ca="1">[1]!BexGetData("DP_1","003N8EMH8GTFRCSWKMPXRSAE6","GSON1112030652")</f>
        <v>#NAME?</v>
      </c>
      <c r="J296" s="24" t="e">
        <f ca="1">[1]!BexGetData("DP_1","003N8EMH8GTFRCSWKMPXRSGPQ","GSON1112030652")</f>
        <v>#NAME?</v>
      </c>
      <c r="K296" s="23" t="e">
        <f ca="1">[1]!BexGetData("DP_1","003N8EMH8GTFRIVNUPY288VJH","GSON1112030652")</f>
        <v>#NAME?</v>
      </c>
      <c r="L296" s="23" t="e">
        <f ca="1">[1]!BexGetData("DP_1","003N8EMH8GTFRIVNUPY2891V1","GSON1112030652")</f>
        <v>#NAME?</v>
      </c>
      <c r="M296" s="23" t="e">
        <f ca="1">[1]!BexGetData("DP_1","003N8EMH8GTFRIVOG7KG9IQXA","GSON1112030652")</f>
        <v>#NAME?</v>
      </c>
      <c r="N296" s="28" t="e">
        <f ca="1">[1]!BexGetData("DP_1","003N8EMH8GTFRIVOG7KG9IX8U","GSON1112030652")</f>
        <v>#NAME?</v>
      </c>
      <c r="O296" s="23" t="e">
        <f ca="1">[1]!BexGetData("DP_1","003N8EMH8GTFRIVOG7KG9J3KE","GSON1112030652")</f>
        <v>#NAME?</v>
      </c>
      <c r="P296" s="28" t="e">
        <f ca="1">[1]!BexGetData("DP_1","003N8EMH8GTFRIVOG7KG9J9VY","GSON1112030652")</f>
        <v>#NAME?</v>
      </c>
      <c r="Q296" s="24" t="e">
        <f ca="1">[1]!BexGetData("DP_1","00O2TNJGODT0G5Z4TTKYMM5MT","GSON1112030652")</f>
        <v>#NAME?</v>
      </c>
      <c r="R296" s="23" t="e">
        <f ca="1">[1]!BexGetData("DP_1","00O2TNJGODT0G5Z4TTKYMMBYD","GSON1112030652")</f>
        <v>#NAME?</v>
      </c>
      <c r="S296" s="23" t="e">
        <f ca="1">[1]!BexGetData("DP_1","00O2TNJGODT0G5Z4TTKYMMI9X","GSON1112030652")</f>
        <v>#NAME?</v>
      </c>
      <c r="T296" s="28" t="e">
        <f ca="1">[1]!BexGetData("DP_1","00O2TNJGODT0G5Z4TTKYMMOLH","GSON1112030652")</f>
        <v>#NAME?</v>
      </c>
      <c r="U296" s="23" t="e">
        <f ca="1">[1]!BexGetData("DP_1","00O2TNJGODT0G5Z4TTKYMMUX1","GSON1112030652")</f>
        <v>#NAME?</v>
      </c>
      <c r="V296" s="28" t="e">
        <f ca="1">[1]!BexGetData("DP_1","00O2TNJGODT0G5Z4TTKYMN18L","GSON1112030652")</f>
        <v>#NAME?</v>
      </c>
      <c r="W296" s="23" t="e">
        <f ca="1">[1]!BexGetData("DP_1","00O2TNJGODT0G5Z4TTKYMN7K5","GSON1112030652")</f>
        <v>#NAME?</v>
      </c>
    </row>
    <row r="297" spans="1:23" x14ac:dyDescent="0.2">
      <c r="A297" s="36" t="s">
        <v>204</v>
      </c>
      <c r="B297" s="27" t="s">
        <v>205</v>
      </c>
      <c r="C297" s="23" t="e">
        <f ca="1">[1]!BexGetData("DP_1","003N8EMH8GTFRCSWKMPXRR8GU","GSON1112030653")</f>
        <v>#NAME?</v>
      </c>
      <c r="D297" s="23" t="e">
        <f ca="1">[1]!BexGetData("DP_1","003N8EMH8GTFRCSWKMPXRRESE","GSON1112030653")</f>
        <v>#NAME?</v>
      </c>
      <c r="E297" s="23" t="e">
        <f ca="1">[1]!BexGetData("DP_1","003N8EMH8GTFRCSWKMPXRRL3Y","GSON1112030653")</f>
        <v>#NAME?</v>
      </c>
      <c r="F297" s="23" t="e">
        <f ca="1">[1]!BexGetData("DP_1","003N8EMH8GTFRCSWKMPXRRRFI","GSON1112030653")</f>
        <v>#NAME?</v>
      </c>
      <c r="G297" s="23" t="e">
        <f ca="1">[1]!BexGetData("DP_1","003N8EMH8GTFRCSWKMPXRRXR2","GSON1112030653")</f>
        <v>#NAME?</v>
      </c>
      <c r="H297" s="23" t="e">
        <f ca="1">[1]!BexGetData("DP_1","003N8EMH8GTFRCSWKMPXRS42M","GSON1112030653")</f>
        <v>#NAME?</v>
      </c>
      <c r="I297" s="23" t="e">
        <f ca="1">[1]!BexGetData("DP_1","003N8EMH8GTFRCSWKMPXRSAE6","GSON1112030653")</f>
        <v>#NAME?</v>
      </c>
      <c r="J297" s="24" t="e">
        <f ca="1">[1]!BexGetData("DP_1","003N8EMH8GTFRCSWKMPXRSGPQ","GSON1112030653")</f>
        <v>#NAME?</v>
      </c>
      <c r="K297" s="23" t="e">
        <f ca="1">[1]!BexGetData("DP_1","003N8EMH8GTFRIVNUPY288VJH","GSON1112030653")</f>
        <v>#NAME?</v>
      </c>
      <c r="L297" s="23" t="e">
        <f ca="1">[1]!BexGetData("DP_1","003N8EMH8GTFRIVNUPY2891V1","GSON1112030653")</f>
        <v>#NAME?</v>
      </c>
      <c r="M297" s="28" t="e">
        <f ca="1">[1]!BexGetData("DP_1","003N8EMH8GTFRIVOG7KG9IQXA","GSON1112030653")</f>
        <v>#NAME?</v>
      </c>
      <c r="N297" s="23" t="e">
        <f ca="1">[1]!BexGetData("DP_1","003N8EMH8GTFRIVOG7KG9IX8U","GSON1112030653")</f>
        <v>#NAME?</v>
      </c>
      <c r="O297" s="28" t="e">
        <f ca="1">[1]!BexGetData("DP_1","003N8EMH8GTFRIVOG7KG9J3KE","GSON1112030653")</f>
        <v>#NAME?</v>
      </c>
      <c r="P297" s="23" t="e">
        <f ca="1">[1]!BexGetData("DP_1","003N8EMH8GTFRIVOG7KG9J9VY","GSON1112030653")</f>
        <v>#NAME?</v>
      </c>
      <c r="Q297" s="24" t="e">
        <f ca="1">[1]!BexGetData("DP_1","00O2TNJGODT0G5Z4TTKYMM5MT","GSON1112030653")</f>
        <v>#NAME?</v>
      </c>
      <c r="R297" s="23" t="e">
        <f ca="1">[1]!BexGetData("DP_1","00O2TNJGODT0G5Z4TTKYMMBYD","GSON1112030653")</f>
        <v>#NAME?</v>
      </c>
      <c r="S297" s="23" t="e">
        <f ca="1">[1]!BexGetData("DP_1","00O2TNJGODT0G5Z4TTKYMMI9X","GSON1112030653")</f>
        <v>#NAME?</v>
      </c>
      <c r="T297" s="23" t="e">
        <f ca="1">[1]!BexGetData("DP_1","00O2TNJGODT0G5Z4TTKYMMOLH","GSON1112030653")</f>
        <v>#NAME?</v>
      </c>
      <c r="U297" s="28" t="e">
        <f ca="1">[1]!BexGetData("DP_1","00O2TNJGODT0G5Z4TTKYMMUX1","GSON1112030653")</f>
        <v>#NAME?</v>
      </c>
      <c r="V297" s="23" t="e">
        <f ca="1">[1]!BexGetData("DP_1","00O2TNJGODT0G5Z4TTKYMN18L","GSON1112030653")</f>
        <v>#NAME?</v>
      </c>
      <c r="W297" s="28" t="e">
        <f ca="1">[1]!BexGetData("DP_1","00O2TNJGODT0G5Z4TTKYMN7K5","GSON1112030653")</f>
        <v>#NAME?</v>
      </c>
    </row>
    <row r="298" spans="1:23" x14ac:dyDescent="0.2">
      <c r="A298" s="36" t="s">
        <v>2138</v>
      </c>
      <c r="B298" s="27" t="s">
        <v>206</v>
      </c>
      <c r="C298" s="23" t="e">
        <f ca="1">[1]!BexGetData("DP_1","003N8EMH8GTFRCSWKMPXRR8GU","GSON1112030654")</f>
        <v>#NAME?</v>
      </c>
      <c r="D298" s="23" t="e">
        <f ca="1">[1]!BexGetData("DP_1","003N8EMH8GTFRCSWKMPXRRESE","GSON1112030654")</f>
        <v>#NAME?</v>
      </c>
      <c r="E298" s="28" t="e">
        <f ca="1">[1]!BexGetData("DP_1","003N8EMH8GTFRCSWKMPXRRL3Y","GSON1112030654")</f>
        <v>#NAME?</v>
      </c>
      <c r="F298" s="23" t="e">
        <f ca="1">[1]!BexGetData("DP_1","003N8EMH8GTFRCSWKMPXRRRFI","GSON1112030654")</f>
        <v>#NAME?</v>
      </c>
      <c r="G298" s="23" t="e">
        <f ca="1">[1]!BexGetData("DP_1","003N8EMH8GTFRCSWKMPXRRXR2","GSON1112030654")</f>
        <v>#NAME?</v>
      </c>
      <c r="H298" s="23" t="e">
        <f ca="1">[1]!BexGetData("DP_1","003N8EMH8GTFRCSWKMPXRS42M","GSON1112030654")</f>
        <v>#NAME?</v>
      </c>
      <c r="I298" s="23" t="e">
        <f ca="1">[1]!BexGetData("DP_1","003N8EMH8GTFRCSWKMPXRSAE6","GSON1112030654")</f>
        <v>#NAME?</v>
      </c>
      <c r="J298" s="24" t="e">
        <f ca="1">[1]!BexGetData("DP_1","003N8EMH8GTFRCSWKMPXRSGPQ","GSON1112030654")</f>
        <v>#NAME?</v>
      </c>
      <c r="K298" s="23" t="e">
        <f ca="1">[1]!BexGetData("DP_1","003N8EMH8GTFRIVNUPY288VJH","GSON1112030654")</f>
        <v>#NAME?</v>
      </c>
      <c r="L298" s="23" t="e">
        <f ca="1">[1]!BexGetData("DP_1","003N8EMH8GTFRIVNUPY2891V1","GSON1112030654")</f>
        <v>#NAME?</v>
      </c>
      <c r="M298" s="23" t="e">
        <f ca="1">[1]!BexGetData("DP_1","003N8EMH8GTFRIVOG7KG9IQXA","GSON1112030654")</f>
        <v>#NAME?</v>
      </c>
      <c r="N298" s="28" t="e">
        <f ca="1">[1]!BexGetData("DP_1","003N8EMH8GTFRIVOG7KG9IX8U","GSON1112030654")</f>
        <v>#NAME?</v>
      </c>
      <c r="O298" s="23" t="e">
        <f ca="1">[1]!BexGetData("DP_1","003N8EMH8GTFRIVOG7KG9J3KE","GSON1112030654")</f>
        <v>#NAME?</v>
      </c>
      <c r="P298" s="28" t="e">
        <f ca="1">[1]!BexGetData("DP_1","003N8EMH8GTFRIVOG7KG9J9VY","GSON1112030654")</f>
        <v>#NAME?</v>
      </c>
      <c r="Q298" s="24" t="e">
        <f ca="1">[1]!BexGetData("DP_1","00O2TNJGODT0G5Z4TTKYMM5MT","GSON1112030654")</f>
        <v>#NAME?</v>
      </c>
      <c r="R298" s="23" t="e">
        <f ca="1">[1]!BexGetData("DP_1","00O2TNJGODT0G5Z4TTKYMMBYD","GSON1112030654")</f>
        <v>#NAME?</v>
      </c>
      <c r="S298" s="23" t="e">
        <f ca="1">[1]!BexGetData("DP_1","00O2TNJGODT0G5Z4TTKYMMI9X","GSON1112030654")</f>
        <v>#NAME?</v>
      </c>
      <c r="T298" s="28" t="e">
        <f ca="1">[1]!BexGetData("DP_1","00O2TNJGODT0G5Z4TTKYMMOLH","GSON1112030654")</f>
        <v>#NAME?</v>
      </c>
      <c r="U298" s="23" t="e">
        <f ca="1">[1]!BexGetData("DP_1","00O2TNJGODT0G5Z4TTKYMMUX1","GSON1112030654")</f>
        <v>#NAME?</v>
      </c>
      <c r="V298" s="28" t="e">
        <f ca="1">[1]!BexGetData("DP_1","00O2TNJGODT0G5Z4TTKYMN18L","GSON1112030654")</f>
        <v>#NAME?</v>
      </c>
      <c r="W298" s="23" t="e">
        <f ca="1">[1]!BexGetData("DP_1","00O2TNJGODT0G5Z4TTKYMN7K5","GSON1112030654")</f>
        <v>#NAME?</v>
      </c>
    </row>
    <row r="299" spans="1:23" x14ac:dyDescent="0.2">
      <c r="A299" s="36" t="s">
        <v>860</v>
      </c>
      <c r="B299" s="27" t="s">
        <v>861</v>
      </c>
      <c r="C299" s="23" t="e">
        <f ca="1">[1]!BexGetData("DP_1","003N8EMH8GTFRCSWKMPXRR8GU","GSON1112030660")</f>
        <v>#NAME?</v>
      </c>
      <c r="D299" s="23" t="e">
        <f ca="1">[1]!BexGetData("DP_1","003N8EMH8GTFRCSWKMPXRRESE","GSON1112030660")</f>
        <v>#NAME?</v>
      </c>
      <c r="E299" s="23" t="e">
        <f ca="1">[1]!BexGetData("DP_1","003N8EMH8GTFRCSWKMPXRRL3Y","GSON1112030660")</f>
        <v>#NAME?</v>
      </c>
      <c r="F299" s="23" t="e">
        <f ca="1">[1]!BexGetData("DP_1","003N8EMH8GTFRCSWKMPXRRRFI","GSON1112030660")</f>
        <v>#NAME?</v>
      </c>
      <c r="G299" s="23" t="e">
        <f ca="1">[1]!BexGetData("DP_1","003N8EMH8GTFRCSWKMPXRRXR2","GSON1112030660")</f>
        <v>#NAME?</v>
      </c>
      <c r="H299" s="23" t="e">
        <f ca="1">[1]!BexGetData("DP_1","003N8EMH8GTFRCSWKMPXRS42M","GSON1112030660")</f>
        <v>#NAME?</v>
      </c>
      <c r="I299" s="23" t="e">
        <f ca="1">[1]!BexGetData("DP_1","003N8EMH8GTFRCSWKMPXRSAE6","GSON1112030660")</f>
        <v>#NAME?</v>
      </c>
      <c r="J299" s="23" t="e">
        <f ca="1">[1]!BexGetData("DP_1","003N8EMH8GTFRCSWKMPXRSGPQ","GSON1112030660")</f>
        <v>#NAME?</v>
      </c>
      <c r="K299" s="23" t="e">
        <f ca="1">[1]!BexGetData("DP_1","003N8EMH8GTFRIVNUPY288VJH","GSON1112030660")</f>
        <v>#NAME?</v>
      </c>
      <c r="L299" s="23" t="e">
        <f ca="1">[1]!BexGetData("DP_1","003N8EMH8GTFRIVNUPY2891V1","GSON1112030660")</f>
        <v>#NAME?</v>
      </c>
      <c r="M299" s="28" t="e">
        <f ca="1">[1]!BexGetData("DP_1","003N8EMH8GTFRIVOG7KG9IQXA","GSON1112030660")</f>
        <v>#NAME?</v>
      </c>
      <c r="N299" s="23" t="e">
        <f ca="1">[1]!BexGetData("DP_1","003N8EMH8GTFRIVOG7KG9IX8U","GSON1112030660")</f>
        <v>#NAME?</v>
      </c>
      <c r="O299" s="28" t="e">
        <f ca="1">[1]!BexGetData("DP_1","003N8EMH8GTFRIVOG7KG9J3KE","GSON1112030660")</f>
        <v>#NAME?</v>
      </c>
      <c r="P299" s="23" t="e">
        <f ca="1">[1]!BexGetData("DP_1","003N8EMH8GTFRIVOG7KG9J9VY","GSON1112030660")</f>
        <v>#NAME?</v>
      </c>
      <c r="Q299" s="23" t="e">
        <f ca="1">[1]!BexGetData("DP_1","00O2TNJGODT0G5Z4TTKYMM5MT","GSON1112030660")</f>
        <v>#NAME?</v>
      </c>
      <c r="R299" s="23" t="e">
        <f ca="1">[1]!BexGetData("DP_1","00O2TNJGODT0G5Z4TTKYMMBYD","GSON1112030660")</f>
        <v>#NAME?</v>
      </c>
      <c r="S299" s="23" t="e">
        <f ca="1">[1]!BexGetData("DP_1","00O2TNJGODT0G5Z4TTKYMMI9X","GSON1112030660")</f>
        <v>#NAME?</v>
      </c>
      <c r="T299" s="28" t="e">
        <f ca="1">[1]!BexGetData("DP_1","00O2TNJGODT0G5Z4TTKYMMOLH","GSON1112030660")</f>
        <v>#NAME?</v>
      </c>
      <c r="U299" s="23" t="e">
        <f ca="1">[1]!BexGetData("DP_1","00O2TNJGODT0G5Z4TTKYMMUX1","GSON1112030660")</f>
        <v>#NAME?</v>
      </c>
      <c r="V299" s="28" t="e">
        <f ca="1">[1]!BexGetData("DP_1","00O2TNJGODT0G5Z4TTKYMN18L","GSON1112030660")</f>
        <v>#NAME?</v>
      </c>
      <c r="W299" s="23" t="e">
        <f ca="1">[1]!BexGetData("DP_1","00O2TNJGODT0G5Z4TTKYMN7K5","GSON1112030660")</f>
        <v>#NAME?</v>
      </c>
    </row>
    <row r="300" spans="1:23" x14ac:dyDescent="0.2">
      <c r="A300" s="36" t="s">
        <v>862</v>
      </c>
      <c r="B300" s="27" t="s">
        <v>863</v>
      </c>
      <c r="C300" s="23" t="e">
        <f ca="1">[1]!BexGetData("DP_1","003N8EMH8GTFRCSWKMPXRR8GU","GSON1112030661")</f>
        <v>#NAME?</v>
      </c>
      <c r="D300" s="23" t="e">
        <f ca="1">[1]!BexGetData("DP_1","003N8EMH8GTFRCSWKMPXRRESE","GSON1112030661")</f>
        <v>#NAME?</v>
      </c>
      <c r="E300" s="23" t="e">
        <f ca="1">[1]!BexGetData("DP_1","003N8EMH8GTFRCSWKMPXRRL3Y","GSON1112030661")</f>
        <v>#NAME?</v>
      </c>
      <c r="F300" s="23" t="e">
        <f ca="1">[1]!BexGetData("DP_1","003N8EMH8GTFRCSWKMPXRRRFI","GSON1112030661")</f>
        <v>#NAME?</v>
      </c>
      <c r="G300" s="23" t="e">
        <f ca="1">[1]!BexGetData("DP_1","003N8EMH8GTFRCSWKMPXRRXR2","GSON1112030661")</f>
        <v>#NAME?</v>
      </c>
      <c r="H300" s="23" t="e">
        <f ca="1">[1]!BexGetData("DP_1","003N8EMH8GTFRCSWKMPXRS42M","GSON1112030661")</f>
        <v>#NAME?</v>
      </c>
      <c r="I300" s="23" t="e">
        <f ca="1">[1]!BexGetData("DP_1","003N8EMH8GTFRCSWKMPXRSAE6","GSON1112030661")</f>
        <v>#NAME?</v>
      </c>
      <c r="J300" s="23" t="e">
        <f ca="1">[1]!BexGetData("DP_1","003N8EMH8GTFRCSWKMPXRSGPQ","GSON1112030661")</f>
        <v>#NAME?</v>
      </c>
      <c r="K300" s="23" t="e">
        <f ca="1">[1]!BexGetData("DP_1","003N8EMH8GTFRIVNUPY288VJH","GSON1112030661")</f>
        <v>#NAME?</v>
      </c>
      <c r="L300" s="23" t="e">
        <f ca="1">[1]!BexGetData("DP_1","003N8EMH8GTFRIVNUPY2891V1","GSON1112030661")</f>
        <v>#NAME?</v>
      </c>
      <c r="M300" s="28" t="e">
        <f ca="1">[1]!BexGetData("DP_1","003N8EMH8GTFRIVOG7KG9IQXA","GSON1112030661")</f>
        <v>#NAME?</v>
      </c>
      <c r="N300" s="23" t="e">
        <f ca="1">[1]!BexGetData("DP_1","003N8EMH8GTFRIVOG7KG9IX8U","GSON1112030661")</f>
        <v>#NAME?</v>
      </c>
      <c r="O300" s="28" t="e">
        <f ca="1">[1]!BexGetData("DP_1","003N8EMH8GTFRIVOG7KG9J3KE","GSON1112030661")</f>
        <v>#NAME?</v>
      </c>
      <c r="P300" s="23" t="e">
        <f ca="1">[1]!BexGetData("DP_1","003N8EMH8GTFRIVOG7KG9J9VY","GSON1112030661")</f>
        <v>#NAME?</v>
      </c>
      <c r="Q300" s="23" t="e">
        <f ca="1">[1]!BexGetData("DP_1","00O2TNJGODT0G5Z4TTKYMM5MT","GSON1112030661")</f>
        <v>#NAME?</v>
      </c>
      <c r="R300" s="23" t="e">
        <f ca="1">[1]!BexGetData("DP_1","00O2TNJGODT0G5Z4TTKYMMBYD","GSON1112030661")</f>
        <v>#NAME?</v>
      </c>
      <c r="S300" s="23" t="e">
        <f ca="1">[1]!BexGetData("DP_1","00O2TNJGODT0G5Z4TTKYMMI9X","GSON1112030661")</f>
        <v>#NAME?</v>
      </c>
      <c r="T300" s="28" t="e">
        <f ca="1">[1]!BexGetData("DP_1","00O2TNJGODT0G5Z4TTKYMMOLH","GSON1112030661")</f>
        <v>#NAME?</v>
      </c>
      <c r="U300" s="23" t="e">
        <f ca="1">[1]!BexGetData("DP_1","00O2TNJGODT0G5Z4TTKYMMUX1","GSON1112030661")</f>
        <v>#NAME?</v>
      </c>
      <c r="V300" s="28" t="e">
        <f ca="1">[1]!BexGetData("DP_1","00O2TNJGODT0G5Z4TTKYMN18L","GSON1112030661")</f>
        <v>#NAME?</v>
      </c>
      <c r="W300" s="23" t="e">
        <f ca="1">[1]!BexGetData("DP_1","00O2TNJGODT0G5Z4TTKYMN7K5","GSON1112030661")</f>
        <v>#NAME?</v>
      </c>
    </row>
    <row r="301" spans="1:23" x14ac:dyDescent="0.2">
      <c r="A301" s="36" t="s">
        <v>2139</v>
      </c>
      <c r="B301" s="27" t="s">
        <v>2140</v>
      </c>
      <c r="C301" s="23" t="e">
        <f ca="1">[1]!BexGetData("DP_1","003N8EMH8GTFRCSWKMPXRR8GU","GSON1112030662")</f>
        <v>#NAME?</v>
      </c>
      <c r="D301" s="23" t="e">
        <f ca="1">[1]!BexGetData("DP_1","003N8EMH8GTFRCSWKMPXRRESE","GSON1112030662")</f>
        <v>#NAME?</v>
      </c>
      <c r="E301" s="28" t="e">
        <f ca="1">[1]!BexGetData("DP_1","003N8EMH8GTFRCSWKMPXRRL3Y","GSON1112030662")</f>
        <v>#NAME?</v>
      </c>
      <c r="F301" s="24" t="e">
        <f ca="1">[1]!BexGetData("DP_1","003N8EMH8GTFRCSWKMPXRRRFI","GSON1112030662")</f>
        <v>#NAME?</v>
      </c>
      <c r="G301" s="24" t="e">
        <f ca="1">[1]!BexGetData("DP_1","003N8EMH8GTFRCSWKMPXRRXR2","GSON1112030662")</f>
        <v>#NAME?</v>
      </c>
      <c r="H301" s="24" t="e">
        <f ca="1">[1]!BexGetData("DP_1","003N8EMH8GTFRCSWKMPXRS42M","GSON1112030662")</f>
        <v>#NAME?</v>
      </c>
      <c r="I301" s="24" t="e">
        <f ca="1">[1]!BexGetData("DP_1","003N8EMH8GTFRCSWKMPXRSAE6","GSON1112030662")</f>
        <v>#NAME?</v>
      </c>
      <c r="J301" s="24" t="e">
        <f ca="1">[1]!BexGetData("DP_1","003N8EMH8GTFRCSWKMPXRSGPQ","GSON1112030662")</f>
        <v>#NAME?</v>
      </c>
      <c r="K301" s="28" t="e">
        <f ca="1">[1]!BexGetData("DP_1","003N8EMH8GTFRIVNUPY288VJH","GSON1112030662")</f>
        <v>#NAME?</v>
      </c>
      <c r="L301" s="28" t="e">
        <f ca="1">[1]!BexGetData("DP_1","003N8EMH8GTFRIVNUPY2891V1","GSON1112030662")</f>
        <v>#NAME?</v>
      </c>
      <c r="M301" s="28" t="e">
        <f ca="1">[1]!BexGetData("DP_1","003N8EMH8GTFRIVOG7KG9IQXA","GSON1112030662")</f>
        <v>#NAME?</v>
      </c>
      <c r="N301" s="28" t="e">
        <f ca="1">[1]!BexGetData("DP_1","003N8EMH8GTFRIVOG7KG9IX8U","GSON1112030662")</f>
        <v>#NAME?</v>
      </c>
      <c r="O301" s="28" t="e">
        <f ca="1">[1]!BexGetData("DP_1","003N8EMH8GTFRIVOG7KG9J3KE","GSON1112030662")</f>
        <v>#NAME?</v>
      </c>
      <c r="P301" s="28" t="e">
        <f ca="1">[1]!BexGetData("DP_1","003N8EMH8GTFRIVOG7KG9J9VY","GSON1112030662")</f>
        <v>#NAME?</v>
      </c>
      <c r="Q301" s="24" t="e">
        <f ca="1">[1]!BexGetData("DP_1","00O2TNJGODT0G5Z4TTKYMM5MT","GSON1112030662")</f>
        <v>#NAME?</v>
      </c>
      <c r="R301" s="24" t="e">
        <f ca="1">[1]!BexGetData("DP_1","00O2TNJGODT0G5Z4TTKYMMBYD","GSON1112030662")</f>
        <v>#NAME?</v>
      </c>
      <c r="S301" s="24" t="e">
        <f ca="1">[1]!BexGetData("DP_1","00O2TNJGODT0G5Z4TTKYMMI9X","GSON1112030662")</f>
        <v>#NAME?</v>
      </c>
      <c r="T301" s="24" t="e">
        <f ca="1">[1]!BexGetData("DP_1","00O2TNJGODT0G5Z4TTKYMMOLH","GSON1112030662")</f>
        <v>#NAME?</v>
      </c>
      <c r="U301" s="24" t="e">
        <f ca="1">[1]!BexGetData("DP_1","00O2TNJGODT0G5Z4TTKYMMUX1","GSON1112030662")</f>
        <v>#NAME?</v>
      </c>
      <c r="V301" s="24" t="e">
        <f ca="1">[1]!BexGetData("DP_1","00O2TNJGODT0G5Z4TTKYMN18L","GSON1112030662")</f>
        <v>#NAME?</v>
      </c>
      <c r="W301" s="24" t="e">
        <f ca="1">[1]!BexGetData("DP_1","00O2TNJGODT0G5Z4TTKYMN7K5","GSON1112030662")</f>
        <v>#NAME?</v>
      </c>
    </row>
    <row r="302" spans="1:23" x14ac:dyDescent="0.2">
      <c r="A302" s="36" t="s">
        <v>2141</v>
      </c>
      <c r="B302" s="27" t="s">
        <v>2142</v>
      </c>
      <c r="C302" s="23" t="e">
        <f ca="1">[1]!BexGetData("DP_1","003N8EMH8GTFRCSWKMPXRR8GU","GSON1112030663")</f>
        <v>#NAME?</v>
      </c>
      <c r="D302" s="23" t="e">
        <f ca="1">[1]!BexGetData("DP_1","003N8EMH8GTFRCSWKMPXRRESE","GSON1112030663")</f>
        <v>#NAME?</v>
      </c>
      <c r="E302" s="28" t="e">
        <f ca="1">[1]!BexGetData("DP_1","003N8EMH8GTFRCSWKMPXRRL3Y","GSON1112030663")</f>
        <v>#NAME?</v>
      </c>
      <c r="F302" s="28" t="e">
        <f ca="1">[1]!BexGetData("DP_1","003N8EMH8GTFRCSWKMPXRRRFI","GSON1112030663")</f>
        <v>#NAME?</v>
      </c>
      <c r="G302" s="23" t="e">
        <f ca="1">[1]!BexGetData("DP_1","003N8EMH8GTFRCSWKMPXRRXR2","GSON1112030663")</f>
        <v>#NAME?</v>
      </c>
      <c r="H302" s="23" t="e">
        <f ca="1">[1]!BexGetData("DP_1","003N8EMH8GTFRCSWKMPXRS42M","GSON1112030663")</f>
        <v>#NAME?</v>
      </c>
      <c r="I302" s="28" t="e">
        <f ca="1">[1]!BexGetData("DP_1","003N8EMH8GTFRCSWKMPXRSAE6","GSON1112030663")</f>
        <v>#NAME?</v>
      </c>
      <c r="J302" s="24" t="e">
        <f ca="1">[1]!BexGetData("DP_1","003N8EMH8GTFRCSWKMPXRSGPQ","GSON1112030663")</f>
        <v>#NAME?</v>
      </c>
      <c r="K302" s="28" t="e">
        <f ca="1">[1]!BexGetData("DP_1","003N8EMH8GTFRIVNUPY288VJH","GSON1112030663")</f>
        <v>#NAME?</v>
      </c>
      <c r="L302" s="28" t="e">
        <f ca="1">[1]!BexGetData("DP_1","003N8EMH8GTFRIVNUPY2891V1","GSON1112030663")</f>
        <v>#NAME?</v>
      </c>
      <c r="M302" s="28" t="e">
        <f ca="1">[1]!BexGetData("DP_1","003N8EMH8GTFRIVOG7KG9IQXA","GSON1112030663")</f>
        <v>#NAME?</v>
      </c>
      <c r="N302" s="28" t="e">
        <f ca="1">[1]!BexGetData("DP_1","003N8EMH8GTFRIVOG7KG9IX8U","GSON1112030663")</f>
        <v>#NAME?</v>
      </c>
      <c r="O302" s="28" t="e">
        <f ca="1">[1]!BexGetData("DP_1","003N8EMH8GTFRIVOG7KG9J3KE","GSON1112030663")</f>
        <v>#NAME?</v>
      </c>
      <c r="P302" s="28" t="e">
        <f ca="1">[1]!BexGetData("DP_1","003N8EMH8GTFRIVOG7KG9J9VY","GSON1112030663")</f>
        <v>#NAME?</v>
      </c>
      <c r="Q302" s="24" t="e">
        <f ca="1">[1]!BexGetData("DP_1","00O2TNJGODT0G5Z4TTKYMM5MT","GSON1112030663")</f>
        <v>#NAME?</v>
      </c>
      <c r="R302" s="28" t="e">
        <f ca="1">[1]!BexGetData("DP_1","00O2TNJGODT0G5Z4TTKYMMBYD","GSON1112030663")</f>
        <v>#NAME?</v>
      </c>
      <c r="S302" s="28" t="e">
        <f ca="1">[1]!BexGetData("DP_1","00O2TNJGODT0G5Z4TTKYMMI9X","GSON1112030663")</f>
        <v>#NAME?</v>
      </c>
      <c r="T302" s="28" t="e">
        <f ca="1">[1]!BexGetData("DP_1","00O2TNJGODT0G5Z4TTKYMMOLH","GSON1112030663")</f>
        <v>#NAME?</v>
      </c>
      <c r="U302" s="28" t="e">
        <f ca="1">[1]!BexGetData("DP_1","00O2TNJGODT0G5Z4TTKYMMUX1","GSON1112030663")</f>
        <v>#NAME?</v>
      </c>
      <c r="V302" s="28" t="e">
        <f ca="1">[1]!BexGetData("DP_1","00O2TNJGODT0G5Z4TTKYMN18L","GSON1112030663")</f>
        <v>#NAME?</v>
      </c>
      <c r="W302" s="28" t="e">
        <f ca="1">[1]!BexGetData("DP_1","00O2TNJGODT0G5Z4TTKYMN7K5","GSON1112030663")</f>
        <v>#NAME?</v>
      </c>
    </row>
    <row r="303" spans="1:23" x14ac:dyDescent="0.2">
      <c r="A303" s="36" t="s">
        <v>2143</v>
      </c>
      <c r="B303" s="27" t="s">
        <v>2144</v>
      </c>
      <c r="C303" s="23" t="e">
        <f ca="1">[1]!BexGetData("DP_1","003N8EMH8GTFRCSWKMPXRR8GU","GSON1112030664")</f>
        <v>#NAME?</v>
      </c>
      <c r="D303" s="23" t="e">
        <f ca="1">[1]!BexGetData("DP_1","003N8EMH8GTFRCSWKMPXRRESE","GSON1112030664")</f>
        <v>#NAME?</v>
      </c>
      <c r="E303" s="28" t="e">
        <f ca="1">[1]!BexGetData("DP_1","003N8EMH8GTFRCSWKMPXRRL3Y","GSON1112030664")</f>
        <v>#NAME?</v>
      </c>
      <c r="F303" s="28" t="e">
        <f ca="1">[1]!BexGetData("DP_1","003N8EMH8GTFRCSWKMPXRRRFI","GSON1112030664")</f>
        <v>#NAME?</v>
      </c>
      <c r="G303" s="23" t="e">
        <f ca="1">[1]!BexGetData("DP_1","003N8EMH8GTFRCSWKMPXRRXR2","GSON1112030664")</f>
        <v>#NAME?</v>
      </c>
      <c r="H303" s="23" t="e">
        <f ca="1">[1]!BexGetData("DP_1","003N8EMH8GTFRCSWKMPXRS42M","GSON1112030664")</f>
        <v>#NAME?</v>
      </c>
      <c r="I303" s="28" t="e">
        <f ca="1">[1]!BexGetData("DP_1","003N8EMH8GTFRCSWKMPXRSAE6","GSON1112030664")</f>
        <v>#NAME?</v>
      </c>
      <c r="J303" s="24" t="e">
        <f ca="1">[1]!BexGetData("DP_1","003N8EMH8GTFRCSWKMPXRSGPQ","GSON1112030664")</f>
        <v>#NAME?</v>
      </c>
      <c r="K303" s="28" t="e">
        <f ca="1">[1]!BexGetData("DP_1","003N8EMH8GTFRIVNUPY288VJH","GSON1112030664")</f>
        <v>#NAME?</v>
      </c>
      <c r="L303" s="28" t="e">
        <f ca="1">[1]!BexGetData("DP_1","003N8EMH8GTFRIVNUPY2891V1","GSON1112030664")</f>
        <v>#NAME?</v>
      </c>
      <c r="M303" s="28" t="e">
        <f ca="1">[1]!BexGetData("DP_1","003N8EMH8GTFRIVOG7KG9IQXA","GSON1112030664")</f>
        <v>#NAME?</v>
      </c>
      <c r="N303" s="28" t="e">
        <f ca="1">[1]!BexGetData("DP_1","003N8EMH8GTFRIVOG7KG9IX8U","GSON1112030664")</f>
        <v>#NAME?</v>
      </c>
      <c r="O303" s="28" t="e">
        <f ca="1">[1]!BexGetData("DP_1","003N8EMH8GTFRIVOG7KG9J3KE","GSON1112030664")</f>
        <v>#NAME?</v>
      </c>
      <c r="P303" s="28" t="e">
        <f ca="1">[1]!BexGetData("DP_1","003N8EMH8GTFRIVOG7KG9J9VY","GSON1112030664")</f>
        <v>#NAME?</v>
      </c>
      <c r="Q303" s="24" t="e">
        <f ca="1">[1]!BexGetData("DP_1","00O2TNJGODT0G5Z4TTKYMM5MT","GSON1112030664")</f>
        <v>#NAME?</v>
      </c>
      <c r="R303" s="28" t="e">
        <f ca="1">[1]!BexGetData("DP_1","00O2TNJGODT0G5Z4TTKYMMBYD","GSON1112030664")</f>
        <v>#NAME?</v>
      </c>
      <c r="S303" s="28" t="e">
        <f ca="1">[1]!BexGetData("DP_1","00O2TNJGODT0G5Z4TTKYMMI9X","GSON1112030664")</f>
        <v>#NAME?</v>
      </c>
      <c r="T303" s="28" t="e">
        <f ca="1">[1]!BexGetData("DP_1","00O2TNJGODT0G5Z4TTKYMMOLH","GSON1112030664")</f>
        <v>#NAME?</v>
      </c>
      <c r="U303" s="28" t="e">
        <f ca="1">[1]!BexGetData("DP_1","00O2TNJGODT0G5Z4TTKYMMUX1","GSON1112030664")</f>
        <v>#NAME?</v>
      </c>
      <c r="V303" s="28" t="e">
        <f ca="1">[1]!BexGetData("DP_1","00O2TNJGODT0G5Z4TTKYMN18L","GSON1112030664")</f>
        <v>#NAME?</v>
      </c>
      <c r="W303" s="28" t="e">
        <f ca="1">[1]!BexGetData("DP_1","00O2TNJGODT0G5Z4TTKYMN7K5","GSON1112030664")</f>
        <v>#NAME?</v>
      </c>
    </row>
    <row r="304" spans="1:23" x14ac:dyDescent="0.2">
      <c r="A304" s="36" t="s">
        <v>207</v>
      </c>
      <c r="B304" s="27" t="s">
        <v>208</v>
      </c>
      <c r="C304" s="23" t="e">
        <f ca="1">[1]!BexGetData("DP_1","003N8EMH8GTFRCSWKMPXRR8GU","GSON1112030670")</f>
        <v>#NAME?</v>
      </c>
      <c r="D304" s="23" t="e">
        <f ca="1">[1]!BexGetData("DP_1","003N8EMH8GTFRCSWKMPXRRESE","GSON1112030670")</f>
        <v>#NAME?</v>
      </c>
      <c r="E304" s="23" t="e">
        <f ca="1">[1]!BexGetData("DP_1","003N8EMH8GTFRCSWKMPXRRL3Y","GSON1112030670")</f>
        <v>#NAME?</v>
      </c>
      <c r="F304" s="23" t="e">
        <f ca="1">[1]!BexGetData("DP_1","003N8EMH8GTFRCSWKMPXRRRFI","GSON1112030670")</f>
        <v>#NAME?</v>
      </c>
      <c r="G304" s="23" t="e">
        <f ca="1">[1]!BexGetData("DP_1","003N8EMH8GTFRCSWKMPXRRXR2","GSON1112030670")</f>
        <v>#NAME?</v>
      </c>
      <c r="H304" s="23" t="e">
        <f ca="1">[1]!BexGetData("DP_1","003N8EMH8GTFRCSWKMPXRS42M","GSON1112030670")</f>
        <v>#NAME?</v>
      </c>
      <c r="I304" s="23" t="e">
        <f ca="1">[1]!BexGetData("DP_1","003N8EMH8GTFRCSWKMPXRSAE6","GSON1112030670")</f>
        <v>#NAME?</v>
      </c>
      <c r="J304" s="23" t="e">
        <f ca="1">[1]!BexGetData("DP_1","003N8EMH8GTFRCSWKMPXRSGPQ","GSON1112030670")</f>
        <v>#NAME?</v>
      </c>
      <c r="K304" s="23" t="e">
        <f ca="1">[1]!BexGetData("DP_1","003N8EMH8GTFRIVNUPY288VJH","GSON1112030670")</f>
        <v>#NAME?</v>
      </c>
      <c r="L304" s="23" t="e">
        <f ca="1">[1]!BexGetData("DP_1","003N8EMH8GTFRIVNUPY2891V1","GSON1112030670")</f>
        <v>#NAME?</v>
      </c>
      <c r="M304" s="28" t="e">
        <f ca="1">[1]!BexGetData("DP_1","003N8EMH8GTFRIVOG7KG9IQXA","GSON1112030670")</f>
        <v>#NAME?</v>
      </c>
      <c r="N304" s="23" t="e">
        <f ca="1">[1]!BexGetData("DP_1","003N8EMH8GTFRIVOG7KG9IX8U","GSON1112030670")</f>
        <v>#NAME?</v>
      </c>
      <c r="O304" s="28" t="e">
        <f ca="1">[1]!BexGetData("DP_1","003N8EMH8GTFRIVOG7KG9J3KE","GSON1112030670")</f>
        <v>#NAME?</v>
      </c>
      <c r="P304" s="23" t="e">
        <f ca="1">[1]!BexGetData("DP_1","003N8EMH8GTFRIVOG7KG9J9VY","GSON1112030670")</f>
        <v>#NAME?</v>
      </c>
      <c r="Q304" s="23" t="e">
        <f ca="1">[1]!BexGetData("DP_1","00O2TNJGODT0G5Z4TTKYMM5MT","GSON1112030670")</f>
        <v>#NAME?</v>
      </c>
      <c r="R304" s="23" t="e">
        <f ca="1">[1]!BexGetData("DP_1","00O2TNJGODT0G5Z4TTKYMMBYD","GSON1112030670")</f>
        <v>#NAME?</v>
      </c>
      <c r="S304" s="23" t="e">
        <f ca="1">[1]!BexGetData("DP_1","00O2TNJGODT0G5Z4TTKYMMI9X","GSON1112030670")</f>
        <v>#NAME?</v>
      </c>
      <c r="T304" s="23" t="e">
        <f ca="1">[1]!BexGetData("DP_1","00O2TNJGODT0G5Z4TTKYMMOLH","GSON1112030670")</f>
        <v>#NAME?</v>
      </c>
      <c r="U304" s="28" t="e">
        <f ca="1">[1]!BexGetData("DP_1","00O2TNJGODT0G5Z4TTKYMMUX1","GSON1112030670")</f>
        <v>#NAME?</v>
      </c>
      <c r="V304" s="23" t="e">
        <f ca="1">[1]!BexGetData("DP_1","00O2TNJGODT0G5Z4TTKYMN18L","GSON1112030670")</f>
        <v>#NAME?</v>
      </c>
      <c r="W304" s="28" t="e">
        <f ca="1">[1]!BexGetData("DP_1","00O2TNJGODT0G5Z4TTKYMN7K5","GSON1112030670")</f>
        <v>#NAME?</v>
      </c>
    </row>
    <row r="305" spans="1:23" x14ac:dyDescent="0.2">
      <c r="A305" s="36" t="s">
        <v>209</v>
      </c>
      <c r="B305" s="27" t="s">
        <v>210</v>
      </c>
      <c r="C305" s="23" t="e">
        <f ca="1">[1]!BexGetData("DP_1","003N8EMH8GTFRCSWKMPXRR8GU","GSON1112030671")</f>
        <v>#NAME?</v>
      </c>
      <c r="D305" s="23" t="e">
        <f ca="1">[1]!BexGetData("DP_1","003N8EMH8GTFRCSWKMPXRRESE","GSON1112030671")</f>
        <v>#NAME?</v>
      </c>
      <c r="E305" s="23" t="e">
        <f ca="1">[1]!BexGetData("DP_1","003N8EMH8GTFRCSWKMPXRRL3Y","GSON1112030671")</f>
        <v>#NAME?</v>
      </c>
      <c r="F305" s="23" t="e">
        <f ca="1">[1]!BexGetData("DP_1","003N8EMH8GTFRCSWKMPXRRRFI","GSON1112030671")</f>
        <v>#NAME?</v>
      </c>
      <c r="G305" s="23" t="e">
        <f ca="1">[1]!BexGetData("DP_1","003N8EMH8GTFRCSWKMPXRRXR2","GSON1112030671")</f>
        <v>#NAME?</v>
      </c>
      <c r="H305" s="23" t="e">
        <f ca="1">[1]!BexGetData("DP_1","003N8EMH8GTFRCSWKMPXRS42M","GSON1112030671")</f>
        <v>#NAME?</v>
      </c>
      <c r="I305" s="23" t="e">
        <f ca="1">[1]!BexGetData("DP_1","003N8EMH8GTFRCSWKMPXRSAE6","GSON1112030671")</f>
        <v>#NAME?</v>
      </c>
      <c r="J305" s="24" t="e">
        <f ca="1">[1]!BexGetData("DP_1","003N8EMH8GTFRCSWKMPXRSGPQ","GSON1112030671")</f>
        <v>#NAME?</v>
      </c>
      <c r="K305" s="23" t="e">
        <f ca="1">[1]!BexGetData("DP_1","003N8EMH8GTFRIVNUPY288VJH","GSON1112030671")</f>
        <v>#NAME?</v>
      </c>
      <c r="L305" s="23" t="e">
        <f ca="1">[1]!BexGetData("DP_1","003N8EMH8GTFRIVNUPY2891V1","GSON1112030671")</f>
        <v>#NAME?</v>
      </c>
      <c r="M305" s="23" t="e">
        <f ca="1">[1]!BexGetData("DP_1","003N8EMH8GTFRIVOG7KG9IQXA","GSON1112030671")</f>
        <v>#NAME?</v>
      </c>
      <c r="N305" s="28" t="e">
        <f ca="1">[1]!BexGetData("DP_1","003N8EMH8GTFRIVOG7KG9IX8U","GSON1112030671")</f>
        <v>#NAME?</v>
      </c>
      <c r="O305" s="23" t="e">
        <f ca="1">[1]!BexGetData("DP_1","003N8EMH8GTFRIVOG7KG9J3KE","GSON1112030671")</f>
        <v>#NAME?</v>
      </c>
      <c r="P305" s="28" t="e">
        <f ca="1">[1]!BexGetData("DP_1","003N8EMH8GTFRIVOG7KG9J9VY","GSON1112030671")</f>
        <v>#NAME?</v>
      </c>
      <c r="Q305" s="24" t="e">
        <f ca="1">[1]!BexGetData("DP_1","00O2TNJGODT0G5Z4TTKYMM5MT","GSON1112030671")</f>
        <v>#NAME?</v>
      </c>
      <c r="R305" s="23" t="e">
        <f ca="1">[1]!BexGetData("DP_1","00O2TNJGODT0G5Z4TTKYMMBYD","GSON1112030671")</f>
        <v>#NAME?</v>
      </c>
      <c r="S305" s="23" t="e">
        <f ca="1">[1]!BexGetData("DP_1","00O2TNJGODT0G5Z4TTKYMMI9X","GSON1112030671")</f>
        <v>#NAME?</v>
      </c>
      <c r="T305" s="28" t="e">
        <f ca="1">[1]!BexGetData("DP_1","00O2TNJGODT0G5Z4TTKYMMOLH","GSON1112030671")</f>
        <v>#NAME?</v>
      </c>
      <c r="U305" s="23" t="e">
        <f ca="1">[1]!BexGetData("DP_1","00O2TNJGODT0G5Z4TTKYMMUX1","GSON1112030671")</f>
        <v>#NAME?</v>
      </c>
      <c r="V305" s="28" t="e">
        <f ca="1">[1]!BexGetData("DP_1","00O2TNJGODT0G5Z4TTKYMN18L","GSON1112030671")</f>
        <v>#NAME?</v>
      </c>
      <c r="W305" s="23" t="e">
        <f ca="1">[1]!BexGetData("DP_1","00O2TNJGODT0G5Z4TTKYMN7K5","GSON1112030671")</f>
        <v>#NAME?</v>
      </c>
    </row>
    <row r="306" spans="1:23" x14ac:dyDescent="0.2">
      <c r="A306" s="36" t="s">
        <v>2145</v>
      </c>
      <c r="B306" s="27" t="s">
        <v>2146</v>
      </c>
      <c r="C306" s="23" t="e">
        <f ca="1">[1]!BexGetData("DP_1","003N8EMH8GTFRCSWKMPXRR8GU","GSON1112030672")</f>
        <v>#NAME?</v>
      </c>
      <c r="D306" s="23" t="e">
        <f ca="1">[1]!BexGetData("DP_1","003N8EMH8GTFRCSWKMPXRRESE","GSON1112030672")</f>
        <v>#NAME?</v>
      </c>
      <c r="E306" s="23" t="e">
        <f ca="1">[1]!BexGetData("DP_1","003N8EMH8GTFRCSWKMPXRRL3Y","GSON1112030672")</f>
        <v>#NAME?</v>
      </c>
      <c r="F306" s="23" t="e">
        <f ca="1">[1]!BexGetData("DP_1","003N8EMH8GTFRCSWKMPXRRRFI","GSON1112030672")</f>
        <v>#NAME?</v>
      </c>
      <c r="G306" s="23" t="e">
        <f ca="1">[1]!BexGetData("DP_1","003N8EMH8GTFRCSWKMPXRRXR2","GSON1112030672")</f>
        <v>#NAME?</v>
      </c>
      <c r="H306" s="23" t="e">
        <f ca="1">[1]!BexGetData("DP_1","003N8EMH8GTFRCSWKMPXRS42M","GSON1112030672")</f>
        <v>#NAME?</v>
      </c>
      <c r="I306" s="23" t="e">
        <f ca="1">[1]!BexGetData("DP_1","003N8EMH8GTFRCSWKMPXRSAE6","GSON1112030672")</f>
        <v>#NAME?</v>
      </c>
      <c r="J306" s="24" t="e">
        <f ca="1">[1]!BexGetData("DP_1","003N8EMH8GTFRCSWKMPXRSGPQ","GSON1112030672")</f>
        <v>#NAME?</v>
      </c>
      <c r="K306" s="23" t="e">
        <f ca="1">[1]!BexGetData("DP_1","003N8EMH8GTFRIVNUPY288VJH","GSON1112030672")</f>
        <v>#NAME?</v>
      </c>
      <c r="L306" s="23" t="e">
        <f ca="1">[1]!BexGetData("DP_1","003N8EMH8GTFRIVNUPY2891V1","GSON1112030672")</f>
        <v>#NAME?</v>
      </c>
      <c r="M306" s="23" t="e">
        <f ca="1">[1]!BexGetData("DP_1","003N8EMH8GTFRIVOG7KG9IQXA","GSON1112030672")</f>
        <v>#NAME?</v>
      </c>
      <c r="N306" s="28" t="e">
        <f ca="1">[1]!BexGetData("DP_1","003N8EMH8GTFRIVOG7KG9IX8U","GSON1112030672")</f>
        <v>#NAME?</v>
      </c>
      <c r="O306" s="23" t="e">
        <f ca="1">[1]!BexGetData("DP_1","003N8EMH8GTFRIVOG7KG9J3KE","GSON1112030672")</f>
        <v>#NAME?</v>
      </c>
      <c r="P306" s="28" t="e">
        <f ca="1">[1]!BexGetData("DP_1","003N8EMH8GTFRIVOG7KG9J9VY","GSON1112030672")</f>
        <v>#NAME?</v>
      </c>
      <c r="Q306" s="24" t="e">
        <f ca="1">[1]!BexGetData("DP_1","00O2TNJGODT0G5Z4TTKYMM5MT","GSON1112030672")</f>
        <v>#NAME?</v>
      </c>
      <c r="R306" s="23" t="e">
        <f ca="1">[1]!BexGetData("DP_1","00O2TNJGODT0G5Z4TTKYMMBYD","GSON1112030672")</f>
        <v>#NAME?</v>
      </c>
      <c r="S306" s="23" t="e">
        <f ca="1">[1]!BexGetData("DP_1","00O2TNJGODT0G5Z4TTKYMMI9X","GSON1112030672")</f>
        <v>#NAME?</v>
      </c>
      <c r="T306" s="28" t="e">
        <f ca="1">[1]!BexGetData("DP_1","00O2TNJGODT0G5Z4TTKYMMOLH","GSON1112030672")</f>
        <v>#NAME?</v>
      </c>
      <c r="U306" s="23" t="e">
        <f ca="1">[1]!BexGetData("DP_1","00O2TNJGODT0G5Z4TTKYMMUX1","GSON1112030672")</f>
        <v>#NAME?</v>
      </c>
      <c r="V306" s="28" t="e">
        <f ca="1">[1]!BexGetData("DP_1","00O2TNJGODT0G5Z4TTKYMN18L","GSON1112030672")</f>
        <v>#NAME?</v>
      </c>
      <c r="W306" s="23" t="e">
        <f ca="1">[1]!BexGetData("DP_1","00O2TNJGODT0G5Z4TTKYMN7K5","GSON1112030672")</f>
        <v>#NAME?</v>
      </c>
    </row>
    <row r="307" spans="1:23" x14ac:dyDescent="0.2">
      <c r="A307" s="36" t="s">
        <v>864</v>
      </c>
      <c r="B307" s="27" t="s">
        <v>865</v>
      </c>
      <c r="C307" s="23" t="e">
        <f ca="1">[1]!BexGetData("DP_1","003N8EMH8GTFRCSWKMPXRR8GU","GSON1112030673")</f>
        <v>#NAME?</v>
      </c>
      <c r="D307" s="23" t="e">
        <f ca="1">[1]!BexGetData("DP_1","003N8EMH8GTFRCSWKMPXRRESE","GSON1112030673")</f>
        <v>#NAME?</v>
      </c>
      <c r="E307" s="28" t="e">
        <f ca="1">[1]!BexGetData("DP_1","003N8EMH8GTFRCSWKMPXRRL3Y","GSON1112030673")</f>
        <v>#NAME?</v>
      </c>
      <c r="F307" s="23" t="e">
        <f ca="1">[1]!BexGetData("DP_1","003N8EMH8GTFRCSWKMPXRRRFI","GSON1112030673")</f>
        <v>#NAME?</v>
      </c>
      <c r="G307" s="23" t="e">
        <f ca="1">[1]!BexGetData("DP_1","003N8EMH8GTFRCSWKMPXRRXR2","GSON1112030673")</f>
        <v>#NAME?</v>
      </c>
      <c r="H307" s="23" t="e">
        <f ca="1">[1]!BexGetData("DP_1","003N8EMH8GTFRCSWKMPXRS42M","GSON1112030673")</f>
        <v>#NAME?</v>
      </c>
      <c r="I307" s="23" t="e">
        <f ca="1">[1]!BexGetData("DP_1","003N8EMH8GTFRCSWKMPXRSAE6","GSON1112030673")</f>
        <v>#NAME?</v>
      </c>
      <c r="J307" s="24" t="e">
        <f ca="1">[1]!BexGetData("DP_1","003N8EMH8GTFRCSWKMPXRSGPQ","GSON1112030673")</f>
        <v>#NAME?</v>
      </c>
      <c r="K307" s="23" t="e">
        <f ca="1">[1]!BexGetData("DP_1","003N8EMH8GTFRIVNUPY288VJH","GSON1112030673")</f>
        <v>#NAME?</v>
      </c>
      <c r="L307" s="23" t="e">
        <f ca="1">[1]!BexGetData("DP_1","003N8EMH8GTFRIVNUPY2891V1","GSON1112030673")</f>
        <v>#NAME?</v>
      </c>
      <c r="M307" s="23" t="e">
        <f ca="1">[1]!BexGetData("DP_1","003N8EMH8GTFRIVOG7KG9IQXA","GSON1112030673")</f>
        <v>#NAME?</v>
      </c>
      <c r="N307" s="28" t="e">
        <f ca="1">[1]!BexGetData("DP_1","003N8EMH8GTFRIVOG7KG9IX8U","GSON1112030673")</f>
        <v>#NAME?</v>
      </c>
      <c r="O307" s="23" t="e">
        <f ca="1">[1]!BexGetData("DP_1","003N8EMH8GTFRIVOG7KG9J3KE","GSON1112030673")</f>
        <v>#NAME?</v>
      </c>
      <c r="P307" s="28" t="e">
        <f ca="1">[1]!BexGetData("DP_1","003N8EMH8GTFRIVOG7KG9J9VY","GSON1112030673")</f>
        <v>#NAME?</v>
      </c>
      <c r="Q307" s="24" t="e">
        <f ca="1">[1]!BexGetData("DP_1","00O2TNJGODT0G5Z4TTKYMM5MT","GSON1112030673")</f>
        <v>#NAME?</v>
      </c>
      <c r="R307" s="23" t="e">
        <f ca="1">[1]!BexGetData("DP_1","00O2TNJGODT0G5Z4TTKYMMBYD","GSON1112030673")</f>
        <v>#NAME?</v>
      </c>
      <c r="S307" s="23" t="e">
        <f ca="1">[1]!BexGetData("DP_1","00O2TNJGODT0G5Z4TTKYMMI9X","GSON1112030673")</f>
        <v>#NAME?</v>
      </c>
      <c r="T307" s="28" t="e">
        <f ca="1">[1]!BexGetData("DP_1","00O2TNJGODT0G5Z4TTKYMMOLH","GSON1112030673")</f>
        <v>#NAME?</v>
      </c>
      <c r="U307" s="23" t="e">
        <f ca="1">[1]!BexGetData("DP_1","00O2TNJGODT0G5Z4TTKYMMUX1","GSON1112030673")</f>
        <v>#NAME?</v>
      </c>
      <c r="V307" s="28" t="e">
        <f ca="1">[1]!BexGetData("DP_1","00O2TNJGODT0G5Z4TTKYMN18L","GSON1112030673")</f>
        <v>#NAME?</v>
      </c>
      <c r="W307" s="23" t="e">
        <f ca="1">[1]!BexGetData("DP_1","00O2TNJGODT0G5Z4TTKYMN7K5","GSON1112030673")</f>
        <v>#NAME?</v>
      </c>
    </row>
    <row r="308" spans="1:23" x14ac:dyDescent="0.2">
      <c r="A308" s="36" t="s">
        <v>2147</v>
      </c>
      <c r="B308" s="27" t="s">
        <v>866</v>
      </c>
      <c r="C308" s="23" t="e">
        <f ca="1">[1]!BexGetData("DP_1","003N8EMH8GTFRCSWKMPXRR8GU","GSON1112030674")</f>
        <v>#NAME?</v>
      </c>
      <c r="D308" s="23" t="e">
        <f ca="1">[1]!BexGetData("DP_1","003N8EMH8GTFRCSWKMPXRRESE","GSON1112030674")</f>
        <v>#NAME?</v>
      </c>
      <c r="E308" s="28" t="e">
        <f ca="1">[1]!BexGetData("DP_1","003N8EMH8GTFRCSWKMPXRRL3Y","GSON1112030674")</f>
        <v>#NAME?</v>
      </c>
      <c r="F308" s="28" t="e">
        <f ca="1">[1]!BexGetData("DP_1","003N8EMH8GTFRCSWKMPXRRRFI","GSON1112030674")</f>
        <v>#NAME?</v>
      </c>
      <c r="G308" s="23" t="e">
        <f ca="1">[1]!BexGetData("DP_1","003N8EMH8GTFRCSWKMPXRRXR2","GSON1112030674")</f>
        <v>#NAME?</v>
      </c>
      <c r="H308" s="23" t="e">
        <f ca="1">[1]!BexGetData("DP_1","003N8EMH8GTFRCSWKMPXRS42M","GSON1112030674")</f>
        <v>#NAME?</v>
      </c>
      <c r="I308" s="28" t="e">
        <f ca="1">[1]!BexGetData("DP_1","003N8EMH8GTFRCSWKMPXRSAE6","GSON1112030674")</f>
        <v>#NAME?</v>
      </c>
      <c r="J308" s="24" t="e">
        <f ca="1">[1]!BexGetData("DP_1","003N8EMH8GTFRCSWKMPXRSGPQ","GSON1112030674")</f>
        <v>#NAME?</v>
      </c>
      <c r="K308" s="28" t="e">
        <f ca="1">[1]!BexGetData("DP_1","003N8EMH8GTFRIVNUPY288VJH","GSON1112030674")</f>
        <v>#NAME?</v>
      </c>
      <c r="L308" s="28" t="e">
        <f ca="1">[1]!BexGetData("DP_1","003N8EMH8GTFRIVNUPY2891V1","GSON1112030674")</f>
        <v>#NAME?</v>
      </c>
      <c r="M308" s="28" t="e">
        <f ca="1">[1]!BexGetData("DP_1","003N8EMH8GTFRIVOG7KG9IQXA","GSON1112030674")</f>
        <v>#NAME?</v>
      </c>
      <c r="N308" s="28" t="e">
        <f ca="1">[1]!BexGetData("DP_1","003N8EMH8GTFRIVOG7KG9IX8U","GSON1112030674")</f>
        <v>#NAME?</v>
      </c>
      <c r="O308" s="28" t="e">
        <f ca="1">[1]!BexGetData("DP_1","003N8EMH8GTFRIVOG7KG9J3KE","GSON1112030674")</f>
        <v>#NAME?</v>
      </c>
      <c r="P308" s="28" t="e">
        <f ca="1">[1]!BexGetData("DP_1","003N8EMH8GTFRIVOG7KG9J9VY","GSON1112030674")</f>
        <v>#NAME?</v>
      </c>
      <c r="Q308" s="24" t="e">
        <f ca="1">[1]!BexGetData("DP_1","00O2TNJGODT0G5Z4TTKYMM5MT","GSON1112030674")</f>
        <v>#NAME?</v>
      </c>
      <c r="R308" s="28" t="e">
        <f ca="1">[1]!BexGetData("DP_1","00O2TNJGODT0G5Z4TTKYMMBYD","GSON1112030674")</f>
        <v>#NAME?</v>
      </c>
      <c r="S308" s="28" t="e">
        <f ca="1">[1]!BexGetData("DP_1","00O2TNJGODT0G5Z4TTKYMMI9X","GSON1112030674")</f>
        <v>#NAME?</v>
      </c>
      <c r="T308" s="28" t="e">
        <f ca="1">[1]!BexGetData("DP_1","00O2TNJGODT0G5Z4TTKYMMOLH","GSON1112030674")</f>
        <v>#NAME?</v>
      </c>
      <c r="U308" s="28" t="e">
        <f ca="1">[1]!BexGetData("DP_1","00O2TNJGODT0G5Z4TTKYMMUX1","GSON1112030674")</f>
        <v>#NAME?</v>
      </c>
      <c r="V308" s="28" t="e">
        <f ca="1">[1]!BexGetData("DP_1","00O2TNJGODT0G5Z4TTKYMN18L","GSON1112030674")</f>
        <v>#NAME?</v>
      </c>
      <c r="W308" s="28" t="e">
        <f ca="1">[1]!BexGetData("DP_1","00O2TNJGODT0G5Z4TTKYMN7K5","GSON1112030674")</f>
        <v>#NAME?</v>
      </c>
    </row>
    <row r="309" spans="1:23" x14ac:dyDescent="0.2">
      <c r="A309" s="36" t="s">
        <v>867</v>
      </c>
      <c r="B309" s="27" t="s">
        <v>868</v>
      </c>
      <c r="C309" s="23" t="e">
        <f ca="1">[1]!BexGetData("DP_1","003N8EMH8GTFRCSWKMPXRR8GU","GSON1112030680")</f>
        <v>#NAME?</v>
      </c>
      <c r="D309" s="23" t="e">
        <f ca="1">[1]!BexGetData("DP_1","003N8EMH8GTFRCSWKMPXRRESE","GSON1112030680")</f>
        <v>#NAME?</v>
      </c>
      <c r="E309" s="23" t="e">
        <f ca="1">[1]!BexGetData("DP_1","003N8EMH8GTFRCSWKMPXRRL3Y","GSON1112030680")</f>
        <v>#NAME?</v>
      </c>
      <c r="F309" s="23" t="e">
        <f ca="1">[1]!BexGetData("DP_1","003N8EMH8GTFRCSWKMPXRRRFI","GSON1112030680")</f>
        <v>#NAME?</v>
      </c>
      <c r="G309" s="23" t="e">
        <f ca="1">[1]!BexGetData("DP_1","003N8EMH8GTFRCSWKMPXRRXR2","GSON1112030680")</f>
        <v>#NAME?</v>
      </c>
      <c r="H309" s="23" t="e">
        <f ca="1">[1]!BexGetData("DP_1","003N8EMH8GTFRCSWKMPXRS42M","GSON1112030680")</f>
        <v>#NAME?</v>
      </c>
      <c r="I309" s="23" t="e">
        <f ca="1">[1]!BexGetData("DP_1","003N8EMH8GTFRCSWKMPXRSAE6","GSON1112030680")</f>
        <v>#NAME?</v>
      </c>
      <c r="J309" s="23" t="e">
        <f ca="1">[1]!BexGetData("DP_1","003N8EMH8GTFRCSWKMPXRSGPQ","GSON1112030680")</f>
        <v>#NAME?</v>
      </c>
      <c r="K309" s="23" t="e">
        <f ca="1">[1]!BexGetData("DP_1","003N8EMH8GTFRIVNUPY288VJH","GSON1112030680")</f>
        <v>#NAME?</v>
      </c>
      <c r="L309" s="23" t="e">
        <f ca="1">[1]!BexGetData("DP_1","003N8EMH8GTFRIVNUPY2891V1","GSON1112030680")</f>
        <v>#NAME?</v>
      </c>
      <c r="M309" s="28" t="e">
        <f ca="1">[1]!BexGetData("DP_1","003N8EMH8GTFRIVOG7KG9IQXA","GSON1112030680")</f>
        <v>#NAME?</v>
      </c>
      <c r="N309" s="23" t="e">
        <f ca="1">[1]!BexGetData("DP_1","003N8EMH8GTFRIVOG7KG9IX8U","GSON1112030680")</f>
        <v>#NAME?</v>
      </c>
      <c r="O309" s="28" t="e">
        <f ca="1">[1]!BexGetData("DP_1","003N8EMH8GTFRIVOG7KG9J3KE","GSON1112030680")</f>
        <v>#NAME?</v>
      </c>
      <c r="P309" s="23" t="e">
        <f ca="1">[1]!BexGetData("DP_1","003N8EMH8GTFRIVOG7KG9J9VY","GSON1112030680")</f>
        <v>#NAME?</v>
      </c>
      <c r="Q309" s="23" t="e">
        <f ca="1">[1]!BexGetData("DP_1","00O2TNJGODT0G5Z4TTKYMM5MT","GSON1112030680")</f>
        <v>#NAME?</v>
      </c>
      <c r="R309" s="23" t="e">
        <f ca="1">[1]!BexGetData("DP_1","00O2TNJGODT0G5Z4TTKYMMBYD","GSON1112030680")</f>
        <v>#NAME?</v>
      </c>
      <c r="S309" s="23" t="e">
        <f ca="1">[1]!BexGetData("DP_1","00O2TNJGODT0G5Z4TTKYMMI9X","GSON1112030680")</f>
        <v>#NAME?</v>
      </c>
      <c r="T309" s="23" t="e">
        <f ca="1">[1]!BexGetData("DP_1","00O2TNJGODT0G5Z4TTKYMMOLH","GSON1112030680")</f>
        <v>#NAME?</v>
      </c>
      <c r="U309" s="28" t="e">
        <f ca="1">[1]!BexGetData("DP_1","00O2TNJGODT0G5Z4TTKYMMUX1","GSON1112030680")</f>
        <v>#NAME?</v>
      </c>
      <c r="V309" s="23" t="e">
        <f ca="1">[1]!BexGetData("DP_1","00O2TNJGODT0G5Z4TTKYMN18L","GSON1112030680")</f>
        <v>#NAME?</v>
      </c>
      <c r="W309" s="28" t="e">
        <f ca="1">[1]!BexGetData("DP_1","00O2TNJGODT0G5Z4TTKYMN7K5","GSON1112030680")</f>
        <v>#NAME?</v>
      </c>
    </row>
    <row r="310" spans="1:23" x14ac:dyDescent="0.2">
      <c r="A310" s="36" t="s">
        <v>869</v>
      </c>
      <c r="B310" s="27" t="s">
        <v>870</v>
      </c>
      <c r="C310" s="23" t="e">
        <f ca="1">[1]!BexGetData("DP_1","003N8EMH8GTFRCSWKMPXRR8GU","GSON1112030681")</f>
        <v>#NAME?</v>
      </c>
      <c r="D310" s="23" t="e">
        <f ca="1">[1]!BexGetData("DP_1","003N8EMH8GTFRCSWKMPXRRESE","GSON1112030681")</f>
        <v>#NAME?</v>
      </c>
      <c r="E310" s="23" t="e">
        <f ca="1">[1]!BexGetData("DP_1","003N8EMH8GTFRCSWKMPXRRL3Y","GSON1112030681")</f>
        <v>#NAME?</v>
      </c>
      <c r="F310" s="23" t="e">
        <f ca="1">[1]!BexGetData("DP_1","003N8EMH8GTFRCSWKMPXRRRFI","GSON1112030681")</f>
        <v>#NAME?</v>
      </c>
      <c r="G310" s="23" t="e">
        <f ca="1">[1]!BexGetData("DP_1","003N8EMH8GTFRCSWKMPXRRXR2","GSON1112030681")</f>
        <v>#NAME?</v>
      </c>
      <c r="H310" s="23" t="e">
        <f ca="1">[1]!BexGetData("DP_1","003N8EMH8GTFRCSWKMPXRS42M","GSON1112030681")</f>
        <v>#NAME?</v>
      </c>
      <c r="I310" s="23" t="e">
        <f ca="1">[1]!BexGetData("DP_1","003N8EMH8GTFRCSWKMPXRSAE6","GSON1112030681")</f>
        <v>#NAME?</v>
      </c>
      <c r="J310" s="24" t="e">
        <f ca="1">[1]!BexGetData("DP_1","003N8EMH8GTFRCSWKMPXRSGPQ","GSON1112030681")</f>
        <v>#NAME?</v>
      </c>
      <c r="K310" s="23" t="e">
        <f ca="1">[1]!BexGetData("DP_1","003N8EMH8GTFRIVNUPY288VJH","GSON1112030681")</f>
        <v>#NAME?</v>
      </c>
      <c r="L310" s="23" t="e">
        <f ca="1">[1]!BexGetData("DP_1","003N8EMH8GTFRIVNUPY2891V1","GSON1112030681")</f>
        <v>#NAME?</v>
      </c>
      <c r="M310" s="23" t="e">
        <f ca="1">[1]!BexGetData("DP_1","003N8EMH8GTFRIVOG7KG9IQXA","GSON1112030681")</f>
        <v>#NAME?</v>
      </c>
      <c r="N310" s="28" t="e">
        <f ca="1">[1]!BexGetData("DP_1","003N8EMH8GTFRIVOG7KG9IX8U","GSON1112030681")</f>
        <v>#NAME?</v>
      </c>
      <c r="O310" s="23" t="e">
        <f ca="1">[1]!BexGetData("DP_1","003N8EMH8GTFRIVOG7KG9J3KE","GSON1112030681")</f>
        <v>#NAME?</v>
      </c>
      <c r="P310" s="28" t="e">
        <f ca="1">[1]!BexGetData("DP_1","003N8EMH8GTFRIVOG7KG9J9VY","GSON1112030681")</f>
        <v>#NAME?</v>
      </c>
      <c r="Q310" s="24" t="e">
        <f ca="1">[1]!BexGetData("DP_1","00O2TNJGODT0G5Z4TTKYMM5MT","GSON1112030681")</f>
        <v>#NAME?</v>
      </c>
      <c r="R310" s="23" t="e">
        <f ca="1">[1]!BexGetData("DP_1","00O2TNJGODT0G5Z4TTKYMMBYD","GSON1112030681")</f>
        <v>#NAME?</v>
      </c>
      <c r="S310" s="23" t="e">
        <f ca="1">[1]!BexGetData("DP_1","00O2TNJGODT0G5Z4TTKYMMI9X","GSON1112030681")</f>
        <v>#NAME?</v>
      </c>
      <c r="T310" s="28" t="e">
        <f ca="1">[1]!BexGetData("DP_1","00O2TNJGODT0G5Z4TTKYMMOLH","GSON1112030681")</f>
        <v>#NAME?</v>
      </c>
      <c r="U310" s="23" t="e">
        <f ca="1">[1]!BexGetData("DP_1","00O2TNJGODT0G5Z4TTKYMMUX1","GSON1112030681")</f>
        <v>#NAME?</v>
      </c>
      <c r="V310" s="28" t="e">
        <f ca="1">[1]!BexGetData("DP_1","00O2TNJGODT0G5Z4TTKYMN18L","GSON1112030681")</f>
        <v>#NAME?</v>
      </c>
      <c r="W310" s="23" t="e">
        <f ca="1">[1]!BexGetData("DP_1","00O2TNJGODT0G5Z4TTKYMN7K5","GSON1112030681")</f>
        <v>#NAME?</v>
      </c>
    </row>
    <row r="311" spans="1:23" x14ac:dyDescent="0.2">
      <c r="A311" s="36" t="s">
        <v>2148</v>
      </c>
      <c r="B311" s="27" t="s">
        <v>2149</v>
      </c>
      <c r="C311" s="23" t="e">
        <f ca="1">[1]!BexGetData("DP_1","003N8EMH8GTFRCSWKMPXRR8GU","GSON1112030682")</f>
        <v>#NAME?</v>
      </c>
      <c r="D311" s="23" t="e">
        <f ca="1">[1]!BexGetData("DP_1","003N8EMH8GTFRCSWKMPXRRESE","GSON1112030682")</f>
        <v>#NAME?</v>
      </c>
      <c r="E311" s="28" t="e">
        <f ca="1">[1]!BexGetData("DP_1","003N8EMH8GTFRCSWKMPXRRL3Y","GSON1112030682")</f>
        <v>#NAME?</v>
      </c>
      <c r="F311" s="28" t="e">
        <f ca="1">[1]!BexGetData("DP_1","003N8EMH8GTFRCSWKMPXRRRFI","GSON1112030682")</f>
        <v>#NAME?</v>
      </c>
      <c r="G311" s="23" t="e">
        <f ca="1">[1]!BexGetData("DP_1","003N8EMH8GTFRCSWKMPXRRXR2","GSON1112030682")</f>
        <v>#NAME?</v>
      </c>
      <c r="H311" s="23" t="e">
        <f ca="1">[1]!BexGetData("DP_1","003N8EMH8GTFRCSWKMPXRS42M","GSON1112030682")</f>
        <v>#NAME?</v>
      </c>
      <c r="I311" s="28" t="e">
        <f ca="1">[1]!BexGetData("DP_1","003N8EMH8GTFRCSWKMPXRSAE6","GSON1112030682")</f>
        <v>#NAME?</v>
      </c>
      <c r="J311" s="24" t="e">
        <f ca="1">[1]!BexGetData("DP_1","003N8EMH8GTFRCSWKMPXRSGPQ","GSON1112030682")</f>
        <v>#NAME?</v>
      </c>
      <c r="K311" s="28" t="e">
        <f ca="1">[1]!BexGetData("DP_1","003N8EMH8GTFRIVNUPY288VJH","GSON1112030682")</f>
        <v>#NAME?</v>
      </c>
      <c r="L311" s="28" t="e">
        <f ca="1">[1]!BexGetData("DP_1","003N8EMH8GTFRIVNUPY2891V1","GSON1112030682")</f>
        <v>#NAME?</v>
      </c>
      <c r="M311" s="28" t="e">
        <f ca="1">[1]!BexGetData("DP_1","003N8EMH8GTFRIVOG7KG9IQXA","GSON1112030682")</f>
        <v>#NAME?</v>
      </c>
      <c r="N311" s="28" t="e">
        <f ca="1">[1]!BexGetData("DP_1","003N8EMH8GTFRIVOG7KG9IX8U","GSON1112030682")</f>
        <v>#NAME?</v>
      </c>
      <c r="O311" s="28" t="e">
        <f ca="1">[1]!BexGetData("DP_1","003N8EMH8GTFRIVOG7KG9J3KE","GSON1112030682")</f>
        <v>#NAME?</v>
      </c>
      <c r="P311" s="28" t="e">
        <f ca="1">[1]!BexGetData("DP_1","003N8EMH8GTFRIVOG7KG9J9VY","GSON1112030682")</f>
        <v>#NAME?</v>
      </c>
      <c r="Q311" s="24" t="e">
        <f ca="1">[1]!BexGetData("DP_1","00O2TNJGODT0G5Z4TTKYMM5MT","GSON1112030682")</f>
        <v>#NAME?</v>
      </c>
      <c r="R311" s="28" t="e">
        <f ca="1">[1]!BexGetData("DP_1","00O2TNJGODT0G5Z4TTKYMMBYD","GSON1112030682")</f>
        <v>#NAME?</v>
      </c>
      <c r="S311" s="28" t="e">
        <f ca="1">[1]!BexGetData("DP_1","00O2TNJGODT0G5Z4TTKYMMI9X","GSON1112030682")</f>
        <v>#NAME?</v>
      </c>
      <c r="T311" s="28" t="e">
        <f ca="1">[1]!BexGetData("DP_1","00O2TNJGODT0G5Z4TTKYMMOLH","GSON1112030682")</f>
        <v>#NAME?</v>
      </c>
      <c r="U311" s="28" t="e">
        <f ca="1">[1]!BexGetData("DP_1","00O2TNJGODT0G5Z4TTKYMMUX1","GSON1112030682")</f>
        <v>#NAME?</v>
      </c>
      <c r="V311" s="28" t="e">
        <f ca="1">[1]!BexGetData("DP_1","00O2TNJGODT0G5Z4TTKYMN18L","GSON1112030682")</f>
        <v>#NAME?</v>
      </c>
      <c r="W311" s="28" t="e">
        <f ca="1">[1]!BexGetData("DP_1","00O2TNJGODT0G5Z4TTKYMN7K5","GSON1112030682")</f>
        <v>#NAME?</v>
      </c>
    </row>
    <row r="312" spans="1:23" x14ac:dyDescent="0.2">
      <c r="A312" s="36" t="s">
        <v>2150</v>
      </c>
      <c r="B312" s="27" t="s">
        <v>2151</v>
      </c>
      <c r="C312" s="23" t="e">
        <f ca="1">[1]!BexGetData("DP_1","003N8EMH8GTFRCSWKMPXRR8GU","GSON1112030683")</f>
        <v>#NAME?</v>
      </c>
      <c r="D312" s="23" t="e">
        <f ca="1">[1]!BexGetData("DP_1","003N8EMH8GTFRCSWKMPXRRESE","GSON1112030683")</f>
        <v>#NAME?</v>
      </c>
      <c r="E312" s="28" t="e">
        <f ca="1">[1]!BexGetData("DP_1","003N8EMH8GTFRCSWKMPXRRL3Y","GSON1112030683")</f>
        <v>#NAME?</v>
      </c>
      <c r="F312" s="28" t="e">
        <f ca="1">[1]!BexGetData("DP_1","003N8EMH8GTFRCSWKMPXRRRFI","GSON1112030683")</f>
        <v>#NAME?</v>
      </c>
      <c r="G312" s="23" t="e">
        <f ca="1">[1]!BexGetData("DP_1","003N8EMH8GTFRCSWKMPXRRXR2","GSON1112030683")</f>
        <v>#NAME?</v>
      </c>
      <c r="H312" s="23" t="e">
        <f ca="1">[1]!BexGetData("DP_1","003N8EMH8GTFRCSWKMPXRS42M","GSON1112030683")</f>
        <v>#NAME?</v>
      </c>
      <c r="I312" s="28" t="e">
        <f ca="1">[1]!BexGetData("DP_1","003N8EMH8GTFRCSWKMPXRSAE6","GSON1112030683")</f>
        <v>#NAME?</v>
      </c>
      <c r="J312" s="24" t="e">
        <f ca="1">[1]!BexGetData("DP_1","003N8EMH8GTFRCSWKMPXRSGPQ","GSON1112030683")</f>
        <v>#NAME?</v>
      </c>
      <c r="K312" s="28" t="e">
        <f ca="1">[1]!BexGetData("DP_1","003N8EMH8GTFRIVNUPY288VJH","GSON1112030683")</f>
        <v>#NAME?</v>
      </c>
      <c r="L312" s="28" t="e">
        <f ca="1">[1]!BexGetData("DP_1","003N8EMH8GTFRIVNUPY2891V1","GSON1112030683")</f>
        <v>#NAME?</v>
      </c>
      <c r="M312" s="28" t="e">
        <f ca="1">[1]!BexGetData("DP_1","003N8EMH8GTFRIVOG7KG9IQXA","GSON1112030683")</f>
        <v>#NAME?</v>
      </c>
      <c r="N312" s="28" t="e">
        <f ca="1">[1]!BexGetData("DP_1","003N8EMH8GTFRIVOG7KG9IX8U","GSON1112030683")</f>
        <v>#NAME?</v>
      </c>
      <c r="O312" s="28" t="e">
        <f ca="1">[1]!BexGetData("DP_1","003N8EMH8GTFRIVOG7KG9J3KE","GSON1112030683")</f>
        <v>#NAME?</v>
      </c>
      <c r="P312" s="28" t="e">
        <f ca="1">[1]!BexGetData("DP_1","003N8EMH8GTFRIVOG7KG9J9VY","GSON1112030683")</f>
        <v>#NAME?</v>
      </c>
      <c r="Q312" s="24" t="e">
        <f ca="1">[1]!BexGetData("DP_1","00O2TNJGODT0G5Z4TTKYMM5MT","GSON1112030683")</f>
        <v>#NAME?</v>
      </c>
      <c r="R312" s="28" t="e">
        <f ca="1">[1]!BexGetData("DP_1","00O2TNJGODT0G5Z4TTKYMMBYD","GSON1112030683")</f>
        <v>#NAME?</v>
      </c>
      <c r="S312" s="28" t="e">
        <f ca="1">[1]!BexGetData("DP_1","00O2TNJGODT0G5Z4TTKYMMI9X","GSON1112030683")</f>
        <v>#NAME?</v>
      </c>
      <c r="T312" s="28" t="e">
        <f ca="1">[1]!BexGetData("DP_1","00O2TNJGODT0G5Z4TTKYMMOLH","GSON1112030683")</f>
        <v>#NAME?</v>
      </c>
      <c r="U312" s="28" t="e">
        <f ca="1">[1]!BexGetData("DP_1","00O2TNJGODT0G5Z4TTKYMMUX1","GSON1112030683")</f>
        <v>#NAME?</v>
      </c>
      <c r="V312" s="28" t="e">
        <f ca="1">[1]!BexGetData("DP_1","00O2TNJGODT0G5Z4TTKYMN18L","GSON1112030683")</f>
        <v>#NAME?</v>
      </c>
      <c r="W312" s="28" t="e">
        <f ca="1">[1]!BexGetData("DP_1","00O2TNJGODT0G5Z4TTKYMN7K5","GSON1112030683")</f>
        <v>#NAME?</v>
      </c>
    </row>
    <row r="313" spans="1:23" x14ac:dyDescent="0.2">
      <c r="A313" s="36" t="s">
        <v>2152</v>
      </c>
      <c r="B313" s="27" t="s">
        <v>2153</v>
      </c>
      <c r="C313" s="23" t="e">
        <f ca="1">[1]!BexGetData("DP_1","003N8EMH8GTFRCSWKMPXRR8GU","GSON1112030684")</f>
        <v>#NAME?</v>
      </c>
      <c r="D313" s="23" t="e">
        <f ca="1">[1]!BexGetData("DP_1","003N8EMH8GTFRCSWKMPXRRESE","GSON1112030684")</f>
        <v>#NAME?</v>
      </c>
      <c r="E313" s="28" t="e">
        <f ca="1">[1]!BexGetData("DP_1","003N8EMH8GTFRCSWKMPXRRL3Y","GSON1112030684")</f>
        <v>#NAME?</v>
      </c>
      <c r="F313" s="28" t="e">
        <f ca="1">[1]!BexGetData("DP_1","003N8EMH8GTFRCSWKMPXRRRFI","GSON1112030684")</f>
        <v>#NAME?</v>
      </c>
      <c r="G313" s="23" t="e">
        <f ca="1">[1]!BexGetData("DP_1","003N8EMH8GTFRCSWKMPXRRXR2","GSON1112030684")</f>
        <v>#NAME?</v>
      </c>
      <c r="H313" s="23" t="e">
        <f ca="1">[1]!BexGetData("DP_1","003N8EMH8GTFRCSWKMPXRS42M","GSON1112030684")</f>
        <v>#NAME?</v>
      </c>
      <c r="I313" s="28" t="e">
        <f ca="1">[1]!BexGetData("DP_1","003N8EMH8GTFRCSWKMPXRSAE6","GSON1112030684")</f>
        <v>#NAME?</v>
      </c>
      <c r="J313" s="24" t="e">
        <f ca="1">[1]!BexGetData("DP_1","003N8EMH8GTFRCSWKMPXRSGPQ","GSON1112030684")</f>
        <v>#NAME?</v>
      </c>
      <c r="K313" s="28" t="e">
        <f ca="1">[1]!BexGetData("DP_1","003N8EMH8GTFRIVNUPY288VJH","GSON1112030684")</f>
        <v>#NAME?</v>
      </c>
      <c r="L313" s="28" t="e">
        <f ca="1">[1]!BexGetData("DP_1","003N8EMH8GTFRIVNUPY2891V1","GSON1112030684")</f>
        <v>#NAME?</v>
      </c>
      <c r="M313" s="28" t="e">
        <f ca="1">[1]!BexGetData("DP_1","003N8EMH8GTFRIVOG7KG9IQXA","GSON1112030684")</f>
        <v>#NAME?</v>
      </c>
      <c r="N313" s="28" t="e">
        <f ca="1">[1]!BexGetData("DP_1","003N8EMH8GTFRIVOG7KG9IX8U","GSON1112030684")</f>
        <v>#NAME?</v>
      </c>
      <c r="O313" s="28" t="e">
        <f ca="1">[1]!BexGetData("DP_1","003N8EMH8GTFRIVOG7KG9J3KE","GSON1112030684")</f>
        <v>#NAME?</v>
      </c>
      <c r="P313" s="28" t="e">
        <f ca="1">[1]!BexGetData("DP_1","003N8EMH8GTFRIVOG7KG9J9VY","GSON1112030684")</f>
        <v>#NAME?</v>
      </c>
      <c r="Q313" s="24" t="e">
        <f ca="1">[1]!BexGetData("DP_1","00O2TNJGODT0G5Z4TTKYMM5MT","GSON1112030684")</f>
        <v>#NAME?</v>
      </c>
      <c r="R313" s="28" t="e">
        <f ca="1">[1]!BexGetData("DP_1","00O2TNJGODT0G5Z4TTKYMMBYD","GSON1112030684")</f>
        <v>#NAME?</v>
      </c>
      <c r="S313" s="28" t="e">
        <f ca="1">[1]!BexGetData("DP_1","00O2TNJGODT0G5Z4TTKYMMI9X","GSON1112030684")</f>
        <v>#NAME?</v>
      </c>
      <c r="T313" s="28" t="e">
        <f ca="1">[1]!BexGetData("DP_1","00O2TNJGODT0G5Z4TTKYMMOLH","GSON1112030684")</f>
        <v>#NAME?</v>
      </c>
      <c r="U313" s="28" t="e">
        <f ca="1">[1]!BexGetData("DP_1","00O2TNJGODT0G5Z4TTKYMMUX1","GSON1112030684")</f>
        <v>#NAME?</v>
      </c>
      <c r="V313" s="28" t="e">
        <f ca="1">[1]!BexGetData("DP_1","00O2TNJGODT0G5Z4TTKYMN18L","GSON1112030684")</f>
        <v>#NAME?</v>
      </c>
      <c r="W313" s="28" t="e">
        <f ca="1">[1]!BexGetData("DP_1","00O2TNJGODT0G5Z4TTKYMN7K5","GSON1112030684")</f>
        <v>#NAME?</v>
      </c>
    </row>
    <row r="314" spans="1:23" x14ac:dyDescent="0.2">
      <c r="A314" s="36" t="s">
        <v>211</v>
      </c>
      <c r="B314" s="27" t="s">
        <v>212</v>
      </c>
      <c r="C314" s="23" t="e">
        <f ca="1">[1]!BexGetData("DP_1","003N8EMH8GTFRCSWKMPXRR8GU","GSON1112030690")</f>
        <v>#NAME?</v>
      </c>
      <c r="D314" s="23" t="e">
        <f ca="1">[1]!BexGetData("DP_1","003N8EMH8GTFRCSWKMPXRRESE","GSON1112030690")</f>
        <v>#NAME?</v>
      </c>
      <c r="E314" s="23" t="e">
        <f ca="1">[1]!BexGetData("DP_1","003N8EMH8GTFRCSWKMPXRRL3Y","GSON1112030690")</f>
        <v>#NAME?</v>
      </c>
      <c r="F314" s="23" t="e">
        <f ca="1">[1]!BexGetData("DP_1","003N8EMH8GTFRCSWKMPXRRRFI","GSON1112030690")</f>
        <v>#NAME?</v>
      </c>
      <c r="G314" s="23" t="e">
        <f ca="1">[1]!BexGetData("DP_1","003N8EMH8GTFRCSWKMPXRRXR2","GSON1112030690")</f>
        <v>#NAME?</v>
      </c>
      <c r="H314" s="23" t="e">
        <f ca="1">[1]!BexGetData("DP_1","003N8EMH8GTFRCSWKMPXRS42M","GSON1112030690")</f>
        <v>#NAME?</v>
      </c>
      <c r="I314" s="23" t="e">
        <f ca="1">[1]!BexGetData("DP_1","003N8EMH8GTFRCSWKMPXRSAE6","GSON1112030690")</f>
        <v>#NAME?</v>
      </c>
      <c r="J314" s="23" t="e">
        <f ca="1">[1]!BexGetData("DP_1","003N8EMH8GTFRCSWKMPXRSGPQ","GSON1112030690")</f>
        <v>#NAME?</v>
      </c>
      <c r="K314" s="23" t="e">
        <f ca="1">[1]!BexGetData("DP_1","003N8EMH8GTFRIVNUPY288VJH","GSON1112030690")</f>
        <v>#NAME?</v>
      </c>
      <c r="L314" s="23" t="e">
        <f ca="1">[1]!BexGetData("DP_1","003N8EMH8GTFRIVNUPY2891V1","GSON1112030690")</f>
        <v>#NAME?</v>
      </c>
      <c r="M314" s="28" t="e">
        <f ca="1">[1]!BexGetData("DP_1","003N8EMH8GTFRIVOG7KG9IQXA","GSON1112030690")</f>
        <v>#NAME?</v>
      </c>
      <c r="N314" s="23" t="e">
        <f ca="1">[1]!BexGetData("DP_1","003N8EMH8GTFRIVOG7KG9IX8U","GSON1112030690")</f>
        <v>#NAME?</v>
      </c>
      <c r="O314" s="28" t="e">
        <f ca="1">[1]!BexGetData("DP_1","003N8EMH8GTFRIVOG7KG9J3KE","GSON1112030690")</f>
        <v>#NAME?</v>
      </c>
      <c r="P314" s="23" t="e">
        <f ca="1">[1]!BexGetData("DP_1","003N8EMH8GTFRIVOG7KG9J9VY","GSON1112030690")</f>
        <v>#NAME?</v>
      </c>
      <c r="Q314" s="23" t="e">
        <f ca="1">[1]!BexGetData("DP_1","00O2TNJGODT0G5Z4TTKYMM5MT","GSON1112030690")</f>
        <v>#NAME?</v>
      </c>
      <c r="R314" s="23" t="e">
        <f ca="1">[1]!BexGetData("DP_1","00O2TNJGODT0G5Z4TTKYMMBYD","GSON1112030690")</f>
        <v>#NAME?</v>
      </c>
      <c r="S314" s="23" t="e">
        <f ca="1">[1]!BexGetData("DP_1","00O2TNJGODT0G5Z4TTKYMMI9X","GSON1112030690")</f>
        <v>#NAME?</v>
      </c>
      <c r="T314" s="28" t="e">
        <f ca="1">[1]!BexGetData("DP_1","00O2TNJGODT0G5Z4TTKYMMOLH","GSON1112030690")</f>
        <v>#NAME?</v>
      </c>
      <c r="U314" s="23" t="e">
        <f ca="1">[1]!BexGetData("DP_1","00O2TNJGODT0G5Z4TTKYMMUX1","GSON1112030690")</f>
        <v>#NAME?</v>
      </c>
      <c r="V314" s="28" t="e">
        <f ca="1">[1]!BexGetData("DP_1","00O2TNJGODT0G5Z4TTKYMN18L","GSON1112030690")</f>
        <v>#NAME?</v>
      </c>
      <c r="W314" s="23" t="e">
        <f ca="1">[1]!BexGetData("DP_1","00O2TNJGODT0G5Z4TTKYMN7K5","GSON1112030690")</f>
        <v>#NAME?</v>
      </c>
    </row>
    <row r="315" spans="1:23" x14ac:dyDescent="0.2">
      <c r="A315" s="36" t="s">
        <v>213</v>
      </c>
      <c r="B315" s="27" t="s">
        <v>214</v>
      </c>
      <c r="C315" s="23" t="e">
        <f ca="1">[1]!BexGetData("DP_1","003N8EMH8GTFRCSWKMPXRR8GU","GSON1112030691")</f>
        <v>#NAME?</v>
      </c>
      <c r="D315" s="23" t="e">
        <f ca="1">[1]!BexGetData("DP_1","003N8EMH8GTFRCSWKMPXRRESE","GSON1112030691")</f>
        <v>#NAME?</v>
      </c>
      <c r="E315" s="23" t="e">
        <f ca="1">[1]!BexGetData("DP_1","003N8EMH8GTFRCSWKMPXRRL3Y","GSON1112030691")</f>
        <v>#NAME?</v>
      </c>
      <c r="F315" s="23" t="e">
        <f ca="1">[1]!BexGetData("DP_1","003N8EMH8GTFRCSWKMPXRRRFI","GSON1112030691")</f>
        <v>#NAME?</v>
      </c>
      <c r="G315" s="23" t="e">
        <f ca="1">[1]!BexGetData("DP_1","003N8EMH8GTFRCSWKMPXRRXR2","GSON1112030691")</f>
        <v>#NAME?</v>
      </c>
      <c r="H315" s="23" t="e">
        <f ca="1">[1]!BexGetData("DP_1","003N8EMH8GTFRCSWKMPXRS42M","GSON1112030691")</f>
        <v>#NAME?</v>
      </c>
      <c r="I315" s="23" t="e">
        <f ca="1">[1]!BexGetData("DP_1","003N8EMH8GTFRCSWKMPXRSAE6","GSON1112030691")</f>
        <v>#NAME?</v>
      </c>
      <c r="J315" s="24" t="e">
        <f ca="1">[1]!BexGetData("DP_1","003N8EMH8GTFRCSWKMPXRSGPQ","GSON1112030691")</f>
        <v>#NAME?</v>
      </c>
      <c r="K315" s="23" t="e">
        <f ca="1">[1]!BexGetData("DP_1","003N8EMH8GTFRIVNUPY288VJH","GSON1112030691")</f>
        <v>#NAME?</v>
      </c>
      <c r="L315" s="23" t="e">
        <f ca="1">[1]!BexGetData("DP_1","003N8EMH8GTFRIVNUPY2891V1","GSON1112030691")</f>
        <v>#NAME?</v>
      </c>
      <c r="M315" s="28" t="e">
        <f ca="1">[1]!BexGetData("DP_1","003N8EMH8GTFRIVOG7KG9IQXA","GSON1112030691")</f>
        <v>#NAME?</v>
      </c>
      <c r="N315" s="23" t="e">
        <f ca="1">[1]!BexGetData("DP_1","003N8EMH8GTFRIVOG7KG9IX8U","GSON1112030691")</f>
        <v>#NAME?</v>
      </c>
      <c r="O315" s="28" t="e">
        <f ca="1">[1]!BexGetData("DP_1","003N8EMH8GTFRIVOG7KG9J3KE","GSON1112030691")</f>
        <v>#NAME?</v>
      </c>
      <c r="P315" s="23" t="e">
        <f ca="1">[1]!BexGetData("DP_1","003N8EMH8GTFRIVOG7KG9J9VY","GSON1112030691")</f>
        <v>#NAME?</v>
      </c>
      <c r="Q315" s="24" t="e">
        <f ca="1">[1]!BexGetData("DP_1","00O2TNJGODT0G5Z4TTKYMM5MT","GSON1112030691")</f>
        <v>#NAME?</v>
      </c>
      <c r="R315" s="23" t="e">
        <f ca="1">[1]!BexGetData("DP_1","00O2TNJGODT0G5Z4TTKYMMBYD","GSON1112030691")</f>
        <v>#NAME?</v>
      </c>
      <c r="S315" s="23" t="e">
        <f ca="1">[1]!BexGetData("DP_1","00O2TNJGODT0G5Z4TTKYMMI9X","GSON1112030691")</f>
        <v>#NAME?</v>
      </c>
      <c r="T315" s="23" t="e">
        <f ca="1">[1]!BexGetData("DP_1","00O2TNJGODT0G5Z4TTKYMMOLH","GSON1112030691")</f>
        <v>#NAME?</v>
      </c>
      <c r="U315" s="28" t="e">
        <f ca="1">[1]!BexGetData("DP_1","00O2TNJGODT0G5Z4TTKYMMUX1","GSON1112030691")</f>
        <v>#NAME?</v>
      </c>
      <c r="V315" s="23" t="e">
        <f ca="1">[1]!BexGetData("DP_1","00O2TNJGODT0G5Z4TTKYMN18L","GSON1112030691")</f>
        <v>#NAME?</v>
      </c>
      <c r="W315" s="28" t="e">
        <f ca="1">[1]!BexGetData("DP_1","00O2TNJGODT0G5Z4TTKYMN7K5","GSON1112030691")</f>
        <v>#NAME?</v>
      </c>
    </row>
    <row r="316" spans="1:23" x14ac:dyDescent="0.2">
      <c r="A316" s="36" t="s">
        <v>2154</v>
      </c>
      <c r="B316" s="27" t="s">
        <v>2155</v>
      </c>
      <c r="C316" s="23" t="e">
        <f ca="1">[1]!BexGetData("DP_1","003N8EMH8GTFRCSWKMPXRR8GU","GSON1112030693")</f>
        <v>#NAME?</v>
      </c>
      <c r="D316" s="23" t="e">
        <f ca="1">[1]!BexGetData("DP_1","003N8EMH8GTFRCSWKMPXRRESE","GSON1112030693")</f>
        <v>#NAME?</v>
      </c>
      <c r="E316" s="28" t="e">
        <f ca="1">[1]!BexGetData("DP_1","003N8EMH8GTFRCSWKMPXRRL3Y","GSON1112030693")</f>
        <v>#NAME?</v>
      </c>
      <c r="F316" s="28" t="e">
        <f ca="1">[1]!BexGetData("DP_1","003N8EMH8GTFRCSWKMPXRRRFI","GSON1112030693")</f>
        <v>#NAME?</v>
      </c>
      <c r="G316" s="23" t="e">
        <f ca="1">[1]!BexGetData("DP_1","003N8EMH8GTFRCSWKMPXRRXR2","GSON1112030693")</f>
        <v>#NAME?</v>
      </c>
      <c r="H316" s="23" t="e">
        <f ca="1">[1]!BexGetData("DP_1","003N8EMH8GTFRCSWKMPXRS42M","GSON1112030693")</f>
        <v>#NAME?</v>
      </c>
      <c r="I316" s="28" t="e">
        <f ca="1">[1]!BexGetData("DP_1","003N8EMH8GTFRCSWKMPXRSAE6","GSON1112030693")</f>
        <v>#NAME?</v>
      </c>
      <c r="J316" s="24" t="e">
        <f ca="1">[1]!BexGetData("DP_1","003N8EMH8GTFRCSWKMPXRSGPQ","GSON1112030693")</f>
        <v>#NAME?</v>
      </c>
      <c r="K316" s="28" t="e">
        <f ca="1">[1]!BexGetData("DP_1","003N8EMH8GTFRIVNUPY288VJH","GSON1112030693")</f>
        <v>#NAME?</v>
      </c>
      <c r="L316" s="28" t="e">
        <f ca="1">[1]!BexGetData("DP_1","003N8EMH8GTFRIVNUPY2891V1","GSON1112030693")</f>
        <v>#NAME?</v>
      </c>
      <c r="M316" s="28" t="e">
        <f ca="1">[1]!BexGetData("DP_1","003N8EMH8GTFRIVOG7KG9IQXA","GSON1112030693")</f>
        <v>#NAME?</v>
      </c>
      <c r="N316" s="28" t="e">
        <f ca="1">[1]!BexGetData("DP_1","003N8EMH8GTFRIVOG7KG9IX8U","GSON1112030693")</f>
        <v>#NAME?</v>
      </c>
      <c r="O316" s="28" t="e">
        <f ca="1">[1]!BexGetData("DP_1","003N8EMH8GTFRIVOG7KG9J3KE","GSON1112030693")</f>
        <v>#NAME?</v>
      </c>
      <c r="P316" s="28" t="e">
        <f ca="1">[1]!BexGetData("DP_1","003N8EMH8GTFRIVOG7KG9J9VY","GSON1112030693")</f>
        <v>#NAME?</v>
      </c>
      <c r="Q316" s="24" t="e">
        <f ca="1">[1]!BexGetData("DP_1","00O2TNJGODT0G5Z4TTKYMM5MT","GSON1112030693")</f>
        <v>#NAME?</v>
      </c>
      <c r="R316" s="28" t="e">
        <f ca="1">[1]!BexGetData("DP_1","00O2TNJGODT0G5Z4TTKYMMBYD","GSON1112030693")</f>
        <v>#NAME?</v>
      </c>
      <c r="S316" s="28" t="e">
        <f ca="1">[1]!BexGetData("DP_1","00O2TNJGODT0G5Z4TTKYMMI9X","GSON1112030693")</f>
        <v>#NAME?</v>
      </c>
      <c r="T316" s="28" t="e">
        <f ca="1">[1]!BexGetData("DP_1","00O2TNJGODT0G5Z4TTKYMMOLH","GSON1112030693")</f>
        <v>#NAME?</v>
      </c>
      <c r="U316" s="28" t="e">
        <f ca="1">[1]!BexGetData("DP_1","00O2TNJGODT0G5Z4TTKYMMUX1","GSON1112030693")</f>
        <v>#NAME?</v>
      </c>
      <c r="V316" s="28" t="e">
        <f ca="1">[1]!BexGetData("DP_1","00O2TNJGODT0G5Z4TTKYMN18L","GSON1112030693")</f>
        <v>#NAME?</v>
      </c>
      <c r="W316" s="28" t="e">
        <f ca="1">[1]!BexGetData("DP_1","00O2TNJGODT0G5Z4TTKYMN7K5","GSON1112030693")</f>
        <v>#NAME?</v>
      </c>
    </row>
    <row r="317" spans="1:23" x14ac:dyDescent="0.2">
      <c r="A317" s="36" t="s">
        <v>2156</v>
      </c>
      <c r="B317" s="27" t="s">
        <v>2157</v>
      </c>
      <c r="C317" s="23" t="e">
        <f ca="1">[1]!BexGetData("DP_1","003N8EMH8GTFRCSWKMPXRR8GU","GSON1112030694")</f>
        <v>#NAME?</v>
      </c>
      <c r="D317" s="23" t="e">
        <f ca="1">[1]!BexGetData("DP_1","003N8EMH8GTFRCSWKMPXRRESE","GSON1112030694")</f>
        <v>#NAME?</v>
      </c>
      <c r="E317" s="28" t="e">
        <f ca="1">[1]!BexGetData("DP_1","003N8EMH8GTFRCSWKMPXRRL3Y","GSON1112030694")</f>
        <v>#NAME?</v>
      </c>
      <c r="F317" s="28" t="e">
        <f ca="1">[1]!BexGetData("DP_1","003N8EMH8GTFRCSWKMPXRRRFI","GSON1112030694")</f>
        <v>#NAME?</v>
      </c>
      <c r="G317" s="23" t="e">
        <f ca="1">[1]!BexGetData("DP_1","003N8EMH8GTFRCSWKMPXRRXR2","GSON1112030694")</f>
        <v>#NAME?</v>
      </c>
      <c r="H317" s="23" t="e">
        <f ca="1">[1]!BexGetData("DP_1","003N8EMH8GTFRCSWKMPXRS42M","GSON1112030694")</f>
        <v>#NAME?</v>
      </c>
      <c r="I317" s="28" t="e">
        <f ca="1">[1]!BexGetData("DP_1","003N8EMH8GTFRCSWKMPXRSAE6","GSON1112030694")</f>
        <v>#NAME?</v>
      </c>
      <c r="J317" s="24" t="e">
        <f ca="1">[1]!BexGetData("DP_1","003N8EMH8GTFRCSWKMPXRSGPQ","GSON1112030694")</f>
        <v>#NAME?</v>
      </c>
      <c r="K317" s="28" t="e">
        <f ca="1">[1]!BexGetData("DP_1","003N8EMH8GTFRIVNUPY288VJH","GSON1112030694")</f>
        <v>#NAME?</v>
      </c>
      <c r="L317" s="28" t="e">
        <f ca="1">[1]!BexGetData("DP_1","003N8EMH8GTFRIVNUPY2891V1","GSON1112030694")</f>
        <v>#NAME?</v>
      </c>
      <c r="M317" s="28" t="e">
        <f ca="1">[1]!BexGetData("DP_1","003N8EMH8GTFRIVOG7KG9IQXA","GSON1112030694")</f>
        <v>#NAME?</v>
      </c>
      <c r="N317" s="28" t="e">
        <f ca="1">[1]!BexGetData("DP_1","003N8EMH8GTFRIVOG7KG9IX8U","GSON1112030694")</f>
        <v>#NAME?</v>
      </c>
      <c r="O317" s="28" t="e">
        <f ca="1">[1]!BexGetData("DP_1","003N8EMH8GTFRIVOG7KG9J3KE","GSON1112030694")</f>
        <v>#NAME?</v>
      </c>
      <c r="P317" s="28" t="e">
        <f ca="1">[1]!BexGetData("DP_1","003N8EMH8GTFRIVOG7KG9J9VY","GSON1112030694")</f>
        <v>#NAME?</v>
      </c>
      <c r="Q317" s="24" t="e">
        <f ca="1">[1]!BexGetData("DP_1","00O2TNJGODT0G5Z4TTKYMM5MT","GSON1112030694")</f>
        <v>#NAME?</v>
      </c>
      <c r="R317" s="28" t="e">
        <f ca="1">[1]!BexGetData("DP_1","00O2TNJGODT0G5Z4TTKYMMBYD","GSON1112030694")</f>
        <v>#NAME?</v>
      </c>
      <c r="S317" s="28" t="e">
        <f ca="1">[1]!BexGetData("DP_1","00O2TNJGODT0G5Z4TTKYMMI9X","GSON1112030694")</f>
        <v>#NAME?</v>
      </c>
      <c r="T317" s="28" t="e">
        <f ca="1">[1]!BexGetData("DP_1","00O2TNJGODT0G5Z4TTKYMMOLH","GSON1112030694")</f>
        <v>#NAME?</v>
      </c>
      <c r="U317" s="28" t="e">
        <f ca="1">[1]!BexGetData("DP_1","00O2TNJGODT0G5Z4TTKYMMUX1","GSON1112030694")</f>
        <v>#NAME?</v>
      </c>
      <c r="V317" s="28" t="e">
        <f ca="1">[1]!BexGetData("DP_1","00O2TNJGODT0G5Z4TTKYMN18L","GSON1112030694")</f>
        <v>#NAME?</v>
      </c>
      <c r="W317" s="28" t="e">
        <f ca="1">[1]!BexGetData("DP_1","00O2TNJGODT0G5Z4TTKYMN7K5","GSON1112030694")</f>
        <v>#NAME?</v>
      </c>
    </row>
    <row r="318" spans="1:23" x14ac:dyDescent="0.2">
      <c r="A318" s="36" t="s">
        <v>215</v>
      </c>
      <c r="B318" s="27" t="s">
        <v>216</v>
      </c>
      <c r="C318" s="23" t="e">
        <f ca="1">[1]!BexGetData("DP_1","003N8EMH8GTFRCSWKMPXRR8GU","GSON1112030700")</f>
        <v>#NAME?</v>
      </c>
      <c r="D318" s="23" t="e">
        <f ca="1">[1]!BexGetData("DP_1","003N8EMH8GTFRCSWKMPXRRESE","GSON1112030700")</f>
        <v>#NAME?</v>
      </c>
      <c r="E318" s="23" t="e">
        <f ca="1">[1]!BexGetData("DP_1","003N8EMH8GTFRCSWKMPXRRL3Y","GSON1112030700")</f>
        <v>#NAME?</v>
      </c>
      <c r="F318" s="23" t="e">
        <f ca="1">[1]!BexGetData("DP_1","003N8EMH8GTFRCSWKMPXRRRFI","GSON1112030700")</f>
        <v>#NAME?</v>
      </c>
      <c r="G318" s="23" t="e">
        <f ca="1">[1]!BexGetData("DP_1","003N8EMH8GTFRCSWKMPXRRXR2","GSON1112030700")</f>
        <v>#NAME?</v>
      </c>
      <c r="H318" s="23" t="e">
        <f ca="1">[1]!BexGetData("DP_1","003N8EMH8GTFRCSWKMPXRS42M","GSON1112030700")</f>
        <v>#NAME?</v>
      </c>
      <c r="I318" s="23" t="e">
        <f ca="1">[1]!BexGetData("DP_1","003N8EMH8GTFRCSWKMPXRSAE6","GSON1112030700")</f>
        <v>#NAME?</v>
      </c>
      <c r="J318" s="23" t="e">
        <f ca="1">[1]!BexGetData("DP_1","003N8EMH8GTFRCSWKMPXRSGPQ","GSON1112030700")</f>
        <v>#NAME?</v>
      </c>
      <c r="K318" s="23" t="e">
        <f ca="1">[1]!BexGetData("DP_1","003N8EMH8GTFRIVNUPY288VJH","GSON1112030700")</f>
        <v>#NAME?</v>
      </c>
      <c r="L318" s="23" t="e">
        <f ca="1">[1]!BexGetData("DP_1","003N8EMH8GTFRIVNUPY2891V1","GSON1112030700")</f>
        <v>#NAME?</v>
      </c>
      <c r="M318" s="28" t="e">
        <f ca="1">[1]!BexGetData("DP_1","003N8EMH8GTFRIVOG7KG9IQXA","GSON1112030700")</f>
        <v>#NAME?</v>
      </c>
      <c r="N318" s="23" t="e">
        <f ca="1">[1]!BexGetData("DP_1","003N8EMH8GTFRIVOG7KG9IX8U","GSON1112030700")</f>
        <v>#NAME?</v>
      </c>
      <c r="O318" s="28" t="e">
        <f ca="1">[1]!BexGetData("DP_1","003N8EMH8GTFRIVOG7KG9J3KE","GSON1112030700")</f>
        <v>#NAME?</v>
      </c>
      <c r="P318" s="23" t="e">
        <f ca="1">[1]!BexGetData("DP_1","003N8EMH8GTFRIVOG7KG9J9VY","GSON1112030700")</f>
        <v>#NAME?</v>
      </c>
      <c r="Q318" s="23" t="e">
        <f ca="1">[1]!BexGetData("DP_1","00O2TNJGODT0G5Z4TTKYMM5MT","GSON1112030700")</f>
        <v>#NAME?</v>
      </c>
      <c r="R318" s="23" t="e">
        <f ca="1">[1]!BexGetData("DP_1","00O2TNJGODT0G5Z4TTKYMMBYD","GSON1112030700")</f>
        <v>#NAME?</v>
      </c>
      <c r="S318" s="23" t="e">
        <f ca="1">[1]!BexGetData("DP_1","00O2TNJGODT0G5Z4TTKYMMI9X","GSON1112030700")</f>
        <v>#NAME?</v>
      </c>
      <c r="T318" s="28" t="e">
        <f ca="1">[1]!BexGetData("DP_1","00O2TNJGODT0G5Z4TTKYMMOLH","GSON1112030700")</f>
        <v>#NAME?</v>
      </c>
      <c r="U318" s="23" t="e">
        <f ca="1">[1]!BexGetData("DP_1","00O2TNJGODT0G5Z4TTKYMMUX1","GSON1112030700")</f>
        <v>#NAME?</v>
      </c>
      <c r="V318" s="28" t="e">
        <f ca="1">[1]!BexGetData("DP_1","00O2TNJGODT0G5Z4TTKYMN18L","GSON1112030700")</f>
        <v>#NAME?</v>
      </c>
      <c r="W318" s="23" t="e">
        <f ca="1">[1]!BexGetData("DP_1","00O2TNJGODT0G5Z4TTKYMN7K5","GSON1112030700")</f>
        <v>#NAME?</v>
      </c>
    </row>
    <row r="319" spans="1:23" x14ac:dyDescent="0.2">
      <c r="A319" s="36" t="s">
        <v>217</v>
      </c>
      <c r="B319" s="27" t="s">
        <v>218</v>
      </c>
      <c r="C319" s="23" t="e">
        <f ca="1">[1]!BexGetData("DP_1","003N8EMH8GTFRCSWKMPXRR8GU","GSON1112030701")</f>
        <v>#NAME?</v>
      </c>
      <c r="D319" s="23" t="e">
        <f ca="1">[1]!BexGetData("DP_1","003N8EMH8GTFRCSWKMPXRRESE","GSON1112030701")</f>
        <v>#NAME?</v>
      </c>
      <c r="E319" s="23" t="e">
        <f ca="1">[1]!BexGetData("DP_1","003N8EMH8GTFRCSWKMPXRRL3Y","GSON1112030701")</f>
        <v>#NAME?</v>
      </c>
      <c r="F319" s="23" t="e">
        <f ca="1">[1]!BexGetData("DP_1","003N8EMH8GTFRCSWKMPXRRRFI","GSON1112030701")</f>
        <v>#NAME?</v>
      </c>
      <c r="G319" s="23" t="e">
        <f ca="1">[1]!BexGetData("DP_1","003N8EMH8GTFRCSWKMPXRRXR2","GSON1112030701")</f>
        <v>#NAME?</v>
      </c>
      <c r="H319" s="23" t="e">
        <f ca="1">[1]!BexGetData("DP_1","003N8EMH8GTFRCSWKMPXRS42M","GSON1112030701")</f>
        <v>#NAME?</v>
      </c>
      <c r="I319" s="23" t="e">
        <f ca="1">[1]!BexGetData("DP_1","003N8EMH8GTFRCSWKMPXRSAE6","GSON1112030701")</f>
        <v>#NAME?</v>
      </c>
      <c r="J319" s="23" t="e">
        <f ca="1">[1]!BexGetData("DP_1","003N8EMH8GTFRCSWKMPXRSGPQ","GSON1112030701")</f>
        <v>#NAME?</v>
      </c>
      <c r="K319" s="23" t="e">
        <f ca="1">[1]!BexGetData("DP_1","003N8EMH8GTFRIVNUPY288VJH","GSON1112030701")</f>
        <v>#NAME?</v>
      </c>
      <c r="L319" s="23" t="e">
        <f ca="1">[1]!BexGetData("DP_1","003N8EMH8GTFRIVNUPY2891V1","GSON1112030701")</f>
        <v>#NAME?</v>
      </c>
      <c r="M319" s="23" t="e">
        <f ca="1">[1]!BexGetData("DP_1","003N8EMH8GTFRIVOG7KG9IQXA","GSON1112030701")</f>
        <v>#NAME?</v>
      </c>
      <c r="N319" s="28" t="e">
        <f ca="1">[1]!BexGetData("DP_1","003N8EMH8GTFRIVOG7KG9IX8U","GSON1112030701")</f>
        <v>#NAME?</v>
      </c>
      <c r="O319" s="23" t="e">
        <f ca="1">[1]!BexGetData("DP_1","003N8EMH8GTFRIVOG7KG9J3KE","GSON1112030701")</f>
        <v>#NAME?</v>
      </c>
      <c r="P319" s="28" t="e">
        <f ca="1">[1]!BexGetData("DP_1","003N8EMH8GTFRIVOG7KG9J9VY","GSON1112030701")</f>
        <v>#NAME?</v>
      </c>
      <c r="Q319" s="23" t="e">
        <f ca="1">[1]!BexGetData("DP_1","00O2TNJGODT0G5Z4TTKYMM5MT","GSON1112030701")</f>
        <v>#NAME?</v>
      </c>
      <c r="R319" s="23" t="e">
        <f ca="1">[1]!BexGetData("DP_1","00O2TNJGODT0G5Z4TTKYMMBYD","GSON1112030701")</f>
        <v>#NAME?</v>
      </c>
      <c r="S319" s="23" t="e">
        <f ca="1">[1]!BexGetData("DP_1","00O2TNJGODT0G5Z4TTKYMMI9X","GSON1112030701")</f>
        <v>#NAME?</v>
      </c>
      <c r="T319" s="28" t="e">
        <f ca="1">[1]!BexGetData("DP_1","00O2TNJGODT0G5Z4TTKYMMOLH","GSON1112030701")</f>
        <v>#NAME?</v>
      </c>
      <c r="U319" s="23" t="e">
        <f ca="1">[1]!BexGetData("DP_1","00O2TNJGODT0G5Z4TTKYMMUX1","GSON1112030701")</f>
        <v>#NAME?</v>
      </c>
      <c r="V319" s="28" t="e">
        <f ca="1">[1]!BexGetData("DP_1","00O2TNJGODT0G5Z4TTKYMN18L","GSON1112030701")</f>
        <v>#NAME?</v>
      </c>
      <c r="W319" s="23" t="e">
        <f ca="1">[1]!BexGetData("DP_1","00O2TNJGODT0G5Z4TTKYMN7K5","GSON1112030701")</f>
        <v>#NAME?</v>
      </c>
    </row>
    <row r="320" spans="1:23" x14ac:dyDescent="0.2">
      <c r="A320" s="36" t="s">
        <v>871</v>
      </c>
      <c r="B320" s="27" t="s">
        <v>872</v>
      </c>
      <c r="C320" s="23" t="e">
        <f ca="1">[1]!BexGetData("DP_1","003N8EMH8GTFRCSWKMPXRR8GU","GSON1112030703")</f>
        <v>#NAME?</v>
      </c>
      <c r="D320" s="23" t="e">
        <f ca="1">[1]!BexGetData("DP_1","003N8EMH8GTFRCSWKMPXRRESE","GSON1112030703")</f>
        <v>#NAME?</v>
      </c>
      <c r="E320" s="28" t="e">
        <f ca="1">[1]!BexGetData("DP_1","003N8EMH8GTFRCSWKMPXRRL3Y","GSON1112030703")</f>
        <v>#NAME?</v>
      </c>
      <c r="F320" s="28" t="e">
        <f ca="1">[1]!BexGetData("DP_1","003N8EMH8GTFRCSWKMPXRRRFI","GSON1112030703")</f>
        <v>#NAME?</v>
      </c>
      <c r="G320" s="23" t="e">
        <f ca="1">[1]!BexGetData("DP_1","003N8EMH8GTFRCSWKMPXRRXR2","GSON1112030703")</f>
        <v>#NAME?</v>
      </c>
      <c r="H320" s="23" t="e">
        <f ca="1">[1]!BexGetData("DP_1","003N8EMH8GTFRCSWKMPXRS42M","GSON1112030703")</f>
        <v>#NAME?</v>
      </c>
      <c r="I320" s="28" t="e">
        <f ca="1">[1]!BexGetData("DP_1","003N8EMH8GTFRCSWKMPXRSAE6","GSON1112030703")</f>
        <v>#NAME?</v>
      </c>
      <c r="J320" s="24" t="e">
        <f ca="1">[1]!BexGetData("DP_1","003N8EMH8GTFRCSWKMPXRSGPQ","GSON1112030703")</f>
        <v>#NAME?</v>
      </c>
      <c r="K320" s="28" t="e">
        <f ca="1">[1]!BexGetData("DP_1","003N8EMH8GTFRIVNUPY288VJH","GSON1112030703")</f>
        <v>#NAME?</v>
      </c>
      <c r="L320" s="28" t="e">
        <f ca="1">[1]!BexGetData("DP_1","003N8EMH8GTFRIVNUPY2891V1","GSON1112030703")</f>
        <v>#NAME?</v>
      </c>
      <c r="M320" s="28" t="e">
        <f ca="1">[1]!BexGetData("DP_1","003N8EMH8GTFRIVOG7KG9IQXA","GSON1112030703")</f>
        <v>#NAME?</v>
      </c>
      <c r="N320" s="28" t="e">
        <f ca="1">[1]!BexGetData("DP_1","003N8EMH8GTFRIVOG7KG9IX8U","GSON1112030703")</f>
        <v>#NAME?</v>
      </c>
      <c r="O320" s="28" t="e">
        <f ca="1">[1]!BexGetData("DP_1","003N8EMH8GTFRIVOG7KG9J3KE","GSON1112030703")</f>
        <v>#NAME?</v>
      </c>
      <c r="P320" s="28" t="e">
        <f ca="1">[1]!BexGetData("DP_1","003N8EMH8GTFRIVOG7KG9J9VY","GSON1112030703")</f>
        <v>#NAME?</v>
      </c>
      <c r="Q320" s="24" t="e">
        <f ca="1">[1]!BexGetData("DP_1","00O2TNJGODT0G5Z4TTKYMM5MT","GSON1112030703")</f>
        <v>#NAME?</v>
      </c>
      <c r="R320" s="28" t="e">
        <f ca="1">[1]!BexGetData("DP_1","00O2TNJGODT0G5Z4TTKYMMBYD","GSON1112030703")</f>
        <v>#NAME?</v>
      </c>
      <c r="S320" s="28" t="e">
        <f ca="1">[1]!BexGetData("DP_1","00O2TNJGODT0G5Z4TTKYMMI9X","GSON1112030703")</f>
        <v>#NAME?</v>
      </c>
      <c r="T320" s="28" t="e">
        <f ca="1">[1]!BexGetData("DP_1","00O2TNJGODT0G5Z4TTKYMMOLH","GSON1112030703")</f>
        <v>#NAME?</v>
      </c>
      <c r="U320" s="28" t="e">
        <f ca="1">[1]!BexGetData("DP_1","00O2TNJGODT0G5Z4TTKYMMUX1","GSON1112030703")</f>
        <v>#NAME?</v>
      </c>
      <c r="V320" s="28" t="e">
        <f ca="1">[1]!BexGetData("DP_1","00O2TNJGODT0G5Z4TTKYMN18L","GSON1112030703")</f>
        <v>#NAME?</v>
      </c>
      <c r="W320" s="28" t="e">
        <f ca="1">[1]!BexGetData("DP_1","00O2TNJGODT0G5Z4TTKYMN7K5","GSON1112030703")</f>
        <v>#NAME?</v>
      </c>
    </row>
    <row r="321" spans="1:23" x14ac:dyDescent="0.2">
      <c r="A321" s="36" t="s">
        <v>2158</v>
      </c>
      <c r="B321" s="27" t="s">
        <v>2159</v>
      </c>
      <c r="C321" s="23" t="e">
        <f ca="1">[1]!BexGetData("DP_1","003N8EMH8GTFRCSWKMPXRR8GU","GSON1112030704")</f>
        <v>#NAME?</v>
      </c>
      <c r="D321" s="23" t="e">
        <f ca="1">[1]!BexGetData("DP_1","003N8EMH8GTFRCSWKMPXRRESE","GSON1112030704")</f>
        <v>#NAME?</v>
      </c>
      <c r="E321" s="28" t="e">
        <f ca="1">[1]!BexGetData("DP_1","003N8EMH8GTFRCSWKMPXRRL3Y","GSON1112030704")</f>
        <v>#NAME?</v>
      </c>
      <c r="F321" s="28" t="e">
        <f ca="1">[1]!BexGetData("DP_1","003N8EMH8GTFRCSWKMPXRRRFI","GSON1112030704")</f>
        <v>#NAME?</v>
      </c>
      <c r="G321" s="23" t="e">
        <f ca="1">[1]!BexGetData("DP_1","003N8EMH8GTFRCSWKMPXRRXR2","GSON1112030704")</f>
        <v>#NAME?</v>
      </c>
      <c r="H321" s="23" t="e">
        <f ca="1">[1]!BexGetData("DP_1","003N8EMH8GTFRCSWKMPXRS42M","GSON1112030704")</f>
        <v>#NAME?</v>
      </c>
      <c r="I321" s="28" t="e">
        <f ca="1">[1]!BexGetData("DP_1","003N8EMH8GTFRCSWKMPXRSAE6","GSON1112030704")</f>
        <v>#NAME?</v>
      </c>
      <c r="J321" s="24" t="e">
        <f ca="1">[1]!BexGetData("DP_1","003N8EMH8GTFRCSWKMPXRSGPQ","GSON1112030704")</f>
        <v>#NAME?</v>
      </c>
      <c r="K321" s="28" t="e">
        <f ca="1">[1]!BexGetData("DP_1","003N8EMH8GTFRIVNUPY288VJH","GSON1112030704")</f>
        <v>#NAME?</v>
      </c>
      <c r="L321" s="28" t="e">
        <f ca="1">[1]!BexGetData("DP_1","003N8EMH8GTFRIVNUPY2891V1","GSON1112030704")</f>
        <v>#NAME?</v>
      </c>
      <c r="M321" s="28" t="e">
        <f ca="1">[1]!BexGetData("DP_1","003N8EMH8GTFRIVOG7KG9IQXA","GSON1112030704")</f>
        <v>#NAME?</v>
      </c>
      <c r="N321" s="28" t="e">
        <f ca="1">[1]!BexGetData("DP_1","003N8EMH8GTFRIVOG7KG9IX8U","GSON1112030704")</f>
        <v>#NAME?</v>
      </c>
      <c r="O321" s="28" t="e">
        <f ca="1">[1]!BexGetData("DP_1","003N8EMH8GTFRIVOG7KG9J3KE","GSON1112030704")</f>
        <v>#NAME?</v>
      </c>
      <c r="P321" s="28" t="e">
        <f ca="1">[1]!BexGetData("DP_1","003N8EMH8GTFRIVOG7KG9J9VY","GSON1112030704")</f>
        <v>#NAME?</v>
      </c>
      <c r="Q321" s="24" t="e">
        <f ca="1">[1]!BexGetData("DP_1","00O2TNJGODT0G5Z4TTKYMM5MT","GSON1112030704")</f>
        <v>#NAME?</v>
      </c>
      <c r="R321" s="28" t="e">
        <f ca="1">[1]!BexGetData("DP_1","00O2TNJGODT0G5Z4TTKYMMBYD","GSON1112030704")</f>
        <v>#NAME?</v>
      </c>
      <c r="S321" s="28" t="e">
        <f ca="1">[1]!BexGetData("DP_1","00O2TNJGODT0G5Z4TTKYMMI9X","GSON1112030704")</f>
        <v>#NAME?</v>
      </c>
      <c r="T321" s="28" t="e">
        <f ca="1">[1]!BexGetData("DP_1","00O2TNJGODT0G5Z4TTKYMMOLH","GSON1112030704")</f>
        <v>#NAME?</v>
      </c>
      <c r="U321" s="28" t="e">
        <f ca="1">[1]!BexGetData("DP_1","00O2TNJGODT0G5Z4TTKYMMUX1","GSON1112030704")</f>
        <v>#NAME?</v>
      </c>
      <c r="V321" s="28" t="e">
        <f ca="1">[1]!BexGetData("DP_1","00O2TNJGODT0G5Z4TTKYMN18L","GSON1112030704")</f>
        <v>#NAME?</v>
      </c>
      <c r="W321" s="28" t="e">
        <f ca="1">[1]!BexGetData("DP_1","00O2TNJGODT0G5Z4TTKYMN7K5","GSON1112030704")</f>
        <v>#NAME?</v>
      </c>
    </row>
    <row r="322" spans="1:23" x14ac:dyDescent="0.2">
      <c r="A322" s="36" t="s">
        <v>2160</v>
      </c>
      <c r="B322" s="27" t="s">
        <v>2161</v>
      </c>
      <c r="C322" s="28" t="e">
        <f ca="1">[1]!BexGetData("DP_1","003N8EMH8GTFRCSWKMPXRR8GU","GSON1112030705")</f>
        <v>#NAME?</v>
      </c>
      <c r="D322" s="23" t="e">
        <f ca="1">[1]!BexGetData("DP_1","003N8EMH8GTFRCSWKMPXRRESE","GSON1112030705")</f>
        <v>#NAME?</v>
      </c>
      <c r="E322" s="28" t="e">
        <f ca="1">[1]!BexGetData("DP_1","003N8EMH8GTFRCSWKMPXRRL3Y","GSON1112030705")</f>
        <v>#NAME?</v>
      </c>
      <c r="F322" s="23" t="e">
        <f ca="1">[1]!BexGetData("DP_1","003N8EMH8GTFRCSWKMPXRRRFI","GSON1112030705")</f>
        <v>#NAME?</v>
      </c>
      <c r="G322" s="23" t="e">
        <f ca="1">[1]!BexGetData("DP_1","003N8EMH8GTFRCSWKMPXRRXR2","GSON1112030705")</f>
        <v>#NAME?</v>
      </c>
      <c r="H322" s="28" t="e">
        <f ca="1">[1]!BexGetData("DP_1","003N8EMH8GTFRCSWKMPXRS42M","GSON1112030705")</f>
        <v>#NAME?</v>
      </c>
      <c r="I322" s="23" t="e">
        <f ca="1">[1]!BexGetData("DP_1","003N8EMH8GTFRCSWKMPXRSAE6","GSON1112030705")</f>
        <v>#NAME?</v>
      </c>
      <c r="J322" s="24" t="e">
        <f ca="1">[1]!BexGetData("DP_1","003N8EMH8GTFRCSWKMPXRSGPQ","GSON1112030705")</f>
        <v>#NAME?</v>
      </c>
      <c r="K322" s="23" t="e">
        <f ca="1">[1]!BexGetData("DP_1","003N8EMH8GTFRIVNUPY288VJH","GSON1112030705")</f>
        <v>#NAME?</v>
      </c>
      <c r="L322" s="23" t="e">
        <f ca="1">[1]!BexGetData("DP_1","003N8EMH8GTFRIVNUPY2891V1","GSON1112030705")</f>
        <v>#NAME?</v>
      </c>
      <c r="M322" s="23" t="e">
        <f ca="1">[1]!BexGetData("DP_1","003N8EMH8GTFRIVOG7KG9IQXA","GSON1112030705")</f>
        <v>#NAME?</v>
      </c>
      <c r="N322" s="28" t="e">
        <f ca="1">[1]!BexGetData("DP_1","003N8EMH8GTFRIVOG7KG9IX8U","GSON1112030705")</f>
        <v>#NAME?</v>
      </c>
      <c r="O322" s="23" t="e">
        <f ca="1">[1]!BexGetData("DP_1","003N8EMH8GTFRIVOG7KG9J3KE","GSON1112030705")</f>
        <v>#NAME?</v>
      </c>
      <c r="P322" s="28" t="e">
        <f ca="1">[1]!BexGetData("DP_1","003N8EMH8GTFRIVOG7KG9J9VY","GSON1112030705")</f>
        <v>#NAME?</v>
      </c>
      <c r="Q322" s="24" t="e">
        <f ca="1">[1]!BexGetData("DP_1","00O2TNJGODT0G5Z4TTKYMM5MT","GSON1112030705")</f>
        <v>#NAME?</v>
      </c>
      <c r="R322" s="23" t="e">
        <f ca="1">[1]!BexGetData("DP_1","00O2TNJGODT0G5Z4TTKYMMBYD","GSON1112030705")</f>
        <v>#NAME?</v>
      </c>
      <c r="S322" s="23" t="e">
        <f ca="1">[1]!BexGetData("DP_1","00O2TNJGODT0G5Z4TTKYMMI9X","GSON1112030705")</f>
        <v>#NAME?</v>
      </c>
      <c r="T322" s="28" t="e">
        <f ca="1">[1]!BexGetData("DP_1","00O2TNJGODT0G5Z4TTKYMMOLH","GSON1112030705")</f>
        <v>#NAME?</v>
      </c>
      <c r="U322" s="23" t="e">
        <f ca="1">[1]!BexGetData("DP_1","00O2TNJGODT0G5Z4TTKYMMUX1","GSON1112030705")</f>
        <v>#NAME?</v>
      </c>
      <c r="V322" s="28" t="e">
        <f ca="1">[1]!BexGetData("DP_1","00O2TNJGODT0G5Z4TTKYMN18L","GSON1112030705")</f>
        <v>#NAME?</v>
      </c>
      <c r="W322" s="23" t="e">
        <f ca="1">[1]!BexGetData("DP_1","00O2TNJGODT0G5Z4TTKYMN7K5","GSON1112030705")</f>
        <v>#NAME?</v>
      </c>
    </row>
    <row r="323" spans="1:23" x14ac:dyDescent="0.2">
      <c r="A323" s="36" t="s">
        <v>623</v>
      </c>
      <c r="B323" s="27" t="s">
        <v>624</v>
      </c>
      <c r="C323" s="28" t="e">
        <f ca="1">[1]!BexGetData("DP_1","003N8EMH8GTFRCSWKMPXRR8GU","GSON1112030710")</f>
        <v>#NAME?</v>
      </c>
      <c r="D323" s="28" t="e">
        <f ca="1">[1]!BexGetData("DP_1","003N8EMH8GTFRCSWKMPXRRESE","GSON1112030710")</f>
        <v>#NAME?</v>
      </c>
      <c r="E323" s="23" t="e">
        <f ca="1">[1]!BexGetData("DP_1","003N8EMH8GTFRCSWKMPXRRL3Y","GSON1112030710")</f>
        <v>#NAME?</v>
      </c>
      <c r="F323" s="23" t="e">
        <f ca="1">[1]!BexGetData("DP_1","003N8EMH8GTFRCSWKMPXRRRFI","GSON1112030710")</f>
        <v>#NAME?</v>
      </c>
      <c r="G323" s="23" t="e">
        <f ca="1">[1]!BexGetData("DP_1","003N8EMH8GTFRCSWKMPXRRXR2","GSON1112030710")</f>
        <v>#NAME?</v>
      </c>
      <c r="H323" s="23" t="e">
        <f ca="1">[1]!BexGetData("DP_1","003N8EMH8GTFRCSWKMPXRS42M","GSON1112030710")</f>
        <v>#NAME?</v>
      </c>
      <c r="I323" s="23" t="e">
        <f ca="1">[1]!BexGetData("DP_1","003N8EMH8GTFRCSWKMPXRSAE6","GSON1112030710")</f>
        <v>#NAME?</v>
      </c>
      <c r="J323" s="23" t="e">
        <f ca="1">[1]!BexGetData("DP_1","003N8EMH8GTFRCSWKMPXRSGPQ","GSON1112030710")</f>
        <v>#NAME?</v>
      </c>
      <c r="K323" s="28" t="e">
        <f ca="1">[1]!BexGetData("DP_1","003N8EMH8GTFRIVNUPY288VJH","GSON1112030710")</f>
        <v>#NAME?</v>
      </c>
      <c r="L323" s="28" t="e">
        <f ca="1">[1]!BexGetData("DP_1","003N8EMH8GTFRIVNUPY2891V1","GSON1112030710")</f>
        <v>#NAME?</v>
      </c>
      <c r="M323" s="28" t="e">
        <f ca="1">[1]!BexGetData("DP_1","003N8EMH8GTFRIVOG7KG9IQXA","GSON1112030710")</f>
        <v>#NAME?</v>
      </c>
      <c r="N323" s="28" t="e">
        <f ca="1">[1]!BexGetData("DP_1","003N8EMH8GTFRIVOG7KG9IX8U","GSON1112030710")</f>
        <v>#NAME?</v>
      </c>
      <c r="O323" s="28" t="e">
        <f ca="1">[1]!BexGetData("DP_1","003N8EMH8GTFRIVOG7KG9J3KE","GSON1112030710")</f>
        <v>#NAME?</v>
      </c>
      <c r="P323" s="28" t="e">
        <f ca="1">[1]!BexGetData("DP_1","003N8EMH8GTFRIVOG7KG9J9VY","GSON1112030710")</f>
        <v>#NAME?</v>
      </c>
      <c r="Q323" s="23" t="e">
        <f ca="1">[1]!BexGetData("DP_1","00O2TNJGODT0G5Z4TTKYMM5MT","GSON1112030710")</f>
        <v>#NAME?</v>
      </c>
      <c r="R323" s="23" t="e">
        <f ca="1">[1]!BexGetData("DP_1","00O2TNJGODT0G5Z4TTKYMMBYD","GSON1112030710")</f>
        <v>#NAME?</v>
      </c>
      <c r="S323" s="23" t="e">
        <f ca="1">[1]!BexGetData("DP_1","00O2TNJGODT0G5Z4TTKYMMI9X","GSON1112030710")</f>
        <v>#NAME?</v>
      </c>
      <c r="T323" s="23" t="e">
        <f ca="1">[1]!BexGetData("DP_1","00O2TNJGODT0G5Z4TTKYMMOLH","GSON1112030710")</f>
        <v>#NAME?</v>
      </c>
      <c r="U323" s="28" t="e">
        <f ca="1">[1]!BexGetData("DP_1","00O2TNJGODT0G5Z4TTKYMMUX1","GSON1112030710")</f>
        <v>#NAME?</v>
      </c>
      <c r="V323" s="23" t="e">
        <f ca="1">[1]!BexGetData("DP_1","00O2TNJGODT0G5Z4TTKYMN18L","GSON1112030710")</f>
        <v>#NAME?</v>
      </c>
      <c r="W323" s="28" t="e">
        <f ca="1">[1]!BexGetData("DP_1","00O2TNJGODT0G5Z4TTKYMN7K5","GSON1112030710")</f>
        <v>#NAME?</v>
      </c>
    </row>
    <row r="324" spans="1:23" x14ac:dyDescent="0.2">
      <c r="A324" s="36" t="s">
        <v>625</v>
      </c>
      <c r="B324" s="27" t="s">
        <v>626</v>
      </c>
      <c r="C324" s="28" t="e">
        <f ca="1">[1]!BexGetData("DP_1","003N8EMH8GTFRCSWKMPXRR8GU","GSON1112030711")</f>
        <v>#NAME?</v>
      </c>
      <c r="D324" s="28" t="e">
        <f ca="1">[1]!BexGetData("DP_1","003N8EMH8GTFRCSWKMPXRRESE","GSON1112030711")</f>
        <v>#NAME?</v>
      </c>
      <c r="E324" s="28" t="e">
        <f ca="1">[1]!BexGetData("DP_1","003N8EMH8GTFRCSWKMPXRRL3Y","GSON1112030711")</f>
        <v>#NAME?</v>
      </c>
      <c r="F324" s="28" t="e">
        <f ca="1">[1]!BexGetData("DP_1","003N8EMH8GTFRCSWKMPXRRRFI","GSON1112030711")</f>
        <v>#NAME?</v>
      </c>
      <c r="G324" s="23" t="e">
        <f ca="1">[1]!BexGetData("DP_1","003N8EMH8GTFRCSWKMPXRRXR2","GSON1112030711")</f>
        <v>#NAME?</v>
      </c>
      <c r="H324" s="23" t="e">
        <f ca="1">[1]!BexGetData("DP_1","003N8EMH8GTFRCSWKMPXRS42M","GSON1112030711")</f>
        <v>#NAME?</v>
      </c>
      <c r="I324" s="28" t="e">
        <f ca="1">[1]!BexGetData("DP_1","003N8EMH8GTFRCSWKMPXRSAE6","GSON1112030711")</f>
        <v>#NAME?</v>
      </c>
      <c r="J324" s="24" t="e">
        <f ca="1">[1]!BexGetData("DP_1","003N8EMH8GTFRCSWKMPXRSGPQ","GSON1112030711")</f>
        <v>#NAME?</v>
      </c>
      <c r="K324" s="28" t="e">
        <f ca="1">[1]!BexGetData("DP_1","003N8EMH8GTFRIVNUPY288VJH","GSON1112030711")</f>
        <v>#NAME?</v>
      </c>
      <c r="L324" s="28" t="e">
        <f ca="1">[1]!BexGetData("DP_1","003N8EMH8GTFRIVNUPY2891V1","GSON1112030711")</f>
        <v>#NAME?</v>
      </c>
      <c r="M324" s="28" t="e">
        <f ca="1">[1]!BexGetData("DP_1","003N8EMH8GTFRIVOG7KG9IQXA","GSON1112030711")</f>
        <v>#NAME?</v>
      </c>
      <c r="N324" s="28" t="e">
        <f ca="1">[1]!BexGetData("DP_1","003N8EMH8GTFRIVOG7KG9IX8U","GSON1112030711")</f>
        <v>#NAME?</v>
      </c>
      <c r="O324" s="28" t="e">
        <f ca="1">[1]!BexGetData("DP_1","003N8EMH8GTFRIVOG7KG9J3KE","GSON1112030711")</f>
        <v>#NAME?</v>
      </c>
      <c r="P324" s="28" t="e">
        <f ca="1">[1]!BexGetData("DP_1","003N8EMH8GTFRIVOG7KG9J9VY","GSON1112030711")</f>
        <v>#NAME?</v>
      </c>
      <c r="Q324" s="24" t="e">
        <f ca="1">[1]!BexGetData("DP_1","00O2TNJGODT0G5Z4TTKYMM5MT","GSON1112030711")</f>
        <v>#NAME?</v>
      </c>
      <c r="R324" s="28" t="e">
        <f ca="1">[1]!BexGetData("DP_1","00O2TNJGODT0G5Z4TTKYMMBYD","GSON1112030711")</f>
        <v>#NAME?</v>
      </c>
      <c r="S324" s="28" t="e">
        <f ca="1">[1]!BexGetData("DP_1","00O2TNJGODT0G5Z4TTKYMMI9X","GSON1112030711")</f>
        <v>#NAME?</v>
      </c>
      <c r="T324" s="28" t="e">
        <f ca="1">[1]!BexGetData("DP_1","00O2TNJGODT0G5Z4TTKYMMOLH","GSON1112030711")</f>
        <v>#NAME?</v>
      </c>
      <c r="U324" s="28" t="e">
        <f ca="1">[1]!BexGetData("DP_1","00O2TNJGODT0G5Z4TTKYMMUX1","GSON1112030711")</f>
        <v>#NAME?</v>
      </c>
      <c r="V324" s="28" t="e">
        <f ca="1">[1]!BexGetData("DP_1","00O2TNJGODT0G5Z4TTKYMN18L","GSON1112030711")</f>
        <v>#NAME?</v>
      </c>
      <c r="W324" s="28" t="e">
        <f ca="1">[1]!BexGetData("DP_1","00O2TNJGODT0G5Z4TTKYMN7K5","GSON1112030711")</f>
        <v>#NAME?</v>
      </c>
    </row>
    <row r="325" spans="1:23" x14ac:dyDescent="0.2">
      <c r="A325" s="36" t="s">
        <v>2162</v>
      </c>
      <c r="B325" s="27" t="s">
        <v>2163</v>
      </c>
      <c r="C325" s="24" t="e">
        <f ca="1">[1]!BexGetData("DP_1","003N8EMH8GTFRCSWKMPXRR8GU","GSON1112030713")</f>
        <v>#NAME?</v>
      </c>
      <c r="D325" s="24" t="e">
        <f ca="1">[1]!BexGetData("DP_1","003N8EMH8GTFRCSWKMPXRRESE","GSON1112030713")</f>
        <v>#NAME?</v>
      </c>
      <c r="E325" s="24" t="e">
        <f ca="1">[1]!BexGetData("DP_1","003N8EMH8GTFRCSWKMPXRRL3Y","GSON1112030713")</f>
        <v>#NAME?</v>
      </c>
      <c r="F325" s="28" t="e">
        <f ca="1">[1]!BexGetData("DP_1","003N8EMH8GTFRCSWKMPXRRRFI","GSON1112030713")</f>
        <v>#NAME?</v>
      </c>
      <c r="G325" s="23" t="e">
        <f ca="1">[1]!BexGetData("DP_1","003N8EMH8GTFRCSWKMPXRRXR2","GSON1112030713")</f>
        <v>#NAME?</v>
      </c>
      <c r="H325" s="23" t="e">
        <f ca="1">[1]!BexGetData("DP_1","003N8EMH8GTFRCSWKMPXRS42M","GSON1112030713")</f>
        <v>#NAME?</v>
      </c>
      <c r="I325" s="28" t="e">
        <f ca="1">[1]!BexGetData("DP_1","003N8EMH8GTFRCSWKMPXRSAE6","GSON1112030713")</f>
        <v>#NAME?</v>
      </c>
      <c r="J325" s="24" t="e">
        <f ca="1">[1]!BexGetData("DP_1","003N8EMH8GTFRCSWKMPXRSGPQ","GSON1112030713")</f>
        <v>#NAME?</v>
      </c>
      <c r="K325" s="28" t="e">
        <f ca="1">[1]!BexGetData("DP_1","003N8EMH8GTFRIVNUPY288VJH","GSON1112030713")</f>
        <v>#NAME?</v>
      </c>
      <c r="L325" s="28" t="e">
        <f ca="1">[1]!BexGetData("DP_1","003N8EMH8GTFRIVNUPY2891V1","GSON1112030713")</f>
        <v>#NAME?</v>
      </c>
      <c r="M325" s="28" t="e">
        <f ca="1">[1]!BexGetData("DP_1","003N8EMH8GTFRIVOG7KG9IQXA","GSON1112030713")</f>
        <v>#NAME?</v>
      </c>
      <c r="N325" s="28" t="e">
        <f ca="1">[1]!BexGetData("DP_1","003N8EMH8GTFRIVOG7KG9IX8U","GSON1112030713")</f>
        <v>#NAME?</v>
      </c>
      <c r="O325" s="28" t="e">
        <f ca="1">[1]!BexGetData("DP_1","003N8EMH8GTFRIVOG7KG9J3KE","GSON1112030713")</f>
        <v>#NAME?</v>
      </c>
      <c r="P325" s="28" t="e">
        <f ca="1">[1]!BexGetData("DP_1","003N8EMH8GTFRIVOG7KG9J9VY","GSON1112030713")</f>
        <v>#NAME?</v>
      </c>
      <c r="Q325" s="24" t="e">
        <f ca="1">[1]!BexGetData("DP_1","00O2TNJGODT0G5Z4TTKYMM5MT","GSON1112030713")</f>
        <v>#NAME?</v>
      </c>
      <c r="R325" s="28" t="e">
        <f ca="1">[1]!BexGetData("DP_1","00O2TNJGODT0G5Z4TTKYMMBYD","GSON1112030713")</f>
        <v>#NAME?</v>
      </c>
      <c r="S325" s="28" t="e">
        <f ca="1">[1]!BexGetData("DP_1","00O2TNJGODT0G5Z4TTKYMMI9X","GSON1112030713")</f>
        <v>#NAME?</v>
      </c>
      <c r="T325" s="28" t="e">
        <f ca="1">[1]!BexGetData("DP_1","00O2TNJGODT0G5Z4TTKYMMOLH","GSON1112030713")</f>
        <v>#NAME?</v>
      </c>
      <c r="U325" s="28" t="e">
        <f ca="1">[1]!BexGetData("DP_1","00O2TNJGODT0G5Z4TTKYMMUX1","GSON1112030713")</f>
        <v>#NAME?</v>
      </c>
      <c r="V325" s="28" t="e">
        <f ca="1">[1]!BexGetData("DP_1","00O2TNJGODT0G5Z4TTKYMN18L","GSON1112030713")</f>
        <v>#NAME?</v>
      </c>
      <c r="W325" s="28" t="e">
        <f ca="1">[1]!BexGetData("DP_1","00O2TNJGODT0G5Z4TTKYMN7K5","GSON1112030713")</f>
        <v>#NAME?</v>
      </c>
    </row>
    <row r="326" spans="1:23" x14ac:dyDescent="0.2">
      <c r="A326" s="36" t="s">
        <v>2164</v>
      </c>
      <c r="B326" s="27" t="s">
        <v>2165</v>
      </c>
      <c r="C326" s="24" t="e">
        <f ca="1">[1]!BexGetData("DP_1","003N8EMH8GTFRCSWKMPXRR8GU","GSON1112030714")</f>
        <v>#NAME?</v>
      </c>
      <c r="D326" s="24" t="e">
        <f ca="1">[1]!BexGetData("DP_1","003N8EMH8GTFRCSWKMPXRRESE","GSON1112030714")</f>
        <v>#NAME?</v>
      </c>
      <c r="E326" s="24" t="e">
        <f ca="1">[1]!BexGetData("DP_1","003N8EMH8GTFRCSWKMPXRRL3Y","GSON1112030714")</f>
        <v>#NAME?</v>
      </c>
      <c r="F326" s="28" t="e">
        <f ca="1">[1]!BexGetData("DP_1","003N8EMH8GTFRCSWKMPXRRRFI","GSON1112030714")</f>
        <v>#NAME?</v>
      </c>
      <c r="G326" s="23" t="e">
        <f ca="1">[1]!BexGetData("DP_1","003N8EMH8GTFRCSWKMPXRRXR2","GSON1112030714")</f>
        <v>#NAME?</v>
      </c>
      <c r="H326" s="23" t="e">
        <f ca="1">[1]!BexGetData("DP_1","003N8EMH8GTFRCSWKMPXRS42M","GSON1112030714")</f>
        <v>#NAME?</v>
      </c>
      <c r="I326" s="28" t="e">
        <f ca="1">[1]!BexGetData("DP_1","003N8EMH8GTFRCSWKMPXRSAE6","GSON1112030714")</f>
        <v>#NAME?</v>
      </c>
      <c r="J326" s="24" t="e">
        <f ca="1">[1]!BexGetData("DP_1","003N8EMH8GTFRCSWKMPXRSGPQ","GSON1112030714")</f>
        <v>#NAME?</v>
      </c>
      <c r="K326" s="28" t="e">
        <f ca="1">[1]!BexGetData("DP_1","003N8EMH8GTFRIVNUPY288VJH","GSON1112030714")</f>
        <v>#NAME?</v>
      </c>
      <c r="L326" s="28" t="e">
        <f ca="1">[1]!BexGetData("DP_1","003N8EMH8GTFRIVNUPY2891V1","GSON1112030714")</f>
        <v>#NAME?</v>
      </c>
      <c r="M326" s="28" t="e">
        <f ca="1">[1]!BexGetData("DP_1","003N8EMH8GTFRIVOG7KG9IQXA","GSON1112030714")</f>
        <v>#NAME?</v>
      </c>
      <c r="N326" s="28" t="e">
        <f ca="1">[1]!BexGetData("DP_1","003N8EMH8GTFRIVOG7KG9IX8U","GSON1112030714")</f>
        <v>#NAME?</v>
      </c>
      <c r="O326" s="28" t="e">
        <f ca="1">[1]!BexGetData("DP_1","003N8EMH8GTFRIVOG7KG9J3KE","GSON1112030714")</f>
        <v>#NAME?</v>
      </c>
      <c r="P326" s="28" t="e">
        <f ca="1">[1]!BexGetData("DP_1","003N8EMH8GTFRIVOG7KG9J9VY","GSON1112030714")</f>
        <v>#NAME?</v>
      </c>
      <c r="Q326" s="24" t="e">
        <f ca="1">[1]!BexGetData("DP_1","00O2TNJGODT0G5Z4TTKYMM5MT","GSON1112030714")</f>
        <v>#NAME?</v>
      </c>
      <c r="R326" s="28" t="e">
        <f ca="1">[1]!BexGetData("DP_1","00O2TNJGODT0G5Z4TTKYMMBYD","GSON1112030714")</f>
        <v>#NAME?</v>
      </c>
      <c r="S326" s="28" t="e">
        <f ca="1">[1]!BexGetData("DP_1","00O2TNJGODT0G5Z4TTKYMMI9X","GSON1112030714")</f>
        <v>#NAME?</v>
      </c>
      <c r="T326" s="28" t="e">
        <f ca="1">[1]!BexGetData("DP_1","00O2TNJGODT0G5Z4TTKYMMOLH","GSON1112030714")</f>
        <v>#NAME?</v>
      </c>
      <c r="U326" s="28" t="e">
        <f ca="1">[1]!BexGetData("DP_1","00O2TNJGODT0G5Z4TTKYMMUX1","GSON1112030714")</f>
        <v>#NAME?</v>
      </c>
      <c r="V326" s="28" t="e">
        <f ca="1">[1]!BexGetData("DP_1","00O2TNJGODT0G5Z4TTKYMN18L","GSON1112030714")</f>
        <v>#NAME?</v>
      </c>
      <c r="W326" s="28" t="e">
        <f ca="1">[1]!BexGetData("DP_1","00O2TNJGODT0G5Z4TTKYMN7K5","GSON1112030714")</f>
        <v>#NAME?</v>
      </c>
    </row>
    <row r="327" spans="1:23" x14ac:dyDescent="0.2">
      <c r="A327" s="36" t="s">
        <v>873</v>
      </c>
      <c r="B327" s="27" t="s">
        <v>874</v>
      </c>
      <c r="C327" s="28" t="e">
        <f ca="1">[1]!BexGetData("DP_1","003N8EMH8GTFRCSWKMPXRR8GU","GSON1112030720")</f>
        <v>#NAME?</v>
      </c>
      <c r="D327" s="23" t="e">
        <f ca="1">[1]!BexGetData("DP_1","003N8EMH8GTFRCSWKMPXRRESE","GSON1112030720")</f>
        <v>#NAME?</v>
      </c>
      <c r="E327" s="28" t="e">
        <f ca="1">[1]!BexGetData("DP_1","003N8EMH8GTFRCSWKMPXRRL3Y","GSON1112030720")</f>
        <v>#NAME?</v>
      </c>
      <c r="F327" s="23" t="e">
        <f ca="1">[1]!BexGetData("DP_1","003N8EMH8GTFRCSWKMPXRRRFI","GSON1112030720")</f>
        <v>#NAME?</v>
      </c>
      <c r="G327" s="23" t="e">
        <f ca="1">[1]!BexGetData("DP_1","003N8EMH8GTFRCSWKMPXRRXR2","GSON1112030720")</f>
        <v>#NAME?</v>
      </c>
      <c r="H327" s="23" t="e">
        <f ca="1">[1]!BexGetData("DP_1","003N8EMH8GTFRCSWKMPXRS42M","GSON1112030720")</f>
        <v>#NAME?</v>
      </c>
      <c r="I327" s="23" t="e">
        <f ca="1">[1]!BexGetData("DP_1","003N8EMH8GTFRCSWKMPXRSAE6","GSON1112030720")</f>
        <v>#NAME?</v>
      </c>
      <c r="J327" s="23" t="e">
        <f ca="1">[1]!BexGetData("DP_1","003N8EMH8GTFRCSWKMPXRSGPQ","GSON1112030720")</f>
        <v>#NAME?</v>
      </c>
      <c r="K327" s="23" t="e">
        <f ca="1">[1]!BexGetData("DP_1","003N8EMH8GTFRIVNUPY288VJH","GSON1112030720")</f>
        <v>#NAME?</v>
      </c>
      <c r="L327" s="23" t="e">
        <f ca="1">[1]!BexGetData("DP_1","003N8EMH8GTFRIVNUPY2891V1","GSON1112030720")</f>
        <v>#NAME?</v>
      </c>
      <c r="M327" s="23" t="e">
        <f ca="1">[1]!BexGetData("DP_1","003N8EMH8GTFRIVOG7KG9IQXA","GSON1112030720")</f>
        <v>#NAME?</v>
      </c>
      <c r="N327" s="28" t="e">
        <f ca="1">[1]!BexGetData("DP_1","003N8EMH8GTFRIVOG7KG9IX8U","GSON1112030720")</f>
        <v>#NAME?</v>
      </c>
      <c r="O327" s="23" t="e">
        <f ca="1">[1]!BexGetData("DP_1","003N8EMH8GTFRIVOG7KG9J3KE","GSON1112030720")</f>
        <v>#NAME?</v>
      </c>
      <c r="P327" s="28" t="e">
        <f ca="1">[1]!BexGetData("DP_1","003N8EMH8GTFRIVOG7KG9J9VY","GSON1112030720")</f>
        <v>#NAME?</v>
      </c>
      <c r="Q327" s="23" t="e">
        <f ca="1">[1]!BexGetData("DP_1","00O2TNJGODT0G5Z4TTKYMM5MT","GSON1112030720")</f>
        <v>#NAME?</v>
      </c>
      <c r="R327" s="23" t="e">
        <f ca="1">[1]!BexGetData("DP_1","00O2TNJGODT0G5Z4TTKYMMBYD","GSON1112030720")</f>
        <v>#NAME?</v>
      </c>
      <c r="S327" s="23" t="e">
        <f ca="1">[1]!BexGetData("DP_1","00O2TNJGODT0G5Z4TTKYMMI9X","GSON1112030720")</f>
        <v>#NAME?</v>
      </c>
      <c r="T327" s="23" t="e">
        <f ca="1">[1]!BexGetData("DP_1","00O2TNJGODT0G5Z4TTKYMMOLH","GSON1112030720")</f>
        <v>#NAME?</v>
      </c>
      <c r="U327" s="28" t="e">
        <f ca="1">[1]!BexGetData("DP_1","00O2TNJGODT0G5Z4TTKYMMUX1","GSON1112030720")</f>
        <v>#NAME?</v>
      </c>
      <c r="V327" s="23" t="e">
        <f ca="1">[1]!BexGetData("DP_1","00O2TNJGODT0G5Z4TTKYMN18L","GSON1112030720")</f>
        <v>#NAME?</v>
      </c>
      <c r="W327" s="28" t="e">
        <f ca="1">[1]!BexGetData("DP_1","00O2TNJGODT0G5Z4TTKYMN7K5","GSON1112030720")</f>
        <v>#NAME?</v>
      </c>
    </row>
    <row r="328" spans="1:23" x14ac:dyDescent="0.2">
      <c r="A328" s="36" t="s">
        <v>875</v>
      </c>
      <c r="B328" s="27" t="s">
        <v>876</v>
      </c>
      <c r="C328" s="23" t="e">
        <f ca="1">[1]!BexGetData("DP_1","003N8EMH8GTFRCSWKMPXRR8GU","GSON1112030721")</f>
        <v>#NAME?</v>
      </c>
      <c r="D328" s="23" t="e">
        <f ca="1">[1]!BexGetData("DP_1","003N8EMH8GTFRCSWKMPXRRESE","GSON1112030721")</f>
        <v>#NAME?</v>
      </c>
      <c r="E328" s="28" t="e">
        <f ca="1">[1]!BexGetData("DP_1","003N8EMH8GTFRCSWKMPXRRL3Y","GSON1112030721")</f>
        <v>#NAME?</v>
      </c>
      <c r="F328" s="23" t="e">
        <f ca="1">[1]!BexGetData("DP_1","003N8EMH8GTFRCSWKMPXRRRFI","GSON1112030721")</f>
        <v>#NAME?</v>
      </c>
      <c r="G328" s="23" t="e">
        <f ca="1">[1]!BexGetData("DP_1","003N8EMH8GTFRCSWKMPXRRXR2","GSON1112030721")</f>
        <v>#NAME?</v>
      </c>
      <c r="H328" s="23" t="e">
        <f ca="1">[1]!BexGetData("DP_1","003N8EMH8GTFRCSWKMPXRS42M","GSON1112030721")</f>
        <v>#NAME?</v>
      </c>
      <c r="I328" s="23" t="e">
        <f ca="1">[1]!BexGetData("DP_1","003N8EMH8GTFRCSWKMPXRSAE6","GSON1112030721")</f>
        <v>#NAME?</v>
      </c>
      <c r="J328" s="24" t="e">
        <f ca="1">[1]!BexGetData("DP_1","003N8EMH8GTFRCSWKMPXRSGPQ","GSON1112030721")</f>
        <v>#NAME?</v>
      </c>
      <c r="K328" s="23" t="e">
        <f ca="1">[1]!BexGetData("DP_1","003N8EMH8GTFRIVNUPY288VJH","GSON1112030721")</f>
        <v>#NAME?</v>
      </c>
      <c r="L328" s="23" t="e">
        <f ca="1">[1]!BexGetData("DP_1","003N8EMH8GTFRIVNUPY2891V1","GSON1112030721")</f>
        <v>#NAME?</v>
      </c>
      <c r="M328" s="28" t="e">
        <f ca="1">[1]!BexGetData("DP_1","003N8EMH8GTFRIVOG7KG9IQXA","GSON1112030721")</f>
        <v>#NAME?</v>
      </c>
      <c r="N328" s="23" t="e">
        <f ca="1">[1]!BexGetData("DP_1","003N8EMH8GTFRIVOG7KG9IX8U","GSON1112030721")</f>
        <v>#NAME?</v>
      </c>
      <c r="O328" s="28" t="e">
        <f ca="1">[1]!BexGetData("DP_1","003N8EMH8GTFRIVOG7KG9J3KE","GSON1112030721")</f>
        <v>#NAME?</v>
      </c>
      <c r="P328" s="23" t="e">
        <f ca="1">[1]!BexGetData("DP_1","003N8EMH8GTFRIVOG7KG9J9VY","GSON1112030721")</f>
        <v>#NAME?</v>
      </c>
      <c r="Q328" s="24" t="e">
        <f ca="1">[1]!BexGetData("DP_1","00O2TNJGODT0G5Z4TTKYMM5MT","GSON1112030721")</f>
        <v>#NAME?</v>
      </c>
      <c r="R328" s="23" t="e">
        <f ca="1">[1]!BexGetData("DP_1","00O2TNJGODT0G5Z4TTKYMMBYD","GSON1112030721")</f>
        <v>#NAME?</v>
      </c>
      <c r="S328" s="23" t="e">
        <f ca="1">[1]!BexGetData("DP_1","00O2TNJGODT0G5Z4TTKYMMI9X","GSON1112030721")</f>
        <v>#NAME?</v>
      </c>
      <c r="T328" s="23" t="e">
        <f ca="1">[1]!BexGetData("DP_1","00O2TNJGODT0G5Z4TTKYMMOLH","GSON1112030721")</f>
        <v>#NAME?</v>
      </c>
      <c r="U328" s="28" t="e">
        <f ca="1">[1]!BexGetData("DP_1","00O2TNJGODT0G5Z4TTKYMMUX1","GSON1112030721")</f>
        <v>#NAME?</v>
      </c>
      <c r="V328" s="23" t="e">
        <f ca="1">[1]!BexGetData("DP_1","00O2TNJGODT0G5Z4TTKYMN18L","GSON1112030721")</f>
        <v>#NAME?</v>
      </c>
      <c r="W328" s="28" t="e">
        <f ca="1">[1]!BexGetData("DP_1","00O2TNJGODT0G5Z4TTKYMN7K5","GSON1112030721")</f>
        <v>#NAME?</v>
      </c>
    </row>
    <row r="329" spans="1:23" x14ac:dyDescent="0.2">
      <c r="A329" s="36" t="s">
        <v>2166</v>
      </c>
      <c r="B329" s="27" t="s">
        <v>2167</v>
      </c>
      <c r="C329" s="23" t="e">
        <f ca="1">[1]!BexGetData("DP_1","003N8EMH8GTFRCSWKMPXRR8GU","GSON1112030723")</f>
        <v>#NAME?</v>
      </c>
      <c r="D329" s="23" t="e">
        <f ca="1">[1]!BexGetData("DP_1","003N8EMH8GTFRCSWKMPXRRESE","GSON1112030723")</f>
        <v>#NAME?</v>
      </c>
      <c r="E329" s="28" t="e">
        <f ca="1">[1]!BexGetData("DP_1","003N8EMH8GTFRCSWKMPXRRL3Y","GSON1112030723")</f>
        <v>#NAME?</v>
      </c>
      <c r="F329" s="28" t="e">
        <f ca="1">[1]!BexGetData("DP_1","003N8EMH8GTFRCSWKMPXRRRFI","GSON1112030723")</f>
        <v>#NAME?</v>
      </c>
      <c r="G329" s="23" t="e">
        <f ca="1">[1]!BexGetData("DP_1","003N8EMH8GTFRCSWKMPXRRXR2","GSON1112030723")</f>
        <v>#NAME?</v>
      </c>
      <c r="H329" s="23" t="e">
        <f ca="1">[1]!BexGetData("DP_1","003N8EMH8GTFRCSWKMPXRS42M","GSON1112030723")</f>
        <v>#NAME?</v>
      </c>
      <c r="I329" s="28" t="e">
        <f ca="1">[1]!BexGetData("DP_1","003N8EMH8GTFRCSWKMPXRSAE6","GSON1112030723")</f>
        <v>#NAME?</v>
      </c>
      <c r="J329" s="24" t="e">
        <f ca="1">[1]!BexGetData("DP_1","003N8EMH8GTFRCSWKMPXRSGPQ","GSON1112030723")</f>
        <v>#NAME?</v>
      </c>
      <c r="K329" s="28" t="e">
        <f ca="1">[1]!BexGetData("DP_1","003N8EMH8GTFRIVNUPY288VJH","GSON1112030723")</f>
        <v>#NAME?</v>
      </c>
      <c r="L329" s="28" t="e">
        <f ca="1">[1]!BexGetData("DP_1","003N8EMH8GTFRIVNUPY2891V1","GSON1112030723")</f>
        <v>#NAME?</v>
      </c>
      <c r="M329" s="28" t="e">
        <f ca="1">[1]!BexGetData("DP_1","003N8EMH8GTFRIVOG7KG9IQXA","GSON1112030723")</f>
        <v>#NAME?</v>
      </c>
      <c r="N329" s="28" t="e">
        <f ca="1">[1]!BexGetData("DP_1","003N8EMH8GTFRIVOG7KG9IX8U","GSON1112030723")</f>
        <v>#NAME?</v>
      </c>
      <c r="O329" s="28" t="e">
        <f ca="1">[1]!BexGetData("DP_1","003N8EMH8GTFRIVOG7KG9J3KE","GSON1112030723")</f>
        <v>#NAME?</v>
      </c>
      <c r="P329" s="28" t="e">
        <f ca="1">[1]!BexGetData("DP_1","003N8EMH8GTFRIVOG7KG9J9VY","GSON1112030723")</f>
        <v>#NAME?</v>
      </c>
      <c r="Q329" s="24" t="e">
        <f ca="1">[1]!BexGetData("DP_1","00O2TNJGODT0G5Z4TTKYMM5MT","GSON1112030723")</f>
        <v>#NAME?</v>
      </c>
      <c r="R329" s="28" t="e">
        <f ca="1">[1]!BexGetData("DP_1","00O2TNJGODT0G5Z4TTKYMMBYD","GSON1112030723")</f>
        <v>#NAME?</v>
      </c>
      <c r="S329" s="28" t="e">
        <f ca="1">[1]!BexGetData("DP_1","00O2TNJGODT0G5Z4TTKYMMI9X","GSON1112030723")</f>
        <v>#NAME?</v>
      </c>
      <c r="T329" s="28" t="e">
        <f ca="1">[1]!BexGetData("DP_1","00O2TNJGODT0G5Z4TTKYMMOLH","GSON1112030723")</f>
        <v>#NAME?</v>
      </c>
      <c r="U329" s="28" t="e">
        <f ca="1">[1]!BexGetData("DP_1","00O2TNJGODT0G5Z4TTKYMMUX1","GSON1112030723")</f>
        <v>#NAME?</v>
      </c>
      <c r="V329" s="28" t="e">
        <f ca="1">[1]!BexGetData("DP_1","00O2TNJGODT0G5Z4TTKYMN18L","GSON1112030723")</f>
        <v>#NAME?</v>
      </c>
      <c r="W329" s="28" t="e">
        <f ca="1">[1]!BexGetData("DP_1","00O2TNJGODT0G5Z4TTKYMN7K5","GSON1112030723")</f>
        <v>#NAME?</v>
      </c>
    </row>
    <row r="330" spans="1:23" x14ac:dyDescent="0.2">
      <c r="A330" s="36" t="s">
        <v>2168</v>
      </c>
      <c r="B330" s="27" t="s">
        <v>2169</v>
      </c>
      <c r="C330" s="23" t="e">
        <f ca="1">[1]!BexGetData("DP_1","003N8EMH8GTFRCSWKMPXRR8GU","GSON1112030724")</f>
        <v>#NAME?</v>
      </c>
      <c r="D330" s="23" t="e">
        <f ca="1">[1]!BexGetData("DP_1","003N8EMH8GTFRCSWKMPXRRESE","GSON1112030724")</f>
        <v>#NAME?</v>
      </c>
      <c r="E330" s="28" t="e">
        <f ca="1">[1]!BexGetData("DP_1","003N8EMH8GTFRCSWKMPXRRL3Y","GSON1112030724")</f>
        <v>#NAME?</v>
      </c>
      <c r="F330" s="28" t="e">
        <f ca="1">[1]!BexGetData("DP_1","003N8EMH8GTFRCSWKMPXRRRFI","GSON1112030724")</f>
        <v>#NAME?</v>
      </c>
      <c r="G330" s="23" t="e">
        <f ca="1">[1]!BexGetData("DP_1","003N8EMH8GTFRCSWKMPXRRXR2","GSON1112030724")</f>
        <v>#NAME?</v>
      </c>
      <c r="H330" s="23" t="e">
        <f ca="1">[1]!BexGetData("DP_1","003N8EMH8GTFRCSWKMPXRS42M","GSON1112030724")</f>
        <v>#NAME?</v>
      </c>
      <c r="I330" s="28" t="e">
        <f ca="1">[1]!BexGetData("DP_1","003N8EMH8GTFRCSWKMPXRSAE6","GSON1112030724")</f>
        <v>#NAME?</v>
      </c>
      <c r="J330" s="24" t="e">
        <f ca="1">[1]!BexGetData("DP_1","003N8EMH8GTFRCSWKMPXRSGPQ","GSON1112030724")</f>
        <v>#NAME?</v>
      </c>
      <c r="K330" s="28" t="e">
        <f ca="1">[1]!BexGetData("DP_1","003N8EMH8GTFRIVNUPY288VJH","GSON1112030724")</f>
        <v>#NAME?</v>
      </c>
      <c r="L330" s="28" t="e">
        <f ca="1">[1]!BexGetData("DP_1","003N8EMH8GTFRIVNUPY2891V1","GSON1112030724")</f>
        <v>#NAME?</v>
      </c>
      <c r="M330" s="28" t="e">
        <f ca="1">[1]!BexGetData("DP_1","003N8EMH8GTFRIVOG7KG9IQXA","GSON1112030724")</f>
        <v>#NAME?</v>
      </c>
      <c r="N330" s="28" t="e">
        <f ca="1">[1]!BexGetData("DP_1","003N8EMH8GTFRIVOG7KG9IX8U","GSON1112030724")</f>
        <v>#NAME?</v>
      </c>
      <c r="O330" s="28" t="e">
        <f ca="1">[1]!BexGetData("DP_1","003N8EMH8GTFRIVOG7KG9J3KE","GSON1112030724")</f>
        <v>#NAME?</v>
      </c>
      <c r="P330" s="28" t="e">
        <f ca="1">[1]!BexGetData("DP_1","003N8EMH8GTFRIVOG7KG9J9VY","GSON1112030724")</f>
        <v>#NAME?</v>
      </c>
      <c r="Q330" s="24" t="e">
        <f ca="1">[1]!BexGetData("DP_1","00O2TNJGODT0G5Z4TTKYMM5MT","GSON1112030724")</f>
        <v>#NAME?</v>
      </c>
      <c r="R330" s="28" t="e">
        <f ca="1">[1]!BexGetData("DP_1","00O2TNJGODT0G5Z4TTKYMMBYD","GSON1112030724")</f>
        <v>#NAME?</v>
      </c>
      <c r="S330" s="28" t="e">
        <f ca="1">[1]!BexGetData("DP_1","00O2TNJGODT0G5Z4TTKYMMI9X","GSON1112030724")</f>
        <v>#NAME?</v>
      </c>
      <c r="T330" s="28" t="e">
        <f ca="1">[1]!BexGetData("DP_1","00O2TNJGODT0G5Z4TTKYMMOLH","GSON1112030724")</f>
        <v>#NAME?</v>
      </c>
      <c r="U330" s="28" t="e">
        <f ca="1">[1]!BexGetData("DP_1","00O2TNJGODT0G5Z4TTKYMMUX1","GSON1112030724")</f>
        <v>#NAME?</v>
      </c>
      <c r="V330" s="28" t="e">
        <f ca="1">[1]!BexGetData("DP_1","00O2TNJGODT0G5Z4TTKYMN18L","GSON1112030724")</f>
        <v>#NAME?</v>
      </c>
      <c r="W330" s="28" t="e">
        <f ca="1">[1]!BexGetData("DP_1","00O2TNJGODT0G5Z4TTKYMN7K5","GSON1112030724")</f>
        <v>#NAME?</v>
      </c>
    </row>
    <row r="331" spans="1:23" x14ac:dyDescent="0.2">
      <c r="A331" s="36" t="s">
        <v>877</v>
      </c>
      <c r="B331" s="27" t="s">
        <v>878</v>
      </c>
      <c r="C331" s="23" t="e">
        <f ca="1">[1]!BexGetData("DP_1","003N8EMH8GTFRCSWKMPXRR8GU","GSON1112030730")</f>
        <v>#NAME?</v>
      </c>
      <c r="D331" s="23" t="e">
        <f ca="1">[1]!BexGetData("DP_1","003N8EMH8GTFRCSWKMPXRRESE","GSON1112030730")</f>
        <v>#NAME?</v>
      </c>
      <c r="E331" s="23" t="e">
        <f ca="1">[1]!BexGetData("DP_1","003N8EMH8GTFRCSWKMPXRRL3Y","GSON1112030730")</f>
        <v>#NAME?</v>
      </c>
      <c r="F331" s="23" t="e">
        <f ca="1">[1]!BexGetData("DP_1","003N8EMH8GTFRCSWKMPXRRRFI","GSON1112030730")</f>
        <v>#NAME?</v>
      </c>
      <c r="G331" s="23" t="e">
        <f ca="1">[1]!BexGetData("DP_1","003N8EMH8GTFRCSWKMPXRRXR2","GSON1112030730")</f>
        <v>#NAME?</v>
      </c>
      <c r="H331" s="23" t="e">
        <f ca="1">[1]!BexGetData("DP_1","003N8EMH8GTFRCSWKMPXRS42M","GSON1112030730")</f>
        <v>#NAME?</v>
      </c>
      <c r="I331" s="23" t="e">
        <f ca="1">[1]!BexGetData("DP_1","003N8EMH8GTFRCSWKMPXRSAE6","GSON1112030730")</f>
        <v>#NAME?</v>
      </c>
      <c r="J331" s="23" t="e">
        <f ca="1">[1]!BexGetData("DP_1","003N8EMH8GTFRCSWKMPXRSGPQ","GSON1112030730")</f>
        <v>#NAME?</v>
      </c>
      <c r="K331" s="23" t="e">
        <f ca="1">[1]!BexGetData("DP_1","003N8EMH8GTFRIVNUPY288VJH","GSON1112030730")</f>
        <v>#NAME?</v>
      </c>
      <c r="L331" s="23" t="e">
        <f ca="1">[1]!BexGetData("DP_1","003N8EMH8GTFRIVNUPY2891V1","GSON1112030730")</f>
        <v>#NAME?</v>
      </c>
      <c r="M331" s="28" t="e">
        <f ca="1">[1]!BexGetData("DP_1","003N8EMH8GTFRIVOG7KG9IQXA","GSON1112030730")</f>
        <v>#NAME?</v>
      </c>
      <c r="N331" s="23" t="e">
        <f ca="1">[1]!BexGetData("DP_1","003N8EMH8GTFRIVOG7KG9IX8U","GSON1112030730")</f>
        <v>#NAME?</v>
      </c>
      <c r="O331" s="28" t="e">
        <f ca="1">[1]!BexGetData("DP_1","003N8EMH8GTFRIVOG7KG9J3KE","GSON1112030730")</f>
        <v>#NAME?</v>
      </c>
      <c r="P331" s="23" t="e">
        <f ca="1">[1]!BexGetData("DP_1","003N8EMH8GTFRIVOG7KG9J9VY","GSON1112030730")</f>
        <v>#NAME?</v>
      </c>
      <c r="Q331" s="23" t="e">
        <f ca="1">[1]!BexGetData("DP_1","00O2TNJGODT0G5Z4TTKYMM5MT","GSON1112030730")</f>
        <v>#NAME?</v>
      </c>
      <c r="R331" s="23" t="e">
        <f ca="1">[1]!BexGetData("DP_1","00O2TNJGODT0G5Z4TTKYMMBYD","GSON1112030730")</f>
        <v>#NAME?</v>
      </c>
      <c r="S331" s="23" t="e">
        <f ca="1">[1]!BexGetData("DP_1","00O2TNJGODT0G5Z4TTKYMMI9X","GSON1112030730")</f>
        <v>#NAME?</v>
      </c>
      <c r="T331" s="23" t="e">
        <f ca="1">[1]!BexGetData("DP_1","00O2TNJGODT0G5Z4TTKYMMOLH","GSON1112030730")</f>
        <v>#NAME?</v>
      </c>
      <c r="U331" s="28" t="e">
        <f ca="1">[1]!BexGetData("DP_1","00O2TNJGODT0G5Z4TTKYMMUX1","GSON1112030730")</f>
        <v>#NAME?</v>
      </c>
      <c r="V331" s="23" t="e">
        <f ca="1">[1]!BexGetData("DP_1","00O2TNJGODT0G5Z4TTKYMN18L","GSON1112030730")</f>
        <v>#NAME?</v>
      </c>
      <c r="W331" s="28" t="e">
        <f ca="1">[1]!BexGetData("DP_1","00O2TNJGODT0G5Z4TTKYMN7K5","GSON1112030730")</f>
        <v>#NAME?</v>
      </c>
    </row>
    <row r="332" spans="1:23" x14ac:dyDescent="0.2">
      <c r="A332" s="36" t="s">
        <v>879</v>
      </c>
      <c r="B332" s="27" t="s">
        <v>880</v>
      </c>
      <c r="C332" s="23" t="e">
        <f ca="1">[1]!BexGetData("DP_1","003N8EMH8GTFRCSWKMPXRR8GU","GSON1112030731")</f>
        <v>#NAME?</v>
      </c>
      <c r="D332" s="23" t="e">
        <f ca="1">[1]!BexGetData("DP_1","003N8EMH8GTFRCSWKMPXRRESE","GSON1112030731")</f>
        <v>#NAME?</v>
      </c>
      <c r="E332" s="23" t="e">
        <f ca="1">[1]!BexGetData("DP_1","003N8EMH8GTFRCSWKMPXRRL3Y","GSON1112030731")</f>
        <v>#NAME?</v>
      </c>
      <c r="F332" s="23" t="e">
        <f ca="1">[1]!BexGetData("DP_1","003N8EMH8GTFRCSWKMPXRRRFI","GSON1112030731")</f>
        <v>#NAME?</v>
      </c>
      <c r="G332" s="23" t="e">
        <f ca="1">[1]!BexGetData("DP_1","003N8EMH8GTFRCSWKMPXRRXR2","GSON1112030731")</f>
        <v>#NAME?</v>
      </c>
      <c r="H332" s="23" t="e">
        <f ca="1">[1]!BexGetData("DP_1","003N8EMH8GTFRCSWKMPXRS42M","GSON1112030731")</f>
        <v>#NAME?</v>
      </c>
      <c r="I332" s="23" t="e">
        <f ca="1">[1]!BexGetData("DP_1","003N8EMH8GTFRCSWKMPXRSAE6","GSON1112030731")</f>
        <v>#NAME?</v>
      </c>
      <c r="J332" s="24" t="e">
        <f ca="1">[1]!BexGetData("DP_1","003N8EMH8GTFRCSWKMPXRSGPQ","GSON1112030731")</f>
        <v>#NAME?</v>
      </c>
      <c r="K332" s="23" t="e">
        <f ca="1">[1]!BexGetData("DP_1","003N8EMH8GTFRIVNUPY288VJH","GSON1112030731")</f>
        <v>#NAME?</v>
      </c>
      <c r="L332" s="23" t="e">
        <f ca="1">[1]!BexGetData("DP_1","003N8EMH8GTFRIVNUPY2891V1","GSON1112030731")</f>
        <v>#NAME?</v>
      </c>
      <c r="M332" s="23" t="e">
        <f ca="1">[1]!BexGetData("DP_1","003N8EMH8GTFRIVOG7KG9IQXA","GSON1112030731")</f>
        <v>#NAME?</v>
      </c>
      <c r="N332" s="28" t="e">
        <f ca="1">[1]!BexGetData("DP_1","003N8EMH8GTFRIVOG7KG9IX8U","GSON1112030731")</f>
        <v>#NAME?</v>
      </c>
      <c r="O332" s="23" t="e">
        <f ca="1">[1]!BexGetData("DP_1","003N8EMH8GTFRIVOG7KG9J3KE","GSON1112030731")</f>
        <v>#NAME?</v>
      </c>
      <c r="P332" s="28" t="e">
        <f ca="1">[1]!BexGetData("DP_1","003N8EMH8GTFRIVOG7KG9J9VY","GSON1112030731")</f>
        <v>#NAME?</v>
      </c>
      <c r="Q332" s="24" t="e">
        <f ca="1">[1]!BexGetData("DP_1","00O2TNJGODT0G5Z4TTKYMM5MT","GSON1112030731")</f>
        <v>#NAME?</v>
      </c>
      <c r="R332" s="23" t="e">
        <f ca="1">[1]!BexGetData("DP_1","00O2TNJGODT0G5Z4TTKYMMBYD","GSON1112030731")</f>
        <v>#NAME?</v>
      </c>
      <c r="S332" s="23" t="e">
        <f ca="1">[1]!BexGetData("DP_1","00O2TNJGODT0G5Z4TTKYMMI9X","GSON1112030731")</f>
        <v>#NAME?</v>
      </c>
      <c r="T332" s="28" t="e">
        <f ca="1">[1]!BexGetData("DP_1","00O2TNJGODT0G5Z4TTKYMMOLH","GSON1112030731")</f>
        <v>#NAME?</v>
      </c>
      <c r="U332" s="23" t="e">
        <f ca="1">[1]!BexGetData("DP_1","00O2TNJGODT0G5Z4TTKYMMUX1","GSON1112030731")</f>
        <v>#NAME?</v>
      </c>
      <c r="V332" s="28" t="e">
        <f ca="1">[1]!BexGetData("DP_1","00O2TNJGODT0G5Z4TTKYMN18L","GSON1112030731")</f>
        <v>#NAME?</v>
      </c>
      <c r="W332" s="23" t="e">
        <f ca="1">[1]!BexGetData("DP_1","00O2TNJGODT0G5Z4TTKYMN7K5","GSON1112030731")</f>
        <v>#NAME?</v>
      </c>
    </row>
    <row r="333" spans="1:23" x14ac:dyDescent="0.2">
      <c r="A333" s="36" t="s">
        <v>2170</v>
      </c>
      <c r="B333" s="27" t="s">
        <v>2171</v>
      </c>
      <c r="C333" s="23" t="e">
        <f ca="1">[1]!BexGetData("DP_1","003N8EMH8GTFRCSWKMPXRR8GU","GSON1112030732")</f>
        <v>#NAME?</v>
      </c>
      <c r="D333" s="23" t="e">
        <f ca="1">[1]!BexGetData("DP_1","003N8EMH8GTFRCSWKMPXRRESE","GSON1112030732")</f>
        <v>#NAME?</v>
      </c>
      <c r="E333" s="28" t="e">
        <f ca="1">[1]!BexGetData("DP_1","003N8EMH8GTFRCSWKMPXRRL3Y","GSON1112030732")</f>
        <v>#NAME?</v>
      </c>
      <c r="F333" s="28" t="e">
        <f ca="1">[1]!BexGetData("DP_1","003N8EMH8GTFRCSWKMPXRRRFI","GSON1112030732")</f>
        <v>#NAME?</v>
      </c>
      <c r="G333" s="23" t="e">
        <f ca="1">[1]!BexGetData("DP_1","003N8EMH8GTFRCSWKMPXRRXR2","GSON1112030732")</f>
        <v>#NAME?</v>
      </c>
      <c r="H333" s="23" t="e">
        <f ca="1">[1]!BexGetData("DP_1","003N8EMH8GTFRCSWKMPXRS42M","GSON1112030732")</f>
        <v>#NAME?</v>
      </c>
      <c r="I333" s="28" t="e">
        <f ca="1">[1]!BexGetData("DP_1","003N8EMH8GTFRCSWKMPXRSAE6","GSON1112030732")</f>
        <v>#NAME?</v>
      </c>
      <c r="J333" s="24" t="e">
        <f ca="1">[1]!BexGetData("DP_1","003N8EMH8GTFRCSWKMPXRSGPQ","GSON1112030732")</f>
        <v>#NAME?</v>
      </c>
      <c r="K333" s="28" t="e">
        <f ca="1">[1]!BexGetData("DP_1","003N8EMH8GTFRIVNUPY288VJH","GSON1112030732")</f>
        <v>#NAME?</v>
      </c>
      <c r="L333" s="28" t="e">
        <f ca="1">[1]!BexGetData("DP_1","003N8EMH8GTFRIVNUPY2891V1","GSON1112030732")</f>
        <v>#NAME?</v>
      </c>
      <c r="M333" s="28" t="e">
        <f ca="1">[1]!BexGetData("DP_1","003N8EMH8GTFRIVOG7KG9IQXA","GSON1112030732")</f>
        <v>#NAME?</v>
      </c>
      <c r="N333" s="28" t="e">
        <f ca="1">[1]!BexGetData("DP_1","003N8EMH8GTFRIVOG7KG9IX8U","GSON1112030732")</f>
        <v>#NAME?</v>
      </c>
      <c r="O333" s="28" t="e">
        <f ca="1">[1]!BexGetData("DP_1","003N8EMH8GTFRIVOG7KG9J3KE","GSON1112030732")</f>
        <v>#NAME?</v>
      </c>
      <c r="P333" s="28" t="e">
        <f ca="1">[1]!BexGetData("DP_1","003N8EMH8GTFRIVOG7KG9J9VY","GSON1112030732")</f>
        <v>#NAME?</v>
      </c>
      <c r="Q333" s="24" t="e">
        <f ca="1">[1]!BexGetData("DP_1","00O2TNJGODT0G5Z4TTKYMM5MT","GSON1112030732")</f>
        <v>#NAME?</v>
      </c>
      <c r="R333" s="28" t="e">
        <f ca="1">[1]!BexGetData("DP_1","00O2TNJGODT0G5Z4TTKYMMBYD","GSON1112030732")</f>
        <v>#NAME?</v>
      </c>
      <c r="S333" s="28" t="e">
        <f ca="1">[1]!BexGetData("DP_1","00O2TNJGODT0G5Z4TTKYMMI9X","GSON1112030732")</f>
        <v>#NAME?</v>
      </c>
      <c r="T333" s="28" t="e">
        <f ca="1">[1]!BexGetData("DP_1","00O2TNJGODT0G5Z4TTKYMMOLH","GSON1112030732")</f>
        <v>#NAME?</v>
      </c>
      <c r="U333" s="28" t="e">
        <f ca="1">[1]!BexGetData("DP_1","00O2TNJGODT0G5Z4TTKYMMUX1","GSON1112030732")</f>
        <v>#NAME?</v>
      </c>
      <c r="V333" s="28" t="e">
        <f ca="1">[1]!BexGetData("DP_1","00O2TNJGODT0G5Z4TTKYMN18L","GSON1112030732")</f>
        <v>#NAME?</v>
      </c>
      <c r="W333" s="28" t="e">
        <f ca="1">[1]!BexGetData("DP_1","00O2TNJGODT0G5Z4TTKYMN7K5","GSON1112030732")</f>
        <v>#NAME?</v>
      </c>
    </row>
    <row r="334" spans="1:23" x14ac:dyDescent="0.2">
      <c r="A334" s="36" t="s">
        <v>2172</v>
      </c>
      <c r="B334" s="27" t="s">
        <v>2173</v>
      </c>
      <c r="C334" s="23" t="e">
        <f ca="1">[1]!BexGetData("DP_1","003N8EMH8GTFRCSWKMPXRR8GU","GSON1112030733")</f>
        <v>#NAME?</v>
      </c>
      <c r="D334" s="23" t="e">
        <f ca="1">[1]!BexGetData("DP_1","003N8EMH8GTFRCSWKMPXRRESE","GSON1112030733")</f>
        <v>#NAME?</v>
      </c>
      <c r="E334" s="28" t="e">
        <f ca="1">[1]!BexGetData("DP_1","003N8EMH8GTFRCSWKMPXRRL3Y","GSON1112030733")</f>
        <v>#NAME?</v>
      </c>
      <c r="F334" s="28" t="e">
        <f ca="1">[1]!BexGetData("DP_1","003N8EMH8GTFRCSWKMPXRRRFI","GSON1112030733")</f>
        <v>#NAME?</v>
      </c>
      <c r="G334" s="23" t="e">
        <f ca="1">[1]!BexGetData("DP_1","003N8EMH8GTFRCSWKMPXRRXR2","GSON1112030733")</f>
        <v>#NAME?</v>
      </c>
      <c r="H334" s="23" t="e">
        <f ca="1">[1]!BexGetData("DP_1","003N8EMH8GTFRCSWKMPXRS42M","GSON1112030733")</f>
        <v>#NAME?</v>
      </c>
      <c r="I334" s="28" t="e">
        <f ca="1">[1]!BexGetData("DP_1","003N8EMH8GTFRCSWKMPXRSAE6","GSON1112030733")</f>
        <v>#NAME?</v>
      </c>
      <c r="J334" s="24" t="e">
        <f ca="1">[1]!BexGetData("DP_1","003N8EMH8GTFRCSWKMPXRSGPQ","GSON1112030733")</f>
        <v>#NAME?</v>
      </c>
      <c r="K334" s="28" t="e">
        <f ca="1">[1]!BexGetData("DP_1","003N8EMH8GTFRIVNUPY288VJH","GSON1112030733")</f>
        <v>#NAME?</v>
      </c>
      <c r="L334" s="28" t="e">
        <f ca="1">[1]!BexGetData("DP_1","003N8EMH8GTFRIVNUPY2891V1","GSON1112030733")</f>
        <v>#NAME?</v>
      </c>
      <c r="M334" s="28" t="e">
        <f ca="1">[1]!BexGetData("DP_1","003N8EMH8GTFRIVOG7KG9IQXA","GSON1112030733")</f>
        <v>#NAME?</v>
      </c>
      <c r="N334" s="28" t="e">
        <f ca="1">[1]!BexGetData("DP_1","003N8EMH8GTFRIVOG7KG9IX8U","GSON1112030733")</f>
        <v>#NAME?</v>
      </c>
      <c r="O334" s="28" t="e">
        <f ca="1">[1]!BexGetData("DP_1","003N8EMH8GTFRIVOG7KG9J3KE","GSON1112030733")</f>
        <v>#NAME?</v>
      </c>
      <c r="P334" s="28" t="e">
        <f ca="1">[1]!BexGetData("DP_1","003N8EMH8GTFRIVOG7KG9J9VY","GSON1112030733")</f>
        <v>#NAME?</v>
      </c>
      <c r="Q334" s="24" t="e">
        <f ca="1">[1]!BexGetData("DP_1","00O2TNJGODT0G5Z4TTKYMM5MT","GSON1112030733")</f>
        <v>#NAME?</v>
      </c>
      <c r="R334" s="28" t="e">
        <f ca="1">[1]!BexGetData("DP_1","00O2TNJGODT0G5Z4TTKYMMBYD","GSON1112030733")</f>
        <v>#NAME?</v>
      </c>
      <c r="S334" s="28" t="e">
        <f ca="1">[1]!BexGetData("DP_1","00O2TNJGODT0G5Z4TTKYMMI9X","GSON1112030733")</f>
        <v>#NAME?</v>
      </c>
      <c r="T334" s="28" t="e">
        <f ca="1">[1]!BexGetData("DP_1","00O2TNJGODT0G5Z4TTKYMMOLH","GSON1112030733")</f>
        <v>#NAME?</v>
      </c>
      <c r="U334" s="28" t="e">
        <f ca="1">[1]!BexGetData("DP_1","00O2TNJGODT0G5Z4TTKYMMUX1","GSON1112030733")</f>
        <v>#NAME?</v>
      </c>
      <c r="V334" s="28" t="e">
        <f ca="1">[1]!BexGetData("DP_1","00O2TNJGODT0G5Z4TTKYMN18L","GSON1112030733")</f>
        <v>#NAME?</v>
      </c>
      <c r="W334" s="28" t="e">
        <f ca="1">[1]!BexGetData("DP_1","00O2TNJGODT0G5Z4TTKYMN7K5","GSON1112030733")</f>
        <v>#NAME?</v>
      </c>
    </row>
    <row r="335" spans="1:23" x14ac:dyDescent="0.2">
      <c r="A335" s="36" t="s">
        <v>2174</v>
      </c>
      <c r="B335" s="27" t="s">
        <v>2175</v>
      </c>
      <c r="C335" s="23" t="e">
        <f ca="1">[1]!BexGetData("DP_1","003N8EMH8GTFRCSWKMPXRR8GU","GSON1112030734")</f>
        <v>#NAME?</v>
      </c>
      <c r="D335" s="23" t="e">
        <f ca="1">[1]!BexGetData("DP_1","003N8EMH8GTFRCSWKMPXRRESE","GSON1112030734")</f>
        <v>#NAME?</v>
      </c>
      <c r="E335" s="28" t="e">
        <f ca="1">[1]!BexGetData("DP_1","003N8EMH8GTFRCSWKMPXRRL3Y","GSON1112030734")</f>
        <v>#NAME?</v>
      </c>
      <c r="F335" s="28" t="e">
        <f ca="1">[1]!BexGetData("DP_1","003N8EMH8GTFRCSWKMPXRRRFI","GSON1112030734")</f>
        <v>#NAME?</v>
      </c>
      <c r="G335" s="23" t="e">
        <f ca="1">[1]!BexGetData("DP_1","003N8EMH8GTFRCSWKMPXRRXR2","GSON1112030734")</f>
        <v>#NAME?</v>
      </c>
      <c r="H335" s="23" t="e">
        <f ca="1">[1]!BexGetData("DP_1","003N8EMH8GTFRCSWKMPXRS42M","GSON1112030734")</f>
        <v>#NAME?</v>
      </c>
      <c r="I335" s="28" t="e">
        <f ca="1">[1]!BexGetData("DP_1","003N8EMH8GTFRCSWKMPXRSAE6","GSON1112030734")</f>
        <v>#NAME?</v>
      </c>
      <c r="J335" s="24" t="e">
        <f ca="1">[1]!BexGetData("DP_1","003N8EMH8GTFRCSWKMPXRSGPQ","GSON1112030734")</f>
        <v>#NAME?</v>
      </c>
      <c r="K335" s="28" t="e">
        <f ca="1">[1]!BexGetData("DP_1","003N8EMH8GTFRIVNUPY288VJH","GSON1112030734")</f>
        <v>#NAME?</v>
      </c>
      <c r="L335" s="28" t="e">
        <f ca="1">[1]!BexGetData("DP_1","003N8EMH8GTFRIVNUPY2891V1","GSON1112030734")</f>
        <v>#NAME?</v>
      </c>
      <c r="M335" s="28" t="e">
        <f ca="1">[1]!BexGetData("DP_1","003N8EMH8GTFRIVOG7KG9IQXA","GSON1112030734")</f>
        <v>#NAME?</v>
      </c>
      <c r="N335" s="28" t="e">
        <f ca="1">[1]!BexGetData("DP_1","003N8EMH8GTFRIVOG7KG9IX8U","GSON1112030734")</f>
        <v>#NAME?</v>
      </c>
      <c r="O335" s="28" t="e">
        <f ca="1">[1]!BexGetData("DP_1","003N8EMH8GTFRIVOG7KG9J3KE","GSON1112030734")</f>
        <v>#NAME?</v>
      </c>
      <c r="P335" s="28" t="e">
        <f ca="1">[1]!BexGetData("DP_1","003N8EMH8GTFRIVOG7KG9J9VY","GSON1112030734")</f>
        <v>#NAME?</v>
      </c>
      <c r="Q335" s="24" t="e">
        <f ca="1">[1]!BexGetData("DP_1","00O2TNJGODT0G5Z4TTKYMM5MT","GSON1112030734")</f>
        <v>#NAME?</v>
      </c>
      <c r="R335" s="28" t="e">
        <f ca="1">[1]!BexGetData("DP_1","00O2TNJGODT0G5Z4TTKYMMBYD","GSON1112030734")</f>
        <v>#NAME?</v>
      </c>
      <c r="S335" s="28" t="e">
        <f ca="1">[1]!BexGetData("DP_1","00O2TNJGODT0G5Z4TTKYMMI9X","GSON1112030734")</f>
        <v>#NAME?</v>
      </c>
      <c r="T335" s="28" t="e">
        <f ca="1">[1]!BexGetData("DP_1","00O2TNJGODT0G5Z4TTKYMMOLH","GSON1112030734")</f>
        <v>#NAME?</v>
      </c>
      <c r="U335" s="28" t="e">
        <f ca="1">[1]!BexGetData("DP_1","00O2TNJGODT0G5Z4TTKYMMUX1","GSON1112030734")</f>
        <v>#NAME?</v>
      </c>
      <c r="V335" s="28" t="e">
        <f ca="1">[1]!BexGetData("DP_1","00O2TNJGODT0G5Z4TTKYMN18L","GSON1112030734")</f>
        <v>#NAME?</v>
      </c>
      <c r="W335" s="28" t="e">
        <f ca="1">[1]!BexGetData("DP_1","00O2TNJGODT0G5Z4TTKYMN7K5","GSON1112030734")</f>
        <v>#NAME?</v>
      </c>
    </row>
    <row r="336" spans="1:23" x14ac:dyDescent="0.2">
      <c r="A336" s="36" t="s">
        <v>881</v>
      </c>
      <c r="B336" s="27" t="s">
        <v>882</v>
      </c>
      <c r="C336" s="23" t="e">
        <f ca="1">[1]!BexGetData("DP_1","003N8EMH8GTFRCSWKMPXRR8GU","GSON1112030740")</f>
        <v>#NAME?</v>
      </c>
      <c r="D336" s="23" t="e">
        <f ca="1">[1]!BexGetData("DP_1","003N8EMH8GTFRCSWKMPXRRESE","GSON1112030740")</f>
        <v>#NAME?</v>
      </c>
      <c r="E336" s="23" t="e">
        <f ca="1">[1]!BexGetData("DP_1","003N8EMH8GTFRCSWKMPXRRL3Y","GSON1112030740")</f>
        <v>#NAME?</v>
      </c>
      <c r="F336" s="23" t="e">
        <f ca="1">[1]!BexGetData("DP_1","003N8EMH8GTFRCSWKMPXRRRFI","GSON1112030740")</f>
        <v>#NAME?</v>
      </c>
      <c r="G336" s="23" t="e">
        <f ca="1">[1]!BexGetData("DP_1","003N8EMH8GTFRCSWKMPXRRXR2","GSON1112030740")</f>
        <v>#NAME?</v>
      </c>
      <c r="H336" s="23" t="e">
        <f ca="1">[1]!BexGetData("DP_1","003N8EMH8GTFRCSWKMPXRS42M","GSON1112030740")</f>
        <v>#NAME?</v>
      </c>
      <c r="I336" s="23" t="e">
        <f ca="1">[1]!BexGetData("DP_1","003N8EMH8GTFRCSWKMPXRSAE6","GSON1112030740")</f>
        <v>#NAME?</v>
      </c>
      <c r="J336" s="23" t="e">
        <f ca="1">[1]!BexGetData("DP_1","003N8EMH8GTFRCSWKMPXRSGPQ","GSON1112030740")</f>
        <v>#NAME?</v>
      </c>
      <c r="K336" s="23" t="e">
        <f ca="1">[1]!BexGetData("DP_1","003N8EMH8GTFRIVNUPY288VJH","GSON1112030740")</f>
        <v>#NAME?</v>
      </c>
      <c r="L336" s="23" t="e">
        <f ca="1">[1]!BexGetData("DP_1","003N8EMH8GTFRIVNUPY2891V1","GSON1112030740")</f>
        <v>#NAME?</v>
      </c>
      <c r="M336" s="28" t="e">
        <f ca="1">[1]!BexGetData("DP_1","003N8EMH8GTFRIVOG7KG9IQXA","GSON1112030740")</f>
        <v>#NAME?</v>
      </c>
      <c r="N336" s="23" t="e">
        <f ca="1">[1]!BexGetData("DP_1","003N8EMH8GTFRIVOG7KG9IX8U","GSON1112030740")</f>
        <v>#NAME?</v>
      </c>
      <c r="O336" s="28" t="e">
        <f ca="1">[1]!BexGetData("DP_1","003N8EMH8GTFRIVOG7KG9J3KE","GSON1112030740")</f>
        <v>#NAME?</v>
      </c>
      <c r="P336" s="23" t="e">
        <f ca="1">[1]!BexGetData("DP_1","003N8EMH8GTFRIVOG7KG9J9VY","GSON1112030740")</f>
        <v>#NAME?</v>
      </c>
      <c r="Q336" s="23" t="e">
        <f ca="1">[1]!BexGetData("DP_1","00O2TNJGODT0G5Z4TTKYMM5MT","GSON1112030740")</f>
        <v>#NAME?</v>
      </c>
      <c r="R336" s="23" t="e">
        <f ca="1">[1]!BexGetData("DP_1","00O2TNJGODT0G5Z4TTKYMMBYD","GSON1112030740")</f>
        <v>#NAME?</v>
      </c>
      <c r="S336" s="23" t="e">
        <f ca="1">[1]!BexGetData("DP_1","00O2TNJGODT0G5Z4TTKYMMI9X","GSON1112030740")</f>
        <v>#NAME?</v>
      </c>
      <c r="T336" s="23" t="e">
        <f ca="1">[1]!BexGetData("DP_1","00O2TNJGODT0G5Z4TTKYMMOLH","GSON1112030740")</f>
        <v>#NAME?</v>
      </c>
      <c r="U336" s="28" t="e">
        <f ca="1">[1]!BexGetData("DP_1","00O2TNJGODT0G5Z4TTKYMMUX1","GSON1112030740")</f>
        <v>#NAME?</v>
      </c>
      <c r="V336" s="23" t="e">
        <f ca="1">[1]!BexGetData("DP_1","00O2TNJGODT0G5Z4TTKYMN18L","GSON1112030740")</f>
        <v>#NAME?</v>
      </c>
      <c r="W336" s="28" t="e">
        <f ca="1">[1]!BexGetData("DP_1","00O2TNJGODT0G5Z4TTKYMN7K5","GSON1112030740")</f>
        <v>#NAME?</v>
      </c>
    </row>
    <row r="337" spans="1:23" x14ac:dyDescent="0.2">
      <c r="A337" s="36" t="s">
        <v>883</v>
      </c>
      <c r="B337" s="27" t="s">
        <v>884</v>
      </c>
      <c r="C337" s="23" t="e">
        <f ca="1">[1]!BexGetData("DP_1","003N8EMH8GTFRCSWKMPXRR8GU","GSON1112030741")</f>
        <v>#NAME?</v>
      </c>
      <c r="D337" s="23" t="e">
        <f ca="1">[1]!BexGetData("DP_1","003N8EMH8GTFRCSWKMPXRRESE","GSON1112030741")</f>
        <v>#NAME?</v>
      </c>
      <c r="E337" s="28" t="e">
        <f ca="1">[1]!BexGetData("DP_1","003N8EMH8GTFRCSWKMPXRRL3Y","GSON1112030741")</f>
        <v>#NAME?</v>
      </c>
      <c r="F337" s="23" t="e">
        <f ca="1">[1]!BexGetData("DP_1","003N8EMH8GTFRCSWKMPXRRRFI","GSON1112030741")</f>
        <v>#NAME?</v>
      </c>
      <c r="G337" s="23" t="e">
        <f ca="1">[1]!BexGetData("DP_1","003N8EMH8GTFRCSWKMPXRRXR2","GSON1112030741")</f>
        <v>#NAME?</v>
      </c>
      <c r="H337" s="23" t="e">
        <f ca="1">[1]!BexGetData("DP_1","003N8EMH8GTFRCSWKMPXRS42M","GSON1112030741")</f>
        <v>#NAME?</v>
      </c>
      <c r="I337" s="23" t="e">
        <f ca="1">[1]!BexGetData("DP_1","003N8EMH8GTFRCSWKMPXRSAE6","GSON1112030741")</f>
        <v>#NAME?</v>
      </c>
      <c r="J337" s="24" t="e">
        <f ca="1">[1]!BexGetData("DP_1","003N8EMH8GTFRCSWKMPXRSGPQ","GSON1112030741")</f>
        <v>#NAME?</v>
      </c>
      <c r="K337" s="23" t="e">
        <f ca="1">[1]!BexGetData("DP_1","003N8EMH8GTFRIVNUPY288VJH","GSON1112030741")</f>
        <v>#NAME?</v>
      </c>
      <c r="L337" s="23" t="e">
        <f ca="1">[1]!BexGetData("DP_1","003N8EMH8GTFRIVNUPY2891V1","GSON1112030741")</f>
        <v>#NAME?</v>
      </c>
      <c r="M337" s="23" t="e">
        <f ca="1">[1]!BexGetData("DP_1","003N8EMH8GTFRIVOG7KG9IQXA","GSON1112030741")</f>
        <v>#NAME?</v>
      </c>
      <c r="N337" s="28" t="e">
        <f ca="1">[1]!BexGetData("DP_1","003N8EMH8GTFRIVOG7KG9IX8U","GSON1112030741")</f>
        <v>#NAME?</v>
      </c>
      <c r="O337" s="23" t="e">
        <f ca="1">[1]!BexGetData("DP_1","003N8EMH8GTFRIVOG7KG9J3KE","GSON1112030741")</f>
        <v>#NAME?</v>
      </c>
      <c r="P337" s="28" t="e">
        <f ca="1">[1]!BexGetData("DP_1","003N8EMH8GTFRIVOG7KG9J9VY","GSON1112030741")</f>
        <v>#NAME?</v>
      </c>
      <c r="Q337" s="24" t="e">
        <f ca="1">[1]!BexGetData("DP_1","00O2TNJGODT0G5Z4TTKYMM5MT","GSON1112030741")</f>
        <v>#NAME?</v>
      </c>
      <c r="R337" s="23" t="e">
        <f ca="1">[1]!BexGetData("DP_1","00O2TNJGODT0G5Z4TTKYMMBYD","GSON1112030741")</f>
        <v>#NAME?</v>
      </c>
      <c r="S337" s="23" t="e">
        <f ca="1">[1]!BexGetData("DP_1","00O2TNJGODT0G5Z4TTKYMMI9X","GSON1112030741")</f>
        <v>#NAME?</v>
      </c>
      <c r="T337" s="28" t="e">
        <f ca="1">[1]!BexGetData("DP_1","00O2TNJGODT0G5Z4TTKYMMOLH","GSON1112030741")</f>
        <v>#NAME?</v>
      </c>
      <c r="U337" s="23" t="e">
        <f ca="1">[1]!BexGetData("DP_1","00O2TNJGODT0G5Z4TTKYMMUX1","GSON1112030741")</f>
        <v>#NAME?</v>
      </c>
      <c r="V337" s="28" t="e">
        <f ca="1">[1]!BexGetData("DP_1","00O2TNJGODT0G5Z4TTKYMN18L","GSON1112030741")</f>
        <v>#NAME?</v>
      </c>
      <c r="W337" s="23" t="e">
        <f ca="1">[1]!BexGetData("DP_1","00O2TNJGODT0G5Z4TTKYMN7K5","GSON1112030741")</f>
        <v>#NAME?</v>
      </c>
    </row>
    <row r="338" spans="1:23" x14ac:dyDescent="0.2">
      <c r="A338" s="36" t="s">
        <v>2176</v>
      </c>
      <c r="B338" s="27" t="s">
        <v>2177</v>
      </c>
      <c r="C338" s="28" t="e">
        <f ca="1">[1]!BexGetData("DP_1","003N8EMH8GTFRCSWKMPXRR8GU","GSON1112030743")</f>
        <v>#NAME?</v>
      </c>
      <c r="D338" s="28" t="e">
        <f ca="1">[1]!BexGetData("DP_1","003N8EMH8GTFRCSWKMPXRRESE","GSON1112030743")</f>
        <v>#NAME?</v>
      </c>
      <c r="E338" s="23" t="e">
        <f ca="1">[1]!BexGetData("DP_1","003N8EMH8GTFRCSWKMPXRRL3Y","GSON1112030743")</f>
        <v>#NAME?</v>
      </c>
      <c r="F338" s="23" t="e">
        <f ca="1">[1]!BexGetData("DP_1","003N8EMH8GTFRCSWKMPXRRRFI","GSON1112030743")</f>
        <v>#NAME?</v>
      </c>
      <c r="G338" s="23" t="e">
        <f ca="1">[1]!BexGetData("DP_1","003N8EMH8GTFRCSWKMPXRRXR2","GSON1112030743")</f>
        <v>#NAME?</v>
      </c>
      <c r="H338" s="28" t="e">
        <f ca="1">[1]!BexGetData("DP_1","003N8EMH8GTFRCSWKMPXRS42M","GSON1112030743")</f>
        <v>#NAME?</v>
      </c>
      <c r="I338" s="23" t="e">
        <f ca="1">[1]!BexGetData("DP_1","003N8EMH8GTFRCSWKMPXRSAE6","GSON1112030743")</f>
        <v>#NAME?</v>
      </c>
      <c r="J338" s="24" t="e">
        <f ca="1">[1]!BexGetData("DP_1","003N8EMH8GTFRCSWKMPXRSGPQ","GSON1112030743")</f>
        <v>#NAME?</v>
      </c>
      <c r="K338" s="28" t="e">
        <f ca="1">[1]!BexGetData("DP_1","003N8EMH8GTFRIVNUPY288VJH","GSON1112030743")</f>
        <v>#NAME?</v>
      </c>
      <c r="L338" s="28" t="e">
        <f ca="1">[1]!BexGetData("DP_1","003N8EMH8GTFRIVNUPY2891V1","GSON1112030743")</f>
        <v>#NAME?</v>
      </c>
      <c r="M338" s="28" t="e">
        <f ca="1">[1]!BexGetData("DP_1","003N8EMH8GTFRIVOG7KG9IQXA","GSON1112030743")</f>
        <v>#NAME?</v>
      </c>
      <c r="N338" s="28" t="e">
        <f ca="1">[1]!BexGetData("DP_1","003N8EMH8GTFRIVOG7KG9IX8U","GSON1112030743")</f>
        <v>#NAME?</v>
      </c>
      <c r="O338" s="28" t="e">
        <f ca="1">[1]!BexGetData("DP_1","003N8EMH8GTFRIVOG7KG9J3KE","GSON1112030743")</f>
        <v>#NAME?</v>
      </c>
      <c r="P338" s="28" t="e">
        <f ca="1">[1]!BexGetData("DP_1","003N8EMH8GTFRIVOG7KG9J9VY","GSON1112030743")</f>
        <v>#NAME?</v>
      </c>
      <c r="Q338" s="24" t="e">
        <f ca="1">[1]!BexGetData("DP_1","00O2TNJGODT0G5Z4TTKYMM5MT","GSON1112030743")</f>
        <v>#NAME?</v>
      </c>
      <c r="R338" s="23" t="e">
        <f ca="1">[1]!BexGetData("DP_1","00O2TNJGODT0G5Z4TTKYMMBYD","GSON1112030743")</f>
        <v>#NAME?</v>
      </c>
      <c r="S338" s="23" t="e">
        <f ca="1">[1]!BexGetData("DP_1","00O2TNJGODT0G5Z4TTKYMMI9X","GSON1112030743")</f>
        <v>#NAME?</v>
      </c>
      <c r="T338" s="28" t="e">
        <f ca="1">[1]!BexGetData("DP_1","00O2TNJGODT0G5Z4TTKYMMOLH","GSON1112030743")</f>
        <v>#NAME?</v>
      </c>
      <c r="U338" s="23" t="e">
        <f ca="1">[1]!BexGetData("DP_1","00O2TNJGODT0G5Z4TTKYMMUX1","GSON1112030743")</f>
        <v>#NAME?</v>
      </c>
      <c r="V338" s="28" t="e">
        <f ca="1">[1]!BexGetData("DP_1","00O2TNJGODT0G5Z4TTKYMN18L","GSON1112030743")</f>
        <v>#NAME?</v>
      </c>
      <c r="W338" s="23" t="e">
        <f ca="1">[1]!BexGetData("DP_1","00O2TNJGODT0G5Z4TTKYMN7K5","GSON1112030743")</f>
        <v>#NAME?</v>
      </c>
    </row>
    <row r="339" spans="1:23" x14ac:dyDescent="0.2">
      <c r="A339" s="36" t="s">
        <v>2178</v>
      </c>
      <c r="B339" s="27" t="s">
        <v>2179</v>
      </c>
      <c r="C339" s="23" t="e">
        <f ca="1">[1]!BexGetData("DP_1","003N8EMH8GTFRCSWKMPXRR8GU","GSON1112030744")</f>
        <v>#NAME?</v>
      </c>
      <c r="D339" s="23" t="e">
        <f ca="1">[1]!BexGetData("DP_1","003N8EMH8GTFRCSWKMPXRRESE","GSON1112030744")</f>
        <v>#NAME?</v>
      </c>
      <c r="E339" s="28" t="e">
        <f ca="1">[1]!BexGetData("DP_1","003N8EMH8GTFRCSWKMPXRRL3Y","GSON1112030744")</f>
        <v>#NAME?</v>
      </c>
      <c r="F339" s="28" t="e">
        <f ca="1">[1]!BexGetData("DP_1","003N8EMH8GTFRCSWKMPXRRRFI","GSON1112030744")</f>
        <v>#NAME?</v>
      </c>
      <c r="G339" s="23" t="e">
        <f ca="1">[1]!BexGetData("DP_1","003N8EMH8GTFRCSWKMPXRRXR2","GSON1112030744")</f>
        <v>#NAME?</v>
      </c>
      <c r="H339" s="23" t="e">
        <f ca="1">[1]!BexGetData("DP_1","003N8EMH8GTFRCSWKMPXRS42M","GSON1112030744")</f>
        <v>#NAME?</v>
      </c>
      <c r="I339" s="28" t="e">
        <f ca="1">[1]!BexGetData("DP_1","003N8EMH8GTFRCSWKMPXRSAE6","GSON1112030744")</f>
        <v>#NAME?</v>
      </c>
      <c r="J339" s="24" t="e">
        <f ca="1">[1]!BexGetData("DP_1","003N8EMH8GTFRCSWKMPXRSGPQ","GSON1112030744")</f>
        <v>#NAME?</v>
      </c>
      <c r="K339" s="28" t="e">
        <f ca="1">[1]!BexGetData("DP_1","003N8EMH8GTFRIVNUPY288VJH","GSON1112030744")</f>
        <v>#NAME?</v>
      </c>
      <c r="L339" s="28" t="e">
        <f ca="1">[1]!BexGetData("DP_1","003N8EMH8GTFRIVNUPY2891V1","GSON1112030744")</f>
        <v>#NAME?</v>
      </c>
      <c r="M339" s="28" t="e">
        <f ca="1">[1]!BexGetData("DP_1","003N8EMH8GTFRIVOG7KG9IQXA","GSON1112030744")</f>
        <v>#NAME?</v>
      </c>
      <c r="N339" s="28" t="e">
        <f ca="1">[1]!BexGetData("DP_1","003N8EMH8GTFRIVOG7KG9IX8U","GSON1112030744")</f>
        <v>#NAME?</v>
      </c>
      <c r="O339" s="28" t="e">
        <f ca="1">[1]!BexGetData("DP_1","003N8EMH8GTFRIVOG7KG9J3KE","GSON1112030744")</f>
        <v>#NAME?</v>
      </c>
      <c r="P339" s="28" t="e">
        <f ca="1">[1]!BexGetData("DP_1","003N8EMH8GTFRIVOG7KG9J9VY","GSON1112030744")</f>
        <v>#NAME?</v>
      </c>
      <c r="Q339" s="24" t="e">
        <f ca="1">[1]!BexGetData("DP_1","00O2TNJGODT0G5Z4TTKYMM5MT","GSON1112030744")</f>
        <v>#NAME?</v>
      </c>
      <c r="R339" s="28" t="e">
        <f ca="1">[1]!BexGetData("DP_1","00O2TNJGODT0G5Z4TTKYMMBYD","GSON1112030744")</f>
        <v>#NAME?</v>
      </c>
      <c r="S339" s="28" t="e">
        <f ca="1">[1]!BexGetData("DP_1","00O2TNJGODT0G5Z4TTKYMMI9X","GSON1112030744")</f>
        <v>#NAME?</v>
      </c>
      <c r="T339" s="28" t="e">
        <f ca="1">[1]!BexGetData("DP_1","00O2TNJGODT0G5Z4TTKYMMOLH","GSON1112030744")</f>
        <v>#NAME?</v>
      </c>
      <c r="U339" s="28" t="e">
        <f ca="1">[1]!BexGetData("DP_1","00O2TNJGODT0G5Z4TTKYMMUX1","GSON1112030744")</f>
        <v>#NAME?</v>
      </c>
      <c r="V339" s="28" t="e">
        <f ca="1">[1]!BexGetData("DP_1","00O2TNJGODT0G5Z4TTKYMN18L","GSON1112030744")</f>
        <v>#NAME?</v>
      </c>
      <c r="W339" s="28" t="e">
        <f ca="1">[1]!BexGetData("DP_1","00O2TNJGODT0G5Z4TTKYMN7K5","GSON1112030744")</f>
        <v>#NAME?</v>
      </c>
    </row>
    <row r="340" spans="1:23" x14ac:dyDescent="0.2">
      <c r="A340" s="36" t="s">
        <v>885</v>
      </c>
      <c r="B340" s="27" t="s">
        <v>886</v>
      </c>
      <c r="C340" s="23" t="e">
        <f ca="1">[1]!BexGetData("DP_1","003N8EMH8GTFRCSWKMPXRR8GU","GSON1112030750")</f>
        <v>#NAME?</v>
      </c>
      <c r="D340" s="23" t="e">
        <f ca="1">[1]!BexGetData("DP_1","003N8EMH8GTFRCSWKMPXRRESE","GSON1112030750")</f>
        <v>#NAME?</v>
      </c>
      <c r="E340" s="23" t="e">
        <f ca="1">[1]!BexGetData("DP_1","003N8EMH8GTFRCSWKMPXRRL3Y","GSON1112030750")</f>
        <v>#NAME?</v>
      </c>
      <c r="F340" s="23" t="e">
        <f ca="1">[1]!BexGetData("DP_1","003N8EMH8GTFRCSWKMPXRRRFI","GSON1112030750")</f>
        <v>#NAME?</v>
      </c>
      <c r="G340" s="23" t="e">
        <f ca="1">[1]!BexGetData("DP_1","003N8EMH8GTFRCSWKMPXRRXR2","GSON1112030750")</f>
        <v>#NAME?</v>
      </c>
      <c r="H340" s="23" t="e">
        <f ca="1">[1]!BexGetData("DP_1","003N8EMH8GTFRCSWKMPXRS42M","GSON1112030750")</f>
        <v>#NAME?</v>
      </c>
      <c r="I340" s="23" t="e">
        <f ca="1">[1]!BexGetData("DP_1","003N8EMH8GTFRCSWKMPXRSAE6","GSON1112030750")</f>
        <v>#NAME?</v>
      </c>
      <c r="J340" s="23" t="e">
        <f ca="1">[1]!BexGetData("DP_1","003N8EMH8GTFRCSWKMPXRSGPQ","GSON1112030750")</f>
        <v>#NAME?</v>
      </c>
      <c r="K340" s="23" t="e">
        <f ca="1">[1]!BexGetData("DP_1","003N8EMH8GTFRIVNUPY288VJH","GSON1112030750")</f>
        <v>#NAME?</v>
      </c>
      <c r="L340" s="23" t="e">
        <f ca="1">[1]!BexGetData("DP_1","003N8EMH8GTFRIVNUPY2891V1","GSON1112030750")</f>
        <v>#NAME?</v>
      </c>
      <c r="M340" s="28" t="e">
        <f ca="1">[1]!BexGetData("DP_1","003N8EMH8GTFRIVOG7KG9IQXA","GSON1112030750")</f>
        <v>#NAME?</v>
      </c>
      <c r="N340" s="23" t="e">
        <f ca="1">[1]!BexGetData("DP_1","003N8EMH8GTFRIVOG7KG9IX8U","GSON1112030750")</f>
        <v>#NAME?</v>
      </c>
      <c r="O340" s="28" t="e">
        <f ca="1">[1]!BexGetData("DP_1","003N8EMH8GTFRIVOG7KG9J3KE","GSON1112030750")</f>
        <v>#NAME?</v>
      </c>
      <c r="P340" s="23" t="e">
        <f ca="1">[1]!BexGetData("DP_1","003N8EMH8GTFRIVOG7KG9J9VY","GSON1112030750")</f>
        <v>#NAME?</v>
      </c>
      <c r="Q340" s="23" t="e">
        <f ca="1">[1]!BexGetData("DP_1","00O2TNJGODT0G5Z4TTKYMM5MT","GSON1112030750")</f>
        <v>#NAME?</v>
      </c>
      <c r="R340" s="23" t="e">
        <f ca="1">[1]!BexGetData("DP_1","00O2TNJGODT0G5Z4TTKYMMBYD","GSON1112030750")</f>
        <v>#NAME?</v>
      </c>
      <c r="S340" s="23" t="e">
        <f ca="1">[1]!BexGetData("DP_1","00O2TNJGODT0G5Z4TTKYMMI9X","GSON1112030750")</f>
        <v>#NAME?</v>
      </c>
      <c r="T340" s="28" t="e">
        <f ca="1">[1]!BexGetData("DP_1","00O2TNJGODT0G5Z4TTKYMMOLH","GSON1112030750")</f>
        <v>#NAME?</v>
      </c>
      <c r="U340" s="23" t="e">
        <f ca="1">[1]!BexGetData("DP_1","00O2TNJGODT0G5Z4TTKYMMUX1","GSON1112030750")</f>
        <v>#NAME?</v>
      </c>
      <c r="V340" s="28" t="e">
        <f ca="1">[1]!BexGetData("DP_1","00O2TNJGODT0G5Z4TTKYMN18L","GSON1112030750")</f>
        <v>#NAME?</v>
      </c>
      <c r="W340" s="23" t="e">
        <f ca="1">[1]!BexGetData("DP_1","00O2TNJGODT0G5Z4TTKYMN7K5","GSON1112030750")</f>
        <v>#NAME?</v>
      </c>
    </row>
    <row r="341" spans="1:23" x14ac:dyDescent="0.2">
      <c r="A341" s="36" t="s">
        <v>887</v>
      </c>
      <c r="B341" s="27" t="s">
        <v>888</v>
      </c>
      <c r="C341" s="23" t="e">
        <f ca="1">[1]!BexGetData("DP_1","003N8EMH8GTFRCSWKMPXRR8GU","GSON1112030751")</f>
        <v>#NAME?</v>
      </c>
      <c r="D341" s="23" t="e">
        <f ca="1">[1]!BexGetData("DP_1","003N8EMH8GTFRCSWKMPXRRESE","GSON1112030751")</f>
        <v>#NAME?</v>
      </c>
      <c r="E341" s="23" t="e">
        <f ca="1">[1]!BexGetData("DP_1","003N8EMH8GTFRCSWKMPXRRL3Y","GSON1112030751")</f>
        <v>#NAME?</v>
      </c>
      <c r="F341" s="23" t="e">
        <f ca="1">[1]!BexGetData("DP_1","003N8EMH8GTFRCSWKMPXRRRFI","GSON1112030751")</f>
        <v>#NAME?</v>
      </c>
      <c r="G341" s="23" t="e">
        <f ca="1">[1]!BexGetData("DP_1","003N8EMH8GTFRCSWKMPXRRXR2","GSON1112030751")</f>
        <v>#NAME?</v>
      </c>
      <c r="H341" s="23" t="e">
        <f ca="1">[1]!BexGetData("DP_1","003N8EMH8GTFRCSWKMPXRS42M","GSON1112030751")</f>
        <v>#NAME?</v>
      </c>
      <c r="I341" s="23" t="e">
        <f ca="1">[1]!BexGetData("DP_1","003N8EMH8GTFRCSWKMPXRSAE6","GSON1112030751")</f>
        <v>#NAME?</v>
      </c>
      <c r="J341" s="24" t="e">
        <f ca="1">[1]!BexGetData("DP_1","003N8EMH8GTFRCSWKMPXRSGPQ","GSON1112030751")</f>
        <v>#NAME?</v>
      </c>
      <c r="K341" s="23" t="e">
        <f ca="1">[1]!BexGetData("DP_1","003N8EMH8GTFRIVNUPY288VJH","GSON1112030751")</f>
        <v>#NAME?</v>
      </c>
      <c r="L341" s="23" t="e">
        <f ca="1">[1]!BexGetData("DP_1","003N8EMH8GTFRIVNUPY2891V1","GSON1112030751")</f>
        <v>#NAME?</v>
      </c>
      <c r="M341" s="28" t="e">
        <f ca="1">[1]!BexGetData("DP_1","003N8EMH8GTFRIVOG7KG9IQXA","GSON1112030751")</f>
        <v>#NAME?</v>
      </c>
      <c r="N341" s="23" t="e">
        <f ca="1">[1]!BexGetData("DP_1","003N8EMH8GTFRIVOG7KG9IX8U","GSON1112030751")</f>
        <v>#NAME?</v>
      </c>
      <c r="O341" s="28" t="e">
        <f ca="1">[1]!BexGetData("DP_1","003N8EMH8GTFRIVOG7KG9J3KE","GSON1112030751")</f>
        <v>#NAME?</v>
      </c>
      <c r="P341" s="23" t="e">
        <f ca="1">[1]!BexGetData("DP_1","003N8EMH8GTFRIVOG7KG9J9VY","GSON1112030751")</f>
        <v>#NAME?</v>
      </c>
      <c r="Q341" s="24" t="e">
        <f ca="1">[1]!BexGetData("DP_1","00O2TNJGODT0G5Z4TTKYMM5MT","GSON1112030751")</f>
        <v>#NAME?</v>
      </c>
      <c r="R341" s="23" t="e">
        <f ca="1">[1]!BexGetData("DP_1","00O2TNJGODT0G5Z4TTKYMMBYD","GSON1112030751")</f>
        <v>#NAME?</v>
      </c>
      <c r="S341" s="23" t="e">
        <f ca="1">[1]!BexGetData("DP_1","00O2TNJGODT0G5Z4TTKYMMI9X","GSON1112030751")</f>
        <v>#NAME?</v>
      </c>
      <c r="T341" s="23" t="e">
        <f ca="1">[1]!BexGetData("DP_1","00O2TNJGODT0G5Z4TTKYMMOLH","GSON1112030751")</f>
        <v>#NAME?</v>
      </c>
      <c r="U341" s="28" t="e">
        <f ca="1">[1]!BexGetData("DP_1","00O2TNJGODT0G5Z4TTKYMMUX1","GSON1112030751")</f>
        <v>#NAME?</v>
      </c>
      <c r="V341" s="23" t="e">
        <f ca="1">[1]!BexGetData("DP_1","00O2TNJGODT0G5Z4TTKYMN18L","GSON1112030751")</f>
        <v>#NAME?</v>
      </c>
      <c r="W341" s="28" t="e">
        <f ca="1">[1]!BexGetData("DP_1","00O2TNJGODT0G5Z4TTKYMN7K5","GSON1112030751")</f>
        <v>#NAME?</v>
      </c>
    </row>
    <row r="342" spans="1:23" x14ac:dyDescent="0.2">
      <c r="A342" s="36" t="s">
        <v>2180</v>
      </c>
      <c r="B342" s="27" t="s">
        <v>2181</v>
      </c>
      <c r="C342" s="23" t="e">
        <f ca="1">[1]!BexGetData("DP_1","003N8EMH8GTFRCSWKMPXRR8GU","GSON1112030752")</f>
        <v>#NAME?</v>
      </c>
      <c r="D342" s="23" t="e">
        <f ca="1">[1]!BexGetData("DP_1","003N8EMH8GTFRCSWKMPXRRESE","GSON1112030752")</f>
        <v>#NAME?</v>
      </c>
      <c r="E342" s="28" t="e">
        <f ca="1">[1]!BexGetData("DP_1","003N8EMH8GTFRCSWKMPXRRL3Y","GSON1112030752")</f>
        <v>#NAME?</v>
      </c>
      <c r="F342" s="23" t="e">
        <f ca="1">[1]!BexGetData("DP_1","003N8EMH8GTFRCSWKMPXRRRFI","GSON1112030752")</f>
        <v>#NAME?</v>
      </c>
      <c r="G342" s="23" t="e">
        <f ca="1">[1]!BexGetData("DP_1","003N8EMH8GTFRCSWKMPXRRXR2","GSON1112030752")</f>
        <v>#NAME?</v>
      </c>
      <c r="H342" s="23" t="e">
        <f ca="1">[1]!BexGetData("DP_1","003N8EMH8GTFRCSWKMPXRS42M","GSON1112030752")</f>
        <v>#NAME?</v>
      </c>
      <c r="I342" s="23" t="e">
        <f ca="1">[1]!BexGetData("DP_1","003N8EMH8GTFRCSWKMPXRSAE6","GSON1112030752")</f>
        <v>#NAME?</v>
      </c>
      <c r="J342" s="24" t="e">
        <f ca="1">[1]!BexGetData("DP_1","003N8EMH8GTFRCSWKMPXRSGPQ","GSON1112030752")</f>
        <v>#NAME?</v>
      </c>
      <c r="K342" s="23" t="e">
        <f ca="1">[1]!BexGetData("DP_1","003N8EMH8GTFRIVNUPY288VJH","GSON1112030752")</f>
        <v>#NAME?</v>
      </c>
      <c r="L342" s="23" t="e">
        <f ca="1">[1]!BexGetData("DP_1","003N8EMH8GTFRIVNUPY2891V1","GSON1112030752")</f>
        <v>#NAME?</v>
      </c>
      <c r="M342" s="23" t="e">
        <f ca="1">[1]!BexGetData("DP_1","003N8EMH8GTFRIVOG7KG9IQXA","GSON1112030752")</f>
        <v>#NAME?</v>
      </c>
      <c r="N342" s="28" t="e">
        <f ca="1">[1]!BexGetData("DP_1","003N8EMH8GTFRIVOG7KG9IX8U","GSON1112030752")</f>
        <v>#NAME?</v>
      </c>
      <c r="O342" s="23" t="e">
        <f ca="1">[1]!BexGetData("DP_1","003N8EMH8GTFRIVOG7KG9J3KE","GSON1112030752")</f>
        <v>#NAME?</v>
      </c>
      <c r="P342" s="28" t="e">
        <f ca="1">[1]!BexGetData("DP_1","003N8EMH8GTFRIVOG7KG9J9VY","GSON1112030752")</f>
        <v>#NAME?</v>
      </c>
      <c r="Q342" s="24" t="e">
        <f ca="1">[1]!BexGetData("DP_1","00O2TNJGODT0G5Z4TTKYMM5MT","GSON1112030752")</f>
        <v>#NAME?</v>
      </c>
      <c r="R342" s="23" t="e">
        <f ca="1">[1]!BexGetData("DP_1","00O2TNJGODT0G5Z4TTKYMMBYD","GSON1112030752")</f>
        <v>#NAME?</v>
      </c>
      <c r="S342" s="23" t="e">
        <f ca="1">[1]!BexGetData("DP_1","00O2TNJGODT0G5Z4TTKYMMI9X","GSON1112030752")</f>
        <v>#NAME?</v>
      </c>
      <c r="T342" s="28" t="e">
        <f ca="1">[1]!BexGetData("DP_1","00O2TNJGODT0G5Z4TTKYMMOLH","GSON1112030752")</f>
        <v>#NAME?</v>
      </c>
      <c r="U342" s="23" t="e">
        <f ca="1">[1]!BexGetData("DP_1","00O2TNJGODT0G5Z4TTKYMMUX1","GSON1112030752")</f>
        <v>#NAME?</v>
      </c>
      <c r="V342" s="28" t="e">
        <f ca="1">[1]!BexGetData("DP_1","00O2TNJGODT0G5Z4TTKYMN18L","GSON1112030752")</f>
        <v>#NAME?</v>
      </c>
      <c r="W342" s="23" t="e">
        <f ca="1">[1]!BexGetData("DP_1","00O2TNJGODT0G5Z4TTKYMN7K5","GSON1112030752")</f>
        <v>#NAME?</v>
      </c>
    </row>
    <row r="343" spans="1:23" x14ac:dyDescent="0.2">
      <c r="A343" s="36" t="s">
        <v>2182</v>
      </c>
      <c r="B343" s="27" t="s">
        <v>2183</v>
      </c>
      <c r="C343" s="23" t="e">
        <f ca="1">[1]!BexGetData("DP_1","003N8EMH8GTFRCSWKMPXRR8GU","GSON1112030753")</f>
        <v>#NAME?</v>
      </c>
      <c r="D343" s="23" t="e">
        <f ca="1">[1]!BexGetData("DP_1","003N8EMH8GTFRCSWKMPXRRESE","GSON1112030753")</f>
        <v>#NAME?</v>
      </c>
      <c r="E343" s="28" t="e">
        <f ca="1">[1]!BexGetData("DP_1","003N8EMH8GTFRCSWKMPXRRL3Y","GSON1112030753")</f>
        <v>#NAME?</v>
      </c>
      <c r="F343" s="28" t="e">
        <f ca="1">[1]!BexGetData("DP_1","003N8EMH8GTFRCSWKMPXRRRFI","GSON1112030753")</f>
        <v>#NAME?</v>
      </c>
      <c r="G343" s="23" t="e">
        <f ca="1">[1]!BexGetData("DP_1","003N8EMH8GTFRCSWKMPXRRXR2","GSON1112030753")</f>
        <v>#NAME?</v>
      </c>
      <c r="H343" s="23" t="e">
        <f ca="1">[1]!BexGetData("DP_1","003N8EMH8GTFRCSWKMPXRS42M","GSON1112030753")</f>
        <v>#NAME?</v>
      </c>
      <c r="I343" s="28" t="e">
        <f ca="1">[1]!BexGetData("DP_1","003N8EMH8GTFRCSWKMPXRSAE6","GSON1112030753")</f>
        <v>#NAME?</v>
      </c>
      <c r="J343" s="24" t="e">
        <f ca="1">[1]!BexGetData("DP_1","003N8EMH8GTFRCSWKMPXRSGPQ","GSON1112030753")</f>
        <v>#NAME?</v>
      </c>
      <c r="K343" s="28" t="e">
        <f ca="1">[1]!BexGetData("DP_1","003N8EMH8GTFRIVNUPY288VJH","GSON1112030753")</f>
        <v>#NAME?</v>
      </c>
      <c r="L343" s="28" t="e">
        <f ca="1">[1]!BexGetData("DP_1","003N8EMH8GTFRIVNUPY2891V1","GSON1112030753")</f>
        <v>#NAME?</v>
      </c>
      <c r="M343" s="28" t="e">
        <f ca="1">[1]!BexGetData("DP_1","003N8EMH8GTFRIVOG7KG9IQXA","GSON1112030753")</f>
        <v>#NAME?</v>
      </c>
      <c r="N343" s="28" t="e">
        <f ca="1">[1]!BexGetData("DP_1","003N8EMH8GTFRIVOG7KG9IX8U","GSON1112030753")</f>
        <v>#NAME?</v>
      </c>
      <c r="O343" s="28" t="e">
        <f ca="1">[1]!BexGetData("DP_1","003N8EMH8GTFRIVOG7KG9J3KE","GSON1112030753")</f>
        <v>#NAME?</v>
      </c>
      <c r="P343" s="28" t="e">
        <f ca="1">[1]!BexGetData("DP_1","003N8EMH8GTFRIVOG7KG9J9VY","GSON1112030753")</f>
        <v>#NAME?</v>
      </c>
      <c r="Q343" s="24" t="e">
        <f ca="1">[1]!BexGetData("DP_1","00O2TNJGODT0G5Z4TTKYMM5MT","GSON1112030753")</f>
        <v>#NAME?</v>
      </c>
      <c r="R343" s="28" t="e">
        <f ca="1">[1]!BexGetData("DP_1","00O2TNJGODT0G5Z4TTKYMMBYD","GSON1112030753")</f>
        <v>#NAME?</v>
      </c>
      <c r="S343" s="28" t="e">
        <f ca="1">[1]!BexGetData("DP_1","00O2TNJGODT0G5Z4TTKYMMI9X","GSON1112030753")</f>
        <v>#NAME?</v>
      </c>
      <c r="T343" s="28" t="e">
        <f ca="1">[1]!BexGetData("DP_1","00O2TNJGODT0G5Z4TTKYMMOLH","GSON1112030753")</f>
        <v>#NAME?</v>
      </c>
      <c r="U343" s="28" t="e">
        <f ca="1">[1]!BexGetData("DP_1","00O2TNJGODT0G5Z4TTKYMMUX1","GSON1112030753")</f>
        <v>#NAME?</v>
      </c>
      <c r="V343" s="28" t="e">
        <f ca="1">[1]!BexGetData("DP_1","00O2TNJGODT0G5Z4TTKYMN18L","GSON1112030753")</f>
        <v>#NAME?</v>
      </c>
      <c r="W343" s="28" t="e">
        <f ca="1">[1]!BexGetData("DP_1","00O2TNJGODT0G5Z4TTKYMN7K5","GSON1112030753")</f>
        <v>#NAME?</v>
      </c>
    </row>
    <row r="344" spans="1:23" x14ac:dyDescent="0.2">
      <c r="A344" s="36" t="s">
        <v>2184</v>
      </c>
      <c r="B344" s="27" t="s">
        <v>2185</v>
      </c>
      <c r="C344" s="23" t="e">
        <f ca="1">[1]!BexGetData("DP_1","003N8EMH8GTFRCSWKMPXRR8GU","GSON1112030754")</f>
        <v>#NAME?</v>
      </c>
      <c r="D344" s="23" t="e">
        <f ca="1">[1]!BexGetData("DP_1","003N8EMH8GTFRCSWKMPXRRESE","GSON1112030754")</f>
        <v>#NAME?</v>
      </c>
      <c r="E344" s="28" t="e">
        <f ca="1">[1]!BexGetData("DP_1","003N8EMH8GTFRCSWKMPXRRL3Y","GSON1112030754")</f>
        <v>#NAME?</v>
      </c>
      <c r="F344" s="23" t="e">
        <f ca="1">[1]!BexGetData("DP_1","003N8EMH8GTFRCSWKMPXRRRFI","GSON1112030754")</f>
        <v>#NAME?</v>
      </c>
      <c r="G344" s="23" t="e">
        <f ca="1">[1]!BexGetData("DP_1","003N8EMH8GTFRCSWKMPXRRXR2","GSON1112030754")</f>
        <v>#NAME?</v>
      </c>
      <c r="H344" s="23" t="e">
        <f ca="1">[1]!BexGetData("DP_1","003N8EMH8GTFRCSWKMPXRS42M","GSON1112030754")</f>
        <v>#NAME?</v>
      </c>
      <c r="I344" s="23" t="e">
        <f ca="1">[1]!BexGetData("DP_1","003N8EMH8GTFRCSWKMPXRSAE6","GSON1112030754")</f>
        <v>#NAME?</v>
      </c>
      <c r="J344" s="24" t="e">
        <f ca="1">[1]!BexGetData("DP_1","003N8EMH8GTFRCSWKMPXRSGPQ","GSON1112030754")</f>
        <v>#NAME?</v>
      </c>
      <c r="K344" s="23" t="e">
        <f ca="1">[1]!BexGetData("DP_1","003N8EMH8GTFRIVNUPY288VJH","GSON1112030754")</f>
        <v>#NAME?</v>
      </c>
      <c r="L344" s="23" t="e">
        <f ca="1">[1]!BexGetData("DP_1","003N8EMH8GTFRIVNUPY2891V1","GSON1112030754")</f>
        <v>#NAME?</v>
      </c>
      <c r="M344" s="23" t="e">
        <f ca="1">[1]!BexGetData("DP_1","003N8EMH8GTFRIVOG7KG9IQXA","GSON1112030754")</f>
        <v>#NAME?</v>
      </c>
      <c r="N344" s="28" t="e">
        <f ca="1">[1]!BexGetData("DP_1","003N8EMH8GTFRIVOG7KG9IX8U","GSON1112030754")</f>
        <v>#NAME?</v>
      </c>
      <c r="O344" s="23" t="e">
        <f ca="1">[1]!BexGetData("DP_1","003N8EMH8GTFRIVOG7KG9J3KE","GSON1112030754")</f>
        <v>#NAME?</v>
      </c>
      <c r="P344" s="28" t="e">
        <f ca="1">[1]!BexGetData("DP_1","003N8EMH8GTFRIVOG7KG9J9VY","GSON1112030754")</f>
        <v>#NAME?</v>
      </c>
      <c r="Q344" s="24" t="e">
        <f ca="1">[1]!BexGetData("DP_1","00O2TNJGODT0G5Z4TTKYMM5MT","GSON1112030754")</f>
        <v>#NAME?</v>
      </c>
      <c r="R344" s="23" t="e">
        <f ca="1">[1]!BexGetData("DP_1","00O2TNJGODT0G5Z4TTKYMMBYD","GSON1112030754")</f>
        <v>#NAME?</v>
      </c>
      <c r="S344" s="23" t="e">
        <f ca="1">[1]!BexGetData("DP_1","00O2TNJGODT0G5Z4TTKYMMI9X","GSON1112030754")</f>
        <v>#NAME?</v>
      </c>
      <c r="T344" s="28" t="e">
        <f ca="1">[1]!BexGetData("DP_1","00O2TNJGODT0G5Z4TTKYMMOLH","GSON1112030754")</f>
        <v>#NAME?</v>
      </c>
      <c r="U344" s="23" t="e">
        <f ca="1">[1]!BexGetData("DP_1","00O2TNJGODT0G5Z4TTKYMMUX1","GSON1112030754")</f>
        <v>#NAME?</v>
      </c>
      <c r="V344" s="28" t="e">
        <f ca="1">[1]!BexGetData("DP_1","00O2TNJGODT0G5Z4TTKYMN18L","GSON1112030754")</f>
        <v>#NAME?</v>
      </c>
      <c r="W344" s="23" t="e">
        <f ca="1">[1]!BexGetData("DP_1","00O2TNJGODT0G5Z4TTKYMN7K5","GSON1112030754")</f>
        <v>#NAME?</v>
      </c>
    </row>
    <row r="345" spans="1:23" x14ac:dyDescent="0.2">
      <c r="A345" s="36" t="s">
        <v>889</v>
      </c>
      <c r="B345" s="27" t="s">
        <v>890</v>
      </c>
      <c r="C345" s="23" t="e">
        <f ca="1">[1]!BexGetData("DP_1","003N8EMH8GTFRCSWKMPXRR8GU","GSON1112030760")</f>
        <v>#NAME?</v>
      </c>
      <c r="D345" s="23" t="e">
        <f ca="1">[1]!BexGetData("DP_1","003N8EMH8GTFRCSWKMPXRRESE","GSON1112030760")</f>
        <v>#NAME?</v>
      </c>
      <c r="E345" s="23" t="e">
        <f ca="1">[1]!BexGetData("DP_1","003N8EMH8GTFRCSWKMPXRRL3Y","GSON1112030760")</f>
        <v>#NAME?</v>
      </c>
      <c r="F345" s="23" t="e">
        <f ca="1">[1]!BexGetData("DP_1","003N8EMH8GTFRCSWKMPXRRRFI","GSON1112030760")</f>
        <v>#NAME?</v>
      </c>
      <c r="G345" s="23" t="e">
        <f ca="1">[1]!BexGetData("DP_1","003N8EMH8GTFRCSWKMPXRRXR2","GSON1112030760")</f>
        <v>#NAME?</v>
      </c>
      <c r="H345" s="23" t="e">
        <f ca="1">[1]!BexGetData("DP_1","003N8EMH8GTFRCSWKMPXRS42M","GSON1112030760")</f>
        <v>#NAME?</v>
      </c>
      <c r="I345" s="23" t="e">
        <f ca="1">[1]!BexGetData("DP_1","003N8EMH8GTFRCSWKMPXRSAE6","GSON1112030760")</f>
        <v>#NAME?</v>
      </c>
      <c r="J345" s="23" t="e">
        <f ca="1">[1]!BexGetData("DP_1","003N8EMH8GTFRCSWKMPXRSGPQ","GSON1112030760")</f>
        <v>#NAME?</v>
      </c>
      <c r="K345" s="23" t="e">
        <f ca="1">[1]!BexGetData("DP_1","003N8EMH8GTFRIVNUPY288VJH","GSON1112030760")</f>
        <v>#NAME?</v>
      </c>
      <c r="L345" s="23" t="e">
        <f ca="1">[1]!BexGetData("DP_1","003N8EMH8GTFRIVNUPY2891V1","GSON1112030760")</f>
        <v>#NAME?</v>
      </c>
      <c r="M345" s="28" t="e">
        <f ca="1">[1]!BexGetData("DP_1","003N8EMH8GTFRIVOG7KG9IQXA","GSON1112030760")</f>
        <v>#NAME?</v>
      </c>
      <c r="N345" s="23" t="e">
        <f ca="1">[1]!BexGetData("DP_1","003N8EMH8GTFRIVOG7KG9IX8U","GSON1112030760")</f>
        <v>#NAME?</v>
      </c>
      <c r="O345" s="28" t="e">
        <f ca="1">[1]!BexGetData("DP_1","003N8EMH8GTFRIVOG7KG9J3KE","GSON1112030760")</f>
        <v>#NAME?</v>
      </c>
      <c r="P345" s="23" t="e">
        <f ca="1">[1]!BexGetData("DP_1","003N8EMH8GTFRIVOG7KG9J9VY","GSON1112030760")</f>
        <v>#NAME?</v>
      </c>
      <c r="Q345" s="23" t="e">
        <f ca="1">[1]!BexGetData("DP_1","00O2TNJGODT0G5Z4TTKYMM5MT","GSON1112030760")</f>
        <v>#NAME?</v>
      </c>
      <c r="R345" s="23" t="e">
        <f ca="1">[1]!BexGetData("DP_1","00O2TNJGODT0G5Z4TTKYMMBYD","GSON1112030760")</f>
        <v>#NAME?</v>
      </c>
      <c r="S345" s="23" t="e">
        <f ca="1">[1]!BexGetData("DP_1","00O2TNJGODT0G5Z4TTKYMMI9X","GSON1112030760")</f>
        <v>#NAME?</v>
      </c>
      <c r="T345" s="23" t="e">
        <f ca="1">[1]!BexGetData("DP_1","00O2TNJGODT0G5Z4TTKYMMOLH","GSON1112030760")</f>
        <v>#NAME?</v>
      </c>
      <c r="U345" s="28" t="e">
        <f ca="1">[1]!BexGetData("DP_1","00O2TNJGODT0G5Z4TTKYMMUX1","GSON1112030760")</f>
        <v>#NAME?</v>
      </c>
      <c r="V345" s="23" t="e">
        <f ca="1">[1]!BexGetData("DP_1","00O2TNJGODT0G5Z4TTKYMN18L","GSON1112030760")</f>
        <v>#NAME?</v>
      </c>
      <c r="W345" s="28" t="e">
        <f ca="1">[1]!BexGetData("DP_1","00O2TNJGODT0G5Z4TTKYMN7K5","GSON1112030760")</f>
        <v>#NAME?</v>
      </c>
    </row>
    <row r="346" spans="1:23" x14ac:dyDescent="0.2">
      <c r="A346" s="36" t="s">
        <v>891</v>
      </c>
      <c r="B346" s="27" t="s">
        <v>892</v>
      </c>
      <c r="C346" s="23" t="e">
        <f ca="1">[1]!BexGetData("DP_1","003N8EMH8GTFRCSWKMPXRR8GU","GSON1112030761")</f>
        <v>#NAME?</v>
      </c>
      <c r="D346" s="23" t="e">
        <f ca="1">[1]!BexGetData("DP_1","003N8EMH8GTFRCSWKMPXRRESE","GSON1112030761")</f>
        <v>#NAME?</v>
      </c>
      <c r="E346" s="28" t="e">
        <f ca="1">[1]!BexGetData("DP_1","003N8EMH8GTFRCSWKMPXRRL3Y","GSON1112030761")</f>
        <v>#NAME?</v>
      </c>
      <c r="F346" s="23" t="e">
        <f ca="1">[1]!BexGetData("DP_1","003N8EMH8GTFRCSWKMPXRRRFI","GSON1112030761")</f>
        <v>#NAME?</v>
      </c>
      <c r="G346" s="23" t="e">
        <f ca="1">[1]!BexGetData("DP_1","003N8EMH8GTFRCSWKMPXRRXR2","GSON1112030761")</f>
        <v>#NAME?</v>
      </c>
      <c r="H346" s="23" t="e">
        <f ca="1">[1]!BexGetData("DP_1","003N8EMH8GTFRCSWKMPXRS42M","GSON1112030761")</f>
        <v>#NAME?</v>
      </c>
      <c r="I346" s="23" t="e">
        <f ca="1">[1]!BexGetData("DP_1","003N8EMH8GTFRCSWKMPXRSAE6","GSON1112030761")</f>
        <v>#NAME?</v>
      </c>
      <c r="J346" s="24" t="e">
        <f ca="1">[1]!BexGetData("DP_1","003N8EMH8GTFRCSWKMPXRSGPQ","GSON1112030761")</f>
        <v>#NAME?</v>
      </c>
      <c r="K346" s="23" t="e">
        <f ca="1">[1]!BexGetData("DP_1","003N8EMH8GTFRIVNUPY288VJH","GSON1112030761")</f>
        <v>#NAME?</v>
      </c>
      <c r="L346" s="23" t="e">
        <f ca="1">[1]!BexGetData("DP_1","003N8EMH8GTFRIVNUPY2891V1","GSON1112030761")</f>
        <v>#NAME?</v>
      </c>
      <c r="M346" s="23" t="e">
        <f ca="1">[1]!BexGetData("DP_1","003N8EMH8GTFRIVOG7KG9IQXA","GSON1112030761")</f>
        <v>#NAME?</v>
      </c>
      <c r="N346" s="28" t="e">
        <f ca="1">[1]!BexGetData("DP_1","003N8EMH8GTFRIVOG7KG9IX8U","GSON1112030761")</f>
        <v>#NAME?</v>
      </c>
      <c r="O346" s="23" t="e">
        <f ca="1">[1]!BexGetData("DP_1","003N8EMH8GTFRIVOG7KG9J3KE","GSON1112030761")</f>
        <v>#NAME?</v>
      </c>
      <c r="P346" s="28" t="e">
        <f ca="1">[1]!BexGetData("DP_1","003N8EMH8GTFRIVOG7KG9J9VY","GSON1112030761")</f>
        <v>#NAME?</v>
      </c>
      <c r="Q346" s="24" t="e">
        <f ca="1">[1]!BexGetData("DP_1","00O2TNJGODT0G5Z4TTKYMM5MT","GSON1112030761")</f>
        <v>#NAME?</v>
      </c>
      <c r="R346" s="23" t="e">
        <f ca="1">[1]!BexGetData("DP_1","00O2TNJGODT0G5Z4TTKYMMBYD","GSON1112030761")</f>
        <v>#NAME?</v>
      </c>
      <c r="S346" s="23" t="e">
        <f ca="1">[1]!BexGetData("DP_1","00O2TNJGODT0G5Z4TTKYMMI9X","GSON1112030761")</f>
        <v>#NAME?</v>
      </c>
      <c r="T346" s="28" t="e">
        <f ca="1">[1]!BexGetData("DP_1","00O2TNJGODT0G5Z4TTKYMMOLH","GSON1112030761")</f>
        <v>#NAME?</v>
      </c>
      <c r="U346" s="23" t="e">
        <f ca="1">[1]!BexGetData("DP_1","00O2TNJGODT0G5Z4TTKYMMUX1","GSON1112030761")</f>
        <v>#NAME?</v>
      </c>
      <c r="V346" s="28" t="e">
        <f ca="1">[1]!BexGetData("DP_1","00O2TNJGODT0G5Z4TTKYMN18L","GSON1112030761")</f>
        <v>#NAME?</v>
      </c>
      <c r="W346" s="23" t="e">
        <f ca="1">[1]!BexGetData("DP_1","00O2TNJGODT0G5Z4TTKYMN7K5","GSON1112030761")</f>
        <v>#NAME?</v>
      </c>
    </row>
    <row r="347" spans="1:23" x14ac:dyDescent="0.2">
      <c r="A347" s="36" t="s">
        <v>2186</v>
      </c>
      <c r="B347" s="27" t="s">
        <v>2187</v>
      </c>
      <c r="C347" s="28" t="e">
        <f ca="1">[1]!BexGetData("DP_1","003N8EMH8GTFRCSWKMPXRR8GU","GSON1112030762")</f>
        <v>#NAME?</v>
      </c>
      <c r="D347" s="28" t="e">
        <f ca="1">[1]!BexGetData("DP_1","003N8EMH8GTFRCSWKMPXRRESE","GSON1112030762")</f>
        <v>#NAME?</v>
      </c>
      <c r="E347" s="28" t="e">
        <f ca="1">[1]!BexGetData("DP_1","003N8EMH8GTFRCSWKMPXRRL3Y","GSON1112030762")</f>
        <v>#NAME?</v>
      </c>
      <c r="F347" s="28" t="e">
        <f ca="1">[1]!BexGetData("DP_1","003N8EMH8GTFRCSWKMPXRRRFI","GSON1112030762")</f>
        <v>#NAME?</v>
      </c>
      <c r="G347" s="23" t="e">
        <f ca="1">[1]!BexGetData("DP_1","003N8EMH8GTFRCSWKMPXRRXR2","GSON1112030762")</f>
        <v>#NAME?</v>
      </c>
      <c r="H347" s="23" t="e">
        <f ca="1">[1]!BexGetData("DP_1","003N8EMH8GTFRCSWKMPXRS42M","GSON1112030762")</f>
        <v>#NAME?</v>
      </c>
      <c r="I347" s="28" t="e">
        <f ca="1">[1]!BexGetData("DP_1","003N8EMH8GTFRCSWKMPXRSAE6","GSON1112030762")</f>
        <v>#NAME?</v>
      </c>
      <c r="J347" s="24" t="e">
        <f ca="1">[1]!BexGetData("DP_1","003N8EMH8GTFRCSWKMPXRSGPQ","GSON1112030762")</f>
        <v>#NAME?</v>
      </c>
      <c r="K347" s="28" t="e">
        <f ca="1">[1]!BexGetData("DP_1","003N8EMH8GTFRIVNUPY288VJH","GSON1112030762")</f>
        <v>#NAME?</v>
      </c>
      <c r="L347" s="28" t="e">
        <f ca="1">[1]!BexGetData("DP_1","003N8EMH8GTFRIVNUPY2891V1","GSON1112030762")</f>
        <v>#NAME?</v>
      </c>
      <c r="M347" s="28" t="e">
        <f ca="1">[1]!BexGetData("DP_1","003N8EMH8GTFRIVOG7KG9IQXA","GSON1112030762")</f>
        <v>#NAME?</v>
      </c>
      <c r="N347" s="28" t="e">
        <f ca="1">[1]!BexGetData("DP_1","003N8EMH8GTFRIVOG7KG9IX8U","GSON1112030762")</f>
        <v>#NAME?</v>
      </c>
      <c r="O347" s="28" t="e">
        <f ca="1">[1]!BexGetData("DP_1","003N8EMH8GTFRIVOG7KG9J3KE","GSON1112030762")</f>
        <v>#NAME?</v>
      </c>
      <c r="P347" s="28" t="e">
        <f ca="1">[1]!BexGetData("DP_1","003N8EMH8GTFRIVOG7KG9J9VY","GSON1112030762")</f>
        <v>#NAME?</v>
      </c>
      <c r="Q347" s="24" t="e">
        <f ca="1">[1]!BexGetData("DP_1","00O2TNJGODT0G5Z4TTKYMM5MT","GSON1112030762")</f>
        <v>#NAME?</v>
      </c>
      <c r="R347" s="28" t="e">
        <f ca="1">[1]!BexGetData("DP_1","00O2TNJGODT0G5Z4TTKYMMBYD","GSON1112030762")</f>
        <v>#NAME?</v>
      </c>
      <c r="S347" s="28" t="e">
        <f ca="1">[1]!BexGetData("DP_1","00O2TNJGODT0G5Z4TTKYMMI9X","GSON1112030762")</f>
        <v>#NAME?</v>
      </c>
      <c r="T347" s="28" t="e">
        <f ca="1">[1]!BexGetData("DP_1","00O2TNJGODT0G5Z4TTKYMMOLH","GSON1112030762")</f>
        <v>#NAME?</v>
      </c>
      <c r="U347" s="28" t="e">
        <f ca="1">[1]!BexGetData("DP_1","00O2TNJGODT0G5Z4TTKYMMUX1","GSON1112030762")</f>
        <v>#NAME?</v>
      </c>
      <c r="V347" s="28" t="e">
        <f ca="1">[1]!BexGetData("DP_1","00O2TNJGODT0G5Z4TTKYMN18L","GSON1112030762")</f>
        <v>#NAME?</v>
      </c>
      <c r="W347" s="28" t="e">
        <f ca="1">[1]!BexGetData("DP_1","00O2TNJGODT0G5Z4TTKYMN7K5","GSON1112030762")</f>
        <v>#NAME?</v>
      </c>
    </row>
    <row r="348" spans="1:23" x14ac:dyDescent="0.2">
      <c r="A348" s="36" t="s">
        <v>2188</v>
      </c>
      <c r="B348" s="27" t="s">
        <v>2189</v>
      </c>
      <c r="C348" s="23" t="e">
        <f ca="1">[1]!BexGetData("DP_1","003N8EMH8GTFRCSWKMPXRR8GU","GSON1112030763")</f>
        <v>#NAME?</v>
      </c>
      <c r="D348" s="23" t="e">
        <f ca="1">[1]!BexGetData("DP_1","003N8EMH8GTFRCSWKMPXRRESE","GSON1112030763")</f>
        <v>#NAME?</v>
      </c>
      <c r="E348" s="28" t="e">
        <f ca="1">[1]!BexGetData("DP_1","003N8EMH8GTFRCSWKMPXRRL3Y","GSON1112030763")</f>
        <v>#NAME?</v>
      </c>
      <c r="F348" s="28" t="e">
        <f ca="1">[1]!BexGetData("DP_1","003N8EMH8GTFRCSWKMPXRRRFI","GSON1112030763")</f>
        <v>#NAME?</v>
      </c>
      <c r="G348" s="23" t="e">
        <f ca="1">[1]!BexGetData("DP_1","003N8EMH8GTFRCSWKMPXRRXR2","GSON1112030763")</f>
        <v>#NAME?</v>
      </c>
      <c r="H348" s="23" t="e">
        <f ca="1">[1]!BexGetData("DP_1","003N8EMH8GTFRCSWKMPXRS42M","GSON1112030763")</f>
        <v>#NAME?</v>
      </c>
      <c r="I348" s="28" t="e">
        <f ca="1">[1]!BexGetData("DP_1","003N8EMH8GTFRCSWKMPXRSAE6","GSON1112030763")</f>
        <v>#NAME?</v>
      </c>
      <c r="J348" s="24" t="e">
        <f ca="1">[1]!BexGetData("DP_1","003N8EMH8GTFRCSWKMPXRSGPQ","GSON1112030763")</f>
        <v>#NAME?</v>
      </c>
      <c r="K348" s="28" t="e">
        <f ca="1">[1]!BexGetData("DP_1","003N8EMH8GTFRIVNUPY288VJH","GSON1112030763")</f>
        <v>#NAME?</v>
      </c>
      <c r="L348" s="28" t="e">
        <f ca="1">[1]!BexGetData("DP_1","003N8EMH8GTFRIVNUPY2891V1","GSON1112030763")</f>
        <v>#NAME?</v>
      </c>
      <c r="M348" s="28" t="e">
        <f ca="1">[1]!BexGetData("DP_1","003N8EMH8GTFRIVOG7KG9IQXA","GSON1112030763")</f>
        <v>#NAME?</v>
      </c>
      <c r="N348" s="28" t="e">
        <f ca="1">[1]!BexGetData("DP_1","003N8EMH8GTFRIVOG7KG9IX8U","GSON1112030763")</f>
        <v>#NAME?</v>
      </c>
      <c r="O348" s="28" t="e">
        <f ca="1">[1]!BexGetData("DP_1","003N8EMH8GTFRIVOG7KG9J3KE","GSON1112030763")</f>
        <v>#NAME?</v>
      </c>
      <c r="P348" s="28" t="e">
        <f ca="1">[1]!BexGetData("DP_1","003N8EMH8GTFRIVOG7KG9J9VY","GSON1112030763")</f>
        <v>#NAME?</v>
      </c>
      <c r="Q348" s="24" t="e">
        <f ca="1">[1]!BexGetData("DP_1","00O2TNJGODT0G5Z4TTKYMM5MT","GSON1112030763")</f>
        <v>#NAME?</v>
      </c>
      <c r="R348" s="28" t="e">
        <f ca="1">[1]!BexGetData("DP_1","00O2TNJGODT0G5Z4TTKYMMBYD","GSON1112030763")</f>
        <v>#NAME?</v>
      </c>
      <c r="S348" s="28" t="e">
        <f ca="1">[1]!BexGetData("DP_1","00O2TNJGODT0G5Z4TTKYMMI9X","GSON1112030763")</f>
        <v>#NAME?</v>
      </c>
      <c r="T348" s="28" t="e">
        <f ca="1">[1]!BexGetData("DP_1","00O2TNJGODT0G5Z4TTKYMMOLH","GSON1112030763")</f>
        <v>#NAME?</v>
      </c>
      <c r="U348" s="28" t="e">
        <f ca="1">[1]!BexGetData("DP_1","00O2TNJGODT0G5Z4TTKYMMUX1","GSON1112030763")</f>
        <v>#NAME?</v>
      </c>
      <c r="V348" s="28" t="e">
        <f ca="1">[1]!BexGetData("DP_1","00O2TNJGODT0G5Z4TTKYMN18L","GSON1112030763")</f>
        <v>#NAME?</v>
      </c>
      <c r="W348" s="28" t="e">
        <f ca="1">[1]!BexGetData("DP_1","00O2TNJGODT0G5Z4TTKYMN7K5","GSON1112030763")</f>
        <v>#NAME?</v>
      </c>
    </row>
    <row r="349" spans="1:23" x14ac:dyDescent="0.2">
      <c r="A349" s="36" t="s">
        <v>2190</v>
      </c>
      <c r="B349" s="27" t="s">
        <v>2191</v>
      </c>
      <c r="C349" s="23" t="e">
        <f ca="1">[1]!BexGetData("DP_1","003N8EMH8GTFRCSWKMPXRR8GU","GSON1112030764")</f>
        <v>#NAME?</v>
      </c>
      <c r="D349" s="23" t="e">
        <f ca="1">[1]!BexGetData("DP_1","003N8EMH8GTFRCSWKMPXRRESE","GSON1112030764")</f>
        <v>#NAME?</v>
      </c>
      <c r="E349" s="28" t="e">
        <f ca="1">[1]!BexGetData("DP_1","003N8EMH8GTFRCSWKMPXRRL3Y","GSON1112030764")</f>
        <v>#NAME?</v>
      </c>
      <c r="F349" s="23" t="e">
        <f ca="1">[1]!BexGetData("DP_1","003N8EMH8GTFRCSWKMPXRRRFI","GSON1112030764")</f>
        <v>#NAME?</v>
      </c>
      <c r="G349" s="23" t="e">
        <f ca="1">[1]!BexGetData("DP_1","003N8EMH8GTFRCSWKMPXRRXR2","GSON1112030764")</f>
        <v>#NAME?</v>
      </c>
      <c r="H349" s="23" t="e">
        <f ca="1">[1]!BexGetData("DP_1","003N8EMH8GTFRCSWKMPXRS42M","GSON1112030764")</f>
        <v>#NAME?</v>
      </c>
      <c r="I349" s="23" t="e">
        <f ca="1">[1]!BexGetData("DP_1","003N8EMH8GTFRCSWKMPXRSAE6","GSON1112030764")</f>
        <v>#NAME?</v>
      </c>
      <c r="J349" s="24" t="e">
        <f ca="1">[1]!BexGetData("DP_1","003N8EMH8GTFRCSWKMPXRSGPQ","GSON1112030764")</f>
        <v>#NAME?</v>
      </c>
      <c r="K349" s="23" t="e">
        <f ca="1">[1]!BexGetData("DP_1","003N8EMH8GTFRIVNUPY288VJH","GSON1112030764")</f>
        <v>#NAME?</v>
      </c>
      <c r="L349" s="23" t="e">
        <f ca="1">[1]!BexGetData("DP_1","003N8EMH8GTFRIVNUPY2891V1","GSON1112030764")</f>
        <v>#NAME?</v>
      </c>
      <c r="M349" s="28" t="e">
        <f ca="1">[1]!BexGetData("DP_1","003N8EMH8GTFRIVOG7KG9IQXA","GSON1112030764")</f>
        <v>#NAME?</v>
      </c>
      <c r="N349" s="23" t="e">
        <f ca="1">[1]!BexGetData("DP_1","003N8EMH8GTFRIVOG7KG9IX8U","GSON1112030764")</f>
        <v>#NAME?</v>
      </c>
      <c r="O349" s="28" t="e">
        <f ca="1">[1]!BexGetData("DP_1","003N8EMH8GTFRIVOG7KG9J3KE","GSON1112030764")</f>
        <v>#NAME?</v>
      </c>
      <c r="P349" s="23" t="e">
        <f ca="1">[1]!BexGetData("DP_1","003N8EMH8GTFRIVOG7KG9J9VY","GSON1112030764")</f>
        <v>#NAME?</v>
      </c>
      <c r="Q349" s="24" t="e">
        <f ca="1">[1]!BexGetData("DP_1","00O2TNJGODT0G5Z4TTKYMM5MT","GSON1112030764")</f>
        <v>#NAME?</v>
      </c>
      <c r="R349" s="23" t="e">
        <f ca="1">[1]!BexGetData("DP_1","00O2TNJGODT0G5Z4TTKYMMBYD","GSON1112030764")</f>
        <v>#NAME?</v>
      </c>
      <c r="S349" s="23" t="e">
        <f ca="1">[1]!BexGetData("DP_1","00O2TNJGODT0G5Z4TTKYMMI9X","GSON1112030764")</f>
        <v>#NAME?</v>
      </c>
      <c r="T349" s="23" t="e">
        <f ca="1">[1]!BexGetData("DP_1","00O2TNJGODT0G5Z4TTKYMMOLH","GSON1112030764")</f>
        <v>#NAME?</v>
      </c>
      <c r="U349" s="28" t="e">
        <f ca="1">[1]!BexGetData("DP_1","00O2TNJGODT0G5Z4TTKYMMUX1","GSON1112030764")</f>
        <v>#NAME?</v>
      </c>
      <c r="V349" s="23" t="e">
        <f ca="1">[1]!BexGetData("DP_1","00O2TNJGODT0G5Z4TTKYMN18L","GSON1112030764")</f>
        <v>#NAME?</v>
      </c>
      <c r="W349" s="28" t="e">
        <f ca="1">[1]!BexGetData("DP_1","00O2TNJGODT0G5Z4TTKYMN7K5","GSON1112030764")</f>
        <v>#NAME?</v>
      </c>
    </row>
    <row r="350" spans="1:23" x14ac:dyDescent="0.2">
      <c r="A350" s="36" t="s">
        <v>893</v>
      </c>
      <c r="B350" s="27" t="s">
        <v>894</v>
      </c>
      <c r="C350" s="23" t="e">
        <f ca="1">[1]!BexGetData("DP_1","003N8EMH8GTFRCSWKMPXRR8GU","GSON1112030770")</f>
        <v>#NAME?</v>
      </c>
      <c r="D350" s="23" t="e">
        <f ca="1">[1]!BexGetData("DP_1","003N8EMH8GTFRCSWKMPXRRESE","GSON1112030770")</f>
        <v>#NAME?</v>
      </c>
      <c r="E350" s="23" t="e">
        <f ca="1">[1]!BexGetData("DP_1","003N8EMH8GTFRCSWKMPXRRL3Y","GSON1112030770")</f>
        <v>#NAME?</v>
      </c>
      <c r="F350" s="23" t="e">
        <f ca="1">[1]!BexGetData("DP_1","003N8EMH8GTFRCSWKMPXRRRFI","GSON1112030770")</f>
        <v>#NAME?</v>
      </c>
      <c r="G350" s="23" t="e">
        <f ca="1">[1]!BexGetData("DP_1","003N8EMH8GTFRCSWKMPXRRXR2","GSON1112030770")</f>
        <v>#NAME?</v>
      </c>
      <c r="H350" s="23" t="e">
        <f ca="1">[1]!BexGetData("DP_1","003N8EMH8GTFRCSWKMPXRS42M","GSON1112030770")</f>
        <v>#NAME?</v>
      </c>
      <c r="I350" s="23" t="e">
        <f ca="1">[1]!BexGetData("DP_1","003N8EMH8GTFRCSWKMPXRSAE6","GSON1112030770")</f>
        <v>#NAME?</v>
      </c>
      <c r="J350" s="23" t="e">
        <f ca="1">[1]!BexGetData("DP_1","003N8EMH8GTFRCSWKMPXRSGPQ","GSON1112030770")</f>
        <v>#NAME?</v>
      </c>
      <c r="K350" s="23" t="e">
        <f ca="1">[1]!BexGetData("DP_1","003N8EMH8GTFRIVNUPY288VJH","GSON1112030770")</f>
        <v>#NAME?</v>
      </c>
      <c r="L350" s="23" t="e">
        <f ca="1">[1]!BexGetData("DP_1","003N8EMH8GTFRIVNUPY2891V1","GSON1112030770")</f>
        <v>#NAME?</v>
      </c>
      <c r="M350" s="28" t="e">
        <f ca="1">[1]!BexGetData("DP_1","003N8EMH8GTFRIVOG7KG9IQXA","GSON1112030770")</f>
        <v>#NAME?</v>
      </c>
      <c r="N350" s="23" t="e">
        <f ca="1">[1]!BexGetData("DP_1","003N8EMH8GTFRIVOG7KG9IX8U","GSON1112030770")</f>
        <v>#NAME?</v>
      </c>
      <c r="O350" s="28" t="e">
        <f ca="1">[1]!BexGetData("DP_1","003N8EMH8GTFRIVOG7KG9J3KE","GSON1112030770")</f>
        <v>#NAME?</v>
      </c>
      <c r="P350" s="23" t="e">
        <f ca="1">[1]!BexGetData("DP_1","003N8EMH8GTFRIVOG7KG9J9VY","GSON1112030770")</f>
        <v>#NAME?</v>
      </c>
      <c r="Q350" s="23" t="e">
        <f ca="1">[1]!BexGetData("DP_1","00O2TNJGODT0G5Z4TTKYMM5MT","GSON1112030770")</f>
        <v>#NAME?</v>
      </c>
      <c r="R350" s="23" t="e">
        <f ca="1">[1]!BexGetData("DP_1","00O2TNJGODT0G5Z4TTKYMMBYD","GSON1112030770")</f>
        <v>#NAME?</v>
      </c>
      <c r="S350" s="23" t="e">
        <f ca="1">[1]!BexGetData("DP_1","00O2TNJGODT0G5Z4TTKYMMI9X","GSON1112030770")</f>
        <v>#NAME?</v>
      </c>
      <c r="T350" s="28" t="e">
        <f ca="1">[1]!BexGetData("DP_1","00O2TNJGODT0G5Z4TTKYMMOLH","GSON1112030770")</f>
        <v>#NAME?</v>
      </c>
      <c r="U350" s="23" t="e">
        <f ca="1">[1]!BexGetData("DP_1","00O2TNJGODT0G5Z4TTKYMMUX1","GSON1112030770")</f>
        <v>#NAME?</v>
      </c>
      <c r="V350" s="28" t="e">
        <f ca="1">[1]!BexGetData("DP_1","00O2TNJGODT0G5Z4TTKYMN18L","GSON1112030770")</f>
        <v>#NAME?</v>
      </c>
      <c r="W350" s="23" t="e">
        <f ca="1">[1]!BexGetData("DP_1","00O2TNJGODT0G5Z4TTKYMN7K5","GSON1112030770")</f>
        <v>#NAME?</v>
      </c>
    </row>
    <row r="351" spans="1:23" x14ac:dyDescent="0.2">
      <c r="A351" s="36" t="s">
        <v>895</v>
      </c>
      <c r="B351" s="27" t="s">
        <v>896</v>
      </c>
      <c r="C351" s="23" t="e">
        <f ca="1">[1]!BexGetData("DP_1","003N8EMH8GTFRCSWKMPXRR8GU","GSON1112030771")</f>
        <v>#NAME?</v>
      </c>
      <c r="D351" s="23" t="e">
        <f ca="1">[1]!BexGetData("DP_1","003N8EMH8GTFRCSWKMPXRRESE","GSON1112030771")</f>
        <v>#NAME?</v>
      </c>
      <c r="E351" s="28" t="e">
        <f ca="1">[1]!BexGetData("DP_1","003N8EMH8GTFRCSWKMPXRRL3Y","GSON1112030771")</f>
        <v>#NAME?</v>
      </c>
      <c r="F351" s="23" t="e">
        <f ca="1">[1]!BexGetData("DP_1","003N8EMH8GTFRCSWKMPXRRRFI","GSON1112030771")</f>
        <v>#NAME?</v>
      </c>
      <c r="G351" s="23" t="e">
        <f ca="1">[1]!BexGetData("DP_1","003N8EMH8GTFRCSWKMPXRRXR2","GSON1112030771")</f>
        <v>#NAME?</v>
      </c>
      <c r="H351" s="23" t="e">
        <f ca="1">[1]!BexGetData("DP_1","003N8EMH8GTFRCSWKMPXRS42M","GSON1112030771")</f>
        <v>#NAME?</v>
      </c>
      <c r="I351" s="23" t="e">
        <f ca="1">[1]!BexGetData("DP_1","003N8EMH8GTFRCSWKMPXRSAE6","GSON1112030771")</f>
        <v>#NAME?</v>
      </c>
      <c r="J351" s="24" t="e">
        <f ca="1">[1]!BexGetData("DP_1","003N8EMH8GTFRCSWKMPXRSGPQ","GSON1112030771")</f>
        <v>#NAME?</v>
      </c>
      <c r="K351" s="23" t="e">
        <f ca="1">[1]!BexGetData("DP_1","003N8EMH8GTFRIVNUPY288VJH","GSON1112030771")</f>
        <v>#NAME?</v>
      </c>
      <c r="L351" s="23" t="e">
        <f ca="1">[1]!BexGetData("DP_1","003N8EMH8GTFRIVNUPY2891V1","GSON1112030771")</f>
        <v>#NAME?</v>
      </c>
      <c r="M351" s="23" t="e">
        <f ca="1">[1]!BexGetData("DP_1","003N8EMH8GTFRIVOG7KG9IQXA","GSON1112030771")</f>
        <v>#NAME?</v>
      </c>
      <c r="N351" s="28" t="e">
        <f ca="1">[1]!BexGetData("DP_1","003N8EMH8GTFRIVOG7KG9IX8U","GSON1112030771")</f>
        <v>#NAME?</v>
      </c>
      <c r="O351" s="23" t="e">
        <f ca="1">[1]!BexGetData("DP_1","003N8EMH8GTFRIVOG7KG9J3KE","GSON1112030771")</f>
        <v>#NAME?</v>
      </c>
      <c r="P351" s="28" t="e">
        <f ca="1">[1]!BexGetData("DP_1","003N8EMH8GTFRIVOG7KG9J9VY","GSON1112030771")</f>
        <v>#NAME?</v>
      </c>
      <c r="Q351" s="24" t="e">
        <f ca="1">[1]!BexGetData("DP_1","00O2TNJGODT0G5Z4TTKYMM5MT","GSON1112030771")</f>
        <v>#NAME?</v>
      </c>
      <c r="R351" s="23" t="e">
        <f ca="1">[1]!BexGetData("DP_1","00O2TNJGODT0G5Z4TTKYMMBYD","GSON1112030771")</f>
        <v>#NAME?</v>
      </c>
      <c r="S351" s="23" t="e">
        <f ca="1">[1]!BexGetData("DP_1","00O2TNJGODT0G5Z4TTKYMMI9X","GSON1112030771")</f>
        <v>#NAME?</v>
      </c>
      <c r="T351" s="28" t="e">
        <f ca="1">[1]!BexGetData("DP_1","00O2TNJGODT0G5Z4TTKYMMOLH","GSON1112030771")</f>
        <v>#NAME?</v>
      </c>
      <c r="U351" s="23" t="e">
        <f ca="1">[1]!BexGetData("DP_1","00O2TNJGODT0G5Z4TTKYMMUX1","GSON1112030771")</f>
        <v>#NAME?</v>
      </c>
      <c r="V351" s="28" t="e">
        <f ca="1">[1]!BexGetData("DP_1","00O2TNJGODT0G5Z4TTKYMN18L","GSON1112030771")</f>
        <v>#NAME?</v>
      </c>
      <c r="W351" s="23" t="e">
        <f ca="1">[1]!BexGetData("DP_1","00O2TNJGODT0G5Z4TTKYMN7K5","GSON1112030771")</f>
        <v>#NAME?</v>
      </c>
    </row>
    <row r="352" spans="1:23" x14ac:dyDescent="0.2">
      <c r="A352" s="36" t="s">
        <v>2192</v>
      </c>
      <c r="B352" s="27" t="s">
        <v>2193</v>
      </c>
      <c r="C352" s="24" t="e">
        <f ca="1">[1]!BexGetData("DP_1","003N8EMH8GTFRCSWKMPXRR8GU","GSON1112030773")</f>
        <v>#NAME?</v>
      </c>
      <c r="D352" s="24" t="e">
        <f ca="1">[1]!BexGetData("DP_1","003N8EMH8GTFRCSWKMPXRRESE","GSON1112030773")</f>
        <v>#NAME?</v>
      </c>
      <c r="E352" s="24" t="e">
        <f ca="1">[1]!BexGetData("DP_1","003N8EMH8GTFRCSWKMPXRRL3Y","GSON1112030773")</f>
        <v>#NAME?</v>
      </c>
      <c r="F352" s="28" t="e">
        <f ca="1">[1]!BexGetData("DP_1","003N8EMH8GTFRCSWKMPXRRRFI","GSON1112030773")</f>
        <v>#NAME?</v>
      </c>
      <c r="G352" s="23" t="e">
        <f ca="1">[1]!BexGetData("DP_1","003N8EMH8GTFRCSWKMPXRRXR2","GSON1112030773")</f>
        <v>#NAME?</v>
      </c>
      <c r="H352" s="23" t="e">
        <f ca="1">[1]!BexGetData("DP_1","003N8EMH8GTFRCSWKMPXRS42M","GSON1112030773")</f>
        <v>#NAME?</v>
      </c>
      <c r="I352" s="28" t="e">
        <f ca="1">[1]!BexGetData("DP_1","003N8EMH8GTFRCSWKMPXRSAE6","GSON1112030773")</f>
        <v>#NAME?</v>
      </c>
      <c r="J352" s="24" t="e">
        <f ca="1">[1]!BexGetData("DP_1","003N8EMH8GTFRCSWKMPXRSGPQ","GSON1112030773")</f>
        <v>#NAME?</v>
      </c>
      <c r="K352" s="28" t="e">
        <f ca="1">[1]!BexGetData("DP_1","003N8EMH8GTFRIVNUPY288VJH","GSON1112030773")</f>
        <v>#NAME?</v>
      </c>
      <c r="L352" s="28" t="e">
        <f ca="1">[1]!BexGetData("DP_1","003N8EMH8GTFRIVNUPY2891V1","GSON1112030773")</f>
        <v>#NAME?</v>
      </c>
      <c r="M352" s="28" t="e">
        <f ca="1">[1]!BexGetData("DP_1","003N8EMH8GTFRIVOG7KG9IQXA","GSON1112030773")</f>
        <v>#NAME?</v>
      </c>
      <c r="N352" s="28" t="e">
        <f ca="1">[1]!BexGetData("DP_1","003N8EMH8GTFRIVOG7KG9IX8U","GSON1112030773")</f>
        <v>#NAME?</v>
      </c>
      <c r="O352" s="28" t="e">
        <f ca="1">[1]!BexGetData("DP_1","003N8EMH8GTFRIVOG7KG9J3KE","GSON1112030773")</f>
        <v>#NAME?</v>
      </c>
      <c r="P352" s="28" t="e">
        <f ca="1">[1]!BexGetData("DP_1","003N8EMH8GTFRIVOG7KG9J9VY","GSON1112030773")</f>
        <v>#NAME?</v>
      </c>
      <c r="Q352" s="24" t="e">
        <f ca="1">[1]!BexGetData("DP_1","00O2TNJGODT0G5Z4TTKYMM5MT","GSON1112030773")</f>
        <v>#NAME?</v>
      </c>
      <c r="R352" s="28" t="e">
        <f ca="1">[1]!BexGetData("DP_1","00O2TNJGODT0G5Z4TTKYMMBYD","GSON1112030773")</f>
        <v>#NAME?</v>
      </c>
      <c r="S352" s="28" t="e">
        <f ca="1">[1]!BexGetData("DP_1","00O2TNJGODT0G5Z4TTKYMMI9X","GSON1112030773")</f>
        <v>#NAME?</v>
      </c>
      <c r="T352" s="28" t="e">
        <f ca="1">[1]!BexGetData("DP_1","00O2TNJGODT0G5Z4TTKYMMOLH","GSON1112030773")</f>
        <v>#NAME?</v>
      </c>
      <c r="U352" s="28" t="e">
        <f ca="1">[1]!BexGetData("DP_1","00O2TNJGODT0G5Z4TTKYMMUX1","GSON1112030773")</f>
        <v>#NAME?</v>
      </c>
      <c r="V352" s="28" t="e">
        <f ca="1">[1]!BexGetData("DP_1","00O2TNJGODT0G5Z4TTKYMN18L","GSON1112030773")</f>
        <v>#NAME?</v>
      </c>
      <c r="W352" s="28" t="e">
        <f ca="1">[1]!BexGetData("DP_1","00O2TNJGODT0G5Z4TTKYMN7K5","GSON1112030773")</f>
        <v>#NAME?</v>
      </c>
    </row>
    <row r="353" spans="1:23" x14ac:dyDescent="0.2">
      <c r="A353" s="36" t="s">
        <v>2194</v>
      </c>
      <c r="B353" s="27" t="s">
        <v>2195</v>
      </c>
      <c r="C353" s="23" t="e">
        <f ca="1">[1]!BexGetData("DP_1","003N8EMH8GTFRCSWKMPXRR8GU","GSON1112030774")</f>
        <v>#NAME?</v>
      </c>
      <c r="D353" s="23" t="e">
        <f ca="1">[1]!BexGetData("DP_1","003N8EMH8GTFRCSWKMPXRRESE","GSON1112030774")</f>
        <v>#NAME?</v>
      </c>
      <c r="E353" s="28" t="e">
        <f ca="1">[1]!BexGetData("DP_1","003N8EMH8GTFRCSWKMPXRRL3Y","GSON1112030774")</f>
        <v>#NAME?</v>
      </c>
      <c r="F353" s="23" t="e">
        <f ca="1">[1]!BexGetData("DP_1","003N8EMH8GTFRCSWKMPXRRRFI","GSON1112030774")</f>
        <v>#NAME?</v>
      </c>
      <c r="G353" s="23" t="e">
        <f ca="1">[1]!BexGetData("DP_1","003N8EMH8GTFRCSWKMPXRRXR2","GSON1112030774")</f>
        <v>#NAME?</v>
      </c>
      <c r="H353" s="23" t="e">
        <f ca="1">[1]!BexGetData("DP_1","003N8EMH8GTFRCSWKMPXRS42M","GSON1112030774")</f>
        <v>#NAME?</v>
      </c>
      <c r="I353" s="23" t="e">
        <f ca="1">[1]!BexGetData("DP_1","003N8EMH8GTFRCSWKMPXRSAE6","GSON1112030774")</f>
        <v>#NAME?</v>
      </c>
      <c r="J353" s="24" t="e">
        <f ca="1">[1]!BexGetData("DP_1","003N8EMH8GTFRCSWKMPXRSGPQ","GSON1112030774")</f>
        <v>#NAME?</v>
      </c>
      <c r="K353" s="23" t="e">
        <f ca="1">[1]!BexGetData("DP_1","003N8EMH8GTFRIVNUPY288VJH","GSON1112030774")</f>
        <v>#NAME?</v>
      </c>
      <c r="L353" s="23" t="e">
        <f ca="1">[1]!BexGetData("DP_1","003N8EMH8GTFRIVNUPY2891V1","GSON1112030774")</f>
        <v>#NAME?</v>
      </c>
      <c r="M353" s="28" t="e">
        <f ca="1">[1]!BexGetData("DP_1","003N8EMH8GTFRIVOG7KG9IQXA","GSON1112030774")</f>
        <v>#NAME?</v>
      </c>
      <c r="N353" s="23" t="e">
        <f ca="1">[1]!BexGetData("DP_1","003N8EMH8GTFRIVOG7KG9IX8U","GSON1112030774")</f>
        <v>#NAME?</v>
      </c>
      <c r="O353" s="28" t="e">
        <f ca="1">[1]!BexGetData("DP_1","003N8EMH8GTFRIVOG7KG9J3KE","GSON1112030774")</f>
        <v>#NAME?</v>
      </c>
      <c r="P353" s="23" t="e">
        <f ca="1">[1]!BexGetData("DP_1","003N8EMH8GTFRIVOG7KG9J9VY","GSON1112030774")</f>
        <v>#NAME?</v>
      </c>
      <c r="Q353" s="24" t="e">
        <f ca="1">[1]!BexGetData("DP_1","00O2TNJGODT0G5Z4TTKYMM5MT","GSON1112030774")</f>
        <v>#NAME?</v>
      </c>
      <c r="R353" s="23" t="e">
        <f ca="1">[1]!BexGetData("DP_1","00O2TNJGODT0G5Z4TTKYMMBYD","GSON1112030774")</f>
        <v>#NAME?</v>
      </c>
      <c r="S353" s="23" t="e">
        <f ca="1">[1]!BexGetData("DP_1","00O2TNJGODT0G5Z4TTKYMMI9X","GSON1112030774")</f>
        <v>#NAME?</v>
      </c>
      <c r="T353" s="23" t="e">
        <f ca="1">[1]!BexGetData("DP_1","00O2TNJGODT0G5Z4TTKYMMOLH","GSON1112030774")</f>
        <v>#NAME?</v>
      </c>
      <c r="U353" s="28" t="e">
        <f ca="1">[1]!BexGetData("DP_1","00O2TNJGODT0G5Z4TTKYMMUX1","GSON1112030774")</f>
        <v>#NAME?</v>
      </c>
      <c r="V353" s="23" t="e">
        <f ca="1">[1]!BexGetData("DP_1","00O2TNJGODT0G5Z4TTKYMN18L","GSON1112030774")</f>
        <v>#NAME?</v>
      </c>
      <c r="W353" s="28" t="e">
        <f ca="1">[1]!BexGetData("DP_1","00O2TNJGODT0G5Z4TTKYMN7K5","GSON1112030774")</f>
        <v>#NAME?</v>
      </c>
    </row>
    <row r="354" spans="1:23" x14ac:dyDescent="0.2">
      <c r="A354" s="36" t="s">
        <v>897</v>
      </c>
      <c r="B354" s="27" t="s">
        <v>898</v>
      </c>
      <c r="C354" s="23" t="e">
        <f ca="1">[1]!BexGetData("DP_1","003N8EMH8GTFRCSWKMPXRR8GU","GSON1112030780")</f>
        <v>#NAME?</v>
      </c>
      <c r="D354" s="23" t="e">
        <f ca="1">[1]!BexGetData("DP_1","003N8EMH8GTFRCSWKMPXRRESE","GSON1112030780")</f>
        <v>#NAME?</v>
      </c>
      <c r="E354" s="23" t="e">
        <f ca="1">[1]!BexGetData("DP_1","003N8EMH8GTFRCSWKMPXRRL3Y","GSON1112030780")</f>
        <v>#NAME?</v>
      </c>
      <c r="F354" s="23" t="e">
        <f ca="1">[1]!BexGetData("DP_1","003N8EMH8GTFRCSWKMPXRRRFI","GSON1112030780")</f>
        <v>#NAME?</v>
      </c>
      <c r="G354" s="23" t="e">
        <f ca="1">[1]!BexGetData("DP_1","003N8EMH8GTFRCSWKMPXRRXR2","GSON1112030780")</f>
        <v>#NAME?</v>
      </c>
      <c r="H354" s="23" t="e">
        <f ca="1">[1]!BexGetData("DP_1","003N8EMH8GTFRCSWKMPXRS42M","GSON1112030780")</f>
        <v>#NAME?</v>
      </c>
      <c r="I354" s="23" t="e">
        <f ca="1">[1]!BexGetData("DP_1","003N8EMH8GTFRCSWKMPXRSAE6","GSON1112030780")</f>
        <v>#NAME?</v>
      </c>
      <c r="J354" s="23" t="e">
        <f ca="1">[1]!BexGetData("DP_1","003N8EMH8GTFRCSWKMPXRSGPQ","GSON1112030780")</f>
        <v>#NAME?</v>
      </c>
      <c r="K354" s="23" t="e">
        <f ca="1">[1]!BexGetData("DP_1","003N8EMH8GTFRIVNUPY288VJH","GSON1112030780")</f>
        <v>#NAME?</v>
      </c>
      <c r="L354" s="23" t="e">
        <f ca="1">[1]!BexGetData("DP_1","003N8EMH8GTFRIVNUPY2891V1","GSON1112030780")</f>
        <v>#NAME?</v>
      </c>
      <c r="M354" s="28" t="e">
        <f ca="1">[1]!BexGetData("DP_1","003N8EMH8GTFRIVOG7KG9IQXA","GSON1112030780")</f>
        <v>#NAME?</v>
      </c>
      <c r="N354" s="23" t="e">
        <f ca="1">[1]!BexGetData("DP_1","003N8EMH8GTFRIVOG7KG9IX8U","GSON1112030780")</f>
        <v>#NAME?</v>
      </c>
      <c r="O354" s="28" t="e">
        <f ca="1">[1]!BexGetData("DP_1","003N8EMH8GTFRIVOG7KG9J3KE","GSON1112030780")</f>
        <v>#NAME?</v>
      </c>
      <c r="P354" s="23" t="e">
        <f ca="1">[1]!BexGetData("DP_1","003N8EMH8GTFRIVOG7KG9J9VY","GSON1112030780")</f>
        <v>#NAME?</v>
      </c>
      <c r="Q354" s="23" t="e">
        <f ca="1">[1]!BexGetData("DP_1","00O2TNJGODT0G5Z4TTKYMM5MT","GSON1112030780")</f>
        <v>#NAME?</v>
      </c>
      <c r="R354" s="23" t="e">
        <f ca="1">[1]!BexGetData("DP_1","00O2TNJGODT0G5Z4TTKYMMBYD","GSON1112030780")</f>
        <v>#NAME?</v>
      </c>
      <c r="S354" s="23" t="e">
        <f ca="1">[1]!BexGetData("DP_1","00O2TNJGODT0G5Z4TTKYMMI9X","GSON1112030780")</f>
        <v>#NAME?</v>
      </c>
      <c r="T354" s="28" t="e">
        <f ca="1">[1]!BexGetData("DP_1","00O2TNJGODT0G5Z4TTKYMMOLH","GSON1112030780")</f>
        <v>#NAME?</v>
      </c>
      <c r="U354" s="23" t="e">
        <f ca="1">[1]!BexGetData("DP_1","00O2TNJGODT0G5Z4TTKYMMUX1","GSON1112030780")</f>
        <v>#NAME?</v>
      </c>
      <c r="V354" s="28" t="e">
        <f ca="1">[1]!BexGetData("DP_1","00O2TNJGODT0G5Z4TTKYMN18L","GSON1112030780")</f>
        <v>#NAME?</v>
      </c>
      <c r="W354" s="23" t="e">
        <f ca="1">[1]!BexGetData("DP_1","00O2TNJGODT0G5Z4TTKYMN7K5","GSON1112030780")</f>
        <v>#NAME?</v>
      </c>
    </row>
    <row r="355" spans="1:23" x14ac:dyDescent="0.2">
      <c r="A355" s="36" t="s">
        <v>899</v>
      </c>
      <c r="B355" s="27" t="s">
        <v>900</v>
      </c>
      <c r="C355" s="23" t="e">
        <f ca="1">[1]!BexGetData("DP_1","003N8EMH8GTFRCSWKMPXRR8GU","GSON1112030781")</f>
        <v>#NAME?</v>
      </c>
      <c r="D355" s="23" t="e">
        <f ca="1">[1]!BexGetData("DP_1","003N8EMH8GTFRCSWKMPXRRESE","GSON1112030781")</f>
        <v>#NAME?</v>
      </c>
      <c r="E355" s="28" t="e">
        <f ca="1">[1]!BexGetData("DP_1","003N8EMH8GTFRCSWKMPXRRL3Y","GSON1112030781")</f>
        <v>#NAME?</v>
      </c>
      <c r="F355" s="23" t="e">
        <f ca="1">[1]!BexGetData("DP_1","003N8EMH8GTFRCSWKMPXRRRFI","GSON1112030781")</f>
        <v>#NAME?</v>
      </c>
      <c r="G355" s="23" t="e">
        <f ca="1">[1]!BexGetData("DP_1","003N8EMH8GTFRCSWKMPXRRXR2","GSON1112030781")</f>
        <v>#NAME?</v>
      </c>
      <c r="H355" s="23" t="e">
        <f ca="1">[1]!BexGetData("DP_1","003N8EMH8GTFRCSWKMPXRS42M","GSON1112030781")</f>
        <v>#NAME?</v>
      </c>
      <c r="I355" s="23" t="e">
        <f ca="1">[1]!BexGetData("DP_1","003N8EMH8GTFRCSWKMPXRSAE6","GSON1112030781")</f>
        <v>#NAME?</v>
      </c>
      <c r="J355" s="24" t="e">
        <f ca="1">[1]!BexGetData("DP_1","003N8EMH8GTFRCSWKMPXRSGPQ","GSON1112030781")</f>
        <v>#NAME?</v>
      </c>
      <c r="K355" s="23" t="e">
        <f ca="1">[1]!BexGetData("DP_1","003N8EMH8GTFRIVNUPY288VJH","GSON1112030781")</f>
        <v>#NAME?</v>
      </c>
      <c r="L355" s="23" t="e">
        <f ca="1">[1]!BexGetData("DP_1","003N8EMH8GTFRIVNUPY2891V1","GSON1112030781")</f>
        <v>#NAME?</v>
      </c>
      <c r="M355" s="23" t="e">
        <f ca="1">[1]!BexGetData("DP_1","003N8EMH8GTFRIVOG7KG9IQXA","GSON1112030781")</f>
        <v>#NAME?</v>
      </c>
      <c r="N355" s="28" t="e">
        <f ca="1">[1]!BexGetData("DP_1","003N8EMH8GTFRIVOG7KG9IX8U","GSON1112030781")</f>
        <v>#NAME?</v>
      </c>
      <c r="O355" s="23" t="e">
        <f ca="1">[1]!BexGetData("DP_1","003N8EMH8GTFRIVOG7KG9J3KE","GSON1112030781")</f>
        <v>#NAME?</v>
      </c>
      <c r="P355" s="28" t="e">
        <f ca="1">[1]!BexGetData("DP_1","003N8EMH8GTFRIVOG7KG9J9VY","GSON1112030781")</f>
        <v>#NAME?</v>
      </c>
      <c r="Q355" s="24" t="e">
        <f ca="1">[1]!BexGetData("DP_1","00O2TNJGODT0G5Z4TTKYMM5MT","GSON1112030781")</f>
        <v>#NAME?</v>
      </c>
      <c r="R355" s="23" t="e">
        <f ca="1">[1]!BexGetData("DP_1","00O2TNJGODT0G5Z4TTKYMMBYD","GSON1112030781")</f>
        <v>#NAME?</v>
      </c>
      <c r="S355" s="23" t="e">
        <f ca="1">[1]!BexGetData("DP_1","00O2TNJGODT0G5Z4TTKYMMI9X","GSON1112030781")</f>
        <v>#NAME?</v>
      </c>
      <c r="T355" s="28" t="e">
        <f ca="1">[1]!BexGetData("DP_1","00O2TNJGODT0G5Z4TTKYMMOLH","GSON1112030781")</f>
        <v>#NAME?</v>
      </c>
      <c r="U355" s="23" t="e">
        <f ca="1">[1]!BexGetData("DP_1","00O2TNJGODT0G5Z4TTKYMMUX1","GSON1112030781")</f>
        <v>#NAME?</v>
      </c>
      <c r="V355" s="28" t="e">
        <f ca="1">[1]!BexGetData("DP_1","00O2TNJGODT0G5Z4TTKYMN18L","GSON1112030781")</f>
        <v>#NAME?</v>
      </c>
      <c r="W355" s="23" t="e">
        <f ca="1">[1]!BexGetData("DP_1","00O2TNJGODT0G5Z4TTKYMN7K5","GSON1112030781")</f>
        <v>#NAME?</v>
      </c>
    </row>
    <row r="356" spans="1:23" x14ac:dyDescent="0.2">
      <c r="A356" s="36" t="s">
        <v>2196</v>
      </c>
      <c r="B356" s="27" t="s">
        <v>2197</v>
      </c>
      <c r="C356" s="23" t="e">
        <f ca="1">[1]!BexGetData("DP_1","003N8EMH8GTFRCSWKMPXRR8GU","GSON1112030783")</f>
        <v>#NAME?</v>
      </c>
      <c r="D356" s="23" t="e">
        <f ca="1">[1]!BexGetData("DP_1","003N8EMH8GTFRCSWKMPXRRESE","GSON1112030783")</f>
        <v>#NAME?</v>
      </c>
      <c r="E356" s="28" t="e">
        <f ca="1">[1]!BexGetData("DP_1","003N8EMH8GTFRCSWKMPXRRL3Y","GSON1112030783")</f>
        <v>#NAME?</v>
      </c>
      <c r="F356" s="28" t="e">
        <f ca="1">[1]!BexGetData("DP_1","003N8EMH8GTFRCSWKMPXRRRFI","GSON1112030783")</f>
        <v>#NAME?</v>
      </c>
      <c r="G356" s="23" t="e">
        <f ca="1">[1]!BexGetData("DP_1","003N8EMH8GTFRCSWKMPXRRXR2","GSON1112030783")</f>
        <v>#NAME?</v>
      </c>
      <c r="H356" s="23" t="e">
        <f ca="1">[1]!BexGetData("DP_1","003N8EMH8GTFRCSWKMPXRS42M","GSON1112030783")</f>
        <v>#NAME?</v>
      </c>
      <c r="I356" s="28" t="e">
        <f ca="1">[1]!BexGetData("DP_1","003N8EMH8GTFRCSWKMPXRSAE6","GSON1112030783")</f>
        <v>#NAME?</v>
      </c>
      <c r="J356" s="24" t="e">
        <f ca="1">[1]!BexGetData("DP_1","003N8EMH8GTFRCSWKMPXRSGPQ","GSON1112030783")</f>
        <v>#NAME?</v>
      </c>
      <c r="K356" s="28" t="e">
        <f ca="1">[1]!BexGetData("DP_1","003N8EMH8GTFRIVNUPY288VJH","GSON1112030783")</f>
        <v>#NAME?</v>
      </c>
      <c r="L356" s="28" t="e">
        <f ca="1">[1]!BexGetData("DP_1","003N8EMH8GTFRIVNUPY2891V1","GSON1112030783")</f>
        <v>#NAME?</v>
      </c>
      <c r="M356" s="28" t="e">
        <f ca="1">[1]!BexGetData("DP_1","003N8EMH8GTFRIVOG7KG9IQXA","GSON1112030783")</f>
        <v>#NAME?</v>
      </c>
      <c r="N356" s="28" t="e">
        <f ca="1">[1]!BexGetData("DP_1","003N8EMH8GTFRIVOG7KG9IX8U","GSON1112030783")</f>
        <v>#NAME?</v>
      </c>
      <c r="O356" s="28" t="e">
        <f ca="1">[1]!BexGetData("DP_1","003N8EMH8GTFRIVOG7KG9J3KE","GSON1112030783")</f>
        <v>#NAME?</v>
      </c>
      <c r="P356" s="28" t="e">
        <f ca="1">[1]!BexGetData("DP_1","003N8EMH8GTFRIVOG7KG9J9VY","GSON1112030783")</f>
        <v>#NAME?</v>
      </c>
      <c r="Q356" s="24" t="e">
        <f ca="1">[1]!BexGetData("DP_1","00O2TNJGODT0G5Z4TTKYMM5MT","GSON1112030783")</f>
        <v>#NAME?</v>
      </c>
      <c r="R356" s="28" t="e">
        <f ca="1">[1]!BexGetData("DP_1","00O2TNJGODT0G5Z4TTKYMMBYD","GSON1112030783")</f>
        <v>#NAME?</v>
      </c>
      <c r="S356" s="28" t="e">
        <f ca="1">[1]!BexGetData("DP_1","00O2TNJGODT0G5Z4TTKYMMI9X","GSON1112030783")</f>
        <v>#NAME?</v>
      </c>
      <c r="T356" s="28" t="e">
        <f ca="1">[1]!BexGetData("DP_1","00O2TNJGODT0G5Z4TTKYMMOLH","GSON1112030783")</f>
        <v>#NAME?</v>
      </c>
      <c r="U356" s="28" t="e">
        <f ca="1">[1]!BexGetData("DP_1","00O2TNJGODT0G5Z4TTKYMMUX1","GSON1112030783")</f>
        <v>#NAME?</v>
      </c>
      <c r="V356" s="28" t="e">
        <f ca="1">[1]!BexGetData("DP_1","00O2TNJGODT0G5Z4TTKYMN18L","GSON1112030783")</f>
        <v>#NAME?</v>
      </c>
      <c r="W356" s="28" t="e">
        <f ca="1">[1]!BexGetData("DP_1","00O2TNJGODT0G5Z4TTKYMN7K5","GSON1112030783")</f>
        <v>#NAME?</v>
      </c>
    </row>
    <row r="357" spans="1:23" x14ac:dyDescent="0.2">
      <c r="A357" s="36" t="s">
        <v>2198</v>
      </c>
      <c r="B357" s="27" t="s">
        <v>2199</v>
      </c>
      <c r="C357" s="23" t="e">
        <f ca="1">[1]!BexGetData("DP_1","003N8EMH8GTFRCSWKMPXRR8GU","GSON1112030784")</f>
        <v>#NAME?</v>
      </c>
      <c r="D357" s="23" t="e">
        <f ca="1">[1]!BexGetData("DP_1","003N8EMH8GTFRCSWKMPXRRESE","GSON1112030784")</f>
        <v>#NAME?</v>
      </c>
      <c r="E357" s="28" t="e">
        <f ca="1">[1]!BexGetData("DP_1","003N8EMH8GTFRCSWKMPXRRL3Y","GSON1112030784")</f>
        <v>#NAME?</v>
      </c>
      <c r="F357" s="23" t="e">
        <f ca="1">[1]!BexGetData("DP_1","003N8EMH8GTFRCSWKMPXRRRFI","GSON1112030784")</f>
        <v>#NAME?</v>
      </c>
      <c r="G357" s="23" t="e">
        <f ca="1">[1]!BexGetData("DP_1","003N8EMH8GTFRCSWKMPXRRXR2","GSON1112030784")</f>
        <v>#NAME?</v>
      </c>
      <c r="H357" s="23" t="e">
        <f ca="1">[1]!BexGetData("DP_1","003N8EMH8GTFRCSWKMPXRS42M","GSON1112030784")</f>
        <v>#NAME?</v>
      </c>
      <c r="I357" s="23" t="e">
        <f ca="1">[1]!BexGetData("DP_1","003N8EMH8GTFRCSWKMPXRSAE6","GSON1112030784")</f>
        <v>#NAME?</v>
      </c>
      <c r="J357" s="24" t="e">
        <f ca="1">[1]!BexGetData("DP_1","003N8EMH8GTFRCSWKMPXRSGPQ","GSON1112030784")</f>
        <v>#NAME?</v>
      </c>
      <c r="K357" s="23" t="e">
        <f ca="1">[1]!BexGetData("DP_1","003N8EMH8GTFRIVNUPY288VJH","GSON1112030784")</f>
        <v>#NAME?</v>
      </c>
      <c r="L357" s="23" t="e">
        <f ca="1">[1]!BexGetData("DP_1","003N8EMH8GTFRIVNUPY2891V1","GSON1112030784")</f>
        <v>#NAME?</v>
      </c>
      <c r="M357" s="28" t="e">
        <f ca="1">[1]!BexGetData("DP_1","003N8EMH8GTFRIVOG7KG9IQXA","GSON1112030784")</f>
        <v>#NAME?</v>
      </c>
      <c r="N357" s="23" t="e">
        <f ca="1">[1]!BexGetData("DP_1","003N8EMH8GTFRIVOG7KG9IX8U","GSON1112030784")</f>
        <v>#NAME?</v>
      </c>
      <c r="O357" s="28" t="e">
        <f ca="1">[1]!BexGetData("DP_1","003N8EMH8GTFRIVOG7KG9J3KE","GSON1112030784")</f>
        <v>#NAME?</v>
      </c>
      <c r="P357" s="23" t="e">
        <f ca="1">[1]!BexGetData("DP_1","003N8EMH8GTFRIVOG7KG9J9VY","GSON1112030784")</f>
        <v>#NAME?</v>
      </c>
      <c r="Q357" s="24" t="e">
        <f ca="1">[1]!BexGetData("DP_1","00O2TNJGODT0G5Z4TTKYMM5MT","GSON1112030784")</f>
        <v>#NAME?</v>
      </c>
      <c r="R357" s="23" t="e">
        <f ca="1">[1]!BexGetData("DP_1","00O2TNJGODT0G5Z4TTKYMMBYD","GSON1112030784")</f>
        <v>#NAME?</v>
      </c>
      <c r="S357" s="23" t="e">
        <f ca="1">[1]!BexGetData("DP_1","00O2TNJGODT0G5Z4TTKYMMI9X","GSON1112030784")</f>
        <v>#NAME?</v>
      </c>
      <c r="T357" s="23" t="e">
        <f ca="1">[1]!BexGetData("DP_1","00O2TNJGODT0G5Z4TTKYMMOLH","GSON1112030784")</f>
        <v>#NAME?</v>
      </c>
      <c r="U357" s="28" t="e">
        <f ca="1">[1]!BexGetData("DP_1","00O2TNJGODT0G5Z4TTKYMMUX1","GSON1112030784")</f>
        <v>#NAME?</v>
      </c>
      <c r="V357" s="23" t="e">
        <f ca="1">[1]!BexGetData("DP_1","00O2TNJGODT0G5Z4TTKYMN18L","GSON1112030784")</f>
        <v>#NAME?</v>
      </c>
      <c r="W357" s="28" t="e">
        <f ca="1">[1]!BexGetData("DP_1","00O2TNJGODT0G5Z4TTKYMN7K5","GSON1112030784")</f>
        <v>#NAME?</v>
      </c>
    </row>
    <row r="358" spans="1:23" x14ac:dyDescent="0.2">
      <c r="A358" s="36" t="s">
        <v>2200</v>
      </c>
      <c r="B358" s="27" t="s">
        <v>2201</v>
      </c>
      <c r="C358" s="28" t="e">
        <f ca="1">[1]!BexGetData("DP_1","003N8EMH8GTFRCSWKMPXRR8GU","GSON1112030790")</f>
        <v>#NAME?</v>
      </c>
      <c r="D358" s="28" t="e">
        <f ca="1">[1]!BexGetData("DP_1","003N8EMH8GTFRCSWKMPXRRESE","GSON1112030790")</f>
        <v>#NAME?</v>
      </c>
      <c r="E358" s="28" t="e">
        <f ca="1">[1]!BexGetData("DP_1","003N8EMH8GTFRCSWKMPXRRL3Y","GSON1112030790")</f>
        <v>#NAME?</v>
      </c>
      <c r="F358" s="28" t="e">
        <f ca="1">[1]!BexGetData("DP_1","003N8EMH8GTFRCSWKMPXRRRFI","GSON1112030790")</f>
        <v>#NAME?</v>
      </c>
      <c r="G358" s="23" t="e">
        <f ca="1">[1]!BexGetData("DP_1","003N8EMH8GTFRCSWKMPXRRXR2","GSON1112030790")</f>
        <v>#NAME?</v>
      </c>
      <c r="H358" s="23" t="e">
        <f ca="1">[1]!BexGetData("DP_1","003N8EMH8GTFRCSWKMPXRS42M","GSON1112030790")</f>
        <v>#NAME?</v>
      </c>
      <c r="I358" s="28" t="e">
        <f ca="1">[1]!BexGetData("DP_1","003N8EMH8GTFRCSWKMPXRSAE6","GSON1112030790")</f>
        <v>#NAME?</v>
      </c>
      <c r="J358" s="23" t="e">
        <f ca="1">[1]!BexGetData("DP_1","003N8EMH8GTFRCSWKMPXRSGPQ","GSON1112030790")</f>
        <v>#NAME?</v>
      </c>
      <c r="K358" s="28" t="e">
        <f ca="1">[1]!BexGetData("DP_1","003N8EMH8GTFRIVNUPY288VJH","GSON1112030790")</f>
        <v>#NAME?</v>
      </c>
      <c r="L358" s="28" t="e">
        <f ca="1">[1]!BexGetData("DP_1","003N8EMH8GTFRIVNUPY2891V1","GSON1112030790")</f>
        <v>#NAME?</v>
      </c>
      <c r="M358" s="28" t="e">
        <f ca="1">[1]!BexGetData("DP_1","003N8EMH8GTFRIVOG7KG9IQXA","GSON1112030790")</f>
        <v>#NAME?</v>
      </c>
      <c r="N358" s="28" t="e">
        <f ca="1">[1]!BexGetData("DP_1","003N8EMH8GTFRIVOG7KG9IX8U","GSON1112030790")</f>
        <v>#NAME?</v>
      </c>
      <c r="O358" s="28" t="e">
        <f ca="1">[1]!BexGetData("DP_1","003N8EMH8GTFRIVOG7KG9J3KE","GSON1112030790")</f>
        <v>#NAME?</v>
      </c>
      <c r="P358" s="28" t="e">
        <f ca="1">[1]!BexGetData("DP_1","003N8EMH8GTFRIVOG7KG9J9VY","GSON1112030790")</f>
        <v>#NAME?</v>
      </c>
      <c r="Q358" s="23" t="e">
        <f ca="1">[1]!BexGetData("DP_1","00O2TNJGODT0G5Z4TTKYMM5MT","GSON1112030790")</f>
        <v>#NAME?</v>
      </c>
      <c r="R358" s="23" t="e">
        <f ca="1">[1]!BexGetData("DP_1","00O2TNJGODT0G5Z4TTKYMMBYD","GSON1112030790")</f>
        <v>#NAME?</v>
      </c>
      <c r="S358" s="23" t="e">
        <f ca="1">[1]!BexGetData("DP_1","00O2TNJGODT0G5Z4TTKYMMI9X","GSON1112030790")</f>
        <v>#NAME?</v>
      </c>
      <c r="T358" s="23" t="e">
        <f ca="1">[1]!BexGetData("DP_1","00O2TNJGODT0G5Z4TTKYMMOLH","GSON1112030790")</f>
        <v>#NAME?</v>
      </c>
      <c r="U358" s="28" t="e">
        <f ca="1">[1]!BexGetData("DP_1","00O2TNJGODT0G5Z4TTKYMMUX1","GSON1112030790")</f>
        <v>#NAME?</v>
      </c>
      <c r="V358" s="23" t="e">
        <f ca="1">[1]!BexGetData("DP_1","00O2TNJGODT0G5Z4TTKYMN18L","GSON1112030790")</f>
        <v>#NAME?</v>
      </c>
      <c r="W358" s="28" t="e">
        <f ca="1">[1]!BexGetData("DP_1","00O2TNJGODT0G5Z4TTKYMN7K5","GSON1112030790")</f>
        <v>#NAME?</v>
      </c>
    </row>
    <row r="359" spans="1:23" x14ac:dyDescent="0.2">
      <c r="A359" s="36" t="s">
        <v>2202</v>
      </c>
      <c r="B359" s="27" t="s">
        <v>2203</v>
      </c>
      <c r="C359" s="23" t="e">
        <f ca="1">[1]!BexGetData("DP_1","003N8EMH8GTFRCSWKMPXRR8GU","GSON1112030791")</f>
        <v>#NAME?</v>
      </c>
      <c r="D359" s="23" t="e">
        <f ca="1">[1]!BexGetData("DP_1","003N8EMH8GTFRCSWKMPXRRESE","GSON1112030791")</f>
        <v>#NAME?</v>
      </c>
      <c r="E359" s="28" t="e">
        <f ca="1">[1]!BexGetData("DP_1","003N8EMH8GTFRCSWKMPXRRL3Y","GSON1112030791")</f>
        <v>#NAME?</v>
      </c>
      <c r="F359" s="23" t="e">
        <f ca="1">[1]!BexGetData("DP_1","003N8EMH8GTFRCSWKMPXRRRFI","GSON1112030791")</f>
        <v>#NAME?</v>
      </c>
      <c r="G359" s="23" t="e">
        <f ca="1">[1]!BexGetData("DP_1","003N8EMH8GTFRCSWKMPXRRXR2","GSON1112030791")</f>
        <v>#NAME?</v>
      </c>
      <c r="H359" s="23" t="e">
        <f ca="1">[1]!BexGetData("DP_1","003N8EMH8GTFRCSWKMPXRS42M","GSON1112030791")</f>
        <v>#NAME?</v>
      </c>
      <c r="I359" s="23" t="e">
        <f ca="1">[1]!BexGetData("DP_1","003N8EMH8GTFRCSWKMPXRSAE6","GSON1112030791")</f>
        <v>#NAME?</v>
      </c>
      <c r="J359" s="24" t="e">
        <f ca="1">[1]!BexGetData("DP_1","003N8EMH8GTFRCSWKMPXRSGPQ","GSON1112030791")</f>
        <v>#NAME?</v>
      </c>
      <c r="K359" s="23" t="e">
        <f ca="1">[1]!BexGetData("DP_1","003N8EMH8GTFRIVNUPY288VJH","GSON1112030791")</f>
        <v>#NAME?</v>
      </c>
      <c r="L359" s="23" t="e">
        <f ca="1">[1]!BexGetData("DP_1","003N8EMH8GTFRIVNUPY2891V1","GSON1112030791")</f>
        <v>#NAME?</v>
      </c>
      <c r="M359" s="28" t="e">
        <f ca="1">[1]!BexGetData("DP_1","003N8EMH8GTFRIVOG7KG9IQXA","GSON1112030791")</f>
        <v>#NAME?</v>
      </c>
      <c r="N359" s="23" t="e">
        <f ca="1">[1]!BexGetData("DP_1","003N8EMH8GTFRIVOG7KG9IX8U","GSON1112030791")</f>
        <v>#NAME?</v>
      </c>
      <c r="O359" s="28" t="e">
        <f ca="1">[1]!BexGetData("DP_1","003N8EMH8GTFRIVOG7KG9J3KE","GSON1112030791")</f>
        <v>#NAME?</v>
      </c>
      <c r="P359" s="23" t="e">
        <f ca="1">[1]!BexGetData("DP_1","003N8EMH8GTFRIVOG7KG9J9VY","GSON1112030791")</f>
        <v>#NAME?</v>
      </c>
      <c r="Q359" s="24" t="e">
        <f ca="1">[1]!BexGetData("DP_1","00O2TNJGODT0G5Z4TTKYMM5MT","GSON1112030791")</f>
        <v>#NAME?</v>
      </c>
      <c r="R359" s="23" t="e">
        <f ca="1">[1]!BexGetData("DP_1","00O2TNJGODT0G5Z4TTKYMMBYD","GSON1112030791")</f>
        <v>#NAME?</v>
      </c>
      <c r="S359" s="23" t="e">
        <f ca="1">[1]!BexGetData("DP_1","00O2TNJGODT0G5Z4TTKYMMI9X","GSON1112030791")</f>
        <v>#NAME?</v>
      </c>
      <c r="T359" s="23" t="e">
        <f ca="1">[1]!BexGetData("DP_1","00O2TNJGODT0G5Z4TTKYMMOLH","GSON1112030791")</f>
        <v>#NAME?</v>
      </c>
      <c r="U359" s="28" t="e">
        <f ca="1">[1]!BexGetData("DP_1","00O2TNJGODT0G5Z4TTKYMMUX1","GSON1112030791")</f>
        <v>#NAME?</v>
      </c>
      <c r="V359" s="23" t="e">
        <f ca="1">[1]!BexGetData("DP_1","00O2TNJGODT0G5Z4TTKYMN18L","GSON1112030791")</f>
        <v>#NAME?</v>
      </c>
      <c r="W359" s="28" t="e">
        <f ca="1">[1]!BexGetData("DP_1","00O2TNJGODT0G5Z4TTKYMN7K5","GSON1112030791")</f>
        <v>#NAME?</v>
      </c>
    </row>
    <row r="360" spans="1:23" x14ac:dyDescent="0.2">
      <c r="A360" s="36" t="s">
        <v>2204</v>
      </c>
      <c r="B360" s="27" t="s">
        <v>2205</v>
      </c>
      <c r="C360" s="24" t="e">
        <f ca="1">[1]!BexGetData("DP_1","003N8EMH8GTFRCSWKMPXRR8GU","GSON1112030793")</f>
        <v>#NAME?</v>
      </c>
      <c r="D360" s="24" t="e">
        <f ca="1">[1]!BexGetData("DP_1","003N8EMH8GTFRCSWKMPXRRESE","GSON1112030793")</f>
        <v>#NAME?</v>
      </c>
      <c r="E360" s="24" t="e">
        <f ca="1">[1]!BexGetData("DP_1","003N8EMH8GTFRCSWKMPXRRL3Y","GSON1112030793")</f>
        <v>#NAME?</v>
      </c>
      <c r="F360" s="28" t="e">
        <f ca="1">[1]!BexGetData("DP_1","003N8EMH8GTFRCSWKMPXRRRFI","GSON1112030793")</f>
        <v>#NAME?</v>
      </c>
      <c r="G360" s="23" t="e">
        <f ca="1">[1]!BexGetData("DP_1","003N8EMH8GTFRCSWKMPXRRXR2","GSON1112030793")</f>
        <v>#NAME?</v>
      </c>
      <c r="H360" s="23" t="e">
        <f ca="1">[1]!BexGetData("DP_1","003N8EMH8GTFRCSWKMPXRS42M","GSON1112030793")</f>
        <v>#NAME?</v>
      </c>
      <c r="I360" s="28" t="e">
        <f ca="1">[1]!BexGetData("DP_1","003N8EMH8GTFRCSWKMPXRSAE6","GSON1112030793")</f>
        <v>#NAME?</v>
      </c>
      <c r="J360" s="24" t="e">
        <f ca="1">[1]!BexGetData("DP_1","003N8EMH8GTFRCSWKMPXRSGPQ","GSON1112030793")</f>
        <v>#NAME?</v>
      </c>
      <c r="K360" s="28" t="e">
        <f ca="1">[1]!BexGetData("DP_1","003N8EMH8GTFRIVNUPY288VJH","GSON1112030793")</f>
        <v>#NAME?</v>
      </c>
      <c r="L360" s="28" t="e">
        <f ca="1">[1]!BexGetData("DP_1","003N8EMH8GTFRIVNUPY2891V1","GSON1112030793")</f>
        <v>#NAME?</v>
      </c>
      <c r="M360" s="28" t="e">
        <f ca="1">[1]!BexGetData("DP_1","003N8EMH8GTFRIVOG7KG9IQXA","GSON1112030793")</f>
        <v>#NAME?</v>
      </c>
      <c r="N360" s="28" t="e">
        <f ca="1">[1]!BexGetData("DP_1","003N8EMH8GTFRIVOG7KG9IX8U","GSON1112030793")</f>
        <v>#NAME?</v>
      </c>
      <c r="O360" s="28" t="e">
        <f ca="1">[1]!BexGetData("DP_1","003N8EMH8GTFRIVOG7KG9J3KE","GSON1112030793")</f>
        <v>#NAME?</v>
      </c>
      <c r="P360" s="28" t="e">
        <f ca="1">[1]!BexGetData("DP_1","003N8EMH8GTFRIVOG7KG9J9VY","GSON1112030793")</f>
        <v>#NAME?</v>
      </c>
      <c r="Q360" s="24" t="e">
        <f ca="1">[1]!BexGetData("DP_1","00O2TNJGODT0G5Z4TTKYMM5MT","GSON1112030793")</f>
        <v>#NAME?</v>
      </c>
      <c r="R360" s="28" t="e">
        <f ca="1">[1]!BexGetData("DP_1","00O2TNJGODT0G5Z4TTKYMMBYD","GSON1112030793")</f>
        <v>#NAME?</v>
      </c>
      <c r="S360" s="28" t="e">
        <f ca="1">[1]!BexGetData("DP_1","00O2TNJGODT0G5Z4TTKYMMI9X","GSON1112030793")</f>
        <v>#NAME?</v>
      </c>
      <c r="T360" s="28" t="e">
        <f ca="1">[1]!BexGetData("DP_1","00O2TNJGODT0G5Z4TTKYMMOLH","GSON1112030793")</f>
        <v>#NAME?</v>
      </c>
      <c r="U360" s="28" t="e">
        <f ca="1">[1]!BexGetData("DP_1","00O2TNJGODT0G5Z4TTKYMMUX1","GSON1112030793")</f>
        <v>#NAME?</v>
      </c>
      <c r="V360" s="28" t="e">
        <f ca="1">[1]!BexGetData("DP_1","00O2TNJGODT0G5Z4TTKYMN18L","GSON1112030793")</f>
        <v>#NAME?</v>
      </c>
      <c r="W360" s="28" t="e">
        <f ca="1">[1]!BexGetData("DP_1","00O2TNJGODT0G5Z4TTKYMN7K5","GSON1112030793")</f>
        <v>#NAME?</v>
      </c>
    </row>
    <row r="361" spans="1:23" x14ac:dyDescent="0.2">
      <c r="A361" s="36" t="s">
        <v>2206</v>
      </c>
      <c r="B361" s="27" t="s">
        <v>2207</v>
      </c>
      <c r="C361" s="23" t="e">
        <f ca="1">[1]!BexGetData("DP_1","003N8EMH8GTFRCSWKMPXRR8GU","GSON1112030794")</f>
        <v>#NAME?</v>
      </c>
      <c r="D361" s="23" t="e">
        <f ca="1">[1]!BexGetData("DP_1","003N8EMH8GTFRCSWKMPXRRESE","GSON1112030794")</f>
        <v>#NAME?</v>
      </c>
      <c r="E361" s="28" t="e">
        <f ca="1">[1]!BexGetData("DP_1","003N8EMH8GTFRCSWKMPXRRL3Y","GSON1112030794")</f>
        <v>#NAME?</v>
      </c>
      <c r="F361" s="23" t="e">
        <f ca="1">[1]!BexGetData("DP_1","003N8EMH8GTFRCSWKMPXRRRFI","GSON1112030794")</f>
        <v>#NAME?</v>
      </c>
      <c r="G361" s="28" t="e">
        <f ca="1">[1]!BexGetData("DP_1","003N8EMH8GTFRCSWKMPXRRXR2","GSON1112030794")</f>
        <v>#NAME?</v>
      </c>
      <c r="H361" s="23" t="e">
        <f ca="1">[1]!BexGetData("DP_1","003N8EMH8GTFRCSWKMPXRS42M","GSON1112030794")</f>
        <v>#NAME?</v>
      </c>
      <c r="I361" s="23" t="e">
        <f ca="1">[1]!BexGetData("DP_1","003N8EMH8GTFRCSWKMPXRSAE6","GSON1112030794")</f>
        <v>#NAME?</v>
      </c>
      <c r="J361" s="24" t="e">
        <f ca="1">[1]!BexGetData("DP_1","003N8EMH8GTFRCSWKMPXRSGPQ","GSON1112030794")</f>
        <v>#NAME?</v>
      </c>
      <c r="K361" s="23" t="e">
        <f ca="1">[1]!BexGetData("DP_1","003N8EMH8GTFRIVNUPY288VJH","GSON1112030794")</f>
        <v>#NAME?</v>
      </c>
      <c r="L361" s="23" t="e">
        <f ca="1">[1]!BexGetData("DP_1","003N8EMH8GTFRIVNUPY2891V1","GSON1112030794")</f>
        <v>#NAME?</v>
      </c>
      <c r="M361" s="28" t="e">
        <f ca="1">[1]!BexGetData("DP_1","003N8EMH8GTFRIVOG7KG9IQXA","GSON1112030794")</f>
        <v>#NAME?</v>
      </c>
      <c r="N361" s="23" t="e">
        <f ca="1">[1]!BexGetData("DP_1","003N8EMH8GTFRIVOG7KG9IX8U","GSON1112030794")</f>
        <v>#NAME?</v>
      </c>
      <c r="O361" s="28" t="e">
        <f ca="1">[1]!BexGetData("DP_1","003N8EMH8GTFRIVOG7KG9J3KE","GSON1112030794")</f>
        <v>#NAME?</v>
      </c>
      <c r="P361" s="23" t="e">
        <f ca="1">[1]!BexGetData("DP_1","003N8EMH8GTFRIVOG7KG9J9VY","GSON1112030794")</f>
        <v>#NAME?</v>
      </c>
      <c r="Q361" s="24" t="e">
        <f ca="1">[1]!BexGetData("DP_1","00O2TNJGODT0G5Z4TTKYMM5MT","GSON1112030794")</f>
        <v>#NAME?</v>
      </c>
      <c r="R361" s="23" t="e">
        <f ca="1">[1]!BexGetData("DP_1","00O2TNJGODT0G5Z4TTKYMMBYD","GSON1112030794")</f>
        <v>#NAME?</v>
      </c>
      <c r="S361" s="23" t="e">
        <f ca="1">[1]!BexGetData("DP_1","00O2TNJGODT0G5Z4TTKYMMI9X","GSON1112030794")</f>
        <v>#NAME?</v>
      </c>
      <c r="T361" s="23" t="e">
        <f ca="1">[1]!BexGetData("DP_1","00O2TNJGODT0G5Z4TTKYMMOLH","GSON1112030794")</f>
        <v>#NAME?</v>
      </c>
      <c r="U361" s="28" t="e">
        <f ca="1">[1]!BexGetData("DP_1","00O2TNJGODT0G5Z4TTKYMMUX1","GSON1112030794")</f>
        <v>#NAME?</v>
      </c>
      <c r="V361" s="23" t="e">
        <f ca="1">[1]!BexGetData("DP_1","00O2TNJGODT0G5Z4TTKYMN18L","GSON1112030794")</f>
        <v>#NAME?</v>
      </c>
      <c r="W361" s="28" t="e">
        <f ca="1">[1]!BexGetData("DP_1","00O2TNJGODT0G5Z4TTKYMN7K5","GSON1112030794")</f>
        <v>#NAME?</v>
      </c>
    </row>
    <row r="362" spans="1:23" x14ac:dyDescent="0.2">
      <c r="A362" s="36" t="s">
        <v>901</v>
      </c>
      <c r="B362" s="27" t="s">
        <v>902</v>
      </c>
      <c r="C362" s="23" t="e">
        <f ca="1">[1]!BexGetData("DP_1","003N8EMH8GTFRCSWKMPXRR8GU","GSON1112030800")</f>
        <v>#NAME?</v>
      </c>
      <c r="D362" s="23" t="e">
        <f ca="1">[1]!BexGetData("DP_1","003N8EMH8GTFRCSWKMPXRRESE","GSON1112030800")</f>
        <v>#NAME?</v>
      </c>
      <c r="E362" s="23" t="e">
        <f ca="1">[1]!BexGetData("DP_1","003N8EMH8GTFRCSWKMPXRRL3Y","GSON1112030800")</f>
        <v>#NAME?</v>
      </c>
      <c r="F362" s="23" t="e">
        <f ca="1">[1]!BexGetData("DP_1","003N8EMH8GTFRCSWKMPXRRRFI","GSON1112030800")</f>
        <v>#NAME?</v>
      </c>
      <c r="G362" s="23" t="e">
        <f ca="1">[1]!BexGetData("DP_1","003N8EMH8GTFRCSWKMPXRRXR2","GSON1112030800")</f>
        <v>#NAME?</v>
      </c>
      <c r="H362" s="23" t="e">
        <f ca="1">[1]!BexGetData("DP_1","003N8EMH8GTFRCSWKMPXRS42M","GSON1112030800")</f>
        <v>#NAME?</v>
      </c>
      <c r="I362" s="23" t="e">
        <f ca="1">[1]!BexGetData("DP_1","003N8EMH8GTFRCSWKMPXRSAE6","GSON1112030800")</f>
        <v>#NAME?</v>
      </c>
      <c r="J362" s="23" t="e">
        <f ca="1">[1]!BexGetData("DP_1","003N8EMH8GTFRCSWKMPXRSGPQ","GSON1112030800")</f>
        <v>#NAME?</v>
      </c>
      <c r="K362" s="23" t="e">
        <f ca="1">[1]!BexGetData("DP_1","003N8EMH8GTFRIVNUPY288VJH","GSON1112030800")</f>
        <v>#NAME?</v>
      </c>
      <c r="L362" s="23" t="e">
        <f ca="1">[1]!BexGetData("DP_1","003N8EMH8GTFRIVNUPY2891V1","GSON1112030800")</f>
        <v>#NAME?</v>
      </c>
      <c r="M362" s="28" t="e">
        <f ca="1">[1]!BexGetData("DP_1","003N8EMH8GTFRIVOG7KG9IQXA","GSON1112030800")</f>
        <v>#NAME?</v>
      </c>
      <c r="N362" s="23" t="e">
        <f ca="1">[1]!BexGetData("DP_1","003N8EMH8GTFRIVOG7KG9IX8U","GSON1112030800")</f>
        <v>#NAME?</v>
      </c>
      <c r="O362" s="28" t="e">
        <f ca="1">[1]!BexGetData("DP_1","003N8EMH8GTFRIVOG7KG9J3KE","GSON1112030800")</f>
        <v>#NAME?</v>
      </c>
      <c r="P362" s="23" t="e">
        <f ca="1">[1]!BexGetData("DP_1","003N8EMH8GTFRIVOG7KG9J9VY","GSON1112030800")</f>
        <v>#NAME?</v>
      </c>
      <c r="Q362" s="23" t="e">
        <f ca="1">[1]!BexGetData("DP_1","00O2TNJGODT0G5Z4TTKYMM5MT","GSON1112030800")</f>
        <v>#NAME?</v>
      </c>
      <c r="R362" s="23" t="e">
        <f ca="1">[1]!BexGetData("DP_1","00O2TNJGODT0G5Z4TTKYMMBYD","GSON1112030800")</f>
        <v>#NAME?</v>
      </c>
      <c r="S362" s="23" t="e">
        <f ca="1">[1]!BexGetData("DP_1","00O2TNJGODT0G5Z4TTKYMMI9X","GSON1112030800")</f>
        <v>#NAME?</v>
      </c>
      <c r="T362" s="23" t="e">
        <f ca="1">[1]!BexGetData("DP_1","00O2TNJGODT0G5Z4TTKYMMOLH","GSON1112030800")</f>
        <v>#NAME?</v>
      </c>
      <c r="U362" s="28" t="e">
        <f ca="1">[1]!BexGetData("DP_1","00O2TNJGODT0G5Z4TTKYMMUX1","GSON1112030800")</f>
        <v>#NAME?</v>
      </c>
      <c r="V362" s="23" t="e">
        <f ca="1">[1]!BexGetData("DP_1","00O2TNJGODT0G5Z4TTKYMN18L","GSON1112030800")</f>
        <v>#NAME?</v>
      </c>
      <c r="W362" s="28" t="e">
        <f ca="1">[1]!BexGetData("DP_1","00O2TNJGODT0G5Z4TTKYMN7K5","GSON1112030800")</f>
        <v>#NAME?</v>
      </c>
    </row>
    <row r="363" spans="1:23" x14ac:dyDescent="0.2">
      <c r="A363" s="36" t="s">
        <v>903</v>
      </c>
      <c r="B363" s="27" t="s">
        <v>904</v>
      </c>
      <c r="C363" s="23" t="e">
        <f ca="1">[1]!BexGetData("DP_1","003N8EMH8GTFRCSWKMPXRR8GU","GSON1112030801")</f>
        <v>#NAME?</v>
      </c>
      <c r="D363" s="23" t="e">
        <f ca="1">[1]!BexGetData("DP_1","003N8EMH8GTFRCSWKMPXRRESE","GSON1112030801")</f>
        <v>#NAME?</v>
      </c>
      <c r="E363" s="23" t="e">
        <f ca="1">[1]!BexGetData("DP_1","003N8EMH8GTFRCSWKMPXRRL3Y","GSON1112030801")</f>
        <v>#NAME?</v>
      </c>
      <c r="F363" s="23" t="e">
        <f ca="1">[1]!BexGetData("DP_1","003N8EMH8GTFRCSWKMPXRRRFI","GSON1112030801")</f>
        <v>#NAME?</v>
      </c>
      <c r="G363" s="23" t="e">
        <f ca="1">[1]!BexGetData("DP_1","003N8EMH8GTFRCSWKMPXRRXR2","GSON1112030801")</f>
        <v>#NAME?</v>
      </c>
      <c r="H363" s="23" t="e">
        <f ca="1">[1]!BexGetData("DP_1","003N8EMH8GTFRCSWKMPXRS42M","GSON1112030801")</f>
        <v>#NAME?</v>
      </c>
      <c r="I363" s="23" t="e">
        <f ca="1">[1]!BexGetData("DP_1","003N8EMH8GTFRCSWKMPXRSAE6","GSON1112030801")</f>
        <v>#NAME?</v>
      </c>
      <c r="J363" s="24" t="e">
        <f ca="1">[1]!BexGetData("DP_1","003N8EMH8GTFRCSWKMPXRSGPQ","GSON1112030801")</f>
        <v>#NAME?</v>
      </c>
      <c r="K363" s="23" t="e">
        <f ca="1">[1]!BexGetData("DP_1","003N8EMH8GTFRIVNUPY288VJH","GSON1112030801")</f>
        <v>#NAME?</v>
      </c>
      <c r="L363" s="23" t="e">
        <f ca="1">[1]!BexGetData("DP_1","003N8EMH8GTFRIVNUPY2891V1","GSON1112030801")</f>
        <v>#NAME?</v>
      </c>
      <c r="M363" s="28" t="e">
        <f ca="1">[1]!BexGetData("DP_1","003N8EMH8GTFRIVOG7KG9IQXA","GSON1112030801")</f>
        <v>#NAME?</v>
      </c>
      <c r="N363" s="23" t="e">
        <f ca="1">[1]!BexGetData("DP_1","003N8EMH8GTFRIVOG7KG9IX8U","GSON1112030801")</f>
        <v>#NAME?</v>
      </c>
      <c r="O363" s="28" t="e">
        <f ca="1">[1]!BexGetData("DP_1","003N8EMH8GTFRIVOG7KG9J3KE","GSON1112030801")</f>
        <v>#NAME?</v>
      </c>
      <c r="P363" s="23" t="e">
        <f ca="1">[1]!BexGetData("DP_1","003N8EMH8GTFRIVOG7KG9J9VY","GSON1112030801")</f>
        <v>#NAME?</v>
      </c>
      <c r="Q363" s="24" t="e">
        <f ca="1">[1]!BexGetData("DP_1","00O2TNJGODT0G5Z4TTKYMM5MT","GSON1112030801")</f>
        <v>#NAME?</v>
      </c>
      <c r="R363" s="23" t="e">
        <f ca="1">[1]!BexGetData("DP_1","00O2TNJGODT0G5Z4TTKYMMBYD","GSON1112030801")</f>
        <v>#NAME?</v>
      </c>
      <c r="S363" s="23" t="e">
        <f ca="1">[1]!BexGetData("DP_1","00O2TNJGODT0G5Z4TTKYMMI9X","GSON1112030801")</f>
        <v>#NAME?</v>
      </c>
      <c r="T363" s="23" t="e">
        <f ca="1">[1]!BexGetData("DP_1","00O2TNJGODT0G5Z4TTKYMMOLH","GSON1112030801")</f>
        <v>#NAME?</v>
      </c>
      <c r="U363" s="28" t="e">
        <f ca="1">[1]!BexGetData("DP_1","00O2TNJGODT0G5Z4TTKYMMUX1","GSON1112030801")</f>
        <v>#NAME?</v>
      </c>
      <c r="V363" s="23" t="e">
        <f ca="1">[1]!BexGetData("DP_1","00O2TNJGODT0G5Z4TTKYMN18L","GSON1112030801")</f>
        <v>#NAME?</v>
      </c>
      <c r="W363" s="28" t="e">
        <f ca="1">[1]!BexGetData("DP_1","00O2TNJGODT0G5Z4TTKYMN7K5","GSON1112030801")</f>
        <v>#NAME?</v>
      </c>
    </row>
    <row r="364" spans="1:23" x14ac:dyDescent="0.2">
      <c r="A364" s="36" t="s">
        <v>2208</v>
      </c>
      <c r="B364" s="27" t="s">
        <v>2209</v>
      </c>
      <c r="C364" s="28" t="e">
        <f ca="1">[1]!BexGetData("DP_1","003N8EMH8GTFRCSWKMPXRR8GU","GSON1112030803")</f>
        <v>#NAME?</v>
      </c>
      <c r="D364" s="28" t="e">
        <f ca="1">[1]!BexGetData("DP_1","003N8EMH8GTFRCSWKMPXRRESE","GSON1112030803")</f>
        <v>#NAME?</v>
      </c>
      <c r="E364" s="28" t="e">
        <f ca="1">[1]!BexGetData("DP_1","003N8EMH8GTFRCSWKMPXRRL3Y","GSON1112030803")</f>
        <v>#NAME?</v>
      </c>
      <c r="F364" s="28" t="e">
        <f ca="1">[1]!BexGetData("DP_1","003N8EMH8GTFRCSWKMPXRRRFI","GSON1112030803")</f>
        <v>#NAME?</v>
      </c>
      <c r="G364" s="23" t="e">
        <f ca="1">[1]!BexGetData("DP_1","003N8EMH8GTFRCSWKMPXRRXR2","GSON1112030803")</f>
        <v>#NAME?</v>
      </c>
      <c r="H364" s="23" t="e">
        <f ca="1">[1]!BexGetData("DP_1","003N8EMH8GTFRCSWKMPXRS42M","GSON1112030803")</f>
        <v>#NAME?</v>
      </c>
      <c r="I364" s="28" t="e">
        <f ca="1">[1]!BexGetData("DP_1","003N8EMH8GTFRCSWKMPXRSAE6","GSON1112030803")</f>
        <v>#NAME?</v>
      </c>
      <c r="J364" s="24" t="e">
        <f ca="1">[1]!BexGetData("DP_1","003N8EMH8GTFRCSWKMPXRSGPQ","GSON1112030803")</f>
        <v>#NAME?</v>
      </c>
      <c r="K364" s="28" t="e">
        <f ca="1">[1]!BexGetData("DP_1","003N8EMH8GTFRIVNUPY288VJH","GSON1112030803")</f>
        <v>#NAME?</v>
      </c>
      <c r="L364" s="28" t="e">
        <f ca="1">[1]!BexGetData("DP_1","003N8EMH8GTFRIVNUPY2891V1","GSON1112030803")</f>
        <v>#NAME?</v>
      </c>
      <c r="M364" s="28" t="e">
        <f ca="1">[1]!BexGetData("DP_1","003N8EMH8GTFRIVOG7KG9IQXA","GSON1112030803")</f>
        <v>#NAME?</v>
      </c>
      <c r="N364" s="28" t="e">
        <f ca="1">[1]!BexGetData("DP_1","003N8EMH8GTFRIVOG7KG9IX8U","GSON1112030803")</f>
        <v>#NAME?</v>
      </c>
      <c r="O364" s="28" t="e">
        <f ca="1">[1]!BexGetData("DP_1","003N8EMH8GTFRIVOG7KG9J3KE","GSON1112030803")</f>
        <v>#NAME?</v>
      </c>
      <c r="P364" s="28" t="e">
        <f ca="1">[1]!BexGetData("DP_1","003N8EMH8GTFRIVOG7KG9J9VY","GSON1112030803")</f>
        <v>#NAME?</v>
      </c>
      <c r="Q364" s="24" t="e">
        <f ca="1">[1]!BexGetData("DP_1","00O2TNJGODT0G5Z4TTKYMM5MT","GSON1112030803")</f>
        <v>#NAME?</v>
      </c>
      <c r="R364" s="28" t="e">
        <f ca="1">[1]!BexGetData("DP_1","00O2TNJGODT0G5Z4TTKYMMBYD","GSON1112030803")</f>
        <v>#NAME?</v>
      </c>
      <c r="S364" s="28" t="e">
        <f ca="1">[1]!BexGetData("DP_1","00O2TNJGODT0G5Z4TTKYMMI9X","GSON1112030803")</f>
        <v>#NAME?</v>
      </c>
      <c r="T364" s="28" t="e">
        <f ca="1">[1]!BexGetData("DP_1","00O2TNJGODT0G5Z4TTKYMMOLH","GSON1112030803")</f>
        <v>#NAME?</v>
      </c>
      <c r="U364" s="28" t="e">
        <f ca="1">[1]!BexGetData("DP_1","00O2TNJGODT0G5Z4TTKYMMUX1","GSON1112030803")</f>
        <v>#NAME?</v>
      </c>
      <c r="V364" s="28" t="e">
        <f ca="1">[1]!BexGetData("DP_1","00O2TNJGODT0G5Z4TTKYMN18L","GSON1112030803")</f>
        <v>#NAME?</v>
      </c>
      <c r="W364" s="28" t="e">
        <f ca="1">[1]!BexGetData("DP_1","00O2TNJGODT0G5Z4TTKYMN7K5","GSON1112030803")</f>
        <v>#NAME?</v>
      </c>
    </row>
    <row r="365" spans="1:23" x14ac:dyDescent="0.2">
      <c r="A365" s="36" t="s">
        <v>2210</v>
      </c>
      <c r="B365" s="27" t="s">
        <v>2211</v>
      </c>
      <c r="C365" s="23" t="e">
        <f ca="1">[1]!BexGetData("DP_1","003N8EMH8GTFRCSWKMPXRR8GU","GSON1112030804")</f>
        <v>#NAME?</v>
      </c>
      <c r="D365" s="23" t="e">
        <f ca="1">[1]!BexGetData("DP_1","003N8EMH8GTFRCSWKMPXRRESE","GSON1112030804")</f>
        <v>#NAME?</v>
      </c>
      <c r="E365" s="28" t="e">
        <f ca="1">[1]!BexGetData("DP_1","003N8EMH8GTFRCSWKMPXRRL3Y","GSON1112030804")</f>
        <v>#NAME?</v>
      </c>
      <c r="F365" s="28" t="e">
        <f ca="1">[1]!BexGetData("DP_1","003N8EMH8GTFRCSWKMPXRRRFI","GSON1112030804")</f>
        <v>#NAME?</v>
      </c>
      <c r="G365" s="23" t="e">
        <f ca="1">[1]!BexGetData("DP_1","003N8EMH8GTFRCSWKMPXRRXR2","GSON1112030804")</f>
        <v>#NAME?</v>
      </c>
      <c r="H365" s="23" t="e">
        <f ca="1">[1]!BexGetData("DP_1","003N8EMH8GTFRCSWKMPXRS42M","GSON1112030804")</f>
        <v>#NAME?</v>
      </c>
      <c r="I365" s="28" t="e">
        <f ca="1">[1]!BexGetData("DP_1","003N8EMH8GTFRCSWKMPXRSAE6","GSON1112030804")</f>
        <v>#NAME?</v>
      </c>
      <c r="J365" s="24" t="e">
        <f ca="1">[1]!BexGetData("DP_1","003N8EMH8GTFRCSWKMPXRSGPQ","GSON1112030804")</f>
        <v>#NAME?</v>
      </c>
      <c r="K365" s="28" t="e">
        <f ca="1">[1]!BexGetData("DP_1","003N8EMH8GTFRIVNUPY288VJH","GSON1112030804")</f>
        <v>#NAME?</v>
      </c>
      <c r="L365" s="28" t="e">
        <f ca="1">[1]!BexGetData("DP_1","003N8EMH8GTFRIVNUPY2891V1","GSON1112030804")</f>
        <v>#NAME?</v>
      </c>
      <c r="M365" s="28" t="e">
        <f ca="1">[1]!BexGetData("DP_1","003N8EMH8GTFRIVOG7KG9IQXA","GSON1112030804")</f>
        <v>#NAME?</v>
      </c>
      <c r="N365" s="28" t="e">
        <f ca="1">[1]!BexGetData("DP_1","003N8EMH8GTFRIVOG7KG9IX8U","GSON1112030804")</f>
        <v>#NAME?</v>
      </c>
      <c r="O365" s="28" t="e">
        <f ca="1">[1]!BexGetData("DP_1","003N8EMH8GTFRIVOG7KG9J3KE","GSON1112030804")</f>
        <v>#NAME?</v>
      </c>
      <c r="P365" s="28" t="e">
        <f ca="1">[1]!BexGetData("DP_1","003N8EMH8GTFRIVOG7KG9J9VY","GSON1112030804")</f>
        <v>#NAME?</v>
      </c>
      <c r="Q365" s="24" t="e">
        <f ca="1">[1]!BexGetData("DP_1","00O2TNJGODT0G5Z4TTKYMM5MT","GSON1112030804")</f>
        <v>#NAME?</v>
      </c>
      <c r="R365" s="28" t="e">
        <f ca="1">[1]!BexGetData("DP_1","00O2TNJGODT0G5Z4TTKYMMBYD","GSON1112030804")</f>
        <v>#NAME?</v>
      </c>
      <c r="S365" s="28" t="e">
        <f ca="1">[1]!BexGetData("DP_1","00O2TNJGODT0G5Z4TTKYMMI9X","GSON1112030804")</f>
        <v>#NAME?</v>
      </c>
      <c r="T365" s="28" t="e">
        <f ca="1">[1]!BexGetData("DP_1","00O2TNJGODT0G5Z4TTKYMMOLH","GSON1112030804")</f>
        <v>#NAME?</v>
      </c>
      <c r="U365" s="28" t="e">
        <f ca="1">[1]!BexGetData("DP_1","00O2TNJGODT0G5Z4TTKYMMUX1","GSON1112030804")</f>
        <v>#NAME?</v>
      </c>
      <c r="V365" s="28" t="e">
        <f ca="1">[1]!BexGetData("DP_1","00O2TNJGODT0G5Z4TTKYMN18L","GSON1112030804")</f>
        <v>#NAME?</v>
      </c>
      <c r="W365" s="28" t="e">
        <f ca="1">[1]!BexGetData("DP_1","00O2TNJGODT0G5Z4TTKYMN7K5","GSON1112030804")</f>
        <v>#NAME?</v>
      </c>
    </row>
    <row r="366" spans="1:23" x14ac:dyDescent="0.2">
      <c r="A366" s="36" t="s">
        <v>905</v>
      </c>
      <c r="B366" s="27" t="s">
        <v>906</v>
      </c>
      <c r="C366" s="23" t="e">
        <f ca="1">[1]!BexGetData("DP_1","003N8EMH8GTFRCSWKMPXRR8GU","GSON1112030820")</f>
        <v>#NAME?</v>
      </c>
      <c r="D366" s="23" t="e">
        <f ca="1">[1]!BexGetData("DP_1","003N8EMH8GTFRCSWKMPXRRESE","GSON1112030820")</f>
        <v>#NAME?</v>
      </c>
      <c r="E366" s="23" t="e">
        <f ca="1">[1]!BexGetData("DP_1","003N8EMH8GTFRCSWKMPXRRL3Y","GSON1112030820")</f>
        <v>#NAME?</v>
      </c>
      <c r="F366" s="23" t="e">
        <f ca="1">[1]!BexGetData("DP_1","003N8EMH8GTFRCSWKMPXRRRFI","GSON1112030820")</f>
        <v>#NAME?</v>
      </c>
      <c r="G366" s="23" t="e">
        <f ca="1">[1]!BexGetData("DP_1","003N8EMH8GTFRCSWKMPXRRXR2","GSON1112030820")</f>
        <v>#NAME?</v>
      </c>
      <c r="H366" s="23" t="e">
        <f ca="1">[1]!BexGetData("DP_1","003N8EMH8GTFRCSWKMPXRS42M","GSON1112030820")</f>
        <v>#NAME?</v>
      </c>
      <c r="I366" s="23" t="e">
        <f ca="1">[1]!BexGetData("DP_1","003N8EMH8GTFRCSWKMPXRSAE6","GSON1112030820")</f>
        <v>#NAME?</v>
      </c>
      <c r="J366" s="23" t="e">
        <f ca="1">[1]!BexGetData("DP_1","003N8EMH8GTFRCSWKMPXRSGPQ","GSON1112030820")</f>
        <v>#NAME?</v>
      </c>
      <c r="K366" s="23" t="e">
        <f ca="1">[1]!BexGetData("DP_1","003N8EMH8GTFRIVNUPY288VJH","GSON1112030820")</f>
        <v>#NAME?</v>
      </c>
      <c r="L366" s="23" t="e">
        <f ca="1">[1]!BexGetData("DP_1","003N8EMH8GTFRIVNUPY2891V1","GSON1112030820")</f>
        <v>#NAME?</v>
      </c>
      <c r="M366" s="28" t="e">
        <f ca="1">[1]!BexGetData("DP_1","003N8EMH8GTFRIVOG7KG9IQXA","GSON1112030820")</f>
        <v>#NAME?</v>
      </c>
      <c r="N366" s="23" t="e">
        <f ca="1">[1]!BexGetData("DP_1","003N8EMH8GTFRIVOG7KG9IX8U","GSON1112030820")</f>
        <v>#NAME?</v>
      </c>
      <c r="O366" s="28" t="e">
        <f ca="1">[1]!BexGetData("DP_1","003N8EMH8GTFRIVOG7KG9J3KE","GSON1112030820")</f>
        <v>#NAME?</v>
      </c>
      <c r="P366" s="23" t="e">
        <f ca="1">[1]!BexGetData("DP_1","003N8EMH8GTFRIVOG7KG9J9VY","GSON1112030820")</f>
        <v>#NAME?</v>
      </c>
      <c r="Q366" s="23" t="e">
        <f ca="1">[1]!BexGetData("DP_1","00O2TNJGODT0G5Z4TTKYMM5MT","GSON1112030820")</f>
        <v>#NAME?</v>
      </c>
      <c r="R366" s="23" t="e">
        <f ca="1">[1]!BexGetData("DP_1","00O2TNJGODT0G5Z4TTKYMMBYD","GSON1112030820")</f>
        <v>#NAME?</v>
      </c>
      <c r="S366" s="23" t="e">
        <f ca="1">[1]!BexGetData("DP_1","00O2TNJGODT0G5Z4TTKYMMI9X","GSON1112030820")</f>
        <v>#NAME?</v>
      </c>
      <c r="T366" s="28" t="e">
        <f ca="1">[1]!BexGetData("DP_1","00O2TNJGODT0G5Z4TTKYMMOLH","GSON1112030820")</f>
        <v>#NAME?</v>
      </c>
      <c r="U366" s="23" t="e">
        <f ca="1">[1]!BexGetData("DP_1","00O2TNJGODT0G5Z4TTKYMMUX1","GSON1112030820")</f>
        <v>#NAME?</v>
      </c>
      <c r="V366" s="28" t="e">
        <f ca="1">[1]!BexGetData("DP_1","00O2TNJGODT0G5Z4TTKYMN18L","GSON1112030820")</f>
        <v>#NAME?</v>
      </c>
      <c r="W366" s="23" t="e">
        <f ca="1">[1]!BexGetData("DP_1","00O2TNJGODT0G5Z4TTKYMN7K5","GSON1112030820")</f>
        <v>#NAME?</v>
      </c>
    </row>
    <row r="367" spans="1:23" x14ac:dyDescent="0.2">
      <c r="A367" s="36" t="s">
        <v>907</v>
      </c>
      <c r="B367" s="27" t="s">
        <v>908</v>
      </c>
      <c r="C367" s="23" t="e">
        <f ca="1">[1]!BexGetData("DP_1","003N8EMH8GTFRCSWKMPXRR8GU","GSON1112030821")</f>
        <v>#NAME?</v>
      </c>
      <c r="D367" s="23" t="e">
        <f ca="1">[1]!BexGetData("DP_1","003N8EMH8GTFRCSWKMPXRRESE","GSON1112030821")</f>
        <v>#NAME?</v>
      </c>
      <c r="E367" s="23" t="e">
        <f ca="1">[1]!BexGetData("DP_1","003N8EMH8GTFRCSWKMPXRRL3Y","GSON1112030821")</f>
        <v>#NAME?</v>
      </c>
      <c r="F367" s="23" t="e">
        <f ca="1">[1]!BexGetData("DP_1","003N8EMH8GTFRCSWKMPXRRRFI","GSON1112030821")</f>
        <v>#NAME?</v>
      </c>
      <c r="G367" s="23" t="e">
        <f ca="1">[1]!BexGetData("DP_1","003N8EMH8GTFRCSWKMPXRRXR2","GSON1112030821")</f>
        <v>#NAME?</v>
      </c>
      <c r="H367" s="23" t="e">
        <f ca="1">[1]!BexGetData("DP_1","003N8EMH8GTFRCSWKMPXRS42M","GSON1112030821")</f>
        <v>#NAME?</v>
      </c>
      <c r="I367" s="23" t="e">
        <f ca="1">[1]!BexGetData("DP_1","003N8EMH8GTFRCSWKMPXRSAE6","GSON1112030821")</f>
        <v>#NAME?</v>
      </c>
      <c r="J367" s="23" t="e">
        <f ca="1">[1]!BexGetData("DP_1","003N8EMH8GTFRCSWKMPXRSGPQ","GSON1112030821")</f>
        <v>#NAME?</v>
      </c>
      <c r="K367" s="23" t="e">
        <f ca="1">[1]!BexGetData("DP_1","003N8EMH8GTFRIVNUPY288VJH","GSON1112030821")</f>
        <v>#NAME?</v>
      </c>
      <c r="L367" s="23" t="e">
        <f ca="1">[1]!BexGetData("DP_1","003N8EMH8GTFRIVNUPY2891V1","GSON1112030821")</f>
        <v>#NAME?</v>
      </c>
      <c r="M367" s="23" t="e">
        <f ca="1">[1]!BexGetData("DP_1","003N8EMH8GTFRIVOG7KG9IQXA","GSON1112030821")</f>
        <v>#NAME?</v>
      </c>
      <c r="N367" s="28" t="e">
        <f ca="1">[1]!BexGetData("DP_1","003N8EMH8GTFRIVOG7KG9IX8U","GSON1112030821")</f>
        <v>#NAME?</v>
      </c>
      <c r="O367" s="23" t="e">
        <f ca="1">[1]!BexGetData("DP_1","003N8EMH8GTFRIVOG7KG9J3KE","GSON1112030821")</f>
        <v>#NAME?</v>
      </c>
      <c r="P367" s="28" t="e">
        <f ca="1">[1]!BexGetData("DP_1","003N8EMH8GTFRIVOG7KG9J9VY","GSON1112030821")</f>
        <v>#NAME?</v>
      </c>
      <c r="Q367" s="23" t="e">
        <f ca="1">[1]!BexGetData("DP_1","00O2TNJGODT0G5Z4TTKYMM5MT","GSON1112030821")</f>
        <v>#NAME?</v>
      </c>
      <c r="R367" s="23" t="e">
        <f ca="1">[1]!BexGetData("DP_1","00O2TNJGODT0G5Z4TTKYMMBYD","GSON1112030821")</f>
        <v>#NAME?</v>
      </c>
      <c r="S367" s="23" t="e">
        <f ca="1">[1]!BexGetData("DP_1","00O2TNJGODT0G5Z4TTKYMMI9X","GSON1112030821")</f>
        <v>#NAME?</v>
      </c>
      <c r="T367" s="23" t="e">
        <f ca="1">[1]!BexGetData("DP_1","00O2TNJGODT0G5Z4TTKYMMOLH","GSON1112030821")</f>
        <v>#NAME?</v>
      </c>
      <c r="U367" s="28" t="e">
        <f ca="1">[1]!BexGetData("DP_1","00O2TNJGODT0G5Z4TTKYMMUX1","GSON1112030821")</f>
        <v>#NAME?</v>
      </c>
      <c r="V367" s="23" t="e">
        <f ca="1">[1]!BexGetData("DP_1","00O2TNJGODT0G5Z4TTKYMN18L","GSON1112030821")</f>
        <v>#NAME?</v>
      </c>
      <c r="W367" s="28" t="e">
        <f ca="1">[1]!BexGetData("DP_1","00O2TNJGODT0G5Z4TTKYMN7K5","GSON1112030821")</f>
        <v>#NAME?</v>
      </c>
    </row>
    <row r="368" spans="1:23" x14ac:dyDescent="0.2">
      <c r="A368" s="36" t="s">
        <v>2212</v>
      </c>
      <c r="B368" s="27" t="s">
        <v>2213</v>
      </c>
      <c r="C368" s="23" t="e">
        <f ca="1">[1]!BexGetData("DP_1","003N8EMH8GTFRCSWKMPXRR8GU","GSON1112030823")</f>
        <v>#NAME?</v>
      </c>
      <c r="D368" s="23" t="e">
        <f ca="1">[1]!BexGetData("DP_1","003N8EMH8GTFRCSWKMPXRRESE","GSON1112030823")</f>
        <v>#NAME?</v>
      </c>
      <c r="E368" s="28" t="e">
        <f ca="1">[1]!BexGetData("DP_1","003N8EMH8GTFRCSWKMPXRRL3Y","GSON1112030823")</f>
        <v>#NAME?</v>
      </c>
      <c r="F368" s="23" t="e">
        <f ca="1">[1]!BexGetData("DP_1","003N8EMH8GTFRCSWKMPXRRRFI","GSON1112030823")</f>
        <v>#NAME?</v>
      </c>
      <c r="G368" s="23" t="e">
        <f ca="1">[1]!BexGetData("DP_1","003N8EMH8GTFRCSWKMPXRRXR2","GSON1112030823")</f>
        <v>#NAME?</v>
      </c>
      <c r="H368" s="23" t="e">
        <f ca="1">[1]!BexGetData("DP_1","003N8EMH8GTFRCSWKMPXRS42M","GSON1112030823")</f>
        <v>#NAME?</v>
      </c>
      <c r="I368" s="23" t="e">
        <f ca="1">[1]!BexGetData("DP_1","003N8EMH8GTFRCSWKMPXRSAE6","GSON1112030823")</f>
        <v>#NAME?</v>
      </c>
      <c r="J368" s="24" t="e">
        <f ca="1">[1]!BexGetData("DP_1","003N8EMH8GTFRCSWKMPXRSGPQ","GSON1112030823")</f>
        <v>#NAME?</v>
      </c>
      <c r="K368" s="23" t="e">
        <f ca="1">[1]!BexGetData("DP_1","003N8EMH8GTFRIVNUPY288VJH","GSON1112030823")</f>
        <v>#NAME?</v>
      </c>
      <c r="L368" s="23" t="e">
        <f ca="1">[1]!BexGetData("DP_1","003N8EMH8GTFRIVNUPY2891V1","GSON1112030823")</f>
        <v>#NAME?</v>
      </c>
      <c r="M368" s="23" t="e">
        <f ca="1">[1]!BexGetData("DP_1","003N8EMH8GTFRIVOG7KG9IQXA","GSON1112030823")</f>
        <v>#NAME?</v>
      </c>
      <c r="N368" s="28" t="e">
        <f ca="1">[1]!BexGetData("DP_1","003N8EMH8GTFRIVOG7KG9IX8U","GSON1112030823")</f>
        <v>#NAME?</v>
      </c>
      <c r="O368" s="23" t="e">
        <f ca="1">[1]!BexGetData("DP_1","003N8EMH8GTFRIVOG7KG9J3KE","GSON1112030823")</f>
        <v>#NAME?</v>
      </c>
      <c r="P368" s="28" t="e">
        <f ca="1">[1]!BexGetData("DP_1","003N8EMH8GTFRIVOG7KG9J9VY","GSON1112030823")</f>
        <v>#NAME?</v>
      </c>
      <c r="Q368" s="24" t="e">
        <f ca="1">[1]!BexGetData("DP_1","00O2TNJGODT0G5Z4TTKYMM5MT","GSON1112030823")</f>
        <v>#NAME?</v>
      </c>
      <c r="R368" s="23" t="e">
        <f ca="1">[1]!BexGetData("DP_1","00O2TNJGODT0G5Z4TTKYMMBYD","GSON1112030823")</f>
        <v>#NAME?</v>
      </c>
      <c r="S368" s="23" t="e">
        <f ca="1">[1]!BexGetData("DP_1","00O2TNJGODT0G5Z4TTKYMMI9X","GSON1112030823")</f>
        <v>#NAME?</v>
      </c>
      <c r="T368" s="28" t="e">
        <f ca="1">[1]!BexGetData("DP_1","00O2TNJGODT0G5Z4TTKYMMOLH","GSON1112030823")</f>
        <v>#NAME?</v>
      </c>
      <c r="U368" s="23" t="e">
        <f ca="1">[1]!BexGetData("DP_1","00O2TNJGODT0G5Z4TTKYMMUX1","GSON1112030823")</f>
        <v>#NAME?</v>
      </c>
      <c r="V368" s="28" t="e">
        <f ca="1">[1]!BexGetData("DP_1","00O2TNJGODT0G5Z4TTKYMN18L","GSON1112030823")</f>
        <v>#NAME?</v>
      </c>
      <c r="W368" s="23" t="e">
        <f ca="1">[1]!BexGetData("DP_1","00O2TNJGODT0G5Z4TTKYMN7K5","GSON1112030823")</f>
        <v>#NAME?</v>
      </c>
    </row>
    <row r="369" spans="1:23" x14ac:dyDescent="0.2">
      <c r="A369" s="36" t="s">
        <v>2214</v>
      </c>
      <c r="B369" s="27" t="s">
        <v>909</v>
      </c>
      <c r="C369" s="23" t="e">
        <f ca="1">[1]!BexGetData("DP_1","003N8EMH8GTFRCSWKMPXRR8GU","GSON1112030824")</f>
        <v>#NAME?</v>
      </c>
      <c r="D369" s="23" t="e">
        <f ca="1">[1]!BexGetData("DP_1","003N8EMH8GTFRCSWKMPXRRESE","GSON1112030824")</f>
        <v>#NAME?</v>
      </c>
      <c r="E369" s="28" t="e">
        <f ca="1">[1]!BexGetData("DP_1","003N8EMH8GTFRCSWKMPXRRL3Y","GSON1112030824")</f>
        <v>#NAME?</v>
      </c>
      <c r="F369" s="28" t="e">
        <f ca="1">[1]!BexGetData("DP_1","003N8EMH8GTFRCSWKMPXRRRFI","GSON1112030824")</f>
        <v>#NAME?</v>
      </c>
      <c r="G369" s="23" t="e">
        <f ca="1">[1]!BexGetData("DP_1","003N8EMH8GTFRCSWKMPXRRXR2","GSON1112030824")</f>
        <v>#NAME?</v>
      </c>
      <c r="H369" s="23" t="e">
        <f ca="1">[1]!BexGetData("DP_1","003N8EMH8GTFRCSWKMPXRS42M","GSON1112030824")</f>
        <v>#NAME?</v>
      </c>
      <c r="I369" s="28" t="e">
        <f ca="1">[1]!BexGetData("DP_1","003N8EMH8GTFRCSWKMPXRSAE6","GSON1112030824")</f>
        <v>#NAME?</v>
      </c>
      <c r="J369" s="24" t="e">
        <f ca="1">[1]!BexGetData("DP_1","003N8EMH8GTFRCSWKMPXRSGPQ","GSON1112030824")</f>
        <v>#NAME?</v>
      </c>
      <c r="K369" s="28" t="e">
        <f ca="1">[1]!BexGetData("DP_1","003N8EMH8GTFRIVNUPY288VJH","GSON1112030824")</f>
        <v>#NAME?</v>
      </c>
      <c r="L369" s="28" t="e">
        <f ca="1">[1]!BexGetData("DP_1","003N8EMH8GTFRIVNUPY2891V1","GSON1112030824")</f>
        <v>#NAME?</v>
      </c>
      <c r="M369" s="28" t="e">
        <f ca="1">[1]!BexGetData("DP_1","003N8EMH8GTFRIVOG7KG9IQXA","GSON1112030824")</f>
        <v>#NAME?</v>
      </c>
      <c r="N369" s="28" t="e">
        <f ca="1">[1]!BexGetData("DP_1","003N8EMH8GTFRIVOG7KG9IX8U","GSON1112030824")</f>
        <v>#NAME?</v>
      </c>
      <c r="O369" s="28" t="e">
        <f ca="1">[1]!BexGetData("DP_1","003N8EMH8GTFRIVOG7KG9J3KE","GSON1112030824")</f>
        <v>#NAME?</v>
      </c>
      <c r="P369" s="28" t="e">
        <f ca="1">[1]!BexGetData("DP_1","003N8EMH8GTFRIVOG7KG9J9VY","GSON1112030824")</f>
        <v>#NAME?</v>
      </c>
      <c r="Q369" s="24" t="e">
        <f ca="1">[1]!BexGetData("DP_1","00O2TNJGODT0G5Z4TTKYMM5MT","GSON1112030824")</f>
        <v>#NAME?</v>
      </c>
      <c r="R369" s="28" t="e">
        <f ca="1">[1]!BexGetData("DP_1","00O2TNJGODT0G5Z4TTKYMMBYD","GSON1112030824")</f>
        <v>#NAME?</v>
      </c>
      <c r="S369" s="28" t="e">
        <f ca="1">[1]!BexGetData("DP_1","00O2TNJGODT0G5Z4TTKYMMI9X","GSON1112030824")</f>
        <v>#NAME?</v>
      </c>
      <c r="T369" s="28" t="e">
        <f ca="1">[1]!BexGetData("DP_1","00O2TNJGODT0G5Z4TTKYMMOLH","GSON1112030824")</f>
        <v>#NAME?</v>
      </c>
      <c r="U369" s="28" t="e">
        <f ca="1">[1]!BexGetData("DP_1","00O2TNJGODT0G5Z4TTKYMMUX1","GSON1112030824")</f>
        <v>#NAME?</v>
      </c>
      <c r="V369" s="28" t="e">
        <f ca="1">[1]!BexGetData("DP_1","00O2TNJGODT0G5Z4TTKYMN18L","GSON1112030824")</f>
        <v>#NAME?</v>
      </c>
      <c r="W369" s="28" t="e">
        <f ca="1">[1]!BexGetData("DP_1","00O2TNJGODT0G5Z4TTKYMN7K5","GSON1112030824")</f>
        <v>#NAME?</v>
      </c>
    </row>
    <row r="370" spans="1:23" x14ac:dyDescent="0.2">
      <c r="A370" s="36" t="s">
        <v>2215</v>
      </c>
      <c r="B370" s="27" t="s">
        <v>2216</v>
      </c>
      <c r="C370" s="23" t="e">
        <f ca="1">[1]!BexGetData("DP_1","003N8EMH8GTFRCSWKMPXRR8GU","GSON1112030830")</f>
        <v>#NAME?</v>
      </c>
      <c r="D370" s="23" t="e">
        <f ca="1">[1]!BexGetData("DP_1","003N8EMH8GTFRCSWKMPXRRESE","GSON1112030830")</f>
        <v>#NAME?</v>
      </c>
      <c r="E370" s="23" t="e">
        <f ca="1">[1]!BexGetData("DP_1","003N8EMH8GTFRCSWKMPXRRL3Y","GSON1112030830")</f>
        <v>#NAME?</v>
      </c>
      <c r="F370" s="23" t="e">
        <f ca="1">[1]!BexGetData("DP_1","003N8EMH8GTFRCSWKMPXRRRFI","GSON1112030830")</f>
        <v>#NAME?</v>
      </c>
      <c r="G370" s="23" t="e">
        <f ca="1">[1]!BexGetData("DP_1","003N8EMH8GTFRCSWKMPXRRXR2","GSON1112030830")</f>
        <v>#NAME?</v>
      </c>
      <c r="H370" s="23" t="e">
        <f ca="1">[1]!BexGetData("DP_1","003N8EMH8GTFRCSWKMPXRS42M","GSON1112030830")</f>
        <v>#NAME?</v>
      </c>
      <c r="I370" s="23" t="e">
        <f ca="1">[1]!BexGetData("DP_1","003N8EMH8GTFRCSWKMPXRSAE6","GSON1112030830")</f>
        <v>#NAME?</v>
      </c>
      <c r="J370" s="23" t="e">
        <f ca="1">[1]!BexGetData("DP_1","003N8EMH8GTFRCSWKMPXRSGPQ","GSON1112030830")</f>
        <v>#NAME?</v>
      </c>
      <c r="K370" s="23" t="e">
        <f ca="1">[1]!BexGetData("DP_1","003N8EMH8GTFRIVNUPY288VJH","GSON1112030830")</f>
        <v>#NAME?</v>
      </c>
      <c r="L370" s="23" t="e">
        <f ca="1">[1]!BexGetData("DP_1","003N8EMH8GTFRIVNUPY2891V1","GSON1112030830")</f>
        <v>#NAME?</v>
      </c>
      <c r="M370" s="28" t="e">
        <f ca="1">[1]!BexGetData("DP_1","003N8EMH8GTFRIVOG7KG9IQXA","GSON1112030830")</f>
        <v>#NAME?</v>
      </c>
      <c r="N370" s="23" t="e">
        <f ca="1">[1]!BexGetData("DP_1","003N8EMH8GTFRIVOG7KG9IX8U","GSON1112030830")</f>
        <v>#NAME?</v>
      </c>
      <c r="O370" s="28" t="e">
        <f ca="1">[1]!BexGetData("DP_1","003N8EMH8GTFRIVOG7KG9J3KE","GSON1112030830")</f>
        <v>#NAME?</v>
      </c>
      <c r="P370" s="23" t="e">
        <f ca="1">[1]!BexGetData("DP_1","003N8EMH8GTFRIVOG7KG9J9VY","GSON1112030830")</f>
        <v>#NAME?</v>
      </c>
      <c r="Q370" s="23" t="e">
        <f ca="1">[1]!BexGetData("DP_1","00O2TNJGODT0G5Z4TTKYMM5MT","GSON1112030830")</f>
        <v>#NAME?</v>
      </c>
      <c r="R370" s="23" t="e">
        <f ca="1">[1]!BexGetData("DP_1","00O2TNJGODT0G5Z4TTKYMMBYD","GSON1112030830")</f>
        <v>#NAME?</v>
      </c>
      <c r="S370" s="23" t="e">
        <f ca="1">[1]!BexGetData("DP_1","00O2TNJGODT0G5Z4TTKYMMI9X","GSON1112030830")</f>
        <v>#NAME?</v>
      </c>
      <c r="T370" s="23" t="e">
        <f ca="1">[1]!BexGetData("DP_1","00O2TNJGODT0G5Z4TTKYMMOLH","GSON1112030830")</f>
        <v>#NAME?</v>
      </c>
      <c r="U370" s="28" t="e">
        <f ca="1">[1]!BexGetData("DP_1","00O2TNJGODT0G5Z4TTKYMMUX1","GSON1112030830")</f>
        <v>#NAME?</v>
      </c>
      <c r="V370" s="23" t="e">
        <f ca="1">[1]!BexGetData("DP_1","00O2TNJGODT0G5Z4TTKYMN18L","GSON1112030830")</f>
        <v>#NAME?</v>
      </c>
      <c r="W370" s="28" t="e">
        <f ca="1">[1]!BexGetData("DP_1","00O2TNJGODT0G5Z4TTKYMN7K5","GSON1112030830")</f>
        <v>#NAME?</v>
      </c>
    </row>
    <row r="371" spans="1:23" x14ac:dyDescent="0.2">
      <c r="A371" s="36" t="s">
        <v>2217</v>
      </c>
      <c r="B371" s="27" t="s">
        <v>2218</v>
      </c>
      <c r="C371" s="23" t="e">
        <f ca="1">[1]!BexGetData("DP_1","003N8EMH8GTFRCSWKMPXRR8GU","GSON1112030831")</f>
        <v>#NAME?</v>
      </c>
      <c r="D371" s="23" t="e">
        <f ca="1">[1]!BexGetData("DP_1","003N8EMH8GTFRCSWKMPXRRESE","GSON1112030831")</f>
        <v>#NAME?</v>
      </c>
      <c r="E371" s="23" t="e">
        <f ca="1">[1]!BexGetData("DP_1","003N8EMH8GTFRCSWKMPXRRL3Y","GSON1112030831")</f>
        <v>#NAME?</v>
      </c>
      <c r="F371" s="23" t="e">
        <f ca="1">[1]!BexGetData("DP_1","003N8EMH8GTFRCSWKMPXRRRFI","GSON1112030831")</f>
        <v>#NAME?</v>
      </c>
      <c r="G371" s="23" t="e">
        <f ca="1">[1]!BexGetData("DP_1","003N8EMH8GTFRCSWKMPXRRXR2","GSON1112030831")</f>
        <v>#NAME?</v>
      </c>
      <c r="H371" s="23" t="e">
        <f ca="1">[1]!BexGetData("DP_1","003N8EMH8GTFRCSWKMPXRS42M","GSON1112030831")</f>
        <v>#NAME?</v>
      </c>
      <c r="I371" s="23" t="e">
        <f ca="1">[1]!BexGetData("DP_1","003N8EMH8GTFRCSWKMPXRSAE6","GSON1112030831")</f>
        <v>#NAME?</v>
      </c>
      <c r="J371" s="24" t="e">
        <f ca="1">[1]!BexGetData("DP_1","003N8EMH8GTFRCSWKMPXRSGPQ","GSON1112030831")</f>
        <v>#NAME?</v>
      </c>
      <c r="K371" s="23" t="e">
        <f ca="1">[1]!BexGetData("DP_1","003N8EMH8GTFRIVNUPY288VJH","GSON1112030831")</f>
        <v>#NAME?</v>
      </c>
      <c r="L371" s="23" t="e">
        <f ca="1">[1]!BexGetData("DP_1","003N8EMH8GTFRIVNUPY2891V1","GSON1112030831")</f>
        <v>#NAME?</v>
      </c>
      <c r="M371" s="28" t="e">
        <f ca="1">[1]!BexGetData("DP_1","003N8EMH8GTFRIVOG7KG9IQXA","GSON1112030831")</f>
        <v>#NAME?</v>
      </c>
      <c r="N371" s="23" t="e">
        <f ca="1">[1]!BexGetData("DP_1","003N8EMH8GTFRIVOG7KG9IX8U","GSON1112030831")</f>
        <v>#NAME?</v>
      </c>
      <c r="O371" s="28" t="e">
        <f ca="1">[1]!BexGetData("DP_1","003N8EMH8GTFRIVOG7KG9J3KE","GSON1112030831")</f>
        <v>#NAME?</v>
      </c>
      <c r="P371" s="23" t="e">
        <f ca="1">[1]!BexGetData("DP_1","003N8EMH8GTFRIVOG7KG9J9VY","GSON1112030831")</f>
        <v>#NAME?</v>
      </c>
      <c r="Q371" s="24" t="e">
        <f ca="1">[1]!BexGetData("DP_1","00O2TNJGODT0G5Z4TTKYMM5MT","GSON1112030831")</f>
        <v>#NAME?</v>
      </c>
      <c r="R371" s="23" t="e">
        <f ca="1">[1]!BexGetData("DP_1","00O2TNJGODT0G5Z4TTKYMMBYD","GSON1112030831")</f>
        <v>#NAME?</v>
      </c>
      <c r="S371" s="23" t="e">
        <f ca="1">[1]!BexGetData("DP_1","00O2TNJGODT0G5Z4TTKYMMI9X","GSON1112030831")</f>
        <v>#NAME?</v>
      </c>
      <c r="T371" s="23" t="e">
        <f ca="1">[1]!BexGetData("DP_1","00O2TNJGODT0G5Z4TTKYMMOLH","GSON1112030831")</f>
        <v>#NAME?</v>
      </c>
      <c r="U371" s="28" t="e">
        <f ca="1">[1]!BexGetData("DP_1","00O2TNJGODT0G5Z4TTKYMMUX1","GSON1112030831")</f>
        <v>#NAME?</v>
      </c>
      <c r="V371" s="23" t="e">
        <f ca="1">[1]!BexGetData("DP_1","00O2TNJGODT0G5Z4TTKYMN18L","GSON1112030831")</f>
        <v>#NAME?</v>
      </c>
      <c r="W371" s="28" t="e">
        <f ca="1">[1]!BexGetData("DP_1","00O2TNJGODT0G5Z4TTKYMN7K5","GSON1112030831")</f>
        <v>#NAME?</v>
      </c>
    </row>
    <row r="372" spans="1:23" x14ac:dyDescent="0.2">
      <c r="A372" s="36" t="s">
        <v>2219</v>
      </c>
      <c r="B372" s="27" t="s">
        <v>2220</v>
      </c>
      <c r="C372" s="23" t="e">
        <f ca="1">[1]!BexGetData("DP_1","003N8EMH8GTFRCSWKMPXRR8GU","GSON1112030833")</f>
        <v>#NAME?</v>
      </c>
      <c r="D372" s="23" t="e">
        <f ca="1">[1]!BexGetData("DP_1","003N8EMH8GTFRCSWKMPXRRESE","GSON1112030833")</f>
        <v>#NAME?</v>
      </c>
      <c r="E372" s="28" t="e">
        <f ca="1">[1]!BexGetData("DP_1","003N8EMH8GTFRCSWKMPXRRL3Y","GSON1112030833")</f>
        <v>#NAME?</v>
      </c>
      <c r="F372" s="23" t="e">
        <f ca="1">[1]!BexGetData("DP_1","003N8EMH8GTFRCSWKMPXRRRFI","GSON1112030833")</f>
        <v>#NAME?</v>
      </c>
      <c r="G372" s="23" t="e">
        <f ca="1">[1]!BexGetData("DP_1","003N8EMH8GTFRCSWKMPXRRXR2","GSON1112030833")</f>
        <v>#NAME?</v>
      </c>
      <c r="H372" s="23" t="e">
        <f ca="1">[1]!BexGetData("DP_1","003N8EMH8GTFRCSWKMPXRS42M","GSON1112030833")</f>
        <v>#NAME?</v>
      </c>
      <c r="I372" s="23" t="e">
        <f ca="1">[1]!BexGetData("DP_1","003N8EMH8GTFRCSWKMPXRSAE6","GSON1112030833")</f>
        <v>#NAME?</v>
      </c>
      <c r="J372" s="24" t="e">
        <f ca="1">[1]!BexGetData("DP_1","003N8EMH8GTFRCSWKMPXRSGPQ","GSON1112030833")</f>
        <v>#NAME?</v>
      </c>
      <c r="K372" s="23" t="e">
        <f ca="1">[1]!BexGetData("DP_1","003N8EMH8GTFRIVNUPY288VJH","GSON1112030833")</f>
        <v>#NAME?</v>
      </c>
      <c r="L372" s="23" t="e">
        <f ca="1">[1]!BexGetData("DP_1","003N8EMH8GTFRIVNUPY2891V1","GSON1112030833")</f>
        <v>#NAME?</v>
      </c>
      <c r="M372" s="23" t="e">
        <f ca="1">[1]!BexGetData("DP_1","003N8EMH8GTFRIVOG7KG9IQXA","GSON1112030833")</f>
        <v>#NAME?</v>
      </c>
      <c r="N372" s="28" t="e">
        <f ca="1">[1]!BexGetData("DP_1","003N8EMH8GTFRIVOG7KG9IX8U","GSON1112030833")</f>
        <v>#NAME?</v>
      </c>
      <c r="O372" s="23" t="e">
        <f ca="1">[1]!BexGetData("DP_1","003N8EMH8GTFRIVOG7KG9J3KE","GSON1112030833")</f>
        <v>#NAME?</v>
      </c>
      <c r="P372" s="28" t="e">
        <f ca="1">[1]!BexGetData("DP_1","003N8EMH8GTFRIVOG7KG9J9VY","GSON1112030833")</f>
        <v>#NAME?</v>
      </c>
      <c r="Q372" s="24" t="e">
        <f ca="1">[1]!BexGetData("DP_1","00O2TNJGODT0G5Z4TTKYMM5MT","GSON1112030833")</f>
        <v>#NAME?</v>
      </c>
      <c r="R372" s="23" t="e">
        <f ca="1">[1]!BexGetData("DP_1","00O2TNJGODT0G5Z4TTKYMMBYD","GSON1112030833")</f>
        <v>#NAME?</v>
      </c>
      <c r="S372" s="23" t="e">
        <f ca="1">[1]!BexGetData("DP_1","00O2TNJGODT0G5Z4TTKYMMI9X","GSON1112030833")</f>
        <v>#NAME?</v>
      </c>
      <c r="T372" s="28" t="e">
        <f ca="1">[1]!BexGetData("DP_1","00O2TNJGODT0G5Z4TTKYMMOLH","GSON1112030833")</f>
        <v>#NAME?</v>
      </c>
      <c r="U372" s="23" t="e">
        <f ca="1">[1]!BexGetData("DP_1","00O2TNJGODT0G5Z4TTKYMMUX1","GSON1112030833")</f>
        <v>#NAME?</v>
      </c>
      <c r="V372" s="28" t="e">
        <f ca="1">[1]!BexGetData("DP_1","00O2TNJGODT0G5Z4TTKYMN18L","GSON1112030833")</f>
        <v>#NAME?</v>
      </c>
      <c r="W372" s="23" t="e">
        <f ca="1">[1]!BexGetData("DP_1","00O2TNJGODT0G5Z4TTKYMN7K5","GSON1112030833")</f>
        <v>#NAME?</v>
      </c>
    </row>
    <row r="373" spans="1:23" x14ac:dyDescent="0.2">
      <c r="A373" s="36" t="s">
        <v>910</v>
      </c>
      <c r="B373" s="27" t="s">
        <v>911</v>
      </c>
      <c r="C373" s="23" t="e">
        <f ca="1">[1]!BexGetData("DP_1","003N8EMH8GTFRCSWKMPXRR8GU","GSON1112030840")</f>
        <v>#NAME?</v>
      </c>
      <c r="D373" s="23" t="e">
        <f ca="1">[1]!BexGetData("DP_1","003N8EMH8GTFRCSWKMPXRRESE","GSON1112030840")</f>
        <v>#NAME?</v>
      </c>
      <c r="E373" s="23" t="e">
        <f ca="1">[1]!BexGetData("DP_1","003N8EMH8GTFRCSWKMPXRRL3Y","GSON1112030840")</f>
        <v>#NAME?</v>
      </c>
      <c r="F373" s="23" t="e">
        <f ca="1">[1]!BexGetData("DP_1","003N8EMH8GTFRCSWKMPXRRRFI","GSON1112030840")</f>
        <v>#NAME?</v>
      </c>
      <c r="G373" s="23" t="e">
        <f ca="1">[1]!BexGetData("DP_1","003N8EMH8GTFRCSWKMPXRRXR2","GSON1112030840")</f>
        <v>#NAME?</v>
      </c>
      <c r="H373" s="23" t="e">
        <f ca="1">[1]!BexGetData("DP_1","003N8EMH8GTFRCSWKMPXRS42M","GSON1112030840")</f>
        <v>#NAME?</v>
      </c>
      <c r="I373" s="23" t="e">
        <f ca="1">[1]!BexGetData("DP_1","003N8EMH8GTFRCSWKMPXRSAE6","GSON1112030840")</f>
        <v>#NAME?</v>
      </c>
      <c r="J373" s="23" t="e">
        <f ca="1">[1]!BexGetData("DP_1","003N8EMH8GTFRCSWKMPXRSGPQ","GSON1112030840")</f>
        <v>#NAME?</v>
      </c>
      <c r="K373" s="23" t="e">
        <f ca="1">[1]!BexGetData("DP_1","003N8EMH8GTFRIVNUPY288VJH","GSON1112030840")</f>
        <v>#NAME?</v>
      </c>
      <c r="L373" s="23" t="e">
        <f ca="1">[1]!BexGetData("DP_1","003N8EMH8GTFRIVNUPY2891V1","GSON1112030840")</f>
        <v>#NAME?</v>
      </c>
      <c r="M373" s="28" t="e">
        <f ca="1">[1]!BexGetData("DP_1","003N8EMH8GTFRIVOG7KG9IQXA","GSON1112030840")</f>
        <v>#NAME?</v>
      </c>
      <c r="N373" s="23" t="e">
        <f ca="1">[1]!BexGetData("DP_1","003N8EMH8GTFRIVOG7KG9IX8U","GSON1112030840")</f>
        <v>#NAME?</v>
      </c>
      <c r="O373" s="28" t="e">
        <f ca="1">[1]!BexGetData("DP_1","003N8EMH8GTFRIVOG7KG9J3KE","GSON1112030840")</f>
        <v>#NAME?</v>
      </c>
      <c r="P373" s="23" t="e">
        <f ca="1">[1]!BexGetData("DP_1","003N8EMH8GTFRIVOG7KG9J9VY","GSON1112030840")</f>
        <v>#NAME?</v>
      </c>
      <c r="Q373" s="23" t="e">
        <f ca="1">[1]!BexGetData("DP_1","00O2TNJGODT0G5Z4TTKYMM5MT","GSON1112030840")</f>
        <v>#NAME?</v>
      </c>
      <c r="R373" s="23" t="e">
        <f ca="1">[1]!BexGetData("DP_1","00O2TNJGODT0G5Z4TTKYMMBYD","GSON1112030840")</f>
        <v>#NAME?</v>
      </c>
      <c r="S373" s="23" t="e">
        <f ca="1">[1]!BexGetData("DP_1","00O2TNJGODT0G5Z4TTKYMMI9X","GSON1112030840")</f>
        <v>#NAME?</v>
      </c>
      <c r="T373" s="23" t="e">
        <f ca="1">[1]!BexGetData("DP_1","00O2TNJGODT0G5Z4TTKYMMOLH","GSON1112030840")</f>
        <v>#NAME?</v>
      </c>
      <c r="U373" s="28" t="e">
        <f ca="1">[1]!BexGetData("DP_1","00O2TNJGODT0G5Z4TTKYMMUX1","GSON1112030840")</f>
        <v>#NAME?</v>
      </c>
      <c r="V373" s="23" t="e">
        <f ca="1">[1]!BexGetData("DP_1","00O2TNJGODT0G5Z4TTKYMN18L","GSON1112030840")</f>
        <v>#NAME?</v>
      </c>
      <c r="W373" s="28" t="e">
        <f ca="1">[1]!BexGetData("DP_1","00O2TNJGODT0G5Z4TTKYMN7K5","GSON1112030840")</f>
        <v>#NAME?</v>
      </c>
    </row>
    <row r="374" spans="1:23" x14ac:dyDescent="0.2">
      <c r="A374" s="36" t="s">
        <v>912</v>
      </c>
      <c r="B374" s="27" t="s">
        <v>913</v>
      </c>
      <c r="C374" s="23" t="e">
        <f ca="1">[1]!BexGetData("DP_1","003N8EMH8GTFRCSWKMPXRR8GU","GSON1112030841")</f>
        <v>#NAME?</v>
      </c>
      <c r="D374" s="23" t="e">
        <f ca="1">[1]!BexGetData("DP_1","003N8EMH8GTFRCSWKMPXRRESE","GSON1112030841")</f>
        <v>#NAME?</v>
      </c>
      <c r="E374" s="23" t="e">
        <f ca="1">[1]!BexGetData("DP_1","003N8EMH8GTFRCSWKMPXRRL3Y","GSON1112030841")</f>
        <v>#NAME?</v>
      </c>
      <c r="F374" s="23" t="e">
        <f ca="1">[1]!BexGetData("DP_1","003N8EMH8GTFRCSWKMPXRRRFI","GSON1112030841")</f>
        <v>#NAME?</v>
      </c>
      <c r="G374" s="23" t="e">
        <f ca="1">[1]!BexGetData("DP_1","003N8EMH8GTFRCSWKMPXRRXR2","GSON1112030841")</f>
        <v>#NAME?</v>
      </c>
      <c r="H374" s="23" t="e">
        <f ca="1">[1]!BexGetData("DP_1","003N8EMH8GTFRCSWKMPXRS42M","GSON1112030841")</f>
        <v>#NAME?</v>
      </c>
      <c r="I374" s="23" t="e">
        <f ca="1">[1]!BexGetData("DP_1","003N8EMH8GTFRCSWKMPXRSAE6","GSON1112030841")</f>
        <v>#NAME?</v>
      </c>
      <c r="J374" s="23" t="e">
        <f ca="1">[1]!BexGetData("DP_1","003N8EMH8GTFRCSWKMPXRSGPQ","GSON1112030841")</f>
        <v>#NAME?</v>
      </c>
      <c r="K374" s="23" t="e">
        <f ca="1">[1]!BexGetData("DP_1","003N8EMH8GTFRIVNUPY288VJH","GSON1112030841")</f>
        <v>#NAME?</v>
      </c>
      <c r="L374" s="23" t="e">
        <f ca="1">[1]!BexGetData("DP_1","003N8EMH8GTFRIVNUPY2891V1","GSON1112030841")</f>
        <v>#NAME?</v>
      </c>
      <c r="M374" s="28" t="e">
        <f ca="1">[1]!BexGetData("DP_1","003N8EMH8GTFRIVOG7KG9IQXA","GSON1112030841")</f>
        <v>#NAME?</v>
      </c>
      <c r="N374" s="23" t="e">
        <f ca="1">[1]!BexGetData("DP_1","003N8EMH8GTFRIVOG7KG9IX8U","GSON1112030841")</f>
        <v>#NAME?</v>
      </c>
      <c r="O374" s="28" t="e">
        <f ca="1">[1]!BexGetData("DP_1","003N8EMH8GTFRIVOG7KG9J3KE","GSON1112030841")</f>
        <v>#NAME?</v>
      </c>
      <c r="P374" s="23" t="e">
        <f ca="1">[1]!BexGetData("DP_1","003N8EMH8GTFRIVOG7KG9J9VY","GSON1112030841")</f>
        <v>#NAME?</v>
      </c>
      <c r="Q374" s="23" t="e">
        <f ca="1">[1]!BexGetData("DP_1","00O2TNJGODT0G5Z4TTKYMM5MT","GSON1112030841")</f>
        <v>#NAME?</v>
      </c>
      <c r="R374" s="23" t="e">
        <f ca="1">[1]!BexGetData("DP_1","00O2TNJGODT0G5Z4TTKYMMBYD","GSON1112030841")</f>
        <v>#NAME?</v>
      </c>
      <c r="S374" s="23" t="e">
        <f ca="1">[1]!BexGetData("DP_1","00O2TNJGODT0G5Z4TTKYMMI9X","GSON1112030841")</f>
        <v>#NAME?</v>
      </c>
      <c r="T374" s="28" t="e">
        <f ca="1">[1]!BexGetData("DP_1","00O2TNJGODT0G5Z4TTKYMMOLH","GSON1112030841")</f>
        <v>#NAME?</v>
      </c>
      <c r="U374" s="23" t="e">
        <f ca="1">[1]!BexGetData("DP_1","00O2TNJGODT0G5Z4TTKYMMUX1","GSON1112030841")</f>
        <v>#NAME?</v>
      </c>
      <c r="V374" s="28" t="e">
        <f ca="1">[1]!BexGetData("DP_1","00O2TNJGODT0G5Z4TTKYMN18L","GSON1112030841")</f>
        <v>#NAME?</v>
      </c>
      <c r="W374" s="23" t="e">
        <f ca="1">[1]!BexGetData("DP_1","00O2TNJGODT0G5Z4TTKYMN7K5","GSON1112030841")</f>
        <v>#NAME?</v>
      </c>
    </row>
    <row r="375" spans="1:23" x14ac:dyDescent="0.2">
      <c r="A375" s="36" t="s">
        <v>2221</v>
      </c>
      <c r="B375" s="27" t="s">
        <v>2222</v>
      </c>
      <c r="C375" s="23" t="e">
        <f ca="1">[1]!BexGetData("DP_1","003N8EMH8GTFRCSWKMPXRR8GU","GSON1112030843")</f>
        <v>#NAME?</v>
      </c>
      <c r="D375" s="23" t="e">
        <f ca="1">[1]!BexGetData("DP_1","003N8EMH8GTFRCSWKMPXRRESE","GSON1112030843")</f>
        <v>#NAME?</v>
      </c>
      <c r="E375" s="28" t="e">
        <f ca="1">[1]!BexGetData("DP_1","003N8EMH8GTFRCSWKMPXRRL3Y","GSON1112030843")</f>
        <v>#NAME?</v>
      </c>
      <c r="F375" s="28" t="e">
        <f ca="1">[1]!BexGetData("DP_1","003N8EMH8GTFRCSWKMPXRRRFI","GSON1112030843")</f>
        <v>#NAME?</v>
      </c>
      <c r="G375" s="23" t="e">
        <f ca="1">[1]!BexGetData("DP_1","003N8EMH8GTFRCSWKMPXRRXR2","GSON1112030843")</f>
        <v>#NAME?</v>
      </c>
      <c r="H375" s="23" t="e">
        <f ca="1">[1]!BexGetData("DP_1","003N8EMH8GTFRCSWKMPXRS42M","GSON1112030843")</f>
        <v>#NAME?</v>
      </c>
      <c r="I375" s="28" t="e">
        <f ca="1">[1]!BexGetData("DP_1","003N8EMH8GTFRCSWKMPXRSAE6","GSON1112030843")</f>
        <v>#NAME?</v>
      </c>
      <c r="J375" s="24" t="e">
        <f ca="1">[1]!BexGetData("DP_1","003N8EMH8GTFRCSWKMPXRSGPQ","GSON1112030843")</f>
        <v>#NAME?</v>
      </c>
      <c r="K375" s="28" t="e">
        <f ca="1">[1]!BexGetData("DP_1","003N8EMH8GTFRIVNUPY288VJH","GSON1112030843")</f>
        <v>#NAME?</v>
      </c>
      <c r="L375" s="28" t="e">
        <f ca="1">[1]!BexGetData("DP_1","003N8EMH8GTFRIVNUPY2891V1","GSON1112030843")</f>
        <v>#NAME?</v>
      </c>
      <c r="M375" s="28" t="e">
        <f ca="1">[1]!BexGetData("DP_1","003N8EMH8GTFRIVOG7KG9IQXA","GSON1112030843")</f>
        <v>#NAME?</v>
      </c>
      <c r="N375" s="28" t="e">
        <f ca="1">[1]!BexGetData("DP_1","003N8EMH8GTFRIVOG7KG9IX8U","GSON1112030843")</f>
        <v>#NAME?</v>
      </c>
      <c r="O375" s="28" t="e">
        <f ca="1">[1]!BexGetData("DP_1","003N8EMH8GTFRIVOG7KG9J3KE","GSON1112030843")</f>
        <v>#NAME?</v>
      </c>
      <c r="P375" s="28" t="e">
        <f ca="1">[1]!BexGetData("DP_1","003N8EMH8GTFRIVOG7KG9J9VY","GSON1112030843")</f>
        <v>#NAME?</v>
      </c>
      <c r="Q375" s="24" t="e">
        <f ca="1">[1]!BexGetData("DP_1","00O2TNJGODT0G5Z4TTKYMM5MT","GSON1112030843")</f>
        <v>#NAME?</v>
      </c>
      <c r="R375" s="28" t="e">
        <f ca="1">[1]!BexGetData("DP_1","00O2TNJGODT0G5Z4TTKYMMBYD","GSON1112030843")</f>
        <v>#NAME?</v>
      </c>
      <c r="S375" s="28" t="e">
        <f ca="1">[1]!BexGetData("DP_1","00O2TNJGODT0G5Z4TTKYMMI9X","GSON1112030843")</f>
        <v>#NAME?</v>
      </c>
      <c r="T375" s="28" t="e">
        <f ca="1">[1]!BexGetData("DP_1","00O2TNJGODT0G5Z4TTKYMMOLH","GSON1112030843")</f>
        <v>#NAME?</v>
      </c>
      <c r="U375" s="28" t="e">
        <f ca="1">[1]!BexGetData("DP_1","00O2TNJGODT0G5Z4TTKYMMUX1","GSON1112030843")</f>
        <v>#NAME?</v>
      </c>
      <c r="V375" s="28" t="e">
        <f ca="1">[1]!BexGetData("DP_1","00O2TNJGODT0G5Z4TTKYMN18L","GSON1112030843")</f>
        <v>#NAME?</v>
      </c>
      <c r="W375" s="28" t="e">
        <f ca="1">[1]!BexGetData("DP_1","00O2TNJGODT0G5Z4TTKYMN7K5","GSON1112030843")</f>
        <v>#NAME?</v>
      </c>
    </row>
    <row r="376" spans="1:23" x14ac:dyDescent="0.2">
      <c r="A376" s="36" t="s">
        <v>2223</v>
      </c>
      <c r="B376" s="27" t="s">
        <v>2224</v>
      </c>
      <c r="C376" s="23" t="e">
        <f ca="1">[1]!BexGetData("DP_1","003N8EMH8GTFRCSWKMPXRR8GU","GSON1112030844")</f>
        <v>#NAME?</v>
      </c>
      <c r="D376" s="23" t="e">
        <f ca="1">[1]!BexGetData("DP_1","003N8EMH8GTFRCSWKMPXRRESE","GSON1112030844")</f>
        <v>#NAME?</v>
      </c>
      <c r="E376" s="28" t="e">
        <f ca="1">[1]!BexGetData("DP_1","003N8EMH8GTFRCSWKMPXRRL3Y","GSON1112030844")</f>
        <v>#NAME?</v>
      </c>
      <c r="F376" s="28" t="e">
        <f ca="1">[1]!BexGetData("DP_1","003N8EMH8GTFRCSWKMPXRRRFI","GSON1112030844")</f>
        <v>#NAME?</v>
      </c>
      <c r="G376" s="23" t="e">
        <f ca="1">[1]!BexGetData("DP_1","003N8EMH8GTFRCSWKMPXRRXR2","GSON1112030844")</f>
        <v>#NAME?</v>
      </c>
      <c r="H376" s="23" t="e">
        <f ca="1">[1]!BexGetData("DP_1","003N8EMH8GTFRCSWKMPXRS42M","GSON1112030844")</f>
        <v>#NAME?</v>
      </c>
      <c r="I376" s="28" t="e">
        <f ca="1">[1]!BexGetData("DP_1","003N8EMH8GTFRCSWKMPXRSAE6","GSON1112030844")</f>
        <v>#NAME?</v>
      </c>
      <c r="J376" s="24" t="e">
        <f ca="1">[1]!BexGetData("DP_1","003N8EMH8GTFRCSWKMPXRSGPQ","GSON1112030844")</f>
        <v>#NAME?</v>
      </c>
      <c r="K376" s="28" t="e">
        <f ca="1">[1]!BexGetData("DP_1","003N8EMH8GTFRIVNUPY288VJH","GSON1112030844")</f>
        <v>#NAME?</v>
      </c>
      <c r="L376" s="28" t="e">
        <f ca="1">[1]!BexGetData("DP_1","003N8EMH8GTFRIVNUPY2891V1","GSON1112030844")</f>
        <v>#NAME?</v>
      </c>
      <c r="M376" s="28" t="e">
        <f ca="1">[1]!BexGetData("DP_1","003N8EMH8GTFRIVOG7KG9IQXA","GSON1112030844")</f>
        <v>#NAME?</v>
      </c>
      <c r="N376" s="28" t="e">
        <f ca="1">[1]!BexGetData("DP_1","003N8EMH8GTFRIVOG7KG9IX8U","GSON1112030844")</f>
        <v>#NAME?</v>
      </c>
      <c r="O376" s="28" t="e">
        <f ca="1">[1]!BexGetData("DP_1","003N8EMH8GTFRIVOG7KG9J3KE","GSON1112030844")</f>
        <v>#NAME?</v>
      </c>
      <c r="P376" s="28" t="e">
        <f ca="1">[1]!BexGetData("DP_1","003N8EMH8GTFRIVOG7KG9J9VY","GSON1112030844")</f>
        <v>#NAME?</v>
      </c>
      <c r="Q376" s="24" t="e">
        <f ca="1">[1]!BexGetData("DP_1","00O2TNJGODT0G5Z4TTKYMM5MT","GSON1112030844")</f>
        <v>#NAME?</v>
      </c>
      <c r="R376" s="28" t="e">
        <f ca="1">[1]!BexGetData("DP_1","00O2TNJGODT0G5Z4TTKYMMBYD","GSON1112030844")</f>
        <v>#NAME?</v>
      </c>
      <c r="S376" s="28" t="e">
        <f ca="1">[1]!BexGetData("DP_1","00O2TNJGODT0G5Z4TTKYMMI9X","GSON1112030844")</f>
        <v>#NAME?</v>
      </c>
      <c r="T376" s="28" t="e">
        <f ca="1">[1]!BexGetData("DP_1","00O2TNJGODT0G5Z4TTKYMMOLH","GSON1112030844")</f>
        <v>#NAME?</v>
      </c>
      <c r="U376" s="28" t="e">
        <f ca="1">[1]!BexGetData("DP_1","00O2TNJGODT0G5Z4TTKYMMUX1","GSON1112030844")</f>
        <v>#NAME?</v>
      </c>
      <c r="V376" s="28" t="e">
        <f ca="1">[1]!BexGetData("DP_1","00O2TNJGODT0G5Z4TTKYMN18L","GSON1112030844")</f>
        <v>#NAME?</v>
      </c>
      <c r="W376" s="28" t="e">
        <f ca="1">[1]!BexGetData("DP_1","00O2TNJGODT0G5Z4TTKYMN7K5","GSON1112030844")</f>
        <v>#NAME?</v>
      </c>
    </row>
    <row r="377" spans="1:23" x14ac:dyDescent="0.2">
      <c r="A377" s="36" t="s">
        <v>914</v>
      </c>
      <c r="B377" s="27" t="s">
        <v>915</v>
      </c>
      <c r="C377" s="28" t="e">
        <f ca="1">[1]!BexGetData("DP_1","003N8EMH8GTFRCSWKMPXRR8GU","GSON1112030850")</f>
        <v>#NAME?</v>
      </c>
      <c r="D377" s="28" t="e">
        <f ca="1">[1]!BexGetData("DP_1","003N8EMH8GTFRCSWKMPXRRESE","GSON1112030850")</f>
        <v>#NAME?</v>
      </c>
      <c r="E377" s="23" t="e">
        <f ca="1">[1]!BexGetData("DP_1","003N8EMH8GTFRCSWKMPXRRL3Y","GSON1112030850")</f>
        <v>#NAME?</v>
      </c>
      <c r="F377" s="23" t="e">
        <f ca="1">[1]!BexGetData("DP_1","003N8EMH8GTFRCSWKMPXRRRFI","GSON1112030850")</f>
        <v>#NAME?</v>
      </c>
      <c r="G377" s="23" t="e">
        <f ca="1">[1]!BexGetData("DP_1","003N8EMH8GTFRCSWKMPXRRXR2","GSON1112030850")</f>
        <v>#NAME?</v>
      </c>
      <c r="H377" s="23" t="e">
        <f ca="1">[1]!BexGetData("DP_1","003N8EMH8GTFRCSWKMPXRS42M","GSON1112030850")</f>
        <v>#NAME?</v>
      </c>
      <c r="I377" s="23" t="e">
        <f ca="1">[1]!BexGetData("DP_1","003N8EMH8GTFRCSWKMPXRSAE6","GSON1112030850")</f>
        <v>#NAME?</v>
      </c>
      <c r="J377" s="23" t="e">
        <f ca="1">[1]!BexGetData("DP_1","003N8EMH8GTFRCSWKMPXRSGPQ","GSON1112030850")</f>
        <v>#NAME?</v>
      </c>
      <c r="K377" s="28" t="e">
        <f ca="1">[1]!BexGetData("DP_1","003N8EMH8GTFRIVNUPY288VJH","GSON1112030850")</f>
        <v>#NAME?</v>
      </c>
      <c r="L377" s="28" t="e">
        <f ca="1">[1]!BexGetData("DP_1","003N8EMH8GTFRIVNUPY2891V1","GSON1112030850")</f>
        <v>#NAME?</v>
      </c>
      <c r="M377" s="28" t="e">
        <f ca="1">[1]!BexGetData("DP_1","003N8EMH8GTFRIVOG7KG9IQXA","GSON1112030850")</f>
        <v>#NAME?</v>
      </c>
      <c r="N377" s="28" t="e">
        <f ca="1">[1]!BexGetData("DP_1","003N8EMH8GTFRIVOG7KG9IX8U","GSON1112030850")</f>
        <v>#NAME?</v>
      </c>
      <c r="O377" s="28" t="e">
        <f ca="1">[1]!BexGetData("DP_1","003N8EMH8GTFRIVOG7KG9J3KE","GSON1112030850")</f>
        <v>#NAME?</v>
      </c>
      <c r="P377" s="28" t="e">
        <f ca="1">[1]!BexGetData("DP_1","003N8EMH8GTFRIVOG7KG9J9VY","GSON1112030850")</f>
        <v>#NAME?</v>
      </c>
      <c r="Q377" s="23" t="e">
        <f ca="1">[1]!BexGetData("DP_1","00O2TNJGODT0G5Z4TTKYMM5MT","GSON1112030850")</f>
        <v>#NAME?</v>
      </c>
      <c r="R377" s="23" t="e">
        <f ca="1">[1]!BexGetData("DP_1","00O2TNJGODT0G5Z4TTKYMMBYD","GSON1112030850")</f>
        <v>#NAME?</v>
      </c>
      <c r="S377" s="23" t="e">
        <f ca="1">[1]!BexGetData("DP_1","00O2TNJGODT0G5Z4TTKYMMI9X","GSON1112030850")</f>
        <v>#NAME?</v>
      </c>
      <c r="T377" s="28" t="e">
        <f ca="1">[1]!BexGetData("DP_1","00O2TNJGODT0G5Z4TTKYMMOLH","GSON1112030850")</f>
        <v>#NAME?</v>
      </c>
      <c r="U377" s="23" t="e">
        <f ca="1">[1]!BexGetData("DP_1","00O2TNJGODT0G5Z4TTKYMMUX1","GSON1112030850")</f>
        <v>#NAME?</v>
      </c>
      <c r="V377" s="28" t="e">
        <f ca="1">[1]!BexGetData("DP_1","00O2TNJGODT0G5Z4TTKYMN18L","GSON1112030850")</f>
        <v>#NAME?</v>
      </c>
      <c r="W377" s="23" t="e">
        <f ca="1">[1]!BexGetData("DP_1","00O2TNJGODT0G5Z4TTKYMN7K5","GSON1112030850")</f>
        <v>#NAME?</v>
      </c>
    </row>
    <row r="378" spans="1:23" x14ac:dyDescent="0.2">
      <c r="A378" s="36" t="s">
        <v>916</v>
      </c>
      <c r="B378" s="27" t="s">
        <v>917</v>
      </c>
      <c r="C378" s="28" t="e">
        <f ca="1">[1]!BexGetData("DP_1","003N8EMH8GTFRCSWKMPXRR8GU","GSON1112030851")</f>
        <v>#NAME?</v>
      </c>
      <c r="D378" s="28" t="e">
        <f ca="1">[1]!BexGetData("DP_1","003N8EMH8GTFRCSWKMPXRRESE","GSON1112030851")</f>
        <v>#NAME?</v>
      </c>
      <c r="E378" s="28" t="e">
        <f ca="1">[1]!BexGetData("DP_1","003N8EMH8GTFRCSWKMPXRRL3Y","GSON1112030851")</f>
        <v>#NAME?</v>
      </c>
      <c r="F378" s="28" t="e">
        <f ca="1">[1]!BexGetData("DP_1","003N8EMH8GTFRCSWKMPXRRRFI","GSON1112030851")</f>
        <v>#NAME?</v>
      </c>
      <c r="G378" s="23" t="e">
        <f ca="1">[1]!BexGetData("DP_1","003N8EMH8GTFRCSWKMPXRRXR2","GSON1112030851")</f>
        <v>#NAME?</v>
      </c>
      <c r="H378" s="23" t="e">
        <f ca="1">[1]!BexGetData("DP_1","003N8EMH8GTFRCSWKMPXRS42M","GSON1112030851")</f>
        <v>#NAME?</v>
      </c>
      <c r="I378" s="28" t="e">
        <f ca="1">[1]!BexGetData("DP_1","003N8EMH8GTFRCSWKMPXRSAE6","GSON1112030851")</f>
        <v>#NAME?</v>
      </c>
      <c r="J378" s="24" t="e">
        <f ca="1">[1]!BexGetData("DP_1","003N8EMH8GTFRCSWKMPXRSGPQ","GSON1112030851")</f>
        <v>#NAME?</v>
      </c>
      <c r="K378" s="28" t="e">
        <f ca="1">[1]!BexGetData("DP_1","003N8EMH8GTFRIVNUPY288VJH","GSON1112030851")</f>
        <v>#NAME?</v>
      </c>
      <c r="L378" s="28" t="e">
        <f ca="1">[1]!BexGetData("DP_1","003N8EMH8GTFRIVNUPY2891V1","GSON1112030851")</f>
        <v>#NAME?</v>
      </c>
      <c r="M378" s="28" t="e">
        <f ca="1">[1]!BexGetData("DP_1","003N8EMH8GTFRIVOG7KG9IQXA","GSON1112030851")</f>
        <v>#NAME?</v>
      </c>
      <c r="N378" s="28" t="e">
        <f ca="1">[1]!BexGetData("DP_1","003N8EMH8GTFRIVOG7KG9IX8U","GSON1112030851")</f>
        <v>#NAME?</v>
      </c>
      <c r="O378" s="28" t="e">
        <f ca="1">[1]!BexGetData("DP_1","003N8EMH8GTFRIVOG7KG9J3KE","GSON1112030851")</f>
        <v>#NAME?</v>
      </c>
      <c r="P378" s="28" t="e">
        <f ca="1">[1]!BexGetData("DP_1","003N8EMH8GTFRIVOG7KG9J9VY","GSON1112030851")</f>
        <v>#NAME?</v>
      </c>
      <c r="Q378" s="24" t="e">
        <f ca="1">[1]!BexGetData("DP_1","00O2TNJGODT0G5Z4TTKYMM5MT","GSON1112030851")</f>
        <v>#NAME?</v>
      </c>
      <c r="R378" s="28" t="e">
        <f ca="1">[1]!BexGetData("DP_1","00O2TNJGODT0G5Z4TTKYMMBYD","GSON1112030851")</f>
        <v>#NAME?</v>
      </c>
      <c r="S378" s="28" t="e">
        <f ca="1">[1]!BexGetData("DP_1","00O2TNJGODT0G5Z4TTKYMMI9X","GSON1112030851")</f>
        <v>#NAME?</v>
      </c>
      <c r="T378" s="28" t="e">
        <f ca="1">[1]!BexGetData("DP_1","00O2TNJGODT0G5Z4TTKYMMOLH","GSON1112030851")</f>
        <v>#NAME?</v>
      </c>
      <c r="U378" s="28" t="e">
        <f ca="1">[1]!BexGetData("DP_1","00O2TNJGODT0G5Z4TTKYMMUX1","GSON1112030851")</f>
        <v>#NAME?</v>
      </c>
      <c r="V378" s="28" t="e">
        <f ca="1">[1]!BexGetData("DP_1","00O2TNJGODT0G5Z4TTKYMN18L","GSON1112030851")</f>
        <v>#NAME?</v>
      </c>
      <c r="W378" s="28" t="e">
        <f ca="1">[1]!BexGetData("DP_1","00O2TNJGODT0G5Z4TTKYMN7K5","GSON1112030851")</f>
        <v>#NAME?</v>
      </c>
    </row>
    <row r="379" spans="1:23" x14ac:dyDescent="0.2">
      <c r="A379" s="36" t="s">
        <v>2225</v>
      </c>
      <c r="B379" s="27" t="s">
        <v>2226</v>
      </c>
      <c r="C379" s="24" t="e">
        <f ca="1">[1]!BexGetData("DP_1","003N8EMH8GTFRCSWKMPXRR8GU","GSON1112030853")</f>
        <v>#NAME?</v>
      </c>
      <c r="D379" s="24" t="e">
        <f ca="1">[1]!BexGetData("DP_1","003N8EMH8GTFRCSWKMPXRRESE","GSON1112030853")</f>
        <v>#NAME?</v>
      </c>
      <c r="E379" s="24" t="e">
        <f ca="1">[1]!BexGetData("DP_1","003N8EMH8GTFRCSWKMPXRRL3Y","GSON1112030853")</f>
        <v>#NAME?</v>
      </c>
      <c r="F379" s="28" t="e">
        <f ca="1">[1]!BexGetData("DP_1","003N8EMH8GTFRCSWKMPXRRRFI","GSON1112030853")</f>
        <v>#NAME?</v>
      </c>
      <c r="G379" s="23" t="e">
        <f ca="1">[1]!BexGetData("DP_1","003N8EMH8GTFRCSWKMPXRRXR2","GSON1112030853")</f>
        <v>#NAME?</v>
      </c>
      <c r="H379" s="23" t="e">
        <f ca="1">[1]!BexGetData("DP_1","003N8EMH8GTFRCSWKMPXRS42M","GSON1112030853")</f>
        <v>#NAME?</v>
      </c>
      <c r="I379" s="28" t="e">
        <f ca="1">[1]!BexGetData("DP_1","003N8EMH8GTFRCSWKMPXRSAE6","GSON1112030853")</f>
        <v>#NAME?</v>
      </c>
      <c r="J379" s="24" t="e">
        <f ca="1">[1]!BexGetData("DP_1","003N8EMH8GTFRCSWKMPXRSGPQ","GSON1112030853")</f>
        <v>#NAME?</v>
      </c>
      <c r="K379" s="28" t="e">
        <f ca="1">[1]!BexGetData("DP_1","003N8EMH8GTFRIVNUPY288VJH","GSON1112030853")</f>
        <v>#NAME?</v>
      </c>
      <c r="L379" s="28" t="e">
        <f ca="1">[1]!BexGetData("DP_1","003N8EMH8GTFRIVNUPY2891V1","GSON1112030853")</f>
        <v>#NAME?</v>
      </c>
      <c r="M379" s="28" t="e">
        <f ca="1">[1]!BexGetData("DP_1","003N8EMH8GTFRIVOG7KG9IQXA","GSON1112030853")</f>
        <v>#NAME?</v>
      </c>
      <c r="N379" s="28" t="e">
        <f ca="1">[1]!BexGetData("DP_1","003N8EMH8GTFRIVOG7KG9IX8U","GSON1112030853")</f>
        <v>#NAME?</v>
      </c>
      <c r="O379" s="28" t="e">
        <f ca="1">[1]!BexGetData("DP_1","003N8EMH8GTFRIVOG7KG9J3KE","GSON1112030853")</f>
        <v>#NAME?</v>
      </c>
      <c r="P379" s="28" t="e">
        <f ca="1">[1]!BexGetData("DP_1","003N8EMH8GTFRIVOG7KG9J9VY","GSON1112030853")</f>
        <v>#NAME?</v>
      </c>
      <c r="Q379" s="24" t="e">
        <f ca="1">[1]!BexGetData("DP_1","00O2TNJGODT0G5Z4TTKYMM5MT","GSON1112030853")</f>
        <v>#NAME?</v>
      </c>
      <c r="R379" s="28" t="e">
        <f ca="1">[1]!BexGetData("DP_1","00O2TNJGODT0G5Z4TTKYMMBYD","GSON1112030853")</f>
        <v>#NAME?</v>
      </c>
      <c r="S379" s="28" t="e">
        <f ca="1">[1]!BexGetData("DP_1","00O2TNJGODT0G5Z4TTKYMMI9X","GSON1112030853")</f>
        <v>#NAME?</v>
      </c>
      <c r="T379" s="28" t="e">
        <f ca="1">[1]!BexGetData("DP_1","00O2TNJGODT0G5Z4TTKYMMOLH","GSON1112030853")</f>
        <v>#NAME?</v>
      </c>
      <c r="U379" s="28" t="e">
        <f ca="1">[1]!BexGetData("DP_1","00O2TNJGODT0G5Z4TTKYMMUX1","GSON1112030853")</f>
        <v>#NAME?</v>
      </c>
      <c r="V379" s="28" t="e">
        <f ca="1">[1]!BexGetData("DP_1","00O2TNJGODT0G5Z4TTKYMN18L","GSON1112030853")</f>
        <v>#NAME?</v>
      </c>
      <c r="W379" s="28" t="e">
        <f ca="1">[1]!BexGetData("DP_1","00O2TNJGODT0G5Z4TTKYMN7K5","GSON1112030853")</f>
        <v>#NAME?</v>
      </c>
    </row>
    <row r="380" spans="1:23" x14ac:dyDescent="0.2">
      <c r="A380" s="36" t="s">
        <v>2227</v>
      </c>
      <c r="B380" s="27" t="s">
        <v>2228</v>
      </c>
      <c r="C380" s="24" t="e">
        <f ca="1">[1]!BexGetData("DP_1","003N8EMH8GTFRCSWKMPXRR8GU","GSON1112030854")</f>
        <v>#NAME?</v>
      </c>
      <c r="D380" s="24" t="e">
        <f ca="1">[1]!BexGetData("DP_1","003N8EMH8GTFRCSWKMPXRRESE","GSON1112030854")</f>
        <v>#NAME?</v>
      </c>
      <c r="E380" s="24" t="e">
        <f ca="1">[1]!BexGetData("DP_1","003N8EMH8GTFRCSWKMPXRRL3Y","GSON1112030854")</f>
        <v>#NAME?</v>
      </c>
      <c r="F380" s="28" t="e">
        <f ca="1">[1]!BexGetData("DP_1","003N8EMH8GTFRCSWKMPXRRRFI","GSON1112030854")</f>
        <v>#NAME?</v>
      </c>
      <c r="G380" s="23" t="e">
        <f ca="1">[1]!BexGetData("DP_1","003N8EMH8GTFRCSWKMPXRRXR2","GSON1112030854")</f>
        <v>#NAME?</v>
      </c>
      <c r="H380" s="23" t="e">
        <f ca="1">[1]!BexGetData("DP_1","003N8EMH8GTFRCSWKMPXRS42M","GSON1112030854")</f>
        <v>#NAME?</v>
      </c>
      <c r="I380" s="28" t="e">
        <f ca="1">[1]!BexGetData("DP_1","003N8EMH8GTFRCSWKMPXRSAE6","GSON1112030854")</f>
        <v>#NAME?</v>
      </c>
      <c r="J380" s="24" t="e">
        <f ca="1">[1]!BexGetData("DP_1","003N8EMH8GTFRCSWKMPXRSGPQ","GSON1112030854")</f>
        <v>#NAME?</v>
      </c>
      <c r="K380" s="28" t="e">
        <f ca="1">[1]!BexGetData("DP_1","003N8EMH8GTFRIVNUPY288VJH","GSON1112030854")</f>
        <v>#NAME?</v>
      </c>
      <c r="L380" s="28" t="e">
        <f ca="1">[1]!BexGetData("DP_1","003N8EMH8GTFRIVNUPY2891V1","GSON1112030854")</f>
        <v>#NAME?</v>
      </c>
      <c r="M380" s="28" t="e">
        <f ca="1">[1]!BexGetData("DP_1","003N8EMH8GTFRIVOG7KG9IQXA","GSON1112030854")</f>
        <v>#NAME?</v>
      </c>
      <c r="N380" s="28" t="e">
        <f ca="1">[1]!BexGetData("DP_1","003N8EMH8GTFRIVOG7KG9IX8U","GSON1112030854")</f>
        <v>#NAME?</v>
      </c>
      <c r="O380" s="28" t="e">
        <f ca="1">[1]!BexGetData("DP_1","003N8EMH8GTFRIVOG7KG9J3KE","GSON1112030854")</f>
        <v>#NAME?</v>
      </c>
      <c r="P380" s="28" t="e">
        <f ca="1">[1]!BexGetData("DP_1","003N8EMH8GTFRIVOG7KG9J9VY","GSON1112030854")</f>
        <v>#NAME?</v>
      </c>
      <c r="Q380" s="24" t="e">
        <f ca="1">[1]!BexGetData("DP_1","00O2TNJGODT0G5Z4TTKYMM5MT","GSON1112030854")</f>
        <v>#NAME?</v>
      </c>
      <c r="R380" s="28" t="e">
        <f ca="1">[1]!BexGetData("DP_1","00O2TNJGODT0G5Z4TTKYMMBYD","GSON1112030854")</f>
        <v>#NAME?</v>
      </c>
      <c r="S380" s="28" t="e">
        <f ca="1">[1]!BexGetData("DP_1","00O2TNJGODT0G5Z4TTKYMMI9X","GSON1112030854")</f>
        <v>#NAME?</v>
      </c>
      <c r="T380" s="28" t="e">
        <f ca="1">[1]!BexGetData("DP_1","00O2TNJGODT0G5Z4TTKYMMOLH","GSON1112030854")</f>
        <v>#NAME?</v>
      </c>
      <c r="U380" s="28" t="e">
        <f ca="1">[1]!BexGetData("DP_1","00O2TNJGODT0G5Z4TTKYMMUX1","GSON1112030854")</f>
        <v>#NAME?</v>
      </c>
      <c r="V380" s="28" t="e">
        <f ca="1">[1]!BexGetData("DP_1","00O2TNJGODT0G5Z4TTKYMN18L","GSON1112030854")</f>
        <v>#NAME?</v>
      </c>
      <c r="W380" s="28" t="e">
        <f ca="1">[1]!BexGetData("DP_1","00O2TNJGODT0G5Z4TTKYMN7K5","GSON1112030854")</f>
        <v>#NAME?</v>
      </c>
    </row>
    <row r="381" spans="1:23" x14ac:dyDescent="0.2">
      <c r="A381" s="36" t="s">
        <v>2229</v>
      </c>
      <c r="B381" s="27" t="s">
        <v>649</v>
      </c>
      <c r="C381" s="23" t="e">
        <f ca="1">[1]!BexGetData("DP_1","003N8EMH8GTFRCSWKMPXRR8GU","GSON1112030900")</f>
        <v>#NAME?</v>
      </c>
      <c r="D381" s="23" t="e">
        <f ca="1">[1]!BexGetData("DP_1","003N8EMH8GTFRCSWKMPXRRESE","GSON1112030900")</f>
        <v>#NAME?</v>
      </c>
      <c r="E381" s="23" t="e">
        <f ca="1">[1]!BexGetData("DP_1","003N8EMH8GTFRCSWKMPXRRL3Y","GSON1112030900")</f>
        <v>#NAME?</v>
      </c>
      <c r="F381" s="23" t="e">
        <f ca="1">[1]!BexGetData("DP_1","003N8EMH8GTFRCSWKMPXRRRFI","GSON1112030900")</f>
        <v>#NAME?</v>
      </c>
      <c r="G381" s="23" t="e">
        <f ca="1">[1]!BexGetData("DP_1","003N8EMH8GTFRCSWKMPXRRXR2","GSON1112030900")</f>
        <v>#NAME?</v>
      </c>
      <c r="H381" s="28" t="e">
        <f ca="1">[1]!BexGetData("DP_1","003N8EMH8GTFRCSWKMPXRS42M","GSON1112030900")</f>
        <v>#NAME?</v>
      </c>
      <c r="I381" s="23" t="e">
        <f ca="1">[1]!BexGetData("DP_1","003N8EMH8GTFRCSWKMPXRSAE6","GSON1112030900")</f>
        <v>#NAME?</v>
      </c>
      <c r="J381" s="23" t="e">
        <f ca="1">[1]!BexGetData("DP_1","003N8EMH8GTFRCSWKMPXRSGPQ","GSON1112030900")</f>
        <v>#NAME?</v>
      </c>
      <c r="K381" s="23" t="e">
        <f ca="1">[1]!BexGetData("DP_1","003N8EMH8GTFRIVNUPY288VJH","GSON1112030900")</f>
        <v>#NAME?</v>
      </c>
      <c r="L381" s="23" t="e">
        <f ca="1">[1]!BexGetData("DP_1","003N8EMH8GTFRIVNUPY2891V1","GSON1112030900")</f>
        <v>#NAME?</v>
      </c>
      <c r="M381" s="28" t="e">
        <f ca="1">[1]!BexGetData("DP_1","003N8EMH8GTFRIVOG7KG9IQXA","GSON1112030900")</f>
        <v>#NAME?</v>
      </c>
      <c r="N381" s="23" t="e">
        <f ca="1">[1]!BexGetData("DP_1","003N8EMH8GTFRIVOG7KG9IX8U","GSON1112030900")</f>
        <v>#NAME?</v>
      </c>
      <c r="O381" s="28" t="e">
        <f ca="1">[1]!BexGetData("DP_1","003N8EMH8GTFRIVOG7KG9J3KE","GSON1112030900")</f>
        <v>#NAME?</v>
      </c>
      <c r="P381" s="23" t="e">
        <f ca="1">[1]!BexGetData("DP_1","003N8EMH8GTFRIVOG7KG9J9VY","GSON1112030900")</f>
        <v>#NAME?</v>
      </c>
      <c r="Q381" s="23" t="e">
        <f ca="1">[1]!BexGetData("DP_1","00O2TNJGODT0G5Z4TTKYMM5MT","GSON1112030900")</f>
        <v>#NAME?</v>
      </c>
      <c r="R381" s="23" t="e">
        <f ca="1">[1]!BexGetData("DP_1","00O2TNJGODT0G5Z4TTKYMMBYD","GSON1112030900")</f>
        <v>#NAME?</v>
      </c>
      <c r="S381" s="23" t="e">
        <f ca="1">[1]!BexGetData("DP_1","00O2TNJGODT0G5Z4TTKYMMI9X","GSON1112030900")</f>
        <v>#NAME?</v>
      </c>
      <c r="T381" s="28" t="e">
        <f ca="1">[1]!BexGetData("DP_1","00O2TNJGODT0G5Z4TTKYMMOLH","GSON1112030900")</f>
        <v>#NAME?</v>
      </c>
      <c r="U381" s="23" t="e">
        <f ca="1">[1]!BexGetData("DP_1","00O2TNJGODT0G5Z4TTKYMMUX1","GSON1112030900")</f>
        <v>#NAME?</v>
      </c>
      <c r="V381" s="28" t="e">
        <f ca="1">[1]!BexGetData("DP_1","00O2TNJGODT0G5Z4TTKYMN18L","GSON1112030900")</f>
        <v>#NAME?</v>
      </c>
      <c r="W381" s="23" t="e">
        <f ca="1">[1]!BexGetData("DP_1","00O2TNJGODT0G5Z4TTKYMN7K5","GSON1112030900")</f>
        <v>#NAME?</v>
      </c>
    </row>
    <row r="382" spans="1:23" x14ac:dyDescent="0.2">
      <c r="A382" s="36" t="s">
        <v>2230</v>
      </c>
      <c r="B382" s="27" t="s">
        <v>650</v>
      </c>
      <c r="C382" s="24" t="e">
        <f ca="1">[1]!BexGetData("DP_1","003N8EMH8GTFRCSWKMPXRR8GU","GSON1112030901")</f>
        <v>#NAME?</v>
      </c>
      <c r="D382" s="24" t="e">
        <f ca="1">[1]!BexGetData("DP_1","003N8EMH8GTFRCSWKMPXRRESE","GSON1112030901")</f>
        <v>#NAME?</v>
      </c>
      <c r="E382" s="24" t="e">
        <f ca="1">[1]!BexGetData("DP_1","003N8EMH8GTFRCSWKMPXRRL3Y","GSON1112030901")</f>
        <v>#NAME?</v>
      </c>
      <c r="F382" s="28" t="e">
        <f ca="1">[1]!BexGetData("DP_1","003N8EMH8GTFRCSWKMPXRRRFI","GSON1112030901")</f>
        <v>#NAME?</v>
      </c>
      <c r="G382" s="23" t="e">
        <f ca="1">[1]!BexGetData("DP_1","003N8EMH8GTFRCSWKMPXRRXR2","GSON1112030901")</f>
        <v>#NAME?</v>
      </c>
      <c r="H382" s="23" t="e">
        <f ca="1">[1]!BexGetData("DP_1","003N8EMH8GTFRCSWKMPXRS42M","GSON1112030901")</f>
        <v>#NAME?</v>
      </c>
      <c r="I382" s="28" t="e">
        <f ca="1">[1]!BexGetData("DP_1","003N8EMH8GTFRCSWKMPXRSAE6","GSON1112030901")</f>
        <v>#NAME?</v>
      </c>
      <c r="J382" s="24" t="e">
        <f ca="1">[1]!BexGetData("DP_1","003N8EMH8GTFRCSWKMPXRSGPQ","GSON1112030901")</f>
        <v>#NAME?</v>
      </c>
      <c r="K382" s="28" t="e">
        <f ca="1">[1]!BexGetData("DP_1","003N8EMH8GTFRIVNUPY288VJH","GSON1112030901")</f>
        <v>#NAME?</v>
      </c>
      <c r="L382" s="28" t="e">
        <f ca="1">[1]!BexGetData("DP_1","003N8EMH8GTFRIVNUPY2891V1","GSON1112030901")</f>
        <v>#NAME?</v>
      </c>
      <c r="M382" s="28" t="e">
        <f ca="1">[1]!BexGetData("DP_1","003N8EMH8GTFRIVOG7KG9IQXA","GSON1112030901")</f>
        <v>#NAME?</v>
      </c>
      <c r="N382" s="28" t="e">
        <f ca="1">[1]!BexGetData("DP_1","003N8EMH8GTFRIVOG7KG9IX8U","GSON1112030901")</f>
        <v>#NAME?</v>
      </c>
      <c r="O382" s="28" t="e">
        <f ca="1">[1]!BexGetData("DP_1","003N8EMH8GTFRIVOG7KG9J3KE","GSON1112030901")</f>
        <v>#NAME?</v>
      </c>
      <c r="P382" s="28" t="e">
        <f ca="1">[1]!BexGetData("DP_1","003N8EMH8GTFRIVOG7KG9J9VY","GSON1112030901")</f>
        <v>#NAME?</v>
      </c>
      <c r="Q382" s="24" t="e">
        <f ca="1">[1]!BexGetData("DP_1","00O2TNJGODT0G5Z4TTKYMM5MT","GSON1112030901")</f>
        <v>#NAME?</v>
      </c>
      <c r="R382" s="28" t="e">
        <f ca="1">[1]!BexGetData("DP_1","00O2TNJGODT0G5Z4TTKYMMBYD","GSON1112030901")</f>
        <v>#NAME?</v>
      </c>
      <c r="S382" s="28" t="e">
        <f ca="1">[1]!BexGetData("DP_1","00O2TNJGODT0G5Z4TTKYMMI9X","GSON1112030901")</f>
        <v>#NAME?</v>
      </c>
      <c r="T382" s="28" t="e">
        <f ca="1">[1]!BexGetData("DP_1","00O2TNJGODT0G5Z4TTKYMMOLH","GSON1112030901")</f>
        <v>#NAME?</v>
      </c>
      <c r="U382" s="28" t="e">
        <f ca="1">[1]!BexGetData("DP_1","00O2TNJGODT0G5Z4TTKYMMUX1","GSON1112030901")</f>
        <v>#NAME?</v>
      </c>
      <c r="V382" s="28" t="e">
        <f ca="1">[1]!BexGetData("DP_1","00O2TNJGODT0G5Z4TTKYMN18L","GSON1112030901")</f>
        <v>#NAME?</v>
      </c>
      <c r="W382" s="28" t="e">
        <f ca="1">[1]!BexGetData("DP_1","00O2TNJGODT0G5Z4TTKYMN7K5","GSON1112030901")</f>
        <v>#NAME?</v>
      </c>
    </row>
    <row r="383" spans="1:23" x14ac:dyDescent="0.2">
      <c r="A383" s="36" t="s">
        <v>2231</v>
      </c>
      <c r="B383" s="27" t="s">
        <v>2232</v>
      </c>
      <c r="C383" s="23" t="e">
        <f ca="1">[1]!BexGetData("DP_1","003N8EMH8GTFRCSWKMPXRR8GU","GSON1112030905")</f>
        <v>#NAME?</v>
      </c>
      <c r="D383" s="23" t="e">
        <f ca="1">[1]!BexGetData("DP_1","003N8EMH8GTFRCSWKMPXRRESE","GSON1112030905")</f>
        <v>#NAME?</v>
      </c>
      <c r="E383" s="28" t="e">
        <f ca="1">[1]!BexGetData("DP_1","003N8EMH8GTFRCSWKMPXRRL3Y","GSON1112030905")</f>
        <v>#NAME?</v>
      </c>
      <c r="F383" s="28" t="e">
        <f ca="1">[1]!BexGetData("DP_1","003N8EMH8GTFRCSWKMPXRRRFI","GSON1112030905")</f>
        <v>#NAME?</v>
      </c>
      <c r="G383" s="23" t="e">
        <f ca="1">[1]!BexGetData("DP_1","003N8EMH8GTFRCSWKMPXRRXR2","GSON1112030905")</f>
        <v>#NAME?</v>
      </c>
      <c r="H383" s="23" t="e">
        <f ca="1">[1]!BexGetData("DP_1","003N8EMH8GTFRCSWKMPXRS42M","GSON1112030905")</f>
        <v>#NAME?</v>
      </c>
      <c r="I383" s="28" t="e">
        <f ca="1">[1]!BexGetData("DP_1","003N8EMH8GTFRCSWKMPXRSAE6","GSON1112030905")</f>
        <v>#NAME?</v>
      </c>
      <c r="J383" s="24" t="e">
        <f ca="1">[1]!BexGetData("DP_1","003N8EMH8GTFRCSWKMPXRSGPQ","GSON1112030905")</f>
        <v>#NAME?</v>
      </c>
      <c r="K383" s="28" t="e">
        <f ca="1">[1]!BexGetData("DP_1","003N8EMH8GTFRIVNUPY288VJH","GSON1112030905")</f>
        <v>#NAME?</v>
      </c>
      <c r="L383" s="28" t="e">
        <f ca="1">[1]!BexGetData("DP_1","003N8EMH8GTFRIVNUPY2891V1","GSON1112030905")</f>
        <v>#NAME?</v>
      </c>
      <c r="M383" s="28" t="e">
        <f ca="1">[1]!BexGetData("DP_1","003N8EMH8GTFRIVOG7KG9IQXA","GSON1112030905")</f>
        <v>#NAME?</v>
      </c>
      <c r="N383" s="28" t="e">
        <f ca="1">[1]!BexGetData("DP_1","003N8EMH8GTFRIVOG7KG9IX8U","GSON1112030905")</f>
        <v>#NAME?</v>
      </c>
      <c r="O383" s="28" t="e">
        <f ca="1">[1]!BexGetData("DP_1","003N8EMH8GTFRIVOG7KG9J3KE","GSON1112030905")</f>
        <v>#NAME?</v>
      </c>
      <c r="P383" s="28" t="e">
        <f ca="1">[1]!BexGetData("DP_1","003N8EMH8GTFRIVOG7KG9J9VY","GSON1112030905")</f>
        <v>#NAME?</v>
      </c>
      <c r="Q383" s="24" t="e">
        <f ca="1">[1]!BexGetData("DP_1","00O2TNJGODT0G5Z4TTKYMM5MT","GSON1112030905")</f>
        <v>#NAME?</v>
      </c>
      <c r="R383" s="28" t="e">
        <f ca="1">[1]!BexGetData("DP_1","00O2TNJGODT0G5Z4TTKYMMBYD","GSON1112030905")</f>
        <v>#NAME?</v>
      </c>
      <c r="S383" s="28" t="e">
        <f ca="1">[1]!BexGetData("DP_1","00O2TNJGODT0G5Z4TTKYMMI9X","GSON1112030905")</f>
        <v>#NAME?</v>
      </c>
      <c r="T383" s="28" t="e">
        <f ca="1">[1]!BexGetData("DP_1","00O2TNJGODT0G5Z4TTKYMMOLH","GSON1112030905")</f>
        <v>#NAME?</v>
      </c>
      <c r="U383" s="28" t="e">
        <f ca="1">[1]!BexGetData("DP_1","00O2TNJGODT0G5Z4TTKYMMUX1","GSON1112030905")</f>
        <v>#NAME?</v>
      </c>
      <c r="V383" s="28" t="e">
        <f ca="1">[1]!BexGetData("DP_1","00O2TNJGODT0G5Z4TTKYMN18L","GSON1112030905")</f>
        <v>#NAME?</v>
      </c>
      <c r="W383" s="28" t="e">
        <f ca="1">[1]!BexGetData("DP_1","00O2TNJGODT0G5Z4TTKYMN7K5","GSON1112030905")</f>
        <v>#NAME?</v>
      </c>
    </row>
    <row r="384" spans="1:23" x14ac:dyDescent="0.2">
      <c r="A384" s="36" t="s">
        <v>2233</v>
      </c>
      <c r="B384" s="27" t="s">
        <v>918</v>
      </c>
      <c r="C384" s="23" t="e">
        <f ca="1">[1]!BexGetData("DP_1","003N8EMH8GTFRCSWKMPXRR8GU","GSON1112030910")</f>
        <v>#NAME?</v>
      </c>
      <c r="D384" s="28" t="e">
        <f ca="1">[1]!BexGetData("DP_1","003N8EMH8GTFRCSWKMPXRRESE","GSON1112030910")</f>
        <v>#NAME?</v>
      </c>
      <c r="E384" s="23" t="e">
        <f ca="1">[1]!BexGetData("DP_1","003N8EMH8GTFRCSWKMPXRRL3Y","GSON1112030910")</f>
        <v>#NAME?</v>
      </c>
      <c r="F384" s="23" t="e">
        <f ca="1">[1]!BexGetData("DP_1","003N8EMH8GTFRCSWKMPXRRRFI","GSON1112030910")</f>
        <v>#NAME?</v>
      </c>
      <c r="G384" s="23" t="e">
        <f ca="1">[1]!BexGetData("DP_1","003N8EMH8GTFRCSWKMPXRRXR2","GSON1112030910")</f>
        <v>#NAME?</v>
      </c>
      <c r="H384" s="23" t="e">
        <f ca="1">[1]!BexGetData("DP_1","003N8EMH8GTFRCSWKMPXRS42M","GSON1112030910")</f>
        <v>#NAME?</v>
      </c>
      <c r="I384" s="23" t="e">
        <f ca="1">[1]!BexGetData("DP_1","003N8EMH8GTFRCSWKMPXRSAE6","GSON1112030910")</f>
        <v>#NAME?</v>
      </c>
      <c r="J384" s="23" t="e">
        <f ca="1">[1]!BexGetData("DP_1","003N8EMH8GTFRCSWKMPXRSGPQ","GSON1112030910")</f>
        <v>#NAME?</v>
      </c>
      <c r="K384" s="23" t="e">
        <f ca="1">[1]!BexGetData("DP_1","003N8EMH8GTFRIVNUPY288VJH","GSON1112030910")</f>
        <v>#NAME?</v>
      </c>
      <c r="L384" s="23" t="e">
        <f ca="1">[1]!BexGetData("DP_1","003N8EMH8GTFRIVNUPY2891V1","GSON1112030910")</f>
        <v>#NAME?</v>
      </c>
      <c r="M384" s="28" t="e">
        <f ca="1">[1]!BexGetData("DP_1","003N8EMH8GTFRIVOG7KG9IQXA","GSON1112030910")</f>
        <v>#NAME?</v>
      </c>
      <c r="N384" s="23" t="e">
        <f ca="1">[1]!BexGetData("DP_1","003N8EMH8GTFRIVOG7KG9IX8U","GSON1112030910")</f>
        <v>#NAME?</v>
      </c>
      <c r="O384" s="28" t="e">
        <f ca="1">[1]!BexGetData("DP_1","003N8EMH8GTFRIVOG7KG9J3KE","GSON1112030910")</f>
        <v>#NAME?</v>
      </c>
      <c r="P384" s="23" t="e">
        <f ca="1">[1]!BexGetData("DP_1","003N8EMH8GTFRIVOG7KG9J9VY","GSON1112030910")</f>
        <v>#NAME?</v>
      </c>
      <c r="Q384" s="23" t="e">
        <f ca="1">[1]!BexGetData("DP_1","00O2TNJGODT0G5Z4TTKYMM5MT","GSON1112030910")</f>
        <v>#NAME?</v>
      </c>
      <c r="R384" s="23" t="e">
        <f ca="1">[1]!BexGetData("DP_1","00O2TNJGODT0G5Z4TTKYMMBYD","GSON1112030910")</f>
        <v>#NAME?</v>
      </c>
      <c r="S384" s="23" t="e">
        <f ca="1">[1]!BexGetData("DP_1","00O2TNJGODT0G5Z4TTKYMMI9X","GSON1112030910")</f>
        <v>#NAME?</v>
      </c>
      <c r="T384" s="23" t="e">
        <f ca="1">[1]!BexGetData("DP_1","00O2TNJGODT0G5Z4TTKYMMOLH","GSON1112030910")</f>
        <v>#NAME?</v>
      </c>
      <c r="U384" s="28" t="e">
        <f ca="1">[1]!BexGetData("DP_1","00O2TNJGODT0G5Z4TTKYMMUX1","GSON1112030910")</f>
        <v>#NAME?</v>
      </c>
      <c r="V384" s="23" t="e">
        <f ca="1">[1]!BexGetData("DP_1","00O2TNJGODT0G5Z4TTKYMN18L","GSON1112030910")</f>
        <v>#NAME?</v>
      </c>
      <c r="W384" s="28" t="e">
        <f ca="1">[1]!BexGetData("DP_1","00O2TNJGODT0G5Z4TTKYMN7K5","GSON1112030910")</f>
        <v>#NAME?</v>
      </c>
    </row>
    <row r="385" spans="1:23" x14ac:dyDescent="0.2">
      <c r="A385" s="36" t="s">
        <v>2234</v>
      </c>
      <c r="B385" s="27" t="s">
        <v>919</v>
      </c>
      <c r="C385" s="23" t="e">
        <f ca="1">[1]!BexGetData("DP_1","003N8EMH8GTFRCSWKMPXRR8GU","GSON1112030911")</f>
        <v>#NAME?</v>
      </c>
      <c r="D385" s="23" t="e">
        <f ca="1">[1]!BexGetData("DP_1","003N8EMH8GTFRCSWKMPXRRESE","GSON1112030911")</f>
        <v>#NAME?</v>
      </c>
      <c r="E385" s="28" t="e">
        <f ca="1">[1]!BexGetData("DP_1","003N8EMH8GTFRCSWKMPXRRL3Y","GSON1112030911")</f>
        <v>#NAME?</v>
      </c>
      <c r="F385" s="28" t="e">
        <f ca="1">[1]!BexGetData("DP_1","003N8EMH8GTFRCSWKMPXRRRFI","GSON1112030911")</f>
        <v>#NAME?</v>
      </c>
      <c r="G385" s="23" t="e">
        <f ca="1">[1]!BexGetData("DP_1","003N8EMH8GTFRCSWKMPXRRXR2","GSON1112030911")</f>
        <v>#NAME?</v>
      </c>
      <c r="H385" s="23" t="e">
        <f ca="1">[1]!BexGetData("DP_1","003N8EMH8GTFRCSWKMPXRS42M","GSON1112030911")</f>
        <v>#NAME?</v>
      </c>
      <c r="I385" s="28" t="e">
        <f ca="1">[1]!BexGetData("DP_1","003N8EMH8GTFRCSWKMPXRSAE6","GSON1112030911")</f>
        <v>#NAME?</v>
      </c>
      <c r="J385" s="24" t="e">
        <f ca="1">[1]!BexGetData("DP_1","003N8EMH8GTFRCSWKMPXRSGPQ","GSON1112030911")</f>
        <v>#NAME?</v>
      </c>
      <c r="K385" s="28" t="e">
        <f ca="1">[1]!BexGetData("DP_1","003N8EMH8GTFRIVNUPY288VJH","GSON1112030911")</f>
        <v>#NAME?</v>
      </c>
      <c r="L385" s="28" t="e">
        <f ca="1">[1]!BexGetData("DP_1","003N8EMH8GTFRIVNUPY2891V1","GSON1112030911")</f>
        <v>#NAME?</v>
      </c>
      <c r="M385" s="28" t="e">
        <f ca="1">[1]!BexGetData("DP_1","003N8EMH8GTFRIVOG7KG9IQXA","GSON1112030911")</f>
        <v>#NAME?</v>
      </c>
      <c r="N385" s="28" t="e">
        <f ca="1">[1]!BexGetData("DP_1","003N8EMH8GTFRIVOG7KG9IX8U","GSON1112030911")</f>
        <v>#NAME?</v>
      </c>
      <c r="O385" s="28" t="e">
        <f ca="1">[1]!BexGetData("DP_1","003N8EMH8GTFRIVOG7KG9J3KE","GSON1112030911")</f>
        <v>#NAME?</v>
      </c>
      <c r="P385" s="28" t="e">
        <f ca="1">[1]!BexGetData("DP_1","003N8EMH8GTFRIVOG7KG9J9VY","GSON1112030911")</f>
        <v>#NAME?</v>
      </c>
      <c r="Q385" s="24" t="e">
        <f ca="1">[1]!BexGetData("DP_1","00O2TNJGODT0G5Z4TTKYMM5MT","GSON1112030911")</f>
        <v>#NAME?</v>
      </c>
      <c r="R385" s="28" t="e">
        <f ca="1">[1]!BexGetData("DP_1","00O2TNJGODT0G5Z4TTKYMMBYD","GSON1112030911")</f>
        <v>#NAME?</v>
      </c>
      <c r="S385" s="28" t="e">
        <f ca="1">[1]!BexGetData("DP_1","00O2TNJGODT0G5Z4TTKYMMI9X","GSON1112030911")</f>
        <v>#NAME?</v>
      </c>
      <c r="T385" s="28" t="e">
        <f ca="1">[1]!BexGetData("DP_1","00O2TNJGODT0G5Z4TTKYMMOLH","GSON1112030911")</f>
        <v>#NAME?</v>
      </c>
      <c r="U385" s="28" t="e">
        <f ca="1">[1]!BexGetData("DP_1","00O2TNJGODT0G5Z4TTKYMMUX1","GSON1112030911")</f>
        <v>#NAME?</v>
      </c>
      <c r="V385" s="28" t="e">
        <f ca="1">[1]!BexGetData("DP_1","00O2TNJGODT0G5Z4TTKYMN18L","GSON1112030911")</f>
        <v>#NAME?</v>
      </c>
      <c r="W385" s="28" t="e">
        <f ca="1">[1]!BexGetData("DP_1","00O2TNJGODT0G5Z4TTKYMN7K5","GSON1112030911")</f>
        <v>#NAME?</v>
      </c>
    </row>
    <row r="386" spans="1:23" x14ac:dyDescent="0.2">
      <c r="A386" s="36" t="s">
        <v>2235</v>
      </c>
      <c r="B386" s="27" t="s">
        <v>1656</v>
      </c>
      <c r="C386" s="28" t="e">
        <f ca="1">[1]!BexGetData("DP_1","003N8EMH8GTFRCSWKMPXRR8GU","GSON1112030912")</f>
        <v>#NAME?</v>
      </c>
      <c r="D386" s="28" t="e">
        <f ca="1">[1]!BexGetData("DP_1","003N8EMH8GTFRCSWKMPXRRESE","GSON1112030912")</f>
        <v>#NAME?</v>
      </c>
      <c r="E386" s="28" t="e">
        <f ca="1">[1]!BexGetData("DP_1","003N8EMH8GTFRCSWKMPXRRL3Y","GSON1112030912")</f>
        <v>#NAME?</v>
      </c>
      <c r="F386" s="28" t="e">
        <f ca="1">[1]!BexGetData("DP_1","003N8EMH8GTFRCSWKMPXRRRFI","GSON1112030912")</f>
        <v>#NAME?</v>
      </c>
      <c r="G386" s="23" t="e">
        <f ca="1">[1]!BexGetData("DP_1","003N8EMH8GTFRCSWKMPXRRXR2","GSON1112030912")</f>
        <v>#NAME?</v>
      </c>
      <c r="H386" s="23" t="e">
        <f ca="1">[1]!BexGetData("DP_1","003N8EMH8GTFRCSWKMPXRS42M","GSON1112030912")</f>
        <v>#NAME?</v>
      </c>
      <c r="I386" s="28" t="e">
        <f ca="1">[1]!BexGetData("DP_1","003N8EMH8GTFRCSWKMPXRSAE6","GSON1112030912")</f>
        <v>#NAME?</v>
      </c>
      <c r="J386" s="23" t="e">
        <f ca="1">[1]!BexGetData("DP_1","003N8EMH8GTFRCSWKMPXRSGPQ","GSON1112030912")</f>
        <v>#NAME?</v>
      </c>
      <c r="K386" s="28" t="e">
        <f ca="1">[1]!BexGetData("DP_1","003N8EMH8GTFRIVNUPY288VJH","GSON1112030912")</f>
        <v>#NAME?</v>
      </c>
      <c r="L386" s="28" t="e">
        <f ca="1">[1]!BexGetData("DP_1","003N8EMH8GTFRIVNUPY2891V1","GSON1112030912")</f>
        <v>#NAME?</v>
      </c>
      <c r="M386" s="28" t="e">
        <f ca="1">[1]!BexGetData("DP_1","003N8EMH8GTFRIVOG7KG9IQXA","GSON1112030912")</f>
        <v>#NAME?</v>
      </c>
      <c r="N386" s="28" t="e">
        <f ca="1">[1]!BexGetData("DP_1","003N8EMH8GTFRIVOG7KG9IX8U","GSON1112030912")</f>
        <v>#NAME?</v>
      </c>
      <c r="O386" s="28" t="e">
        <f ca="1">[1]!BexGetData("DP_1","003N8EMH8GTFRIVOG7KG9J3KE","GSON1112030912")</f>
        <v>#NAME?</v>
      </c>
      <c r="P386" s="28" t="e">
        <f ca="1">[1]!BexGetData("DP_1","003N8EMH8GTFRIVOG7KG9J9VY","GSON1112030912")</f>
        <v>#NAME?</v>
      </c>
      <c r="Q386" s="23" t="e">
        <f ca="1">[1]!BexGetData("DP_1","00O2TNJGODT0G5Z4TTKYMM5MT","GSON1112030912")</f>
        <v>#NAME?</v>
      </c>
      <c r="R386" s="23" t="e">
        <f ca="1">[1]!BexGetData("DP_1","00O2TNJGODT0G5Z4TTKYMMBYD","GSON1112030912")</f>
        <v>#NAME?</v>
      </c>
      <c r="S386" s="23" t="e">
        <f ca="1">[1]!BexGetData("DP_1","00O2TNJGODT0G5Z4TTKYMMI9X","GSON1112030912")</f>
        <v>#NAME?</v>
      </c>
      <c r="T386" s="28" t="e">
        <f ca="1">[1]!BexGetData("DP_1","00O2TNJGODT0G5Z4TTKYMMOLH","GSON1112030912")</f>
        <v>#NAME?</v>
      </c>
      <c r="U386" s="23" t="e">
        <f ca="1">[1]!BexGetData("DP_1","00O2TNJGODT0G5Z4TTKYMMUX1","GSON1112030912")</f>
        <v>#NAME?</v>
      </c>
      <c r="V386" s="28" t="e">
        <f ca="1">[1]!BexGetData("DP_1","00O2TNJGODT0G5Z4TTKYMN18L","GSON1112030912")</f>
        <v>#NAME?</v>
      </c>
      <c r="W386" s="23" t="e">
        <f ca="1">[1]!BexGetData("DP_1","00O2TNJGODT0G5Z4TTKYMN7K5","GSON1112030912")</f>
        <v>#NAME?</v>
      </c>
    </row>
    <row r="387" spans="1:23" x14ac:dyDescent="0.2">
      <c r="A387" s="36" t="s">
        <v>2236</v>
      </c>
      <c r="B387" s="27" t="s">
        <v>2237</v>
      </c>
      <c r="C387" s="23" t="e">
        <f ca="1">[1]!BexGetData("DP_1","003N8EMH8GTFRCSWKMPXRR8GU","GSON1112030913")</f>
        <v>#NAME?</v>
      </c>
      <c r="D387" s="23" t="e">
        <f ca="1">[1]!BexGetData("DP_1","003N8EMH8GTFRCSWKMPXRRESE","GSON1112030913")</f>
        <v>#NAME?</v>
      </c>
      <c r="E387" s="28" t="e">
        <f ca="1">[1]!BexGetData("DP_1","003N8EMH8GTFRCSWKMPXRRL3Y","GSON1112030913")</f>
        <v>#NAME?</v>
      </c>
      <c r="F387" s="28" t="e">
        <f ca="1">[1]!BexGetData("DP_1","003N8EMH8GTFRCSWKMPXRRRFI","GSON1112030913")</f>
        <v>#NAME?</v>
      </c>
      <c r="G387" s="23" t="e">
        <f ca="1">[1]!BexGetData("DP_1","003N8EMH8GTFRCSWKMPXRRXR2","GSON1112030913")</f>
        <v>#NAME?</v>
      </c>
      <c r="H387" s="23" t="e">
        <f ca="1">[1]!BexGetData("DP_1","003N8EMH8GTFRCSWKMPXRS42M","GSON1112030913")</f>
        <v>#NAME?</v>
      </c>
      <c r="I387" s="28" t="e">
        <f ca="1">[1]!BexGetData("DP_1","003N8EMH8GTFRCSWKMPXRSAE6","GSON1112030913")</f>
        <v>#NAME?</v>
      </c>
      <c r="J387" s="24" t="e">
        <f ca="1">[1]!BexGetData("DP_1","003N8EMH8GTFRCSWKMPXRSGPQ","GSON1112030913")</f>
        <v>#NAME?</v>
      </c>
      <c r="K387" s="28" t="e">
        <f ca="1">[1]!BexGetData("DP_1","003N8EMH8GTFRIVNUPY288VJH","GSON1112030913")</f>
        <v>#NAME?</v>
      </c>
      <c r="L387" s="28" t="e">
        <f ca="1">[1]!BexGetData("DP_1","003N8EMH8GTFRIVNUPY2891V1","GSON1112030913")</f>
        <v>#NAME?</v>
      </c>
      <c r="M387" s="28" t="e">
        <f ca="1">[1]!BexGetData("DP_1","003N8EMH8GTFRIVOG7KG9IQXA","GSON1112030913")</f>
        <v>#NAME?</v>
      </c>
      <c r="N387" s="28" t="e">
        <f ca="1">[1]!BexGetData("DP_1","003N8EMH8GTFRIVOG7KG9IX8U","GSON1112030913")</f>
        <v>#NAME?</v>
      </c>
      <c r="O387" s="28" t="e">
        <f ca="1">[1]!BexGetData("DP_1","003N8EMH8GTFRIVOG7KG9J3KE","GSON1112030913")</f>
        <v>#NAME?</v>
      </c>
      <c r="P387" s="28" t="e">
        <f ca="1">[1]!BexGetData("DP_1","003N8EMH8GTFRIVOG7KG9J9VY","GSON1112030913")</f>
        <v>#NAME?</v>
      </c>
      <c r="Q387" s="24" t="e">
        <f ca="1">[1]!BexGetData("DP_1","00O2TNJGODT0G5Z4TTKYMM5MT","GSON1112030913")</f>
        <v>#NAME?</v>
      </c>
      <c r="R387" s="28" t="e">
        <f ca="1">[1]!BexGetData("DP_1","00O2TNJGODT0G5Z4TTKYMMBYD","GSON1112030913")</f>
        <v>#NAME?</v>
      </c>
      <c r="S387" s="28" t="e">
        <f ca="1">[1]!BexGetData("DP_1","00O2TNJGODT0G5Z4TTKYMMI9X","GSON1112030913")</f>
        <v>#NAME?</v>
      </c>
      <c r="T387" s="28" t="e">
        <f ca="1">[1]!BexGetData("DP_1","00O2TNJGODT0G5Z4TTKYMMOLH","GSON1112030913")</f>
        <v>#NAME?</v>
      </c>
      <c r="U387" s="28" t="e">
        <f ca="1">[1]!BexGetData("DP_1","00O2TNJGODT0G5Z4TTKYMMUX1","GSON1112030913")</f>
        <v>#NAME?</v>
      </c>
      <c r="V387" s="28" t="e">
        <f ca="1">[1]!BexGetData("DP_1","00O2TNJGODT0G5Z4TTKYMN18L","GSON1112030913")</f>
        <v>#NAME?</v>
      </c>
      <c r="W387" s="28" t="e">
        <f ca="1">[1]!BexGetData("DP_1","00O2TNJGODT0G5Z4TTKYMN7K5","GSON1112030913")</f>
        <v>#NAME?</v>
      </c>
    </row>
    <row r="388" spans="1:23" x14ac:dyDescent="0.2">
      <c r="A388" s="36" t="s">
        <v>2238</v>
      </c>
      <c r="B388" s="27" t="s">
        <v>2239</v>
      </c>
      <c r="C388" s="24" t="e">
        <f ca="1">[1]!BexGetData("DP_1","003N8EMH8GTFRCSWKMPXRR8GU","GSON1112030914")</f>
        <v>#NAME?</v>
      </c>
      <c r="D388" s="24" t="e">
        <f ca="1">[1]!BexGetData("DP_1","003N8EMH8GTFRCSWKMPXRRESE","GSON1112030914")</f>
        <v>#NAME?</v>
      </c>
      <c r="E388" s="24" t="e">
        <f ca="1">[1]!BexGetData("DP_1","003N8EMH8GTFRCSWKMPXRRL3Y","GSON1112030914")</f>
        <v>#NAME?</v>
      </c>
      <c r="F388" s="28" t="e">
        <f ca="1">[1]!BexGetData("DP_1","003N8EMH8GTFRCSWKMPXRRRFI","GSON1112030914")</f>
        <v>#NAME?</v>
      </c>
      <c r="G388" s="23" t="e">
        <f ca="1">[1]!BexGetData("DP_1","003N8EMH8GTFRCSWKMPXRRXR2","GSON1112030914")</f>
        <v>#NAME?</v>
      </c>
      <c r="H388" s="23" t="e">
        <f ca="1">[1]!BexGetData("DP_1","003N8EMH8GTFRCSWKMPXRS42M","GSON1112030914")</f>
        <v>#NAME?</v>
      </c>
      <c r="I388" s="28" t="e">
        <f ca="1">[1]!BexGetData("DP_1","003N8EMH8GTFRCSWKMPXRSAE6","GSON1112030914")</f>
        <v>#NAME?</v>
      </c>
      <c r="J388" s="24" t="e">
        <f ca="1">[1]!BexGetData("DP_1","003N8EMH8GTFRCSWKMPXRSGPQ","GSON1112030914")</f>
        <v>#NAME?</v>
      </c>
      <c r="K388" s="28" t="e">
        <f ca="1">[1]!BexGetData("DP_1","003N8EMH8GTFRIVNUPY288VJH","GSON1112030914")</f>
        <v>#NAME?</v>
      </c>
      <c r="L388" s="28" t="e">
        <f ca="1">[1]!BexGetData("DP_1","003N8EMH8GTFRIVNUPY2891V1","GSON1112030914")</f>
        <v>#NAME?</v>
      </c>
      <c r="M388" s="28" t="e">
        <f ca="1">[1]!BexGetData("DP_1","003N8EMH8GTFRIVOG7KG9IQXA","GSON1112030914")</f>
        <v>#NAME?</v>
      </c>
      <c r="N388" s="28" t="e">
        <f ca="1">[1]!BexGetData("DP_1","003N8EMH8GTFRIVOG7KG9IX8U","GSON1112030914")</f>
        <v>#NAME?</v>
      </c>
      <c r="O388" s="28" t="e">
        <f ca="1">[1]!BexGetData("DP_1","003N8EMH8GTFRIVOG7KG9J3KE","GSON1112030914")</f>
        <v>#NAME?</v>
      </c>
      <c r="P388" s="28" t="e">
        <f ca="1">[1]!BexGetData("DP_1","003N8EMH8GTFRIVOG7KG9J9VY","GSON1112030914")</f>
        <v>#NAME?</v>
      </c>
      <c r="Q388" s="24" t="e">
        <f ca="1">[1]!BexGetData("DP_1","00O2TNJGODT0G5Z4TTKYMM5MT","GSON1112030914")</f>
        <v>#NAME?</v>
      </c>
      <c r="R388" s="28" t="e">
        <f ca="1">[1]!BexGetData("DP_1","00O2TNJGODT0G5Z4TTKYMMBYD","GSON1112030914")</f>
        <v>#NAME?</v>
      </c>
      <c r="S388" s="28" t="e">
        <f ca="1">[1]!BexGetData("DP_1","00O2TNJGODT0G5Z4TTKYMMI9X","GSON1112030914")</f>
        <v>#NAME?</v>
      </c>
      <c r="T388" s="28" t="e">
        <f ca="1">[1]!BexGetData("DP_1","00O2TNJGODT0G5Z4TTKYMMOLH","GSON1112030914")</f>
        <v>#NAME?</v>
      </c>
      <c r="U388" s="28" t="e">
        <f ca="1">[1]!BexGetData("DP_1","00O2TNJGODT0G5Z4TTKYMMUX1","GSON1112030914")</f>
        <v>#NAME?</v>
      </c>
      <c r="V388" s="28" t="e">
        <f ca="1">[1]!BexGetData("DP_1","00O2TNJGODT0G5Z4TTKYMN18L","GSON1112030914")</f>
        <v>#NAME?</v>
      </c>
      <c r="W388" s="28" t="e">
        <f ca="1">[1]!BexGetData("DP_1","00O2TNJGODT0G5Z4TTKYMN7K5","GSON1112030914")</f>
        <v>#NAME?</v>
      </c>
    </row>
    <row r="389" spans="1:23" x14ac:dyDescent="0.2">
      <c r="A389" s="36" t="s">
        <v>2240</v>
      </c>
      <c r="B389" s="27" t="s">
        <v>2241</v>
      </c>
      <c r="C389" s="23" t="e">
        <f ca="1">[1]!BexGetData("DP_1","003N8EMH8GTFRCSWKMPXRR8GU","GSON1112030915")</f>
        <v>#NAME?</v>
      </c>
      <c r="D389" s="23" t="e">
        <f ca="1">[1]!BexGetData("DP_1","003N8EMH8GTFRCSWKMPXRRESE","GSON1112030915")</f>
        <v>#NAME?</v>
      </c>
      <c r="E389" s="28" t="e">
        <f ca="1">[1]!BexGetData("DP_1","003N8EMH8GTFRCSWKMPXRRL3Y","GSON1112030915")</f>
        <v>#NAME?</v>
      </c>
      <c r="F389" s="28" t="e">
        <f ca="1">[1]!BexGetData("DP_1","003N8EMH8GTFRCSWKMPXRRRFI","GSON1112030915")</f>
        <v>#NAME?</v>
      </c>
      <c r="G389" s="23" t="e">
        <f ca="1">[1]!BexGetData("DP_1","003N8EMH8GTFRCSWKMPXRRXR2","GSON1112030915")</f>
        <v>#NAME?</v>
      </c>
      <c r="H389" s="23" t="e">
        <f ca="1">[1]!BexGetData("DP_1","003N8EMH8GTFRCSWKMPXRS42M","GSON1112030915")</f>
        <v>#NAME?</v>
      </c>
      <c r="I389" s="28" t="e">
        <f ca="1">[1]!BexGetData("DP_1","003N8EMH8GTFRCSWKMPXRSAE6","GSON1112030915")</f>
        <v>#NAME?</v>
      </c>
      <c r="J389" s="24" t="e">
        <f ca="1">[1]!BexGetData("DP_1","003N8EMH8GTFRCSWKMPXRSGPQ","GSON1112030915")</f>
        <v>#NAME?</v>
      </c>
      <c r="K389" s="28" t="e">
        <f ca="1">[1]!BexGetData("DP_1","003N8EMH8GTFRIVNUPY288VJH","GSON1112030915")</f>
        <v>#NAME?</v>
      </c>
      <c r="L389" s="28" t="e">
        <f ca="1">[1]!BexGetData("DP_1","003N8EMH8GTFRIVNUPY2891V1","GSON1112030915")</f>
        <v>#NAME?</v>
      </c>
      <c r="M389" s="28" t="e">
        <f ca="1">[1]!BexGetData("DP_1","003N8EMH8GTFRIVOG7KG9IQXA","GSON1112030915")</f>
        <v>#NAME?</v>
      </c>
      <c r="N389" s="28" t="e">
        <f ca="1">[1]!BexGetData("DP_1","003N8EMH8GTFRIVOG7KG9IX8U","GSON1112030915")</f>
        <v>#NAME?</v>
      </c>
      <c r="O389" s="28" t="e">
        <f ca="1">[1]!BexGetData("DP_1","003N8EMH8GTFRIVOG7KG9J3KE","GSON1112030915")</f>
        <v>#NAME?</v>
      </c>
      <c r="P389" s="28" t="e">
        <f ca="1">[1]!BexGetData("DP_1","003N8EMH8GTFRIVOG7KG9J9VY","GSON1112030915")</f>
        <v>#NAME?</v>
      </c>
      <c r="Q389" s="24" t="e">
        <f ca="1">[1]!BexGetData("DP_1","00O2TNJGODT0G5Z4TTKYMM5MT","GSON1112030915")</f>
        <v>#NAME?</v>
      </c>
      <c r="R389" s="28" t="e">
        <f ca="1">[1]!BexGetData("DP_1","00O2TNJGODT0G5Z4TTKYMMBYD","GSON1112030915")</f>
        <v>#NAME?</v>
      </c>
      <c r="S389" s="28" t="e">
        <f ca="1">[1]!BexGetData("DP_1","00O2TNJGODT0G5Z4TTKYMMI9X","GSON1112030915")</f>
        <v>#NAME?</v>
      </c>
      <c r="T389" s="28" t="e">
        <f ca="1">[1]!BexGetData("DP_1","00O2TNJGODT0G5Z4TTKYMMOLH","GSON1112030915")</f>
        <v>#NAME?</v>
      </c>
      <c r="U389" s="28" t="e">
        <f ca="1">[1]!BexGetData("DP_1","00O2TNJGODT0G5Z4TTKYMMUX1","GSON1112030915")</f>
        <v>#NAME?</v>
      </c>
      <c r="V389" s="28" t="e">
        <f ca="1">[1]!BexGetData("DP_1","00O2TNJGODT0G5Z4TTKYMN18L","GSON1112030915")</f>
        <v>#NAME?</v>
      </c>
      <c r="W389" s="28" t="e">
        <f ca="1">[1]!BexGetData("DP_1","00O2TNJGODT0G5Z4TTKYMN7K5","GSON1112030915")</f>
        <v>#NAME?</v>
      </c>
    </row>
    <row r="390" spans="1:23" x14ac:dyDescent="0.2">
      <c r="A390" s="36" t="s">
        <v>2242</v>
      </c>
      <c r="B390" s="27" t="s">
        <v>2243</v>
      </c>
      <c r="C390" s="28" t="e">
        <f ca="1">[1]!BexGetData("DP_1","003N8EMH8GTFRCSWKMPXRR8GU","GSON1112030920")</f>
        <v>#NAME?</v>
      </c>
      <c r="D390" s="28" t="e">
        <f ca="1">[1]!BexGetData("DP_1","003N8EMH8GTFRCSWKMPXRRESE","GSON1112030920")</f>
        <v>#NAME?</v>
      </c>
      <c r="E390" s="23" t="e">
        <f ca="1">[1]!BexGetData("DP_1","003N8EMH8GTFRCSWKMPXRRL3Y","GSON1112030920")</f>
        <v>#NAME?</v>
      </c>
      <c r="F390" s="23" t="e">
        <f ca="1">[1]!BexGetData("DP_1","003N8EMH8GTFRCSWKMPXRRRFI","GSON1112030920")</f>
        <v>#NAME?</v>
      </c>
      <c r="G390" s="23" t="e">
        <f ca="1">[1]!BexGetData("DP_1","003N8EMH8GTFRCSWKMPXRRXR2","GSON1112030920")</f>
        <v>#NAME?</v>
      </c>
      <c r="H390" s="23" t="e">
        <f ca="1">[1]!BexGetData("DP_1","003N8EMH8GTFRCSWKMPXRS42M","GSON1112030920")</f>
        <v>#NAME?</v>
      </c>
      <c r="I390" s="23" t="e">
        <f ca="1">[1]!BexGetData("DP_1","003N8EMH8GTFRCSWKMPXRSAE6","GSON1112030920")</f>
        <v>#NAME?</v>
      </c>
      <c r="J390" s="23" t="e">
        <f ca="1">[1]!BexGetData("DP_1","003N8EMH8GTFRCSWKMPXRSGPQ","GSON1112030920")</f>
        <v>#NAME?</v>
      </c>
      <c r="K390" s="28" t="e">
        <f ca="1">[1]!BexGetData("DP_1","003N8EMH8GTFRIVNUPY288VJH","GSON1112030920")</f>
        <v>#NAME?</v>
      </c>
      <c r="L390" s="28" t="e">
        <f ca="1">[1]!BexGetData("DP_1","003N8EMH8GTFRIVNUPY2891V1","GSON1112030920")</f>
        <v>#NAME?</v>
      </c>
      <c r="M390" s="28" t="e">
        <f ca="1">[1]!BexGetData("DP_1","003N8EMH8GTFRIVOG7KG9IQXA","GSON1112030920")</f>
        <v>#NAME?</v>
      </c>
      <c r="N390" s="28" t="e">
        <f ca="1">[1]!BexGetData("DP_1","003N8EMH8GTFRIVOG7KG9IX8U","GSON1112030920")</f>
        <v>#NAME?</v>
      </c>
      <c r="O390" s="28" t="e">
        <f ca="1">[1]!BexGetData("DP_1","003N8EMH8GTFRIVOG7KG9J3KE","GSON1112030920")</f>
        <v>#NAME?</v>
      </c>
      <c r="P390" s="28" t="e">
        <f ca="1">[1]!BexGetData("DP_1","003N8EMH8GTFRIVOG7KG9J9VY","GSON1112030920")</f>
        <v>#NAME?</v>
      </c>
      <c r="Q390" s="23" t="e">
        <f ca="1">[1]!BexGetData("DP_1","00O2TNJGODT0G5Z4TTKYMM5MT","GSON1112030920")</f>
        <v>#NAME?</v>
      </c>
      <c r="R390" s="23" t="e">
        <f ca="1">[1]!BexGetData("DP_1","00O2TNJGODT0G5Z4TTKYMMBYD","GSON1112030920")</f>
        <v>#NAME?</v>
      </c>
      <c r="S390" s="23" t="e">
        <f ca="1">[1]!BexGetData("DP_1","00O2TNJGODT0G5Z4TTKYMMI9X","GSON1112030920")</f>
        <v>#NAME?</v>
      </c>
      <c r="T390" s="28" t="e">
        <f ca="1">[1]!BexGetData("DP_1","00O2TNJGODT0G5Z4TTKYMMOLH","GSON1112030920")</f>
        <v>#NAME?</v>
      </c>
      <c r="U390" s="23" t="e">
        <f ca="1">[1]!BexGetData("DP_1","00O2TNJGODT0G5Z4TTKYMMUX1","GSON1112030920")</f>
        <v>#NAME?</v>
      </c>
      <c r="V390" s="28" t="e">
        <f ca="1">[1]!BexGetData("DP_1","00O2TNJGODT0G5Z4TTKYMN18L","GSON1112030920")</f>
        <v>#NAME?</v>
      </c>
      <c r="W390" s="23" t="e">
        <f ca="1">[1]!BexGetData("DP_1","00O2TNJGODT0G5Z4TTKYMN7K5","GSON1112030920")</f>
        <v>#NAME?</v>
      </c>
    </row>
    <row r="391" spans="1:23" x14ac:dyDescent="0.2">
      <c r="A391" s="36" t="s">
        <v>2244</v>
      </c>
      <c r="B391" s="27" t="s">
        <v>2245</v>
      </c>
      <c r="C391" s="28" t="e">
        <f ca="1">[1]!BexGetData("DP_1","003N8EMH8GTFRCSWKMPXRR8GU","GSON1112030921")</f>
        <v>#NAME?</v>
      </c>
      <c r="D391" s="28" t="e">
        <f ca="1">[1]!BexGetData("DP_1","003N8EMH8GTFRCSWKMPXRRESE","GSON1112030921")</f>
        <v>#NAME?</v>
      </c>
      <c r="E391" s="28" t="e">
        <f ca="1">[1]!BexGetData("DP_1","003N8EMH8GTFRCSWKMPXRRL3Y","GSON1112030921")</f>
        <v>#NAME?</v>
      </c>
      <c r="F391" s="28" t="e">
        <f ca="1">[1]!BexGetData("DP_1","003N8EMH8GTFRCSWKMPXRRRFI","GSON1112030921")</f>
        <v>#NAME?</v>
      </c>
      <c r="G391" s="23" t="e">
        <f ca="1">[1]!BexGetData("DP_1","003N8EMH8GTFRCSWKMPXRRXR2","GSON1112030921")</f>
        <v>#NAME?</v>
      </c>
      <c r="H391" s="23" t="e">
        <f ca="1">[1]!BexGetData("DP_1","003N8EMH8GTFRCSWKMPXRS42M","GSON1112030921")</f>
        <v>#NAME?</v>
      </c>
      <c r="I391" s="28" t="e">
        <f ca="1">[1]!BexGetData("DP_1","003N8EMH8GTFRCSWKMPXRSAE6","GSON1112030921")</f>
        <v>#NAME?</v>
      </c>
      <c r="J391" s="24" t="e">
        <f ca="1">[1]!BexGetData("DP_1","003N8EMH8GTFRCSWKMPXRSGPQ","GSON1112030921")</f>
        <v>#NAME?</v>
      </c>
      <c r="K391" s="28" t="e">
        <f ca="1">[1]!BexGetData("DP_1","003N8EMH8GTFRIVNUPY288VJH","GSON1112030921")</f>
        <v>#NAME?</v>
      </c>
      <c r="L391" s="28" t="e">
        <f ca="1">[1]!BexGetData("DP_1","003N8EMH8GTFRIVNUPY2891V1","GSON1112030921")</f>
        <v>#NAME?</v>
      </c>
      <c r="M391" s="28" t="e">
        <f ca="1">[1]!BexGetData("DP_1","003N8EMH8GTFRIVOG7KG9IQXA","GSON1112030921")</f>
        <v>#NAME?</v>
      </c>
      <c r="N391" s="28" t="e">
        <f ca="1">[1]!BexGetData("DP_1","003N8EMH8GTFRIVOG7KG9IX8U","GSON1112030921")</f>
        <v>#NAME?</v>
      </c>
      <c r="O391" s="28" t="e">
        <f ca="1">[1]!BexGetData("DP_1","003N8EMH8GTFRIVOG7KG9J3KE","GSON1112030921")</f>
        <v>#NAME?</v>
      </c>
      <c r="P391" s="28" t="e">
        <f ca="1">[1]!BexGetData("DP_1","003N8EMH8GTFRIVOG7KG9J9VY","GSON1112030921")</f>
        <v>#NAME?</v>
      </c>
      <c r="Q391" s="24" t="e">
        <f ca="1">[1]!BexGetData("DP_1","00O2TNJGODT0G5Z4TTKYMM5MT","GSON1112030921")</f>
        <v>#NAME?</v>
      </c>
      <c r="R391" s="28" t="e">
        <f ca="1">[1]!BexGetData("DP_1","00O2TNJGODT0G5Z4TTKYMMBYD","GSON1112030921")</f>
        <v>#NAME?</v>
      </c>
      <c r="S391" s="28" t="e">
        <f ca="1">[1]!BexGetData("DP_1","00O2TNJGODT0G5Z4TTKYMMI9X","GSON1112030921")</f>
        <v>#NAME?</v>
      </c>
      <c r="T391" s="28" t="e">
        <f ca="1">[1]!BexGetData("DP_1","00O2TNJGODT0G5Z4TTKYMMOLH","GSON1112030921")</f>
        <v>#NAME?</v>
      </c>
      <c r="U391" s="28" t="e">
        <f ca="1">[1]!BexGetData("DP_1","00O2TNJGODT0G5Z4TTKYMMUX1","GSON1112030921")</f>
        <v>#NAME?</v>
      </c>
      <c r="V391" s="28" t="e">
        <f ca="1">[1]!BexGetData("DP_1","00O2TNJGODT0G5Z4TTKYMN18L","GSON1112030921")</f>
        <v>#NAME?</v>
      </c>
      <c r="W391" s="28" t="e">
        <f ca="1">[1]!BexGetData("DP_1","00O2TNJGODT0G5Z4TTKYMN7K5","GSON1112030921")</f>
        <v>#NAME?</v>
      </c>
    </row>
    <row r="392" spans="1:23" x14ac:dyDescent="0.2">
      <c r="A392" s="36" t="s">
        <v>2246</v>
      </c>
      <c r="B392" s="27" t="s">
        <v>920</v>
      </c>
      <c r="C392" s="24" t="e">
        <f ca="1">[1]!BexGetData("DP_1","003N8EMH8GTFRCSWKMPXRR8GU","GSON1112030923")</f>
        <v>#NAME?</v>
      </c>
      <c r="D392" s="24" t="e">
        <f ca="1">[1]!BexGetData("DP_1","003N8EMH8GTFRCSWKMPXRRESE","GSON1112030923")</f>
        <v>#NAME?</v>
      </c>
      <c r="E392" s="24" t="e">
        <f ca="1">[1]!BexGetData("DP_1","003N8EMH8GTFRCSWKMPXRRL3Y","GSON1112030923")</f>
        <v>#NAME?</v>
      </c>
      <c r="F392" s="28" t="e">
        <f ca="1">[1]!BexGetData("DP_1","003N8EMH8GTFRCSWKMPXRRRFI","GSON1112030923")</f>
        <v>#NAME?</v>
      </c>
      <c r="G392" s="23" t="e">
        <f ca="1">[1]!BexGetData("DP_1","003N8EMH8GTFRCSWKMPXRRXR2","GSON1112030923")</f>
        <v>#NAME?</v>
      </c>
      <c r="H392" s="23" t="e">
        <f ca="1">[1]!BexGetData("DP_1","003N8EMH8GTFRCSWKMPXRS42M","GSON1112030923")</f>
        <v>#NAME?</v>
      </c>
      <c r="I392" s="28" t="e">
        <f ca="1">[1]!BexGetData("DP_1","003N8EMH8GTFRCSWKMPXRSAE6","GSON1112030923")</f>
        <v>#NAME?</v>
      </c>
      <c r="J392" s="24" t="e">
        <f ca="1">[1]!BexGetData("DP_1","003N8EMH8GTFRCSWKMPXRSGPQ","GSON1112030923")</f>
        <v>#NAME?</v>
      </c>
      <c r="K392" s="28" t="e">
        <f ca="1">[1]!BexGetData("DP_1","003N8EMH8GTFRIVNUPY288VJH","GSON1112030923")</f>
        <v>#NAME?</v>
      </c>
      <c r="L392" s="28" t="e">
        <f ca="1">[1]!BexGetData("DP_1","003N8EMH8GTFRIVNUPY2891V1","GSON1112030923")</f>
        <v>#NAME?</v>
      </c>
      <c r="M392" s="28" t="e">
        <f ca="1">[1]!BexGetData("DP_1","003N8EMH8GTFRIVOG7KG9IQXA","GSON1112030923")</f>
        <v>#NAME?</v>
      </c>
      <c r="N392" s="28" t="e">
        <f ca="1">[1]!BexGetData("DP_1","003N8EMH8GTFRIVOG7KG9IX8U","GSON1112030923")</f>
        <v>#NAME?</v>
      </c>
      <c r="O392" s="28" t="e">
        <f ca="1">[1]!BexGetData("DP_1","003N8EMH8GTFRIVOG7KG9J3KE","GSON1112030923")</f>
        <v>#NAME?</v>
      </c>
      <c r="P392" s="28" t="e">
        <f ca="1">[1]!BexGetData("DP_1","003N8EMH8GTFRIVOG7KG9J9VY","GSON1112030923")</f>
        <v>#NAME?</v>
      </c>
      <c r="Q392" s="24" t="e">
        <f ca="1">[1]!BexGetData("DP_1","00O2TNJGODT0G5Z4TTKYMM5MT","GSON1112030923")</f>
        <v>#NAME?</v>
      </c>
      <c r="R392" s="28" t="e">
        <f ca="1">[1]!BexGetData("DP_1","00O2TNJGODT0G5Z4TTKYMMBYD","GSON1112030923")</f>
        <v>#NAME?</v>
      </c>
      <c r="S392" s="28" t="e">
        <f ca="1">[1]!BexGetData("DP_1","00O2TNJGODT0G5Z4TTKYMMI9X","GSON1112030923")</f>
        <v>#NAME?</v>
      </c>
      <c r="T392" s="28" t="e">
        <f ca="1">[1]!BexGetData("DP_1","00O2TNJGODT0G5Z4TTKYMMOLH","GSON1112030923")</f>
        <v>#NAME?</v>
      </c>
      <c r="U392" s="28" t="e">
        <f ca="1">[1]!BexGetData("DP_1","00O2TNJGODT0G5Z4TTKYMMUX1","GSON1112030923")</f>
        <v>#NAME?</v>
      </c>
      <c r="V392" s="28" t="e">
        <f ca="1">[1]!BexGetData("DP_1","00O2TNJGODT0G5Z4TTKYMN18L","GSON1112030923")</f>
        <v>#NAME?</v>
      </c>
      <c r="W392" s="28" t="e">
        <f ca="1">[1]!BexGetData("DP_1","00O2TNJGODT0G5Z4TTKYMN7K5","GSON1112030923")</f>
        <v>#NAME?</v>
      </c>
    </row>
    <row r="393" spans="1:23" x14ac:dyDescent="0.2">
      <c r="A393" s="36" t="s">
        <v>2247</v>
      </c>
      <c r="B393" s="27" t="s">
        <v>2248</v>
      </c>
      <c r="C393" s="24" t="e">
        <f ca="1">[1]!BexGetData("DP_1","003N8EMH8GTFRCSWKMPXRR8GU","GSON1112030924")</f>
        <v>#NAME?</v>
      </c>
      <c r="D393" s="24" t="e">
        <f ca="1">[1]!BexGetData("DP_1","003N8EMH8GTFRCSWKMPXRRESE","GSON1112030924")</f>
        <v>#NAME?</v>
      </c>
      <c r="E393" s="24" t="e">
        <f ca="1">[1]!BexGetData("DP_1","003N8EMH8GTFRCSWKMPXRRL3Y","GSON1112030924")</f>
        <v>#NAME?</v>
      </c>
      <c r="F393" s="28" t="e">
        <f ca="1">[1]!BexGetData("DP_1","003N8EMH8GTFRCSWKMPXRRRFI","GSON1112030924")</f>
        <v>#NAME?</v>
      </c>
      <c r="G393" s="23" t="e">
        <f ca="1">[1]!BexGetData("DP_1","003N8EMH8GTFRCSWKMPXRRXR2","GSON1112030924")</f>
        <v>#NAME?</v>
      </c>
      <c r="H393" s="23" t="e">
        <f ca="1">[1]!BexGetData("DP_1","003N8EMH8GTFRCSWKMPXRS42M","GSON1112030924")</f>
        <v>#NAME?</v>
      </c>
      <c r="I393" s="28" t="e">
        <f ca="1">[1]!BexGetData("DP_1","003N8EMH8GTFRCSWKMPXRSAE6","GSON1112030924")</f>
        <v>#NAME?</v>
      </c>
      <c r="J393" s="24" t="e">
        <f ca="1">[1]!BexGetData("DP_1","003N8EMH8GTFRCSWKMPXRSGPQ","GSON1112030924")</f>
        <v>#NAME?</v>
      </c>
      <c r="K393" s="28" t="e">
        <f ca="1">[1]!BexGetData("DP_1","003N8EMH8GTFRIVNUPY288VJH","GSON1112030924")</f>
        <v>#NAME?</v>
      </c>
      <c r="L393" s="28" t="e">
        <f ca="1">[1]!BexGetData("DP_1","003N8EMH8GTFRIVNUPY2891V1","GSON1112030924")</f>
        <v>#NAME?</v>
      </c>
      <c r="M393" s="28" t="e">
        <f ca="1">[1]!BexGetData("DP_1","003N8EMH8GTFRIVOG7KG9IQXA","GSON1112030924")</f>
        <v>#NAME?</v>
      </c>
      <c r="N393" s="28" t="e">
        <f ca="1">[1]!BexGetData("DP_1","003N8EMH8GTFRIVOG7KG9IX8U","GSON1112030924")</f>
        <v>#NAME?</v>
      </c>
      <c r="O393" s="28" t="e">
        <f ca="1">[1]!BexGetData("DP_1","003N8EMH8GTFRIVOG7KG9J3KE","GSON1112030924")</f>
        <v>#NAME?</v>
      </c>
      <c r="P393" s="28" t="e">
        <f ca="1">[1]!BexGetData("DP_1","003N8EMH8GTFRIVOG7KG9J9VY","GSON1112030924")</f>
        <v>#NAME?</v>
      </c>
      <c r="Q393" s="24" t="e">
        <f ca="1">[1]!BexGetData("DP_1","00O2TNJGODT0G5Z4TTKYMM5MT","GSON1112030924")</f>
        <v>#NAME?</v>
      </c>
      <c r="R393" s="28" t="e">
        <f ca="1">[1]!BexGetData("DP_1","00O2TNJGODT0G5Z4TTKYMMBYD","GSON1112030924")</f>
        <v>#NAME?</v>
      </c>
      <c r="S393" s="28" t="e">
        <f ca="1">[1]!BexGetData("DP_1","00O2TNJGODT0G5Z4TTKYMMI9X","GSON1112030924")</f>
        <v>#NAME?</v>
      </c>
      <c r="T393" s="28" t="e">
        <f ca="1">[1]!BexGetData("DP_1","00O2TNJGODT0G5Z4TTKYMMOLH","GSON1112030924")</f>
        <v>#NAME?</v>
      </c>
      <c r="U393" s="28" t="e">
        <f ca="1">[1]!BexGetData("DP_1","00O2TNJGODT0G5Z4TTKYMMUX1","GSON1112030924")</f>
        <v>#NAME?</v>
      </c>
      <c r="V393" s="28" t="e">
        <f ca="1">[1]!BexGetData("DP_1","00O2TNJGODT0G5Z4TTKYMN18L","GSON1112030924")</f>
        <v>#NAME?</v>
      </c>
      <c r="W393" s="28" t="e">
        <f ca="1">[1]!BexGetData("DP_1","00O2TNJGODT0G5Z4TTKYMN7K5","GSON1112030924")</f>
        <v>#NAME?</v>
      </c>
    </row>
    <row r="394" spans="1:23" x14ac:dyDescent="0.2">
      <c r="A394" s="36" t="s">
        <v>2249</v>
      </c>
      <c r="B394" s="27" t="s">
        <v>2250</v>
      </c>
      <c r="C394" s="28" t="e">
        <f ca="1">[1]!BexGetData("DP_1","003N8EMH8GTFRCSWKMPXRR8GU","GSON1112030925")</f>
        <v>#NAME?</v>
      </c>
      <c r="D394" s="28" t="e">
        <f ca="1">[1]!BexGetData("DP_1","003N8EMH8GTFRCSWKMPXRRESE","GSON1112030925")</f>
        <v>#NAME?</v>
      </c>
      <c r="E394" s="28" t="e">
        <f ca="1">[1]!BexGetData("DP_1","003N8EMH8GTFRCSWKMPXRRL3Y","GSON1112030925")</f>
        <v>#NAME?</v>
      </c>
      <c r="F394" s="28" t="e">
        <f ca="1">[1]!BexGetData("DP_1","003N8EMH8GTFRCSWKMPXRRRFI","GSON1112030925")</f>
        <v>#NAME?</v>
      </c>
      <c r="G394" s="23" t="e">
        <f ca="1">[1]!BexGetData("DP_1","003N8EMH8GTFRCSWKMPXRRXR2","GSON1112030925")</f>
        <v>#NAME?</v>
      </c>
      <c r="H394" s="23" t="e">
        <f ca="1">[1]!BexGetData("DP_1","003N8EMH8GTFRCSWKMPXRS42M","GSON1112030925")</f>
        <v>#NAME?</v>
      </c>
      <c r="I394" s="28" t="e">
        <f ca="1">[1]!BexGetData("DP_1","003N8EMH8GTFRCSWKMPXRSAE6","GSON1112030925")</f>
        <v>#NAME?</v>
      </c>
      <c r="J394" s="24" t="e">
        <f ca="1">[1]!BexGetData("DP_1","003N8EMH8GTFRCSWKMPXRSGPQ","GSON1112030925")</f>
        <v>#NAME?</v>
      </c>
      <c r="K394" s="28" t="e">
        <f ca="1">[1]!BexGetData("DP_1","003N8EMH8GTFRIVNUPY288VJH","GSON1112030925")</f>
        <v>#NAME?</v>
      </c>
      <c r="L394" s="28" t="e">
        <f ca="1">[1]!BexGetData("DP_1","003N8EMH8GTFRIVNUPY2891V1","GSON1112030925")</f>
        <v>#NAME?</v>
      </c>
      <c r="M394" s="28" t="e">
        <f ca="1">[1]!BexGetData("DP_1","003N8EMH8GTFRIVOG7KG9IQXA","GSON1112030925")</f>
        <v>#NAME?</v>
      </c>
      <c r="N394" s="28" t="e">
        <f ca="1">[1]!BexGetData("DP_1","003N8EMH8GTFRIVOG7KG9IX8U","GSON1112030925")</f>
        <v>#NAME?</v>
      </c>
      <c r="O394" s="28" t="e">
        <f ca="1">[1]!BexGetData("DP_1","003N8EMH8GTFRIVOG7KG9J3KE","GSON1112030925")</f>
        <v>#NAME?</v>
      </c>
      <c r="P394" s="28" t="e">
        <f ca="1">[1]!BexGetData("DP_1","003N8EMH8GTFRIVOG7KG9J9VY","GSON1112030925")</f>
        <v>#NAME?</v>
      </c>
      <c r="Q394" s="24" t="e">
        <f ca="1">[1]!BexGetData("DP_1","00O2TNJGODT0G5Z4TTKYMM5MT","GSON1112030925")</f>
        <v>#NAME?</v>
      </c>
      <c r="R394" s="28" t="e">
        <f ca="1">[1]!BexGetData("DP_1","00O2TNJGODT0G5Z4TTKYMMBYD","GSON1112030925")</f>
        <v>#NAME?</v>
      </c>
      <c r="S394" s="28" t="e">
        <f ca="1">[1]!BexGetData("DP_1","00O2TNJGODT0G5Z4TTKYMMI9X","GSON1112030925")</f>
        <v>#NAME?</v>
      </c>
      <c r="T394" s="28" t="e">
        <f ca="1">[1]!BexGetData("DP_1","00O2TNJGODT0G5Z4TTKYMMOLH","GSON1112030925")</f>
        <v>#NAME?</v>
      </c>
      <c r="U394" s="28" t="e">
        <f ca="1">[1]!BexGetData("DP_1","00O2TNJGODT0G5Z4TTKYMMUX1","GSON1112030925")</f>
        <v>#NAME?</v>
      </c>
      <c r="V394" s="28" t="e">
        <f ca="1">[1]!BexGetData("DP_1","00O2TNJGODT0G5Z4TTKYMN18L","GSON1112030925")</f>
        <v>#NAME?</v>
      </c>
      <c r="W394" s="28" t="e">
        <f ca="1">[1]!BexGetData("DP_1","00O2TNJGODT0G5Z4TTKYMN7K5","GSON1112030925")</f>
        <v>#NAME?</v>
      </c>
    </row>
    <row r="395" spans="1:23" x14ac:dyDescent="0.2">
      <c r="A395" s="36" t="s">
        <v>2251</v>
      </c>
      <c r="B395" s="27" t="s">
        <v>921</v>
      </c>
      <c r="C395" s="23" t="e">
        <f ca="1">[1]!BexGetData("DP_1","003N8EMH8GTFRCSWKMPXRR8GU","GSON1112030930")</f>
        <v>#NAME?</v>
      </c>
      <c r="D395" s="23" t="e">
        <f ca="1">[1]!BexGetData("DP_1","003N8EMH8GTFRCSWKMPXRRESE","GSON1112030930")</f>
        <v>#NAME?</v>
      </c>
      <c r="E395" s="28" t="e">
        <f ca="1">[1]!BexGetData("DP_1","003N8EMH8GTFRCSWKMPXRRL3Y","GSON1112030930")</f>
        <v>#NAME?</v>
      </c>
      <c r="F395" s="23" t="e">
        <f ca="1">[1]!BexGetData("DP_1","003N8EMH8GTFRCSWKMPXRRRFI","GSON1112030930")</f>
        <v>#NAME?</v>
      </c>
      <c r="G395" s="23" t="e">
        <f ca="1">[1]!BexGetData("DP_1","003N8EMH8GTFRCSWKMPXRRXR2","GSON1112030930")</f>
        <v>#NAME?</v>
      </c>
      <c r="H395" s="23" t="e">
        <f ca="1">[1]!BexGetData("DP_1","003N8EMH8GTFRCSWKMPXRS42M","GSON1112030930")</f>
        <v>#NAME?</v>
      </c>
      <c r="I395" s="23" t="e">
        <f ca="1">[1]!BexGetData("DP_1","003N8EMH8GTFRCSWKMPXRSAE6","GSON1112030930")</f>
        <v>#NAME?</v>
      </c>
      <c r="J395" s="23" t="e">
        <f ca="1">[1]!BexGetData("DP_1","003N8EMH8GTFRCSWKMPXRSGPQ","GSON1112030930")</f>
        <v>#NAME?</v>
      </c>
      <c r="K395" s="23" t="e">
        <f ca="1">[1]!BexGetData("DP_1","003N8EMH8GTFRIVNUPY288VJH","GSON1112030930")</f>
        <v>#NAME?</v>
      </c>
      <c r="L395" s="23" t="e">
        <f ca="1">[1]!BexGetData("DP_1","003N8EMH8GTFRIVNUPY2891V1","GSON1112030930")</f>
        <v>#NAME?</v>
      </c>
      <c r="M395" s="23" t="e">
        <f ca="1">[1]!BexGetData("DP_1","003N8EMH8GTFRIVOG7KG9IQXA","GSON1112030930")</f>
        <v>#NAME?</v>
      </c>
      <c r="N395" s="28" t="e">
        <f ca="1">[1]!BexGetData("DP_1","003N8EMH8GTFRIVOG7KG9IX8U","GSON1112030930")</f>
        <v>#NAME?</v>
      </c>
      <c r="O395" s="23" t="e">
        <f ca="1">[1]!BexGetData("DP_1","003N8EMH8GTFRIVOG7KG9J3KE","GSON1112030930")</f>
        <v>#NAME?</v>
      </c>
      <c r="P395" s="28" t="e">
        <f ca="1">[1]!BexGetData("DP_1","003N8EMH8GTFRIVOG7KG9J9VY","GSON1112030930")</f>
        <v>#NAME?</v>
      </c>
      <c r="Q395" s="23" t="e">
        <f ca="1">[1]!BexGetData("DP_1","00O2TNJGODT0G5Z4TTKYMM5MT","GSON1112030930")</f>
        <v>#NAME?</v>
      </c>
      <c r="R395" s="23" t="e">
        <f ca="1">[1]!BexGetData("DP_1","00O2TNJGODT0G5Z4TTKYMMBYD","GSON1112030930")</f>
        <v>#NAME?</v>
      </c>
      <c r="S395" s="23" t="e">
        <f ca="1">[1]!BexGetData("DP_1","00O2TNJGODT0G5Z4TTKYMMI9X","GSON1112030930")</f>
        <v>#NAME?</v>
      </c>
      <c r="T395" s="23" t="e">
        <f ca="1">[1]!BexGetData("DP_1","00O2TNJGODT0G5Z4TTKYMMOLH","GSON1112030930")</f>
        <v>#NAME?</v>
      </c>
      <c r="U395" s="28" t="e">
        <f ca="1">[1]!BexGetData("DP_1","00O2TNJGODT0G5Z4TTKYMMUX1","GSON1112030930")</f>
        <v>#NAME?</v>
      </c>
      <c r="V395" s="23" t="e">
        <f ca="1">[1]!BexGetData("DP_1","00O2TNJGODT0G5Z4TTKYMN18L","GSON1112030930")</f>
        <v>#NAME?</v>
      </c>
      <c r="W395" s="28" t="e">
        <f ca="1">[1]!BexGetData("DP_1","00O2TNJGODT0G5Z4TTKYMN7K5","GSON1112030930")</f>
        <v>#NAME?</v>
      </c>
    </row>
    <row r="396" spans="1:23" x14ac:dyDescent="0.2">
      <c r="A396" s="36" t="s">
        <v>2252</v>
      </c>
      <c r="B396" s="27" t="s">
        <v>922</v>
      </c>
      <c r="C396" s="24" t="e">
        <f ca="1">[1]!BexGetData("DP_1","003N8EMH8GTFRCSWKMPXRR8GU","GSON1112030931")</f>
        <v>#NAME?</v>
      </c>
      <c r="D396" s="24" t="e">
        <f ca="1">[1]!BexGetData("DP_1","003N8EMH8GTFRCSWKMPXRRESE","GSON1112030931")</f>
        <v>#NAME?</v>
      </c>
      <c r="E396" s="24" t="e">
        <f ca="1">[1]!BexGetData("DP_1","003N8EMH8GTFRCSWKMPXRRL3Y","GSON1112030931")</f>
        <v>#NAME?</v>
      </c>
      <c r="F396" s="28" t="e">
        <f ca="1">[1]!BexGetData("DP_1","003N8EMH8GTFRCSWKMPXRRRFI","GSON1112030931")</f>
        <v>#NAME?</v>
      </c>
      <c r="G396" s="23" t="e">
        <f ca="1">[1]!BexGetData("DP_1","003N8EMH8GTFRCSWKMPXRRXR2","GSON1112030931")</f>
        <v>#NAME?</v>
      </c>
      <c r="H396" s="23" t="e">
        <f ca="1">[1]!BexGetData("DP_1","003N8EMH8GTFRCSWKMPXRS42M","GSON1112030931")</f>
        <v>#NAME?</v>
      </c>
      <c r="I396" s="28" t="e">
        <f ca="1">[1]!BexGetData("DP_1","003N8EMH8GTFRCSWKMPXRSAE6","GSON1112030931")</f>
        <v>#NAME?</v>
      </c>
      <c r="J396" s="24" t="e">
        <f ca="1">[1]!BexGetData("DP_1","003N8EMH8GTFRCSWKMPXRSGPQ","GSON1112030931")</f>
        <v>#NAME?</v>
      </c>
      <c r="K396" s="28" t="e">
        <f ca="1">[1]!BexGetData("DP_1","003N8EMH8GTFRIVNUPY288VJH","GSON1112030931")</f>
        <v>#NAME?</v>
      </c>
      <c r="L396" s="28" t="e">
        <f ca="1">[1]!BexGetData("DP_1","003N8EMH8GTFRIVNUPY2891V1","GSON1112030931")</f>
        <v>#NAME?</v>
      </c>
      <c r="M396" s="28" t="e">
        <f ca="1">[1]!BexGetData("DP_1","003N8EMH8GTFRIVOG7KG9IQXA","GSON1112030931")</f>
        <v>#NAME?</v>
      </c>
      <c r="N396" s="28" t="e">
        <f ca="1">[1]!BexGetData("DP_1","003N8EMH8GTFRIVOG7KG9IX8U","GSON1112030931")</f>
        <v>#NAME?</v>
      </c>
      <c r="O396" s="28" t="e">
        <f ca="1">[1]!BexGetData("DP_1","003N8EMH8GTFRIVOG7KG9J3KE","GSON1112030931")</f>
        <v>#NAME?</v>
      </c>
      <c r="P396" s="28" t="e">
        <f ca="1">[1]!BexGetData("DP_1","003N8EMH8GTFRIVOG7KG9J9VY","GSON1112030931")</f>
        <v>#NAME?</v>
      </c>
      <c r="Q396" s="24" t="e">
        <f ca="1">[1]!BexGetData("DP_1","00O2TNJGODT0G5Z4TTKYMM5MT","GSON1112030931")</f>
        <v>#NAME?</v>
      </c>
      <c r="R396" s="28" t="e">
        <f ca="1">[1]!BexGetData("DP_1","00O2TNJGODT0G5Z4TTKYMMBYD","GSON1112030931")</f>
        <v>#NAME?</v>
      </c>
      <c r="S396" s="28" t="e">
        <f ca="1">[1]!BexGetData("DP_1","00O2TNJGODT0G5Z4TTKYMMI9X","GSON1112030931")</f>
        <v>#NAME?</v>
      </c>
      <c r="T396" s="28" t="e">
        <f ca="1">[1]!BexGetData("DP_1","00O2TNJGODT0G5Z4TTKYMMOLH","GSON1112030931")</f>
        <v>#NAME?</v>
      </c>
      <c r="U396" s="28" t="e">
        <f ca="1">[1]!BexGetData("DP_1","00O2TNJGODT0G5Z4TTKYMMUX1","GSON1112030931")</f>
        <v>#NAME?</v>
      </c>
      <c r="V396" s="28" t="e">
        <f ca="1">[1]!BexGetData("DP_1","00O2TNJGODT0G5Z4TTKYMN18L","GSON1112030931")</f>
        <v>#NAME?</v>
      </c>
      <c r="W396" s="28" t="e">
        <f ca="1">[1]!BexGetData("DP_1","00O2TNJGODT0G5Z4TTKYMN7K5","GSON1112030931")</f>
        <v>#NAME?</v>
      </c>
    </row>
    <row r="397" spans="1:23" x14ac:dyDescent="0.2">
      <c r="A397" s="36" t="s">
        <v>2253</v>
      </c>
      <c r="B397" s="27" t="s">
        <v>2254</v>
      </c>
      <c r="C397" s="24" t="e">
        <f ca="1">[1]!BexGetData("DP_1","003N8EMH8GTFRCSWKMPXRR8GU","GSON1112030932")</f>
        <v>#NAME?</v>
      </c>
      <c r="D397" s="24" t="e">
        <f ca="1">[1]!BexGetData("DP_1","003N8EMH8GTFRCSWKMPXRRESE","GSON1112030932")</f>
        <v>#NAME?</v>
      </c>
      <c r="E397" s="24" t="e">
        <f ca="1">[1]!BexGetData("DP_1","003N8EMH8GTFRCSWKMPXRRL3Y","GSON1112030932")</f>
        <v>#NAME?</v>
      </c>
      <c r="F397" s="28" t="e">
        <f ca="1">[1]!BexGetData("DP_1","003N8EMH8GTFRCSWKMPXRRRFI","GSON1112030932")</f>
        <v>#NAME?</v>
      </c>
      <c r="G397" s="23" t="e">
        <f ca="1">[1]!BexGetData("DP_1","003N8EMH8GTFRCSWKMPXRRXR2","GSON1112030932")</f>
        <v>#NAME?</v>
      </c>
      <c r="H397" s="23" t="e">
        <f ca="1">[1]!BexGetData("DP_1","003N8EMH8GTFRCSWKMPXRS42M","GSON1112030932")</f>
        <v>#NAME?</v>
      </c>
      <c r="I397" s="28" t="e">
        <f ca="1">[1]!BexGetData("DP_1","003N8EMH8GTFRCSWKMPXRSAE6","GSON1112030932")</f>
        <v>#NAME?</v>
      </c>
      <c r="J397" s="23" t="e">
        <f ca="1">[1]!BexGetData("DP_1","003N8EMH8GTFRCSWKMPXRSGPQ","GSON1112030932")</f>
        <v>#NAME?</v>
      </c>
      <c r="K397" s="28" t="e">
        <f ca="1">[1]!BexGetData("DP_1","003N8EMH8GTFRIVNUPY288VJH","GSON1112030932")</f>
        <v>#NAME?</v>
      </c>
      <c r="L397" s="28" t="e">
        <f ca="1">[1]!BexGetData("DP_1","003N8EMH8GTFRIVNUPY2891V1","GSON1112030932")</f>
        <v>#NAME?</v>
      </c>
      <c r="M397" s="28" t="e">
        <f ca="1">[1]!BexGetData("DP_1","003N8EMH8GTFRIVOG7KG9IQXA","GSON1112030932")</f>
        <v>#NAME?</v>
      </c>
      <c r="N397" s="28" t="e">
        <f ca="1">[1]!BexGetData("DP_1","003N8EMH8GTFRIVOG7KG9IX8U","GSON1112030932")</f>
        <v>#NAME?</v>
      </c>
      <c r="O397" s="28" t="e">
        <f ca="1">[1]!BexGetData("DP_1","003N8EMH8GTFRIVOG7KG9J3KE","GSON1112030932")</f>
        <v>#NAME?</v>
      </c>
      <c r="P397" s="28" t="e">
        <f ca="1">[1]!BexGetData("DP_1","003N8EMH8GTFRIVOG7KG9J9VY","GSON1112030932")</f>
        <v>#NAME?</v>
      </c>
      <c r="Q397" s="23" t="e">
        <f ca="1">[1]!BexGetData("DP_1","00O2TNJGODT0G5Z4TTKYMM5MT","GSON1112030932")</f>
        <v>#NAME?</v>
      </c>
      <c r="R397" s="23" t="e">
        <f ca="1">[1]!BexGetData("DP_1","00O2TNJGODT0G5Z4TTKYMMBYD","GSON1112030932")</f>
        <v>#NAME?</v>
      </c>
      <c r="S397" s="23" t="e">
        <f ca="1">[1]!BexGetData("DP_1","00O2TNJGODT0G5Z4TTKYMMI9X","GSON1112030932")</f>
        <v>#NAME?</v>
      </c>
      <c r="T397" s="28" t="e">
        <f ca="1">[1]!BexGetData("DP_1","00O2TNJGODT0G5Z4TTKYMMOLH","GSON1112030932")</f>
        <v>#NAME?</v>
      </c>
      <c r="U397" s="23" t="e">
        <f ca="1">[1]!BexGetData("DP_1","00O2TNJGODT0G5Z4TTKYMMUX1","GSON1112030932")</f>
        <v>#NAME?</v>
      </c>
      <c r="V397" s="28" t="e">
        <f ca="1">[1]!BexGetData("DP_1","00O2TNJGODT0G5Z4TTKYMN18L","GSON1112030932")</f>
        <v>#NAME?</v>
      </c>
      <c r="W397" s="23" t="e">
        <f ca="1">[1]!BexGetData("DP_1","00O2TNJGODT0G5Z4TTKYMN7K5","GSON1112030932")</f>
        <v>#NAME?</v>
      </c>
    </row>
    <row r="398" spans="1:23" x14ac:dyDescent="0.2">
      <c r="A398" s="36" t="s">
        <v>2255</v>
      </c>
      <c r="B398" s="27" t="s">
        <v>2256</v>
      </c>
      <c r="C398" s="23" t="e">
        <f ca="1">[1]!BexGetData("DP_1","003N8EMH8GTFRCSWKMPXRR8GU","GSON1112030933")</f>
        <v>#NAME?</v>
      </c>
      <c r="D398" s="23" t="e">
        <f ca="1">[1]!BexGetData("DP_1","003N8EMH8GTFRCSWKMPXRRESE","GSON1112030933")</f>
        <v>#NAME?</v>
      </c>
      <c r="E398" s="28" t="e">
        <f ca="1">[1]!BexGetData("DP_1","003N8EMH8GTFRCSWKMPXRRL3Y","GSON1112030933")</f>
        <v>#NAME?</v>
      </c>
      <c r="F398" s="24" t="e">
        <f ca="1">[1]!BexGetData("DP_1","003N8EMH8GTFRCSWKMPXRRRFI","GSON1112030933")</f>
        <v>#NAME?</v>
      </c>
      <c r="G398" s="24" t="e">
        <f ca="1">[1]!BexGetData("DP_1","003N8EMH8GTFRCSWKMPXRRXR2","GSON1112030933")</f>
        <v>#NAME?</v>
      </c>
      <c r="H398" s="24" t="e">
        <f ca="1">[1]!BexGetData("DP_1","003N8EMH8GTFRCSWKMPXRS42M","GSON1112030933")</f>
        <v>#NAME?</v>
      </c>
      <c r="I398" s="24" t="e">
        <f ca="1">[1]!BexGetData("DP_1","003N8EMH8GTFRCSWKMPXRSAE6","GSON1112030933")</f>
        <v>#NAME?</v>
      </c>
      <c r="J398" s="24" t="e">
        <f ca="1">[1]!BexGetData("DP_1","003N8EMH8GTFRCSWKMPXRSGPQ","GSON1112030933")</f>
        <v>#NAME?</v>
      </c>
      <c r="K398" s="28" t="e">
        <f ca="1">[1]!BexGetData("DP_1","003N8EMH8GTFRIVNUPY288VJH","GSON1112030933")</f>
        <v>#NAME?</v>
      </c>
      <c r="L398" s="28" t="e">
        <f ca="1">[1]!BexGetData("DP_1","003N8EMH8GTFRIVNUPY2891V1","GSON1112030933")</f>
        <v>#NAME?</v>
      </c>
      <c r="M398" s="28" t="e">
        <f ca="1">[1]!BexGetData("DP_1","003N8EMH8GTFRIVOG7KG9IQXA","GSON1112030933")</f>
        <v>#NAME?</v>
      </c>
      <c r="N398" s="28" t="e">
        <f ca="1">[1]!BexGetData("DP_1","003N8EMH8GTFRIVOG7KG9IX8U","GSON1112030933")</f>
        <v>#NAME?</v>
      </c>
      <c r="O398" s="28" t="e">
        <f ca="1">[1]!BexGetData("DP_1","003N8EMH8GTFRIVOG7KG9J3KE","GSON1112030933")</f>
        <v>#NAME?</v>
      </c>
      <c r="P398" s="28" t="e">
        <f ca="1">[1]!BexGetData("DP_1","003N8EMH8GTFRIVOG7KG9J9VY","GSON1112030933")</f>
        <v>#NAME?</v>
      </c>
      <c r="Q398" s="24" t="e">
        <f ca="1">[1]!BexGetData("DP_1","00O2TNJGODT0G5Z4TTKYMM5MT","GSON1112030933")</f>
        <v>#NAME?</v>
      </c>
      <c r="R398" s="24" t="e">
        <f ca="1">[1]!BexGetData("DP_1","00O2TNJGODT0G5Z4TTKYMMBYD","GSON1112030933")</f>
        <v>#NAME?</v>
      </c>
      <c r="S398" s="24" t="e">
        <f ca="1">[1]!BexGetData("DP_1","00O2TNJGODT0G5Z4TTKYMMI9X","GSON1112030933")</f>
        <v>#NAME?</v>
      </c>
      <c r="T398" s="24" t="e">
        <f ca="1">[1]!BexGetData("DP_1","00O2TNJGODT0G5Z4TTKYMMOLH","GSON1112030933")</f>
        <v>#NAME?</v>
      </c>
      <c r="U398" s="24" t="e">
        <f ca="1">[1]!BexGetData("DP_1","00O2TNJGODT0G5Z4TTKYMMUX1","GSON1112030933")</f>
        <v>#NAME?</v>
      </c>
      <c r="V398" s="24" t="e">
        <f ca="1">[1]!BexGetData("DP_1","00O2TNJGODT0G5Z4TTKYMN18L","GSON1112030933")</f>
        <v>#NAME?</v>
      </c>
      <c r="W398" s="24" t="e">
        <f ca="1">[1]!BexGetData("DP_1","00O2TNJGODT0G5Z4TTKYMN7K5","GSON1112030933")</f>
        <v>#NAME?</v>
      </c>
    </row>
    <row r="399" spans="1:23" x14ac:dyDescent="0.2">
      <c r="A399" s="36" t="s">
        <v>2257</v>
      </c>
      <c r="B399" s="27" t="s">
        <v>2258</v>
      </c>
      <c r="C399" s="23" t="e">
        <f ca="1">[1]!BexGetData("DP_1","003N8EMH8GTFRCSWKMPXRR8GU","GSON1112030935")</f>
        <v>#NAME?</v>
      </c>
      <c r="D399" s="23" t="e">
        <f ca="1">[1]!BexGetData("DP_1","003N8EMH8GTFRCSWKMPXRRESE","GSON1112030935")</f>
        <v>#NAME?</v>
      </c>
      <c r="E399" s="28" t="e">
        <f ca="1">[1]!BexGetData("DP_1","003N8EMH8GTFRCSWKMPXRRL3Y","GSON1112030935")</f>
        <v>#NAME?</v>
      </c>
      <c r="F399" s="28" t="e">
        <f ca="1">[1]!BexGetData("DP_1","003N8EMH8GTFRCSWKMPXRRRFI","GSON1112030935")</f>
        <v>#NAME?</v>
      </c>
      <c r="G399" s="23" t="e">
        <f ca="1">[1]!BexGetData("DP_1","003N8EMH8GTFRCSWKMPXRRXR2","GSON1112030935")</f>
        <v>#NAME?</v>
      </c>
      <c r="H399" s="23" t="e">
        <f ca="1">[1]!BexGetData("DP_1","003N8EMH8GTFRCSWKMPXRS42M","GSON1112030935")</f>
        <v>#NAME?</v>
      </c>
      <c r="I399" s="28" t="e">
        <f ca="1">[1]!BexGetData("DP_1","003N8EMH8GTFRCSWKMPXRSAE6","GSON1112030935")</f>
        <v>#NAME?</v>
      </c>
      <c r="J399" s="24" t="e">
        <f ca="1">[1]!BexGetData("DP_1","003N8EMH8GTFRCSWKMPXRSGPQ","GSON1112030935")</f>
        <v>#NAME?</v>
      </c>
      <c r="K399" s="28" t="e">
        <f ca="1">[1]!BexGetData("DP_1","003N8EMH8GTFRIVNUPY288VJH","GSON1112030935")</f>
        <v>#NAME?</v>
      </c>
      <c r="L399" s="28" t="e">
        <f ca="1">[1]!BexGetData("DP_1","003N8EMH8GTFRIVNUPY2891V1","GSON1112030935")</f>
        <v>#NAME?</v>
      </c>
      <c r="M399" s="28" t="e">
        <f ca="1">[1]!BexGetData("DP_1","003N8EMH8GTFRIVOG7KG9IQXA","GSON1112030935")</f>
        <v>#NAME?</v>
      </c>
      <c r="N399" s="28" t="e">
        <f ca="1">[1]!BexGetData("DP_1","003N8EMH8GTFRIVOG7KG9IX8U","GSON1112030935")</f>
        <v>#NAME?</v>
      </c>
      <c r="O399" s="28" t="e">
        <f ca="1">[1]!BexGetData("DP_1","003N8EMH8GTFRIVOG7KG9J3KE","GSON1112030935")</f>
        <v>#NAME?</v>
      </c>
      <c r="P399" s="28" t="e">
        <f ca="1">[1]!BexGetData("DP_1","003N8EMH8GTFRIVOG7KG9J9VY","GSON1112030935")</f>
        <v>#NAME?</v>
      </c>
      <c r="Q399" s="24" t="e">
        <f ca="1">[1]!BexGetData("DP_1","00O2TNJGODT0G5Z4TTKYMM5MT","GSON1112030935")</f>
        <v>#NAME?</v>
      </c>
      <c r="R399" s="28" t="e">
        <f ca="1">[1]!BexGetData("DP_1","00O2TNJGODT0G5Z4TTKYMMBYD","GSON1112030935")</f>
        <v>#NAME?</v>
      </c>
      <c r="S399" s="28" t="e">
        <f ca="1">[1]!BexGetData("DP_1","00O2TNJGODT0G5Z4TTKYMMI9X","GSON1112030935")</f>
        <v>#NAME?</v>
      </c>
      <c r="T399" s="28" t="e">
        <f ca="1">[1]!BexGetData("DP_1","00O2TNJGODT0G5Z4TTKYMMOLH","GSON1112030935")</f>
        <v>#NAME?</v>
      </c>
      <c r="U399" s="28" t="e">
        <f ca="1">[1]!BexGetData("DP_1","00O2TNJGODT0G5Z4TTKYMMUX1","GSON1112030935")</f>
        <v>#NAME?</v>
      </c>
      <c r="V399" s="28" t="e">
        <f ca="1">[1]!BexGetData("DP_1","00O2TNJGODT0G5Z4TTKYMN18L","GSON1112030935")</f>
        <v>#NAME?</v>
      </c>
      <c r="W399" s="28" t="e">
        <f ca="1">[1]!BexGetData("DP_1","00O2TNJGODT0G5Z4TTKYMN7K5","GSON1112030935")</f>
        <v>#NAME?</v>
      </c>
    </row>
    <row r="400" spans="1:23" x14ac:dyDescent="0.2">
      <c r="A400" s="36" t="s">
        <v>2259</v>
      </c>
      <c r="B400" s="27" t="s">
        <v>923</v>
      </c>
      <c r="C400" s="28" t="e">
        <f ca="1">[1]!BexGetData("DP_1","003N8EMH8GTFRCSWKMPXRR8GU","GSON1112030940")</f>
        <v>#NAME?</v>
      </c>
      <c r="D400" s="28" t="e">
        <f ca="1">[1]!BexGetData("DP_1","003N8EMH8GTFRCSWKMPXRRESE","GSON1112030940")</f>
        <v>#NAME?</v>
      </c>
      <c r="E400" s="28" t="e">
        <f ca="1">[1]!BexGetData("DP_1","003N8EMH8GTFRCSWKMPXRRL3Y","GSON1112030940")</f>
        <v>#NAME?</v>
      </c>
      <c r="F400" s="28" t="e">
        <f ca="1">[1]!BexGetData("DP_1","003N8EMH8GTFRCSWKMPXRRRFI","GSON1112030940")</f>
        <v>#NAME?</v>
      </c>
      <c r="G400" s="23" t="e">
        <f ca="1">[1]!BexGetData("DP_1","003N8EMH8GTFRCSWKMPXRRXR2","GSON1112030940")</f>
        <v>#NAME?</v>
      </c>
      <c r="H400" s="23" t="e">
        <f ca="1">[1]!BexGetData("DP_1","003N8EMH8GTFRCSWKMPXRS42M","GSON1112030940")</f>
        <v>#NAME?</v>
      </c>
      <c r="I400" s="28" t="e">
        <f ca="1">[1]!BexGetData("DP_1","003N8EMH8GTFRCSWKMPXRSAE6","GSON1112030940")</f>
        <v>#NAME?</v>
      </c>
      <c r="J400" s="23" t="e">
        <f ca="1">[1]!BexGetData("DP_1","003N8EMH8GTFRCSWKMPXRSGPQ","GSON1112030940")</f>
        <v>#NAME?</v>
      </c>
      <c r="K400" s="28" t="e">
        <f ca="1">[1]!BexGetData("DP_1","003N8EMH8GTFRIVNUPY288VJH","GSON1112030940")</f>
        <v>#NAME?</v>
      </c>
      <c r="L400" s="28" t="e">
        <f ca="1">[1]!BexGetData("DP_1","003N8EMH8GTFRIVNUPY2891V1","GSON1112030940")</f>
        <v>#NAME?</v>
      </c>
      <c r="M400" s="28" t="e">
        <f ca="1">[1]!BexGetData("DP_1","003N8EMH8GTFRIVOG7KG9IQXA","GSON1112030940")</f>
        <v>#NAME?</v>
      </c>
      <c r="N400" s="28" t="e">
        <f ca="1">[1]!BexGetData("DP_1","003N8EMH8GTFRIVOG7KG9IX8U","GSON1112030940")</f>
        <v>#NAME?</v>
      </c>
      <c r="O400" s="28" t="e">
        <f ca="1">[1]!BexGetData("DP_1","003N8EMH8GTFRIVOG7KG9J3KE","GSON1112030940")</f>
        <v>#NAME?</v>
      </c>
      <c r="P400" s="28" t="e">
        <f ca="1">[1]!BexGetData("DP_1","003N8EMH8GTFRIVOG7KG9J9VY","GSON1112030940")</f>
        <v>#NAME?</v>
      </c>
      <c r="Q400" s="23" t="e">
        <f ca="1">[1]!BexGetData("DP_1","00O2TNJGODT0G5Z4TTKYMM5MT","GSON1112030940")</f>
        <v>#NAME?</v>
      </c>
      <c r="R400" s="23" t="e">
        <f ca="1">[1]!BexGetData("DP_1","00O2TNJGODT0G5Z4TTKYMMBYD","GSON1112030940")</f>
        <v>#NAME?</v>
      </c>
      <c r="S400" s="23" t="e">
        <f ca="1">[1]!BexGetData("DP_1","00O2TNJGODT0G5Z4TTKYMMI9X","GSON1112030940")</f>
        <v>#NAME?</v>
      </c>
      <c r="T400" s="23" t="e">
        <f ca="1">[1]!BexGetData("DP_1","00O2TNJGODT0G5Z4TTKYMMOLH","GSON1112030940")</f>
        <v>#NAME?</v>
      </c>
      <c r="U400" s="28" t="e">
        <f ca="1">[1]!BexGetData("DP_1","00O2TNJGODT0G5Z4TTKYMMUX1","GSON1112030940")</f>
        <v>#NAME?</v>
      </c>
      <c r="V400" s="23" t="e">
        <f ca="1">[1]!BexGetData("DP_1","00O2TNJGODT0G5Z4TTKYMN18L","GSON1112030940")</f>
        <v>#NAME?</v>
      </c>
      <c r="W400" s="28" t="e">
        <f ca="1">[1]!BexGetData("DP_1","00O2TNJGODT0G5Z4TTKYMN7K5","GSON1112030940")</f>
        <v>#NAME?</v>
      </c>
    </row>
    <row r="401" spans="1:23" x14ac:dyDescent="0.2">
      <c r="A401" s="36" t="s">
        <v>2260</v>
      </c>
      <c r="B401" s="27" t="s">
        <v>924</v>
      </c>
      <c r="C401" s="24" t="e">
        <f ca="1">[1]!BexGetData("DP_1","003N8EMH8GTFRCSWKMPXRR8GU","GSON1112030941")</f>
        <v>#NAME?</v>
      </c>
      <c r="D401" s="24" t="e">
        <f ca="1">[1]!BexGetData("DP_1","003N8EMH8GTFRCSWKMPXRRESE","GSON1112030941")</f>
        <v>#NAME?</v>
      </c>
      <c r="E401" s="24" t="e">
        <f ca="1">[1]!BexGetData("DP_1","003N8EMH8GTFRCSWKMPXRRL3Y","GSON1112030941")</f>
        <v>#NAME?</v>
      </c>
      <c r="F401" s="28" t="e">
        <f ca="1">[1]!BexGetData("DP_1","003N8EMH8GTFRCSWKMPXRRRFI","GSON1112030941")</f>
        <v>#NAME?</v>
      </c>
      <c r="G401" s="23" t="e">
        <f ca="1">[1]!BexGetData("DP_1","003N8EMH8GTFRCSWKMPXRRXR2","GSON1112030941")</f>
        <v>#NAME?</v>
      </c>
      <c r="H401" s="23" t="e">
        <f ca="1">[1]!BexGetData("DP_1","003N8EMH8GTFRCSWKMPXRS42M","GSON1112030941")</f>
        <v>#NAME?</v>
      </c>
      <c r="I401" s="28" t="e">
        <f ca="1">[1]!BexGetData("DP_1","003N8EMH8GTFRCSWKMPXRSAE6","GSON1112030941")</f>
        <v>#NAME?</v>
      </c>
      <c r="J401" s="24" t="e">
        <f ca="1">[1]!BexGetData("DP_1","003N8EMH8GTFRCSWKMPXRSGPQ","GSON1112030941")</f>
        <v>#NAME?</v>
      </c>
      <c r="K401" s="28" t="e">
        <f ca="1">[1]!BexGetData("DP_1","003N8EMH8GTFRIVNUPY288VJH","GSON1112030941")</f>
        <v>#NAME?</v>
      </c>
      <c r="L401" s="28" t="e">
        <f ca="1">[1]!BexGetData("DP_1","003N8EMH8GTFRIVNUPY2891V1","GSON1112030941")</f>
        <v>#NAME?</v>
      </c>
      <c r="M401" s="28" t="e">
        <f ca="1">[1]!BexGetData("DP_1","003N8EMH8GTFRIVOG7KG9IQXA","GSON1112030941")</f>
        <v>#NAME?</v>
      </c>
      <c r="N401" s="28" t="e">
        <f ca="1">[1]!BexGetData("DP_1","003N8EMH8GTFRIVOG7KG9IX8U","GSON1112030941")</f>
        <v>#NAME?</v>
      </c>
      <c r="O401" s="28" t="e">
        <f ca="1">[1]!BexGetData("DP_1","003N8EMH8GTFRIVOG7KG9J3KE","GSON1112030941")</f>
        <v>#NAME?</v>
      </c>
      <c r="P401" s="28" t="e">
        <f ca="1">[1]!BexGetData("DP_1","003N8EMH8GTFRIVOG7KG9J9VY","GSON1112030941")</f>
        <v>#NAME?</v>
      </c>
      <c r="Q401" s="24" t="e">
        <f ca="1">[1]!BexGetData("DP_1","00O2TNJGODT0G5Z4TTKYMM5MT","GSON1112030941")</f>
        <v>#NAME?</v>
      </c>
      <c r="R401" s="28" t="e">
        <f ca="1">[1]!BexGetData("DP_1","00O2TNJGODT0G5Z4TTKYMMBYD","GSON1112030941")</f>
        <v>#NAME?</v>
      </c>
      <c r="S401" s="28" t="e">
        <f ca="1">[1]!BexGetData("DP_1","00O2TNJGODT0G5Z4TTKYMMI9X","GSON1112030941")</f>
        <v>#NAME?</v>
      </c>
      <c r="T401" s="28" t="e">
        <f ca="1">[1]!BexGetData("DP_1","00O2TNJGODT0G5Z4TTKYMMOLH","GSON1112030941")</f>
        <v>#NAME?</v>
      </c>
      <c r="U401" s="28" t="e">
        <f ca="1">[1]!BexGetData("DP_1","00O2TNJGODT0G5Z4TTKYMMUX1","GSON1112030941")</f>
        <v>#NAME?</v>
      </c>
      <c r="V401" s="28" t="e">
        <f ca="1">[1]!BexGetData("DP_1","00O2TNJGODT0G5Z4TTKYMN18L","GSON1112030941")</f>
        <v>#NAME?</v>
      </c>
      <c r="W401" s="28" t="e">
        <f ca="1">[1]!BexGetData("DP_1","00O2TNJGODT0G5Z4TTKYMN7K5","GSON1112030941")</f>
        <v>#NAME?</v>
      </c>
    </row>
    <row r="402" spans="1:23" x14ac:dyDescent="0.2">
      <c r="A402" s="36" t="s">
        <v>2261</v>
      </c>
      <c r="B402" s="27" t="s">
        <v>2262</v>
      </c>
      <c r="C402" s="24" t="e">
        <f ca="1">[1]!BexGetData("DP_1","003N8EMH8GTFRCSWKMPXRR8GU","GSON1112030942")</f>
        <v>#NAME?</v>
      </c>
      <c r="D402" s="24" t="e">
        <f ca="1">[1]!BexGetData("DP_1","003N8EMH8GTFRCSWKMPXRRESE","GSON1112030942")</f>
        <v>#NAME?</v>
      </c>
      <c r="E402" s="24" t="e">
        <f ca="1">[1]!BexGetData("DP_1","003N8EMH8GTFRCSWKMPXRRL3Y","GSON1112030942")</f>
        <v>#NAME?</v>
      </c>
      <c r="F402" s="28" t="e">
        <f ca="1">[1]!BexGetData("DP_1","003N8EMH8GTFRCSWKMPXRRRFI","GSON1112030942")</f>
        <v>#NAME?</v>
      </c>
      <c r="G402" s="23" t="e">
        <f ca="1">[1]!BexGetData("DP_1","003N8EMH8GTFRCSWKMPXRRXR2","GSON1112030942")</f>
        <v>#NAME?</v>
      </c>
      <c r="H402" s="23" t="e">
        <f ca="1">[1]!BexGetData("DP_1","003N8EMH8GTFRCSWKMPXRS42M","GSON1112030942")</f>
        <v>#NAME?</v>
      </c>
      <c r="I402" s="28" t="e">
        <f ca="1">[1]!BexGetData("DP_1","003N8EMH8GTFRCSWKMPXRSAE6","GSON1112030942")</f>
        <v>#NAME?</v>
      </c>
      <c r="J402" s="24" t="e">
        <f ca="1">[1]!BexGetData("DP_1","003N8EMH8GTFRCSWKMPXRSGPQ","GSON1112030942")</f>
        <v>#NAME?</v>
      </c>
      <c r="K402" s="28" t="e">
        <f ca="1">[1]!BexGetData("DP_1","003N8EMH8GTFRIVNUPY288VJH","GSON1112030942")</f>
        <v>#NAME?</v>
      </c>
      <c r="L402" s="28" t="e">
        <f ca="1">[1]!BexGetData("DP_1","003N8EMH8GTFRIVNUPY2891V1","GSON1112030942")</f>
        <v>#NAME?</v>
      </c>
      <c r="M402" s="28" t="e">
        <f ca="1">[1]!BexGetData("DP_1","003N8EMH8GTFRIVOG7KG9IQXA","GSON1112030942")</f>
        <v>#NAME?</v>
      </c>
      <c r="N402" s="28" t="e">
        <f ca="1">[1]!BexGetData("DP_1","003N8EMH8GTFRIVOG7KG9IX8U","GSON1112030942")</f>
        <v>#NAME?</v>
      </c>
      <c r="O402" s="28" t="e">
        <f ca="1">[1]!BexGetData("DP_1","003N8EMH8GTFRIVOG7KG9J3KE","GSON1112030942")</f>
        <v>#NAME?</v>
      </c>
      <c r="P402" s="28" t="e">
        <f ca="1">[1]!BexGetData("DP_1","003N8EMH8GTFRIVOG7KG9J9VY","GSON1112030942")</f>
        <v>#NAME?</v>
      </c>
      <c r="Q402" s="24" t="e">
        <f ca="1">[1]!BexGetData("DP_1","00O2TNJGODT0G5Z4TTKYMM5MT","GSON1112030942")</f>
        <v>#NAME?</v>
      </c>
      <c r="R402" s="28" t="e">
        <f ca="1">[1]!BexGetData("DP_1","00O2TNJGODT0G5Z4TTKYMMBYD","GSON1112030942")</f>
        <v>#NAME?</v>
      </c>
      <c r="S402" s="28" t="e">
        <f ca="1">[1]!BexGetData("DP_1","00O2TNJGODT0G5Z4TTKYMMI9X","GSON1112030942")</f>
        <v>#NAME?</v>
      </c>
      <c r="T402" s="28" t="e">
        <f ca="1">[1]!BexGetData("DP_1","00O2TNJGODT0G5Z4TTKYMMOLH","GSON1112030942")</f>
        <v>#NAME?</v>
      </c>
      <c r="U402" s="28" t="e">
        <f ca="1">[1]!BexGetData("DP_1","00O2TNJGODT0G5Z4TTKYMMUX1","GSON1112030942")</f>
        <v>#NAME?</v>
      </c>
      <c r="V402" s="28" t="e">
        <f ca="1">[1]!BexGetData("DP_1","00O2TNJGODT0G5Z4TTKYMN18L","GSON1112030942")</f>
        <v>#NAME?</v>
      </c>
      <c r="W402" s="28" t="e">
        <f ca="1">[1]!BexGetData("DP_1","00O2TNJGODT0G5Z4TTKYMN7K5","GSON1112030942")</f>
        <v>#NAME?</v>
      </c>
    </row>
    <row r="403" spans="1:23" x14ac:dyDescent="0.2">
      <c r="A403" s="36" t="s">
        <v>2263</v>
      </c>
      <c r="B403" s="27" t="s">
        <v>2264</v>
      </c>
      <c r="C403" s="24" t="e">
        <f ca="1">[1]!BexGetData("DP_1","003N8EMH8GTFRCSWKMPXRR8GU","GSON1112030943")</f>
        <v>#NAME?</v>
      </c>
      <c r="D403" s="24" t="e">
        <f ca="1">[1]!BexGetData("DP_1","003N8EMH8GTFRCSWKMPXRRESE","GSON1112030943")</f>
        <v>#NAME?</v>
      </c>
      <c r="E403" s="24" t="e">
        <f ca="1">[1]!BexGetData("DP_1","003N8EMH8GTFRCSWKMPXRRL3Y","GSON1112030943")</f>
        <v>#NAME?</v>
      </c>
      <c r="F403" s="28" t="e">
        <f ca="1">[1]!BexGetData("DP_1","003N8EMH8GTFRCSWKMPXRRRFI","GSON1112030943")</f>
        <v>#NAME?</v>
      </c>
      <c r="G403" s="23" t="e">
        <f ca="1">[1]!BexGetData("DP_1","003N8EMH8GTFRCSWKMPXRRXR2","GSON1112030943")</f>
        <v>#NAME?</v>
      </c>
      <c r="H403" s="23" t="e">
        <f ca="1">[1]!BexGetData("DP_1","003N8EMH8GTFRCSWKMPXRS42M","GSON1112030943")</f>
        <v>#NAME?</v>
      </c>
      <c r="I403" s="28" t="e">
        <f ca="1">[1]!BexGetData("DP_1","003N8EMH8GTFRCSWKMPXRSAE6","GSON1112030943")</f>
        <v>#NAME?</v>
      </c>
      <c r="J403" s="24" t="e">
        <f ca="1">[1]!BexGetData("DP_1","003N8EMH8GTFRCSWKMPXRSGPQ","GSON1112030943")</f>
        <v>#NAME?</v>
      </c>
      <c r="K403" s="28" t="e">
        <f ca="1">[1]!BexGetData("DP_1","003N8EMH8GTFRIVNUPY288VJH","GSON1112030943")</f>
        <v>#NAME?</v>
      </c>
      <c r="L403" s="28" t="e">
        <f ca="1">[1]!BexGetData("DP_1","003N8EMH8GTFRIVNUPY2891V1","GSON1112030943")</f>
        <v>#NAME?</v>
      </c>
      <c r="M403" s="28" t="e">
        <f ca="1">[1]!BexGetData("DP_1","003N8EMH8GTFRIVOG7KG9IQXA","GSON1112030943")</f>
        <v>#NAME?</v>
      </c>
      <c r="N403" s="28" t="e">
        <f ca="1">[1]!BexGetData("DP_1","003N8EMH8GTFRIVOG7KG9IX8U","GSON1112030943")</f>
        <v>#NAME?</v>
      </c>
      <c r="O403" s="28" t="e">
        <f ca="1">[1]!BexGetData("DP_1","003N8EMH8GTFRIVOG7KG9J3KE","GSON1112030943")</f>
        <v>#NAME?</v>
      </c>
      <c r="P403" s="28" t="e">
        <f ca="1">[1]!BexGetData("DP_1","003N8EMH8GTFRIVOG7KG9J9VY","GSON1112030943")</f>
        <v>#NAME?</v>
      </c>
      <c r="Q403" s="24" t="e">
        <f ca="1">[1]!BexGetData("DP_1","00O2TNJGODT0G5Z4TTKYMM5MT","GSON1112030943")</f>
        <v>#NAME?</v>
      </c>
      <c r="R403" s="28" t="e">
        <f ca="1">[1]!BexGetData("DP_1","00O2TNJGODT0G5Z4TTKYMMBYD","GSON1112030943")</f>
        <v>#NAME?</v>
      </c>
      <c r="S403" s="28" t="e">
        <f ca="1">[1]!BexGetData("DP_1","00O2TNJGODT0G5Z4TTKYMMI9X","GSON1112030943")</f>
        <v>#NAME?</v>
      </c>
      <c r="T403" s="28" t="e">
        <f ca="1">[1]!BexGetData("DP_1","00O2TNJGODT0G5Z4TTKYMMOLH","GSON1112030943")</f>
        <v>#NAME?</v>
      </c>
      <c r="U403" s="28" t="e">
        <f ca="1">[1]!BexGetData("DP_1","00O2TNJGODT0G5Z4TTKYMMUX1","GSON1112030943")</f>
        <v>#NAME?</v>
      </c>
      <c r="V403" s="28" t="e">
        <f ca="1">[1]!BexGetData("DP_1","00O2TNJGODT0G5Z4TTKYMN18L","GSON1112030943")</f>
        <v>#NAME?</v>
      </c>
      <c r="W403" s="28" t="e">
        <f ca="1">[1]!BexGetData("DP_1","00O2TNJGODT0G5Z4TTKYMN7K5","GSON1112030943")</f>
        <v>#NAME?</v>
      </c>
    </row>
    <row r="404" spans="1:23" x14ac:dyDescent="0.2">
      <c r="A404" s="36" t="s">
        <v>2265</v>
      </c>
      <c r="B404" s="27" t="s">
        <v>925</v>
      </c>
      <c r="C404" s="24" t="e">
        <f ca="1">[1]!BexGetData("DP_1","003N8EMH8GTFRCSWKMPXRR8GU","GSON1112030944")</f>
        <v>#NAME?</v>
      </c>
      <c r="D404" s="24" t="e">
        <f ca="1">[1]!BexGetData("DP_1","003N8EMH8GTFRCSWKMPXRRESE","GSON1112030944")</f>
        <v>#NAME?</v>
      </c>
      <c r="E404" s="24" t="e">
        <f ca="1">[1]!BexGetData("DP_1","003N8EMH8GTFRCSWKMPXRRL3Y","GSON1112030944")</f>
        <v>#NAME?</v>
      </c>
      <c r="F404" s="28" t="e">
        <f ca="1">[1]!BexGetData("DP_1","003N8EMH8GTFRCSWKMPXRRRFI","GSON1112030944")</f>
        <v>#NAME?</v>
      </c>
      <c r="G404" s="23" t="e">
        <f ca="1">[1]!BexGetData("DP_1","003N8EMH8GTFRCSWKMPXRRXR2","GSON1112030944")</f>
        <v>#NAME?</v>
      </c>
      <c r="H404" s="23" t="e">
        <f ca="1">[1]!BexGetData("DP_1","003N8EMH8GTFRCSWKMPXRS42M","GSON1112030944")</f>
        <v>#NAME?</v>
      </c>
      <c r="I404" s="28" t="e">
        <f ca="1">[1]!BexGetData("DP_1","003N8EMH8GTFRCSWKMPXRSAE6","GSON1112030944")</f>
        <v>#NAME?</v>
      </c>
      <c r="J404" s="24" t="e">
        <f ca="1">[1]!BexGetData("DP_1","003N8EMH8GTFRCSWKMPXRSGPQ","GSON1112030944")</f>
        <v>#NAME?</v>
      </c>
      <c r="K404" s="28" t="e">
        <f ca="1">[1]!BexGetData("DP_1","003N8EMH8GTFRIVNUPY288VJH","GSON1112030944")</f>
        <v>#NAME?</v>
      </c>
      <c r="L404" s="28" t="e">
        <f ca="1">[1]!BexGetData("DP_1","003N8EMH8GTFRIVNUPY2891V1","GSON1112030944")</f>
        <v>#NAME?</v>
      </c>
      <c r="M404" s="28" t="e">
        <f ca="1">[1]!BexGetData("DP_1","003N8EMH8GTFRIVOG7KG9IQXA","GSON1112030944")</f>
        <v>#NAME?</v>
      </c>
      <c r="N404" s="28" t="e">
        <f ca="1">[1]!BexGetData("DP_1","003N8EMH8GTFRIVOG7KG9IX8U","GSON1112030944")</f>
        <v>#NAME?</v>
      </c>
      <c r="O404" s="28" t="e">
        <f ca="1">[1]!BexGetData("DP_1","003N8EMH8GTFRIVOG7KG9J3KE","GSON1112030944")</f>
        <v>#NAME?</v>
      </c>
      <c r="P404" s="28" t="e">
        <f ca="1">[1]!BexGetData("DP_1","003N8EMH8GTFRIVOG7KG9J9VY","GSON1112030944")</f>
        <v>#NAME?</v>
      </c>
      <c r="Q404" s="24" t="e">
        <f ca="1">[1]!BexGetData("DP_1","00O2TNJGODT0G5Z4TTKYMM5MT","GSON1112030944")</f>
        <v>#NAME?</v>
      </c>
      <c r="R404" s="28" t="e">
        <f ca="1">[1]!BexGetData("DP_1","00O2TNJGODT0G5Z4TTKYMMBYD","GSON1112030944")</f>
        <v>#NAME?</v>
      </c>
      <c r="S404" s="28" t="e">
        <f ca="1">[1]!BexGetData("DP_1","00O2TNJGODT0G5Z4TTKYMMI9X","GSON1112030944")</f>
        <v>#NAME?</v>
      </c>
      <c r="T404" s="28" t="e">
        <f ca="1">[1]!BexGetData("DP_1","00O2TNJGODT0G5Z4TTKYMMOLH","GSON1112030944")</f>
        <v>#NAME?</v>
      </c>
      <c r="U404" s="28" t="e">
        <f ca="1">[1]!BexGetData("DP_1","00O2TNJGODT0G5Z4TTKYMMUX1","GSON1112030944")</f>
        <v>#NAME?</v>
      </c>
      <c r="V404" s="28" t="e">
        <f ca="1">[1]!BexGetData("DP_1","00O2TNJGODT0G5Z4TTKYMN18L","GSON1112030944")</f>
        <v>#NAME?</v>
      </c>
      <c r="W404" s="28" t="e">
        <f ca="1">[1]!BexGetData("DP_1","00O2TNJGODT0G5Z4TTKYMN7K5","GSON1112030944")</f>
        <v>#NAME?</v>
      </c>
    </row>
    <row r="405" spans="1:23" x14ac:dyDescent="0.2">
      <c r="A405" s="36" t="s">
        <v>2266</v>
      </c>
      <c r="B405" s="27" t="s">
        <v>2267</v>
      </c>
      <c r="C405" s="24" t="e">
        <f ca="1">[1]!BexGetData("DP_1","003N8EMH8GTFRCSWKMPXRR8GU","GSON1112030945")</f>
        <v>#NAME?</v>
      </c>
      <c r="D405" s="24" t="e">
        <f ca="1">[1]!BexGetData("DP_1","003N8EMH8GTFRCSWKMPXRRESE","GSON1112030945")</f>
        <v>#NAME?</v>
      </c>
      <c r="E405" s="24" t="e">
        <f ca="1">[1]!BexGetData("DP_1","003N8EMH8GTFRCSWKMPXRRL3Y","GSON1112030945")</f>
        <v>#NAME?</v>
      </c>
      <c r="F405" s="28" t="e">
        <f ca="1">[1]!BexGetData("DP_1","003N8EMH8GTFRCSWKMPXRRRFI","GSON1112030945")</f>
        <v>#NAME?</v>
      </c>
      <c r="G405" s="23" t="e">
        <f ca="1">[1]!BexGetData("DP_1","003N8EMH8GTFRCSWKMPXRRXR2","GSON1112030945")</f>
        <v>#NAME?</v>
      </c>
      <c r="H405" s="23" t="e">
        <f ca="1">[1]!BexGetData("DP_1","003N8EMH8GTFRCSWKMPXRS42M","GSON1112030945")</f>
        <v>#NAME?</v>
      </c>
      <c r="I405" s="28" t="e">
        <f ca="1">[1]!BexGetData("DP_1","003N8EMH8GTFRCSWKMPXRSAE6","GSON1112030945")</f>
        <v>#NAME?</v>
      </c>
      <c r="J405" s="24" t="e">
        <f ca="1">[1]!BexGetData("DP_1","003N8EMH8GTFRCSWKMPXRSGPQ","GSON1112030945")</f>
        <v>#NAME?</v>
      </c>
      <c r="K405" s="28" t="e">
        <f ca="1">[1]!BexGetData("DP_1","003N8EMH8GTFRIVNUPY288VJH","GSON1112030945")</f>
        <v>#NAME?</v>
      </c>
      <c r="L405" s="28" t="e">
        <f ca="1">[1]!BexGetData("DP_1","003N8EMH8GTFRIVNUPY2891V1","GSON1112030945")</f>
        <v>#NAME?</v>
      </c>
      <c r="M405" s="28" t="e">
        <f ca="1">[1]!BexGetData("DP_1","003N8EMH8GTFRIVOG7KG9IQXA","GSON1112030945")</f>
        <v>#NAME?</v>
      </c>
      <c r="N405" s="28" t="e">
        <f ca="1">[1]!BexGetData("DP_1","003N8EMH8GTFRIVOG7KG9IX8U","GSON1112030945")</f>
        <v>#NAME?</v>
      </c>
      <c r="O405" s="28" t="e">
        <f ca="1">[1]!BexGetData("DP_1","003N8EMH8GTFRIVOG7KG9J3KE","GSON1112030945")</f>
        <v>#NAME?</v>
      </c>
      <c r="P405" s="28" t="e">
        <f ca="1">[1]!BexGetData("DP_1","003N8EMH8GTFRIVOG7KG9J9VY","GSON1112030945")</f>
        <v>#NAME?</v>
      </c>
      <c r="Q405" s="24" t="e">
        <f ca="1">[1]!BexGetData("DP_1","00O2TNJGODT0G5Z4TTKYMM5MT","GSON1112030945")</f>
        <v>#NAME?</v>
      </c>
      <c r="R405" s="28" t="e">
        <f ca="1">[1]!BexGetData("DP_1","00O2TNJGODT0G5Z4TTKYMMBYD","GSON1112030945")</f>
        <v>#NAME?</v>
      </c>
      <c r="S405" s="28" t="e">
        <f ca="1">[1]!BexGetData("DP_1","00O2TNJGODT0G5Z4TTKYMMI9X","GSON1112030945")</f>
        <v>#NAME?</v>
      </c>
      <c r="T405" s="28" t="e">
        <f ca="1">[1]!BexGetData("DP_1","00O2TNJGODT0G5Z4TTKYMMOLH","GSON1112030945")</f>
        <v>#NAME?</v>
      </c>
      <c r="U405" s="28" t="e">
        <f ca="1">[1]!BexGetData("DP_1","00O2TNJGODT0G5Z4TTKYMMUX1","GSON1112030945")</f>
        <v>#NAME?</v>
      </c>
      <c r="V405" s="28" t="e">
        <f ca="1">[1]!BexGetData("DP_1","00O2TNJGODT0G5Z4TTKYMN18L","GSON1112030945")</f>
        <v>#NAME?</v>
      </c>
      <c r="W405" s="28" t="e">
        <f ca="1">[1]!BexGetData("DP_1","00O2TNJGODT0G5Z4TTKYMN7K5","GSON1112030945")</f>
        <v>#NAME?</v>
      </c>
    </row>
    <row r="406" spans="1:23" x14ac:dyDescent="0.2">
      <c r="A406" s="36" t="s">
        <v>2268</v>
      </c>
      <c r="B406" s="27" t="s">
        <v>2269</v>
      </c>
      <c r="C406" s="28" t="e">
        <f ca="1">[1]!BexGetData("DP_1","003N8EMH8GTFRCSWKMPXRR8GU","GSON1112030950")</f>
        <v>#NAME?</v>
      </c>
      <c r="D406" s="28" t="e">
        <f ca="1">[1]!BexGetData("DP_1","003N8EMH8GTFRCSWKMPXRRESE","GSON1112030950")</f>
        <v>#NAME?</v>
      </c>
      <c r="E406" s="28" t="e">
        <f ca="1">[1]!BexGetData("DP_1","003N8EMH8GTFRCSWKMPXRRL3Y","GSON1112030950")</f>
        <v>#NAME?</v>
      </c>
      <c r="F406" s="28" t="e">
        <f ca="1">[1]!BexGetData("DP_1","003N8EMH8GTFRCSWKMPXRRRFI","GSON1112030950")</f>
        <v>#NAME?</v>
      </c>
      <c r="G406" s="28" t="e">
        <f ca="1">[1]!BexGetData("DP_1","003N8EMH8GTFRCSWKMPXRRXR2","GSON1112030950")</f>
        <v>#NAME?</v>
      </c>
      <c r="H406" s="23" t="e">
        <f ca="1">[1]!BexGetData("DP_1","003N8EMH8GTFRCSWKMPXRS42M","GSON1112030950")</f>
        <v>#NAME?</v>
      </c>
      <c r="I406" s="28" t="e">
        <f ca="1">[1]!BexGetData("DP_1","003N8EMH8GTFRCSWKMPXRSAE6","GSON1112030950")</f>
        <v>#NAME?</v>
      </c>
      <c r="J406" s="23" t="e">
        <f ca="1">[1]!BexGetData("DP_1","003N8EMH8GTFRCSWKMPXRSGPQ","GSON1112030950")</f>
        <v>#NAME?</v>
      </c>
      <c r="K406" s="28" t="e">
        <f ca="1">[1]!BexGetData("DP_1","003N8EMH8GTFRIVNUPY288VJH","GSON1112030950")</f>
        <v>#NAME?</v>
      </c>
      <c r="L406" s="28" t="e">
        <f ca="1">[1]!BexGetData("DP_1","003N8EMH8GTFRIVNUPY2891V1","GSON1112030950")</f>
        <v>#NAME?</v>
      </c>
      <c r="M406" s="28" t="e">
        <f ca="1">[1]!BexGetData("DP_1","003N8EMH8GTFRIVOG7KG9IQXA","GSON1112030950")</f>
        <v>#NAME?</v>
      </c>
      <c r="N406" s="28" t="e">
        <f ca="1">[1]!BexGetData("DP_1","003N8EMH8GTFRIVOG7KG9IX8U","GSON1112030950")</f>
        <v>#NAME?</v>
      </c>
      <c r="O406" s="28" t="e">
        <f ca="1">[1]!BexGetData("DP_1","003N8EMH8GTFRIVOG7KG9J3KE","GSON1112030950")</f>
        <v>#NAME?</v>
      </c>
      <c r="P406" s="28" t="e">
        <f ca="1">[1]!BexGetData("DP_1","003N8EMH8GTFRIVOG7KG9J9VY","GSON1112030950")</f>
        <v>#NAME?</v>
      </c>
      <c r="Q406" s="23" t="e">
        <f ca="1">[1]!BexGetData("DP_1","00O2TNJGODT0G5Z4TTKYMM5MT","GSON1112030950")</f>
        <v>#NAME?</v>
      </c>
      <c r="R406" s="23" t="e">
        <f ca="1">[1]!BexGetData("DP_1","00O2TNJGODT0G5Z4TTKYMMBYD","GSON1112030950")</f>
        <v>#NAME?</v>
      </c>
      <c r="S406" s="23" t="e">
        <f ca="1">[1]!BexGetData("DP_1","00O2TNJGODT0G5Z4TTKYMMI9X","GSON1112030950")</f>
        <v>#NAME?</v>
      </c>
      <c r="T406" s="23" t="e">
        <f ca="1">[1]!BexGetData("DP_1","00O2TNJGODT0G5Z4TTKYMMOLH","GSON1112030950")</f>
        <v>#NAME?</v>
      </c>
      <c r="U406" s="28" t="e">
        <f ca="1">[1]!BexGetData("DP_1","00O2TNJGODT0G5Z4TTKYMMUX1","GSON1112030950")</f>
        <v>#NAME?</v>
      </c>
      <c r="V406" s="23" t="e">
        <f ca="1">[1]!BexGetData("DP_1","00O2TNJGODT0G5Z4TTKYMN18L","GSON1112030950")</f>
        <v>#NAME?</v>
      </c>
      <c r="W406" s="28" t="e">
        <f ca="1">[1]!BexGetData("DP_1","00O2TNJGODT0G5Z4TTKYMN7K5","GSON1112030950")</f>
        <v>#NAME?</v>
      </c>
    </row>
    <row r="407" spans="1:23" x14ac:dyDescent="0.2">
      <c r="A407" s="36" t="s">
        <v>2270</v>
      </c>
      <c r="B407" s="27" t="s">
        <v>2271</v>
      </c>
      <c r="C407" s="24" t="e">
        <f ca="1">[1]!BexGetData("DP_1","003N8EMH8GTFRCSWKMPXRR8GU","GSON1112030953")</f>
        <v>#NAME?</v>
      </c>
      <c r="D407" s="24" t="e">
        <f ca="1">[1]!BexGetData("DP_1","003N8EMH8GTFRCSWKMPXRRESE","GSON1112030953")</f>
        <v>#NAME?</v>
      </c>
      <c r="E407" s="24" t="e">
        <f ca="1">[1]!BexGetData("DP_1","003N8EMH8GTFRCSWKMPXRRL3Y","GSON1112030953")</f>
        <v>#NAME?</v>
      </c>
      <c r="F407" s="28" t="e">
        <f ca="1">[1]!BexGetData("DP_1","003N8EMH8GTFRCSWKMPXRRRFI","GSON1112030953")</f>
        <v>#NAME?</v>
      </c>
      <c r="G407" s="23" t="e">
        <f ca="1">[1]!BexGetData("DP_1","003N8EMH8GTFRCSWKMPXRRXR2","GSON1112030953")</f>
        <v>#NAME?</v>
      </c>
      <c r="H407" s="23" t="e">
        <f ca="1">[1]!BexGetData("DP_1","003N8EMH8GTFRCSWKMPXRS42M","GSON1112030953")</f>
        <v>#NAME?</v>
      </c>
      <c r="I407" s="28" t="e">
        <f ca="1">[1]!BexGetData("DP_1","003N8EMH8GTFRCSWKMPXRSAE6","GSON1112030953")</f>
        <v>#NAME?</v>
      </c>
      <c r="J407" s="24" t="e">
        <f ca="1">[1]!BexGetData("DP_1","003N8EMH8GTFRCSWKMPXRSGPQ","GSON1112030953")</f>
        <v>#NAME?</v>
      </c>
      <c r="K407" s="28" t="e">
        <f ca="1">[1]!BexGetData("DP_1","003N8EMH8GTFRIVNUPY288VJH","GSON1112030953")</f>
        <v>#NAME?</v>
      </c>
      <c r="L407" s="28" t="e">
        <f ca="1">[1]!BexGetData("DP_1","003N8EMH8GTFRIVNUPY2891V1","GSON1112030953")</f>
        <v>#NAME?</v>
      </c>
      <c r="M407" s="28" t="e">
        <f ca="1">[1]!BexGetData("DP_1","003N8EMH8GTFRIVOG7KG9IQXA","GSON1112030953")</f>
        <v>#NAME?</v>
      </c>
      <c r="N407" s="28" t="e">
        <f ca="1">[1]!BexGetData("DP_1","003N8EMH8GTFRIVOG7KG9IX8U","GSON1112030953")</f>
        <v>#NAME?</v>
      </c>
      <c r="O407" s="28" t="e">
        <f ca="1">[1]!BexGetData("DP_1","003N8EMH8GTFRIVOG7KG9J3KE","GSON1112030953")</f>
        <v>#NAME?</v>
      </c>
      <c r="P407" s="28" t="e">
        <f ca="1">[1]!BexGetData("DP_1","003N8EMH8GTFRIVOG7KG9J9VY","GSON1112030953")</f>
        <v>#NAME?</v>
      </c>
      <c r="Q407" s="24" t="e">
        <f ca="1">[1]!BexGetData("DP_1","00O2TNJGODT0G5Z4TTKYMM5MT","GSON1112030953")</f>
        <v>#NAME?</v>
      </c>
      <c r="R407" s="28" t="e">
        <f ca="1">[1]!BexGetData("DP_1","00O2TNJGODT0G5Z4TTKYMMBYD","GSON1112030953")</f>
        <v>#NAME?</v>
      </c>
      <c r="S407" s="28" t="e">
        <f ca="1">[1]!BexGetData("DP_1","00O2TNJGODT0G5Z4TTKYMMI9X","GSON1112030953")</f>
        <v>#NAME?</v>
      </c>
      <c r="T407" s="28" t="e">
        <f ca="1">[1]!BexGetData("DP_1","00O2TNJGODT0G5Z4TTKYMMOLH","GSON1112030953")</f>
        <v>#NAME?</v>
      </c>
      <c r="U407" s="28" t="e">
        <f ca="1">[1]!BexGetData("DP_1","00O2TNJGODT0G5Z4TTKYMMUX1","GSON1112030953")</f>
        <v>#NAME?</v>
      </c>
      <c r="V407" s="28" t="e">
        <f ca="1">[1]!BexGetData("DP_1","00O2TNJGODT0G5Z4TTKYMN18L","GSON1112030953")</f>
        <v>#NAME?</v>
      </c>
      <c r="W407" s="28" t="e">
        <f ca="1">[1]!BexGetData("DP_1","00O2TNJGODT0G5Z4TTKYMN7K5","GSON1112030953")</f>
        <v>#NAME?</v>
      </c>
    </row>
    <row r="408" spans="1:23" x14ac:dyDescent="0.2">
      <c r="A408" s="36" t="s">
        <v>2272</v>
      </c>
      <c r="B408" s="27" t="s">
        <v>926</v>
      </c>
      <c r="C408" s="23" t="e">
        <f ca="1">[1]!BexGetData("DP_1","003N8EMH8GTFRCSWKMPXRR8GU","GSON1112030960")</f>
        <v>#NAME?</v>
      </c>
      <c r="D408" s="23" t="e">
        <f ca="1">[1]!BexGetData("DP_1","003N8EMH8GTFRCSWKMPXRRESE","GSON1112030960")</f>
        <v>#NAME?</v>
      </c>
      <c r="E408" s="23" t="e">
        <f ca="1">[1]!BexGetData("DP_1","003N8EMH8GTFRCSWKMPXRRL3Y","GSON1112030960")</f>
        <v>#NAME?</v>
      </c>
      <c r="F408" s="23" t="e">
        <f ca="1">[1]!BexGetData("DP_1","003N8EMH8GTFRCSWKMPXRRRFI","GSON1112030960")</f>
        <v>#NAME?</v>
      </c>
      <c r="G408" s="23" t="e">
        <f ca="1">[1]!BexGetData("DP_1","003N8EMH8GTFRCSWKMPXRRXR2","GSON1112030960")</f>
        <v>#NAME?</v>
      </c>
      <c r="H408" s="23" t="e">
        <f ca="1">[1]!BexGetData("DP_1","003N8EMH8GTFRCSWKMPXRS42M","GSON1112030960")</f>
        <v>#NAME?</v>
      </c>
      <c r="I408" s="23" t="e">
        <f ca="1">[1]!BexGetData("DP_1","003N8EMH8GTFRCSWKMPXRSAE6","GSON1112030960")</f>
        <v>#NAME?</v>
      </c>
      <c r="J408" s="23" t="e">
        <f ca="1">[1]!BexGetData("DP_1","003N8EMH8GTFRCSWKMPXRSGPQ","GSON1112030960")</f>
        <v>#NAME?</v>
      </c>
      <c r="K408" s="23" t="e">
        <f ca="1">[1]!BexGetData("DP_1","003N8EMH8GTFRIVNUPY288VJH","GSON1112030960")</f>
        <v>#NAME?</v>
      </c>
      <c r="L408" s="23" t="e">
        <f ca="1">[1]!BexGetData("DP_1","003N8EMH8GTFRIVNUPY2891V1","GSON1112030960")</f>
        <v>#NAME?</v>
      </c>
      <c r="M408" s="28" t="e">
        <f ca="1">[1]!BexGetData("DP_1","003N8EMH8GTFRIVOG7KG9IQXA","GSON1112030960")</f>
        <v>#NAME?</v>
      </c>
      <c r="N408" s="23" t="e">
        <f ca="1">[1]!BexGetData("DP_1","003N8EMH8GTFRIVOG7KG9IX8U","GSON1112030960")</f>
        <v>#NAME?</v>
      </c>
      <c r="O408" s="28" t="e">
        <f ca="1">[1]!BexGetData("DP_1","003N8EMH8GTFRIVOG7KG9J3KE","GSON1112030960")</f>
        <v>#NAME?</v>
      </c>
      <c r="P408" s="23" t="e">
        <f ca="1">[1]!BexGetData("DP_1","003N8EMH8GTFRIVOG7KG9J9VY","GSON1112030960")</f>
        <v>#NAME?</v>
      </c>
      <c r="Q408" s="23" t="e">
        <f ca="1">[1]!BexGetData("DP_1","00O2TNJGODT0G5Z4TTKYMM5MT","GSON1112030960")</f>
        <v>#NAME?</v>
      </c>
      <c r="R408" s="23" t="e">
        <f ca="1">[1]!BexGetData("DP_1","00O2TNJGODT0G5Z4TTKYMMBYD","GSON1112030960")</f>
        <v>#NAME?</v>
      </c>
      <c r="S408" s="23" t="e">
        <f ca="1">[1]!BexGetData("DP_1","00O2TNJGODT0G5Z4TTKYMMI9X","GSON1112030960")</f>
        <v>#NAME?</v>
      </c>
      <c r="T408" s="28" t="e">
        <f ca="1">[1]!BexGetData("DP_1","00O2TNJGODT0G5Z4TTKYMMOLH","GSON1112030960")</f>
        <v>#NAME?</v>
      </c>
      <c r="U408" s="23" t="e">
        <f ca="1">[1]!BexGetData("DP_1","00O2TNJGODT0G5Z4TTKYMMUX1","GSON1112030960")</f>
        <v>#NAME?</v>
      </c>
      <c r="V408" s="28" t="e">
        <f ca="1">[1]!BexGetData("DP_1","00O2TNJGODT0G5Z4TTKYMN18L","GSON1112030960")</f>
        <v>#NAME?</v>
      </c>
      <c r="W408" s="23" t="e">
        <f ca="1">[1]!BexGetData("DP_1","00O2TNJGODT0G5Z4TTKYMN7K5","GSON1112030960")</f>
        <v>#NAME?</v>
      </c>
    </row>
    <row r="409" spans="1:23" x14ac:dyDescent="0.2">
      <c r="A409" s="36" t="s">
        <v>2273</v>
      </c>
      <c r="B409" s="27" t="s">
        <v>927</v>
      </c>
      <c r="C409" s="23" t="e">
        <f ca="1">[1]!BexGetData("DP_1","003N8EMH8GTFRCSWKMPXRR8GU","GSON1112030961")</f>
        <v>#NAME?</v>
      </c>
      <c r="D409" s="23" t="e">
        <f ca="1">[1]!BexGetData("DP_1","003N8EMH8GTFRCSWKMPXRRESE","GSON1112030961")</f>
        <v>#NAME?</v>
      </c>
      <c r="E409" s="28" t="e">
        <f ca="1">[1]!BexGetData("DP_1","003N8EMH8GTFRCSWKMPXRRL3Y","GSON1112030961")</f>
        <v>#NAME?</v>
      </c>
      <c r="F409" s="28" t="e">
        <f ca="1">[1]!BexGetData("DP_1","003N8EMH8GTFRCSWKMPXRRRFI","GSON1112030961")</f>
        <v>#NAME?</v>
      </c>
      <c r="G409" s="23" t="e">
        <f ca="1">[1]!BexGetData("DP_1","003N8EMH8GTFRCSWKMPXRRXR2","GSON1112030961")</f>
        <v>#NAME?</v>
      </c>
      <c r="H409" s="23" t="e">
        <f ca="1">[1]!BexGetData("DP_1","003N8EMH8GTFRCSWKMPXRS42M","GSON1112030961")</f>
        <v>#NAME?</v>
      </c>
      <c r="I409" s="28" t="e">
        <f ca="1">[1]!BexGetData("DP_1","003N8EMH8GTFRCSWKMPXRSAE6","GSON1112030961")</f>
        <v>#NAME?</v>
      </c>
      <c r="J409" s="23" t="e">
        <f ca="1">[1]!BexGetData("DP_1","003N8EMH8GTFRCSWKMPXRSGPQ","GSON1112030961")</f>
        <v>#NAME?</v>
      </c>
      <c r="K409" s="28" t="e">
        <f ca="1">[1]!BexGetData("DP_1","003N8EMH8GTFRIVNUPY288VJH","GSON1112030961")</f>
        <v>#NAME?</v>
      </c>
      <c r="L409" s="28" t="e">
        <f ca="1">[1]!BexGetData("DP_1","003N8EMH8GTFRIVNUPY2891V1","GSON1112030961")</f>
        <v>#NAME?</v>
      </c>
      <c r="M409" s="28" t="e">
        <f ca="1">[1]!BexGetData("DP_1","003N8EMH8GTFRIVOG7KG9IQXA","GSON1112030961")</f>
        <v>#NAME?</v>
      </c>
      <c r="N409" s="28" t="e">
        <f ca="1">[1]!BexGetData("DP_1","003N8EMH8GTFRIVOG7KG9IX8U","GSON1112030961")</f>
        <v>#NAME?</v>
      </c>
      <c r="O409" s="28" t="e">
        <f ca="1">[1]!BexGetData("DP_1","003N8EMH8GTFRIVOG7KG9J3KE","GSON1112030961")</f>
        <v>#NAME?</v>
      </c>
      <c r="P409" s="28" t="e">
        <f ca="1">[1]!BexGetData("DP_1","003N8EMH8GTFRIVOG7KG9J9VY","GSON1112030961")</f>
        <v>#NAME?</v>
      </c>
      <c r="Q409" s="23" t="e">
        <f ca="1">[1]!BexGetData("DP_1","00O2TNJGODT0G5Z4TTKYMM5MT","GSON1112030961")</f>
        <v>#NAME?</v>
      </c>
      <c r="R409" s="23" t="e">
        <f ca="1">[1]!BexGetData("DP_1","00O2TNJGODT0G5Z4TTKYMMBYD","GSON1112030961")</f>
        <v>#NAME?</v>
      </c>
      <c r="S409" s="23" t="e">
        <f ca="1">[1]!BexGetData("DP_1","00O2TNJGODT0G5Z4TTKYMMI9X","GSON1112030961")</f>
        <v>#NAME?</v>
      </c>
      <c r="T409" s="23" t="e">
        <f ca="1">[1]!BexGetData("DP_1","00O2TNJGODT0G5Z4TTKYMMOLH","GSON1112030961")</f>
        <v>#NAME?</v>
      </c>
      <c r="U409" s="28" t="e">
        <f ca="1">[1]!BexGetData("DP_1","00O2TNJGODT0G5Z4TTKYMMUX1","GSON1112030961")</f>
        <v>#NAME?</v>
      </c>
      <c r="V409" s="23" t="e">
        <f ca="1">[1]!BexGetData("DP_1","00O2TNJGODT0G5Z4TTKYMN18L","GSON1112030961")</f>
        <v>#NAME?</v>
      </c>
      <c r="W409" s="28" t="e">
        <f ca="1">[1]!BexGetData("DP_1","00O2TNJGODT0G5Z4TTKYMN7K5","GSON1112030961")</f>
        <v>#NAME?</v>
      </c>
    </row>
    <row r="410" spans="1:23" x14ac:dyDescent="0.2">
      <c r="A410" s="36" t="s">
        <v>2274</v>
      </c>
      <c r="B410" s="27" t="s">
        <v>2275</v>
      </c>
      <c r="C410" s="23" t="e">
        <f ca="1">[1]!BexGetData("DP_1","003N8EMH8GTFRCSWKMPXRR8GU","GSON1112030963")</f>
        <v>#NAME?</v>
      </c>
      <c r="D410" s="23" t="e">
        <f ca="1">[1]!BexGetData("DP_1","003N8EMH8GTFRCSWKMPXRRESE","GSON1112030963")</f>
        <v>#NAME?</v>
      </c>
      <c r="E410" s="28" t="e">
        <f ca="1">[1]!BexGetData("DP_1","003N8EMH8GTFRCSWKMPXRRL3Y","GSON1112030963")</f>
        <v>#NAME?</v>
      </c>
      <c r="F410" s="28" t="e">
        <f ca="1">[1]!BexGetData("DP_1","003N8EMH8GTFRCSWKMPXRRRFI","GSON1112030963")</f>
        <v>#NAME?</v>
      </c>
      <c r="G410" s="23" t="e">
        <f ca="1">[1]!BexGetData("DP_1","003N8EMH8GTFRCSWKMPXRRXR2","GSON1112030963")</f>
        <v>#NAME?</v>
      </c>
      <c r="H410" s="23" t="e">
        <f ca="1">[1]!BexGetData("DP_1","003N8EMH8GTFRCSWKMPXRS42M","GSON1112030963")</f>
        <v>#NAME?</v>
      </c>
      <c r="I410" s="28" t="e">
        <f ca="1">[1]!BexGetData("DP_1","003N8EMH8GTFRCSWKMPXRSAE6","GSON1112030963")</f>
        <v>#NAME?</v>
      </c>
      <c r="J410" s="24" t="e">
        <f ca="1">[1]!BexGetData("DP_1","003N8EMH8GTFRCSWKMPXRSGPQ","GSON1112030963")</f>
        <v>#NAME?</v>
      </c>
      <c r="K410" s="28" t="e">
        <f ca="1">[1]!BexGetData("DP_1","003N8EMH8GTFRIVNUPY288VJH","GSON1112030963")</f>
        <v>#NAME?</v>
      </c>
      <c r="L410" s="28" t="e">
        <f ca="1">[1]!BexGetData("DP_1","003N8EMH8GTFRIVNUPY2891V1","GSON1112030963")</f>
        <v>#NAME?</v>
      </c>
      <c r="M410" s="28" t="e">
        <f ca="1">[1]!BexGetData("DP_1","003N8EMH8GTFRIVOG7KG9IQXA","GSON1112030963")</f>
        <v>#NAME?</v>
      </c>
      <c r="N410" s="28" t="e">
        <f ca="1">[1]!BexGetData("DP_1","003N8EMH8GTFRIVOG7KG9IX8U","GSON1112030963")</f>
        <v>#NAME?</v>
      </c>
      <c r="O410" s="28" t="e">
        <f ca="1">[1]!BexGetData("DP_1","003N8EMH8GTFRIVOG7KG9J3KE","GSON1112030963")</f>
        <v>#NAME?</v>
      </c>
      <c r="P410" s="28" t="e">
        <f ca="1">[1]!BexGetData("DP_1","003N8EMH8GTFRIVOG7KG9J9VY","GSON1112030963")</f>
        <v>#NAME?</v>
      </c>
      <c r="Q410" s="24" t="e">
        <f ca="1">[1]!BexGetData("DP_1","00O2TNJGODT0G5Z4TTKYMM5MT","GSON1112030963")</f>
        <v>#NAME?</v>
      </c>
      <c r="R410" s="28" t="e">
        <f ca="1">[1]!BexGetData("DP_1","00O2TNJGODT0G5Z4TTKYMMBYD","GSON1112030963")</f>
        <v>#NAME?</v>
      </c>
      <c r="S410" s="28" t="e">
        <f ca="1">[1]!BexGetData("DP_1","00O2TNJGODT0G5Z4TTKYMMI9X","GSON1112030963")</f>
        <v>#NAME?</v>
      </c>
      <c r="T410" s="28" t="e">
        <f ca="1">[1]!BexGetData("DP_1","00O2TNJGODT0G5Z4TTKYMMOLH","GSON1112030963")</f>
        <v>#NAME?</v>
      </c>
      <c r="U410" s="28" t="e">
        <f ca="1">[1]!BexGetData("DP_1","00O2TNJGODT0G5Z4TTKYMMUX1","GSON1112030963")</f>
        <v>#NAME?</v>
      </c>
      <c r="V410" s="28" t="e">
        <f ca="1">[1]!BexGetData("DP_1","00O2TNJGODT0G5Z4TTKYMN18L","GSON1112030963")</f>
        <v>#NAME?</v>
      </c>
      <c r="W410" s="28" t="e">
        <f ca="1">[1]!BexGetData("DP_1","00O2TNJGODT0G5Z4TTKYMN7K5","GSON1112030963")</f>
        <v>#NAME?</v>
      </c>
    </row>
    <row r="411" spans="1:23" x14ac:dyDescent="0.2">
      <c r="A411" s="36" t="s">
        <v>2276</v>
      </c>
      <c r="B411" s="27" t="s">
        <v>2277</v>
      </c>
      <c r="C411" s="23" t="e">
        <f ca="1">[1]!BexGetData("DP_1","003N8EMH8GTFRCSWKMPXRR8GU","GSON1112030965")</f>
        <v>#NAME?</v>
      </c>
      <c r="D411" s="23" t="e">
        <f ca="1">[1]!BexGetData("DP_1","003N8EMH8GTFRCSWKMPXRRESE","GSON1112030965")</f>
        <v>#NAME?</v>
      </c>
      <c r="E411" s="28" t="e">
        <f ca="1">[1]!BexGetData("DP_1","003N8EMH8GTFRCSWKMPXRRL3Y","GSON1112030965")</f>
        <v>#NAME?</v>
      </c>
      <c r="F411" s="28" t="e">
        <f ca="1">[1]!BexGetData("DP_1","003N8EMH8GTFRCSWKMPXRRRFI","GSON1112030965")</f>
        <v>#NAME?</v>
      </c>
      <c r="G411" s="23" t="e">
        <f ca="1">[1]!BexGetData("DP_1","003N8EMH8GTFRCSWKMPXRRXR2","GSON1112030965")</f>
        <v>#NAME?</v>
      </c>
      <c r="H411" s="23" t="e">
        <f ca="1">[1]!BexGetData("DP_1","003N8EMH8GTFRCSWKMPXRS42M","GSON1112030965")</f>
        <v>#NAME?</v>
      </c>
      <c r="I411" s="28" t="e">
        <f ca="1">[1]!BexGetData("DP_1","003N8EMH8GTFRCSWKMPXRSAE6","GSON1112030965")</f>
        <v>#NAME?</v>
      </c>
      <c r="J411" s="24" t="e">
        <f ca="1">[1]!BexGetData("DP_1","003N8EMH8GTFRCSWKMPXRSGPQ","GSON1112030965")</f>
        <v>#NAME?</v>
      </c>
      <c r="K411" s="28" t="e">
        <f ca="1">[1]!BexGetData("DP_1","003N8EMH8GTFRIVNUPY288VJH","GSON1112030965")</f>
        <v>#NAME?</v>
      </c>
      <c r="L411" s="28" t="e">
        <f ca="1">[1]!BexGetData("DP_1","003N8EMH8GTFRIVNUPY2891V1","GSON1112030965")</f>
        <v>#NAME?</v>
      </c>
      <c r="M411" s="28" t="e">
        <f ca="1">[1]!BexGetData("DP_1","003N8EMH8GTFRIVOG7KG9IQXA","GSON1112030965")</f>
        <v>#NAME?</v>
      </c>
      <c r="N411" s="28" t="e">
        <f ca="1">[1]!BexGetData("DP_1","003N8EMH8GTFRIVOG7KG9IX8U","GSON1112030965")</f>
        <v>#NAME?</v>
      </c>
      <c r="O411" s="28" t="e">
        <f ca="1">[1]!BexGetData("DP_1","003N8EMH8GTFRIVOG7KG9J3KE","GSON1112030965")</f>
        <v>#NAME?</v>
      </c>
      <c r="P411" s="28" t="e">
        <f ca="1">[1]!BexGetData("DP_1","003N8EMH8GTFRIVOG7KG9J9VY","GSON1112030965")</f>
        <v>#NAME?</v>
      </c>
      <c r="Q411" s="24" t="e">
        <f ca="1">[1]!BexGetData("DP_1","00O2TNJGODT0G5Z4TTKYMM5MT","GSON1112030965")</f>
        <v>#NAME?</v>
      </c>
      <c r="R411" s="28" t="e">
        <f ca="1">[1]!BexGetData("DP_1","00O2TNJGODT0G5Z4TTKYMMBYD","GSON1112030965")</f>
        <v>#NAME?</v>
      </c>
      <c r="S411" s="28" t="e">
        <f ca="1">[1]!BexGetData("DP_1","00O2TNJGODT0G5Z4TTKYMMI9X","GSON1112030965")</f>
        <v>#NAME?</v>
      </c>
      <c r="T411" s="28" t="e">
        <f ca="1">[1]!BexGetData("DP_1","00O2TNJGODT0G5Z4TTKYMMOLH","GSON1112030965")</f>
        <v>#NAME?</v>
      </c>
      <c r="U411" s="28" t="e">
        <f ca="1">[1]!BexGetData("DP_1","00O2TNJGODT0G5Z4TTKYMMUX1","GSON1112030965")</f>
        <v>#NAME?</v>
      </c>
      <c r="V411" s="28" t="e">
        <f ca="1">[1]!BexGetData("DP_1","00O2TNJGODT0G5Z4TTKYMN18L","GSON1112030965")</f>
        <v>#NAME?</v>
      </c>
      <c r="W411" s="28" t="e">
        <f ca="1">[1]!BexGetData("DP_1","00O2TNJGODT0G5Z4TTKYMN7K5","GSON1112030965")</f>
        <v>#NAME?</v>
      </c>
    </row>
    <row r="412" spans="1:23" x14ac:dyDescent="0.2">
      <c r="A412" s="36" t="s">
        <v>928</v>
      </c>
      <c r="B412" s="27" t="s">
        <v>929</v>
      </c>
      <c r="C412" s="23" t="e">
        <f ca="1">[1]!BexGetData("DP_1","003N8EMH8GTFRCSWKMPXRR8GU","GSON1112030970")</f>
        <v>#NAME?</v>
      </c>
      <c r="D412" s="28" t="e">
        <f ca="1">[1]!BexGetData("DP_1","003N8EMH8GTFRCSWKMPXRRESE","GSON1112030970")</f>
        <v>#NAME?</v>
      </c>
      <c r="E412" s="23" t="e">
        <f ca="1">[1]!BexGetData("DP_1","003N8EMH8GTFRCSWKMPXRRL3Y","GSON1112030970")</f>
        <v>#NAME?</v>
      </c>
      <c r="F412" s="23" t="e">
        <f ca="1">[1]!BexGetData("DP_1","003N8EMH8GTFRCSWKMPXRRRFI","GSON1112030970")</f>
        <v>#NAME?</v>
      </c>
      <c r="G412" s="23" t="e">
        <f ca="1">[1]!BexGetData("DP_1","003N8EMH8GTFRCSWKMPXRRXR2","GSON1112030970")</f>
        <v>#NAME?</v>
      </c>
      <c r="H412" s="23" t="e">
        <f ca="1">[1]!BexGetData("DP_1","003N8EMH8GTFRCSWKMPXRS42M","GSON1112030970")</f>
        <v>#NAME?</v>
      </c>
      <c r="I412" s="23" t="e">
        <f ca="1">[1]!BexGetData("DP_1","003N8EMH8GTFRCSWKMPXRSAE6","GSON1112030970")</f>
        <v>#NAME?</v>
      </c>
      <c r="J412" s="23" t="e">
        <f ca="1">[1]!BexGetData("DP_1","003N8EMH8GTFRCSWKMPXRSGPQ","GSON1112030970")</f>
        <v>#NAME?</v>
      </c>
      <c r="K412" s="23" t="e">
        <f ca="1">[1]!BexGetData("DP_1","003N8EMH8GTFRIVNUPY288VJH","GSON1112030970")</f>
        <v>#NAME?</v>
      </c>
      <c r="L412" s="23" t="e">
        <f ca="1">[1]!BexGetData("DP_1","003N8EMH8GTFRIVNUPY2891V1","GSON1112030970")</f>
        <v>#NAME?</v>
      </c>
      <c r="M412" s="28" t="e">
        <f ca="1">[1]!BexGetData("DP_1","003N8EMH8GTFRIVOG7KG9IQXA","GSON1112030970")</f>
        <v>#NAME?</v>
      </c>
      <c r="N412" s="23" t="e">
        <f ca="1">[1]!BexGetData("DP_1","003N8EMH8GTFRIVOG7KG9IX8U","GSON1112030970")</f>
        <v>#NAME?</v>
      </c>
      <c r="O412" s="28" t="e">
        <f ca="1">[1]!BexGetData("DP_1","003N8EMH8GTFRIVOG7KG9J3KE","GSON1112030970")</f>
        <v>#NAME?</v>
      </c>
      <c r="P412" s="23" t="e">
        <f ca="1">[1]!BexGetData("DP_1","003N8EMH8GTFRIVOG7KG9J9VY","GSON1112030970")</f>
        <v>#NAME?</v>
      </c>
      <c r="Q412" s="23" t="e">
        <f ca="1">[1]!BexGetData("DP_1","00O2TNJGODT0G5Z4TTKYMM5MT","GSON1112030970")</f>
        <v>#NAME?</v>
      </c>
      <c r="R412" s="23" t="e">
        <f ca="1">[1]!BexGetData("DP_1","00O2TNJGODT0G5Z4TTKYMMBYD","GSON1112030970")</f>
        <v>#NAME?</v>
      </c>
      <c r="S412" s="23" t="e">
        <f ca="1">[1]!BexGetData("DP_1","00O2TNJGODT0G5Z4TTKYMMI9X","GSON1112030970")</f>
        <v>#NAME?</v>
      </c>
      <c r="T412" s="28" t="e">
        <f ca="1">[1]!BexGetData("DP_1","00O2TNJGODT0G5Z4TTKYMMOLH","GSON1112030970")</f>
        <v>#NAME?</v>
      </c>
      <c r="U412" s="23" t="e">
        <f ca="1">[1]!BexGetData("DP_1","00O2TNJGODT0G5Z4TTKYMMUX1","GSON1112030970")</f>
        <v>#NAME?</v>
      </c>
      <c r="V412" s="28" t="e">
        <f ca="1">[1]!BexGetData("DP_1","00O2TNJGODT0G5Z4TTKYMN18L","GSON1112030970")</f>
        <v>#NAME?</v>
      </c>
      <c r="W412" s="23" t="e">
        <f ca="1">[1]!BexGetData("DP_1","00O2TNJGODT0G5Z4TTKYMN7K5","GSON1112030970")</f>
        <v>#NAME?</v>
      </c>
    </row>
    <row r="413" spans="1:23" x14ac:dyDescent="0.2">
      <c r="A413" s="36" t="s">
        <v>930</v>
      </c>
      <c r="B413" s="27" t="s">
        <v>931</v>
      </c>
      <c r="C413" s="23" t="e">
        <f ca="1">[1]!BexGetData("DP_1","003N8EMH8GTFRCSWKMPXRR8GU","GSON1112030971")</f>
        <v>#NAME?</v>
      </c>
      <c r="D413" s="23" t="e">
        <f ca="1">[1]!BexGetData("DP_1","003N8EMH8GTFRCSWKMPXRRESE","GSON1112030971")</f>
        <v>#NAME?</v>
      </c>
      <c r="E413" s="28" t="e">
        <f ca="1">[1]!BexGetData("DP_1","003N8EMH8GTFRCSWKMPXRRL3Y","GSON1112030971")</f>
        <v>#NAME?</v>
      </c>
      <c r="F413" s="28" t="e">
        <f ca="1">[1]!BexGetData("DP_1","003N8EMH8GTFRCSWKMPXRRRFI","GSON1112030971")</f>
        <v>#NAME?</v>
      </c>
      <c r="G413" s="23" t="e">
        <f ca="1">[1]!BexGetData("DP_1","003N8EMH8GTFRCSWKMPXRRXR2","GSON1112030971")</f>
        <v>#NAME?</v>
      </c>
      <c r="H413" s="23" t="e">
        <f ca="1">[1]!BexGetData("DP_1","003N8EMH8GTFRCSWKMPXRS42M","GSON1112030971")</f>
        <v>#NAME?</v>
      </c>
      <c r="I413" s="28" t="e">
        <f ca="1">[1]!BexGetData("DP_1","003N8EMH8GTFRCSWKMPXRSAE6","GSON1112030971")</f>
        <v>#NAME?</v>
      </c>
      <c r="J413" s="24" t="e">
        <f ca="1">[1]!BexGetData("DP_1","003N8EMH8GTFRCSWKMPXRSGPQ","GSON1112030971")</f>
        <v>#NAME?</v>
      </c>
      <c r="K413" s="28" t="e">
        <f ca="1">[1]!BexGetData("DP_1","003N8EMH8GTFRIVNUPY288VJH","GSON1112030971")</f>
        <v>#NAME?</v>
      </c>
      <c r="L413" s="28" t="e">
        <f ca="1">[1]!BexGetData("DP_1","003N8EMH8GTFRIVNUPY2891V1","GSON1112030971")</f>
        <v>#NAME?</v>
      </c>
      <c r="M413" s="28" t="e">
        <f ca="1">[1]!BexGetData("DP_1","003N8EMH8GTFRIVOG7KG9IQXA","GSON1112030971")</f>
        <v>#NAME?</v>
      </c>
      <c r="N413" s="28" t="e">
        <f ca="1">[1]!BexGetData("DP_1","003N8EMH8GTFRIVOG7KG9IX8U","GSON1112030971")</f>
        <v>#NAME?</v>
      </c>
      <c r="O413" s="28" t="e">
        <f ca="1">[1]!BexGetData("DP_1","003N8EMH8GTFRIVOG7KG9J3KE","GSON1112030971")</f>
        <v>#NAME?</v>
      </c>
      <c r="P413" s="28" t="e">
        <f ca="1">[1]!BexGetData("DP_1","003N8EMH8GTFRIVOG7KG9J9VY","GSON1112030971")</f>
        <v>#NAME?</v>
      </c>
      <c r="Q413" s="24" t="e">
        <f ca="1">[1]!BexGetData("DP_1","00O2TNJGODT0G5Z4TTKYMM5MT","GSON1112030971")</f>
        <v>#NAME?</v>
      </c>
      <c r="R413" s="28" t="e">
        <f ca="1">[1]!BexGetData("DP_1","00O2TNJGODT0G5Z4TTKYMMBYD","GSON1112030971")</f>
        <v>#NAME?</v>
      </c>
      <c r="S413" s="28" t="e">
        <f ca="1">[1]!BexGetData("DP_1","00O2TNJGODT0G5Z4TTKYMMI9X","GSON1112030971")</f>
        <v>#NAME?</v>
      </c>
      <c r="T413" s="28" t="e">
        <f ca="1">[1]!BexGetData("DP_1","00O2TNJGODT0G5Z4TTKYMMOLH","GSON1112030971")</f>
        <v>#NAME?</v>
      </c>
      <c r="U413" s="28" t="e">
        <f ca="1">[1]!BexGetData("DP_1","00O2TNJGODT0G5Z4TTKYMMUX1","GSON1112030971")</f>
        <v>#NAME?</v>
      </c>
      <c r="V413" s="28" t="e">
        <f ca="1">[1]!BexGetData("DP_1","00O2TNJGODT0G5Z4TTKYMN18L","GSON1112030971")</f>
        <v>#NAME?</v>
      </c>
      <c r="W413" s="28" t="e">
        <f ca="1">[1]!BexGetData("DP_1","00O2TNJGODT0G5Z4TTKYMN7K5","GSON1112030971")</f>
        <v>#NAME?</v>
      </c>
    </row>
    <row r="414" spans="1:23" x14ac:dyDescent="0.2">
      <c r="A414" s="36" t="s">
        <v>2278</v>
      </c>
      <c r="B414" s="27" t="s">
        <v>932</v>
      </c>
      <c r="C414" s="24" t="e">
        <f ca="1">[1]!BexGetData("DP_1","003N8EMH8GTFRCSWKMPXRR8GU","GSON1112030974")</f>
        <v>#NAME?</v>
      </c>
      <c r="D414" s="24" t="e">
        <f ca="1">[1]!BexGetData("DP_1","003N8EMH8GTFRCSWKMPXRRESE","GSON1112030974")</f>
        <v>#NAME?</v>
      </c>
      <c r="E414" s="24" t="e">
        <f ca="1">[1]!BexGetData("DP_1","003N8EMH8GTFRCSWKMPXRRL3Y","GSON1112030974")</f>
        <v>#NAME?</v>
      </c>
      <c r="F414" s="28" t="e">
        <f ca="1">[1]!BexGetData("DP_1","003N8EMH8GTFRCSWKMPXRRRFI","GSON1112030974")</f>
        <v>#NAME?</v>
      </c>
      <c r="G414" s="23" t="e">
        <f ca="1">[1]!BexGetData("DP_1","003N8EMH8GTFRCSWKMPXRRXR2","GSON1112030974")</f>
        <v>#NAME?</v>
      </c>
      <c r="H414" s="23" t="e">
        <f ca="1">[1]!BexGetData("DP_1","003N8EMH8GTFRCSWKMPXRS42M","GSON1112030974")</f>
        <v>#NAME?</v>
      </c>
      <c r="I414" s="28" t="e">
        <f ca="1">[1]!BexGetData("DP_1","003N8EMH8GTFRCSWKMPXRSAE6","GSON1112030974")</f>
        <v>#NAME?</v>
      </c>
      <c r="J414" s="24" t="e">
        <f ca="1">[1]!BexGetData("DP_1","003N8EMH8GTFRCSWKMPXRSGPQ","GSON1112030974")</f>
        <v>#NAME?</v>
      </c>
      <c r="K414" s="28" t="e">
        <f ca="1">[1]!BexGetData("DP_1","003N8EMH8GTFRIVNUPY288VJH","GSON1112030974")</f>
        <v>#NAME?</v>
      </c>
      <c r="L414" s="28" t="e">
        <f ca="1">[1]!BexGetData("DP_1","003N8EMH8GTFRIVNUPY2891V1","GSON1112030974")</f>
        <v>#NAME?</v>
      </c>
      <c r="M414" s="28" t="e">
        <f ca="1">[1]!BexGetData("DP_1","003N8EMH8GTFRIVOG7KG9IQXA","GSON1112030974")</f>
        <v>#NAME?</v>
      </c>
      <c r="N414" s="28" t="e">
        <f ca="1">[1]!BexGetData("DP_1","003N8EMH8GTFRIVOG7KG9IX8U","GSON1112030974")</f>
        <v>#NAME?</v>
      </c>
      <c r="O414" s="28" t="e">
        <f ca="1">[1]!BexGetData("DP_1","003N8EMH8GTFRIVOG7KG9J3KE","GSON1112030974")</f>
        <v>#NAME?</v>
      </c>
      <c r="P414" s="28" t="e">
        <f ca="1">[1]!BexGetData("DP_1","003N8EMH8GTFRIVOG7KG9J9VY","GSON1112030974")</f>
        <v>#NAME?</v>
      </c>
      <c r="Q414" s="24" t="e">
        <f ca="1">[1]!BexGetData("DP_1","00O2TNJGODT0G5Z4TTKYMM5MT","GSON1112030974")</f>
        <v>#NAME?</v>
      </c>
      <c r="R414" s="28" t="e">
        <f ca="1">[1]!BexGetData("DP_1","00O2TNJGODT0G5Z4TTKYMMBYD","GSON1112030974")</f>
        <v>#NAME?</v>
      </c>
      <c r="S414" s="28" t="e">
        <f ca="1">[1]!BexGetData("DP_1","00O2TNJGODT0G5Z4TTKYMMI9X","GSON1112030974")</f>
        <v>#NAME?</v>
      </c>
      <c r="T414" s="28" t="e">
        <f ca="1">[1]!BexGetData("DP_1","00O2TNJGODT0G5Z4TTKYMMOLH","GSON1112030974")</f>
        <v>#NAME?</v>
      </c>
      <c r="U414" s="28" t="e">
        <f ca="1">[1]!BexGetData("DP_1","00O2TNJGODT0G5Z4TTKYMMUX1","GSON1112030974")</f>
        <v>#NAME?</v>
      </c>
      <c r="V414" s="28" t="e">
        <f ca="1">[1]!BexGetData("DP_1","00O2TNJGODT0G5Z4TTKYMN18L","GSON1112030974")</f>
        <v>#NAME?</v>
      </c>
      <c r="W414" s="28" t="e">
        <f ca="1">[1]!BexGetData("DP_1","00O2TNJGODT0G5Z4TTKYMN7K5","GSON1112030974")</f>
        <v>#NAME?</v>
      </c>
    </row>
    <row r="415" spans="1:23" x14ac:dyDescent="0.2">
      <c r="A415" s="36" t="s">
        <v>2279</v>
      </c>
      <c r="B415" s="27" t="s">
        <v>2280</v>
      </c>
      <c r="C415" s="23" t="e">
        <f ca="1">[1]!BexGetData("DP_1","003N8EMH8GTFRCSWKMPXRR8GU","GSON1112030975")</f>
        <v>#NAME?</v>
      </c>
      <c r="D415" s="23" t="e">
        <f ca="1">[1]!BexGetData("DP_1","003N8EMH8GTFRCSWKMPXRRESE","GSON1112030975")</f>
        <v>#NAME?</v>
      </c>
      <c r="E415" s="28" t="e">
        <f ca="1">[1]!BexGetData("DP_1","003N8EMH8GTFRCSWKMPXRRL3Y","GSON1112030975")</f>
        <v>#NAME?</v>
      </c>
      <c r="F415" s="28" t="e">
        <f ca="1">[1]!BexGetData("DP_1","003N8EMH8GTFRCSWKMPXRRRFI","GSON1112030975")</f>
        <v>#NAME?</v>
      </c>
      <c r="G415" s="23" t="e">
        <f ca="1">[1]!BexGetData("DP_1","003N8EMH8GTFRCSWKMPXRRXR2","GSON1112030975")</f>
        <v>#NAME?</v>
      </c>
      <c r="H415" s="23" t="e">
        <f ca="1">[1]!BexGetData("DP_1","003N8EMH8GTFRCSWKMPXRS42M","GSON1112030975")</f>
        <v>#NAME?</v>
      </c>
      <c r="I415" s="28" t="e">
        <f ca="1">[1]!BexGetData("DP_1","003N8EMH8GTFRCSWKMPXRSAE6","GSON1112030975")</f>
        <v>#NAME?</v>
      </c>
      <c r="J415" s="24" t="e">
        <f ca="1">[1]!BexGetData("DP_1","003N8EMH8GTFRCSWKMPXRSGPQ","GSON1112030975")</f>
        <v>#NAME?</v>
      </c>
      <c r="K415" s="28" t="e">
        <f ca="1">[1]!BexGetData("DP_1","003N8EMH8GTFRIVNUPY288VJH","GSON1112030975")</f>
        <v>#NAME?</v>
      </c>
      <c r="L415" s="28" t="e">
        <f ca="1">[1]!BexGetData("DP_1","003N8EMH8GTFRIVNUPY2891V1","GSON1112030975")</f>
        <v>#NAME?</v>
      </c>
      <c r="M415" s="28" t="e">
        <f ca="1">[1]!BexGetData("DP_1","003N8EMH8GTFRIVOG7KG9IQXA","GSON1112030975")</f>
        <v>#NAME?</v>
      </c>
      <c r="N415" s="28" t="e">
        <f ca="1">[1]!BexGetData("DP_1","003N8EMH8GTFRIVOG7KG9IX8U","GSON1112030975")</f>
        <v>#NAME?</v>
      </c>
      <c r="O415" s="28" t="e">
        <f ca="1">[1]!BexGetData("DP_1","003N8EMH8GTFRIVOG7KG9J3KE","GSON1112030975")</f>
        <v>#NAME?</v>
      </c>
      <c r="P415" s="28" t="e">
        <f ca="1">[1]!BexGetData("DP_1","003N8EMH8GTFRIVOG7KG9J9VY","GSON1112030975")</f>
        <v>#NAME?</v>
      </c>
      <c r="Q415" s="24" t="e">
        <f ca="1">[1]!BexGetData("DP_1","00O2TNJGODT0G5Z4TTKYMM5MT","GSON1112030975")</f>
        <v>#NAME?</v>
      </c>
      <c r="R415" s="28" t="e">
        <f ca="1">[1]!BexGetData("DP_1","00O2TNJGODT0G5Z4TTKYMMBYD","GSON1112030975")</f>
        <v>#NAME?</v>
      </c>
      <c r="S415" s="28" t="e">
        <f ca="1">[1]!BexGetData("DP_1","00O2TNJGODT0G5Z4TTKYMMI9X","GSON1112030975")</f>
        <v>#NAME?</v>
      </c>
      <c r="T415" s="28" t="e">
        <f ca="1">[1]!BexGetData("DP_1","00O2TNJGODT0G5Z4TTKYMMOLH","GSON1112030975")</f>
        <v>#NAME?</v>
      </c>
      <c r="U415" s="28" t="e">
        <f ca="1">[1]!BexGetData("DP_1","00O2TNJGODT0G5Z4TTKYMMUX1","GSON1112030975")</f>
        <v>#NAME?</v>
      </c>
      <c r="V415" s="28" t="e">
        <f ca="1">[1]!BexGetData("DP_1","00O2TNJGODT0G5Z4TTKYMN18L","GSON1112030975")</f>
        <v>#NAME?</v>
      </c>
      <c r="W415" s="28" t="e">
        <f ca="1">[1]!BexGetData("DP_1","00O2TNJGODT0G5Z4TTKYMN7K5","GSON1112030975")</f>
        <v>#NAME?</v>
      </c>
    </row>
    <row r="416" spans="1:23" x14ac:dyDescent="0.2">
      <c r="A416" s="36" t="s">
        <v>933</v>
      </c>
      <c r="B416" s="27" t="s">
        <v>934</v>
      </c>
      <c r="C416" s="23" t="e">
        <f ca="1">[1]!BexGetData("DP_1","003N8EMH8GTFRCSWKMPXRR8GU","GSON1112030980")</f>
        <v>#NAME?</v>
      </c>
      <c r="D416" s="28" t="e">
        <f ca="1">[1]!BexGetData("DP_1","003N8EMH8GTFRCSWKMPXRRESE","GSON1112030980")</f>
        <v>#NAME?</v>
      </c>
      <c r="E416" s="23" t="e">
        <f ca="1">[1]!BexGetData("DP_1","003N8EMH8GTFRCSWKMPXRRL3Y","GSON1112030980")</f>
        <v>#NAME?</v>
      </c>
      <c r="F416" s="23" t="e">
        <f ca="1">[1]!BexGetData("DP_1","003N8EMH8GTFRCSWKMPXRRRFI","GSON1112030980")</f>
        <v>#NAME?</v>
      </c>
      <c r="G416" s="23" t="e">
        <f ca="1">[1]!BexGetData("DP_1","003N8EMH8GTFRCSWKMPXRRXR2","GSON1112030980")</f>
        <v>#NAME?</v>
      </c>
      <c r="H416" s="23" t="e">
        <f ca="1">[1]!BexGetData("DP_1","003N8EMH8GTFRCSWKMPXRS42M","GSON1112030980")</f>
        <v>#NAME?</v>
      </c>
      <c r="I416" s="23" t="e">
        <f ca="1">[1]!BexGetData("DP_1","003N8EMH8GTFRCSWKMPXRSAE6","GSON1112030980")</f>
        <v>#NAME?</v>
      </c>
      <c r="J416" s="23" t="e">
        <f ca="1">[1]!BexGetData("DP_1","003N8EMH8GTFRCSWKMPXRSGPQ","GSON1112030980")</f>
        <v>#NAME?</v>
      </c>
      <c r="K416" s="23" t="e">
        <f ca="1">[1]!BexGetData("DP_1","003N8EMH8GTFRIVNUPY288VJH","GSON1112030980")</f>
        <v>#NAME?</v>
      </c>
      <c r="L416" s="23" t="e">
        <f ca="1">[1]!BexGetData("DP_1","003N8EMH8GTFRIVNUPY2891V1","GSON1112030980")</f>
        <v>#NAME?</v>
      </c>
      <c r="M416" s="28" t="e">
        <f ca="1">[1]!BexGetData("DP_1","003N8EMH8GTFRIVOG7KG9IQXA","GSON1112030980")</f>
        <v>#NAME?</v>
      </c>
      <c r="N416" s="23" t="e">
        <f ca="1">[1]!BexGetData("DP_1","003N8EMH8GTFRIVOG7KG9IX8U","GSON1112030980")</f>
        <v>#NAME?</v>
      </c>
      <c r="O416" s="28" t="e">
        <f ca="1">[1]!BexGetData("DP_1","003N8EMH8GTFRIVOG7KG9J3KE","GSON1112030980")</f>
        <v>#NAME?</v>
      </c>
      <c r="P416" s="23" t="e">
        <f ca="1">[1]!BexGetData("DP_1","003N8EMH8GTFRIVOG7KG9J9VY","GSON1112030980")</f>
        <v>#NAME?</v>
      </c>
      <c r="Q416" s="23" t="e">
        <f ca="1">[1]!BexGetData("DP_1","00O2TNJGODT0G5Z4TTKYMM5MT","GSON1112030980")</f>
        <v>#NAME?</v>
      </c>
      <c r="R416" s="23" t="e">
        <f ca="1">[1]!BexGetData("DP_1","00O2TNJGODT0G5Z4TTKYMMBYD","GSON1112030980")</f>
        <v>#NAME?</v>
      </c>
      <c r="S416" s="23" t="e">
        <f ca="1">[1]!BexGetData("DP_1","00O2TNJGODT0G5Z4TTKYMMI9X","GSON1112030980")</f>
        <v>#NAME?</v>
      </c>
      <c r="T416" s="28" t="e">
        <f ca="1">[1]!BexGetData("DP_1","00O2TNJGODT0G5Z4TTKYMMOLH","GSON1112030980")</f>
        <v>#NAME?</v>
      </c>
      <c r="U416" s="23" t="e">
        <f ca="1">[1]!BexGetData("DP_1","00O2TNJGODT0G5Z4TTKYMMUX1","GSON1112030980")</f>
        <v>#NAME?</v>
      </c>
      <c r="V416" s="28" t="e">
        <f ca="1">[1]!BexGetData("DP_1","00O2TNJGODT0G5Z4TTKYMN18L","GSON1112030980")</f>
        <v>#NAME?</v>
      </c>
      <c r="W416" s="23" t="e">
        <f ca="1">[1]!BexGetData("DP_1","00O2TNJGODT0G5Z4TTKYMN7K5","GSON1112030980")</f>
        <v>#NAME?</v>
      </c>
    </row>
    <row r="417" spans="1:23" x14ac:dyDescent="0.2">
      <c r="A417" s="36" t="s">
        <v>935</v>
      </c>
      <c r="B417" s="27" t="s">
        <v>936</v>
      </c>
      <c r="C417" s="28" t="e">
        <f ca="1">[1]!BexGetData("DP_1","003N8EMH8GTFRCSWKMPXRR8GU","GSON1112030981")</f>
        <v>#NAME?</v>
      </c>
      <c r="D417" s="28" t="e">
        <f ca="1">[1]!BexGetData("DP_1","003N8EMH8GTFRCSWKMPXRRESE","GSON1112030981")</f>
        <v>#NAME?</v>
      </c>
      <c r="E417" s="28" t="e">
        <f ca="1">[1]!BexGetData("DP_1","003N8EMH8GTFRCSWKMPXRRL3Y","GSON1112030981")</f>
        <v>#NAME?</v>
      </c>
      <c r="F417" s="28" t="e">
        <f ca="1">[1]!BexGetData("DP_1","003N8EMH8GTFRCSWKMPXRRRFI","GSON1112030981")</f>
        <v>#NAME?</v>
      </c>
      <c r="G417" s="23" t="e">
        <f ca="1">[1]!BexGetData("DP_1","003N8EMH8GTFRCSWKMPXRRXR2","GSON1112030981")</f>
        <v>#NAME?</v>
      </c>
      <c r="H417" s="23" t="e">
        <f ca="1">[1]!BexGetData("DP_1","003N8EMH8GTFRCSWKMPXRS42M","GSON1112030981")</f>
        <v>#NAME?</v>
      </c>
      <c r="I417" s="28" t="e">
        <f ca="1">[1]!BexGetData("DP_1","003N8EMH8GTFRCSWKMPXRSAE6","GSON1112030981")</f>
        <v>#NAME?</v>
      </c>
      <c r="J417" s="24" t="e">
        <f ca="1">[1]!BexGetData("DP_1","003N8EMH8GTFRCSWKMPXRSGPQ","GSON1112030981")</f>
        <v>#NAME?</v>
      </c>
      <c r="K417" s="28" t="e">
        <f ca="1">[1]!BexGetData("DP_1","003N8EMH8GTFRIVNUPY288VJH","GSON1112030981")</f>
        <v>#NAME?</v>
      </c>
      <c r="L417" s="28" t="e">
        <f ca="1">[1]!BexGetData("DP_1","003N8EMH8GTFRIVNUPY2891V1","GSON1112030981")</f>
        <v>#NAME?</v>
      </c>
      <c r="M417" s="28" t="e">
        <f ca="1">[1]!BexGetData("DP_1","003N8EMH8GTFRIVOG7KG9IQXA","GSON1112030981")</f>
        <v>#NAME?</v>
      </c>
      <c r="N417" s="28" t="e">
        <f ca="1">[1]!BexGetData("DP_1","003N8EMH8GTFRIVOG7KG9IX8U","GSON1112030981")</f>
        <v>#NAME?</v>
      </c>
      <c r="O417" s="28" t="e">
        <f ca="1">[1]!BexGetData("DP_1","003N8EMH8GTFRIVOG7KG9J3KE","GSON1112030981")</f>
        <v>#NAME?</v>
      </c>
      <c r="P417" s="28" t="e">
        <f ca="1">[1]!BexGetData("DP_1","003N8EMH8GTFRIVOG7KG9J9VY","GSON1112030981")</f>
        <v>#NAME?</v>
      </c>
      <c r="Q417" s="24" t="e">
        <f ca="1">[1]!BexGetData("DP_1","00O2TNJGODT0G5Z4TTKYMM5MT","GSON1112030981")</f>
        <v>#NAME?</v>
      </c>
      <c r="R417" s="28" t="e">
        <f ca="1">[1]!BexGetData("DP_1","00O2TNJGODT0G5Z4TTKYMMBYD","GSON1112030981")</f>
        <v>#NAME?</v>
      </c>
      <c r="S417" s="28" t="e">
        <f ca="1">[1]!BexGetData("DP_1","00O2TNJGODT0G5Z4TTKYMMI9X","GSON1112030981")</f>
        <v>#NAME?</v>
      </c>
      <c r="T417" s="28" t="e">
        <f ca="1">[1]!BexGetData("DP_1","00O2TNJGODT0G5Z4TTKYMMOLH","GSON1112030981")</f>
        <v>#NAME?</v>
      </c>
      <c r="U417" s="28" t="e">
        <f ca="1">[1]!BexGetData("DP_1","00O2TNJGODT0G5Z4TTKYMMUX1","GSON1112030981")</f>
        <v>#NAME?</v>
      </c>
      <c r="V417" s="28" t="e">
        <f ca="1">[1]!BexGetData("DP_1","00O2TNJGODT0G5Z4TTKYMN18L","GSON1112030981")</f>
        <v>#NAME?</v>
      </c>
      <c r="W417" s="28" t="e">
        <f ca="1">[1]!BexGetData("DP_1","00O2TNJGODT0G5Z4TTKYMN7K5","GSON1112030981")</f>
        <v>#NAME?</v>
      </c>
    </row>
    <row r="418" spans="1:23" x14ac:dyDescent="0.2">
      <c r="A418" s="36" t="s">
        <v>2281</v>
      </c>
      <c r="B418" s="27" t="s">
        <v>2282</v>
      </c>
      <c r="C418" s="24" t="e">
        <f ca="1">[1]!BexGetData("DP_1","003N8EMH8GTFRCSWKMPXRR8GU","GSON1112030983")</f>
        <v>#NAME?</v>
      </c>
      <c r="D418" s="24" t="e">
        <f ca="1">[1]!BexGetData("DP_1","003N8EMH8GTFRCSWKMPXRRESE","GSON1112030983")</f>
        <v>#NAME?</v>
      </c>
      <c r="E418" s="24" t="e">
        <f ca="1">[1]!BexGetData("DP_1","003N8EMH8GTFRCSWKMPXRRL3Y","GSON1112030983")</f>
        <v>#NAME?</v>
      </c>
      <c r="F418" s="28" t="e">
        <f ca="1">[1]!BexGetData("DP_1","003N8EMH8GTFRCSWKMPXRRRFI","GSON1112030983")</f>
        <v>#NAME?</v>
      </c>
      <c r="G418" s="23" t="e">
        <f ca="1">[1]!BexGetData("DP_1","003N8EMH8GTFRCSWKMPXRRXR2","GSON1112030983")</f>
        <v>#NAME?</v>
      </c>
      <c r="H418" s="23" t="e">
        <f ca="1">[1]!BexGetData("DP_1","003N8EMH8GTFRCSWKMPXRS42M","GSON1112030983")</f>
        <v>#NAME?</v>
      </c>
      <c r="I418" s="28" t="e">
        <f ca="1">[1]!BexGetData("DP_1","003N8EMH8GTFRCSWKMPXRSAE6","GSON1112030983")</f>
        <v>#NAME?</v>
      </c>
      <c r="J418" s="24" t="e">
        <f ca="1">[1]!BexGetData("DP_1","003N8EMH8GTFRCSWKMPXRSGPQ","GSON1112030983")</f>
        <v>#NAME?</v>
      </c>
      <c r="K418" s="28" t="e">
        <f ca="1">[1]!BexGetData("DP_1","003N8EMH8GTFRIVNUPY288VJH","GSON1112030983")</f>
        <v>#NAME?</v>
      </c>
      <c r="L418" s="28" t="e">
        <f ca="1">[1]!BexGetData("DP_1","003N8EMH8GTFRIVNUPY2891V1","GSON1112030983")</f>
        <v>#NAME?</v>
      </c>
      <c r="M418" s="28" t="e">
        <f ca="1">[1]!BexGetData("DP_1","003N8EMH8GTFRIVOG7KG9IQXA","GSON1112030983")</f>
        <v>#NAME?</v>
      </c>
      <c r="N418" s="28" t="e">
        <f ca="1">[1]!BexGetData("DP_1","003N8EMH8GTFRIVOG7KG9IX8U","GSON1112030983")</f>
        <v>#NAME?</v>
      </c>
      <c r="O418" s="28" t="e">
        <f ca="1">[1]!BexGetData("DP_1","003N8EMH8GTFRIVOG7KG9J3KE","GSON1112030983")</f>
        <v>#NAME?</v>
      </c>
      <c r="P418" s="28" t="e">
        <f ca="1">[1]!BexGetData("DP_1","003N8EMH8GTFRIVOG7KG9J9VY","GSON1112030983")</f>
        <v>#NAME?</v>
      </c>
      <c r="Q418" s="24" t="e">
        <f ca="1">[1]!BexGetData("DP_1","00O2TNJGODT0G5Z4TTKYMM5MT","GSON1112030983")</f>
        <v>#NAME?</v>
      </c>
      <c r="R418" s="28" t="e">
        <f ca="1">[1]!BexGetData("DP_1","00O2TNJGODT0G5Z4TTKYMMBYD","GSON1112030983")</f>
        <v>#NAME?</v>
      </c>
      <c r="S418" s="28" t="e">
        <f ca="1">[1]!BexGetData("DP_1","00O2TNJGODT0G5Z4TTKYMMI9X","GSON1112030983")</f>
        <v>#NAME?</v>
      </c>
      <c r="T418" s="28" t="e">
        <f ca="1">[1]!BexGetData("DP_1","00O2TNJGODT0G5Z4TTKYMMOLH","GSON1112030983")</f>
        <v>#NAME?</v>
      </c>
      <c r="U418" s="28" t="e">
        <f ca="1">[1]!BexGetData("DP_1","00O2TNJGODT0G5Z4TTKYMMUX1","GSON1112030983")</f>
        <v>#NAME?</v>
      </c>
      <c r="V418" s="28" t="e">
        <f ca="1">[1]!BexGetData("DP_1","00O2TNJGODT0G5Z4TTKYMN18L","GSON1112030983")</f>
        <v>#NAME?</v>
      </c>
      <c r="W418" s="28" t="e">
        <f ca="1">[1]!BexGetData("DP_1","00O2TNJGODT0G5Z4TTKYMN7K5","GSON1112030983")</f>
        <v>#NAME?</v>
      </c>
    </row>
    <row r="419" spans="1:23" x14ac:dyDescent="0.2">
      <c r="A419" s="36" t="s">
        <v>2283</v>
      </c>
      <c r="B419" s="27" t="s">
        <v>937</v>
      </c>
      <c r="C419" s="24" t="e">
        <f ca="1">[1]!BexGetData("DP_1","003N8EMH8GTFRCSWKMPXRR8GU","GSON1112030984")</f>
        <v>#NAME?</v>
      </c>
      <c r="D419" s="24" t="e">
        <f ca="1">[1]!BexGetData("DP_1","003N8EMH8GTFRCSWKMPXRRESE","GSON1112030984")</f>
        <v>#NAME?</v>
      </c>
      <c r="E419" s="24" t="e">
        <f ca="1">[1]!BexGetData("DP_1","003N8EMH8GTFRCSWKMPXRRL3Y","GSON1112030984")</f>
        <v>#NAME?</v>
      </c>
      <c r="F419" s="28" t="e">
        <f ca="1">[1]!BexGetData("DP_1","003N8EMH8GTFRCSWKMPXRRRFI","GSON1112030984")</f>
        <v>#NAME?</v>
      </c>
      <c r="G419" s="23" t="e">
        <f ca="1">[1]!BexGetData("DP_1","003N8EMH8GTFRCSWKMPXRRXR2","GSON1112030984")</f>
        <v>#NAME?</v>
      </c>
      <c r="H419" s="23" t="e">
        <f ca="1">[1]!BexGetData("DP_1","003N8EMH8GTFRCSWKMPXRS42M","GSON1112030984")</f>
        <v>#NAME?</v>
      </c>
      <c r="I419" s="28" t="e">
        <f ca="1">[1]!BexGetData("DP_1","003N8EMH8GTFRCSWKMPXRSAE6","GSON1112030984")</f>
        <v>#NAME?</v>
      </c>
      <c r="J419" s="24" t="e">
        <f ca="1">[1]!BexGetData("DP_1","003N8EMH8GTFRCSWKMPXRSGPQ","GSON1112030984")</f>
        <v>#NAME?</v>
      </c>
      <c r="K419" s="28" t="e">
        <f ca="1">[1]!BexGetData("DP_1","003N8EMH8GTFRIVNUPY288VJH","GSON1112030984")</f>
        <v>#NAME?</v>
      </c>
      <c r="L419" s="28" t="e">
        <f ca="1">[1]!BexGetData("DP_1","003N8EMH8GTFRIVNUPY2891V1","GSON1112030984")</f>
        <v>#NAME?</v>
      </c>
      <c r="M419" s="28" t="e">
        <f ca="1">[1]!BexGetData("DP_1","003N8EMH8GTFRIVOG7KG9IQXA","GSON1112030984")</f>
        <v>#NAME?</v>
      </c>
      <c r="N419" s="28" t="e">
        <f ca="1">[1]!BexGetData("DP_1","003N8EMH8GTFRIVOG7KG9IX8U","GSON1112030984")</f>
        <v>#NAME?</v>
      </c>
      <c r="O419" s="28" t="e">
        <f ca="1">[1]!BexGetData("DP_1","003N8EMH8GTFRIVOG7KG9J3KE","GSON1112030984")</f>
        <v>#NAME?</v>
      </c>
      <c r="P419" s="28" t="e">
        <f ca="1">[1]!BexGetData("DP_1","003N8EMH8GTFRIVOG7KG9J9VY","GSON1112030984")</f>
        <v>#NAME?</v>
      </c>
      <c r="Q419" s="24" t="e">
        <f ca="1">[1]!BexGetData("DP_1","00O2TNJGODT0G5Z4TTKYMM5MT","GSON1112030984")</f>
        <v>#NAME?</v>
      </c>
      <c r="R419" s="28" t="e">
        <f ca="1">[1]!BexGetData("DP_1","00O2TNJGODT0G5Z4TTKYMMBYD","GSON1112030984")</f>
        <v>#NAME?</v>
      </c>
      <c r="S419" s="28" t="e">
        <f ca="1">[1]!BexGetData("DP_1","00O2TNJGODT0G5Z4TTKYMMI9X","GSON1112030984")</f>
        <v>#NAME?</v>
      </c>
      <c r="T419" s="28" t="e">
        <f ca="1">[1]!BexGetData("DP_1","00O2TNJGODT0G5Z4TTKYMMOLH","GSON1112030984")</f>
        <v>#NAME?</v>
      </c>
      <c r="U419" s="28" t="e">
        <f ca="1">[1]!BexGetData("DP_1","00O2TNJGODT0G5Z4TTKYMMUX1","GSON1112030984")</f>
        <v>#NAME?</v>
      </c>
      <c r="V419" s="28" t="e">
        <f ca="1">[1]!BexGetData("DP_1","00O2TNJGODT0G5Z4TTKYMN18L","GSON1112030984")</f>
        <v>#NAME?</v>
      </c>
      <c r="W419" s="28" t="e">
        <f ca="1">[1]!BexGetData("DP_1","00O2TNJGODT0G5Z4TTKYMN7K5","GSON1112030984")</f>
        <v>#NAME?</v>
      </c>
    </row>
    <row r="420" spans="1:23" x14ac:dyDescent="0.2">
      <c r="A420" s="36" t="s">
        <v>2284</v>
      </c>
      <c r="B420" s="27" t="s">
        <v>2285</v>
      </c>
      <c r="C420" s="23" t="e">
        <f ca="1">[1]!BexGetData("DP_1","003N8EMH8GTFRCSWKMPXRR8GU","GSON1112030985")</f>
        <v>#NAME?</v>
      </c>
      <c r="D420" s="23" t="e">
        <f ca="1">[1]!BexGetData("DP_1","003N8EMH8GTFRCSWKMPXRRESE","GSON1112030985")</f>
        <v>#NAME?</v>
      </c>
      <c r="E420" s="28" t="e">
        <f ca="1">[1]!BexGetData("DP_1","003N8EMH8GTFRCSWKMPXRRL3Y","GSON1112030985")</f>
        <v>#NAME?</v>
      </c>
      <c r="F420" s="28" t="e">
        <f ca="1">[1]!BexGetData("DP_1","003N8EMH8GTFRCSWKMPXRRRFI","GSON1112030985")</f>
        <v>#NAME?</v>
      </c>
      <c r="G420" s="23" t="e">
        <f ca="1">[1]!BexGetData("DP_1","003N8EMH8GTFRCSWKMPXRRXR2","GSON1112030985")</f>
        <v>#NAME?</v>
      </c>
      <c r="H420" s="23" t="e">
        <f ca="1">[1]!BexGetData("DP_1","003N8EMH8GTFRCSWKMPXRS42M","GSON1112030985")</f>
        <v>#NAME?</v>
      </c>
      <c r="I420" s="28" t="e">
        <f ca="1">[1]!BexGetData("DP_1","003N8EMH8GTFRCSWKMPXRSAE6","GSON1112030985")</f>
        <v>#NAME?</v>
      </c>
      <c r="J420" s="24" t="e">
        <f ca="1">[1]!BexGetData("DP_1","003N8EMH8GTFRCSWKMPXRSGPQ","GSON1112030985")</f>
        <v>#NAME?</v>
      </c>
      <c r="K420" s="28" t="e">
        <f ca="1">[1]!BexGetData("DP_1","003N8EMH8GTFRIVNUPY288VJH","GSON1112030985")</f>
        <v>#NAME?</v>
      </c>
      <c r="L420" s="28" t="e">
        <f ca="1">[1]!BexGetData("DP_1","003N8EMH8GTFRIVNUPY2891V1","GSON1112030985")</f>
        <v>#NAME?</v>
      </c>
      <c r="M420" s="28" t="e">
        <f ca="1">[1]!BexGetData("DP_1","003N8EMH8GTFRIVOG7KG9IQXA","GSON1112030985")</f>
        <v>#NAME?</v>
      </c>
      <c r="N420" s="28" t="e">
        <f ca="1">[1]!BexGetData("DP_1","003N8EMH8GTFRIVOG7KG9IX8U","GSON1112030985")</f>
        <v>#NAME?</v>
      </c>
      <c r="O420" s="28" t="e">
        <f ca="1">[1]!BexGetData("DP_1","003N8EMH8GTFRIVOG7KG9J3KE","GSON1112030985")</f>
        <v>#NAME?</v>
      </c>
      <c r="P420" s="28" t="e">
        <f ca="1">[1]!BexGetData("DP_1","003N8EMH8GTFRIVOG7KG9J9VY","GSON1112030985")</f>
        <v>#NAME?</v>
      </c>
      <c r="Q420" s="24" t="e">
        <f ca="1">[1]!BexGetData("DP_1","00O2TNJGODT0G5Z4TTKYMM5MT","GSON1112030985")</f>
        <v>#NAME?</v>
      </c>
      <c r="R420" s="28" t="e">
        <f ca="1">[1]!BexGetData("DP_1","00O2TNJGODT0G5Z4TTKYMMBYD","GSON1112030985")</f>
        <v>#NAME?</v>
      </c>
      <c r="S420" s="28" t="e">
        <f ca="1">[1]!BexGetData("DP_1","00O2TNJGODT0G5Z4TTKYMMI9X","GSON1112030985")</f>
        <v>#NAME?</v>
      </c>
      <c r="T420" s="28" t="e">
        <f ca="1">[1]!BexGetData("DP_1","00O2TNJGODT0G5Z4TTKYMMOLH","GSON1112030985")</f>
        <v>#NAME?</v>
      </c>
      <c r="U420" s="28" t="e">
        <f ca="1">[1]!BexGetData("DP_1","00O2TNJGODT0G5Z4TTKYMMUX1","GSON1112030985")</f>
        <v>#NAME?</v>
      </c>
      <c r="V420" s="28" t="e">
        <f ca="1">[1]!BexGetData("DP_1","00O2TNJGODT0G5Z4TTKYMN18L","GSON1112030985")</f>
        <v>#NAME?</v>
      </c>
      <c r="W420" s="28" t="e">
        <f ca="1">[1]!BexGetData("DP_1","00O2TNJGODT0G5Z4TTKYMN7K5","GSON1112030985")</f>
        <v>#NAME?</v>
      </c>
    </row>
    <row r="421" spans="1:23" x14ac:dyDescent="0.2">
      <c r="A421" s="36" t="s">
        <v>938</v>
      </c>
      <c r="B421" s="27" t="s">
        <v>939</v>
      </c>
      <c r="C421" s="23" t="e">
        <f ca="1">[1]!BexGetData("DP_1","003N8EMH8GTFRCSWKMPXRR8GU","GSON1112031000")</f>
        <v>#NAME?</v>
      </c>
      <c r="D421" s="28" t="e">
        <f ca="1">[1]!BexGetData("DP_1","003N8EMH8GTFRCSWKMPXRRESE","GSON1112031000")</f>
        <v>#NAME?</v>
      </c>
      <c r="E421" s="23" t="e">
        <f ca="1">[1]!BexGetData("DP_1","003N8EMH8GTFRCSWKMPXRRL3Y","GSON1112031000")</f>
        <v>#NAME?</v>
      </c>
      <c r="F421" s="23" t="e">
        <f ca="1">[1]!BexGetData("DP_1","003N8EMH8GTFRCSWKMPXRRRFI","GSON1112031000")</f>
        <v>#NAME?</v>
      </c>
      <c r="G421" s="23" t="e">
        <f ca="1">[1]!BexGetData("DP_1","003N8EMH8GTFRCSWKMPXRRXR2","GSON1112031000")</f>
        <v>#NAME?</v>
      </c>
      <c r="H421" s="23" t="e">
        <f ca="1">[1]!BexGetData("DP_1","003N8EMH8GTFRCSWKMPXRS42M","GSON1112031000")</f>
        <v>#NAME?</v>
      </c>
      <c r="I421" s="23" t="e">
        <f ca="1">[1]!BexGetData("DP_1","003N8EMH8GTFRCSWKMPXRSAE6","GSON1112031000")</f>
        <v>#NAME?</v>
      </c>
      <c r="J421" s="23" t="e">
        <f ca="1">[1]!BexGetData("DP_1","003N8EMH8GTFRCSWKMPXRSGPQ","GSON1112031000")</f>
        <v>#NAME?</v>
      </c>
      <c r="K421" s="23" t="e">
        <f ca="1">[1]!BexGetData("DP_1","003N8EMH8GTFRIVNUPY288VJH","GSON1112031000")</f>
        <v>#NAME?</v>
      </c>
      <c r="L421" s="23" t="e">
        <f ca="1">[1]!BexGetData("DP_1","003N8EMH8GTFRIVNUPY2891V1","GSON1112031000")</f>
        <v>#NAME?</v>
      </c>
      <c r="M421" s="28" t="e">
        <f ca="1">[1]!BexGetData("DP_1","003N8EMH8GTFRIVOG7KG9IQXA","GSON1112031000")</f>
        <v>#NAME?</v>
      </c>
      <c r="N421" s="23" t="e">
        <f ca="1">[1]!BexGetData("DP_1","003N8EMH8GTFRIVOG7KG9IX8U","GSON1112031000")</f>
        <v>#NAME?</v>
      </c>
      <c r="O421" s="28" t="e">
        <f ca="1">[1]!BexGetData("DP_1","003N8EMH8GTFRIVOG7KG9J3KE","GSON1112031000")</f>
        <v>#NAME?</v>
      </c>
      <c r="P421" s="23" t="e">
        <f ca="1">[1]!BexGetData("DP_1","003N8EMH8GTFRIVOG7KG9J9VY","GSON1112031000")</f>
        <v>#NAME?</v>
      </c>
      <c r="Q421" s="23" t="e">
        <f ca="1">[1]!BexGetData("DP_1","00O2TNJGODT0G5Z4TTKYMM5MT","GSON1112031000")</f>
        <v>#NAME?</v>
      </c>
      <c r="R421" s="23" t="e">
        <f ca="1">[1]!BexGetData("DP_1","00O2TNJGODT0G5Z4TTKYMMBYD","GSON1112031000")</f>
        <v>#NAME?</v>
      </c>
      <c r="S421" s="23" t="e">
        <f ca="1">[1]!BexGetData("DP_1","00O2TNJGODT0G5Z4TTKYMMI9X","GSON1112031000")</f>
        <v>#NAME?</v>
      </c>
      <c r="T421" s="23" t="e">
        <f ca="1">[1]!BexGetData("DP_1","00O2TNJGODT0G5Z4TTKYMMOLH","GSON1112031000")</f>
        <v>#NAME?</v>
      </c>
      <c r="U421" s="28" t="e">
        <f ca="1">[1]!BexGetData("DP_1","00O2TNJGODT0G5Z4TTKYMMUX1","GSON1112031000")</f>
        <v>#NAME?</v>
      </c>
      <c r="V421" s="23" t="e">
        <f ca="1">[1]!BexGetData("DP_1","00O2TNJGODT0G5Z4TTKYMN18L","GSON1112031000")</f>
        <v>#NAME?</v>
      </c>
      <c r="W421" s="28" t="e">
        <f ca="1">[1]!BexGetData("DP_1","00O2TNJGODT0G5Z4TTKYMN7K5","GSON1112031000")</f>
        <v>#NAME?</v>
      </c>
    </row>
    <row r="422" spans="1:23" x14ac:dyDescent="0.2">
      <c r="A422" s="36" t="s">
        <v>940</v>
      </c>
      <c r="B422" s="27" t="s">
        <v>941</v>
      </c>
      <c r="C422" s="24" t="e">
        <f ca="1">[1]!BexGetData("DP_1","003N8EMH8GTFRCSWKMPXRR8GU","GSON1112031001")</f>
        <v>#NAME?</v>
      </c>
      <c r="D422" s="24" t="e">
        <f ca="1">[1]!BexGetData("DP_1","003N8EMH8GTFRCSWKMPXRRESE","GSON1112031001")</f>
        <v>#NAME?</v>
      </c>
      <c r="E422" s="24" t="e">
        <f ca="1">[1]!BexGetData("DP_1","003N8EMH8GTFRCSWKMPXRRL3Y","GSON1112031001")</f>
        <v>#NAME?</v>
      </c>
      <c r="F422" s="28" t="e">
        <f ca="1">[1]!BexGetData("DP_1","003N8EMH8GTFRCSWKMPXRRRFI","GSON1112031001")</f>
        <v>#NAME?</v>
      </c>
      <c r="G422" s="23" t="e">
        <f ca="1">[1]!BexGetData("DP_1","003N8EMH8GTFRCSWKMPXRRXR2","GSON1112031001")</f>
        <v>#NAME?</v>
      </c>
      <c r="H422" s="23" t="e">
        <f ca="1">[1]!BexGetData("DP_1","003N8EMH8GTFRCSWKMPXRS42M","GSON1112031001")</f>
        <v>#NAME?</v>
      </c>
      <c r="I422" s="28" t="e">
        <f ca="1">[1]!BexGetData("DP_1","003N8EMH8GTFRCSWKMPXRSAE6","GSON1112031001")</f>
        <v>#NAME?</v>
      </c>
      <c r="J422" s="24" t="e">
        <f ca="1">[1]!BexGetData("DP_1","003N8EMH8GTFRCSWKMPXRSGPQ","GSON1112031001")</f>
        <v>#NAME?</v>
      </c>
      <c r="K422" s="28" t="e">
        <f ca="1">[1]!BexGetData("DP_1","003N8EMH8GTFRIVNUPY288VJH","GSON1112031001")</f>
        <v>#NAME?</v>
      </c>
      <c r="L422" s="28" t="e">
        <f ca="1">[1]!BexGetData("DP_1","003N8EMH8GTFRIVNUPY2891V1","GSON1112031001")</f>
        <v>#NAME?</v>
      </c>
      <c r="M422" s="28" t="e">
        <f ca="1">[1]!BexGetData("DP_1","003N8EMH8GTFRIVOG7KG9IQXA","GSON1112031001")</f>
        <v>#NAME?</v>
      </c>
      <c r="N422" s="28" t="e">
        <f ca="1">[1]!BexGetData("DP_1","003N8EMH8GTFRIVOG7KG9IX8U","GSON1112031001")</f>
        <v>#NAME?</v>
      </c>
      <c r="O422" s="28" t="e">
        <f ca="1">[1]!BexGetData("DP_1","003N8EMH8GTFRIVOG7KG9J3KE","GSON1112031001")</f>
        <v>#NAME?</v>
      </c>
      <c r="P422" s="28" t="e">
        <f ca="1">[1]!BexGetData("DP_1","003N8EMH8GTFRIVOG7KG9J9VY","GSON1112031001")</f>
        <v>#NAME?</v>
      </c>
      <c r="Q422" s="24" t="e">
        <f ca="1">[1]!BexGetData("DP_1","00O2TNJGODT0G5Z4TTKYMM5MT","GSON1112031001")</f>
        <v>#NAME?</v>
      </c>
      <c r="R422" s="28" t="e">
        <f ca="1">[1]!BexGetData("DP_1","00O2TNJGODT0G5Z4TTKYMMBYD","GSON1112031001")</f>
        <v>#NAME?</v>
      </c>
      <c r="S422" s="28" t="e">
        <f ca="1">[1]!BexGetData("DP_1","00O2TNJGODT0G5Z4TTKYMMI9X","GSON1112031001")</f>
        <v>#NAME?</v>
      </c>
      <c r="T422" s="28" t="e">
        <f ca="1">[1]!BexGetData("DP_1","00O2TNJGODT0G5Z4TTKYMMOLH","GSON1112031001")</f>
        <v>#NAME?</v>
      </c>
      <c r="U422" s="28" t="e">
        <f ca="1">[1]!BexGetData("DP_1","00O2TNJGODT0G5Z4TTKYMMUX1","GSON1112031001")</f>
        <v>#NAME?</v>
      </c>
      <c r="V422" s="28" t="e">
        <f ca="1">[1]!BexGetData("DP_1","00O2TNJGODT0G5Z4TTKYMN18L","GSON1112031001")</f>
        <v>#NAME?</v>
      </c>
      <c r="W422" s="28" t="e">
        <f ca="1">[1]!BexGetData("DP_1","00O2TNJGODT0G5Z4TTKYMN7K5","GSON1112031001")</f>
        <v>#NAME?</v>
      </c>
    </row>
    <row r="423" spans="1:23" x14ac:dyDescent="0.2">
      <c r="A423" s="36" t="s">
        <v>2286</v>
      </c>
      <c r="B423" s="27" t="s">
        <v>2287</v>
      </c>
      <c r="C423" s="24" t="e">
        <f ca="1">[1]!BexGetData("DP_1","003N8EMH8GTFRCSWKMPXRR8GU","GSON1112031002")</f>
        <v>#NAME?</v>
      </c>
      <c r="D423" s="24" t="e">
        <f ca="1">[1]!BexGetData("DP_1","003N8EMH8GTFRCSWKMPXRRESE","GSON1112031002")</f>
        <v>#NAME?</v>
      </c>
      <c r="E423" s="24" t="e">
        <f ca="1">[1]!BexGetData("DP_1","003N8EMH8GTFRCSWKMPXRRL3Y","GSON1112031002")</f>
        <v>#NAME?</v>
      </c>
      <c r="F423" s="28" t="e">
        <f ca="1">[1]!BexGetData("DP_1","003N8EMH8GTFRCSWKMPXRRRFI","GSON1112031002")</f>
        <v>#NAME?</v>
      </c>
      <c r="G423" s="23" t="e">
        <f ca="1">[1]!BexGetData("DP_1","003N8EMH8GTFRCSWKMPXRRXR2","GSON1112031002")</f>
        <v>#NAME?</v>
      </c>
      <c r="H423" s="23" t="e">
        <f ca="1">[1]!BexGetData("DP_1","003N8EMH8GTFRCSWKMPXRS42M","GSON1112031002")</f>
        <v>#NAME?</v>
      </c>
      <c r="I423" s="28" t="e">
        <f ca="1">[1]!BexGetData("DP_1","003N8EMH8GTFRCSWKMPXRSAE6","GSON1112031002")</f>
        <v>#NAME?</v>
      </c>
      <c r="J423" s="23" t="e">
        <f ca="1">[1]!BexGetData("DP_1","003N8EMH8GTFRCSWKMPXRSGPQ","GSON1112031002")</f>
        <v>#NAME?</v>
      </c>
      <c r="K423" s="28" t="e">
        <f ca="1">[1]!BexGetData("DP_1","003N8EMH8GTFRIVNUPY288VJH","GSON1112031002")</f>
        <v>#NAME?</v>
      </c>
      <c r="L423" s="28" t="e">
        <f ca="1">[1]!BexGetData("DP_1","003N8EMH8GTFRIVNUPY2891V1","GSON1112031002")</f>
        <v>#NAME?</v>
      </c>
      <c r="M423" s="28" t="e">
        <f ca="1">[1]!BexGetData("DP_1","003N8EMH8GTFRIVOG7KG9IQXA","GSON1112031002")</f>
        <v>#NAME?</v>
      </c>
      <c r="N423" s="28" t="e">
        <f ca="1">[1]!BexGetData("DP_1","003N8EMH8GTFRIVOG7KG9IX8U","GSON1112031002")</f>
        <v>#NAME?</v>
      </c>
      <c r="O423" s="28" t="e">
        <f ca="1">[1]!BexGetData("DP_1","003N8EMH8GTFRIVOG7KG9J3KE","GSON1112031002")</f>
        <v>#NAME?</v>
      </c>
      <c r="P423" s="28" t="e">
        <f ca="1">[1]!BexGetData("DP_1","003N8EMH8GTFRIVOG7KG9J9VY","GSON1112031002")</f>
        <v>#NAME?</v>
      </c>
      <c r="Q423" s="23" t="e">
        <f ca="1">[1]!BexGetData("DP_1","00O2TNJGODT0G5Z4TTKYMM5MT","GSON1112031002")</f>
        <v>#NAME?</v>
      </c>
      <c r="R423" s="23" t="e">
        <f ca="1">[1]!BexGetData("DP_1","00O2TNJGODT0G5Z4TTKYMMBYD","GSON1112031002")</f>
        <v>#NAME?</v>
      </c>
      <c r="S423" s="23" t="e">
        <f ca="1">[1]!BexGetData("DP_1","00O2TNJGODT0G5Z4TTKYMMI9X","GSON1112031002")</f>
        <v>#NAME?</v>
      </c>
      <c r="T423" s="28" t="e">
        <f ca="1">[1]!BexGetData("DP_1","00O2TNJGODT0G5Z4TTKYMMOLH","GSON1112031002")</f>
        <v>#NAME?</v>
      </c>
      <c r="U423" s="23" t="e">
        <f ca="1">[1]!BexGetData("DP_1","00O2TNJGODT0G5Z4TTKYMMUX1","GSON1112031002")</f>
        <v>#NAME?</v>
      </c>
      <c r="V423" s="28" t="e">
        <f ca="1">[1]!BexGetData("DP_1","00O2TNJGODT0G5Z4TTKYMN18L","GSON1112031002")</f>
        <v>#NAME?</v>
      </c>
      <c r="W423" s="23" t="e">
        <f ca="1">[1]!BexGetData("DP_1","00O2TNJGODT0G5Z4TTKYMN7K5","GSON1112031002")</f>
        <v>#NAME?</v>
      </c>
    </row>
    <row r="424" spans="1:23" x14ac:dyDescent="0.2">
      <c r="A424" s="36" t="s">
        <v>2288</v>
      </c>
      <c r="B424" s="27" t="s">
        <v>2289</v>
      </c>
      <c r="C424" s="24" t="e">
        <f ca="1">[1]!BexGetData("DP_1","003N8EMH8GTFRCSWKMPXRR8GU","GSON1112031003")</f>
        <v>#NAME?</v>
      </c>
      <c r="D424" s="24" t="e">
        <f ca="1">[1]!BexGetData("DP_1","003N8EMH8GTFRCSWKMPXRRESE","GSON1112031003")</f>
        <v>#NAME?</v>
      </c>
      <c r="E424" s="24" t="e">
        <f ca="1">[1]!BexGetData("DP_1","003N8EMH8GTFRCSWKMPXRRL3Y","GSON1112031003")</f>
        <v>#NAME?</v>
      </c>
      <c r="F424" s="28" t="e">
        <f ca="1">[1]!BexGetData("DP_1","003N8EMH8GTFRCSWKMPXRRRFI","GSON1112031003")</f>
        <v>#NAME?</v>
      </c>
      <c r="G424" s="23" t="e">
        <f ca="1">[1]!BexGetData("DP_1","003N8EMH8GTFRCSWKMPXRRXR2","GSON1112031003")</f>
        <v>#NAME?</v>
      </c>
      <c r="H424" s="23" t="e">
        <f ca="1">[1]!BexGetData("DP_1","003N8EMH8GTFRCSWKMPXRS42M","GSON1112031003")</f>
        <v>#NAME?</v>
      </c>
      <c r="I424" s="28" t="e">
        <f ca="1">[1]!BexGetData("DP_1","003N8EMH8GTFRCSWKMPXRSAE6","GSON1112031003")</f>
        <v>#NAME?</v>
      </c>
      <c r="J424" s="24" t="e">
        <f ca="1">[1]!BexGetData("DP_1","003N8EMH8GTFRCSWKMPXRSGPQ","GSON1112031003")</f>
        <v>#NAME?</v>
      </c>
      <c r="K424" s="28" t="e">
        <f ca="1">[1]!BexGetData("DP_1","003N8EMH8GTFRIVNUPY288VJH","GSON1112031003")</f>
        <v>#NAME?</v>
      </c>
      <c r="L424" s="28" t="e">
        <f ca="1">[1]!BexGetData("DP_1","003N8EMH8GTFRIVNUPY2891V1","GSON1112031003")</f>
        <v>#NAME?</v>
      </c>
      <c r="M424" s="28" t="e">
        <f ca="1">[1]!BexGetData("DP_1","003N8EMH8GTFRIVOG7KG9IQXA","GSON1112031003")</f>
        <v>#NAME?</v>
      </c>
      <c r="N424" s="28" t="e">
        <f ca="1">[1]!BexGetData("DP_1","003N8EMH8GTFRIVOG7KG9IX8U","GSON1112031003")</f>
        <v>#NAME?</v>
      </c>
      <c r="O424" s="28" t="e">
        <f ca="1">[1]!BexGetData("DP_1","003N8EMH8GTFRIVOG7KG9J3KE","GSON1112031003")</f>
        <v>#NAME?</v>
      </c>
      <c r="P424" s="28" t="e">
        <f ca="1">[1]!BexGetData("DP_1","003N8EMH8GTFRIVOG7KG9J9VY","GSON1112031003")</f>
        <v>#NAME?</v>
      </c>
      <c r="Q424" s="24" t="e">
        <f ca="1">[1]!BexGetData("DP_1","00O2TNJGODT0G5Z4TTKYMM5MT","GSON1112031003")</f>
        <v>#NAME?</v>
      </c>
      <c r="R424" s="28" t="e">
        <f ca="1">[1]!BexGetData("DP_1","00O2TNJGODT0G5Z4TTKYMMBYD","GSON1112031003")</f>
        <v>#NAME?</v>
      </c>
      <c r="S424" s="28" t="e">
        <f ca="1">[1]!BexGetData("DP_1","00O2TNJGODT0G5Z4TTKYMMI9X","GSON1112031003")</f>
        <v>#NAME?</v>
      </c>
      <c r="T424" s="28" t="e">
        <f ca="1">[1]!BexGetData("DP_1","00O2TNJGODT0G5Z4TTKYMMOLH","GSON1112031003")</f>
        <v>#NAME?</v>
      </c>
      <c r="U424" s="28" t="e">
        <f ca="1">[1]!BexGetData("DP_1","00O2TNJGODT0G5Z4TTKYMMUX1","GSON1112031003")</f>
        <v>#NAME?</v>
      </c>
      <c r="V424" s="28" t="e">
        <f ca="1">[1]!BexGetData("DP_1","00O2TNJGODT0G5Z4TTKYMN18L","GSON1112031003")</f>
        <v>#NAME?</v>
      </c>
      <c r="W424" s="28" t="e">
        <f ca="1">[1]!BexGetData("DP_1","00O2TNJGODT0G5Z4TTKYMN7K5","GSON1112031003")</f>
        <v>#NAME?</v>
      </c>
    </row>
    <row r="425" spans="1:23" x14ac:dyDescent="0.2">
      <c r="A425" s="36" t="s">
        <v>2290</v>
      </c>
      <c r="B425" s="27" t="s">
        <v>2291</v>
      </c>
      <c r="C425" s="23" t="e">
        <f ca="1">[1]!BexGetData("DP_1","003N8EMH8GTFRCSWKMPXRR8GU","GSON1112031005")</f>
        <v>#NAME?</v>
      </c>
      <c r="D425" s="23" t="e">
        <f ca="1">[1]!BexGetData("DP_1","003N8EMH8GTFRCSWKMPXRRESE","GSON1112031005")</f>
        <v>#NAME?</v>
      </c>
      <c r="E425" s="28" t="e">
        <f ca="1">[1]!BexGetData("DP_1","003N8EMH8GTFRCSWKMPXRRL3Y","GSON1112031005")</f>
        <v>#NAME?</v>
      </c>
      <c r="F425" s="28" t="e">
        <f ca="1">[1]!BexGetData("DP_1","003N8EMH8GTFRCSWKMPXRRRFI","GSON1112031005")</f>
        <v>#NAME?</v>
      </c>
      <c r="G425" s="23" t="e">
        <f ca="1">[1]!BexGetData("DP_1","003N8EMH8GTFRCSWKMPXRRXR2","GSON1112031005")</f>
        <v>#NAME?</v>
      </c>
      <c r="H425" s="23" t="e">
        <f ca="1">[1]!BexGetData("DP_1","003N8EMH8GTFRCSWKMPXRS42M","GSON1112031005")</f>
        <v>#NAME?</v>
      </c>
      <c r="I425" s="28" t="e">
        <f ca="1">[1]!BexGetData("DP_1","003N8EMH8GTFRCSWKMPXRSAE6","GSON1112031005")</f>
        <v>#NAME?</v>
      </c>
      <c r="J425" s="24" t="e">
        <f ca="1">[1]!BexGetData("DP_1","003N8EMH8GTFRCSWKMPXRSGPQ","GSON1112031005")</f>
        <v>#NAME?</v>
      </c>
      <c r="K425" s="28" t="e">
        <f ca="1">[1]!BexGetData("DP_1","003N8EMH8GTFRIVNUPY288VJH","GSON1112031005")</f>
        <v>#NAME?</v>
      </c>
      <c r="L425" s="28" t="e">
        <f ca="1">[1]!BexGetData("DP_1","003N8EMH8GTFRIVNUPY2891V1","GSON1112031005")</f>
        <v>#NAME?</v>
      </c>
      <c r="M425" s="28" t="e">
        <f ca="1">[1]!BexGetData("DP_1","003N8EMH8GTFRIVOG7KG9IQXA","GSON1112031005")</f>
        <v>#NAME?</v>
      </c>
      <c r="N425" s="28" t="e">
        <f ca="1">[1]!BexGetData("DP_1","003N8EMH8GTFRIVOG7KG9IX8U","GSON1112031005")</f>
        <v>#NAME?</v>
      </c>
      <c r="O425" s="28" t="e">
        <f ca="1">[1]!BexGetData("DP_1","003N8EMH8GTFRIVOG7KG9J3KE","GSON1112031005")</f>
        <v>#NAME?</v>
      </c>
      <c r="P425" s="28" t="e">
        <f ca="1">[1]!BexGetData("DP_1","003N8EMH8GTFRIVOG7KG9J9VY","GSON1112031005")</f>
        <v>#NAME?</v>
      </c>
      <c r="Q425" s="24" t="e">
        <f ca="1">[1]!BexGetData("DP_1","00O2TNJGODT0G5Z4TTKYMM5MT","GSON1112031005")</f>
        <v>#NAME?</v>
      </c>
      <c r="R425" s="28" t="e">
        <f ca="1">[1]!BexGetData("DP_1","00O2TNJGODT0G5Z4TTKYMMBYD","GSON1112031005")</f>
        <v>#NAME?</v>
      </c>
      <c r="S425" s="28" t="e">
        <f ca="1">[1]!BexGetData("DP_1","00O2TNJGODT0G5Z4TTKYMMI9X","GSON1112031005")</f>
        <v>#NAME?</v>
      </c>
      <c r="T425" s="28" t="e">
        <f ca="1">[1]!BexGetData("DP_1","00O2TNJGODT0G5Z4TTKYMMOLH","GSON1112031005")</f>
        <v>#NAME?</v>
      </c>
      <c r="U425" s="28" t="e">
        <f ca="1">[1]!BexGetData("DP_1","00O2TNJGODT0G5Z4TTKYMMUX1","GSON1112031005")</f>
        <v>#NAME?</v>
      </c>
      <c r="V425" s="28" t="e">
        <f ca="1">[1]!BexGetData("DP_1","00O2TNJGODT0G5Z4TTKYMN18L","GSON1112031005")</f>
        <v>#NAME?</v>
      </c>
      <c r="W425" s="28" t="e">
        <f ca="1">[1]!BexGetData("DP_1","00O2TNJGODT0G5Z4TTKYMN7K5","GSON1112031005")</f>
        <v>#NAME?</v>
      </c>
    </row>
    <row r="426" spans="1:23" x14ac:dyDescent="0.2">
      <c r="A426" s="36" t="s">
        <v>942</v>
      </c>
      <c r="B426" s="27" t="s">
        <v>943</v>
      </c>
      <c r="C426" s="28" t="e">
        <f ca="1">[1]!BexGetData("DP_1","003N8EMH8GTFRCSWKMPXRR8GU","GSON1112031010")</f>
        <v>#NAME?</v>
      </c>
      <c r="D426" s="28" t="e">
        <f ca="1">[1]!BexGetData("DP_1","003N8EMH8GTFRCSWKMPXRRESE","GSON1112031010")</f>
        <v>#NAME?</v>
      </c>
      <c r="E426" s="28" t="e">
        <f ca="1">[1]!BexGetData("DP_1","003N8EMH8GTFRCSWKMPXRRL3Y","GSON1112031010")</f>
        <v>#NAME?</v>
      </c>
      <c r="F426" s="28" t="e">
        <f ca="1">[1]!BexGetData("DP_1","003N8EMH8GTFRCSWKMPXRRRFI","GSON1112031010")</f>
        <v>#NAME?</v>
      </c>
      <c r="G426" s="23" t="e">
        <f ca="1">[1]!BexGetData("DP_1","003N8EMH8GTFRCSWKMPXRRXR2","GSON1112031010")</f>
        <v>#NAME?</v>
      </c>
      <c r="H426" s="23" t="e">
        <f ca="1">[1]!BexGetData("DP_1","003N8EMH8GTFRCSWKMPXRS42M","GSON1112031010")</f>
        <v>#NAME?</v>
      </c>
      <c r="I426" s="28" t="e">
        <f ca="1">[1]!BexGetData("DP_1","003N8EMH8GTFRCSWKMPXRSAE6","GSON1112031010")</f>
        <v>#NAME?</v>
      </c>
      <c r="J426" s="23" t="e">
        <f ca="1">[1]!BexGetData("DP_1","003N8EMH8GTFRCSWKMPXRSGPQ","GSON1112031010")</f>
        <v>#NAME?</v>
      </c>
      <c r="K426" s="28" t="e">
        <f ca="1">[1]!BexGetData("DP_1","003N8EMH8GTFRIVNUPY288VJH","GSON1112031010")</f>
        <v>#NAME?</v>
      </c>
      <c r="L426" s="28" t="e">
        <f ca="1">[1]!BexGetData("DP_1","003N8EMH8GTFRIVNUPY2891V1","GSON1112031010")</f>
        <v>#NAME?</v>
      </c>
      <c r="M426" s="28" t="e">
        <f ca="1">[1]!BexGetData("DP_1","003N8EMH8GTFRIVOG7KG9IQXA","GSON1112031010")</f>
        <v>#NAME?</v>
      </c>
      <c r="N426" s="28" t="e">
        <f ca="1">[1]!BexGetData("DP_1","003N8EMH8GTFRIVOG7KG9IX8U","GSON1112031010")</f>
        <v>#NAME?</v>
      </c>
      <c r="O426" s="28" t="e">
        <f ca="1">[1]!BexGetData("DP_1","003N8EMH8GTFRIVOG7KG9J3KE","GSON1112031010")</f>
        <v>#NAME?</v>
      </c>
      <c r="P426" s="28" t="e">
        <f ca="1">[1]!BexGetData("DP_1","003N8EMH8GTFRIVOG7KG9J9VY","GSON1112031010")</f>
        <v>#NAME?</v>
      </c>
      <c r="Q426" s="23" t="e">
        <f ca="1">[1]!BexGetData("DP_1","00O2TNJGODT0G5Z4TTKYMM5MT","GSON1112031010")</f>
        <v>#NAME?</v>
      </c>
      <c r="R426" s="23" t="e">
        <f ca="1">[1]!BexGetData("DP_1","00O2TNJGODT0G5Z4TTKYMMBYD","GSON1112031010")</f>
        <v>#NAME?</v>
      </c>
      <c r="S426" s="23" t="e">
        <f ca="1">[1]!BexGetData("DP_1","00O2TNJGODT0G5Z4TTKYMMI9X","GSON1112031010")</f>
        <v>#NAME?</v>
      </c>
      <c r="T426" s="23" t="e">
        <f ca="1">[1]!BexGetData("DP_1","00O2TNJGODT0G5Z4TTKYMMOLH","GSON1112031010")</f>
        <v>#NAME?</v>
      </c>
      <c r="U426" s="28" t="e">
        <f ca="1">[1]!BexGetData("DP_1","00O2TNJGODT0G5Z4TTKYMMUX1","GSON1112031010")</f>
        <v>#NAME?</v>
      </c>
      <c r="V426" s="23" t="e">
        <f ca="1">[1]!BexGetData("DP_1","00O2TNJGODT0G5Z4TTKYMN18L","GSON1112031010")</f>
        <v>#NAME?</v>
      </c>
      <c r="W426" s="28" t="e">
        <f ca="1">[1]!BexGetData("DP_1","00O2TNJGODT0G5Z4TTKYMN7K5","GSON1112031010")</f>
        <v>#NAME?</v>
      </c>
    </row>
    <row r="427" spans="1:23" x14ac:dyDescent="0.2">
      <c r="A427" s="36" t="s">
        <v>944</v>
      </c>
      <c r="B427" s="27" t="s">
        <v>945</v>
      </c>
      <c r="C427" s="24" t="e">
        <f ca="1">[1]!BexGetData("DP_1","003N8EMH8GTFRCSWKMPXRR8GU","GSON1112031011")</f>
        <v>#NAME?</v>
      </c>
      <c r="D427" s="24" t="e">
        <f ca="1">[1]!BexGetData("DP_1","003N8EMH8GTFRCSWKMPXRRESE","GSON1112031011")</f>
        <v>#NAME?</v>
      </c>
      <c r="E427" s="24" t="e">
        <f ca="1">[1]!BexGetData("DP_1","003N8EMH8GTFRCSWKMPXRRL3Y","GSON1112031011")</f>
        <v>#NAME?</v>
      </c>
      <c r="F427" s="28" t="e">
        <f ca="1">[1]!BexGetData("DP_1","003N8EMH8GTFRCSWKMPXRRRFI","GSON1112031011")</f>
        <v>#NAME?</v>
      </c>
      <c r="G427" s="23" t="e">
        <f ca="1">[1]!BexGetData("DP_1","003N8EMH8GTFRCSWKMPXRRXR2","GSON1112031011")</f>
        <v>#NAME?</v>
      </c>
      <c r="H427" s="23" t="e">
        <f ca="1">[1]!BexGetData("DP_1","003N8EMH8GTFRCSWKMPXRS42M","GSON1112031011")</f>
        <v>#NAME?</v>
      </c>
      <c r="I427" s="28" t="e">
        <f ca="1">[1]!BexGetData("DP_1","003N8EMH8GTFRCSWKMPXRSAE6","GSON1112031011")</f>
        <v>#NAME?</v>
      </c>
      <c r="J427" s="24" t="e">
        <f ca="1">[1]!BexGetData("DP_1","003N8EMH8GTFRCSWKMPXRSGPQ","GSON1112031011")</f>
        <v>#NAME?</v>
      </c>
      <c r="K427" s="28" t="e">
        <f ca="1">[1]!BexGetData("DP_1","003N8EMH8GTFRIVNUPY288VJH","GSON1112031011")</f>
        <v>#NAME?</v>
      </c>
      <c r="L427" s="28" t="e">
        <f ca="1">[1]!BexGetData("DP_1","003N8EMH8GTFRIVNUPY2891V1","GSON1112031011")</f>
        <v>#NAME?</v>
      </c>
      <c r="M427" s="28" t="e">
        <f ca="1">[1]!BexGetData("DP_1","003N8EMH8GTFRIVOG7KG9IQXA","GSON1112031011")</f>
        <v>#NAME?</v>
      </c>
      <c r="N427" s="28" t="e">
        <f ca="1">[1]!BexGetData("DP_1","003N8EMH8GTFRIVOG7KG9IX8U","GSON1112031011")</f>
        <v>#NAME?</v>
      </c>
      <c r="O427" s="28" t="e">
        <f ca="1">[1]!BexGetData("DP_1","003N8EMH8GTFRIVOG7KG9J3KE","GSON1112031011")</f>
        <v>#NAME?</v>
      </c>
      <c r="P427" s="28" t="e">
        <f ca="1">[1]!BexGetData("DP_1","003N8EMH8GTFRIVOG7KG9J9VY","GSON1112031011")</f>
        <v>#NAME?</v>
      </c>
      <c r="Q427" s="24" t="e">
        <f ca="1">[1]!BexGetData("DP_1","00O2TNJGODT0G5Z4TTKYMM5MT","GSON1112031011")</f>
        <v>#NAME?</v>
      </c>
      <c r="R427" s="28" t="e">
        <f ca="1">[1]!BexGetData("DP_1","00O2TNJGODT0G5Z4TTKYMMBYD","GSON1112031011")</f>
        <v>#NAME?</v>
      </c>
      <c r="S427" s="28" t="e">
        <f ca="1">[1]!BexGetData("DP_1","00O2TNJGODT0G5Z4TTKYMMI9X","GSON1112031011")</f>
        <v>#NAME?</v>
      </c>
      <c r="T427" s="28" t="e">
        <f ca="1">[1]!BexGetData("DP_1","00O2TNJGODT0G5Z4TTKYMMOLH","GSON1112031011")</f>
        <v>#NAME?</v>
      </c>
      <c r="U427" s="28" t="e">
        <f ca="1">[1]!BexGetData("DP_1","00O2TNJGODT0G5Z4TTKYMMUX1","GSON1112031011")</f>
        <v>#NAME?</v>
      </c>
      <c r="V427" s="28" t="e">
        <f ca="1">[1]!BexGetData("DP_1","00O2TNJGODT0G5Z4TTKYMN18L","GSON1112031011")</f>
        <v>#NAME?</v>
      </c>
      <c r="W427" s="28" t="e">
        <f ca="1">[1]!BexGetData("DP_1","00O2TNJGODT0G5Z4TTKYMN7K5","GSON1112031011")</f>
        <v>#NAME?</v>
      </c>
    </row>
    <row r="428" spans="1:23" x14ac:dyDescent="0.2">
      <c r="A428" s="36" t="s">
        <v>2292</v>
      </c>
      <c r="B428" s="27" t="s">
        <v>2293</v>
      </c>
      <c r="C428" s="24" t="e">
        <f ca="1">[1]!BexGetData("DP_1","003N8EMH8GTFRCSWKMPXRR8GU","GSON1112031013")</f>
        <v>#NAME?</v>
      </c>
      <c r="D428" s="24" t="e">
        <f ca="1">[1]!BexGetData("DP_1","003N8EMH8GTFRCSWKMPXRRESE","GSON1112031013")</f>
        <v>#NAME?</v>
      </c>
      <c r="E428" s="24" t="e">
        <f ca="1">[1]!BexGetData("DP_1","003N8EMH8GTFRCSWKMPXRRL3Y","GSON1112031013")</f>
        <v>#NAME?</v>
      </c>
      <c r="F428" s="28" t="e">
        <f ca="1">[1]!BexGetData("DP_1","003N8EMH8GTFRCSWKMPXRRRFI","GSON1112031013")</f>
        <v>#NAME?</v>
      </c>
      <c r="G428" s="23" t="e">
        <f ca="1">[1]!BexGetData("DP_1","003N8EMH8GTFRCSWKMPXRRXR2","GSON1112031013")</f>
        <v>#NAME?</v>
      </c>
      <c r="H428" s="23" t="e">
        <f ca="1">[1]!BexGetData("DP_1","003N8EMH8GTFRCSWKMPXRS42M","GSON1112031013")</f>
        <v>#NAME?</v>
      </c>
      <c r="I428" s="28" t="e">
        <f ca="1">[1]!BexGetData("DP_1","003N8EMH8GTFRCSWKMPXRSAE6","GSON1112031013")</f>
        <v>#NAME?</v>
      </c>
      <c r="J428" s="24" t="e">
        <f ca="1">[1]!BexGetData("DP_1","003N8EMH8GTFRCSWKMPXRSGPQ","GSON1112031013")</f>
        <v>#NAME?</v>
      </c>
      <c r="K428" s="28" t="e">
        <f ca="1">[1]!BexGetData("DP_1","003N8EMH8GTFRIVNUPY288VJH","GSON1112031013")</f>
        <v>#NAME?</v>
      </c>
      <c r="L428" s="28" t="e">
        <f ca="1">[1]!BexGetData("DP_1","003N8EMH8GTFRIVNUPY2891V1","GSON1112031013")</f>
        <v>#NAME?</v>
      </c>
      <c r="M428" s="28" t="e">
        <f ca="1">[1]!BexGetData("DP_1","003N8EMH8GTFRIVOG7KG9IQXA","GSON1112031013")</f>
        <v>#NAME?</v>
      </c>
      <c r="N428" s="28" t="e">
        <f ca="1">[1]!BexGetData("DP_1","003N8EMH8GTFRIVOG7KG9IX8U","GSON1112031013")</f>
        <v>#NAME?</v>
      </c>
      <c r="O428" s="28" t="e">
        <f ca="1">[1]!BexGetData("DP_1","003N8EMH8GTFRIVOG7KG9J3KE","GSON1112031013")</f>
        <v>#NAME?</v>
      </c>
      <c r="P428" s="28" t="e">
        <f ca="1">[1]!BexGetData("DP_1","003N8EMH8GTFRIVOG7KG9J9VY","GSON1112031013")</f>
        <v>#NAME?</v>
      </c>
      <c r="Q428" s="24" t="e">
        <f ca="1">[1]!BexGetData("DP_1","00O2TNJGODT0G5Z4TTKYMM5MT","GSON1112031013")</f>
        <v>#NAME?</v>
      </c>
      <c r="R428" s="28" t="e">
        <f ca="1">[1]!BexGetData("DP_1","00O2TNJGODT0G5Z4TTKYMMBYD","GSON1112031013")</f>
        <v>#NAME?</v>
      </c>
      <c r="S428" s="28" t="e">
        <f ca="1">[1]!BexGetData("DP_1","00O2TNJGODT0G5Z4TTKYMMI9X","GSON1112031013")</f>
        <v>#NAME?</v>
      </c>
      <c r="T428" s="28" t="e">
        <f ca="1">[1]!BexGetData("DP_1","00O2TNJGODT0G5Z4TTKYMMOLH","GSON1112031013")</f>
        <v>#NAME?</v>
      </c>
      <c r="U428" s="28" t="e">
        <f ca="1">[1]!BexGetData("DP_1","00O2TNJGODT0G5Z4TTKYMMUX1","GSON1112031013")</f>
        <v>#NAME?</v>
      </c>
      <c r="V428" s="28" t="e">
        <f ca="1">[1]!BexGetData("DP_1","00O2TNJGODT0G5Z4TTKYMN18L","GSON1112031013")</f>
        <v>#NAME?</v>
      </c>
      <c r="W428" s="28" t="e">
        <f ca="1">[1]!BexGetData("DP_1","00O2TNJGODT0G5Z4TTKYMN7K5","GSON1112031013")</f>
        <v>#NAME?</v>
      </c>
    </row>
    <row r="429" spans="1:23" x14ac:dyDescent="0.2">
      <c r="A429" s="36" t="s">
        <v>2294</v>
      </c>
      <c r="B429" s="27" t="s">
        <v>2295</v>
      </c>
      <c r="C429" s="28" t="e">
        <f ca="1">[1]!BexGetData("DP_1","003N8EMH8GTFRCSWKMPXRR8GU","GSON1112031015")</f>
        <v>#NAME?</v>
      </c>
      <c r="D429" s="28" t="e">
        <f ca="1">[1]!BexGetData("DP_1","003N8EMH8GTFRCSWKMPXRRESE","GSON1112031015")</f>
        <v>#NAME?</v>
      </c>
      <c r="E429" s="28" t="e">
        <f ca="1">[1]!BexGetData("DP_1","003N8EMH8GTFRCSWKMPXRRL3Y","GSON1112031015")</f>
        <v>#NAME?</v>
      </c>
      <c r="F429" s="28" t="e">
        <f ca="1">[1]!BexGetData("DP_1","003N8EMH8GTFRCSWKMPXRRRFI","GSON1112031015")</f>
        <v>#NAME?</v>
      </c>
      <c r="G429" s="23" t="e">
        <f ca="1">[1]!BexGetData("DP_1","003N8EMH8GTFRCSWKMPXRRXR2","GSON1112031015")</f>
        <v>#NAME?</v>
      </c>
      <c r="H429" s="23" t="e">
        <f ca="1">[1]!BexGetData("DP_1","003N8EMH8GTFRCSWKMPXRS42M","GSON1112031015")</f>
        <v>#NAME?</v>
      </c>
      <c r="I429" s="28" t="e">
        <f ca="1">[1]!BexGetData("DP_1","003N8EMH8GTFRCSWKMPXRSAE6","GSON1112031015")</f>
        <v>#NAME?</v>
      </c>
      <c r="J429" s="24" t="e">
        <f ca="1">[1]!BexGetData("DP_1","003N8EMH8GTFRCSWKMPXRSGPQ","GSON1112031015")</f>
        <v>#NAME?</v>
      </c>
      <c r="K429" s="28" t="e">
        <f ca="1">[1]!BexGetData("DP_1","003N8EMH8GTFRIVNUPY288VJH","GSON1112031015")</f>
        <v>#NAME?</v>
      </c>
      <c r="L429" s="28" t="e">
        <f ca="1">[1]!BexGetData("DP_1","003N8EMH8GTFRIVNUPY2891V1","GSON1112031015")</f>
        <v>#NAME?</v>
      </c>
      <c r="M429" s="28" t="e">
        <f ca="1">[1]!BexGetData("DP_1","003N8EMH8GTFRIVOG7KG9IQXA","GSON1112031015")</f>
        <v>#NAME?</v>
      </c>
      <c r="N429" s="28" t="e">
        <f ca="1">[1]!BexGetData("DP_1","003N8EMH8GTFRIVOG7KG9IX8U","GSON1112031015")</f>
        <v>#NAME?</v>
      </c>
      <c r="O429" s="28" t="e">
        <f ca="1">[1]!BexGetData("DP_1","003N8EMH8GTFRIVOG7KG9J3KE","GSON1112031015")</f>
        <v>#NAME?</v>
      </c>
      <c r="P429" s="28" t="e">
        <f ca="1">[1]!BexGetData("DP_1","003N8EMH8GTFRIVOG7KG9J9VY","GSON1112031015")</f>
        <v>#NAME?</v>
      </c>
      <c r="Q429" s="24" t="e">
        <f ca="1">[1]!BexGetData("DP_1","00O2TNJGODT0G5Z4TTKYMM5MT","GSON1112031015")</f>
        <v>#NAME?</v>
      </c>
      <c r="R429" s="28" t="e">
        <f ca="1">[1]!BexGetData("DP_1","00O2TNJGODT0G5Z4TTKYMMBYD","GSON1112031015")</f>
        <v>#NAME?</v>
      </c>
      <c r="S429" s="28" t="e">
        <f ca="1">[1]!BexGetData("DP_1","00O2TNJGODT0G5Z4TTKYMMI9X","GSON1112031015")</f>
        <v>#NAME?</v>
      </c>
      <c r="T429" s="28" t="e">
        <f ca="1">[1]!BexGetData("DP_1","00O2TNJGODT0G5Z4TTKYMMOLH","GSON1112031015")</f>
        <v>#NAME?</v>
      </c>
      <c r="U429" s="28" t="e">
        <f ca="1">[1]!BexGetData("DP_1","00O2TNJGODT0G5Z4TTKYMMUX1","GSON1112031015")</f>
        <v>#NAME?</v>
      </c>
      <c r="V429" s="28" t="e">
        <f ca="1">[1]!BexGetData("DP_1","00O2TNJGODT0G5Z4TTKYMN18L","GSON1112031015")</f>
        <v>#NAME?</v>
      </c>
      <c r="W429" s="28" t="e">
        <f ca="1">[1]!BexGetData("DP_1","00O2TNJGODT0G5Z4TTKYMN7K5","GSON1112031015")</f>
        <v>#NAME?</v>
      </c>
    </row>
    <row r="430" spans="1:23" x14ac:dyDescent="0.2">
      <c r="A430" s="36" t="s">
        <v>2296</v>
      </c>
      <c r="B430" s="27" t="s">
        <v>2297</v>
      </c>
      <c r="C430" s="23" t="e">
        <f ca="1">[1]!BexGetData("DP_1","003N8EMH8GTFRCSWKMPXRR8GU","GSON1112031020")</f>
        <v>#NAME?</v>
      </c>
      <c r="D430" s="23" t="e">
        <f ca="1">[1]!BexGetData("DP_1","003N8EMH8GTFRCSWKMPXRRESE","GSON1112031020")</f>
        <v>#NAME?</v>
      </c>
      <c r="E430" s="28" t="e">
        <f ca="1">[1]!BexGetData("DP_1","003N8EMH8GTFRCSWKMPXRRL3Y","GSON1112031020")</f>
        <v>#NAME?</v>
      </c>
      <c r="F430" s="23" t="e">
        <f ca="1">[1]!BexGetData("DP_1","003N8EMH8GTFRCSWKMPXRRRFI","GSON1112031020")</f>
        <v>#NAME?</v>
      </c>
      <c r="G430" s="23" t="e">
        <f ca="1">[1]!BexGetData("DP_1","003N8EMH8GTFRCSWKMPXRRXR2","GSON1112031020")</f>
        <v>#NAME?</v>
      </c>
      <c r="H430" s="28" t="e">
        <f ca="1">[1]!BexGetData("DP_1","003N8EMH8GTFRCSWKMPXRS42M","GSON1112031020")</f>
        <v>#NAME?</v>
      </c>
      <c r="I430" s="23" t="e">
        <f ca="1">[1]!BexGetData("DP_1","003N8EMH8GTFRCSWKMPXRSAE6","GSON1112031020")</f>
        <v>#NAME?</v>
      </c>
      <c r="J430" s="23" t="e">
        <f ca="1">[1]!BexGetData("DP_1","003N8EMH8GTFRCSWKMPXRSGPQ","GSON1112031020")</f>
        <v>#NAME?</v>
      </c>
      <c r="K430" s="23" t="e">
        <f ca="1">[1]!BexGetData("DP_1","003N8EMH8GTFRIVNUPY288VJH","GSON1112031020")</f>
        <v>#NAME?</v>
      </c>
      <c r="L430" s="23" t="e">
        <f ca="1">[1]!BexGetData("DP_1","003N8EMH8GTFRIVNUPY2891V1","GSON1112031020")</f>
        <v>#NAME?</v>
      </c>
      <c r="M430" s="23" t="e">
        <f ca="1">[1]!BexGetData("DP_1","003N8EMH8GTFRIVOG7KG9IQXA","GSON1112031020")</f>
        <v>#NAME?</v>
      </c>
      <c r="N430" s="28" t="e">
        <f ca="1">[1]!BexGetData("DP_1","003N8EMH8GTFRIVOG7KG9IX8U","GSON1112031020")</f>
        <v>#NAME?</v>
      </c>
      <c r="O430" s="23" t="e">
        <f ca="1">[1]!BexGetData("DP_1","003N8EMH8GTFRIVOG7KG9J3KE","GSON1112031020")</f>
        <v>#NAME?</v>
      </c>
      <c r="P430" s="28" t="e">
        <f ca="1">[1]!BexGetData("DP_1","003N8EMH8GTFRIVOG7KG9J9VY","GSON1112031020")</f>
        <v>#NAME?</v>
      </c>
      <c r="Q430" s="23" t="e">
        <f ca="1">[1]!BexGetData("DP_1","00O2TNJGODT0G5Z4TTKYMM5MT","GSON1112031020")</f>
        <v>#NAME?</v>
      </c>
      <c r="R430" s="23" t="e">
        <f ca="1">[1]!BexGetData("DP_1","00O2TNJGODT0G5Z4TTKYMMBYD","GSON1112031020")</f>
        <v>#NAME?</v>
      </c>
      <c r="S430" s="23" t="e">
        <f ca="1">[1]!BexGetData("DP_1","00O2TNJGODT0G5Z4TTKYMMI9X","GSON1112031020")</f>
        <v>#NAME?</v>
      </c>
      <c r="T430" s="28" t="e">
        <f ca="1">[1]!BexGetData("DP_1","00O2TNJGODT0G5Z4TTKYMMOLH","GSON1112031020")</f>
        <v>#NAME?</v>
      </c>
      <c r="U430" s="23" t="e">
        <f ca="1">[1]!BexGetData("DP_1","00O2TNJGODT0G5Z4TTKYMMUX1","GSON1112031020")</f>
        <v>#NAME?</v>
      </c>
      <c r="V430" s="28" t="e">
        <f ca="1">[1]!BexGetData("DP_1","00O2TNJGODT0G5Z4TTKYMN18L","GSON1112031020")</f>
        <v>#NAME?</v>
      </c>
      <c r="W430" s="23" t="e">
        <f ca="1">[1]!BexGetData("DP_1","00O2TNJGODT0G5Z4TTKYMN7K5","GSON1112031020")</f>
        <v>#NAME?</v>
      </c>
    </row>
    <row r="431" spans="1:23" x14ac:dyDescent="0.2">
      <c r="A431" s="36" t="s">
        <v>2298</v>
      </c>
      <c r="B431" s="27" t="s">
        <v>2299</v>
      </c>
      <c r="C431" s="23" t="e">
        <f ca="1">[1]!BexGetData("DP_1","003N8EMH8GTFRCSWKMPXRR8GU","GSON1112031021")</f>
        <v>#NAME?</v>
      </c>
      <c r="D431" s="23" t="e">
        <f ca="1">[1]!BexGetData("DP_1","003N8EMH8GTFRCSWKMPXRRESE","GSON1112031021")</f>
        <v>#NAME?</v>
      </c>
      <c r="E431" s="28" t="e">
        <f ca="1">[1]!BexGetData("DP_1","003N8EMH8GTFRCSWKMPXRRL3Y","GSON1112031021")</f>
        <v>#NAME?</v>
      </c>
      <c r="F431" s="28" t="e">
        <f ca="1">[1]!BexGetData("DP_1","003N8EMH8GTFRCSWKMPXRRRFI","GSON1112031021")</f>
        <v>#NAME?</v>
      </c>
      <c r="G431" s="23" t="e">
        <f ca="1">[1]!BexGetData("DP_1","003N8EMH8GTFRCSWKMPXRRXR2","GSON1112031021")</f>
        <v>#NAME?</v>
      </c>
      <c r="H431" s="23" t="e">
        <f ca="1">[1]!BexGetData("DP_1","003N8EMH8GTFRCSWKMPXRS42M","GSON1112031021")</f>
        <v>#NAME?</v>
      </c>
      <c r="I431" s="28" t="e">
        <f ca="1">[1]!BexGetData("DP_1","003N8EMH8GTFRCSWKMPXRSAE6","GSON1112031021")</f>
        <v>#NAME?</v>
      </c>
      <c r="J431" s="24" t="e">
        <f ca="1">[1]!BexGetData("DP_1","003N8EMH8GTFRCSWKMPXRSGPQ","GSON1112031021")</f>
        <v>#NAME?</v>
      </c>
      <c r="K431" s="28" t="e">
        <f ca="1">[1]!BexGetData("DP_1","003N8EMH8GTFRIVNUPY288VJH","GSON1112031021")</f>
        <v>#NAME?</v>
      </c>
      <c r="L431" s="28" t="e">
        <f ca="1">[1]!BexGetData("DP_1","003N8EMH8GTFRIVNUPY2891V1","GSON1112031021")</f>
        <v>#NAME?</v>
      </c>
      <c r="M431" s="28" t="e">
        <f ca="1">[1]!BexGetData("DP_1","003N8EMH8GTFRIVOG7KG9IQXA","GSON1112031021")</f>
        <v>#NAME?</v>
      </c>
      <c r="N431" s="28" t="e">
        <f ca="1">[1]!BexGetData("DP_1","003N8EMH8GTFRIVOG7KG9IX8U","GSON1112031021")</f>
        <v>#NAME?</v>
      </c>
      <c r="O431" s="28" t="e">
        <f ca="1">[1]!BexGetData("DP_1","003N8EMH8GTFRIVOG7KG9J3KE","GSON1112031021")</f>
        <v>#NAME?</v>
      </c>
      <c r="P431" s="28" t="e">
        <f ca="1">[1]!BexGetData("DP_1","003N8EMH8GTFRIVOG7KG9J9VY","GSON1112031021")</f>
        <v>#NAME?</v>
      </c>
      <c r="Q431" s="24" t="e">
        <f ca="1">[1]!BexGetData("DP_1","00O2TNJGODT0G5Z4TTKYMM5MT","GSON1112031021")</f>
        <v>#NAME?</v>
      </c>
      <c r="R431" s="28" t="e">
        <f ca="1">[1]!BexGetData("DP_1","00O2TNJGODT0G5Z4TTKYMMBYD","GSON1112031021")</f>
        <v>#NAME?</v>
      </c>
      <c r="S431" s="28" t="e">
        <f ca="1">[1]!BexGetData("DP_1","00O2TNJGODT0G5Z4TTKYMMI9X","GSON1112031021")</f>
        <v>#NAME?</v>
      </c>
      <c r="T431" s="28" t="e">
        <f ca="1">[1]!BexGetData("DP_1","00O2TNJGODT0G5Z4TTKYMMOLH","GSON1112031021")</f>
        <v>#NAME?</v>
      </c>
      <c r="U431" s="28" t="e">
        <f ca="1">[1]!BexGetData("DP_1","00O2TNJGODT0G5Z4TTKYMMUX1","GSON1112031021")</f>
        <v>#NAME?</v>
      </c>
      <c r="V431" s="28" t="e">
        <f ca="1">[1]!BexGetData("DP_1","00O2TNJGODT0G5Z4TTKYMN18L","GSON1112031021")</f>
        <v>#NAME?</v>
      </c>
      <c r="W431" s="28" t="e">
        <f ca="1">[1]!BexGetData("DP_1","00O2TNJGODT0G5Z4TTKYMN7K5","GSON1112031021")</f>
        <v>#NAME?</v>
      </c>
    </row>
    <row r="432" spans="1:23" x14ac:dyDescent="0.2">
      <c r="A432" s="36" t="s">
        <v>2300</v>
      </c>
      <c r="B432" s="27" t="s">
        <v>2301</v>
      </c>
      <c r="C432" s="23" t="e">
        <f ca="1">[1]!BexGetData("DP_1","003N8EMH8GTFRCSWKMPXRR8GU","GSON1112031023")</f>
        <v>#NAME?</v>
      </c>
      <c r="D432" s="23" t="e">
        <f ca="1">[1]!BexGetData("DP_1","003N8EMH8GTFRCSWKMPXRRESE","GSON1112031023")</f>
        <v>#NAME?</v>
      </c>
      <c r="E432" s="28" t="e">
        <f ca="1">[1]!BexGetData("DP_1","003N8EMH8GTFRCSWKMPXRRL3Y","GSON1112031023")</f>
        <v>#NAME?</v>
      </c>
      <c r="F432" s="24" t="e">
        <f ca="1">[1]!BexGetData("DP_1","003N8EMH8GTFRCSWKMPXRRRFI","GSON1112031023")</f>
        <v>#NAME?</v>
      </c>
      <c r="G432" s="24" t="e">
        <f ca="1">[1]!BexGetData("DP_1","003N8EMH8GTFRCSWKMPXRRXR2","GSON1112031023")</f>
        <v>#NAME?</v>
      </c>
      <c r="H432" s="24" t="e">
        <f ca="1">[1]!BexGetData("DP_1","003N8EMH8GTFRCSWKMPXRS42M","GSON1112031023")</f>
        <v>#NAME?</v>
      </c>
      <c r="I432" s="24" t="e">
        <f ca="1">[1]!BexGetData("DP_1","003N8EMH8GTFRCSWKMPXRSAE6","GSON1112031023")</f>
        <v>#NAME?</v>
      </c>
      <c r="J432" s="24" t="e">
        <f ca="1">[1]!BexGetData("DP_1","003N8EMH8GTFRCSWKMPXRSGPQ","GSON1112031023")</f>
        <v>#NAME?</v>
      </c>
      <c r="K432" s="28" t="e">
        <f ca="1">[1]!BexGetData("DP_1","003N8EMH8GTFRIVNUPY288VJH","GSON1112031023")</f>
        <v>#NAME?</v>
      </c>
      <c r="L432" s="28" t="e">
        <f ca="1">[1]!BexGetData("DP_1","003N8EMH8GTFRIVNUPY2891V1","GSON1112031023")</f>
        <v>#NAME?</v>
      </c>
      <c r="M432" s="28" t="e">
        <f ca="1">[1]!BexGetData("DP_1","003N8EMH8GTFRIVOG7KG9IQXA","GSON1112031023")</f>
        <v>#NAME?</v>
      </c>
      <c r="N432" s="28" t="e">
        <f ca="1">[1]!BexGetData("DP_1","003N8EMH8GTFRIVOG7KG9IX8U","GSON1112031023")</f>
        <v>#NAME?</v>
      </c>
      <c r="O432" s="28" t="e">
        <f ca="1">[1]!BexGetData("DP_1","003N8EMH8GTFRIVOG7KG9J3KE","GSON1112031023")</f>
        <v>#NAME?</v>
      </c>
      <c r="P432" s="28" t="e">
        <f ca="1">[1]!BexGetData("DP_1","003N8EMH8GTFRIVOG7KG9J9VY","GSON1112031023")</f>
        <v>#NAME?</v>
      </c>
      <c r="Q432" s="24" t="e">
        <f ca="1">[1]!BexGetData("DP_1","00O2TNJGODT0G5Z4TTKYMM5MT","GSON1112031023")</f>
        <v>#NAME?</v>
      </c>
      <c r="R432" s="24" t="e">
        <f ca="1">[1]!BexGetData("DP_1","00O2TNJGODT0G5Z4TTKYMMBYD","GSON1112031023")</f>
        <v>#NAME?</v>
      </c>
      <c r="S432" s="24" t="e">
        <f ca="1">[1]!BexGetData("DP_1","00O2TNJGODT0G5Z4TTKYMMI9X","GSON1112031023")</f>
        <v>#NAME?</v>
      </c>
      <c r="T432" s="24" t="e">
        <f ca="1">[1]!BexGetData("DP_1","00O2TNJGODT0G5Z4TTKYMMOLH","GSON1112031023")</f>
        <v>#NAME?</v>
      </c>
      <c r="U432" s="24" t="e">
        <f ca="1">[1]!BexGetData("DP_1","00O2TNJGODT0G5Z4TTKYMMUX1","GSON1112031023")</f>
        <v>#NAME?</v>
      </c>
      <c r="V432" s="24" t="e">
        <f ca="1">[1]!BexGetData("DP_1","00O2TNJGODT0G5Z4TTKYMN18L","GSON1112031023")</f>
        <v>#NAME?</v>
      </c>
      <c r="W432" s="24" t="e">
        <f ca="1">[1]!BexGetData("DP_1","00O2TNJGODT0G5Z4TTKYMN7K5","GSON1112031023")</f>
        <v>#NAME?</v>
      </c>
    </row>
    <row r="433" spans="1:23" x14ac:dyDescent="0.2">
      <c r="A433" s="36" t="s">
        <v>2302</v>
      </c>
      <c r="B433" s="27" t="s">
        <v>2303</v>
      </c>
      <c r="C433" s="23" t="e">
        <f ca="1">[1]!BexGetData("DP_1","003N8EMH8GTFRCSWKMPXRR8GU","GSON1112031025")</f>
        <v>#NAME?</v>
      </c>
      <c r="D433" s="23" t="e">
        <f ca="1">[1]!BexGetData("DP_1","003N8EMH8GTFRCSWKMPXRRESE","GSON1112031025")</f>
        <v>#NAME?</v>
      </c>
      <c r="E433" s="28" t="e">
        <f ca="1">[1]!BexGetData("DP_1","003N8EMH8GTFRCSWKMPXRRL3Y","GSON1112031025")</f>
        <v>#NAME?</v>
      </c>
      <c r="F433" s="28" t="e">
        <f ca="1">[1]!BexGetData("DP_1","003N8EMH8GTFRCSWKMPXRRRFI","GSON1112031025")</f>
        <v>#NAME?</v>
      </c>
      <c r="G433" s="23" t="e">
        <f ca="1">[1]!BexGetData("DP_1","003N8EMH8GTFRCSWKMPXRRXR2","GSON1112031025")</f>
        <v>#NAME?</v>
      </c>
      <c r="H433" s="23" t="e">
        <f ca="1">[1]!BexGetData("DP_1","003N8EMH8GTFRCSWKMPXRS42M","GSON1112031025")</f>
        <v>#NAME?</v>
      </c>
      <c r="I433" s="28" t="e">
        <f ca="1">[1]!BexGetData("DP_1","003N8EMH8GTFRCSWKMPXRSAE6","GSON1112031025")</f>
        <v>#NAME?</v>
      </c>
      <c r="J433" s="24" t="e">
        <f ca="1">[1]!BexGetData("DP_1","003N8EMH8GTFRCSWKMPXRSGPQ","GSON1112031025")</f>
        <v>#NAME?</v>
      </c>
      <c r="K433" s="28" t="e">
        <f ca="1">[1]!BexGetData("DP_1","003N8EMH8GTFRIVNUPY288VJH","GSON1112031025")</f>
        <v>#NAME?</v>
      </c>
      <c r="L433" s="28" t="e">
        <f ca="1">[1]!BexGetData("DP_1","003N8EMH8GTFRIVNUPY2891V1","GSON1112031025")</f>
        <v>#NAME?</v>
      </c>
      <c r="M433" s="28" t="e">
        <f ca="1">[1]!BexGetData("DP_1","003N8EMH8GTFRIVOG7KG9IQXA","GSON1112031025")</f>
        <v>#NAME?</v>
      </c>
      <c r="N433" s="28" t="e">
        <f ca="1">[1]!BexGetData("DP_1","003N8EMH8GTFRIVOG7KG9IX8U","GSON1112031025")</f>
        <v>#NAME?</v>
      </c>
      <c r="O433" s="28" t="e">
        <f ca="1">[1]!BexGetData("DP_1","003N8EMH8GTFRIVOG7KG9J3KE","GSON1112031025")</f>
        <v>#NAME?</v>
      </c>
      <c r="P433" s="28" t="e">
        <f ca="1">[1]!BexGetData("DP_1","003N8EMH8GTFRIVOG7KG9J9VY","GSON1112031025")</f>
        <v>#NAME?</v>
      </c>
      <c r="Q433" s="24" t="e">
        <f ca="1">[1]!BexGetData("DP_1","00O2TNJGODT0G5Z4TTKYMM5MT","GSON1112031025")</f>
        <v>#NAME?</v>
      </c>
      <c r="R433" s="28" t="e">
        <f ca="1">[1]!BexGetData("DP_1","00O2TNJGODT0G5Z4TTKYMMBYD","GSON1112031025")</f>
        <v>#NAME?</v>
      </c>
      <c r="S433" s="28" t="e">
        <f ca="1">[1]!BexGetData("DP_1","00O2TNJGODT0G5Z4TTKYMMI9X","GSON1112031025")</f>
        <v>#NAME?</v>
      </c>
      <c r="T433" s="28" t="e">
        <f ca="1">[1]!BexGetData("DP_1","00O2TNJGODT0G5Z4TTKYMMOLH","GSON1112031025")</f>
        <v>#NAME?</v>
      </c>
      <c r="U433" s="28" t="e">
        <f ca="1">[1]!BexGetData("DP_1","00O2TNJGODT0G5Z4TTKYMMUX1","GSON1112031025")</f>
        <v>#NAME?</v>
      </c>
      <c r="V433" s="28" t="e">
        <f ca="1">[1]!BexGetData("DP_1","00O2TNJGODT0G5Z4TTKYMN18L","GSON1112031025")</f>
        <v>#NAME?</v>
      </c>
      <c r="W433" s="28" t="e">
        <f ca="1">[1]!BexGetData("DP_1","00O2TNJGODT0G5Z4TTKYMN7K5","GSON1112031025")</f>
        <v>#NAME?</v>
      </c>
    </row>
    <row r="434" spans="1:23" x14ac:dyDescent="0.2">
      <c r="A434" s="36" t="s">
        <v>2304</v>
      </c>
      <c r="B434" s="27" t="s">
        <v>2305</v>
      </c>
      <c r="C434" s="23" t="e">
        <f ca="1">[1]!BexGetData("DP_1","003N8EMH8GTFRCSWKMPXRR8GU","GSON1112031030")</f>
        <v>#NAME?</v>
      </c>
      <c r="D434" s="23" t="e">
        <f ca="1">[1]!BexGetData("DP_1","003N8EMH8GTFRCSWKMPXRRESE","GSON1112031030")</f>
        <v>#NAME?</v>
      </c>
      <c r="E434" s="23" t="e">
        <f ca="1">[1]!BexGetData("DP_1","003N8EMH8GTFRCSWKMPXRRL3Y","GSON1112031030")</f>
        <v>#NAME?</v>
      </c>
      <c r="F434" s="23" t="e">
        <f ca="1">[1]!BexGetData("DP_1","003N8EMH8GTFRCSWKMPXRRRFI","GSON1112031030")</f>
        <v>#NAME?</v>
      </c>
      <c r="G434" s="23" t="e">
        <f ca="1">[1]!BexGetData("DP_1","003N8EMH8GTFRCSWKMPXRRXR2","GSON1112031030")</f>
        <v>#NAME?</v>
      </c>
      <c r="H434" s="23" t="e">
        <f ca="1">[1]!BexGetData("DP_1","003N8EMH8GTFRCSWKMPXRS42M","GSON1112031030")</f>
        <v>#NAME?</v>
      </c>
      <c r="I434" s="23" t="e">
        <f ca="1">[1]!BexGetData("DP_1","003N8EMH8GTFRCSWKMPXRSAE6","GSON1112031030")</f>
        <v>#NAME?</v>
      </c>
      <c r="J434" s="23" t="e">
        <f ca="1">[1]!BexGetData("DP_1","003N8EMH8GTFRCSWKMPXRSGPQ","GSON1112031030")</f>
        <v>#NAME?</v>
      </c>
      <c r="K434" s="23" t="e">
        <f ca="1">[1]!BexGetData("DP_1","003N8EMH8GTFRIVNUPY288VJH","GSON1112031030")</f>
        <v>#NAME?</v>
      </c>
      <c r="L434" s="23" t="e">
        <f ca="1">[1]!BexGetData("DP_1","003N8EMH8GTFRIVNUPY2891V1","GSON1112031030")</f>
        <v>#NAME?</v>
      </c>
      <c r="M434" s="23" t="e">
        <f ca="1">[1]!BexGetData("DP_1","003N8EMH8GTFRIVOG7KG9IQXA","GSON1112031030")</f>
        <v>#NAME?</v>
      </c>
      <c r="N434" s="28" t="e">
        <f ca="1">[1]!BexGetData("DP_1","003N8EMH8GTFRIVOG7KG9IX8U","GSON1112031030")</f>
        <v>#NAME?</v>
      </c>
      <c r="O434" s="23" t="e">
        <f ca="1">[1]!BexGetData("DP_1","003N8EMH8GTFRIVOG7KG9J3KE","GSON1112031030")</f>
        <v>#NAME?</v>
      </c>
      <c r="P434" s="28" t="e">
        <f ca="1">[1]!BexGetData("DP_1","003N8EMH8GTFRIVOG7KG9J9VY","GSON1112031030")</f>
        <v>#NAME?</v>
      </c>
      <c r="Q434" s="23" t="e">
        <f ca="1">[1]!BexGetData("DP_1","00O2TNJGODT0G5Z4TTKYMM5MT","GSON1112031030")</f>
        <v>#NAME?</v>
      </c>
      <c r="R434" s="23" t="e">
        <f ca="1">[1]!BexGetData("DP_1","00O2TNJGODT0G5Z4TTKYMMBYD","GSON1112031030")</f>
        <v>#NAME?</v>
      </c>
      <c r="S434" s="23" t="e">
        <f ca="1">[1]!BexGetData("DP_1","00O2TNJGODT0G5Z4TTKYMMI9X","GSON1112031030")</f>
        <v>#NAME?</v>
      </c>
      <c r="T434" s="23" t="e">
        <f ca="1">[1]!BexGetData("DP_1","00O2TNJGODT0G5Z4TTKYMMOLH","GSON1112031030")</f>
        <v>#NAME?</v>
      </c>
      <c r="U434" s="28" t="e">
        <f ca="1">[1]!BexGetData("DP_1","00O2TNJGODT0G5Z4TTKYMMUX1","GSON1112031030")</f>
        <v>#NAME?</v>
      </c>
      <c r="V434" s="23" t="e">
        <f ca="1">[1]!BexGetData("DP_1","00O2TNJGODT0G5Z4TTKYMN18L","GSON1112031030")</f>
        <v>#NAME?</v>
      </c>
      <c r="W434" s="28" t="e">
        <f ca="1">[1]!BexGetData("DP_1","00O2TNJGODT0G5Z4TTKYMN7K5","GSON1112031030")</f>
        <v>#NAME?</v>
      </c>
    </row>
    <row r="435" spans="1:23" x14ac:dyDescent="0.2">
      <c r="A435" s="36" t="s">
        <v>2306</v>
      </c>
      <c r="B435" s="27" t="s">
        <v>2307</v>
      </c>
      <c r="C435" s="23" t="e">
        <f ca="1">[1]!BexGetData("DP_1","003N8EMH8GTFRCSWKMPXRR8GU","GSON1112031031")</f>
        <v>#NAME?</v>
      </c>
      <c r="D435" s="23" t="e">
        <f ca="1">[1]!BexGetData("DP_1","003N8EMH8GTFRCSWKMPXRRESE","GSON1112031031")</f>
        <v>#NAME?</v>
      </c>
      <c r="E435" s="28" t="e">
        <f ca="1">[1]!BexGetData("DP_1","003N8EMH8GTFRCSWKMPXRRL3Y","GSON1112031031")</f>
        <v>#NAME?</v>
      </c>
      <c r="F435" s="28" t="e">
        <f ca="1">[1]!BexGetData("DP_1","003N8EMH8GTFRCSWKMPXRRRFI","GSON1112031031")</f>
        <v>#NAME?</v>
      </c>
      <c r="G435" s="23" t="e">
        <f ca="1">[1]!BexGetData("DP_1","003N8EMH8GTFRCSWKMPXRRXR2","GSON1112031031")</f>
        <v>#NAME?</v>
      </c>
      <c r="H435" s="23" t="e">
        <f ca="1">[1]!BexGetData("DP_1","003N8EMH8GTFRCSWKMPXRS42M","GSON1112031031")</f>
        <v>#NAME?</v>
      </c>
      <c r="I435" s="28" t="e">
        <f ca="1">[1]!BexGetData("DP_1","003N8EMH8GTFRCSWKMPXRSAE6","GSON1112031031")</f>
        <v>#NAME?</v>
      </c>
      <c r="J435" s="24" t="e">
        <f ca="1">[1]!BexGetData("DP_1","003N8EMH8GTFRCSWKMPXRSGPQ","GSON1112031031")</f>
        <v>#NAME?</v>
      </c>
      <c r="K435" s="28" t="e">
        <f ca="1">[1]!BexGetData("DP_1","003N8EMH8GTFRIVNUPY288VJH","GSON1112031031")</f>
        <v>#NAME?</v>
      </c>
      <c r="L435" s="28" t="e">
        <f ca="1">[1]!BexGetData("DP_1","003N8EMH8GTFRIVNUPY2891V1","GSON1112031031")</f>
        <v>#NAME?</v>
      </c>
      <c r="M435" s="28" t="e">
        <f ca="1">[1]!BexGetData("DP_1","003N8EMH8GTFRIVOG7KG9IQXA","GSON1112031031")</f>
        <v>#NAME?</v>
      </c>
      <c r="N435" s="28" t="e">
        <f ca="1">[1]!BexGetData("DP_1","003N8EMH8GTFRIVOG7KG9IX8U","GSON1112031031")</f>
        <v>#NAME?</v>
      </c>
      <c r="O435" s="28" t="e">
        <f ca="1">[1]!BexGetData("DP_1","003N8EMH8GTFRIVOG7KG9J3KE","GSON1112031031")</f>
        <v>#NAME?</v>
      </c>
      <c r="P435" s="28" t="e">
        <f ca="1">[1]!BexGetData("DP_1","003N8EMH8GTFRIVOG7KG9J9VY","GSON1112031031")</f>
        <v>#NAME?</v>
      </c>
      <c r="Q435" s="24" t="e">
        <f ca="1">[1]!BexGetData("DP_1","00O2TNJGODT0G5Z4TTKYMM5MT","GSON1112031031")</f>
        <v>#NAME?</v>
      </c>
      <c r="R435" s="28" t="e">
        <f ca="1">[1]!BexGetData("DP_1","00O2TNJGODT0G5Z4TTKYMMBYD","GSON1112031031")</f>
        <v>#NAME?</v>
      </c>
      <c r="S435" s="28" t="e">
        <f ca="1">[1]!BexGetData("DP_1","00O2TNJGODT0G5Z4TTKYMMI9X","GSON1112031031")</f>
        <v>#NAME?</v>
      </c>
      <c r="T435" s="28" t="e">
        <f ca="1">[1]!BexGetData("DP_1","00O2TNJGODT0G5Z4TTKYMMOLH","GSON1112031031")</f>
        <v>#NAME?</v>
      </c>
      <c r="U435" s="28" t="e">
        <f ca="1">[1]!BexGetData("DP_1","00O2TNJGODT0G5Z4TTKYMMUX1","GSON1112031031")</f>
        <v>#NAME?</v>
      </c>
      <c r="V435" s="28" t="e">
        <f ca="1">[1]!BexGetData("DP_1","00O2TNJGODT0G5Z4TTKYMN18L","GSON1112031031")</f>
        <v>#NAME?</v>
      </c>
      <c r="W435" s="28" t="e">
        <f ca="1">[1]!BexGetData("DP_1","00O2TNJGODT0G5Z4TTKYMN7K5","GSON1112031031")</f>
        <v>#NAME?</v>
      </c>
    </row>
    <row r="436" spans="1:23" x14ac:dyDescent="0.2">
      <c r="A436" s="36" t="s">
        <v>2308</v>
      </c>
      <c r="B436" s="27" t="s">
        <v>2309</v>
      </c>
      <c r="C436" s="23" t="e">
        <f ca="1">[1]!BexGetData("DP_1","003N8EMH8GTFRCSWKMPXRR8GU","GSON1112031033")</f>
        <v>#NAME?</v>
      </c>
      <c r="D436" s="23" t="e">
        <f ca="1">[1]!BexGetData("DP_1","003N8EMH8GTFRCSWKMPXRRESE","GSON1112031033")</f>
        <v>#NAME?</v>
      </c>
      <c r="E436" s="28" t="e">
        <f ca="1">[1]!BexGetData("DP_1","003N8EMH8GTFRCSWKMPXRRL3Y","GSON1112031033")</f>
        <v>#NAME?</v>
      </c>
      <c r="F436" s="28" t="e">
        <f ca="1">[1]!BexGetData("DP_1","003N8EMH8GTFRCSWKMPXRRRFI","GSON1112031033")</f>
        <v>#NAME?</v>
      </c>
      <c r="G436" s="23" t="e">
        <f ca="1">[1]!BexGetData("DP_1","003N8EMH8GTFRCSWKMPXRRXR2","GSON1112031033")</f>
        <v>#NAME?</v>
      </c>
      <c r="H436" s="23" t="e">
        <f ca="1">[1]!BexGetData("DP_1","003N8EMH8GTFRCSWKMPXRS42M","GSON1112031033")</f>
        <v>#NAME?</v>
      </c>
      <c r="I436" s="28" t="e">
        <f ca="1">[1]!BexGetData("DP_1","003N8EMH8GTFRCSWKMPXRSAE6","GSON1112031033")</f>
        <v>#NAME?</v>
      </c>
      <c r="J436" s="24" t="e">
        <f ca="1">[1]!BexGetData("DP_1","003N8EMH8GTFRCSWKMPXRSGPQ","GSON1112031033")</f>
        <v>#NAME?</v>
      </c>
      <c r="K436" s="28" t="e">
        <f ca="1">[1]!BexGetData("DP_1","003N8EMH8GTFRIVNUPY288VJH","GSON1112031033")</f>
        <v>#NAME?</v>
      </c>
      <c r="L436" s="28" t="e">
        <f ca="1">[1]!BexGetData("DP_1","003N8EMH8GTFRIVNUPY2891V1","GSON1112031033")</f>
        <v>#NAME?</v>
      </c>
      <c r="M436" s="28" t="e">
        <f ca="1">[1]!BexGetData("DP_1","003N8EMH8GTFRIVOG7KG9IQXA","GSON1112031033")</f>
        <v>#NAME?</v>
      </c>
      <c r="N436" s="28" t="e">
        <f ca="1">[1]!BexGetData("DP_1","003N8EMH8GTFRIVOG7KG9IX8U","GSON1112031033")</f>
        <v>#NAME?</v>
      </c>
      <c r="O436" s="28" t="e">
        <f ca="1">[1]!BexGetData("DP_1","003N8EMH8GTFRIVOG7KG9J3KE","GSON1112031033")</f>
        <v>#NAME?</v>
      </c>
      <c r="P436" s="28" t="e">
        <f ca="1">[1]!BexGetData("DP_1","003N8EMH8GTFRIVOG7KG9J9VY","GSON1112031033")</f>
        <v>#NAME?</v>
      </c>
      <c r="Q436" s="24" t="e">
        <f ca="1">[1]!BexGetData("DP_1","00O2TNJGODT0G5Z4TTKYMM5MT","GSON1112031033")</f>
        <v>#NAME?</v>
      </c>
      <c r="R436" s="28" t="e">
        <f ca="1">[1]!BexGetData("DP_1","00O2TNJGODT0G5Z4TTKYMMBYD","GSON1112031033")</f>
        <v>#NAME?</v>
      </c>
      <c r="S436" s="28" t="e">
        <f ca="1">[1]!BexGetData("DP_1","00O2TNJGODT0G5Z4TTKYMMI9X","GSON1112031033")</f>
        <v>#NAME?</v>
      </c>
      <c r="T436" s="28" t="e">
        <f ca="1">[1]!BexGetData("DP_1","00O2TNJGODT0G5Z4TTKYMMOLH","GSON1112031033")</f>
        <v>#NAME?</v>
      </c>
      <c r="U436" s="28" t="e">
        <f ca="1">[1]!BexGetData("DP_1","00O2TNJGODT0G5Z4TTKYMMUX1","GSON1112031033")</f>
        <v>#NAME?</v>
      </c>
      <c r="V436" s="28" t="e">
        <f ca="1">[1]!BexGetData("DP_1","00O2TNJGODT0G5Z4TTKYMN18L","GSON1112031033")</f>
        <v>#NAME?</v>
      </c>
      <c r="W436" s="28" t="e">
        <f ca="1">[1]!BexGetData("DP_1","00O2TNJGODT0G5Z4TTKYMN7K5","GSON1112031033")</f>
        <v>#NAME?</v>
      </c>
    </row>
    <row r="437" spans="1:23" x14ac:dyDescent="0.2">
      <c r="A437" s="36" t="s">
        <v>2310</v>
      </c>
      <c r="B437" s="27" t="s">
        <v>2311</v>
      </c>
      <c r="C437" s="23" t="e">
        <f ca="1">[1]!BexGetData("DP_1","003N8EMH8GTFRCSWKMPXRR8GU","GSON1112031035")</f>
        <v>#NAME?</v>
      </c>
      <c r="D437" s="23" t="e">
        <f ca="1">[1]!BexGetData("DP_1","003N8EMH8GTFRCSWKMPXRRESE","GSON1112031035")</f>
        <v>#NAME?</v>
      </c>
      <c r="E437" s="28" t="e">
        <f ca="1">[1]!BexGetData("DP_1","003N8EMH8GTFRCSWKMPXRRL3Y","GSON1112031035")</f>
        <v>#NAME?</v>
      </c>
      <c r="F437" s="28" t="e">
        <f ca="1">[1]!BexGetData("DP_1","003N8EMH8GTFRCSWKMPXRRRFI","GSON1112031035")</f>
        <v>#NAME?</v>
      </c>
      <c r="G437" s="23" t="e">
        <f ca="1">[1]!BexGetData("DP_1","003N8EMH8GTFRCSWKMPXRRXR2","GSON1112031035")</f>
        <v>#NAME?</v>
      </c>
      <c r="H437" s="23" t="e">
        <f ca="1">[1]!BexGetData("DP_1","003N8EMH8GTFRCSWKMPXRS42M","GSON1112031035")</f>
        <v>#NAME?</v>
      </c>
      <c r="I437" s="28" t="e">
        <f ca="1">[1]!BexGetData("DP_1","003N8EMH8GTFRCSWKMPXRSAE6","GSON1112031035")</f>
        <v>#NAME?</v>
      </c>
      <c r="J437" s="24" t="e">
        <f ca="1">[1]!BexGetData("DP_1","003N8EMH8GTFRCSWKMPXRSGPQ","GSON1112031035")</f>
        <v>#NAME?</v>
      </c>
      <c r="K437" s="28" t="e">
        <f ca="1">[1]!BexGetData("DP_1","003N8EMH8GTFRIVNUPY288VJH","GSON1112031035")</f>
        <v>#NAME?</v>
      </c>
      <c r="L437" s="28" t="e">
        <f ca="1">[1]!BexGetData("DP_1","003N8EMH8GTFRIVNUPY2891V1","GSON1112031035")</f>
        <v>#NAME?</v>
      </c>
      <c r="M437" s="28" t="e">
        <f ca="1">[1]!BexGetData("DP_1","003N8EMH8GTFRIVOG7KG9IQXA","GSON1112031035")</f>
        <v>#NAME?</v>
      </c>
      <c r="N437" s="28" t="e">
        <f ca="1">[1]!BexGetData("DP_1","003N8EMH8GTFRIVOG7KG9IX8U","GSON1112031035")</f>
        <v>#NAME?</v>
      </c>
      <c r="O437" s="28" t="e">
        <f ca="1">[1]!BexGetData("DP_1","003N8EMH8GTFRIVOG7KG9J3KE","GSON1112031035")</f>
        <v>#NAME?</v>
      </c>
      <c r="P437" s="28" t="e">
        <f ca="1">[1]!BexGetData("DP_1","003N8EMH8GTFRIVOG7KG9J9VY","GSON1112031035")</f>
        <v>#NAME?</v>
      </c>
      <c r="Q437" s="24" t="e">
        <f ca="1">[1]!BexGetData("DP_1","00O2TNJGODT0G5Z4TTKYMM5MT","GSON1112031035")</f>
        <v>#NAME?</v>
      </c>
      <c r="R437" s="28" t="e">
        <f ca="1">[1]!BexGetData("DP_1","00O2TNJGODT0G5Z4TTKYMMBYD","GSON1112031035")</f>
        <v>#NAME?</v>
      </c>
      <c r="S437" s="28" t="e">
        <f ca="1">[1]!BexGetData("DP_1","00O2TNJGODT0G5Z4TTKYMMI9X","GSON1112031035")</f>
        <v>#NAME?</v>
      </c>
      <c r="T437" s="28" t="e">
        <f ca="1">[1]!BexGetData("DP_1","00O2TNJGODT0G5Z4TTKYMMOLH","GSON1112031035")</f>
        <v>#NAME?</v>
      </c>
      <c r="U437" s="28" t="e">
        <f ca="1">[1]!BexGetData("DP_1","00O2TNJGODT0G5Z4TTKYMMUX1","GSON1112031035")</f>
        <v>#NAME?</v>
      </c>
      <c r="V437" s="28" t="e">
        <f ca="1">[1]!BexGetData("DP_1","00O2TNJGODT0G5Z4TTKYMN18L","GSON1112031035")</f>
        <v>#NAME?</v>
      </c>
      <c r="W437" s="28" t="e">
        <f ca="1">[1]!BexGetData("DP_1","00O2TNJGODT0G5Z4TTKYMN7K5","GSON1112031035")</f>
        <v>#NAME?</v>
      </c>
    </row>
    <row r="438" spans="1:23" x14ac:dyDescent="0.2">
      <c r="A438" s="36" t="s">
        <v>2312</v>
      </c>
      <c r="B438" s="27" t="s">
        <v>2313</v>
      </c>
      <c r="C438" s="23" t="e">
        <f ca="1">[1]!BexGetData("DP_1","003N8EMH8GTFRCSWKMPXRR8GU","GSON1112031040")</f>
        <v>#NAME?</v>
      </c>
      <c r="D438" s="28" t="e">
        <f ca="1">[1]!BexGetData("DP_1","003N8EMH8GTFRCSWKMPXRRESE","GSON1112031040")</f>
        <v>#NAME?</v>
      </c>
      <c r="E438" s="23" t="e">
        <f ca="1">[1]!BexGetData("DP_1","003N8EMH8GTFRCSWKMPXRRL3Y","GSON1112031040")</f>
        <v>#NAME?</v>
      </c>
      <c r="F438" s="23" t="e">
        <f ca="1">[1]!BexGetData("DP_1","003N8EMH8GTFRCSWKMPXRRRFI","GSON1112031040")</f>
        <v>#NAME?</v>
      </c>
      <c r="G438" s="23" t="e">
        <f ca="1">[1]!BexGetData("DP_1","003N8EMH8GTFRCSWKMPXRRXR2","GSON1112031040")</f>
        <v>#NAME?</v>
      </c>
      <c r="H438" s="28" t="e">
        <f ca="1">[1]!BexGetData("DP_1","003N8EMH8GTFRCSWKMPXRS42M","GSON1112031040")</f>
        <v>#NAME?</v>
      </c>
      <c r="I438" s="23" t="e">
        <f ca="1">[1]!BexGetData("DP_1","003N8EMH8GTFRCSWKMPXRSAE6","GSON1112031040")</f>
        <v>#NAME?</v>
      </c>
      <c r="J438" s="23" t="e">
        <f ca="1">[1]!BexGetData("DP_1","003N8EMH8GTFRCSWKMPXRSGPQ","GSON1112031040")</f>
        <v>#NAME?</v>
      </c>
      <c r="K438" s="23" t="e">
        <f ca="1">[1]!BexGetData("DP_1","003N8EMH8GTFRIVNUPY288VJH","GSON1112031040")</f>
        <v>#NAME?</v>
      </c>
      <c r="L438" s="23" t="e">
        <f ca="1">[1]!BexGetData("DP_1","003N8EMH8GTFRIVNUPY2891V1","GSON1112031040")</f>
        <v>#NAME?</v>
      </c>
      <c r="M438" s="28" t="e">
        <f ca="1">[1]!BexGetData("DP_1","003N8EMH8GTFRIVOG7KG9IQXA","GSON1112031040")</f>
        <v>#NAME?</v>
      </c>
      <c r="N438" s="23" t="e">
        <f ca="1">[1]!BexGetData("DP_1","003N8EMH8GTFRIVOG7KG9IX8U","GSON1112031040")</f>
        <v>#NAME?</v>
      </c>
      <c r="O438" s="28" t="e">
        <f ca="1">[1]!BexGetData("DP_1","003N8EMH8GTFRIVOG7KG9J3KE","GSON1112031040")</f>
        <v>#NAME?</v>
      </c>
      <c r="P438" s="23" t="e">
        <f ca="1">[1]!BexGetData("DP_1","003N8EMH8GTFRIVOG7KG9J9VY","GSON1112031040")</f>
        <v>#NAME?</v>
      </c>
      <c r="Q438" s="23" t="e">
        <f ca="1">[1]!BexGetData("DP_1","00O2TNJGODT0G5Z4TTKYMM5MT","GSON1112031040")</f>
        <v>#NAME?</v>
      </c>
      <c r="R438" s="23" t="e">
        <f ca="1">[1]!BexGetData("DP_1","00O2TNJGODT0G5Z4TTKYMMBYD","GSON1112031040")</f>
        <v>#NAME?</v>
      </c>
      <c r="S438" s="23" t="e">
        <f ca="1">[1]!BexGetData("DP_1","00O2TNJGODT0G5Z4TTKYMMI9X","GSON1112031040")</f>
        <v>#NAME?</v>
      </c>
      <c r="T438" s="28" t="e">
        <f ca="1">[1]!BexGetData("DP_1","00O2TNJGODT0G5Z4TTKYMMOLH","GSON1112031040")</f>
        <v>#NAME?</v>
      </c>
      <c r="U438" s="23" t="e">
        <f ca="1">[1]!BexGetData("DP_1","00O2TNJGODT0G5Z4TTKYMMUX1","GSON1112031040")</f>
        <v>#NAME?</v>
      </c>
      <c r="V438" s="28" t="e">
        <f ca="1">[1]!BexGetData("DP_1","00O2TNJGODT0G5Z4TTKYMN18L","GSON1112031040")</f>
        <v>#NAME?</v>
      </c>
      <c r="W438" s="23" t="e">
        <f ca="1">[1]!BexGetData("DP_1","00O2TNJGODT0G5Z4TTKYMN7K5","GSON1112031040")</f>
        <v>#NAME?</v>
      </c>
    </row>
    <row r="439" spans="1:23" x14ac:dyDescent="0.2">
      <c r="A439" s="36" t="s">
        <v>2314</v>
      </c>
      <c r="B439" s="27" t="s">
        <v>2315</v>
      </c>
      <c r="C439" s="23" t="e">
        <f ca="1">[1]!BexGetData("DP_1","003N8EMH8GTFRCSWKMPXRR8GU","GSON1112031045")</f>
        <v>#NAME?</v>
      </c>
      <c r="D439" s="23" t="e">
        <f ca="1">[1]!BexGetData("DP_1","003N8EMH8GTFRCSWKMPXRRESE","GSON1112031045")</f>
        <v>#NAME?</v>
      </c>
      <c r="E439" s="28" t="e">
        <f ca="1">[1]!BexGetData("DP_1","003N8EMH8GTFRCSWKMPXRRL3Y","GSON1112031045")</f>
        <v>#NAME?</v>
      </c>
      <c r="F439" s="28" t="e">
        <f ca="1">[1]!BexGetData("DP_1","003N8EMH8GTFRCSWKMPXRRRFI","GSON1112031045")</f>
        <v>#NAME?</v>
      </c>
      <c r="G439" s="23" t="e">
        <f ca="1">[1]!BexGetData("DP_1","003N8EMH8GTFRCSWKMPXRRXR2","GSON1112031045")</f>
        <v>#NAME?</v>
      </c>
      <c r="H439" s="23" t="e">
        <f ca="1">[1]!BexGetData("DP_1","003N8EMH8GTFRCSWKMPXRS42M","GSON1112031045")</f>
        <v>#NAME?</v>
      </c>
      <c r="I439" s="28" t="e">
        <f ca="1">[1]!BexGetData("DP_1","003N8EMH8GTFRCSWKMPXRSAE6","GSON1112031045")</f>
        <v>#NAME?</v>
      </c>
      <c r="J439" s="24" t="e">
        <f ca="1">[1]!BexGetData("DP_1","003N8EMH8GTFRCSWKMPXRSGPQ","GSON1112031045")</f>
        <v>#NAME?</v>
      </c>
      <c r="K439" s="28" t="e">
        <f ca="1">[1]!BexGetData("DP_1","003N8EMH8GTFRIVNUPY288VJH","GSON1112031045")</f>
        <v>#NAME?</v>
      </c>
      <c r="L439" s="28" t="e">
        <f ca="1">[1]!BexGetData("DP_1","003N8EMH8GTFRIVNUPY2891V1","GSON1112031045")</f>
        <v>#NAME?</v>
      </c>
      <c r="M439" s="28" t="e">
        <f ca="1">[1]!BexGetData("DP_1","003N8EMH8GTFRIVOG7KG9IQXA","GSON1112031045")</f>
        <v>#NAME?</v>
      </c>
      <c r="N439" s="28" t="e">
        <f ca="1">[1]!BexGetData("DP_1","003N8EMH8GTFRIVOG7KG9IX8U","GSON1112031045")</f>
        <v>#NAME?</v>
      </c>
      <c r="O439" s="28" t="e">
        <f ca="1">[1]!BexGetData("DP_1","003N8EMH8GTFRIVOG7KG9J3KE","GSON1112031045")</f>
        <v>#NAME?</v>
      </c>
      <c r="P439" s="28" t="e">
        <f ca="1">[1]!BexGetData("DP_1","003N8EMH8GTFRIVOG7KG9J9VY","GSON1112031045")</f>
        <v>#NAME?</v>
      </c>
      <c r="Q439" s="24" t="e">
        <f ca="1">[1]!BexGetData("DP_1","00O2TNJGODT0G5Z4TTKYMM5MT","GSON1112031045")</f>
        <v>#NAME?</v>
      </c>
      <c r="R439" s="28" t="e">
        <f ca="1">[1]!BexGetData("DP_1","00O2TNJGODT0G5Z4TTKYMMBYD","GSON1112031045")</f>
        <v>#NAME?</v>
      </c>
      <c r="S439" s="28" t="e">
        <f ca="1">[1]!BexGetData("DP_1","00O2TNJGODT0G5Z4TTKYMMI9X","GSON1112031045")</f>
        <v>#NAME?</v>
      </c>
      <c r="T439" s="28" t="e">
        <f ca="1">[1]!BexGetData("DP_1","00O2TNJGODT0G5Z4TTKYMMOLH","GSON1112031045")</f>
        <v>#NAME?</v>
      </c>
      <c r="U439" s="28" t="e">
        <f ca="1">[1]!BexGetData("DP_1","00O2TNJGODT0G5Z4TTKYMMUX1","GSON1112031045")</f>
        <v>#NAME?</v>
      </c>
      <c r="V439" s="28" t="e">
        <f ca="1">[1]!BexGetData("DP_1","00O2TNJGODT0G5Z4TTKYMN18L","GSON1112031045")</f>
        <v>#NAME?</v>
      </c>
      <c r="W439" s="28" t="e">
        <f ca="1">[1]!BexGetData("DP_1","00O2TNJGODT0G5Z4TTKYMN7K5","GSON1112031045")</f>
        <v>#NAME?</v>
      </c>
    </row>
    <row r="440" spans="1:23" x14ac:dyDescent="0.2">
      <c r="A440" s="36" t="s">
        <v>2316</v>
      </c>
      <c r="B440" s="27" t="s">
        <v>2317</v>
      </c>
      <c r="C440" s="23" t="e">
        <f ca="1">[1]!BexGetData("DP_1","003N8EMH8GTFRCSWKMPXRR8GU","GSON1112031100")</f>
        <v>#NAME?</v>
      </c>
      <c r="D440" s="23" t="e">
        <f ca="1">[1]!BexGetData("DP_1","003N8EMH8GTFRCSWKMPXRRESE","GSON1112031100")</f>
        <v>#NAME?</v>
      </c>
      <c r="E440" s="23" t="e">
        <f ca="1">[1]!BexGetData("DP_1","003N8EMH8GTFRCSWKMPXRRL3Y","GSON1112031100")</f>
        <v>#NAME?</v>
      </c>
      <c r="F440" s="23" t="e">
        <f ca="1">[1]!BexGetData("DP_1","003N8EMH8GTFRCSWKMPXRRRFI","GSON1112031100")</f>
        <v>#NAME?</v>
      </c>
      <c r="G440" s="23" t="e">
        <f ca="1">[1]!BexGetData("DP_1","003N8EMH8GTFRCSWKMPXRRXR2","GSON1112031100")</f>
        <v>#NAME?</v>
      </c>
      <c r="H440" s="23" t="e">
        <f ca="1">[1]!BexGetData("DP_1","003N8EMH8GTFRCSWKMPXRS42M","GSON1112031100")</f>
        <v>#NAME?</v>
      </c>
      <c r="I440" s="23" t="e">
        <f ca="1">[1]!BexGetData("DP_1","003N8EMH8GTFRCSWKMPXRSAE6","GSON1112031100")</f>
        <v>#NAME?</v>
      </c>
      <c r="J440" s="24" t="e">
        <f ca="1">[1]!BexGetData("DP_1","003N8EMH8GTFRCSWKMPXRSGPQ","GSON1112031100")</f>
        <v>#NAME?</v>
      </c>
      <c r="K440" s="23" t="e">
        <f ca="1">[1]!BexGetData("DP_1","003N8EMH8GTFRIVNUPY288VJH","GSON1112031100")</f>
        <v>#NAME?</v>
      </c>
      <c r="L440" s="23" t="e">
        <f ca="1">[1]!BexGetData("DP_1","003N8EMH8GTFRIVNUPY2891V1","GSON1112031100")</f>
        <v>#NAME?</v>
      </c>
      <c r="M440" s="23" t="e">
        <f ca="1">[1]!BexGetData("DP_1","003N8EMH8GTFRIVOG7KG9IQXA","GSON1112031100")</f>
        <v>#NAME?</v>
      </c>
      <c r="N440" s="28" t="e">
        <f ca="1">[1]!BexGetData("DP_1","003N8EMH8GTFRIVOG7KG9IX8U","GSON1112031100")</f>
        <v>#NAME?</v>
      </c>
      <c r="O440" s="23" t="e">
        <f ca="1">[1]!BexGetData("DP_1","003N8EMH8GTFRIVOG7KG9J3KE","GSON1112031100")</f>
        <v>#NAME?</v>
      </c>
      <c r="P440" s="28" t="e">
        <f ca="1">[1]!BexGetData("DP_1","003N8EMH8GTFRIVOG7KG9J9VY","GSON1112031100")</f>
        <v>#NAME?</v>
      </c>
      <c r="Q440" s="24" t="e">
        <f ca="1">[1]!BexGetData("DP_1","00O2TNJGODT0G5Z4TTKYMM5MT","GSON1112031100")</f>
        <v>#NAME?</v>
      </c>
      <c r="R440" s="23" t="e">
        <f ca="1">[1]!BexGetData("DP_1","00O2TNJGODT0G5Z4TTKYMMBYD","GSON1112031100")</f>
        <v>#NAME?</v>
      </c>
      <c r="S440" s="23" t="e">
        <f ca="1">[1]!BexGetData("DP_1","00O2TNJGODT0G5Z4TTKYMMI9X","GSON1112031100")</f>
        <v>#NAME?</v>
      </c>
      <c r="T440" s="28" t="e">
        <f ca="1">[1]!BexGetData("DP_1","00O2TNJGODT0G5Z4TTKYMMOLH","GSON1112031100")</f>
        <v>#NAME?</v>
      </c>
      <c r="U440" s="23" t="e">
        <f ca="1">[1]!BexGetData("DP_1","00O2TNJGODT0G5Z4TTKYMMUX1","GSON1112031100")</f>
        <v>#NAME?</v>
      </c>
      <c r="V440" s="28" t="e">
        <f ca="1">[1]!BexGetData("DP_1","00O2TNJGODT0G5Z4TTKYMN18L","GSON1112031100")</f>
        <v>#NAME?</v>
      </c>
      <c r="W440" s="23" t="e">
        <f ca="1">[1]!BexGetData("DP_1","00O2TNJGODT0G5Z4TTKYMN7K5","GSON1112031100")</f>
        <v>#NAME?</v>
      </c>
    </row>
    <row r="441" spans="1:23" x14ac:dyDescent="0.2">
      <c r="A441" s="36" t="s">
        <v>2318</v>
      </c>
      <c r="B441" s="27" t="s">
        <v>2319</v>
      </c>
      <c r="C441" s="23" t="e">
        <f ca="1">[1]!BexGetData("DP_1","003N8EMH8GTFRCSWKMPXRR8GU","GSON1112031101")</f>
        <v>#NAME?</v>
      </c>
      <c r="D441" s="23" t="e">
        <f ca="1">[1]!BexGetData("DP_1","003N8EMH8GTFRCSWKMPXRRESE","GSON1112031101")</f>
        <v>#NAME?</v>
      </c>
      <c r="E441" s="28" t="e">
        <f ca="1">[1]!BexGetData("DP_1","003N8EMH8GTFRCSWKMPXRRL3Y","GSON1112031101")</f>
        <v>#NAME?</v>
      </c>
      <c r="F441" s="28" t="e">
        <f ca="1">[1]!BexGetData("DP_1","003N8EMH8GTFRCSWKMPXRRRFI","GSON1112031101")</f>
        <v>#NAME?</v>
      </c>
      <c r="G441" s="23" t="e">
        <f ca="1">[1]!BexGetData("DP_1","003N8EMH8GTFRCSWKMPXRRXR2","GSON1112031101")</f>
        <v>#NAME?</v>
      </c>
      <c r="H441" s="23" t="e">
        <f ca="1">[1]!BexGetData("DP_1","003N8EMH8GTFRCSWKMPXRS42M","GSON1112031101")</f>
        <v>#NAME?</v>
      </c>
      <c r="I441" s="28" t="e">
        <f ca="1">[1]!BexGetData("DP_1","003N8EMH8GTFRCSWKMPXRSAE6","GSON1112031101")</f>
        <v>#NAME?</v>
      </c>
      <c r="J441" s="24" t="e">
        <f ca="1">[1]!BexGetData("DP_1","003N8EMH8GTFRCSWKMPXRSGPQ","GSON1112031101")</f>
        <v>#NAME?</v>
      </c>
      <c r="K441" s="28" t="e">
        <f ca="1">[1]!BexGetData("DP_1","003N8EMH8GTFRIVNUPY288VJH","GSON1112031101")</f>
        <v>#NAME?</v>
      </c>
      <c r="L441" s="28" t="e">
        <f ca="1">[1]!BexGetData("DP_1","003N8EMH8GTFRIVNUPY2891V1","GSON1112031101")</f>
        <v>#NAME?</v>
      </c>
      <c r="M441" s="28" t="e">
        <f ca="1">[1]!BexGetData("DP_1","003N8EMH8GTFRIVOG7KG9IQXA","GSON1112031101")</f>
        <v>#NAME?</v>
      </c>
      <c r="N441" s="28" t="e">
        <f ca="1">[1]!BexGetData("DP_1","003N8EMH8GTFRIVOG7KG9IX8U","GSON1112031101")</f>
        <v>#NAME?</v>
      </c>
      <c r="O441" s="28" t="e">
        <f ca="1">[1]!BexGetData("DP_1","003N8EMH8GTFRIVOG7KG9J3KE","GSON1112031101")</f>
        <v>#NAME?</v>
      </c>
      <c r="P441" s="28" t="e">
        <f ca="1">[1]!BexGetData("DP_1","003N8EMH8GTFRIVOG7KG9J9VY","GSON1112031101")</f>
        <v>#NAME?</v>
      </c>
      <c r="Q441" s="24" t="e">
        <f ca="1">[1]!BexGetData("DP_1","00O2TNJGODT0G5Z4TTKYMM5MT","GSON1112031101")</f>
        <v>#NAME?</v>
      </c>
      <c r="R441" s="28" t="e">
        <f ca="1">[1]!BexGetData("DP_1","00O2TNJGODT0G5Z4TTKYMMBYD","GSON1112031101")</f>
        <v>#NAME?</v>
      </c>
      <c r="S441" s="28" t="e">
        <f ca="1">[1]!BexGetData("DP_1","00O2TNJGODT0G5Z4TTKYMMI9X","GSON1112031101")</f>
        <v>#NAME?</v>
      </c>
      <c r="T441" s="28" t="e">
        <f ca="1">[1]!BexGetData("DP_1","00O2TNJGODT0G5Z4TTKYMMOLH","GSON1112031101")</f>
        <v>#NAME?</v>
      </c>
      <c r="U441" s="28" t="e">
        <f ca="1">[1]!BexGetData("DP_1","00O2TNJGODT0G5Z4TTKYMMUX1","GSON1112031101")</f>
        <v>#NAME?</v>
      </c>
      <c r="V441" s="28" t="e">
        <f ca="1">[1]!BexGetData("DP_1","00O2TNJGODT0G5Z4TTKYMN18L","GSON1112031101")</f>
        <v>#NAME?</v>
      </c>
      <c r="W441" s="28" t="e">
        <f ca="1">[1]!BexGetData("DP_1","00O2TNJGODT0G5Z4TTKYMN7K5","GSON1112031101")</f>
        <v>#NAME?</v>
      </c>
    </row>
    <row r="442" spans="1:23" x14ac:dyDescent="0.2">
      <c r="A442" s="36" t="s">
        <v>2320</v>
      </c>
      <c r="B442" s="27" t="s">
        <v>2321</v>
      </c>
      <c r="C442" s="23" t="e">
        <f ca="1">[1]!BexGetData("DP_1","003N8EMH8GTFRCSWKMPXRR8GU","GSON1112031103")</f>
        <v>#NAME?</v>
      </c>
      <c r="D442" s="23" t="e">
        <f ca="1">[1]!BexGetData("DP_1","003N8EMH8GTFRCSWKMPXRRESE","GSON1112031103")</f>
        <v>#NAME?</v>
      </c>
      <c r="E442" s="28" t="e">
        <f ca="1">[1]!BexGetData("DP_1","003N8EMH8GTFRCSWKMPXRRL3Y","GSON1112031103")</f>
        <v>#NAME?</v>
      </c>
      <c r="F442" s="28" t="e">
        <f ca="1">[1]!BexGetData("DP_1","003N8EMH8GTFRCSWKMPXRRRFI","GSON1112031103")</f>
        <v>#NAME?</v>
      </c>
      <c r="G442" s="23" t="e">
        <f ca="1">[1]!BexGetData("DP_1","003N8EMH8GTFRCSWKMPXRRXR2","GSON1112031103")</f>
        <v>#NAME?</v>
      </c>
      <c r="H442" s="23" t="e">
        <f ca="1">[1]!BexGetData("DP_1","003N8EMH8GTFRCSWKMPXRS42M","GSON1112031103")</f>
        <v>#NAME?</v>
      </c>
      <c r="I442" s="28" t="e">
        <f ca="1">[1]!BexGetData("DP_1","003N8EMH8GTFRCSWKMPXRSAE6","GSON1112031103")</f>
        <v>#NAME?</v>
      </c>
      <c r="J442" s="24" t="e">
        <f ca="1">[1]!BexGetData("DP_1","003N8EMH8GTFRCSWKMPXRSGPQ","GSON1112031103")</f>
        <v>#NAME?</v>
      </c>
      <c r="K442" s="28" t="e">
        <f ca="1">[1]!BexGetData("DP_1","003N8EMH8GTFRIVNUPY288VJH","GSON1112031103")</f>
        <v>#NAME?</v>
      </c>
      <c r="L442" s="28" t="e">
        <f ca="1">[1]!BexGetData("DP_1","003N8EMH8GTFRIVNUPY2891V1","GSON1112031103")</f>
        <v>#NAME?</v>
      </c>
      <c r="M442" s="28" t="e">
        <f ca="1">[1]!BexGetData("DP_1","003N8EMH8GTFRIVOG7KG9IQXA","GSON1112031103")</f>
        <v>#NAME?</v>
      </c>
      <c r="N442" s="28" t="e">
        <f ca="1">[1]!BexGetData("DP_1","003N8EMH8GTFRIVOG7KG9IX8U","GSON1112031103")</f>
        <v>#NAME?</v>
      </c>
      <c r="O442" s="28" t="e">
        <f ca="1">[1]!BexGetData("DP_1","003N8EMH8GTFRIVOG7KG9J3KE","GSON1112031103")</f>
        <v>#NAME?</v>
      </c>
      <c r="P442" s="28" t="e">
        <f ca="1">[1]!BexGetData("DP_1","003N8EMH8GTFRIVOG7KG9J9VY","GSON1112031103")</f>
        <v>#NAME?</v>
      </c>
      <c r="Q442" s="24" t="e">
        <f ca="1">[1]!BexGetData("DP_1","00O2TNJGODT0G5Z4TTKYMM5MT","GSON1112031103")</f>
        <v>#NAME?</v>
      </c>
      <c r="R442" s="28" t="e">
        <f ca="1">[1]!BexGetData("DP_1","00O2TNJGODT0G5Z4TTKYMMBYD","GSON1112031103")</f>
        <v>#NAME?</v>
      </c>
      <c r="S442" s="28" t="e">
        <f ca="1">[1]!BexGetData("DP_1","00O2TNJGODT0G5Z4TTKYMMI9X","GSON1112031103")</f>
        <v>#NAME?</v>
      </c>
      <c r="T442" s="28" t="e">
        <f ca="1">[1]!BexGetData("DP_1","00O2TNJGODT0G5Z4TTKYMMOLH","GSON1112031103")</f>
        <v>#NAME?</v>
      </c>
      <c r="U442" s="28" t="e">
        <f ca="1">[1]!BexGetData("DP_1","00O2TNJGODT0G5Z4TTKYMMUX1","GSON1112031103")</f>
        <v>#NAME?</v>
      </c>
      <c r="V442" s="28" t="e">
        <f ca="1">[1]!BexGetData("DP_1","00O2TNJGODT0G5Z4TTKYMN18L","GSON1112031103")</f>
        <v>#NAME?</v>
      </c>
      <c r="W442" s="28" t="e">
        <f ca="1">[1]!BexGetData("DP_1","00O2TNJGODT0G5Z4TTKYMN7K5","GSON1112031103")</f>
        <v>#NAME?</v>
      </c>
    </row>
    <row r="443" spans="1:23" x14ac:dyDescent="0.2">
      <c r="A443" s="36" t="s">
        <v>2322</v>
      </c>
      <c r="B443" s="27" t="s">
        <v>2323</v>
      </c>
      <c r="C443" s="23" t="e">
        <f ca="1">[1]!BexGetData("DP_1","003N8EMH8GTFRCSWKMPXRR8GU","GSON1112031105")</f>
        <v>#NAME?</v>
      </c>
      <c r="D443" s="23" t="e">
        <f ca="1">[1]!BexGetData("DP_1","003N8EMH8GTFRCSWKMPXRRESE","GSON1112031105")</f>
        <v>#NAME?</v>
      </c>
      <c r="E443" s="28" t="e">
        <f ca="1">[1]!BexGetData("DP_1","003N8EMH8GTFRCSWKMPXRRL3Y","GSON1112031105")</f>
        <v>#NAME?</v>
      </c>
      <c r="F443" s="28" t="e">
        <f ca="1">[1]!BexGetData("DP_1","003N8EMH8GTFRCSWKMPXRRRFI","GSON1112031105")</f>
        <v>#NAME?</v>
      </c>
      <c r="G443" s="23" t="e">
        <f ca="1">[1]!BexGetData("DP_1","003N8EMH8GTFRCSWKMPXRRXR2","GSON1112031105")</f>
        <v>#NAME?</v>
      </c>
      <c r="H443" s="23" t="e">
        <f ca="1">[1]!BexGetData("DP_1","003N8EMH8GTFRCSWKMPXRS42M","GSON1112031105")</f>
        <v>#NAME?</v>
      </c>
      <c r="I443" s="28" t="e">
        <f ca="1">[1]!BexGetData("DP_1","003N8EMH8GTFRCSWKMPXRSAE6","GSON1112031105")</f>
        <v>#NAME?</v>
      </c>
      <c r="J443" s="24" t="e">
        <f ca="1">[1]!BexGetData("DP_1","003N8EMH8GTFRCSWKMPXRSGPQ","GSON1112031105")</f>
        <v>#NAME?</v>
      </c>
      <c r="K443" s="28" t="e">
        <f ca="1">[1]!BexGetData("DP_1","003N8EMH8GTFRIVNUPY288VJH","GSON1112031105")</f>
        <v>#NAME?</v>
      </c>
      <c r="L443" s="28" t="e">
        <f ca="1">[1]!BexGetData("DP_1","003N8EMH8GTFRIVNUPY2891V1","GSON1112031105")</f>
        <v>#NAME?</v>
      </c>
      <c r="M443" s="28" t="e">
        <f ca="1">[1]!BexGetData("DP_1","003N8EMH8GTFRIVOG7KG9IQXA","GSON1112031105")</f>
        <v>#NAME?</v>
      </c>
      <c r="N443" s="28" t="e">
        <f ca="1">[1]!BexGetData("DP_1","003N8EMH8GTFRIVOG7KG9IX8U","GSON1112031105")</f>
        <v>#NAME?</v>
      </c>
      <c r="O443" s="28" t="e">
        <f ca="1">[1]!BexGetData("DP_1","003N8EMH8GTFRIVOG7KG9J3KE","GSON1112031105")</f>
        <v>#NAME?</v>
      </c>
      <c r="P443" s="28" t="e">
        <f ca="1">[1]!BexGetData("DP_1","003N8EMH8GTFRIVOG7KG9J9VY","GSON1112031105")</f>
        <v>#NAME?</v>
      </c>
      <c r="Q443" s="24" t="e">
        <f ca="1">[1]!BexGetData("DP_1","00O2TNJGODT0G5Z4TTKYMM5MT","GSON1112031105")</f>
        <v>#NAME?</v>
      </c>
      <c r="R443" s="28" t="e">
        <f ca="1">[1]!BexGetData("DP_1","00O2TNJGODT0G5Z4TTKYMMBYD","GSON1112031105")</f>
        <v>#NAME?</v>
      </c>
      <c r="S443" s="28" t="e">
        <f ca="1">[1]!BexGetData("DP_1","00O2TNJGODT0G5Z4TTKYMMI9X","GSON1112031105")</f>
        <v>#NAME?</v>
      </c>
      <c r="T443" s="28" t="e">
        <f ca="1">[1]!BexGetData("DP_1","00O2TNJGODT0G5Z4TTKYMMOLH","GSON1112031105")</f>
        <v>#NAME?</v>
      </c>
      <c r="U443" s="28" t="e">
        <f ca="1">[1]!BexGetData("DP_1","00O2TNJGODT0G5Z4TTKYMMUX1","GSON1112031105")</f>
        <v>#NAME?</v>
      </c>
      <c r="V443" s="28" t="e">
        <f ca="1">[1]!BexGetData("DP_1","00O2TNJGODT0G5Z4TTKYMN18L","GSON1112031105")</f>
        <v>#NAME?</v>
      </c>
      <c r="W443" s="28" t="e">
        <f ca="1">[1]!BexGetData("DP_1","00O2TNJGODT0G5Z4TTKYMN7K5","GSON1112031105")</f>
        <v>#NAME?</v>
      </c>
    </row>
    <row r="444" spans="1:23" x14ac:dyDescent="0.2">
      <c r="A444" s="36" t="s">
        <v>2324</v>
      </c>
      <c r="B444" s="27" t="s">
        <v>2325</v>
      </c>
      <c r="C444" s="23" t="e">
        <f ca="1">[1]!BexGetData("DP_1","003N8EMH8GTFRCSWKMPXRR8GU","GSON1112031110")</f>
        <v>#NAME?</v>
      </c>
      <c r="D444" s="23" t="e">
        <f ca="1">[1]!BexGetData("DP_1","003N8EMH8GTFRCSWKMPXRRESE","GSON1112031110")</f>
        <v>#NAME?</v>
      </c>
      <c r="E444" s="28" t="e">
        <f ca="1">[1]!BexGetData("DP_1","003N8EMH8GTFRCSWKMPXRRL3Y","GSON1112031110")</f>
        <v>#NAME?</v>
      </c>
      <c r="F444" s="23" t="e">
        <f ca="1">[1]!BexGetData("DP_1","003N8EMH8GTFRCSWKMPXRRRFI","GSON1112031110")</f>
        <v>#NAME?</v>
      </c>
      <c r="G444" s="23" t="e">
        <f ca="1">[1]!BexGetData("DP_1","003N8EMH8GTFRCSWKMPXRRXR2","GSON1112031110")</f>
        <v>#NAME?</v>
      </c>
      <c r="H444" s="23" t="e">
        <f ca="1">[1]!BexGetData("DP_1","003N8EMH8GTFRCSWKMPXRS42M","GSON1112031110")</f>
        <v>#NAME?</v>
      </c>
      <c r="I444" s="23" t="e">
        <f ca="1">[1]!BexGetData("DP_1","003N8EMH8GTFRCSWKMPXRSAE6","GSON1112031110")</f>
        <v>#NAME?</v>
      </c>
      <c r="J444" s="24" t="e">
        <f ca="1">[1]!BexGetData("DP_1","003N8EMH8GTFRCSWKMPXRSGPQ","GSON1112031110")</f>
        <v>#NAME?</v>
      </c>
      <c r="K444" s="23" t="e">
        <f ca="1">[1]!BexGetData("DP_1","003N8EMH8GTFRIVNUPY288VJH","GSON1112031110")</f>
        <v>#NAME?</v>
      </c>
      <c r="L444" s="23" t="e">
        <f ca="1">[1]!BexGetData("DP_1","003N8EMH8GTFRIVNUPY2891V1","GSON1112031110")</f>
        <v>#NAME?</v>
      </c>
      <c r="M444" s="23" t="e">
        <f ca="1">[1]!BexGetData("DP_1","003N8EMH8GTFRIVOG7KG9IQXA","GSON1112031110")</f>
        <v>#NAME?</v>
      </c>
      <c r="N444" s="28" t="e">
        <f ca="1">[1]!BexGetData("DP_1","003N8EMH8GTFRIVOG7KG9IX8U","GSON1112031110")</f>
        <v>#NAME?</v>
      </c>
      <c r="O444" s="23" t="e">
        <f ca="1">[1]!BexGetData("DP_1","003N8EMH8GTFRIVOG7KG9J3KE","GSON1112031110")</f>
        <v>#NAME?</v>
      </c>
      <c r="P444" s="28" t="e">
        <f ca="1">[1]!BexGetData("DP_1","003N8EMH8GTFRIVOG7KG9J9VY","GSON1112031110")</f>
        <v>#NAME?</v>
      </c>
      <c r="Q444" s="24" t="e">
        <f ca="1">[1]!BexGetData("DP_1","00O2TNJGODT0G5Z4TTKYMM5MT","GSON1112031110")</f>
        <v>#NAME?</v>
      </c>
      <c r="R444" s="23" t="e">
        <f ca="1">[1]!BexGetData("DP_1","00O2TNJGODT0G5Z4TTKYMMBYD","GSON1112031110")</f>
        <v>#NAME?</v>
      </c>
      <c r="S444" s="23" t="e">
        <f ca="1">[1]!BexGetData("DP_1","00O2TNJGODT0G5Z4TTKYMMI9X","GSON1112031110")</f>
        <v>#NAME?</v>
      </c>
      <c r="T444" s="28" t="e">
        <f ca="1">[1]!BexGetData("DP_1","00O2TNJGODT0G5Z4TTKYMMOLH","GSON1112031110")</f>
        <v>#NAME?</v>
      </c>
      <c r="U444" s="23" t="e">
        <f ca="1">[1]!BexGetData("DP_1","00O2TNJGODT0G5Z4TTKYMMUX1","GSON1112031110")</f>
        <v>#NAME?</v>
      </c>
      <c r="V444" s="28" t="e">
        <f ca="1">[1]!BexGetData("DP_1","00O2TNJGODT0G5Z4TTKYMN18L","GSON1112031110")</f>
        <v>#NAME?</v>
      </c>
      <c r="W444" s="23" t="e">
        <f ca="1">[1]!BexGetData("DP_1","00O2TNJGODT0G5Z4TTKYMN7K5","GSON1112031110")</f>
        <v>#NAME?</v>
      </c>
    </row>
    <row r="445" spans="1:23" x14ac:dyDescent="0.2">
      <c r="A445" s="36" t="s">
        <v>2326</v>
      </c>
      <c r="B445" s="27" t="s">
        <v>2327</v>
      </c>
      <c r="C445" s="23" t="e">
        <f ca="1">[1]!BexGetData("DP_1","003N8EMH8GTFRCSWKMPXRR8GU","GSON1112031111")</f>
        <v>#NAME?</v>
      </c>
      <c r="D445" s="23" t="e">
        <f ca="1">[1]!BexGetData("DP_1","003N8EMH8GTFRCSWKMPXRRESE","GSON1112031111")</f>
        <v>#NAME?</v>
      </c>
      <c r="E445" s="28" t="e">
        <f ca="1">[1]!BexGetData("DP_1","003N8EMH8GTFRCSWKMPXRRL3Y","GSON1112031111")</f>
        <v>#NAME?</v>
      </c>
      <c r="F445" s="28" t="e">
        <f ca="1">[1]!BexGetData("DP_1","003N8EMH8GTFRCSWKMPXRRRFI","GSON1112031111")</f>
        <v>#NAME?</v>
      </c>
      <c r="G445" s="23" t="e">
        <f ca="1">[1]!BexGetData("DP_1","003N8EMH8GTFRCSWKMPXRRXR2","GSON1112031111")</f>
        <v>#NAME?</v>
      </c>
      <c r="H445" s="23" t="e">
        <f ca="1">[1]!BexGetData("DP_1","003N8EMH8GTFRCSWKMPXRS42M","GSON1112031111")</f>
        <v>#NAME?</v>
      </c>
      <c r="I445" s="28" t="e">
        <f ca="1">[1]!BexGetData("DP_1","003N8EMH8GTFRCSWKMPXRSAE6","GSON1112031111")</f>
        <v>#NAME?</v>
      </c>
      <c r="J445" s="24" t="e">
        <f ca="1">[1]!BexGetData("DP_1","003N8EMH8GTFRCSWKMPXRSGPQ","GSON1112031111")</f>
        <v>#NAME?</v>
      </c>
      <c r="K445" s="28" t="e">
        <f ca="1">[1]!BexGetData("DP_1","003N8EMH8GTFRIVNUPY288VJH","GSON1112031111")</f>
        <v>#NAME?</v>
      </c>
      <c r="L445" s="28" t="e">
        <f ca="1">[1]!BexGetData("DP_1","003N8EMH8GTFRIVNUPY2891V1","GSON1112031111")</f>
        <v>#NAME?</v>
      </c>
      <c r="M445" s="28" t="e">
        <f ca="1">[1]!BexGetData("DP_1","003N8EMH8GTFRIVOG7KG9IQXA","GSON1112031111")</f>
        <v>#NAME?</v>
      </c>
      <c r="N445" s="28" t="e">
        <f ca="1">[1]!BexGetData("DP_1","003N8EMH8GTFRIVOG7KG9IX8U","GSON1112031111")</f>
        <v>#NAME?</v>
      </c>
      <c r="O445" s="28" t="e">
        <f ca="1">[1]!BexGetData("DP_1","003N8EMH8GTFRIVOG7KG9J3KE","GSON1112031111")</f>
        <v>#NAME?</v>
      </c>
      <c r="P445" s="28" t="e">
        <f ca="1">[1]!BexGetData("DP_1","003N8EMH8GTFRIVOG7KG9J9VY","GSON1112031111")</f>
        <v>#NAME?</v>
      </c>
      <c r="Q445" s="24" t="e">
        <f ca="1">[1]!BexGetData("DP_1","00O2TNJGODT0G5Z4TTKYMM5MT","GSON1112031111")</f>
        <v>#NAME?</v>
      </c>
      <c r="R445" s="28" t="e">
        <f ca="1">[1]!BexGetData("DP_1","00O2TNJGODT0G5Z4TTKYMMBYD","GSON1112031111")</f>
        <v>#NAME?</v>
      </c>
      <c r="S445" s="28" t="e">
        <f ca="1">[1]!BexGetData("DP_1","00O2TNJGODT0G5Z4TTKYMMI9X","GSON1112031111")</f>
        <v>#NAME?</v>
      </c>
      <c r="T445" s="28" t="e">
        <f ca="1">[1]!BexGetData("DP_1","00O2TNJGODT0G5Z4TTKYMMOLH","GSON1112031111")</f>
        <v>#NAME?</v>
      </c>
      <c r="U445" s="28" t="e">
        <f ca="1">[1]!BexGetData("DP_1","00O2TNJGODT0G5Z4TTKYMMUX1","GSON1112031111")</f>
        <v>#NAME?</v>
      </c>
      <c r="V445" s="28" t="e">
        <f ca="1">[1]!BexGetData("DP_1","00O2TNJGODT0G5Z4TTKYMN18L","GSON1112031111")</f>
        <v>#NAME?</v>
      </c>
      <c r="W445" s="28" t="e">
        <f ca="1">[1]!BexGetData("DP_1","00O2TNJGODT0G5Z4TTKYMN7K5","GSON1112031111")</f>
        <v>#NAME?</v>
      </c>
    </row>
    <row r="446" spans="1:23" x14ac:dyDescent="0.2">
      <c r="A446" s="36" t="s">
        <v>2328</v>
      </c>
      <c r="B446" s="27" t="s">
        <v>2329</v>
      </c>
      <c r="C446" s="23" t="e">
        <f ca="1">[1]!BexGetData("DP_1","003N8EMH8GTFRCSWKMPXRR8GU","GSON1112031112")</f>
        <v>#NAME?</v>
      </c>
      <c r="D446" s="23" t="e">
        <f ca="1">[1]!BexGetData("DP_1","003N8EMH8GTFRCSWKMPXRRESE","GSON1112031112")</f>
        <v>#NAME?</v>
      </c>
      <c r="E446" s="28" t="e">
        <f ca="1">[1]!BexGetData("DP_1","003N8EMH8GTFRCSWKMPXRRL3Y","GSON1112031112")</f>
        <v>#NAME?</v>
      </c>
      <c r="F446" s="23" t="e">
        <f ca="1">[1]!BexGetData("DP_1","003N8EMH8GTFRCSWKMPXRRRFI","GSON1112031112")</f>
        <v>#NAME?</v>
      </c>
      <c r="G446" s="28" t="e">
        <f ca="1">[1]!BexGetData("DP_1","003N8EMH8GTFRCSWKMPXRRXR2","GSON1112031112")</f>
        <v>#NAME?</v>
      </c>
      <c r="H446" s="23" t="e">
        <f ca="1">[1]!BexGetData("DP_1","003N8EMH8GTFRCSWKMPXRS42M","GSON1112031112")</f>
        <v>#NAME?</v>
      </c>
      <c r="I446" s="23" t="e">
        <f ca="1">[1]!BexGetData("DP_1","003N8EMH8GTFRCSWKMPXRSAE6","GSON1112031112")</f>
        <v>#NAME?</v>
      </c>
      <c r="J446" s="24" t="e">
        <f ca="1">[1]!BexGetData("DP_1","003N8EMH8GTFRCSWKMPXRSGPQ","GSON1112031112")</f>
        <v>#NAME?</v>
      </c>
      <c r="K446" s="23" t="e">
        <f ca="1">[1]!BexGetData("DP_1","003N8EMH8GTFRIVNUPY288VJH","GSON1112031112")</f>
        <v>#NAME?</v>
      </c>
      <c r="L446" s="23" t="e">
        <f ca="1">[1]!BexGetData("DP_1","003N8EMH8GTFRIVNUPY2891V1","GSON1112031112")</f>
        <v>#NAME?</v>
      </c>
      <c r="M446" s="28" t="e">
        <f ca="1">[1]!BexGetData("DP_1","003N8EMH8GTFRIVOG7KG9IQXA","GSON1112031112")</f>
        <v>#NAME?</v>
      </c>
      <c r="N446" s="23" t="e">
        <f ca="1">[1]!BexGetData("DP_1","003N8EMH8GTFRIVOG7KG9IX8U","GSON1112031112")</f>
        <v>#NAME?</v>
      </c>
      <c r="O446" s="28" t="e">
        <f ca="1">[1]!BexGetData("DP_1","003N8EMH8GTFRIVOG7KG9J3KE","GSON1112031112")</f>
        <v>#NAME?</v>
      </c>
      <c r="P446" s="23" t="e">
        <f ca="1">[1]!BexGetData("DP_1","003N8EMH8GTFRIVOG7KG9J9VY","GSON1112031112")</f>
        <v>#NAME?</v>
      </c>
      <c r="Q446" s="24" t="e">
        <f ca="1">[1]!BexGetData("DP_1","00O2TNJGODT0G5Z4TTKYMM5MT","GSON1112031112")</f>
        <v>#NAME?</v>
      </c>
      <c r="R446" s="23" t="e">
        <f ca="1">[1]!BexGetData("DP_1","00O2TNJGODT0G5Z4TTKYMMBYD","GSON1112031112")</f>
        <v>#NAME?</v>
      </c>
      <c r="S446" s="23" t="e">
        <f ca="1">[1]!BexGetData("DP_1","00O2TNJGODT0G5Z4TTKYMMI9X","GSON1112031112")</f>
        <v>#NAME?</v>
      </c>
      <c r="T446" s="23" t="e">
        <f ca="1">[1]!BexGetData("DP_1","00O2TNJGODT0G5Z4TTKYMMOLH","GSON1112031112")</f>
        <v>#NAME?</v>
      </c>
      <c r="U446" s="28" t="e">
        <f ca="1">[1]!BexGetData("DP_1","00O2TNJGODT0G5Z4TTKYMMUX1","GSON1112031112")</f>
        <v>#NAME?</v>
      </c>
      <c r="V446" s="23" t="e">
        <f ca="1">[1]!BexGetData("DP_1","00O2TNJGODT0G5Z4TTKYMN18L","GSON1112031112")</f>
        <v>#NAME?</v>
      </c>
      <c r="W446" s="28" t="e">
        <f ca="1">[1]!BexGetData("DP_1","00O2TNJGODT0G5Z4TTKYMN7K5","GSON1112031112")</f>
        <v>#NAME?</v>
      </c>
    </row>
    <row r="447" spans="1:23" x14ac:dyDescent="0.2">
      <c r="A447" s="36" t="s">
        <v>2330</v>
      </c>
      <c r="B447" s="27" t="s">
        <v>2331</v>
      </c>
      <c r="C447" s="23" t="e">
        <f ca="1">[1]!BexGetData("DP_1","003N8EMH8GTFRCSWKMPXRR8GU","GSON1112031113")</f>
        <v>#NAME?</v>
      </c>
      <c r="D447" s="23" t="e">
        <f ca="1">[1]!BexGetData("DP_1","003N8EMH8GTFRCSWKMPXRRESE","GSON1112031113")</f>
        <v>#NAME?</v>
      </c>
      <c r="E447" s="28" t="e">
        <f ca="1">[1]!BexGetData("DP_1","003N8EMH8GTFRCSWKMPXRRL3Y","GSON1112031113")</f>
        <v>#NAME?</v>
      </c>
      <c r="F447" s="28" t="e">
        <f ca="1">[1]!BexGetData("DP_1","003N8EMH8GTFRCSWKMPXRRRFI","GSON1112031113")</f>
        <v>#NAME?</v>
      </c>
      <c r="G447" s="23" t="e">
        <f ca="1">[1]!BexGetData("DP_1","003N8EMH8GTFRCSWKMPXRRXR2","GSON1112031113")</f>
        <v>#NAME?</v>
      </c>
      <c r="H447" s="23" t="e">
        <f ca="1">[1]!BexGetData("DP_1","003N8EMH8GTFRCSWKMPXRS42M","GSON1112031113")</f>
        <v>#NAME?</v>
      </c>
      <c r="I447" s="28" t="e">
        <f ca="1">[1]!BexGetData("DP_1","003N8EMH8GTFRCSWKMPXRSAE6","GSON1112031113")</f>
        <v>#NAME?</v>
      </c>
      <c r="J447" s="24" t="e">
        <f ca="1">[1]!BexGetData("DP_1","003N8EMH8GTFRCSWKMPXRSGPQ","GSON1112031113")</f>
        <v>#NAME?</v>
      </c>
      <c r="K447" s="28" t="e">
        <f ca="1">[1]!BexGetData("DP_1","003N8EMH8GTFRIVNUPY288VJH","GSON1112031113")</f>
        <v>#NAME?</v>
      </c>
      <c r="L447" s="28" t="e">
        <f ca="1">[1]!BexGetData("DP_1","003N8EMH8GTFRIVNUPY2891V1","GSON1112031113")</f>
        <v>#NAME?</v>
      </c>
      <c r="M447" s="28" t="e">
        <f ca="1">[1]!BexGetData("DP_1","003N8EMH8GTFRIVOG7KG9IQXA","GSON1112031113")</f>
        <v>#NAME?</v>
      </c>
      <c r="N447" s="28" t="e">
        <f ca="1">[1]!BexGetData("DP_1","003N8EMH8GTFRIVOG7KG9IX8U","GSON1112031113")</f>
        <v>#NAME?</v>
      </c>
      <c r="O447" s="28" t="e">
        <f ca="1">[1]!BexGetData("DP_1","003N8EMH8GTFRIVOG7KG9J3KE","GSON1112031113")</f>
        <v>#NAME?</v>
      </c>
      <c r="P447" s="28" t="e">
        <f ca="1">[1]!BexGetData("DP_1","003N8EMH8GTFRIVOG7KG9J9VY","GSON1112031113")</f>
        <v>#NAME?</v>
      </c>
      <c r="Q447" s="24" t="e">
        <f ca="1">[1]!BexGetData("DP_1","00O2TNJGODT0G5Z4TTKYMM5MT","GSON1112031113")</f>
        <v>#NAME?</v>
      </c>
      <c r="R447" s="28" t="e">
        <f ca="1">[1]!BexGetData("DP_1","00O2TNJGODT0G5Z4TTKYMMBYD","GSON1112031113")</f>
        <v>#NAME?</v>
      </c>
      <c r="S447" s="28" t="e">
        <f ca="1">[1]!BexGetData("DP_1","00O2TNJGODT0G5Z4TTKYMMI9X","GSON1112031113")</f>
        <v>#NAME?</v>
      </c>
      <c r="T447" s="28" t="e">
        <f ca="1">[1]!BexGetData("DP_1","00O2TNJGODT0G5Z4TTKYMMOLH","GSON1112031113")</f>
        <v>#NAME?</v>
      </c>
      <c r="U447" s="28" t="e">
        <f ca="1">[1]!BexGetData("DP_1","00O2TNJGODT0G5Z4TTKYMMUX1","GSON1112031113")</f>
        <v>#NAME?</v>
      </c>
      <c r="V447" s="28" t="e">
        <f ca="1">[1]!BexGetData("DP_1","00O2TNJGODT0G5Z4TTKYMN18L","GSON1112031113")</f>
        <v>#NAME?</v>
      </c>
      <c r="W447" s="28" t="e">
        <f ca="1">[1]!BexGetData("DP_1","00O2TNJGODT0G5Z4TTKYMN7K5","GSON1112031113")</f>
        <v>#NAME?</v>
      </c>
    </row>
    <row r="448" spans="1:23" x14ac:dyDescent="0.2">
      <c r="A448" s="36" t="s">
        <v>2332</v>
      </c>
      <c r="B448" s="27" t="s">
        <v>2333</v>
      </c>
      <c r="C448" s="23" t="e">
        <f ca="1">[1]!BexGetData("DP_1","003N8EMH8GTFRCSWKMPXRR8GU","GSON1112031115")</f>
        <v>#NAME?</v>
      </c>
      <c r="D448" s="23" t="e">
        <f ca="1">[1]!BexGetData("DP_1","003N8EMH8GTFRCSWKMPXRRESE","GSON1112031115")</f>
        <v>#NAME?</v>
      </c>
      <c r="E448" s="28" t="e">
        <f ca="1">[1]!BexGetData("DP_1","003N8EMH8GTFRCSWKMPXRRL3Y","GSON1112031115")</f>
        <v>#NAME?</v>
      </c>
      <c r="F448" s="28" t="e">
        <f ca="1">[1]!BexGetData("DP_1","003N8EMH8GTFRCSWKMPXRRRFI","GSON1112031115")</f>
        <v>#NAME?</v>
      </c>
      <c r="G448" s="23" t="e">
        <f ca="1">[1]!BexGetData("DP_1","003N8EMH8GTFRCSWKMPXRRXR2","GSON1112031115")</f>
        <v>#NAME?</v>
      </c>
      <c r="H448" s="23" t="e">
        <f ca="1">[1]!BexGetData("DP_1","003N8EMH8GTFRCSWKMPXRS42M","GSON1112031115")</f>
        <v>#NAME?</v>
      </c>
      <c r="I448" s="28" t="e">
        <f ca="1">[1]!BexGetData("DP_1","003N8EMH8GTFRCSWKMPXRSAE6","GSON1112031115")</f>
        <v>#NAME?</v>
      </c>
      <c r="J448" s="24" t="e">
        <f ca="1">[1]!BexGetData("DP_1","003N8EMH8GTFRCSWKMPXRSGPQ","GSON1112031115")</f>
        <v>#NAME?</v>
      </c>
      <c r="K448" s="28" t="e">
        <f ca="1">[1]!BexGetData("DP_1","003N8EMH8GTFRIVNUPY288VJH","GSON1112031115")</f>
        <v>#NAME?</v>
      </c>
      <c r="L448" s="28" t="e">
        <f ca="1">[1]!BexGetData("DP_1","003N8EMH8GTFRIVNUPY2891V1","GSON1112031115")</f>
        <v>#NAME?</v>
      </c>
      <c r="M448" s="28" t="e">
        <f ca="1">[1]!BexGetData("DP_1","003N8EMH8GTFRIVOG7KG9IQXA","GSON1112031115")</f>
        <v>#NAME?</v>
      </c>
      <c r="N448" s="28" t="e">
        <f ca="1">[1]!BexGetData("DP_1","003N8EMH8GTFRIVOG7KG9IX8U","GSON1112031115")</f>
        <v>#NAME?</v>
      </c>
      <c r="O448" s="28" t="e">
        <f ca="1">[1]!BexGetData("DP_1","003N8EMH8GTFRIVOG7KG9J3KE","GSON1112031115")</f>
        <v>#NAME?</v>
      </c>
      <c r="P448" s="28" t="e">
        <f ca="1">[1]!BexGetData("DP_1","003N8EMH8GTFRIVOG7KG9J9VY","GSON1112031115")</f>
        <v>#NAME?</v>
      </c>
      <c r="Q448" s="24" t="e">
        <f ca="1">[1]!BexGetData("DP_1","00O2TNJGODT0G5Z4TTKYMM5MT","GSON1112031115")</f>
        <v>#NAME?</v>
      </c>
      <c r="R448" s="28" t="e">
        <f ca="1">[1]!BexGetData("DP_1","00O2TNJGODT0G5Z4TTKYMMBYD","GSON1112031115")</f>
        <v>#NAME?</v>
      </c>
      <c r="S448" s="28" t="e">
        <f ca="1">[1]!BexGetData("DP_1","00O2TNJGODT0G5Z4TTKYMMI9X","GSON1112031115")</f>
        <v>#NAME?</v>
      </c>
      <c r="T448" s="28" t="e">
        <f ca="1">[1]!BexGetData("DP_1","00O2TNJGODT0G5Z4TTKYMMOLH","GSON1112031115")</f>
        <v>#NAME?</v>
      </c>
      <c r="U448" s="28" t="e">
        <f ca="1">[1]!BexGetData("DP_1","00O2TNJGODT0G5Z4TTKYMMUX1","GSON1112031115")</f>
        <v>#NAME?</v>
      </c>
      <c r="V448" s="28" t="e">
        <f ca="1">[1]!BexGetData("DP_1","00O2TNJGODT0G5Z4TTKYMN18L","GSON1112031115")</f>
        <v>#NAME?</v>
      </c>
      <c r="W448" s="28" t="e">
        <f ca="1">[1]!BexGetData("DP_1","00O2TNJGODT0G5Z4TTKYMN7K5","GSON1112031115")</f>
        <v>#NAME?</v>
      </c>
    </row>
    <row r="449" spans="1:23" x14ac:dyDescent="0.2">
      <c r="A449" s="36" t="s">
        <v>2334</v>
      </c>
      <c r="B449" s="27" t="s">
        <v>2335</v>
      </c>
      <c r="C449" s="23" t="e">
        <f ca="1">[1]!BexGetData("DP_1","003N8EMH8GTFRCSWKMPXRR8GU","GSON1112031120")</f>
        <v>#NAME?</v>
      </c>
      <c r="D449" s="23" t="e">
        <f ca="1">[1]!BexGetData("DP_1","003N8EMH8GTFRCSWKMPXRRESE","GSON1112031120")</f>
        <v>#NAME?</v>
      </c>
      <c r="E449" s="23" t="e">
        <f ca="1">[1]!BexGetData("DP_1","003N8EMH8GTFRCSWKMPXRRL3Y","GSON1112031120")</f>
        <v>#NAME?</v>
      </c>
      <c r="F449" s="23" t="e">
        <f ca="1">[1]!BexGetData("DP_1","003N8EMH8GTFRCSWKMPXRRRFI","GSON1112031120")</f>
        <v>#NAME?</v>
      </c>
      <c r="G449" s="23" t="e">
        <f ca="1">[1]!BexGetData("DP_1","003N8EMH8GTFRCSWKMPXRRXR2","GSON1112031120")</f>
        <v>#NAME?</v>
      </c>
      <c r="H449" s="23" t="e">
        <f ca="1">[1]!BexGetData("DP_1","003N8EMH8GTFRCSWKMPXRS42M","GSON1112031120")</f>
        <v>#NAME?</v>
      </c>
      <c r="I449" s="23" t="e">
        <f ca="1">[1]!BexGetData("DP_1","003N8EMH8GTFRCSWKMPXRSAE6","GSON1112031120")</f>
        <v>#NAME?</v>
      </c>
      <c r="J449" s="24" t="e">
        <f ca="1">[1]!BexGetData("DP_1","003N8EMH8GTFRCSWKMPXRSGPQ","GSON1112031120")</f>
        <v>#NAME?</v>
      </c>
      <c r="K449" s="23" t="e">
        <f ca="1">[1]!BexGetData("DP_1","003N8EMH8GTFRIVNUPY288VJH","GSON1112031120")</f>
        <v>#NAME?</v>
      </c>
      <c r="L449" s="23" t="e">
        <f ca="1">[1]!BexGetData("DP_1","003N8EMH8GTFRIVNUPY2891V1","GSON1112031120")</f>
        <v>#NAME?</v>
      </c>
      <c r="M449" s="23" t="e">
        <f ca="1">[1]!BexGetData("DP_1","003N8EMH8GTFRIVOG7KG9IQXA","GSON1112031120")</f>
        <v>#NAME?</v>
      </c>
      <c r="N449" s="28" t="e">
        <f ca="1">[1]!BexGetData("DP_1","003N8EMH8GTFRIVOG7KG9IX8U","GSON1112031120")</f>
        <v>#NAME?</v>
      </c>
      <c r="O449" s="23" t="e">
        <f ca="1">[1]!BexGetData("DP_1","003N8EMH8GTFRIVOG7KG9J3KE","GSON1112031120")</f>
        <v>#NAME?</v>
      </c>
      <c r="P449" s="28" t="e">
        <f ca="1">[1]!BexGetData("DP_1","003N8EMH8GTFRIVOG7KG9J9VY","GSON1112031120")</f>
        <v>#NAME?</v>
      </c>
      <c r="Q449" s="24" t="e">
        <f ca="1">[1]!BexGetData("DP_1","00O2TNJGODT0G5Z4TTKYMM5MT","GSON1112031120")</f>
        <v>#NAME?</v>
      </c>
      <c r="R449" s="23" t="e">
        <f ca="1">[1]!BexGetData("DP_1","00O2TNJGODT0G5Z4TTKYMMBYD","GSON1112031120")</f>
        <v>#NAME?</v>
      </c>
      <c r="S449" s="23" t="e">
        <f ca="1">[1]!BexGetData("DP_1","00O2TNJGODT0G5Z4TTKYMMI9X","GSON1112031120")</f>
        <v>#NAME?</v>
      </c>
      <c r="T449" s="28" t="e">
        <f ca="1">[1]!BexGetData("DP_1","00O2TNJGODT0G5Z4TTKYMMOLH","GSON1112031120")</f>
        <v>#NAME?</v>
      </c>
      <c r="U449" s="23" t="e">
        <f ca="1">[1]!BexGetData("DP_1","00O2TNJGODT0G5Z4TTKYMMUX1","GSON1112031120")</f>
        <v>#NAME?</v>
      </c>
      <c r="V449" s="28" t="e">
        <f ca="1">[1]!BexGetData("DP_1","00O2TNJGODT0G5Z4TTKYMN18L","GSON1112031120")</f>
        <v>#NAME?</v>
      </c>
      <c r="W449" s="23" t="e">
        <f ca="1">[1]!BexGetData("DP_1","00O2TNJGODT0G5Z4TTKYMN7K5","GSON1112031120")</f>
        <v>#NAME?</v>
      </c>
    </row>
    <row r="450" spans="1:23" x14ac:dyDescent="0.2">
      <c r="A450" s="36" t="s">
        <v>2336</v>
      </c>
      <c r="B450" s="27" t="s">
        <v>2337</v>
      </c>
      <c r="C450" s="23" t="e">
        <f ca="1">[1]!BexGetData("DP_1","003N8EMH8GTFRCSWKMPXRR8GU","GSON1112031121")</f>
        <v>#NAME?</v>
      </c>
      <c r="D450" s="23" t="e">
        <f ca="1">[1]!BexGetData("DP_1","003N8EMH8GTFRCSWKMPXRRESE","GSON1112031121")</f>
        <v>#NAME?</v>
      </c>
      <c r="E450" s="28" t="e">
        <f ca="1">[1]!BexGetData("DP_1","003N8EMH8GTFRCSWKMPXRRL3Y","GSON1112031121")</f>
        <v>#NAME?</v>
      </c>
      <c r="F450" s="28" t="e">
        <f ca="1">[1]!BexGetData("DP_1","003N8EMH8GTFRCSWKMPXRRRFI","GSON1112031121")</f>
        <v>#NAME?</v>
      </c>
      <c r="G450" s="23" t="e">
        <f ca="1">[1]!BexGetData("DP_1","003N8EMH8GTFRCSWKMPXRRXR2","GSON1112031121")</f>
        <v>#NAME?</v>
      </c>
      <c r="H450" s="23" t="e">
        <f ca="1">[1]!BexGetData("DP_1","003N8EMH8GTFRCSWKMPXRS42M","GSON1112031121")</f>
        <v>#NAME?</v>
      </c>
      <c r="I450" s="28" t="e">
        <f ca="1">[1]!BexGetData("DP_1","003N8EMH8GTFRCSWKMPXRSAE6","GSON1112031121")</f>
        <v>#NAME?</v>
      </c>
      <c r="J450" s="24" t="e">
        <f ca="1">[1]!BexGetData("DP_1","003N8EMH8GTFRCSWKMPXRSGPQ","GSON1112031121")</f>
        <v>#NAME?</v>
      </c>
      <c r="K450" s="28" t="e">
        <f ca="1">[1]!BexGetData("DP_1","003N8EMH8GTFRIVNUPY288VJH","GSON1112031121")</f>
        <v>#NAME?</v>
      </c>
      <c r="L450" s="28" t="e">
        <f ca="1">[1]!BexGetData("DP_1","003N8EMH8GTFRIVNUPY2891V1","GSON1112031121")</f>
        <v>#NAME?</v>
      </c>
      <c r="M450" s="28" t="e">
        <f ca="1">[1]!BexGetData("DP_1","003N8EMH8GTFRIVOG7KG9IQXA","GSON1112031121")</f>
        <v>#NAME?</v>
      </c>
      <c r="N450" s="28" t="e">
        <f ca="1">[1]!BexGetData("DP_1","003N8EMH8GTFRIVOG7KG9IX8U","GSON1112031121")</f>
        <v>#NAME?</v>
      </c>
      <c r="O450" s="28" t="e">
        <f ca="1">[1]!BexGetData("DP_1","003N8EMH8GTFRIVOG7KG9J3KE","GSON1112031121")</f>
        <v>#NAME?</v>
      </c>
      <c r="P450" s="28" t="e">
        <f ca="1">[1]!BexGetData("DP_1","003N8EMH8GTFRIVOG7KG9J9VY","GSON1112031121")</f>
        <v>#NAME?</v>
      </c>
      <c r="Q450" s="24" t="e">
        <f ca="1">[1]!BexGetData("DP_1","00O2TNJGODT0G5Z4TTKYMM5MT","GSON1112031121")</f>
        <v>#NAME?</v>
      </c>
      <c r="R450" s="28" t="e">
        <f ca="1">[1]!BexGetData("DP_1","00O2TNJGODT0G5Z4TTKYMMBYD","GSON1112031121")</f>
        <v>#NAME?</v>
      </c>
      <c r="S450" s="28" t="e">
        <f ca="1">[1]!BexGetData("DP_1","00O2TNJGODT0G5Z4TTKYMMI9X","GSON1112031121")</f>
        <v>#NAME?</v>
      </c>
      <c r="T450" s="28" t="e">
        <f ca="1">[1]!BexGetData("DP_1","00O2TNJGODT0G5Z4TTKYMMOLH","GSON1112031121")</f>
        <v>#NAME?</v>
      </c>
      <c r="U450" s="28" t="e">
        <f ca="1">[1]!BexGetData("DP_1","00O2TNJGODT0G5Z4TTKYMMUX1","GSON1112031121")</f>
        <v>#NAME?</v>
      </c>
      <c r="V450" s="28" t="e">
        <f ca="1">[1]!BexGetData("DP_1","00O2TNJGODT0G5Z4TTKYMN18L","GSON1112031121")</f>
        <v>#NAME?</v>
      </c>
      <c r="W450" s="28" t="e">
        <f ca="1">[1]!BexGetData("DP_1","00O2TNJGODT0G5Z4TTKYMN7K5","GSON1112031121")</f>
        <v>#NAME?</v>
      </c>
    </row>
    <row r="451" spans="1:23" x14ac:dyDescent="0.2">
      <c r="A451" s="36" t="s">
        <v>2338</v>
      </c>
      <c r="B451" s="27" t="s">
        <v>2339</v>
      </c>
      <c r="C451" s="23" t="e">
        <f ca="1">[1]!BexGetData("DP_1","003N8EMH8GTFRCSWKMPXRR8GU","GSON1112031122")</f>
        <v>#NAME?</v>
      </c>
      <c r="D451" s="23" t="e">
        <f ca="1">[1]!BexGetData("DP_1","003N8EMH8GTFRCSWKMPXRRESE","GSON1112031122")</f>
        <v>#NAME?</v>
      </c>
      <c r="E451" s="23" t="e">
        <f ca="1">[1]!BexGetData("DP_1","003N8EMH8GTFRCSWKMPXRRL3Y","GSON1112031122")</f>
        <v>#NAME?</v>
      </c>
      <c r="F451" s="23" t="e">
        <f ca="1">[1]!BexGetData("DP_1","003N8EMH8GTFRCSWKMPXRRRFI","GSON1112031122")</f>
        <v>#NAME?</v>
      </c>
      <c r="G451" s="23" t="e">
        <f ca="1">[1]!BexGetData("DP_1","003N8EMH8GTFRCSWKMPXRRXR2","GSON1112031122")</f>
        <v>#NAME?</v>
      </c>
      <c r="H451" s="23" t="e">
        <f ca="1">[1]!BexGetData("DP_1","003N8EMH8GTFRCSWKMPXRS42M","GSON1112031122")</f>
        <v>#NAME?</v>
      </c>
      <c r="I451" s="23" t="e">
        <f ca="1">[1]!BexGetData("DP_1","003N8EMH8GTFRCSWKMPXRSAE6","GSON1112031122")</f>
        <v>#NAME?</v>
      </c>
      <c r="J451" s="24" t="e">
        <f ca="1">[1]!BexGetData("DP_1","003N8EMH8GTFRCSWKMPXRSGPQ","GSON1112031122")</f>
        <v>#NAME?</v>
      </c>
      <c r="K451" s="23" t="e">
        <f ca="1">[1]!BexGetData("DP_1","003N8EMH8GTFRIVNUPY288VJH","GSON1112031122")</f>
        <v>#NAME?</v>
      </c>
      <c r="L451" s="23" t="e">
        <f ca="1">[1]!BexGetData("DP_1","003N8EMH8GTFRIVNUPY2891V1","GSON1112031122")</f>
        <v>#NAME?</v>
      </c>
      <c r="M451" s="28" t="e">
        <f ca="1">[1]!BexGetData("DP_1","003N8EMH8GTFRIVOG7KG9IQXA","GSON1112031122")</f>
        <v>#NAME?</v>
      </c>
      <c r="N451" s="23" t="e">
        <f ca="1">[1]!BexGetData("DP_1","003N8EMH8GTFRIVOG7KG9IX8U","GSON1112031122")</f>
        <v>#NAME?</v>
      </c>
      <c r="O451" s="28" t="e">
        <f ca="1">[1]!BexGetData("DP_1","003N8EMH8GTFRIVOG7KG9J3KE","GSON1112031122")</f>
        <v>#NAME?</v>
      </c>
      <c r="P451" s="23" t="e">
        <f ca="1">[1]!BexGetData("DP_1","003N8EMH8GTFRIVOG7KG9J9VY","GSON1112031122")</f>
        <v>#NAME?</v>
      </c>
      <c r="Q451" s="24" t="e">
        <f ca="1">[1]!BexGetData("DP_1","00O2TNJGODT0G5Z4TTKYMM5MT","GSON1112031122")</f>
        <v>#NAME?</v>
      </c>
      <c r="R451" s="23" t="e">
        <f ca="1">[1]!BexGetData("DP_1","00O2TNJGODT0G5Z4TTKYMMBYD","GSON1112031122")</f>
        <v>#NAME?</v>
      </c>
      <c r="S451" s="23" t="e">
        <f ca="1">[1]!BexGetData("DP_1","00O2TNJGODT0G5Z4TTKYMMI9X","GSON1112031122")</f>
        <v>#NAME?</v>
      </c>
      <c r="T451" s="23" t="e">
        <f ca="1">[1]!BexGetData("DP_1","00O2TNJGODT0G5Z4TTKYMMOLH","GSON1112031122")</f>
        <v>#NAME?</v>
      </c>
      <c r="U451" s="28" t="e">
        <f ca="1">[1]!BexGetData("DP_1","00O2TNJGODT0G5Z4TTKYMMUX1","GSON1112031122")</f>
        <v>#NAME?</v>
      </c>
      <c r="V451" s="23" t="e">
        <f ca="1">[1]!BexGetData("DP_1","00O2TNJGODT0G5Z4TTKYMN18L","GSON1112031122")</f>
        <v>#NAME?</v>
      </c>
      <c r="W451" s="28" t="e">
        <f ca="1">[1]!BexGetData("DP_1","00O2TNJGODT0G5Z4TTKYMN7K5","GSON1112031122")</f>
        <v>#NAME?</v>
      </c>
    </row>
    <row r="452" spans="1:23" x14ac:dyDescent="0.2">
      <c r="A452" s="36" t="s">
        <v>2340</v>
      </c>
      <c r="B452" s="27" t="s">
        <v>2341</v>
      </c>
      <c r="C452" s="23" t="e">
        <f ca="1">[1]!BexGetData("DP_1","003N8EMH8GTFRCSWKMPXRR8GU","GSON1112031123")</f>
        <v>#NAME?</v>
      </c>
      <c r="D452" s="23" t="e">
        <f ca="1">[1]!BexGetData("DP_1","003N8EMH8GTFRCSWKMPXRRESE","GSON1112031123")</f>
        <v>#NAME?</v>
      </c>
      <c r="E452" s="28" t="e">
        <f ca="1">[1]!BexGetData("DP_1","003N8EMH8GTFRCSWKMPXRRL3Y","GSON1112031123")</f>
        <v>#NAME?</v>
      </c>
      <c r="F452" s="28" t="e">
        <f ca="1">[1]!BexGetData("DP_1","003N8EMH8GTFRCSWKMPXRRRFI","GSON1112031123")</f>
        <v>#NAME?</v>
      </c>
      <c r="G452" s="23" t="e">
        <f ca="1">[1]!BexGetData("DP_1","003N8EMH8GTFRCSWKMPXRRXR2","GSON1112031123")</f>
        <v>#NAME?</v>
      </c>
      <c r="H452" s="23" t="e">
        <f ca="1">[1]!BexGetData("DP_1","003N8EMH8GTFRCSWKMPXRS42M","GSON1112031123")</f>
        <v>#NAME?</v>
      </c>
      <c r="I452" s="28" t="e">
        <f ca="1">[1]!BexGetData("DP_1","003N8EMH8GTFRCSWKMPXRSAE6","GSON1112031123")</f>
        <v>#NAME?</v>
      </c>
      <c r="J452" s="24" t="e">
        <f ca="1">[1]!BexGetData("DP_1","003N8EMH8GTFRCSWKMPXRSGPQ","GSON1112031123")</f>
        <v>#NAME?</v>
      </c>
      <c r="K452" s="28" t="e">
        <f ca="1">[1]!BexGetData("DP_1","003N8EMH8GTFRIVNUPY288VJH","GSON1112031123")</f>
        <v>#NAME?</v>
      </c>
      <c r="L452" s="28" t="e">
        <f ca="1">[1]!BexGetData("DP_1","003N8EMH8GTFRIVNUPY2891V1","GSON1112031123")</f>
        <v>#NAME?</v>
      </c>
      <c r="M452" s="28" t="e">
        <f ca="1">[1]!BexGetData("DP_1","003N8EMH8GTFRIVOG7KG9IQXA","GSON1112031123")</f>
        <v>#NAME?</v>
      </c>
      <c r="N452" s="28" t="e">
        <f ca="1">[1]!BexGetData("DP_1","003N8EMH8GTFRIVOG7KG9IX8U","GSON1112031123")</f>
        <v>#NAME?</v>
      </c>
      <c r="O452" s="28" t="e">
        <f ca="1">[1]!BexGetData("DP_1","003N8EMH8GTFRIVOG7KG9J3KE","GSON1112031123")</f>
        <v>#NAME?</v>
      </c>
      <c r="P452" s="28" t="e">
        <f ca="1">[1]!BexGetData("DP_1","003N8EMH8GTFRIVOG7KG9J9VY","GSON1112031123")</f>
        <v>#NAME?</v>
      </c>
      <c r="Q452" s="24" t="e">
        <f ca="1">[1]!BexGetData("DP_1","00O2TNJGODT0G5Z4TTKYMM5MT","GSON1112031123")</f>
        <v>#NAME?</v>
      </c>
      <c r="R452" s="28" t="e">
        <f ca="1">[1]!BexGetData("DP_1","00O2TNJGODT0G5Z4TTKYMMBYD","GSON1112031123")</f>
        <v>#NAME?</v>
      </c>
      <c r="S452" s="28" t="e">
        <f ca="1">[1]!BexGetData("DP_1","00O2TNJGODT0G5Z4TTKYMMI9X","GSON1112031123")</f>
        <v>#NAME?</v>
      </c>
      <c r="T452" s="28" t="e">
        <f ca="1">[1]!BexGetData("DP_1","00O2TNJGODT0G5Z4TTKYMMOLH","GSON1112031123")</f>
        <v>#NAME?</v>
      </c>
      <c r="U452" s="28" t="e">
        <f ca="1">[1]!BexGetData("DP_1","00O2TNJGODT0G5Z4TTKYMMUX1","GSON1112031123")</f>
        <v>#NAME?</v>
      </c>
      <c r="V452" s="28" t="e">
        <f ca="1">[1]!BexGetData("DP_1","00O2TNJGODT0G5Z4TTKYMN18L","GSON1112031123")</f>
        <v>#NAME?</v>
      </c>
      <c r="W452" s="28" t="e">
        <f ca="1">[1]!BexGetData("DP_1","00O2TNJGODT0G5Z4TTKYMN7K5","GSON1112031123")</f>
        <v>#NAME?</v>
      </c>
    </row>
    <row r="453" spans="1:23" x14ac:dyDescent="0.2">
      <c r="A453" s="36" t="s">
        <v>2342</v>
      </c>
      <c r="B453" s="27" t="s">
        <v>2343</v>
      </c>
      <c r="C453" s="24" t="e">
        <f ca="1">[1]!BexGetData("DP_1","003N8EMH8GTFRCSWKMPXRR8GU","GSON1112031124")</f>
        <v>#NAME?</v>
      </c>
      <c r="D453" s="24" t="e">
        <f ca="1">[1]!BexGetData("DP_1","003N8EMH8GTFRCSWKMPXRRESE","GSON1112031124")</f>
        <v>#NAME?</v>
      </c>
      <c r="E453" s="24" t="e">
        <f ca="1">[1]!BexGetData("DP_1","003N8EMH8GTFRCSWKMPXRRL3Y","GSON1112031124")</f>
        <v>#NAME?</v>
      </c>
      <c r="F453" s="28" t="e">
        <f ca="1">[1]!BexGetData("DP_1","003N8EMH8GTFRCSWKMPXRRRFI","GSON1112031124")</f>
        <v>#NAME?</v>
      </c>
      <c r="G453" s="23" t="e">
        <f ca="1">[1]!BexGetData("DP_1","003N8EMH8GTFRCSWKMPXRRXR2","GSON1112031124")</f>
        <v>#NAME?</v>
      </c>
      <c r="H453" s="23" t="e">
        <f ca="1">[1]!BexGetData("DP_1","003N8EMH8GTFRCSWKMPXRS42M","GSON1112031124")</f>
        <v>#NAME?</v>
      </c>
      <c r="I453" s="28" t="e">
        <f ca="1">[1]!BexGetData("DP_1","003N8EMH8GTFRCSWKMPXRSAE6","GSON1112031124")</f>
        <v>#NAME?</v>
      </c>
      <c r="J453" s="24" t="e">
        <f ca="1">[1]!BexGetData("DP_1","003N8EMH8GTFRCSWKMPXRSGPQ","GSON1112031124")</f>
        <v>#NAME?</v>
      </c>
      <c r="K453" s="28" t="e">
        <f ca="1">[1]!BexGetData("DP_1","003N8EMH8GTFRIVNUPY288VJH","GSON1112031124")</f>
        <v>#NAME?</v>
      </c>
      <c r="L453" s="28" t="e">
        <f ca="1">[1]!BexGetData("DP_1","003N8EMH8GTFRIVNUPY2891V1","GSON1112031124")</f>
        <v>#NAME?</v>
      </c>
      <c r="M453" s="28" t="e">
        <f ca="1">[1]!BexGetData("DP_1","003N8EMH8GTFRIVOG7KG9IQXA","GSON1112031124")</f>
        <v>#NAME?</v>
      </c>
      <c r="N453" s="28" t="e">
        <f ca="1">[1]!BexGetData("DP_1","003N8EMH8GTFRIVOG7KG9IX8U","GSON1112031124")</f>
        <v>#NAME?</v>
      </c>
      <c r="O453" s="28" t="e">
        <f ca="1">[1]!BexGetData("DP_1","003N8EMH8GTFRIVOG7KG9J3KE","GSON1112031124")</f>
        <v>#NAME?</v>
      </c>
      <c r="P453" s="28" t="e">
        <f ca="1">[1]!BexGetData("DP_1","003N8EMH8GTFRIVOG7KG9J9VY","GSON1112031124")</f>
        <v>#NAME?</v>
      </c>
      <c r="Q453" s="24" t="e">
        <f ca="1">[1]!BexGetData("DP_1","00O2TNJGODT0G5Z4TTKYMM5MT","GSON1112031124")</f>
        <v>#NAME?</v>
      </c>
      <c r="R453" s="28" t="e">
        <f ca="1">[1]!BexGetData("DP_1","00O2TNJGODT0G5Z4TTKYMMBYD","GSON1112031124")</f>
        <v>#NAME?</v>
      </c>
      <c r="S453" s="28" t="e">
        <f ca="1">[1]!BexGetData("DP_1","00O2TNJGODT0G5Z4TTKYMMI9X","GSON1112031124")</f>
        <v>#NAME?</v>
      </c>
      <c r="T453" s="28" t="e">
        <f ca="1">[1]!BexGetData("DP_1","00O2TNJGODT0G5Z4TTKYMMOLH","GSON1112031124")</f>
        <v>#NAME?</v>
      </c>
      <c r="U453" s="28" t="e">
        <f ca="1">[1]!BexGetData("DP_1","00O2TNJGODT0G5Z4TTKYMMUX1","GSON1112031124")</f>
        <v>#NAME?</v>
      </c>
      <c r="V453" s="28" t="e">
        <f ca="1">[1]!BexGetData("DP_1","00O2TNJGODT0G5Z4TTKYMN18L","GSON1112031124")</f>
        <v>#NAME?</v>
      </c>
      <c r="W453" s="28" t="e">
        <f ca="1">[1]!BexGetData("DP_1","00O2TNJGODT0G5Z4TTKYMN7K5","GSON1112031124")</f>
        <v>#NAME?</v>
      </c>
    </row>
    <row r="454" spans="1:23" x14ac:dyDescent="0.2">
      <c r="A454" s="36" t="s">
        <v>2344</v>
      </c>
      <c r="B454" s="27" t="s">
        <v>2345</v>
      </c>
      <c r="C454" s="23" t="e">
        <f ca="1">[1]!BexGetData("DP_1","003N8EMH8GTFRCSWKMPXRR8GU","GSON1112031125")</f>
        <v>#NAME?</v>
      </c>
      <c r="D454" s="23" t="e">
        <f ca="1">[1]!BexGetData("DP_1","003N8EMH8GTFRCSWKMPXRRESE","GSON1112031125")</f>
        <v>#NAME?</v>
      </c>
      <c r="E454" s="28" t="e">
        <f ca="1">[1]!BexGetData("DP_1","003N8EMH8GTFRCSWKMPXRRL3Y","GSON1112031125")</f>
        <v>#NAME?</v>
      </c>
      <c r="F454" s="28" t="e">
        <f ca="1">[1]!BexGetData("DP_1","003N8EMH8GTFRCSWKMPXRRRFI","GSON1112031125")</f>
        <v>#NAME?</v>
      </c>
      <c r="G454" s="23" t="e">
        <f ca="1">[1]!BexGetData("DP_1","003N8EMH8GTFRCSWKMPXRRXR2","GSON1112031125")</f>
        <v>#NAME?</v>
      </c>
      <c r="H454" s="23" t="e">
        <f ca="1">[1]!BexGetData("DP_1","003N8EMH8GTFRCSWKMPXRS42M","GSON1112031125")</f>
        <v>#NAME?</v>
      </c>
      <c r="I454" s="28" t="e">
        <f ca="1">[1]!BexGetData("DP_1","003N8EMH8GTFRCSWKMPXRSAE6","GSON1112031125")</f>
        <v>#NAME?</v>
      </c>
      <c r="J454" s="24" t="e">
        <f ca="1">[1]!BexGetData("DP_1","003N8EMH8GTFRCSWKMPXRSGPQ","GSON1112031125")</f>
        <v>#NAME?</v>
      </c>
      <c r="K454" s="28" t="e">
        <f ca="1">[1]!BexGetData("DP_1","003N8EMH8GTFRIVNUPY288VJH","GSON1112031125")</f>
        <v>#NAME?</v>
      </c>
      <c r="L454" s="28" t="e">
        <f ca="1">[1]!BexGetData("DP_1","003N8EMH8GTFRIVNUPY2891V1","GSON1112031125")</f>
        <v>#NAME?</v>
      </c>
      <c r="M454" s="28" t="e">
        <f ca="1">[1]!BexGetData("DP_1","003N8EMH8GTFRIVOG7KG9IQXA","GSON1112031125")</f>
        <v>#NAME?</v>
      </c>
      <c r="N454" s="28" t="e">
        <f ca="1">[1]!BexGetData("DP_1","003N8EMH8GTFRIVOG7KG9IX8U","GSON1112031125")</f>
        <v>#NAME?</v>
      </c>
      <c r="O454" s="28" t="e">
        <f ca="1">[1]!BexGetData("DP_1","003N8EMH8GTFRIVOG7KG9J3KE","GSON1112031125")</f>
        <v>#NAME?</v>
      </c>
      <c r="P454" s="28" t="e">
        <f ca="1">[1]!BexGetData("DP_1","003N8EMH8GTFRIVOG7KG9J9VY","GSON1112031125")</f>
        <v>#NAME?</v>
      </c>
      <c r="Q454" s="24" t="e">
        <f ca="1">[1]!BexGetData("DP_1","00O2TNJGODT0G5Z4TTKYMM5MT","GSON1112031125")</f>
        <v>#NAME?</v>
      </c>
      <c r="R454" s="28" t="e">
        <f ca="1">[1]!BexGetData("DP_1","00O2TNJGODT0G5Z4TTKYMMBYD","GSON1112031125")</f>
        <v>#NAME?</v>
      </c>
      <c r="S454" s="28" t="e">
        <f ca="1">[1]!BexGetData("DP_1","00O2TNJGODT0G5Z4TTKYMMI9X","GSON1112031125")</f>
        <v>#NAME?</v>
      </c>
      <c r="T454" s="28" t="e">
        <f ca="1">[1]!BexGetData("DP_1","00O2TNJGODT0G5Z4TTKYMMOLH","GSON1112031125")</f>
        <v>#NAME?</v>
      </c>
      <c r="U454" s="28" t="e">
        <f ca="1">[1]!BexGetData("DP_1","00O2TNJGODT0G5Z4TTKYMMUX1","GSON1112031125")</f>
        <v>#NAME?</v>
      </c>
      <c r="V454" s="28" t="e">
        <f ca="1">[1]!BexGetData("DP_1","00O2TNJGODT0G5Z4TTKYMN18L","GSON1112031125")</f>
        <v>#NAME?</v>
      </c>
      <c r="W454" s="28" t="e">
        <f ca="1">[1]!BexGetData("DP_1","00O2TNJGODT0G5Z4TTKYMN7K5","GSON1112031125")</f>
        <v>#NAME?</v>
      </c>
    </row>
    <row r="455" spans="1:23" x14ac:dyDescent="0.2">
      <c r="A455" s="36" t="s">
        <v>2346</v>
      </c>
      <c r="B455" s="27" t="s">
        <v>2347</v>
      </c>
      <c r="C455" s="23" t="e">
        <f ca="1">[1]!BexGetData("DP_1","003N8EMH8GTFRCSWKMPXRR8GU","GSON1112031140")</f>
        <v>#NAME?</v>
      </c>
      <c r="D455" s="23" t="e">
        <f ca="1">[1]!BexGetData("DP_1","003N8EMH8GTFRCSWKMPXRRESE","GSON1112031140")</f>
        <v>#NAME?</v>
      </c>
      <c r="E455" s="28" t="e">
        <f ca="1">[1]!BexGetData("DP_1","003N8EMH8GTFRCSWKMPXRRL3Y","GSON1112031140")</f>
        <v>#NAME?</v>
      </c>
      <c r="F455" s="23" t="e">
        <f ca="1">[1]!BexGetData("DP_1","003N8EMH8GTFRCSWKMPXRRRFI","GSON1112031140")</f>
        <v>#NAME?</v>
      </c>
      <c r="G455" s="23" t="e">
        <f ca="1">[1]!BexGetData("DP_1","003N8EMH8GTFRCSWKMPXRRXR2","GSON1112031140")</f>
        <v>#NAME?</v>
      </c>
      <c r="H455" s="23" t="e">
        <f ca="1">[1]!BexGetData("DP_1","003N8EMH8GTFRCSWKMPXRS42M","GSON1112031140")</f>
        <v>#NAME?</v>
      </c>
      <c r="I455" s="23" t="e">
        <f ca="1">[1]!BexGetData("DP_1","003N8EMH8GTFRCSWKMPXRSAE6","GSON1112031140")</f>
        <v>#NAME?</v>
      </c>
      <c r="J455" s="24" t="e">
        <f ca="1">[1]!BexGetData("DP_1","003N8EMH8GTFRCSWKMPXRSGPQ","GSON1112031140")</f>
        <v>#NAME?</v>
      </c>
      <c r="K455" s="23" t="e">
        <f ca="1">[1]!BexGetData("DP_1","003N8EMH8GTFRIVNUPY288VJH","GSON1112031140")</f>
        <v>#NAME?</v>
      </c>
      <c r="L455" s="23" t="e">
        <f ca="1">[1]!BexGetData("DP_1","003N8EMH8GTFRIVNUPY2891V1","GSON1112031140")</f>
        <v>#NAME?</v>
      </c>
      <c r="M455" s="23" t="e">
        <f ca="1">[1]!BexGetData("DP_1","003N8EMH8GTFRIVOG7KG9IQXA","GSON1112031140")</f>
        <v>#NAME?</v>
      </c>
      <c r="N455" s="28" t="e">
        <f ca="1">[1]!BexGetData("DP_1","003N8EMH8GTFRIVOG7KG9IX8U","GSON1112031140")</f>
        <v>#NAME?</v>
      </c>
      <c r="O455" s="23" t="e">
        <f ca="1">[1]!BexGetData("DP_1","003N8EMH8GTFRIVOG7KG9J3KE","GSON1112031140")</f>
        <v>#NAME?</v>
      </c>
      <c r="P455" s="28" t="e">
        <f ca="1">[1]!BexGetData("DP_1","003N8EMH8GTFRIVOG7KG9J9VY","GSON1112031140")</f>
        <v>#NAME?</v>
      </c>
      <c r="Q455" s="24" t="e">
        <f ca="1">[1]!BexGetData("DP_1","00O2TNJGODT0G5Z4TTKYMM5MT","GSON1112031140")</f>
        <v>#NAME?</v>
      </c>
      <c r="R455" s="23" t="e">
        <f ca="1">[1]!BexGetData("DP_1","00O2TNJGODT0G5Z4TTKYMMBYD","GSON1112031140")</f>
        <v>#NAME?</v>
      </c>
      <c r="S455" s="23" t="e">
        <f ca="1">[1]!BexGetData("DP_1","00O2TNJGODT0G5Z4TTKYMMI9X","GSON1112031140")</f>
        <v>#NAME?</v>
      </c>
      <c r="T455" s="28" t="e">
        <f ca="1">[1]!BexGetData("DP_1","00O2TNJGODT0G5Z4TTKYMMOLH","GSON1112031140")</f>
        <v>#NAME?</v>
      </c>
      <c r="U455" s="23" t="e">
        <f ca="1">[1]!BexGetData("DP_1","00O2TNJGODT0G5Z4TTKYMMUX1","GSON1112031140")</f>
        <v>#NAME?</v>
      </c>
      <c r="V455" s="28" t="e">
        <f ca="1">[1]!BexGetData("DP_1","00O2TNJGODT0G5Z4TTKYMN18L","GSON1112031140")</f>
        <v>#NAME?</v>
      </c>
      <c r="W455" s="23" t="e">
        <f ca="1">[1]!BexGetData("DP_1","00O2TNJGODT0G5Z4TTKYMN7K5","GSON1112031140")</f>
        <v>#NAME?</v>
      </c>
    </row>
    <row r="456" spans="1:23" x14ac:dyDescent="0.2">
      <c r="A456" s="36" t="s">
        <v>2348</v>
      </c>
      <c r="B456" s="27" t="s">
        <v>2349</v>
      </c>
      <c r="C456" s="28" t="e">
        <f ca="1">[1]!BexGetData("DP_1","003N8EMH8GTFRCSWKMPXRR8GU","GSON1112031141")</f>
        <v>#NAME?</v>
      </c>
      <c r="D456" s="28" t="e">
        <f ca="1">[1]!BexGetData("DP_1","003N8EMH8GTFRCSWKMPXRRESE","GSON1112031141")</f>
        <v>#NAME?</v>
      </c>
      <c r="E456" s="28" t="e">
        <f ca="1">[1]!BexGetData("DP_1","003N8EMH8GTFRCSWKMPXRRL3Y","GSON1112031141")</f>
        <v>#NAME?</v>
      </c>
      <c r="F456" s="28" t="e">
        <f ca="1">[1]!BexGetData("DP_1","003N8EMH8GTFRCSWKMPXRRRFI","GSON1112031141")</f>
        <v>#NAME?</v>
      </c>
      <c r="G456" s="23" t="e">
        <f ca="1">[1]!BexGetData("DP_1","003N8EMH8GTFRCSWKMPXRRXR2","GSON1112031141")</f>
        <v>#NAME?</v>
      </c>
      <c r="H456" s="23" t="e">
        <f ca="1">[1]!BexGetData("DP_1","003N8EMH8GTFRCSWKMPXRS42M","GSON1112031141")</f>
        <v>#NAME?</v>
      </c>
      <c r="I456" s="28" t="e">
        <f ca="1">[1]!BexGetData("DP_1","003N8EMH8GTFRCSWKMPXRSAE6","GSON1112031141")</f>
        <v>#NAME?</v>
      </c>
      <c r="J456" s="24" t="e">
        <f ca="1">[1]!BexGetData("DP_1","003N8EMH8GTFRCSWKMPXRSGPQ","GSON1112031141")</f>
        <v>#NAME?</v>
      </c>
      <c r="K456" s="28" t="e">
        <f ca="1">[1]!BexGetData("DP_1","003N8EMH8GTFRIVNUPY288VJH","GSON1112031141")</f>
        <v>#NAME?</v>
      </c>
      <c r="L456" s="28" t="e">
        <f ca="1">[1]!BexGetData("DP_1","003N8EMH8GTFRIVNUPY2891V1","GSON1112031141")</f>
        <v>#NAME?</v>
      </c>
      <c r="M456" s="28" t="e">
        <f ca="1">[1]!BexGetData("DP_1","003N8EMH8GTFRIVOG7KG9IQXA","GSON1112031141")</f>
        <v>#NAME?</v>
      </c>
      <c r="N456" s="28" t="e">
        <f ca="1">[1]!BexGetData("DP_1","003N8EMH8GTFRIVOG7KG9IX8U","GSON1112031141")</f>
        <v>#NAME?</v>
      </c>
      <c r="O456" s="28" t="e">
        <f ca="1">[1]!BexGetData("DP_1","003N8EMH8GTFRIVOG7KG9J3KE","GSON1112031141")</f>
        <v>#NAME?</v>
      </c>
      <c r="P456" s="28" t="e">
        <f ca="1">[1]!BexGetData("DP_1","003N8EMH8GTFRIVOG7KG9J9VY","GSON1112031141")</f>
        <v>#NAME?</v>
      </c>
      <c r="Q456" s="24" t="e">
        <f ca="1">[1]!BexGetData("DP_1","00O2TNJGODT0G5Z4TTKYMM5MT","GSON1112031141")</f>
        <v>#NAME?</v>
      </c>
      <c r="R456" s="28" t="e">
        <f ca="1">[1]!BexGetData("DP_1","00O2TNJGODT0G5Z4TTKYMMBYD","GSON1112031141")</f>
        <v>#NAME?</v>
      </c>
      <c r="S456" s="28" t="e">
        <f ca="1">[1]!BexGetData("DP_1","00O2TNJGODT0G5Z4TTKYMMI9X","GSON1112031141")</f>
        <v>#NAME?</v>
      </c>
      <c r="T456" s="28" t="e">
        <f ca="1">[1]!BexGetData("DP_1","00O2TNJGODT0G5Z4TTKYMMOLH","GSON1112031141")</f>
        <v>#NAME?</v>
      </c>
      <c r="U456" s="28" t="e">
        <f ca="1">[1]!BexGetData("DP_1","00O2TNJGODT0G5Z4TTKYMMUX1","GSON1112031141")</f>
        <v>#NAME?</v>
      </c>
      <c r="V456" s="28" t="e">
        <f ca="1">[1]!BexGetData("DP_1","00O2TNJGODT0G5Z4TTKYMN18L","GSON1112031141")</f>
        <v>#NAME?</v>
      </c>
      <c r="W456" s="28" t="e">
        <f ca="1">[1]!BexGetData("DP_1","00O2TNJGODT0G5Z4TTKYMN7K5","GSON1112031141")</f>
        <v>#NAME?</v>
      </c>
    </row>
    <row r="457" spans="1:23" x14ac:dyDescent="0.2">
      <c r="A457" s="36" t="s">
        <v>2350</v>
      </c>
      <c r="B457" s="27" t="s">
        <v>2351</v>
      </c>
      <c r="C457" s="23" t="e">
        <f ca="1">[1]!BexGetData("DP_1","003N8EMH8GTFRCSWKMPXRR8GU","GSON1112031142")</f>
        <v>#NAME?</v>
      </c>
      <c r="D457" s="28" t="e">
        <f ca="1">[1]!BexGetData("DP_1","003N8EMH8GTFRCSWKMPXRRESE","GSON1112031142")</f>
        <v>#NAME?</v>
      </c>
      <c r="E457" s="28" t="e">
        <f ca="1">[1]!BexGetData("DP_1","003N8EMH8GTFRCSWKMPXRRL3Y","GSON1112031142")</f>
        <v>#NAME?</v>
      </c>
      <c r="F457" s="23" t="e">
        <f ca="1">[1]!BexGetData("DP_1","003N8EMH8GTFRCSWKMPXRRRFI","GSON1112031142")</f>
        <v>#NAME?</v>
      </c>
      <c r="G457" s="28" t="e">
        <f ca="1">[1]!BexGetData("DP_1","003N8EMH8GTFRCSWKMPXRRXR2","GSON1112031142")</f>
        <v>#NAME?</v>
      </c>
      <c r="H457" s="23" t="e">
        <f ca="1">[1]!BexGetData("DP_1","003N8EMH8GTFRCSWKMPXRS42M","GSON1112031142")</f>
        <v>#NAME?</v>
      </c>
      <c r="I457" s="23" t="e">
        <f ca="1">[1]!BexGetData("DP_1","003N8EMH8GTFRCSWKMPXRSAE6","GSON1112031142")</f>
        <v>#NAME?</v>
      </c>
      <c r="J457" s="24" t="e">
        <f ca="1">[1]!BexGetData("DP_1","003N8EMH8GTFRCSWKMPXRSGPQ","GSON1112031142")</f>
        <v>#NAME?</v>
      </c>
      <c r="K457" s="23" t="e">
        <f ca="1">[1]!BexGetData("DP_1","003N8EMH8GTFRIVNUPY288VJH","GSON1112031142")</f>
        <v>#NAME?</v>
      </c>
      <c r="L457" s="23" t="e">
        <f ca="1">[1]!BexGetData("DP_1","003N8EMH8GTFRIVNUPY2891V1","GSON1112031142")</f>
        <v>#NAME?</v>
      </c>
      <c r="M457" s="28" t="e">
        <f ca="1">[1]!BexGetData("DP_1","003N8EMH8GTFRIVOG7KG9IQXA","GSON1112031142")</f>
        <v>#NAME?</v>
      </c>
      <c r="N457" s="23" t="e">
        <f ca="1">[1]!BexGetData("DP_1","003N8EMH8GTFRIVOG7KG9IX8U","GSON1112031142")</f>
        <v>#NAME?</v>
      </c>
      <c r="O457" s="28" t="e">
        <f ca="1">[1]!BexGetData("DP_1","003N8EMH8GTFRIVOG7KG9J3KE","GSON1112031142")</f>
        <v>#NAME?</v>
      </c>
      <c r="P457" s="23" t="e">
        <f ca="1">[1]!BexGetData("DP_1","003N8EMH8GTFRIVOG7KG9J9VY","GSON1112031142")</f>
        <v>#NAME?</v>
      </c>
      <c r="Q457" s="24" t="e">
        <f ca="1">[1]!BexGetData("DP_1","00O2TNJGODT0G5Z4TTKYMM5MT","GSON1112031142")</f>
        <v>#NAME?</v>
      </c>
      <c r="R457" s="23" t="e">
        <f ca="1">[1]!BexGetData("DP_1","00O2TNJGODT0G5Z4TTKYMMBYD","GSON1112031142")</f>
        <v>#NAME?</v>
      </c>
      <c r="S457" s="23" t="e">
        <f ca="1">[1]!BexGetData("DP_1","00O2TNJGODT0G5Z4TTKYMMI9X","GSON1112031142")</f>
        <v>#NAME?</v>
      </c>
      <c r="T457" s="23" t="e">
        <f ca="1">[1]!BexGetData("DP_1","00O2TNJGODT0G5Z4TTKYMMOLH","GSON1112031142")</f>
        <v>#NAME?</v>
      </c>
      <c r="U457" s="28" t="e">
        <f ca="1">[1]!BexGetData("DP_1","00O2TNJGODT0G5Z4TTKYMMUX1","GSON1112031142")</f>
        <v>#NAME?</v>
      </c>
      <c r="V457" s="23" t="e">
        <f ca="1">[1]!BexGetData("DP_1","00O2TNJGODT0G5Z4TTKYMN18L","GSON1112031142")</f>
        <v>#NAME?</v>
      </c>
      <c r="W457" s="28" t="e">
        <f ca="1">[1]!BexGetData("DP_1","00O2TNJGODT0G5Z4TTKYMN7K5","GSON1112031142")</f>
        <v>#NAME?</v>
      </c>
    </row>
    <row r="458" spans="1:23" x14ac:dyDescent="0.2">
      <c r="A458" s="36" t="s">
        <v>2352</v>
      </c>
      <c r="B458" s="27" t="s">
        <v>2353</v>
      </c>
      <c r="C458" s="23" t="e">
        <f ca="1">[1]!BexGetData("DP_1","003N8EMH8GTFRCSWKMPXRR8GU","GSON1112031143")</f>
        <v>#NAME?</v>
      </c>
      <c r="D458" s="23" t="e">
        <f ca="1">[1]!BexGetData("DP_1","003N8EMH8GTFRCSWKMPXRRESE","GSON1112031143")</f>
        <v>#NAME?</v>
      </c>
      <c r="E458" s="28" t="e">
        <f ca="1">[1]!BexGetData("DP_1","003N8EMH8GTFRCSWKMPXRRL3Y","GSON1112031143")</f>
        <v>#NAME?</v>
      </c>
      <c r="F458" s="28" t="e">
        <f ca="1">[1]!BexGetData("DP_1","003N8EMH8GTFRCSWKMPXRRRFI","GSON1112031143")</f>
        <v>#NAME?</v>
      </c>
      <c r="G458" s="23" t="e">
        <f ca="1">[1]!BexGetData("DP_1","003N8EMH8GTFRCSWKMPXRRXR2","GSON1112031143")</f>
        <v>#NAME?</v>
      </c>
      <c r="H458" s="23" t="e">
        <f ca="1">[1]!BexGetData("DP_1","003N8EMH8GTFRCSWKMPXRS42M","GSON1112031143")</f>
        <v>#NAME?</v>
      </c>
      <c r="I458" s="28" t="e">
        <f ca="1">[1]!BexGetData("DP_1","003N8EMH8GTFRCSWKMPXRSAE6","GSON1112031143")</f>
        <v>#NAME?</v>
      </c>
      <c r="J458" s="24" t="e">
        <f ca="1">[1]!BexGetData("DP_1","003N8EMH8GTFRCSWKMPXRSGPQ","GSON1112031143")</f>
        <v>#NAME?</v>
      </c>
      <c r="K458" s="28" t="e">
        <f ca="1">[1]!BexGetData("DP_1","003N8EMH8GTFRIVNUPY288VJH","GSON1112031143")</f>
        <v>#NAME?</v>
      </c>
      <c r="L458" s="28" t="e">
        <f ca="1">[1]!BexGetData("DP_1","003N8EMH8GTFRIVNUPY2891V1","GSON1112031143")</f>
        <v>#NAME?</v>
      </c>
      <c r="M458" s="28" t="e">
        <f ca="1">[1]!BexGetData("DP_1","003N8EMH8GTFRIVOG7KG9IQXA","GSON1112031143")</f>
        <v>#NAME?</v>
      </c>
      <c r="N458" s="28" t="e">
        <f ca="1">[1]!BexGetData("DP_1","003N8EMH8GTFRIVOG7KG9IX8U","GSON1112031143")</f>
        <v>#NAME?</v>
      </c>
      <c r="O458" s="28" t="e">
        <f ca="1">[1]!BexGetData("DP_1","003N8EMH8GTFRIVOG7KG9J3KE","GSON1112031143")</f>
        <v>#NAME?</v>
      </c>
      <c r="P458" s="28" t="e">
        <f ca="1">[1]!BexGetData("DP_1","003N8EMH8GTFRIVOG7KG9J9VY","GSON1112031143")</f>
        <v>#NAME?</v>
      </c>
      <c r="Q458" s="24" t="e">
        <f ca="1">[1]!BexGetData("DP_1","00O2TNJGODT0G5Z4TTKYMM5MT","GSON1112031143")</f>
        <v>#NAME?</v>
      </c>
      <c r="R458" s="28" t="e">
        <f ca="1">[1]!BexGetData("DP_1","00O2TNJGODT0G5Z4TTKYMMBYD","GSON1112031143")</f>
        <v>#NAME?</v>
      </c>
      <c r="S458" s="28" t="e">
        <f ca="1">[1]!BexGetData("DP_1","00O2TNJGODT0G5Z4TTKYMMI9X","GSON1112031143")</f>
        <v>#NAME?</v>
      </c>
      <c r="T458" s="28" t="e">
        <f ca="1">[1]!BexGetData("DP_1","00O2TNJGODT0G5Z4TTKYMMOLH","GSON1112031143")</f>
        <v>#NAME?</v>
      </c>
      <c r="U458" s="28" t="e">
        <f ca="1">[1]!BexGetData("DP_1","00O2TNJGODT0G5Z4TTKYMMUX1","GSON1112031143")</f>
        <v>#NAME?</v>
      </c>
      <c r="V458" s="28" t="e">
        <f ca="1">[1]!BexGetData("DP_1","00O2TNJGODT0G5Z4TTKYMN18L","GSON1112031143")</f>
        <v>#NAME?</v>
      </c>
      <c r="W458" s="28" t="e">
        <f ca="1">[1]!BexGetData("DP_1","00O2TNJGODT0G5Z4TTKYMN7K5","GSON1112031143")</f>
        <v>#NAME?</v>
      </c>
    </row>
    <row r="459" spans="1:23" x14ac:dyDescent="0.2">
      <c r="A459" s="36" t="s">
        <v>2354</v>
      </c>
      <c r="B459" s="27" t="s">
        <v>2355</v>
      </c>
      <c r="C459" s="23" t="e">
        <f ca="1">[1]!BexGetData("DP_1","003N8EMH8GTFRCSWKMPXRR8GU","GSON1112031145")</f>
        <v>#NAME?</v>
      </c>
      <c r="D459" s="23" t="e">
        <f ca="1">[1]!BexGetData("DP_1","003N8EMH8GTFRCSWKMPXRRESE","GSON1112031145")</f>
        <v>#NAME?</v>
      </c>
      <c r="E459" s="28" t="e">
        <f ca="1">[1]!BexGetData("DP_1","003N8EMH8GTFRCSWKMPXRRL3Y","GSON1112031145")</f>
        <v>#NAME?</v>
      </c>
      <c r="F459" s="28" t="e">
        <f ca="1">[1]!BexGetData("DP_1","003N8EMH8GTFRCSWKMPXRRRFI","GSON1112031145")</f>
        <v>#NAME?</v>
      </c>
      <c r="G459" s="23" t="e">
        <f ca="1">[1]!BexGetData("DP_1","003N8EMH8GTFRCSWKMPXRRXR2","GSON1112031145")</f>
        <v>#NAME?</v>
      </c>
      <c r="H459" s="23" t="e">
        <f ca="1">[1]!BexGetData("DP_1","003N8EMH8GTFRCSWKMPXRS42M","GSON1112031145")</f>
        <v>#NAME?</v>
      </c>
      <c r="I459" s="28" t="e">
        <f ca="1">[1]!BexGetData("DP_1","003N8EMH8GTFRCSWKMPXRSAE6","GSON1112031145")</f>
        <v>#NAME?</v>
      </c>
      <c r="J459" s="24" t="e">
        <f ca="1">[1]!BexGetData("DP_1","003N8EMH8GTFRCSWKMPXRSGPQ","GSON1112031145")</f>
        <v>#NAME?</v>
      </c>
      <c r="K459" s="28" t="e">
        <f ca="1">[1]!BexGetData("DP_1","003N8EMH8GTFRIVNUPY288VJH","GSON1112031145")</f>
        <v>#NAME?</v>
      </c>
      <c r="L459" s="28" t="e">
        <f ca="1">[1]!BexGetData("DP_1","003N8EMH8GTFRIVNUPY2891V1","GSON1112031145")</f>
        <v>#NAME?</v>
      </c>
      <c r="M459" s="28" t="e">
        <f ca="1">[1]!BexGetData("DP_1","003N8EMH8GTFRIVOG7KG9IQXA","GSON1112031145")</f>
        <v>#NAME?</v>
      </c>
      <c r="N459" s="28" t="e">
        <f ca="1">[1]!BexGetData("DP_1","003N8EMH8GTFRIVOG7KG9IX8U","GSON1112031145")</f>
        <v>#NAME?</v>
      </c>
      <c r="O459" s="28" t="e">
        <f ca="1">[1]!BexGetData("DP_1","003N8EMH8GTFRIVOG7KG9J3KE","GSON1112031145")</f>
        <v>#NAME?</v>
      </c>
      <c r="P459" s="28" t="e">
        <f ca="1">[1]!BexGetData("DP_1","003N8EMH8GTFRIVOG7KG9J9VY","GSON1112031145")</f>
        <v>#NAME?</v>
      </c>
      <c r="Q459" s="24" t="e">
        <f ca="1">[1]!BexGetData("DP_1","00O2TNJGODT0G5Z4TTKYMM5MT","GSON1112031145")</f>
        <v>#NAME?</v>
      </c>
      <c r="R459" s="28" t="e">
        <f ca="1">[1]!BexGetData("DP_1","00O2TNJGODT0G5Z4TTKYMMBYD","GSON1112031145")</f>
        <v>#NAME?</v>
      </c>
      <c r="S459" s="28" t="e">
        <f ca="1">[1]!BexGetData("DP_1","00O2TNJGODT0G5Z4TTKYMMI9X","GSON1112031145")</f>
        <v>#NAME?</v>
      </c>
      <c r="T459" s="28" t="e">
        <f ca="1">[1]!BexGetData("DP_1","00O2TNJGODT0G5Z4TTKYMMOLH","GSON1112031145")</f>
        <v>#NAME?</v>
      </c>
      <c r="U459" s="28" t="e">
        <f ca="1">[1]!BexGetData("DP_1","00O2TNJGODT0G5Z4TTKYMMUX1","GSON1112031145")</f>
        <v>#NAME?</v>
      </c>
      <c r="V459" s="28" t="e">
        <f ca="1">[1]!BexGetData("DP_1","00O2TNJGODT0G5Z4TTKYMN18L","GSON1112031145")</f>
        <v>#NAME?</v>
      </c>
      <c r="W459" s="28" t="e">
        <f ca="1">[1]!BexGetData("DP_1","00O2TNJGODT0G5Z4TTKYMN7K5","GSON1112031145")</f>
        <v>#NAME?</v>
      </c>
    </row>
    <row r="460" spans="1:23" x14ac:dyDescent="0.2">
      <c r="A460" s="36" t="s">
        <v>2356</v>
      </c>
      <c r="B460" s="27" t="s">
        <v>2357</v>
      </c>
      <c r="C460" s="23" t="e">
        <f ca="1">[1]!BexGetData("DP_1","003N8EMH8GTFRCSWKMPXRR8GU","GSON1112031150")</f>
        <v>#NAME?</v>
      </c>
      <c r="D460" s="23" t="e">
        <f ca="1">[1]!BexGetData("DP_1","003N8EMH8GTFRCSWKMPXRRESE","GSON1112031150")</f>
        <v>#NAME?</v>
      </c>
      <c r="E460" s="28" t="e">
        <f ca="1">[1]!BexGetData("DP_1","003N8EMH8GTFRCSWKMPXRRL3Y","GSON1112031150")</f>
        <v>#NAME?</v>
      </c>
      <c r="F460" s="23" t="e">
        <f ca="1">[1]!BexGetData("DP_1","003N8EMH8GTFRCSWKMPXRRRFI","GSON1112031150")</f>
        <v>#NAME?</v>
      </c>
      <c r="G460" s="23" t="e">
        <f ca="1">[1]!BexGetData("DP_1","003N8EMH8GTFRCSWKMPXRRXR2","GSON1112031150")</f>
        <v>#NAME?</v>
      </c>
      <c r="H460" s="23" t="e">
        <f ca="1">[1]!BexGetData("DP_1","003N8EMH8GTFRCSWKMPXRS42M","GSON1112031150")</f>
        <v>#NAME?</v>
      </c>
      <c r="I460" s="23" t="e">
        <f ca="1">[1]!BexGetData("DP_1","003N8EMH8GTFRCSWKMPXRSAE6","GSON1112031150")</f>
        <v>#NAME?</v>
      </c>
      <c r="J460" s="24" t="e">
        <f ca="1">[1]!BexGetData("DP_1","003N8EMH8GTFRCSWKMPXRSGPQ","GSON1112031150")</f>
        <v>#NAME?</v>
      </c>
      <c r="K460" s="23" t="e">
        <f ca="1">[1]!BexGetData("DP_1","003N8EMH8GTFRIVNUPY288VJH","GSON1112031150")</f>
        <v>#NAME?</v>
      </c>
      <c r="L460" s="23" t="e">
        <f ca="1">[1]!BexGetData("DP_1","003N8EMH8GTFRIVNUPY2891V1","GSON1112031150")</f>
        <v>#NAME?</v>
      </c>
      <c r="M460" s="23" t="e">
        <f ca="1">[1]!BexGetData("DP_1","003N8EMH8GTFRIVOG7KG9IQXA","GSON1112031150")</f>
        <v>#NAME?</v>
      </c>
      <c r="N460" s="28" t="e">
        <f ca="1">[1]!BexGetData("DP_1","003N8EMH8GTFRIVOG7KG9IX8U","GSON1112031150")</f>
        <v>#NAME?</v>
      </c>
      <c r="O460" s="23" t="e">
        <f ca="1">[1]!BexGetData("DP_1","003N8EMH8GTFRIVOG7KG9J3KE","GSON1112031150")</f>
        <v>#NAME?</v>
      </c>
      <c r="P460" s="28" t="e">
        <f ca="1">[1]!BexGetData("DP_1","003N8EMH8GTFRIVOG7KG9J9VY","GSON1112031150")</f>
        <v>#NAME?</v>
      </c>
      <c r="Q460" s="24" t="e">
        <f ca="1">[1]!BexGetData("DP_1","00O2TNJGODT0G5Z4TTKYMM5MT","GSON1112031150")</f>
        <v>#NAME?</v>
      </c>
      <c r="R460" s="23" t="e">
        <f ca="1">[1]!BexGetData("DP_1","00O2TNJGODT0G5Z4TTKYMMBYD","GSON1112031150")</f>
        <v>#NAME?</v>
      </c>
      <c r="S460" s="23" t="e">
        <f ca="1">[1]!BexGetData("DP_1","00O2TNJGODT0G5Z4TTKYMMI9X","GSON1112031150")</f>
        <v>#NAME?</v>
      </c>
      <c r="T460" s="28" t="e">
        <f ca="1">[1]!BexGetData("DP_1","00O2TNJGODT0G5Z4TTKYMMOLH","GSON1112031150")</f>
        <v>#NAME?</v>
      </c>
      <c r="U460" s="23" t="e">
        <f ca="1">[1]!BexGetData("DP_1","00O2TNJGODT0G5Z4TTKYMMUX1","GSON1112031150")</f>
        <v>#NAME?</v>
      </c>
      <c r="V460" s="28" t="e">
        <f ca="1">[1]!BexGetData("DP_1","00O2TNJGODT0G5Z4TTKYMN18L","GSON1112031150")</f>
        <v>#NAME?</v>
      </c>
      <c r="W460" s="23" t="e">
        <f ca="1">[1]!BexGetData("DP_1","00O2TNJGODT0G5Z4TTKYMN7K5","GSON1112031150")</f>
        <v>#NAME?</v>
      </c>
    </row>
    <row r="461" spans="1:23" x14ac:dyDescent="0.2">
      <c r="A461" s="36" t="s">
        <v>2358</v>
      </c>
      <c r="B461" s="27" t="s">
        <v>2359</v>
      </c>
      <c r="C461" s="28" t="e">
        <f ca="1">[1]!BexGetData("DP_1","003N8EMH8GTFRCSWKMPXRR8GU","GSON1112031151")</f>
        <v>#NAME?</v>
      </c>
      <c r="D461" s="28" t="e">
        <f ca="1">[1]!BexGetData("DP_1","003N8EMH8GTFRCSWKMPXRRESE","GSON1112031151")</f>
        <v>#NAME?</v>
      </c>
      <c r="E461" s="28" t="e">
        <f ca="1">[1]!BexGetData("DP_1","003N8EMH8GTFRCSWKMPXRRL3Y","GSON1112031151")</f>
        <v>#NAME?</v>
      </c>
      <c r="F461" s="28" t="e">
        <f ca="1">[1]!BexGetData("DP_1","003N8EMH8GTFRCSWKMPXRRRFI","GSON1112031151")</f>
        <v>#NAME?</v>
      </c>
      <c r="G461" s="23" t="e">
        <f ca="1">[1]!BexGetData("DP_1","003N8EMH8GTFRCSWKMPXRRXR2","GSON1112031151")</f>
        <v>#NAME?</v>
      </c>
      <c r="H461" s="23" t="e">
        <f ca="1">[1]!BexGetData("DP_1","003N8EMH8GTFRCSWKMPXRS42M","GSON1112031151")</f>
        <v>#NAME?</v>
      </c>
      <c r="I461" s="28" t="e">
        <f ca="1">[1]!BexGetData("DP_1","003N8EMH8GTFRCSWKMPXRSAE6","GSON1112031151")</f>
        <v>#NAME?</v>
      </c>
      <c r="J461" s="24" t="e">
        <f ca="1">[1]!BexGetData("DP_1","003N8EMH8GTFRCSWKMPXRSGPQ","GSON1112031151")</f>
        <v>#NAME?</v>
      </c>
      <c r="K461" s="28" t="e">
        <f ca="1">[1]!BexGetData("DP_1","003N8EMH8GTFRIVNUPY288VJH","GSON1112031151")</f>
        <v>#NAME?</v>
      </c>
      <c r="L461" s="28" t="e">
        <f ca="1">[1]!BexGetData("DP_1","003N8EMH8GTFRIVNUPY2891V1","GSON1112031151")</f>
        <v>#NAME?</v>
      </c>
      <c r="M461" s="28" t="e">
        <f ca="1">[1]!BexGetData("DP_1","003N8EMH8GTFRIVOG7KG9IQXA","GSON1112031151")</f>
        <v>#NAME?</v>
      </c>
      <c r="N461" s="28" t="e">
        <f ca="1">[1]!BexGetData("DP_1","003N8EMH8GTFRIVOG7KG9IX8U","GSON1112031151")</f>
        <v>#NAME?</v>
      </c>
      <c r="O461" s="28" t="e">
        <f ca="1">[1]!BexGetData("DP_1","003N8EMH8GTFRIVOG7KG9J3KE","GSON1112031151")</f>
        <v>#NAME?</v>
      </c>
      <c r="P461" s="28" t="e">
        <f ca="1">[1]!BexGetData("DP_1","003N8EMH8GTFRIVOG7KG9J9VY","GSON1112031151")</f>
        <v>#NAME?</v>
      </c>
      <c r="Q461" s="24" t="e">
        <f ca="1">[1]!BexGetData("DP_1","00O2TNJGODT0G5Z4TTKYMM5MT","GSON1112031151")</f>
        <v>#NAME?</v>
      </c>
      <c r="R461" s="28" t="e">
        <f ca="1">[1]!BexGetData("DP_1","00O2TNJGODT0G5Z4TTKYMMBYD","GSON1112031151")</f>
        <v>#NAME?</v>
      </c>
      <c r="S461" s="28" t="e">
        <f ca="1">[1]!BexGetData("DP_1","00O2TNJGODT0G5Z4TTKYMMI9X","GSON1112031151")</f>
        <v>#NAME?</v>
      </c>
      <c r="T461" s="28" t="e">
        <f ca="1">[1]!BexGetData("DP_1","00O2TNJGODT0G5Z4TTKYMMOLH","GSON1112031151")</f>
        <v>#NAME?</v>
      </c>
      <c r="U461" s="28" t="e">
        <f ca="1">[1]!BexGetData("DP_1","00O2TNJGODT0G5Z4TTKYMMUX1","GSON1112031151")</f>
        <v>#NAME?</v>
      </c>
      <c r="V461" s="28" t="e">
        <f ca="1">[1]!BexGetData("DP_1","00O2TNJGODT0G5Z4TTKYMN18L","GSON1112031151")</f>
        <v>#NAME?</v>
      </c>
      <c r="W461" s="28" t="e">
        <f ca="1">[1]!BexGetData("DP_1","00O2TNJGODT0G5Z4TTKYMN7K5","GSON1112031151")</f>
        <v>#NAME?</v>
      </c>
    </row>
    <row r="462" spans="1:23" x14ac:dyDescent="0.2">
      <c r="A462" s="36" t="s">
        <v>2360</v>
      </c>
      <c r="B462" s="27" t="s">
        <v>2361</v>
      </c>
      <c r="C462" s="23" t="e">
        <f ca="1">[1]!BexGetData("DP_1","003N8EMH8GTFRCSWKMPXRR8GU","GSON1112031153")</f>
        <v>#NAME?</v>
      </c>
      <c r="D462" s="23" t="e">
        <f ca="1">[1]!BexGetData("DP_1","003N8EMH8GTFRCSWKMPXRRESE","GSON1112031153")</f>
        <v>#NAME?</v>
      </c>
      <c r="E462" s="28" t="e">
        <f ca="1">[1]!BexGetData("DP_1","003N8EMH8GTFRCSWKMPXRRL3Y","GSON1112031153")</f>
        <v>#NAME?</v>
      </c>
      <c r="F462" s="28" t="e">
        <f ca="1">[1]!BexGetData("DP_1","003N8EMH8GTFRCSWKMPXRRRFI","GSON1112031153")</f>
        <v>#NAME?</v>
      </c>
      <c r="G462" s="23" t="e">
        <f ca="1">[1]!BexGetData("DP_1","003N8EMH8GTFRCSWKMPXRRXR2","GSON1112031153")</f>
        <v>#NAME?</v>
      </c>
      <c r="H462" s="23" t="e">
        <f ca="1">[1]!BexGetData("DP_1","003N8EMH8GTFRCSWKMPXRS42M","GSON1112031153")</f>
        <v>#NAME?</v>
      </c>
      <c r="I462" s="28" t="e">
        <f ca="1">[1]!BexGetData("DP_1","003N8EMH8GTFRCSWKMPXRSAE6","GSON1112031153")</f>
        <v>#NAME?</v>
      </c>
      <c r="J462" s="24" t="e">
        <f ca="1">[1]!BexGetData("DP_1","003N8EMH8GTFRCSWKMPXRSGPQ","GSON1112031153")</f>
        <v>#NAME?</v>
      </c>
      <c r="K462" s="28" t="e">
        <f ca="1">[1]!BexGetData("DP_1","003N8EMH8GTFRIVNUPY288VJH","GSON1112031153")</f>
        <v>#NAME?</v>
      </c>
      <c r="L462" s="28" t="e">
        <f ca="1">[1]!BexGetData("DP_1","003N8EMH8GTFRIVNUPY2891V1","GSON1112031153")</f>
        <v>#NAME?</v>
      </c>
      <c r="M462" s="28" t="e">
        <f ca="1">[1]!BexGetData("DP_1","003N8EMH8GTFRIVOG7KG9IQXA","GSON1112031153")</f>
        <v>#NAME?</v>
      </c>
      <c r="N462" s="28" t="e">
        <f ca="1">[1]!BexGetData("DP_1","003N8EMH8GTFRIVOG7KG9IX8U","GSON1112031153")</f>
        <v>#NAME?</v>
      </c>
      <c r="O462" s="28" t="e">
        <f ca="1">[1]!BexGetData("DP_1","003N8EMH8GTFRIVOG7KG9J3KE","GSON1112031153")</f>
        <v>#NAME?</v>
      </c>
      <c r="P462" s="28" t="e">
        <f ca="1">[1]!BexGetData("DP_1","003N8EMH8GTFRIVOG7KG9J9VY","GSON1112031153")</f>
        <v>#NAME?</v>
      </c>
      <c r="Q462" s="24" t="e">
        <f ca="1">[1]!BexGetData("DP_1","00O2TNJGODT0G5Z4TTKYMM5MT","GSON1112031153")</f>
        <v>#NAME?</v>
      </c>
      <c r="R462" s="28" t="e">
        <f ca="1">[1]!BexGetData("DP_1","00O2TNJGODT0G5Z4TTKYMMBYD","GSON1112031153")</f>
        <v>#NAME?</v>
      </c>
      <c r="S462" s="28" t="e">
        <f ca="1">[1]!BexGetData("DP_1","00O2TNJGODT0G5Z4TTKYMMI9X","GSON1112031153")</f>
        <v>#NAME?</v>
      </c>
      <c r="T462" s="28" t="e">
        <f ca="1">[1]!BexGetData("DP_1","00O2TNJGODT0G5Z4TTKYMMOLH","GSON1112031153")</f>
        <v>#NAME?</v>
      </c>
      <c r="U462" s="28" t="e">
        <f ca="1">[1]!BexGetData("DP_1","00O2TNJGODT0G5Z4TTKYMMUX1","GSON1112031153")</f>
        <v>#NAME?</v>
      </c>
      <c r="V462" s="28" t="e">
        <f ca="1">[1]!BexGetData("DP_1","00O2TNJGODT0G5Z4TTKYMN18L","GSON1112031153")</f>
        <v>#NAME?</v>
      </c>
      <c r="W462" s="28" t="e">
        <f ca="1">[1]!BexGetData("DP_1","00O2TNJGODT0G5Z4TTKYMN7K5","GSON1112031153")</f>
        <v>#NAME?</v>
      </c>
    </row>
    <row r="463" spans="1:23" x14ac:dyDescent="0.2">
      <c r="A463" s="36" t="s">
        <v>2362</v>
      </c>
      <c r="B463" s="27" t="s">
        <v>2363</v>
      </c>
      <c r="C463" s="23" t="e">
        <f ca="1">[1]!BexGetData("DP_1","003N8EMH8GTFRCSWKMPXRR8GU","GSON1112031155")</f>
        <v>#NAME?</v>
      </c>
      <c r="D463" s="23" t="e">
        <f ca="1">[1]!BexGetData("DP_1","003N8EMH8GTFRCSWKMPXRRESE","GSON1112031155")</f>
        <v>#NAME?</v>
      </c>
      <c r="E463" s="28" t="e">
        <f ca="1">[1]!BexGetData("DP_1","003N8EMH8GTFRCSWKMPXRRL3Y","GSON1112031155")</f>
        <v>#NAME?</v>
      </c>
      <c r="F463" s="28" t="e">
        <f ca="1">[1]!BexGetData("DP_1","003N8EMH8GTFRCSWKMPXRRRFI","GSON1112031155")</f>
        <v>#NAME?</v>
      </c>
      <c r="G463" s="23" t="e">
        <f ca="1">[1]!BexGetData("DP_1","003N8EMH8GTFRCSWKMPXRRXR2","GSON1112031155")</f>
        <v>#NAME?</v>
      </c>
      <c r="H463" s="23" t="e">
        <f ca="1">[1]!BexGetData("DP_1","003N8EMH8GTFRCSWKMPXRS42M","GSON1112031155")</f>
        <v>#NAME?</v>
      </c>
      <c r="I463" s="28" t="e">
        <f ca="1">[1]!BexGetData("DP_1","003N8EMH8GTFRCSWKMPXRSAE6","GSON1112031155")</f>
        <v>#NAME?</v>
      </c>
      <c r="J463" s="24" t="e">
        <f ca="1">[1]!BexGetData("DP_1","003N8EMH8GTFRCSWKMPXRSGPQ","GSON1112031155")</f>
        <v>#NAME?</v>
      </c>
      <c r="K463" s="28" t="e">
        <f ca="1">[1]!BexGetData("DP_1","003N8EMH8GTFRIVNUPY288VJH","GSON1112031155")</f>
        <v>#NAME?</v>
      </c>
      <c r="L463" s="28" t="e">
        <f ca="1">[1]!BexGetData("DP_1","003N8EMH8GTFRIVNUPY2891V1","GSON1112031155")</f>
        <v>#NAME?</v>
      </c>
      <c r="M463" s="28" t="e">
        <f ca="1">[1]!BexGetData("DP_1","003N8EMH8GTFRIVOG7KG9IQXA","GSON1112031155")</f>
        <v>#NAME?</v>
      </c>
      <c r="N463" s="28" t="e">
        <f ca="1">[1]!BexGetData("DP_1","003N8EMH8GTFRIVOG7KG9IX8U","GSON1112031155")</f>
        <v>#NAME?</v>
      </c>
      <c r="O463" s="28" t="e">
        <f ca="1">[1]!BexGetData("DP_1","003N8EMH8GTFRIVOG7KG9J3KE","GSON1112031155")</f>
        <v>#NAME?</v>
      </c>
      <c r="P463" s="28" t="e">
        <f ca="1">[1]!BexGetData("DP_1","003N8EMH8GTFRIVOG7KG9J9VY","GSON1112031155")</f>
        <v>#NAME?</v>
      </c>
      <c r="Q463" s="24" t="e">
        <f ca="1">[1]!BexGetData("DP_1","00O2TNJGODT0G5Z4TTKYMM5MT","GSON1112031155")</f>
        <v>#NAME?</v>
      </c>
      <c r="R463" s="28" t="e">
        <f ca="1">[1]!BexGetData("DP_1","00O2TNJGODT0G5Z4TTKYMMBYD","GSON1112031155")</f>
        <v>#NAME?</v>
      </c>
      <c r="S463" s="28" t="e">
        <f ca="1">[1]!BexGetData("DP_1","00O2TNJGODT0G5Z4TTKYMMI9X","GSON1112031155")</f>
        <v>#NAME?</v>
      </c>
      <c r="T463" s="28" t="e">
        <f ca="1">[1]!BexGetData("DP_1","00O2TNJGODT0G5Z4TTKYMMOLH","GSON1112031155")</f>
        <v>#NAME?</v>
      </c>
      <c r="U463" s="28" t="e">
        <f ca="1">[1]!BexGetData("DP_1","00O2TNJGODT0G5Z4TTKYMMUX1","GSON1112031155")</f>
        <v>#NAME?</v>
      </c>
      <c r="V463" s="28" t="e">
        <f ca="1">[1]!BexGetData("DP_1","00O2TNJGODT0G5Z4TTKYMN18L","GSON1112031155")</f>
        <v>#NAME?</v>
      </c>
      <c r="W463" s="28" t="e">
        <f ca="1">[1]!BexGetData("DP_1","00O2TNJGODT0G5Z4TTKYMN7K5","GSON1112031155")</f>
        <v>#NAME?</v>
      </c>
    </row>
    <row r="464" spans="1:23" x14ac:dyDescent="0.2">
      <c r="A464" s="36" t="s">
        <v>2364</v>
      </c>
      <c r="B464" s="27" t="s">
        <v>2365</v>
      </c>
      <c r="C464" s="23" t="e">
        <f ca="1">[1]!BexGetData("DP_1","003N8EMH8GTFRCSWKMPXRR8GU","GSON1112031160")</f>
        <v>#NAME?</v>
      </c>
      <c r="D464" s="23" t="e">
        <f ca="1">[1]!BexGetData("DP_1","003N8EMH8GTFRCSWKMPXRRESE","GSON1112031160")</f>
        <v>#NAME?</v>
      </c>
      <c r="E464" s="28" t="e">
        <f ca="1">[1]!BexGetData("DP_1","003N8EMH8GTFRCSWKMPXRRL3Y","GSON1112031160")</f>
        <v>#NAME?</v>
      </c>
      <c r="F464" s="23" t="e">
        <f ca="1">[1]!BexGetData("DP_1","003N8EMH8GTFRCSWKMPXRRRFI","GSON1112031160")</f>
        <v>#NAME?</v>
      </c>
      <c r="G464" s="23" t="e">
        <f ca="1">[1]!BexGetData("DP_1","003N8EMH8GTFRCSWKMPXRRXR2","GSON1112031160")</f>
        <v>#NAME?</v>
      </c>
      <c r="H464" s="23" t="e">
        <f ca="1">[1]!BexGetData("DP_1","003N8EMH8GTFRCSWKMPXRS42M","GSON1112031160")</f>
        <v>#NAME?</v>
      </c>
      <c r="I464" s="23" t="e">
        <f ca="1">[1]!BexGetData("DP_1","003N8EMH8GTFRCSWKMPXRSAE6","GSON1112031160")</f>
        <v>#NAME?</v>
      </c>
      <c r="J464" s="24" t="e">
        <f ca="1">[1]!BexGetData("DP_1","003N8EMH8GTFRCSWKMPXRSGPQ","GSON1112031160")</f>
        <v>#NAME?</v>
      </c>
      <c r="K464" s="23" t="e">
        <f ca="1">[1]!BexGetData("DP_1","003N8EMH8GTFRIVNUPY288VJH","GSON1112031160")</f>
        <v>#NAME?</v>
      </c>
      <c r="L464" s="23" t="e">
        <f ca="1">[1]!BexGetData("DP_1","003N8EMH8GTFRIVNUPY2891V1","GSON1112031160")</f>
        <v>#NAME?</v>
      </c>
      <c r="M464" s="23" t="e">
        <f ca="1">[1]!BexGetData("DP_1","003N8EMH8GTFRIVOG7KG9IQXA","GSON1112031160")</f>
        <v>#NAME?</v>
      </c>
      <c r="N464" s="28" t="e">
        <f ca="1">[1]!BexGetData("DP_1","003N8EMH8GTFRIVOG7KG9IX8U","GSON1112031160")</f>
        <v>#NAME?</v>
      </c>
      <c r="O464" s="23" t="e">
        <f ca="1">[1]!BexGetData("DP_1","003N8EMH8GTFRIVOG7KG9J3KE","GSON1112031160")</f>
        <v>#NAME?</v>
      </c>
      <c r="P464" s="28" t="e">
        <f ca="1">[1]!BexGetData("DP_1","003N8EMH8GTFRIVOG7KG9J9VY","GSON1112031160")</f>
        <v>#NAME?</v>
      </c>
      <c r="Q464" s="24" t="e">
        <f ca="1">[1]!BexGetData("DP_1","00O2TNJGODT0G5Z4TTKYMM5MT","GSON1112031160")</f>
        <v>#NAME?</v>
      </c>
      <c r="R464" s="23" t="e">
        <f ca="1">[1]!BexGetData("DP_1","00O2TNJGODT0G5Z4TTKYMMBYD","GSON1112031160")</f>
        <v>#NAME?</v>
      </c>
      <c r="S464" s="23" t="e">
        <f ca="1">[1]!BexGetData("DP_1","00O2TNJGODT0G5Z4TTKYMMI9X","GSON1112031160")</f>
        <v>#NAME?</v>
      </c>
      <c r="T464" s="28" t="e">
        <f ca="1">[1]!BexGetData("DP_1","00O2TNJGODT0G5Z4TTKYMMOLH","GSON1112031160")</f>
        <v>#NAME?</v>
      </c>
      <c r="U464" s="23" t="e">
        <f ca="1">[1]!BexGetData("DP_1","00O2TNJGODT0G5Z4TTKYMMUX1","GSON1112031160")</f>
        <v>#NAME?</v>
      </c>
      <c r="V464" s="28" t="e">
        <f ca="1">[1]!BexGetData("DP_1","00O2TNJGODT0G5Z4TTKYMN18L","GSON1112031160")</f>
        <v>#NAME?</v>
      </c>
      <c r="W464" s="23" t="e">
        <f ca="1">[1]!BexGetData("DP_1","00O2TNJGODT0G5Z4TTKYMN7K5","GSON1112031160")</f>
        <v>#NAME?</v>
      </c>
    </row>
    <row r="465" spans="1:23" x14ac:dyDescent="0.2">
      <c r="A465" s="36" t="s">
        <v>2366</v>
      </c>
      <c r="B465" s="27" t="s">
        <v>2367</v>
      </c>
      <c r="C465" s="23" t="e">
        <f ca="1">[1]!BexGetData("DP_1","003N8EMH8GTFRCSWKMPXRR8GU","GSON1112031161")</f>
        <v>#NAME?</v>
      </c>
      <c r="D465" s="23" t="e">
        <f ca="1">[1]!BexGetData("DP_1","003N8EMH8GTFRCSWKMPXRRESE","GSON1112031161")</f>
        <v>#NAME?</v>
      </c>
      <c r="E465" s="28" t="e">
        <f ca="1">[1]!BexGetData("DP_1","003N8EMH8GTFRCSWKMPXRRL3Y","GSON1112031161")</f>
        <v>#NAME?</v>
      </c>
      <c r="F465" s="28" t="e">
        <f ca="1">[1]!BexGetData("DP_1","003N8EMH8GTFRCSWKMPXRRRFI","GSON1112031161")</f>
        <v>#NAME?</v>
      </c>
      <c r="G465" s="23" t="e">
        <f ca="1">[1]!BexGetData("DP_1","003N8EMH8GTFRCSWKMPXRRXR2","GSON1112031161")</f>
        <v>#NAME?</v>
      </c>
      <c r="H465" s="23" t="e">
        <f ca="1">[1]!BexGetData("DP_1","003N8EMH8GTFRCSWKMPXRS42M","GSON1112031161")</f>
        <v>#NAME?</v>
      </c>
      <c r="I465" s="28" t="e">
        <f ca="1">[1]!BexGetData("DP_1","003N8EMH8GTFRCSWKMPXRSAE6","GSON1112031161")</f>
        <v>#NAME?</v>
      </c>
      <c r="J465" s="24" t="e">
        <f ca="1">[1]!BexGetData("DP_1","003N8EMH8GTFRCSWKMPXRSGPQ","GSON1112031161")</f>
        <v>#NAME?</v>
      </c>
      <c r="K465" s="28" t="e">
        <f ca="1">[1]!BexGetData("DP_1","003N8EMH8GTFRIVNUPY288VJH","GSON1112031161")</f>
        <v>#NAME?</v>
      </c>
      <c r="L465" s="28" t="e">
        <f ca="1">[1]!BexGetData("DP_1","003N8EMH8GTFRIVNUPY2891V1","GSON1112031161")</f>
        <v>#NAME?</v>
      </c>
      <c r="M465" s="28" t="e">
        <f ca="1">[1]!BexGetData("DP_1","003N8EMH8GTFRIVOG7KG9IQXA","GSON1112031161")</f>
        <v>#NAME?</v>
      </c>
      <c r="N465" s="28" t="e">
        <f ca="1">[1]!BexGetData("DP_1","003N8EMH8GTFRIVOG7KG9IX8U","GSON1112031161")</f>
        <v>#NAME?</v>
      </c>
      <c r="O465" s="28" t="e">
        <f ca="1">[1]!BexGetData("DP_1","003N8EMH8GTFRIVOG7KG9J3KE","GSON1112031161")</f>
        <v>#NAME?</v>
      </c>
      <c r="P465" s="28" t="e">
        <f ca="1">[1]!BexGetData("DP_1","003N8EMH8GTFRIVOG7KG9J9VY","GSON1112031161")</f>
        <v>#NAME?</v>
      </c>
      <c r="Q465" s="24" t="e">
        <f ca="1">[1]!BexGetData("DP_1","00O2TNJGODT0G5Z4TTKYMM5MT","GSON1112031161")</f>
        <v>#NAME?</v>
      </c>
      <c r="R465" s="28" t="e">
        <f ca="1">[1]!BexGetData("DP_1","00O2TNJGODT0G5Z4TTKYMMBYD","GSON1112031161")</f>
        <v>#NAME?</v>
      </c>
      <c r="S465" s="28" t="e">
        <f ca="1">[1]!BexGetData("DP_1","00O2TNJGODT0G5Z4TTKYMMI9X","GSON1112031161")</f>
        <v>#NAME?</v>
      </c>
      <c r="T465" s="28" t="e">
        <f ca="1">[1]!BexGetData("DP_1","00O2TNJGODT0G5Z4TTKYMMOLH","GSON1112031161")</f>
        <v>#NAME?</v>
      </c>
      <c r="U465" s="28" t="e">
        <f ca="1">[1]!BexGetData("DP_1","00O2TNJGODT0G5Z4TTKYMMUX1","GSON1112031161")</f>
        <v>#NAME?</v>
      </c>
      <c r="V465" s="28" t="e">
        <f ca="1">[1]!BexGetData("DP_1","00O2TNJGODT0G5Z4TTKYMN18L","GSON1112031161")</f>
        <v>#NAME?</v>
      </c>
      <c r="W465" s="28" t="e">
        <f ca="1">[1]!BexGetData("DP_1","00O2TNJGODT0G5Z4TTKYMN7K5","GSON1112031161")</f>
        <v>#NAME?</v>
      </c>
    </row>
    <row r="466" spans="1:23" x14ac:dyDescent="0.2">
      <c r="A466" s="36" t="s">
        <v>2368</v>
      </c>
      <c r="B466" s="27" t="s">
        <v>2369</v>
      </c>
      <c r="C466" s="23" t="e">
        <f ca="1">[1]!BexGetData("DP_1","003N8EMH8GTFRCSWKMPXRR8GU","GSON1112031163")</f>
        <v>#NAME?</v>
      </c>
      <c r="D466" s="23" t="e">
        <f ca="1">[1]!BexGetData("DP_1","003N8EMH8GTFRCSWKMPXRRESE","GSON1112031163")</f>
        <v>#NAME?</v>
      </c>
      <c r="E466" s="28" t="e">
        <f ca="1">[1]!BexGetData("DP_1","003N8EMH8GTFRCSWKMPXRRL3Y","GSON1112031163")</f>
        <v>#NAME?</v>
      </c>
      <c r="F466" s="28" t="e">
        <f ca="1">[1]!BexGetData("DP_1","003N8EMH8GTFRCSWKMPXRRRFI","GSON1112031163")</f>
        <v>#NAME?</v>
      </c>
      <c r="G466" s="23" t="e">
        <f ca="1">[1]!BexGetData("DP_1","003N8EMH8GTFRCSWKMPXRRXR2","GSON1112031163")</f>
        <v>#NAME?</v>
      </c>
      <c r="H466" s="23" t="e">
        <f ca="1">[1]!BexGetData("DP_1","003N8EMH8GTFRCSWKMPXRS42M","GSON1112031163")</f>
        <v>#NAME?</v>
      </c>
      <c r="I466" s="28" t="e">
        <f ca="1">[1]!BexGetData("DP_1","003N8EMH8GTFRCSWKMPXRSAE6","GSON1112031163")</f>
        <v>#NAME?</v>
      </c>
      <c r="J466" s="24" t="e">
        <f ca="1">[1]!BexGetData("DP_1","003N8EMH8GTFRCSWKMPXRSGPQ","GSON1112031163")</f>
        <v>#NAME?</v>
      </c>
      <c r="K466" s="28" t="e">
        <f ca="1">[1]!BexGetData("DP_1","003N8EMH8GTFRIVNUPY288VJH","GSON1112031163")</f>
        <v>#NAME?</v>
      </c>
      <c r="L466" s="28" t="e">
        <f ca="1">[1]!BexGetData("DP_1","003N8EMH8GTFRIVNUPY2891V1","GSON1112031163")</f>
        <v>#NAME?</v>
      </c>
      <c r="M466" s="28" t="e">
        <f ca="1">[1]!BexGetData("DP_1","003N8EMH8GTFRIVOG7KG9IQXA","GSON1112031163")</f>
        <v>#NAME?</v>
      </c>
      <c r="N466" s="28" t="e">
        <f ca="1">[1]!BexGetData("DP_1","003N8EMH8GTFRIVOG7KG9IX8U","GSON1112031163")</f>
        <v>#NAME?</v>
      </c>
      <c r="O466" s="28" t="e">
        <f ca="1">[1]!BexGetData("DP_1","003N8EMH8GTFRIVOG7KG9J3KE","GSON1112031163")</f>
        <v>#NAME?</v>
      </c>
      <c r="P466" s="28" t="e">
        <f ca="1">[1]!BexGetData("DP_1","003N8EMH8GTFRIVOG7KG9J9VY","GSON1112031163")</f>
        <v>#NAME?</v>
      </c>
      <c r="Q466" s="24" t="e">
        <f ca="1">[1]!BexGetData("DP_1","00O2TNJGODT0G5Z4TTKYMM5MT","GSON1112031163")</f>
        <v>#NAME?</v>
      </c>
      <c r="R466" s="28" t="e">
        <f ca="1">[1]!BexGetData("DP_1","00O2TNJGODT0G5Z4TTKYMMBYD","GSON1112031163")</f>
        <v>#NAME?</v>
      </c>
      <c r="S466" s="28" t="e">
        <f ca="1">[1]!BexGetData("DP_1","00O2TNJGODT0G5Z4TTKYMMI9X","GSON1112031163")</f>
        <v>#NAME?</v>
      </c>
      <c r="T466" s="28" t="e">
        <f ca="1">[1]!BexGetData("DP_1","00O2TNJGODT0G5Z4TTKYMMOLH","GSON1112031163")</f>
        <v>#NAME?</v>
      </c>
      <c r="U466" s="28" t="e">
        <f ca="1">[1]!BexGetData("DP_1","00O2TNJGODT0G5Z4TTKYMMUX1","GSON1112031163")</f>
        <v>#NAME?</v>
      </c>
      <c r="V466" s="28" t="e">
        <f ca="1">[1]!BexGetData("DP_1","00O2TNJGODT0G5Z4TTKYMN18L","GSON1112031163")</f>
        <v>#NAME?</v>
      </c>
      <c r="W466" s="28" t="e">
        <f ca="1">[1]!BexGetData("DP_1","00O2TNJGODT0G5Z4TTKYMN7K5","GSON1112031163")</f>
        <v>#NAME?</v>
      </c>
    </row>
    <row r="467" spans="1:23" x14ac:dyDescent="0.2">
      <c r="A467" s="36" t="s">
        <v>2370</v>
      </c>
      <c r="B467" s="27" t="s">
        <v>2371</v>
      </c>
      <c r="C467" s="23" t="e">
        <f ca="1">[1]!BexGetData("DP_1","003N8EMH8GTFRCSWKMPXRR8GU","GSON1112031165")</f>
        <v>#NAME?</v>
      </c>
      <c r="D467" s="23" t="e">
        <f ca="1">[1]!BexGetData("DP_1","003N8EMH8GTFRCSWKMPXRRESE","GSON1112031165")</f>
        <v>#NAME?</v>
      </c>
      <c r="E467" s="28" t="e">
        <f ca="1">[1]!BexGetData("DP_1","003N8EMH8GTFRCSWKMPXRRL3Y","GSON1112031165")</f>
        <v>#NAME?</v>
      </c>
      <c r="F467" s="28" t="e">
        <f ca="1">[1]!BexGetData("DP_1","003N8EMH8GTFRCSWKMPXRRRFI","GSON1112031165")</f>
        <v>#NAME?</v>
      </c>
      <c r="G467" s="23" t="e">
        <f ca="1">[1]!BexGetData("DP_1","003N8EMH8GTFRCSWKMPXRRXR2","GSON1112031165")</f>
        <v>#NAME?</v>
      </c>
      <c r="H467" s="23" t="e">
        <f ca="1">[1]!BexGetData("DP_1","003N8EMH8GTFRCSWKMPXRS42M","GSON1112031165")</f>
        <v>#NAME?</v>
      </c>
      <c r="I467" s="28" t="e">
        <f ca="1">[1]!BexGetData("DP_1","003N8EMH8GTFRCSWKMPXRSAE6","GSON1112031165")</f>
        <v>#NAME?</v>
      </c>
      <c r="J467" s="24" t="e">
        <f ca="1">[1]!BexGetData("DP_1","003N8EMH8GTFRCSWKMPXRSGPQ","GSON1112031165")</f>
        <v>#NAME?</v>
      </c>
      <c r="K467" s="28" t="e">
        <f ca="1">[1]!BexGetData("DP_1","003N8EMH8GTFRIVNUPY288VJH","GSON1112031165")</f>
        <v>#NAME?</v>
      </c>
      <c r="L467" s="28" t="e">
        <f ca="1">[1]!BexGetData("DP_1","003N8EMH8GTFRIVNUPY2891V1","GSON1112031165")</f>
        <v>#NAME?</v>
      </c>
      <c r="M467" s="28" t="e">
        <f ca="1">[1]!BexGetData("DP_1","003N8EMH8GTFRIVOG7KG9IQXA","GSON1112031165")</f>
        <v>#NAME?</v>
      </c>
      <c r="N467" s="28" t="e">
        <f ca="1">[1]!BexGetData("DP_1","003N8EMH8GTFRIVOG7KG9IX8U","GSON1112031165")</f>
        <v>#NAME?</v>
      </c>
      <c r="O467" s="28" t="e">
        <f ca="1">[1]!BexGetData("DP_1","003N8EMH8GTFRIVOG7KG9J3KE","GSON1112031165")</f>
        <v>#NAME?</v>
      </c>
      <c r="P467" s="28" t="e">
        <f ca="1">[1]!BexGetData("DP_1","003N8EMH8GTFRIVOG7KG9J9VY","GSON1112031165")</f>
        <v>#NAME?</v>
      </c>
      <c r="Q467" s="24" t="e">
        <f ca="1">[1]!BexGetData("DP_1","00O2TNJGODT0G5Z4TTKYMM5MT","GSON1112031165")</f>
        <v>#NAME?</v>
      </c>
      <c r="R467" s="28" t="e">
        <f ca="1">[1]!BexGetData("DP_1","00O2TNJGODT0G5Z4TTKYMMBYD","GSON1112031165")</f>
        <v>#NAME?</v>
      </c>
      <c r="S467" s="28" t="e">
        <f ca="1">[1]!BexGetData("DP_1","00O2TNJGODT0G5Z4TTKYMMI9X","GSON1112031165")</f>
        <v>#NAME?</v>
      </c>
      <c r="T467" s="28" t="e">
        <f ca="1">[1]!BexGetData("DP_1","00O2TNJGODT0G5Z4TTKYMMOLH","GSON1112031165")</f>
        <v>#NAME?</v>
      </c>
      <c r="U467" s="28" t="e">
        <f ca="1">[1]!BexGetData("DP_1","00O2TNJGODT0G5Z4TTKYMMUX1","GSON1112031165")</f>
        <v>#NAME?</v>
      </c>
      <c r="V467" s="28" t="e">
        <f ca="1">[1]!BexGetData("DP_1","00O2TNJGODT0G5Z4TTKYMN18L","GSON1112031165")</f>
        <v>#NAME?</v>
      </c>
      <c r="W467" s="28" t="e">
        <f ca="1">[1]!BexGetData("DP_1","00O2TNJGODT0G5Z4TTKYMN7K5","GSON1112031165")</f>
        <v>#NAME?</v>
      </c>
    </row>
    <row r="468" spans="1:23" x14ac:dyDescent="0.2">
      <c r="A468" s="36" t="s">
        <v>1657</v>
      </c>
      <c r="B468" s="27" t="s">
        <v>1658</v>
      </c>
      <c r="C468" s="23" t="e">
        <f ca="1">[1]!BexGetData("DP_1","003N8EMH8GTFRCSWKMPXRR8GU","GSON1112031170")</f>
        <v>#NAME?</v>
      </c>
      <c r="D468" s="23" t="e">
        <f ca="1">[1]!BexGetData("DP_1","003N8EMH8GTFRCSWKMPXRRESE","GSON1112031170")</f>
        <v>#NAME?</v>
      </c>
      <c r="E468" s="28" t="e">
        <f ca="1">[1]!BexGetData("DP_1","003N8EMH8GTFRCSWKMPXRRL3Y","GSON1112031170")</f>
        <v>#NAME?</v>
      </c>
      <c r="F468" s="23" t="e">
        <f ca="1">[1]!BexGetData("DP_1","003N8EMH8GTFRCSWKMPXRRRFI","GSON1112031170")</f>
        <v>#NAME?</v>
      </c>
      <c r="G468" s="23" t="e">
        <f ca="1">[1]!BexGetData("DP_1","003N8EMH8GTFRCSWKMPXRRXR2","GSON1112031170")</f>
        <v>#NAME?</v>
      </c>
      <c r="H468" s="23" t="e">
        <f ca="1">[1]!BexGetData("DP_1","003N8EMH8GTFRCSWKMPXRS42M","GSON1112031170")</f>
        <v>#NAME?</v>
      </c>
      <c r="I468" s="23" t="e">
        <f ca="1">[1]!BexGetData("DP_1","003N8EMH8GTFRCSWKMPXRSAE6","GSON1112031170")</f>
        <v>#NAME?</v>
      </c>
      <c r="J468" s="24" t="e">
        <f ca="1">[1]!BexGetData("DP_1","003N8EMH8GTFRCSWKMPXRSGPQ","GSON1112031170")</f>
        <v>#NAME?</v>
      </c>
      <c r="K468" s="23" t="e">
        <f ca="1">[1]!BexGetData("DP_1","003N8EMH8GTFRIVNUPY288VJH","GSON1112031170")</f>
        <v>#NAME?</v>
      </c>
      <c r="L468" s="23" t="e">
        <f ca="1">[1]!BexGetData("DP_1","003N8EMH8GTFRIVNUPY2891V1","GSON1112031170")</f>
        <v>#NAME?</v>
      </c>
      <c r="M468" s="23" t="e">
        <f ca="1">[1]!BexGetData("DP_1","003N8EMH8GTFRIVOG7KG9IQXA","GSON1112031170")</f>
        <v>#NAME?</v>
      </c>
      <c r="N468" s="28" t="e">
        <f ca="1">[1]!BexGetData("DP_1","003N8EMH8GTFRIVOG7KG9IX8U","GSON1112031170")</f>
        <v>#NAME?</v>
      </c>
      <c r="O468" s="23" t="e">
        <f ca="1">[1]!BexGetData("DP_1","003N8EMH8GTFRIVOG7KG9J3KE","GSON1112031170")</f>
        <v>#NAME?</v>
      </c>
      <c r="P468" s="28" t="e">
        <f ca="1">[1]!BexGetData("DP_1","003N8EMH8GTFRIVOG7KG9J9VY","GSON1112031170")</f>
        <v>#NAME?</v>
      </c>
      <c r="Q468" s="24" t="e">
        <f ca="1">[1]!BexGetData("DP_1","00O2TNJGODT0G5Z4TTKYMM5MT","GSON1112031170")</f>
        <v>#NAME?</v>
      </c>
      <c r="R468" s="23" t="e">
        <f ca="1">[1]!BexGetData("DP_1","00O2TNJGODT0G5Z4TTKYMMBYD","GSON1112031170")</f>
        <v>#NAME?</v>
      </c>
      <c r="S468" s="23" t="e">
        <f ca="1">[1]!BexGetData("DP_1","00O2TNJGODT0G5Z4TTKYMMI9X","GSON1112031170")</f>
        <v>#NAME?</v>
      </c>
      <c r="T468" s="28" t="e">
        <f ca="1">[1]!BexGetData("DP_1","00O2TNJGODT0G5Z4TTKYMMOLH","GSON1112031170")</f>
        <v>#NAME?</v>
      </c>
      <c r="U468" s="23" t="e">
        <f ca="1">[1]!BexGetData("DP_1","00O2TNJGODT0G5Z4TTKYMMUX1","GSON1112031170")</f>
        <v>#NAME?</v>
      </c>
      <c r="V468" s="28" t="e">
        <f ca="1">[1]!BexGetData("DP_1","00O2TNJGODT0G5Z4TTKYMN18L","GSON1112031170")</f>
        <v>#NAME?</v>
      </c>
      <c r="W468" s="23" t="e">
        <f ca="1">[1]!BexGetData("DP_1","00O2TNJGODT0G5Z4TTKYMN7K5","GSON1112031170")</f>
        <v>#NAME?</v>
      </c>
    </row>
    <row r="469" spans="1:23" x14ac:dyDescent="0.2">
      <c r="A469" s="36" t="s">
        <v>2372</v>
      </c>
      <c r="B469" s="27" t="s">
        <v>2373</v>
      </c>
      <c r="C469" s="28" t="e">
        <f ca="1">[1]!BexGetData("DP_1","003N8EMH8GTFRCSWKMPXRR8GU","GSON1112031171")</f>
        <v>#NAME?</v>
      </c>
      <c r="D469" s="28" t="e">
        <f ca="1">[1]!BexGetData("DP_1","003N8EMH8GTFRCSWKMPXRRESE","GSON1112031171")</f>
        <v>#NAME?</v>
      </c>
      <c r="E469" s="28" t="e">
        <f ca="1">[1]!BexGetData("DP_1","003N8EMH8GTFRCSWKMPXRRL3Y","GSON1112031171")</f>
        <v>#NAME?</v>
      </c>
      <c r="F469" s="28" t="e">
        <f ca="1">[1]!BexGetData("DP_1","003N8EMH8GTFRCSWKMPXRRRFI","GSON1112031171")</f>
        <v>#NAME?</v>
      </c>
      <c r="G469" s="23" t="e">
        <f ca="1">[1]!BexGetData("DP_1","003N8EMH8GTFRCSWKMPXRRXR2","GSON1112031171")</f>
        <v>#NAME?</v>
      </c>
      <c r="H469" s="23" t="e">
        <f ca="1">[1]!BexGetData("DP_1","003N8EMH8GTFRCSWKMPXRS42M","GSON1112031171")</f>
        <v>#NAME?</v>
      </c>
      <c r="I469" s="28" t="e">
        <f ca="1">[1]!BexGetData("DP_1","003N8EMH8GTFRCSWKMPXRSAE6","GSON1112031171")</f>
        <v>#NAME?</v>
      </c>
      <c r="J469" s="24" t="e">
        <f ca="1">[1]!BexGetData("DP_1","003N8EMH8GTFRCSWKMPXRSGPQ","GSON1112031171")</f>
        <v>#NAME?</v>
      </c>
      <c r="K469" s="28" t="e">
        <f ca="1">[1]!BexGetData("DP_1","003N8EMH8GTFRIVNUPY288VJH","GSON1112031171")</f>
        <v>#NAME?</v>
      </c>
      <c r="L469" s="28" t="e">
        <f ca="1">[1]!BexGetData("DP_1","003N8EMH8GTFRIVNUPY2891V1","GSON1112031171")</f>
        <v>#NAME?</v>
      </c>
      <c r="M469" s="28" t="e">
        <f ca="1">[1]!BexGetData("DP_1","003N8EMH8GTFRIVOG7KG9IQXA","GSON1112031171")</f>
        <v>#NAME?</v>
      </c>
      <c r="N469" s="28" t="e">
        <f ca="1">[1]!BexGetData("DP_1","003N8EMH8GTFRIVOG7KG9IX8U","GSON1112031171")</f>
        <v>#NAME?</v>
      </c>
      <c r="O469" s="28" t="e">
        <f ca="1">[1]!BexGetData("DP_1","003N8EMH8GTFRIVOG7KG9J3KE","GSON1112031171")</f>
        <v>#NAME?</v>
      </c>
      <c r="P469" s="28" t="e">
        <f ca="1">[1]!BexGetData("DP_1","003N8EMH8GTFRIVOG7KG9J9VY","GSON1112031171")</f>
        <v>#NAME?</v>
      </c>
      <c r="Q469" s="24" t="e">
        <f ca="1">[1]!BexGetData("DP_1","00O2TNJGODT0G5Z4TTKYMM5MT","GSON1112031171")</f>
        <v>#NAME?</v>
      </c>
      <c r="R469" s="28" t="e">
        <f ca="1">[1]!BexGetData("DP_1","00O2TNJGODT0G5Z4TTKYMMBYD","GSON1112031171")</f>
        <v>#NAME?</v>
      </c>
      <c r="S469" s="28" t="e">
        <f ca="1">[1]!BexGetData("DP_1","00O2TNJGODT0G5Z4TTKYMMI9X","GSON1112031171")</f>
        <v>#NAME?</v>
      </c>
      <c r="T469" s="28" t="e">
        <f ca="1">[1]!BexGetData("DP_1","00O2TNJGODT0G5Z4TTKYMMOLH","GSON1112031171")</f>
        <v>#NAME?</v>
      </c>
      <c r="U469" s="28" t="e">
        <f ca="1">[1]!BexGetData("DP_1","00O2TNJGODT0G5Z4TTKYMMUX1","GSON1112031171")</f>
        <v>#NAME?</v>
      </c>
      <c r="V469" s="28" t="e">
        <f ca="1">[1]!BexGetData("DP_1","00O2TNJGODT0G5Z4TTKYMN18L","GSON1112031171")</f>
        <v>#NAME?</v>
      </c>
      <c r="W469" s="28" t="e">
        <f ca="1">[1]!BexGetData("DP_1","00O2TNJGODT0G5Z4TTKYMN7K5","GSON1112031171")</f>
        <v>#NAME?</v>
      </c>
    </row>
    <row r="470" spans="1:23" x14ac:dyDescent="0.2">
      <c r="A470" s="36" t="s">
        <v>1659</v>
      </c>
      <c r="B470" s="27" t="s">
        <v>1660</v>
      </c>
      <c r="C470" s="23" t="e">
        <f ca="1">[1]!BexGetData("DP_1","003N8EMH8GTFRCSWKMPXRR8GU","GSON1112031173")</f>
        <v>#NAME?</v>
      </c>
      <c r="D470" s="23" t="e">
        <f ca="1">[1]!BexGetData("DP_1","003N8EMH8GTFRCSWKMPXRRESE","GSON1112031173")</f>
        <v>#NAME?</v>
      </c>
      <c r="E470" s="28" t="e">
        <f ca="1">[1]!BexGetData("DP_1","003N8EMH8GTFRCSWKMPXRRL3Y","GSON1112031173")</f>
        <v>#NAME?</v>
      </c>
      <c r="F470" s="28" t="e">
        <f ca="1">[1]!BexGetData("DP_1","003N8EMH8GTFRCSWKMPXRRRFI","GSON1112031173")</f>
        <v>#NAME?</v>
      </c>
      <c r="G470" s="23" t="e">
        <f ca="1">[1]!BexGetData("DP_1","003N8EMH8GTFRCSWKMPXRRXR2","GSON1112031173")</f>
        <v>#NAME?</v>
      </c>
      <c r="H470" s="23" t="e">
        <f ca="1">[1]!BexGetData("DP_1","003N8EMH8GTFRCSWKMPXRS42M","GSON1112031173")</f>
        <v>#NAME?</v>
      </c>
      <c r="I470" s="28" t="e">
        <f ca="1">[1]!BexGetData("DP_1","003N8EMH8GTFRCSWKMPXRSAE6","GSON1112031173")</f>
        <v>#NAME?</v>
      </c>
      <c r="J470" s="24" t="e">
        <f ca="1">[1]!BexGetData("DP_1","003N8EMH8GTFRCSWKMPXRSGPQ","GSON1112031173")</f>
        <v>#NAME?</v>
      </c>
      <c r="K470" s="28" t="e">
        <f ca="1">[1]!BexGetData("DP_1","003N8EMH8GTFRIVNUPY288VJH","GSON1112031173")</f>
        <v>#NAME?</v>
      </c>
      <c r="L470" s="28" t="e">
        <f ca="1">[1]!BexGetData("DP_1","003N8EMH8GTFRIVNUPY2891V1","GSON1112031173")</f>
        <v>#NAME?</v>
      </c>
      <c r="M470" s="28" t="e">
        <f ca="1">[1]!BexGetData("DP_1","003N8EMH8GTFRIVOG7KG9IQXA","GSON1112031173")</f>
        <v>#NAME?</v>
      </c>
      <c r="N470" s="28" t="e">
        <f ca="1">[1]!BexGetData("DP_1","003N8EMH8GTFRIVOG7KG9IX8U","GSON1112031173")</f>
        <v>#NAME?</v>
      </c>
      <c r="O470" s="28" t="e">
        <f ca="1">[1]!BexGetData("DP_1","003N8EMH8GTFRIVOG7KG9J3KE","GSON1112031173")</f>
        <v>#NAME?</v>
      </c>
      <c r="P470" s="28" t="e">
        <f ca="1">[1]!BexGetData("DP_1","003N8EMH8GTFRIVOG7KG9J9VY","GSON1112031173")</f>
        <v>#NAME?</v>
      </c>
      <c r="Q470" s="24" t="e">
        <f ca="1">[1]!BexGetData("DP_1","00O2TNJGODT0G5Z4TTKYMM5MT","GSON1112031173")</f>
        <v>#NAME?</v>
      </c>
      <c r="R470" s="28" t="e">
        <f ca="1">[1]!BexGetData("DP_1","00O2TNJGODT0G5Z4TTKYMMBYD","GSON1112031173")</f>
        <v>#NAME?</v>
      </c>
      <c r="S470" s="28" t="e">
        <f ca="1">[1]!BexGetData("DP_1","00O2TNJGODT0G5Z4TTKYMMI9X","GSON1112031173")</f>
        <v>#NAME?</v>
      </c>
      <c r="T470" s="28" t="e">
        <f ca="1">[1]!BexGetData("DP_1","00O2TNJGODT0G5Z4TTKYMMOLH","GSON1112031173")</f>
        <v>#NAME?</v>
      </c>
      <c r="U470" s="28" t="e">
        <f ca="1">[1]!BexGetData("DP_1","00O2TNJGODT0G5Z4TTKYMMUX1","GSON1112031173")</f>
        <v>#NAME?</v>
      </c>
      <c r="V470" s="28" t="e">
        <f ca="1">[1]!BexGetData("DP_1","00O2TNJGODT0G5Z4TTKYMN18L","GSON1112031173")</f>
        <v>#NAME?</v>
      </c>
      <c r="W470" s="28" t="e">
        <f ca="1">[1]!BexGetData("DP_1","00O2TNJGODT0G5Z4TTKYMN7K5","GSON1112031173")</f>
        <v>#NAME?</v>
      </c>
    </row>
    <row r="471" spans="1:23" x14ac:dyDescent="0.2">
      <c r="A471" s="36" t="s">
        <v>2374</v>
      </c>
      <c r="B471" s="27" t="s">
        <v>2375</v>
      </c>
      <c r="C471" s="23" t="e">
        <f ca="1">[1]!BexGetData("DP_1","003N8EMH8GTFRCSWKMPXRR8GU","GSON1112031175")</f>
        <v>#NAME?</v>
      </c>
      <c r="D471" s="23" t="e">
        <f ca="1">[1]!BexGetData("DP_1","003N8EMH8GTFRCSWKMPXRRESE","GSON1112031175")</f>
        <v>#NAME?</v>
      </c>
      <c r="E471" s="28" t="e">
        <f ca="1">[1]!BexGetData("DP_1","003N8EMH8GTFRCSWKMPXRRL3Y","GSON1112031175")</f>
        <v>#NAME?</v>
      </c>
      <c r="F471" s="28" t="e">
        <f ca="1">[1]!BexGetData("DP_1","003N8EMH8GTFRCSWKMPXRRRFI","GSON1112031175")</f>
        <v>#NAME?</v>
      </c>
      <c r="G471" s="23" t="e">
        <f ca="1">[1]!BexGetData("DP_1","003N8EMH8GTFRCSWKMPXRRXR2","GSON1112031175")</f>
        <v>#NAME?</v>
      </c>
      <c r="H471" s="23" t="e">
        <f ca="1">[1]!BexGetData("DP_1","003N8EMH8GTFRCSWKMPXRS42M","GSON1112031175")</f>
        <v>#NAME?</v>
      </c>
      <c r="I471" s="28" t="e">
        <f ca="1">[1]!BexGetData("DP_1","003N8EMH8GTFRCSWKMPXRSAE6","GSON1112031175")</f>
        <v>#NAME?</v>
      </c>
      <c r="J471" s="24" t="e">
        <f ca="1">[1]!BexGetData("DP_1","003N8EMH8GTFRCSWKMPXRSGPQ","GSON1112031175")</f>
        <v>#NAME?</v>
      </c>
      <c r="K471" s="28" t="e">
        <f ca="1">[1]!BexGetData("DP_1","003N8EMH8GTFRIVNUPY288VJH","GSON1112031175")</f>
        <v>#NAME?</v>
      </c>
      <c r="L471" s="28" t="e">
        <f ca="1">[1]!BexGetData("DP_1","003N8EMH8GTFRIVNUPY2891V1","GSON1112031175")</f>
        <v>#NAME?</v>
      </c>
      <c r="M471" s="28" t="e">
        <f ca="1">[1]!BexGetData("DP_1","003N8EMH8GTFRIVOG7KG9IQXA","GSON1112031175")</f>
        <v>#NAME?</v>
      </c>
      <c r="N471" s="28" t="e">
        <f ca="1">[1]!BexGetData("DP_1","003N8EMH8GTFRIVOG7KG9IX8U","GSON1112031175")</f>
        <v>#NAME?</v>
      </c>
      <c r="O471" s="28" t="e">
        <f ca="1">[1]!BexGetData("DP_1","003N8EMH8GTFRIVOG7KG9J3KE","GSON1112031175")</f>
        <v>#NAME?</v>
      </c>
      <c r="P471" s="28" t="e">
        <f ca="1">[1]!BexGetData("DP_1","003N8EMH8GTFRIVOG7KG9J9VY","GSON1112031175")</f>
        <v>#NAME?</v>
      </c>
      <c r="Q471" s="24" t="e">
        <f ca="1">[1]!BexGetData("DP_1","00O2TNJGODT0G5Z4TTKYMM5MT","GSON1112031175")</f>
        <v>#NAME?</v>
      </c>
      <c r="R471" s="28" t="e">
        <f ca="1">[1]!BexGetData("DP_1","00O2TNJGODT0G5Z4TTKYMMBYD","GSON1112031175")</f>
        <v>#NAME?</v>
      </c>
      <c r="S471" s="28" t="e">
        <f ca="1">[1]!BexGetData("DP_1","00O2TNJGODT0G5Z4TTKYMMI9X","GSON1112031175")</f>
        <v>#NAME?</v>
      </c>
      <c r="T471" s="28" t="e">
        <f ca="1">[1]!BexGetData("DP_1","00O2TNJGODT0G5Z4TTKYMMOLH","GSON1112031175")</f>
        <v>#NAME?</v>
      </c>
      <c r="U471" s="28" t="e">
        <f ca="1">[1]!BexGetData("DP_1","00O2TNJGODT0G5Z4TTKYMMUX1","GSON1112031175")</f>
        <v>#NAME?</v>
      </c>
      <c r="V471" s="28" t="e">
        <f ca="1">[1]!BexGetData("DP_1","00O2TNJGODT0G5Z4TTKYMN18L","GSON1112031175")</f>
        <v>#NAME?</v>
      </c>
      <c r="W471" s="28" t="e">
        <f ca="1">[1]!BexGetData("DP_1","00O2TNJGODT0G5Z4TTKYMN7K5","GSON1112031175")</f>
        <v>#NAME?</v>
      </c>
    </row>
    <row r="472" spans="1:23" x14ac:dyDescent="0.2">
      <c r="A472" s="36" t="s">
        <v>2376</v>
      </c>
      <c r="B472" s="27" t="s">
        <v>2377</v>
      </c>
      <c r="C472" s="23" t="e">
        <f ca="1">[1]!BexGetData("DP_1","003N8EMH8GTFRCSWKMPXRR8GU","GSON1112031180")</f>
        <v>#NAME?</v>
      </c>
      <c r="D472" s="23" t="e">
        <f ca="1">[1]!BexGetData("DP_1","003N8EMH8GTFRCSWKMPXRRESE","GSON1112031180")</f>
        <v>#NAME?</v>
      </c>
      <c r="E472" s="23" t="e">
        <f ca="1">[1]!BexGetData("DP_1","003N8EMH8GTFRCSWKMPXRRL3Y","GSON1112031180")</f>
        <v>#NAME?</v>
      </c>
      <c r="F472" s="23" t="e">
        <f ca="1">[1]!BexGetData("DP_1","003N8EMH8GTFRCSWKMPXRRRFI","GSON1112031180")</f>
        <v>#NAME?</v>
      </c>
      <c r="G472" s="23" t="e">
        <f ca="1">[1]!BexGetData("DP_1","003N8EMH8GTFRCSWKMPXRRXR2","GSON1112031180")</f>
        <v>#NAME?</v>
      </c>
      <c r="H472" s="23" t="e">
        <f ca="1">[1]!BexGetData("DP_1","003N8EMH8GTFRCSWKMPXRS42M","GSON1112031180")</f>
        <v>#NAME?</v>
      </c>
      <c r="I472" s="23" t="e">
        <f ca="1">[1]!BexGetData("DP_1","003N8EMH8GTFRCSWKMPXRSAE6","GSON1112031180")</f>
        <v>#NAME?</v>
      </c>
      <c r="J472" s="24" t="e">
        <f ca="1">[1]!BexGetData("DP_1","003N8EMH8GTFRCSWKMPXRSGPQ","GSON1112031180")</f>
        <v>#NAME?</v>
      </c>
      <c r="K472" s="23" t="e">
        <f ca="1">[1]!BexGetData("DP_1","003N8EMH8GTFRIVNUPY288VJH","GSON1112031180")</f>
        <v>#NAME?</v>
      </c>
      <c r="L472" s="23" t="e">
        <f ca="1">[1]!BexGetData("DP_1","003N8EMH8GTFRIVNUPY2891V1","GSON1112031180")</f>
        <v>#NAME?</v>
      </c>
      <c r="M472" s="23" t="e">
        <f ca="1">[1]!BexGetData("DP_1","003N8EMH8GTFRIVOG7KG9IQXA","GSON1112031180")</f>
        <v>#NAME?</v>
      </c>
      <c r="N472" s="28" t="e">
        <f ca="1">[1]!BexGetData("DP_1","003N8EMH8GTFRIVOG7KG9IX8U","GSON1112031180")</f>
        <v>#NAME?</v>
      </c>
      <c r="O472" s="23" t="e">
        <f ca="1">[1]!BexGetData("DP_1","003N8EMH8GTFRIVOG7KG9J3KE","GSON1112031180")</f>
        <v>#NAME?</v>
      </c>
      <c r="P472" s="28" t="e">
        <f ca="1">[1]!BexGetData("DP_1","003N8EMH8GTFRIVOG7KG9J9VY","GSON1112031180")</f>
        <v>#NAME?</v>
      </c>
      <c r="Q472" s="24" t="e">
        <f ca="1">[1]!BexGetData("DP_1","00O2TNJGODT0G5Z4TTKYMM5MT","GSON1112031180")</f>
        <v>#NAME?</v>
      </c>
      <c r="R472" s="23" t="e">
        <f ca="1">[1]!BexGetData("DP_1","00O2TNJGODT0G5Z4TTKYMMBYD","GSON1112031180")</f>
        <v>#NAME?</v>
      </c>
      <c r="S472" s="23" t="e">
        <f ca="1">[1]!BexGetData("DP_1","00O2TNJGODT0G5Z4TTKYMMI9X","GSON1112031180")</f>
        <v>#NAME?</v>
      </c>
      <c r="T472" s="28" t="e">
        <f ca="1">[1]!BexGetData("DP_1","00O2TNJGODT0G5Z4TTKYMMOLH","GSON1112031180")</f>
        <v>#NAME?</v>
      </c>
      <c r="U472" s="23" t="e">
        <f ca="1">[1]!BexGetData("DP_1","00O2TNJGODT0G5Z4TTKYMMUX1","GSON1112031180")</f>
        <v>#NAME?</v>
      </c>
      <c r="V472" s="28" t="e">
        <f ca="1">[1]!BexGetData("DP_1","00O2TNJGODT0G5Z4TTKYMN18L","GSON1112031180")</f>
        <v>#NAME?</v>
      </c>
      <c r="W472" s="23" t="e">
        <f ca="1">[1]!BexGetData("DP_1","00O2TNJGODT0G5Z4TTKYMN7K5","GSON1112031180")</f>
        <v>#NAME?</v>
      </c>
    </row>
    <row r="473" spans="1:23" x14ac:dyDescent="0.2">
      <c r="A473" s="36" t="s">
        <v>2378</v>
      </c>
      <c r="B473" s="27" t="s">
        <v>2379</v>
      </c>
      <c r="C473" s="28" t="e">
        <f ca="1">[1]!BexGetData("DP_1","003N8EMH8GTFRCSWKMPXRR8GU","GSON1112031181")</f>
        <v>#NAME?</v>
      </c>
      <c r="D473" s="28" t="e">
        <f ca="1">[1]!BexGetData("DP_1","003N8EMH8GTFRCSWKMPXRRESE","GSON1112031181")</f>
        <v>#NAME?</v>
      </c>
      <c r="E473" s="28" t="e">
        <f ca="1">[1]!BexGetData("DP_1","003N8EMH8GTFRCSWKMPXRRL3Y","GSON1112031181")</f>
        <v>#NAME?</v>
      </c>
      <c r="F473" s="28" t="e">
        <f ca="1">[1]!BexGetData("DP_1","003N8EMH8GTFRCSWKMPXRRRFI","GSON1112031181")</f>
        <v>#NAME?</v>
      </c>
      <c r="G473" s="23" t="e">
        <f ca="1">[1]!BexGetData("DP_1","003N8EMH8GTFRCSWKMPXRRXR2","GSON1112031181")</f>
        <v>#NAME?</v>
      </c>
      <c r="H473" s="23" t="e">
        <f ca="1">[1]!BexGetData("DP_1","003N8EMH8GTFRCSWKMPXRS42M","GSON1112031181")</f>
        <v>#NAME?</v>
      </c>
      <c r="I473" s="28" t="e">
        <f ca="1">[1]!BexGetData("DP_1","003N8EMH8GTFRCSWKMPXRSAE6","GSON1112031181")</f>
        <v>#NAME?</v>
      </c>
      <c r="J473" s="24" t="e">
        <f ca="1">[1]!BexGetData("DP_1","003N8EMH8GTFRCSWKMPXRSGPQ","GSON1112031181")</f>
        <v>#NAME?</v>
      </c>
      <c r="K473" s="28" t="e">
        <f ca="1">[1]!BexGetData("DP_1","003N8EMH8GTFRIVNUPY288VJH","GSON1112031181")</f>
        <v>#NAME?</v>
      </c>
      <c r="L473" s="28" t="e">
        <f ca="1">[1]!BexGetData("DP_1","003N8EMH8GTFRIVNUPY2891V1","GSON1112031181")</f>
        <v>#NAME?</v>
      </c>
      <c r="M473" s="28" t="e">
        <f ca="1">[1]!BexGetData("DP_1","003N8EMH8GTFRIVOG7KG9IQXA","GSON1112031181")</f>
        <v>#NAME?</v>
      </c>
      <c r="N473" s="28" t="e">
        <f ca="1">[1]!BexGetData("DP_1","003N8EMH8GTFRIVOG7KG9IX8U","GSON1112031181")</f>
        <v>#NAME?</v>
      </c>
      <c r="O473" s="28" t="e">
        <f ca="1">[1]!BexGetData("DP_1","003N8EMH8GTFRIVOG7KG9J3KE","GSON1112031181")</f>
        <v>#NAME?</v>
      </c>
      <c r="P473" s="28" t="e">
        <f ca="1">[1]!BexGetData("DP_1","003N8EMH8GTFRIVOG7KG9J9VY","GSON1112031181")</f>
        <v>#NAME?</v>
      </c>
      <c r="Q473" s="24" t="e">
        <f ca="1">[1]!BexGetData("DP_1","00O2TNJGODT0G5Z4TTKYMM5MT","GSON1112031181")</f>
        <v>#NAME?</v>
      </c>
      <c r="R473" s="28" t="e">
        <f ca="1">[1]!BexGetData("DP_1","00O2TNJGODT0G5Z4TTKYMMBYD","GSON1112031181")</f>
        <v>#NAME?</v>
      </c>
      <c r="S473" s="28" t="e">
        <f ca="1">[1]!BexGetData("DP_1","00O2TNJGODT0G5Z4TTKYMMI9X","GSON1112031181")</f>
        <v>#NAME?</v>
      </c>
      <c r="T473" s="28" t="e">
        <f ca="1">[1]!BexGetData("DP_1","00O2TNJGODT0G5Z4TTKYMMOLH","GSON1112031181")</f>
        <v>#NAME?</v>
      </c>
      <c r="U473" s="28" t="e">
        <f ca="1">[1]!BexGetData("DP_1","00O2TNJGODT0G5Z4TTKYMMUX1","GSON1112031181")</f>
        <v>#NAME?</v>
      </c>
      <c r="V473" s="28" t="e">
        <f ca="1">[1]!BexGetData("DP_1","00O2TNJGODT0G5Z4TTKYMN18L","GSON1112031181")</f>
        <v>#NAME?</v>
      </c>
      <c r="W473" s="28" t="e">
        <f ca="1">[1]!BexGetData("DP_1","00O2TNJGODT0G5Z4TTKYMN7K5","GSON1112031181")</f>
        <v>#NAME?</v>
      </c>
    </row>
    <row r="474" spans="1:23" x14ac:dyDescent="0.2">
      <c r="A474" s="36" t="s">
        <v>2380</v>
      </c>
      <c r="B474" s="27" t="s">
        <v>2381</v>
      </c>
      <c r="C474" s="23" t="e">
        <f ca="1">[1]!BexGetData("DP_1","003N8EMH8GTFRCSWKMPXRR8GU","GSON1112031183")</f>
        <v>#NAME?</v>
      </c>
      <c r="D474" s="23" t="e">
        <f ca="1">[1]!BexGetData("DP_1","003N8EMH8GTFRCSWKMPXRRESE","GSON1112031183")</f>
        <v>#NAME?</v>
      </c>
      <c r="E474" s="28" t="e">
        <f ca="1">[1]!BexGetData("DP_1","003N8EMH8GTFRCSWKMPXRRL3Y","GSON1112031183")</f>
        <v>#NAME?</v>
      </c>
      <c r="F474" s="28" t="e">
        <f ca="1">[1]!BexGetData("DP_1","003N8EMH8GTFRCSWKMPXRRRFI","GSON1112031183")</f>
        <v>#NAME?</v>
      </c>
      <c r="G474" s="23" t="e">
        <f ca="1">[1]!BexGetData("DP_1","003N8EMH8GTFRCSWKMPXRRXR2","GSON1112031183")</f>
        <v>#NAME?</v>
      </c>
      <c r="H474" s="23" t="e">
        <f ca="1">[1]!BexGetData("DP_1","003N8EMH8GTFRCSWKMPXRS42M","GSON1112031183")</f>
        <v>#NAME?</v>
      </c>
      <c r="I474" s="28" t="e">
        <f ca="1">[1]!BexGetData("DP_1","003N8EMH8GTFRCSWKMPXRSAE6","GSON1112031183")</f>
        <v>#NAME?</v>
      </c>
      <c r="J474" s="24" t="e">
        <f ca="1">[1]!BexGetData("DP_1","003N8EMH8GTFRCSWKMPXRSGPQ","GSON1112031183")</f>
        <v>#NAME?</v>
      </c>
      <c r="K474" s="28" t="e">
        <f ca="1">[1]!BexGetData("DP_1","003N8EMH8GTFRIVNUPY288VJH","GSON1112031183")</f>
        <v>#NAME?</v>
      </c>
      <c r="L474" s="28" t="e">
        <f ca="1">[1]!BexGetData("DP_1","003N8EMH8GTFRIVNUPY2891V1","GSON1112031183")</f>
        <v>#NAME?</v>
      </c>
      <c r="M474" s="28" t="e">
        <f ca="1">[1]!BexGetData("DP_1","003N8EMH8GTFRIVOG7KG9IQXA","GSON1112031183")</f>
        <v>#NAME?</v>
      </c>
      <c r="N474" s="28" t="e">
        <f ca="1">[1]!BexGetData("DP_1","003N8EMH8GTFRIVOG7KG9IX8U","GSON1112031183")</f>
        <v>#NAME?</v>
      </c>
      <c r="O474" s="28" t="e">
        <f ca="1">[1]!BexGetData("DP_1","003N8EMH8GTFRIVOG7KG9J3KE","GSON1112031183")</f>
        <v>#NAME?</v>
      </c>
      <c r="P474" s="28" t="e">
        <f ca="1">[1]!BexGetData("DP_1","003N8EMH8GTFRIVOG7KG9J9VY","GSON1112031183")</f>
        <v>#NAME?</v>
      </c>
      <c r="Q474" s="24" t="e">
        <f ca="1">[1]!BexGetData("DP_1","00O2TNJGODT0G5Z4TTKYMM5MT","GSON1112031183")</f>
        <v>#NAME?</v>
      </c>
      <c r="R474" s="28" t="e">
        <f ca="1">[1]!BexGetData("DP_1","00O2TNJGODT0G5Z4TTKYMMBYD","GSON1112031183")</f>
        <v>#NAME?</v>
      </c>
      <c r="S474" s="28" t="e">
        <f ca="1">[1]!BexGetData("DP_1","00O2TNJGODT0G5Z4TTKYMMI9X","GSON1112031183")</f>
        <v>#NAME?</v>
      </c>
      <c r="T474" s="28" t="e">
        <f ca="1">[1]!BexGetData("DP_1","00O2TNJGODT0G5Z4TTKYMMOLH","GSON1112031183")</f>
        <v>#NAME?</v>
      </c>
      <c r="U474" s="28" t="e">
        <f ca="1">[1]!BexGetData("DP_1","00O2TNJGODT0G5Z4TTKYMMUX1","GSON1112031183")</f>
        <v>#NAME?</v>
      </c>
      <c r="V474" s="28" t="e">
        <f ca="1">[1]!BexGetData("DP_1","00O2TNJGODT0G5Z4TTKYMN18L","GSON1112031183")</f>
        <v>#NAME?</v>
      </c>
      <c r="W474" s="28" t="e">
        <f ca="1">[1]!BexGetData("DP_1","00O2TNJGODT0G5Z4TTKYMN7K5","GSON1112031183")</f>
        <v>#NAME?</v>
      </c>
    </row>
    <row r="475" spans="1:23" x14ac:dyDescent="0.2">
      <c r="A475" s="36" t="s">
        <v>2382</v>
      </c>
      <c r="B475" s="27" t="s">
        <v>2383</v>
      </c>
      <c r="C475" s="23" t="e">
        <f ca="1">[1]!BexGetData("DP_1","003N8EMH8GTFRCSWKMPXRR8GU","GSON1112031185")</f>
        <v>#NAME?</v>
      </c>
      <c r="D475" s="23" t="e">
        <f ca="1">[1]!BexGetData("DP_1","003N8EMH8GTFRCSWKMPXRRESE","GSON1112031185")</f>
        <v>#NAME?</v>
      </c>
      <c r="E475" s="28" t="e">
        <f ca="1">[1]!BexGetData("DP_1","003N8EMH8GTFRCSWKMPXRRL3Y","GSON1112031185")</f>
        <v>#NAME?</v>
      </c>
      <c r="F475" s="28" t="e">
        <f ca="1">[1]!BexGetData("DP_1","003N8EMH8GTFRCSWKMPXRRRFI","GSON1112031185")</f>
        <v>#NAME?</v>
      </c>
      <c r="G475" s="23" t="e">
        <f ca="1">[1]!BexGetData("DP_1","003N8EMH8GTFRCSWKMPXRRXR2","GSON1112031185")</f>
        <v>#NAME?</v>
      </c>
      <c r="H475" s="23" t="e">
        <f ca="1">[1]!BexGetData("DP_1","003N8EMH8GTFRCSWKMPXRS42M","GSON1112031185")</f>
        <v>#NAME?</v>
      </c>
      <c r="I475" s="28" t="e">
        <f ca="1">[1]!BexGetData("DP_1","003N8EMH8GTFRCSWKMPXRSAE6","GSON1112031185")</f>
        <v>#NAME?</v>
      </c>
      <c r="J475" s="24" t="e">
        <f ca="1">[1]!BexGetData("DP_1","003N8EMH8GTFRCSWKMPXRSGPQ","GSON1112031185")</f>
        <v>#NAME?</v>
      </c>
      <c r="K475" s="28" t="e">
        <f ca="1">[1]!BexGetData("DP_1","003N8EMH8GTFRIVNUPY288VJH","GSON1112031185")</f>
        <v>#NAME?</v>
      </c>
      <c r="L475" s="28" t="e">
        <f ca="1">[1]!BexGetData("DP_1","003N8EMH8GTFRIVNUPY2891V1","GSON1112031185")</f>
        <v>#NAME?</v>
      </c>
      <c r="M475" s="28" t="e">
        <f ca="1">[1]!BexGetData("DP_1","003N8EMH8GTFRIVOG7KG9IQXA","GSON1112031185")</f>
        <v>#NAME?</v>
      </c>
      <c r="N475" s="28" t="e">
        <f ca="1">[1]!BexGetData("DP_1","003N8EMH8GTFRIVOG7KG9IX8U","GSON1112031185")</f>
        <v>#NAME?</v>
      </c>
      <c r="O475" s="28" t="e">
        <f ca="1">[1]!BexGetData("DP_1","003N8EMH8GTFRIVOG7KG9J3KE","GSON1112031185")</f>
        <v>#NAME?</v>
      </c>
      <c r="P475" s="28" t="e">
        <f ca="1">[1]!BexGetData("DP_1","003N8EMH8GTFRIVOG7KG9J9VY","GSON1112031185")</f>
        <v>#NAME?</v>
      </c>
      <c r="Q475" s="24" t="e">
        <f ca="1">[1]!BexGetData("DP_1","00O2TNJGODT0G5Z4TTKYMM5MT","GSON1112031185")</f>
        <v>#NAME?</v>
      </c>
      <c r="R475" s="28" t="e">
        <f ca="1">[1]!BexGetData("DP_1","00O2TNJGODT0G5Z4TTKYMMBYD","GSON1112031185")</f>
        <v>#NAME?</v>
      </c>
      <c r="S475" s="28" t="e">
        <f ca="1">[1]!BexGetData("DP_1","00O2TNJGODT0G5Z4TTKYMMI9X","GSON1112031185")</f>
        <v>#NAME?</v>
      </c>
      <c r="T475" s="28" t="e">
        <f ca="1">[1]!BexGetData("DP_1","00O2TNJGODT0G5Z4TTKYMMOLH","GSON1112031185")</f>
        <v>#NAME?</v>
      </c>
      <c r="U475" s="28" t="e">
        <f ca="1">[1]!BexGetData("DP_1","00O2TNJGODT0G5Z4TTKYMMUX1","GSON1112031185")</f>
        <v>#NAME?</v>
      </c>
      <c r="V475" s="28" t="e">
        <f ca="1">[1]!BexGetData("DP_1","00O2TNJGODT0G5Z4TTKYMN18L","GSON1112031185")</f>
        <v>#NAME?</v>
      </c>
      <c r="W475" s="28" t="e">
        <f ca="1">[1]!BexGetData("DP_1","00O2TNJGODT0G5Z4TTKYMN7K5","GSON1112031185")</f>
        <v>#NAME?</v>
      </c>
    </row>
    <row r="476" spans="1:23" x14ac:dyDescent="0.2">
      <c r="A476" s="36" t="s">
        <v>2384</v>
      </c>
      <c r="B476" s="27" t="s">
        <v>2385</v>
      </c>
      <c r="C476" s="23" t="e">
        <f ca="1">[1]!BexGetData("DP_1","003N8EMH8GTFRCSWKMPXRR8GU","GSON1112031190")</f>
        <v>#NAME?</v>
      </c>
      <c r="D476" s="23" t="e">
        <f ca="1">[1]!BexGetData("DP_1","003N8EMH8GTFRCSWKMPXRRESE","GSON1112031190")</f>
        <v>#NAME?</v>
      </c>
      <c r="E476" s="23" t="e">
        <f ca="1">[1]!BexGetData("DP_1","003N8EMH8GTFRCSWKMPXRRL3Y","GSON1112031190")</f>
        <v>#NAME?</v>
      </c>
      <c r="F476" s="23" t="e">
        <f ca="1">[1]!BexGetData("DP_1","003N8EMH8GTFRCSWKMPXRRRFI","GSON1112031190")</f>
        <v>#NAME?</v>
      </c>
      <c r="G476" s="23" t="e">
        <f ca="1">[1]!BexGetData("DP_1","003N8EMH8GTFRCSWKMPXRRXR2","GSON1112031190")</f>
        <v>#NAME?</v>
      </c>
      <c r="H476" s="23" t="e">
        <f ca="1">[1]!BexGetData("DP_1","003N8EMH8GTFRCSWKMPXRS42M","GSON1112031190")</f>
        <v>#NAME?</v>
      </c>
      <c r="I476" s="23" t="e">
        <f ca="1">[1]!BexGetData("DP_1","003N8EMH8GTFRCSWKMPXRSAE6","GSON1112031190")</f>
        <v>#NAME?</v>
      </c>
      <c r="J476" s="24" t="e">
        <f ca="1">[1]!BexGetData("DP_1","003N8EMH8GTFRCSWKMPXRSGPQ","GSON1112031190")</f>
        <v>#NAME?</v>
      </c>
      <c r="K476" s="23" t="e">
        <f ca="1">[1]!BexGetData("DP_1","003N8EMH8GTFRIVNUPY288VJH","GSON1112031190")</f>
        <v>#NAME?</v>
      </c>
      <c r="L476" s="23" t="e">
        <f ca="1">[1]!BexGetData("DP_1","003N8EMH8GTFRIVNUPY2891V1","GSON1112031190")</f>
        <v>#NAME?</v>
      </c>
      <c r="M476" s="23" t="e">
        <f ca="1">[1]!BexGetData("DP_1","003N8EMH8GTFRIVOG7KG9IQXA","GSON1112031190")</f>
        <v>#NAME?</v>
      </c>
      <c r="N476" s="28" t="e">
        <f ca="1">[1]!BexGetData("DP_1","003N8EMH8GTFRIVOG7KG9IX8U","GSON1112031190")</f>
        <v>#NAME?</v>
      </c>
      <c r="O476" s="23" t="e">
        <f ca="1">[1]!BexGetData("DP_1","003N8EMH8GTFRIVOG7KG9J3KE","GSON1112031190")</f>
        <v>#NAME?</v>
      </c>
      <c r="P476" s="28" t="e">
        <f ca="1">[1]!BexGetData("DP_1","003N8EMH8GTFRIVOG7KG9J9VY","GSON1112031190")</f>
        <v>#NAME?</v>
      </c>
      <c r="Q476" s="24" t="e">
        <f ca="1">[1]!BexGetData("DP_1","00O2TNJGODT0G5Z4TTKYMM5MT","GSON1112031190")</f>
        <v>#NAME?</v>
      </c>
      <c r="R476" s="23" t="e">
        <f ca="1">[1]!BexGetData("DP_1","00O2TNJGODT0G5Z4TTKYMMBYD","GSON1112031190")</f>
        <v>#NAME?</v>
      </c>
      <c r="S476" s="23" t="e">
        <f ca="1">[1]!BexGetData("DP_1","00O2TNJGODT0G5Z4TTKYMMI9X","GSON1112031190")</f>
        <v>#NAME?</v>
      </c>
      <c r="T476" s="28" t="e">
        <f ca="1">[1]!BexGetData("DP_1","00O2TNJGODT0G5Z4TTKYMMOLH","GSON1112031190")</f>
        <v>#NAME?</v>
      </c>
      <c r="U476" s="23" t="e">
        <f ca="1">[1]!BexGetData("DP_1","00O2TNJGODT0G5Z4TTKYMMUX1","GSON1112031190")</f>
        <v>#NAME?</v>
      </c>
      <c r="V476" s="28" t="e">
        <f ca="1">[1]!BexGetData("DP_1","00O2TNJGODT0G5Z4TTKYMN18L","GSON1112031190")</f>
        <v>#NAME?</v>
      </c>
      <c r="W476" s="23" t="e">
        <f ca="1">[1]!BexGetData("DP_1","00O2TNJGODT0G5Z4TTKYMN7K5","GSON1112031190")</f>
        <v>#NAME?</v>
      </c>
    </row>
    <row r="477" spans="1:23" x14ac:dyDescent="0.2">
      <c r="A477" s="36" t="s">
        <v>2386</v>
      </c>
      <c r="B477" s="27" t="s">
        <v>2387</v>
      </c>
      <c r="C477" s="23" t="e">
        <f ca="1">[1]!BexGetData("DP_1","003N8EMH8GTFRCSWKMPXRR8GU","GSON1112031191")</f>
        <v>#NAME?</v>
      </c>
      <c r="D477" s="23" t="e">
        <f ca="1">[1]!BexGetData("DP_1","003N8EMH8GTFRCSWKMPXRRESE","GSON1112031191")</f>
        <v>#NAME?</v>
      </c>
      <c r="E477" s="28" t="e">
        <f ca="1">[1]!BexGetData("DP_1","003N8EMH8GTFRCSWKMPXRRL3Y","GSON1112031191")</f>
        <v>#NAME?</v>
      </c>
      <c r="F477" s="28" t="e">
        <f ca="1">[1]!BexGetData("DP_1","003N8EMH8GTFRCSWKMPXRRRFI","GSON1112031191")</f>
        <v>#NAME?</v>
      </c>
      <c r="G477" s="23" t="e">
        <f ca="1">[1]!BexGetData("DP_1","003N8EMH8GTFRCSWKMPXRRXR2","GSON1112031191")</f>
        <v>#NAME?</v>
      </c>
      <c r="H477" s="23" t="e">
        <f ca="1">[1]!BexGetData("DP_1","003N8EMH8GTFRCSWKMPXRS42M","GSON1112031191")</f>
        <v>#NAME?</v>
      </c>
      <c r="I477" s="28" t="e">
        <f ca="1">[1]!BexGetData("DP_1","003N8EMH8GTFRCSWKMPXRSAE6","GSON1112031191")</f>
        <v>#NAME?</v>
      </c>
      <c r="J477" s="24" t="e">
        <f ca="1">[1]!BexGetData("DP_1","003N8EMH8GTFRCSWKMPXRSGPQ","GSON1112031191")</f>
        <v>#NAME?</v>
      </c>
      <c r="K477" s="28" t="e">
        <f ca="1">[1]!BexGetData("DP_1","003N8EMH8GTFRIVNUPY288VJH","GSON1112031191")</f>
        <v>#NAME?</v>
      </c>
      <c r="L477" s="28" t="e">
        <f ca="1">[1]!BexGetData("DP_1","003N8EMH8GTFRIVNUPY2891V1","GSON1112031191")</f>
        <v>#NAME?</v>
      </c>
      <c r="M477" s="28" t="e">
        <f ca="1">[1]!BexGetData("DP_1","003N8EMH8GTFRIVOG7KG9IQXA","GSON1112031191")</f>
        <v>#NAME?</v>
      </c>
      <c r="N477" s="28" t="e">
        <f ca="1">[1]!BexGetData("DP_1","003N8EMH8GTFRIVOG7KG9IX8U","GSON1112031191")</f>
        <v>#NAME?</v>
      </c>
      <c r="O477" s="28" t="e">
        <f ca="1">[1]!BexGetData("DP_1","003N8EMH8GTFRIVOG7KG9J3KE","GSON1112031191")</f>
        <v>#NAME?</v>
      </c>
      <c r="P477" s="28" t="e">
        <f ca="1">[1]!BexGetData("DP_1","003N8EMH8GTFRIVOG7KG9J9VY","GSON1112031191")</f>
        <v>#NAME?</v>
      </c>
      <c r="Q477" s="24" t="e">
        <f ca="1">[1]!BexGetData("DP_1","00O2TNJGODT0G5Z4TTKYMM5MT","GSON1112031191")</f>
        <v>#NAME?</v>
      </c>
      <c r="R477" s="28" t="e">
        <f ca="1">[1]!BexGetData("DP_1","00O2TNJGODT0G5Z4TTKYMMBYD","GSON1112031191")</f>
        <v>#NAME?</v>
      </c>
      <c r="S477" s="28" t="e">
        <f ca="1">[1]!BexGetData("DP_1","00O2TNJGODT0G5Z4TTKYMMI9X","GSON1112031191")</f>
        <v>#NAME?</v>
      </c>
      <c r="T477" s="28" t="e">
        <f ca="1">[1]!BexGetData("DP_1","00O2TNJGODT0G5Z4TTKYMMOLH","GSON1112031191")</f>
        <v>#NAME?</v>
      </c>
      <c r="U477" s="28" t="e">
        <f ca="1">[1]!BexGetData("DP_1","00O2TNJGODT0G5Z4TTKYMMUX1","GSON1112031191")</f>
        <v>#NAME?</v>
      </c>
      <c r="V477" s="28" t="e">
        <f ca="1">[1]!BexGetData("DP_1","00O2TNJGODT0G5Z4TTKYMN18L","GSON1112031191")</f>
        <v>#NAME?</v>
      </c>
      <c r="W477" s="28" t="e">
        <f ca="1">[1]!BexGetData("DP_1","00O2TNJGODT0G5Z4TTKYMN7K5","GSON1112031191")</f>
        <v>#NAME?</v>
      </c>
    </row>
    <row r="478" spans="1:23" x14ac:dyDescent="0.2">
      <c r="A478" s="36" t="s">
        <v>2388</v>
      </c>
      <c r="B478" s="27" t="s">
        <v>2389</v>
      </c>
      <c r="C478" s="23" t="e">
        <f ca="1">[1]!BexGetData("DP_1","003N8EMH8GTFRCSWKMPXRR8GU","GSON1112031193")</f>
        <v>#NAME?</v>
      </c>
      <c r="D478" s="23" t="e">
        <f ca="1">[1]!BexGetData("DP_1","003N8EMH8GTFRCSWKMPXRRESE","GSON1112031193")</f>
        <v>#NAME?</v>
      </c>
      <c r="E478" s="28" t="e">
        <f ca="1">[1]!BexGetData("DP_1","003N8EMH8GTFRCSWKMPXRRL3Y","GSON1112031193")</f>
        <v>#NAME?</v>
      </c>
      <c r="F478" s="28" t="e">
        <f ca="1">[1]!BexGetData("DP_1","003N8EMH8GTFRCSWKMPXRRRFI","GSON1112031193")</f>
        <v>#NAME?</v>
      </c>
      <c r="G478" s="23" t="e">
        <f ca="1">[1]!BexGetData("DP_1","003N8EMH8GTFRCSWKMPXRRXR2","GSON1112031193")</f>
        <v>#NAME?</v>
      </c>
      <c r="H478" s="23" t="e">
        <f ca="1">[1]!BexGetData("DP_1","003N8EMH8GTFRCSWKMPXRS42M","GSON1112031193")</f>
        <v>#NAME?</v>
      </c>
      <c r="I478" s="28" t="e">
        <f ca="1">[1]!BexGetData("DP_1","003N8EMH8GTFRCSWKMPXRSAE6","GSON1112031193")</f>
        <v>#NAME?</v>
      </c>
      <c r="J478" s="24" t="e">
        <f ca="1">[1]!BexGetData("DP_1","003N8EMH8GTFRCSWKMPXRSGPQ","GSON1112031193")</f>
        <v>#NAME?</v>
      </c>
      <c r="K478" s="28" t="e">
        <f ca="1">[1]!BexGetData("DP_1","003N8EMH8GTFRIVNUPY288VJH","GSON1112031193")</f>
        <v>#NAME?</v>
      </c>
      <c r="L478" s="28" t="e">
        <f ca="1">[1]!BexGetData("DP_1","003N8EMH8GTFRIVNUPY2891V1","GSON1112031193")</f>
        <v>#NAME?</v>
      </c>
      <c r="M478" s="28" t="e">
        <f ca="1">[1]!BexGetData("DP_1","003N8EMH8GTFRIVOG7KG9IQXA","GSON1112031193")</f>
        <v>#NAME?</v>
      </c>
      <c r="N478" s="28" t="e">
        <f ca="1">[1]!BexGetData("DP_1","003N8EMH8GTFRIVOG7KG9IX8U","GSON1112031193")</f>
        <v>#NAME?</v>
      </c>
      <c r="O478" s="28" t="e">
        <f ca="1">[1]!BexGetData("DP_1","003N8EMH8GTFRIVOG7KG9J3KE","GSON1112031193")</f>
        <v>#NAME?</v>
      </c>
      <c r="P478" s="28" t="e">
        <f ca="1">[1]!BexGetData("DP_1","003N8EMH8GTFRIVOG7KG9J9VY","GSON1112031193")</f>
        <v>#NAME?</v>
      </c>
      <c r="Q478" s="24" t="e">
        <f ca="1">[1]!BexGetData("DP_1","00O2TNJGODT0G5Z4TTKYMM5MT","GSON1112031193")</f>
        <v>#NAME?</v>
      </c>
      <c r="R478" s="28" t="e">
        <f ca="1">[1]!BexGetData("DP_1","00O2TNJGODT0G5Z4TTKYMMBYD","GSON1112031193")</f>
        <v>#NAME?</v>
      </c>
      <c r="S478" s="28" t="e">
        <f ca="1">[1]!BexGetData("DP_1","00O2TNJGODT0G5Z4TTKYMMI9X","GSON1112031193")</f>
        <v>#NAME?</v>
      </c>
      <c r="T478" s="28" t="e">
        <f ca="1">[1]!BexGetData("DP_1","00O2TNJGODT0G5Z4TTKYMMOLH","GSON1112031193")</f>
        <v>#NAME?</v>
      </c>
      <c r="U478" s="28" t="e">
        <f ca="1">[1]!BexGetData("DP_1","00O2TNJGODT0G5Z4TTKYMMUX1","GSON1112031193")</f>
        <v>#NAME?</v>
      </c>
      <c r="V478" s="28" t="e">
        <f ca="1">[1]!BexGetData("DP_1","00O2TNJGODT0G5Z4TTKYMN18L","GSON1112031193")</f>
        <v>#NAME?</v>
      </c>
      <c r="W478" s="28" t="e">
        <f ca="1">[1]!BexGetData("DP_1","00O2TNJGODT0G5Z4TTKYMN7K5","GSON1112031193")</f>
        <v>#NAME?</v>
      </c>
    </row>
    <row r="479" spans="1:23" x14ac:dyDescent="0.2">
      <c r="A479" s="36" t="s">
        <v>2390</v>
      </c>
      <c r="B479" s="27" t="s">
        <v>2391</v>
      </c>
      <c r="C479" s="24" t="e">
        <f ca="1">[1]!BexGetData("DP_1","003N8EMH8GTFRCSWKMPXRR8GU","GSON1112031194")</f>
        <v>#NAME?</v>
      </c>
      <c r="D479" s="24" t="e">
        <f ca="1">[1]!BexGetData("DP_1","003N8EMH8GTFRCSWKMPXRRESE","GSON1112031194")</f>
        <v>#NAME?</v>
      </c>
      <c r="E479" s="24" t="e">
        <f ca="1">[1]!BexGetData("DP_1","003N8EMH8GTFRCSWKMPXRRL3Y","GSON1112031194")</f>
        <v>#NAME?</v>
      </c>
      <c r="F479" s="28" t="e">
        <f ca="1">[1]!BexGetData("DP_1","003N8EMH8GTFRCSWKMPXRRRFI","GSON1112031194")</f>
        <v>#NAME?</v>
      </c>
      <c r="G479" s="23" t="e">
        <f ca="1">[1]!BexGetData("DP_1","003N8EMH8GTFRCSWKMPXRRXR2","GSON1112031194")</f>
        <v>#NAME?</v>
      </c>
      <c r="H479" s="23" t="e">
        <f ca="1">[1]!BexGetData("DP_1","003N8EMH8GTFRCSWKMPXRS42M","GSON1112031194")</f>
        <v>#NAME?</v>
      </c>
      <c r="I479" s="28" t="e">
        <f ca="1">[1]!BexGetData("DP_1","003N8EMH8GTFRCSWKMPXRSAE6","GSON1112031194")</f>
        <v>#NAME?</v>
      </c>
      <c r="J479" s="24" t="e">
        <f ca="1">[1]!BexGetData("DP_1","003N8EMH8GTFRCSWKMPXRSGPQ","GSON1112031194")</f>
        <v>#NAME?</v>
      </c>
      <c r="K479" s="28" t="e">
        <f ca="1">[1]!BexGetData("DP_1","003N8EMH8GTFRIVNUPY288VJH","GSON1112031194")</f>
        <v>#NAME?</v>
      </c>
      <c r="L479" s="28" t="e">
        <f ca="1">[1]!BexGetData("DP_1","003N8EMH8GTFRIVNUPY2891V1","GSON1112031194")</f>
        <v>#NAME?</v>
      </c>
      <c r="M479" s="28" t="e">
        <f ca="1">[1]!BexGetData("DP_1","003N8EMH8GTFRIVOG7KG9IQXA","GSON1112031194")</f>
        <v>#NAME?</v>
      </c>
      <c r="N479" s="28" t="e">
        <f ca="1">[1]!BexGetData("DP_1","003N8EMH8GTFRIVOG7KG9IX8U","GSON1112031194")</f>
        <v>#NAME?</v>
      </c>
      <c r="O479" s="28" t="e">
        <f ca="1">[1]!BexGetData("DP_1","003N8EMH8GTFRIVOG7KG9J3KE","GSON1112031194")</f>
        <v>#NAME?</v>
      </c>
      <c r="P479" s="28" t="e">
        <f ca="1">[1]!BexGetData("DP_1","003N8EMH8GTFRIVOG7KG9J9VY","GSON1112031194")</f>
        <v>#NAME?</v>
      </c>
      <c r="Q479" s="24" t="e">
        <f ca="1">[1]!BexGetData("DP_1","00O2TNJGODT0G5Z4TTKYMM5MT","GSON1112031194")</f>
        <v>#NAME?</v>
      </c>
      <c r="R479" s="28" t="e">
        <f ca="1">[1]!BexGetData("DP_1","00O2TNJGODT0G5Z4TTKYMMBYD","GSON1112031194")</f>
        <v>#NAME?</v>
      </c>
      <c r="S479" s="28" t="e">
        <f ca="1">[1]!BexGetData("DP_1","00O2TNJGODT0G5Z4TTKYMMI9X","GSON1112031194")</f>
        <v>#NAME?</v>
      </c>
      <c r="T479" s="28" t="e">
        <f ca="1">[1]!BexGetData("DP_1","00O2TNJGODT0G5Z4TTKYMMOLH","GSON1112031194")</f>
        <v>#NAME?</v>
      </c>
      <c r="U479" s="28" t="e">
        <f ca="1">[1]!BexGetData("DP_1","00O2TNJGODT0G5Z4TTKYMMUX1","GSON1112031194")</f>
        <v>#NAME?</v>
      </c>
      <c r="V479" s="28" t="e">
        <f ca="1">[1]!BexGetData("DP_1","00O2TNJGODT0G5Z4TTKYMN18L","GSON1112031194")</f>
        <v>#NAME?</v>
      </c>
      <c r="W479" s="28" t="e">
        <f ca="1">[1]!BexGetData("DP_1","00O2TNJGODT0G5Z4TTKYMN7K5","GSON1112031194")</f>
        <v>#NAME?</v>
      </c>
    </row>
    <row r="480" spans="1:23" x14ac:dyDescent="0.2">
      <c r="A480" s="36" t="s">
        <v>2392</v>
      </c>
      <c r="B480" s="27" t="s">
        <v>2393</v>
      </c>
      <c r="C480" s="23" t="e">
        <f ca="1">[1]!BexGetData("DP_1","003N8EMH8GTFRCSWKMPXRR8GU","GSON1112031195")</f>
        <v>#NAME?</v>
      </c>
      <c r="D480" s="23" t="e">
        <f ca="1">[1]!BexGetData("DP_1","003N8EMH8GTFRCSWKMPXRRESE","GSON1112031195")</f>
        <v>#NAME?</v>
      </c>
      <c r="E480" s="28" t="e">
        <f ca="1">[1]!BexGetData("DP_1","003N8EMH8GTFRCSWKMPXRRL3Y","GSON1112031195")</f>
        <v>#NAME?</v>
      </c>
      <c r="F480" s="28" t="e">
        <f ca="1">[1]!BexGetData("DP_1","003N8EMH8GTFRCSWKMPXRRRFI","GSON1112031195")</f>
        <v>#NAME?</v>
      </c>
      <c r="G480" s="23" t="e">
        <f ca="1">[1]!BexGetData("DP_1","003N8EMH8GTFRCSWKMPXRRXR2","GSON1112031195")</f>
        <v>#NAME?</v>
      </c>
      <c r="H480" s="23" t="e">
        <f ca="1">[1]!BexGetData("DP_1","003N8EMH8GTFRCSWKMPXRS42M","GSON1112031195")</f>
        <v>#NAME?</v>
      </c>
      <c r="I480" s="28" t="e">
        <f ca="1">[1]!BexGetData("DP_1","003N8EMH8GTFRCSWKMPXRSAE6","GSON1112031195")</f>
        <v>#NAME?</v>
      </c>
      <c r="J480" s="24" t="e">
        <f ca="1">[1]!BexGetData("DP_1","003N8EMH8GTFRCSWKMPXRSGPQ","GSON1112031195")</f>
        <v>#NAME?</v>
      </c>
      <c r="K480" s="28" t="e">
        <f ca="1">[1]!BexGetData("DP_1","003N8EMH8GTFRIVNUPY288VJH","GSON1112031195")</f>
        <v>#NAME?</v>
      </c>
      <c r="L480" s="28" t="e">
        <f ca="1">[1]!BexGetData("DP_1","003N8EMH8GTFRIVNUPY2891V1","GSON1112031195")</f>
        <v>#NAME?</v>
      </c>
      <c r="M480" s="28" t="e">
        <f ca="1">[1]!BexGetData("DP_1","003N8EMH8GTFRIVOG7KG9IQXA","GSON1112031195")</f>
        <v>#NAME?</v>
      </c>
      <c r="N480" s="28" t="e">
        <f ca="1">[1]!BexGetData("DP_1","003N8EMH8GTFRIVOG7KG9IX8U","GSON1112031195")</f>
        <v>#NAME?</v>
      </c>
      <c r="O480" s="28" t="e">
        <f ca="1">[1]!BexGetData("DP_1","003N8EMH8GTFRIVOG7KG9J3KE","GSON1112031195")</f>
        <v>#NAME?</v>
      </c>
      <c r="P480" s="28" t="e">
        <f ca="1">[1]!BexGetData("DP_1","003N8EMH8GTFRIVOG7KG9J9VY","GSON1112031195")</f>
        <v>#NAME?</v>
      </c>
      <c r="Q480" s="24" t="e">
        <f ca="1">[1]!BexGetData("DP_1","00O2TNJGODT0G5Z4TTKYMM5MT","GSON1112031195")</f>
        <v>#NAME?</v>
      </c>
      <c r="R480" s="28" t="e">
        <f ca="1">[1]!BexGetData("DP_1","00O2TNJGODT0G5Z4TTKYMMBYD","GSON1112031195")</f>
        <v>#NAME?</v>
      </c>
      <c r="S480" s="28" t="e">
        <f ca="1">[1]!BexGetData("DP_1","00O2TNJGODT0G5Z4TTKYMMI9X","GSON1112031195")</f>
        <v>#NAME?</v>
      </c>
      <c r="T480" s="28" t="e">
        <f ca="1">[1]!BexGetData("DP_1","00O2TNJGODT0G5Z4TTKYMMOLH","GSON1112031195")</f>
        <v>#NAME?</v>
      </c>
      <c r="U480" s="28" t="e">
        <f ca="1">[1]!BexGetData("DP_1","00O2TNJGODT0G5Z4TTKYMMUX1","GSON1112031195")</f>
        <v>#NAME?</v>
      </c>
      <c r="V480" s="28" t="e">
        <f ca="1">[1]!BexGetData("DP_1","00O2TNJGODT0G5Z4TTKYMN18L","GSON1112031195")</f>
        <v>#NAME?</v>
      </c>
      <c r="W480" s="28" t="e">
        <f ca="1">[1]!BexGetData("DP_1","00O2TNJGODT0G5Z4TTKYMN7K5","GSON1112031195")</f>
        <v>#NAME?</v>
      </c>
    </row>
    <row r="481" spans="1:23" x14ac:dyDescent="0.2">
      <c r="A481" s="36" t="s">
        <v>2394</v>
      </c>
      <c r="B481" s="27" t="s">
        <v>2395</v>
      </c>
      <c r="C481" s="23" t="e">
        <f ca="1">[1]!BexGetData("DP_1","003N8EMH8GTFRCSWKMPXRR8GU","GSON1112031200")</f>
        <v>#NAME?</v>
      </c>
      <c r="D481" s="23" t="e">
        <f ca="1">[1]!BexGetData("DP_1","003N8EMH8GTFRCSWKMPXRRESE","GSON1112031200")</f>
        <v>#NAME?</v>
      </c>
      <c r="E481" s="23" t="e">
        <f ca="1">[1]!BexGetData("DP_1","003N8EMH8GTFRCSWKMPXRRL3Y","GSON1112031200")</f>
        <v>#NAME?</v>
      </c>
      <c r="F481" s="23" t="e">
        <f ca="1">[1]!BexGetData("DP_1","003N8EMH8GTFRCSWKMPXRRRFI","GSON1112031200")</f>
        <v>#NAME?</v>
      </c>
      <c r="G481" s="23" t="e">
        <f ca="1">[1]!BexGetData("DP_1","003N8EMH8GTFRCSWKMPXRRXR2","GSON1112031200")</f>
        <v>#NAME?</v>
      </c>
      <c r="H481" s="23" t="e">
        <f ca="1">[1]!BexGetData("DP_1","003N8EMH8GTFRCSWKMPXRS42M","GSON1112031200")</f>
        <v>#NAME?</v>
      </c>
      <c r="I481" s="23" t="e">
        <f ca="1">[1]!BexGetData("DP_1","003N8EMH8GTFRCSWKMPXRSAE6","GSON1112031200")</f>
        <v>#NAME?</v>
      </c>
      <c r="J481" s="24" t="e">
        <f ca="1">[1]!BexGetData("DP_1","003N8EMH8GTFRCSWKMPXRSGPQ","GSON1112031200")</f>
        <v>#NAME?</v>
      </c>
      <c r="K481" s="23" t="e">
        <f ca="1">[1]!BexGetData("DP_1","003N8EMH8GTFRIVNUPY288VJH","GSON1112031200")</f>
        <v>#NAME?</v>
      </c>
      <c r="L481" s="23" t="e">
        <f ca="1">[1]!BexGetData("DP_1","003N8EMH8GTFRIVNUPY2891V1","GSON1112031200")</f>
        <v>#NAME?</v>
      </c>
      <c r="M481" s="23" t="e">
        <f ca="1">[1]!BexGetData("DP_1","003N8EMH8GTFRIVOG7KG9IQXA","GSON1112031200")</f>
        <v>#NAME?</v>
      </c>
      <c r="N481" s="28" t="e">
        <f ca="1">[1]!BexGetData("DP_1","003N8EMH8GTFRIVOG7KG9IX8U","GSON1112031200")</f>
        <v>#NAME?</v>
      </c>
      <c r="O481" s="23" t="e">
        <f ca="1">[1]!BexGetData("DP_1","003N8EMH8GTFRIVOG7KG9J3KE","GSON1112031200")</f>
        <v>#NAME?</v>
      </c>
      <c r="P481" s="28" t="e">
        <f ca="1">[1]!BexGetData("DP_1","003N8EMH8GTFRIVOG7KG9J9VY","GSON1112031200")</f>
        <v>#NAME?</v>
      </c>
      <c r="Q481" s="24" t="e">
        <f ca="1">[1]!BexGetData("DP_1","00O2TNJGODT0G5Z4TTKYMM5MT","GSON1112031200")</f>
        <v>#NAME?</v>
      </c>
      <c r="R481" s="23" t="e">
        <f ca="1">[1]!BexGetData("DP_1","00O2TNJGODT0G5Z4TTKYMMBYD","GSON1112031200")</f>
        <v>#NAME?</v>
      </c>
      <c r="S481" s="23" t="e">
        <f ca="1">[1]!BexGetData("DP_1","00O2TNJGODT0G5Z4TTKYMMI9X","GSON1112031200")</f>
        <v>#NAME?</v>
      </c>
      <c r="T481" s="28" t="e">
        <f ca="1">[1]!BexGetData("DP_1","00O2TNJGODT0G5Z4TTKYMMOLH","GSON1112031200")</f>
        <v>#NAME?</v>
      </c>
      <c r="U481" s="23" t="e">
        <f ca="1">[1]!BexGetData("DP_1","00O2TNJGODT0G5Z4TTKYMMUX1","GSON1112031200")</f>
        <v>#NAME?</v>
      </c>
      <c r="V481" s="28" t="e">
        <f ca="1">[1]!BexGetData("DP_1","00O2TNJGODT0G5Z4TTKYMN18L","GSON1112031200")</f>
        <v>#NAME?</v>
      </c>
      <c r="W481" s="23" t="e">
        <f ca="1">[1]!BexGetData("DP_1","00O2TNJGODT0G5Z4TTKYMN7K5","GSON1112031200")</f>
        <v>#NAME?</v>
      </c>
    </row>
    <row r="482" spans="1:23" x14ac:dyDescent="0.2">
      <c r="A482" s="36" t="s">
        <v>2396</v>
      </c>
      <c r="B482" s="27" t="s">
        <v>2397</v>
      </c>
      <c r="C482" s="28" t="e">
        <f ca="1">[1]!BexGetData("DP_1","003N8EMH8GTFRCSWKMPXRR8GU","GSON1112031201")</f>
        <v>#NAME?</v>
      </c>
      <c r="D482" s="28" t="e">
        <f ca="1">[1]!BexGetData("DP_1","003N8EMH8GTFRCSWKMPXRRESE","GSON1112031201")</f>
        <v>#NAME?</v>
      </c>
      <c r="E482" s="28" t="e">
        <f ca="1">[1]!BexGetData("DP_1","003N8EMH8GTFRCSWKMPXRRL3Y","GSON1112031201")</f>
        <v>#NAME?</v>
      </c>
      <c r="F482" s="28" t="e">
        <f ca="1">[1]!BexGetData("DP_1","003N8EMH8GTFRCSWKMPXRRRFI","GSON1112031201")</f>
        <v>#NAME?</v>
      </c>
      <c r="G482" s="23" t="e">
        <f ca="1">[1]!BexGetData("DP_1","003N8EMH8GTFRCSWKMPXRRXR2","GSON1112031201")</f>
        <v>#NAME?</v>
      </c>
      <c r="H482" s="23" t="e">
        <f ca="1">[1]!BexGetData("DP_1","003N8EMH8GTFRCSWKMPXRS42M","GSON1112031201")</f>
        <v>#NAME?</v>
      </c>
      <c r="I482" s="28" t="e">
        <f ca="1">[1]!BexGetData("DP_1","003N8EMH8GTFRCSWKMPXRSAE6","GSON1112031201")</f>
        <v>#NAME?</v>
      </c>
      <c r="J482" s="24" t="e">
        <f ca="1">[1]!BexGetData("DP_1","003N8EMH8GTFRCSWKMPXRSGPQ","GSON1112031201")</f>
        <v>#NAME?</v>
      </c>
      <c r="K482" s="28" t="e">
        <f ca="1">[1]!BexGetData("DP_1","003N8EMH8GTFRIVNUPY288VJH","GSON1112031201")</f>
        <v>#NAME?</v>
      </c>
      <c r="L482" s="28" t="e">
        <f ca="1">[1]!BexGetData("DP_1","003N8EMH8GTFRIVNUPY2891V1","GSON1112031201")</f>
        <v>#NAME?</v>
      </c>
      <c r="M482" s="28" t="e">
        <f ca="1">[1]!BexGetData("DP_1","003N8EMH8GTFRIVOG7KG9IQXA","GSON1112031201")</f>
        <v>#NAME?</v>
      </c>
      <c r="N482" s="28" t="e">
        <f ca="1">[1]!BexGetData("DP_1","003N8EMH8GTFRIVOG7KG9IX8U","GSON1112031201")</f>
        <v>#NAME?</v>
      </c>
      <c r="O482" s="28" t="e">
        <f ca="1">[1]!BexGetData("DP_1","003N8EMH8GTFRIVOG7KG9J3KE","GSON1112031201")</f>
        <v>#NAME?</v>
      </c>
      <c r="P482" s="28" t="e">
        <f ca="1">[1]!BexGetData("DP_1","003N8EMH8GTFRIVOG7KG9J9VY","GSON1112031201")</f>
        <v>#NAME?</v>
      </c>
      <c r="Q482" s="24" t="e">
        <f ca="1">[1]!BexGetData("DP_1","00O2TNJGODT0G5Z4TTKYMM5MT","GSON1112031201")</f>
        <v>#NAME?</v>
      </c>
      <c r="R482" s="28" t="e">
        <f ca="1">[1]!BexGetData("DP_1","00O2TNJGODT0G5Z4TTKYMMBYD","GSON1112031201")</f>
        <v>#NAME?</v>
      </c>
      <c r="S482" s="28" t="e">
        <f ca="1">[1]!BexGetData("DP_1","00O2TNJGODT0G5Z4TTKYMMI9X","GSON1112031201")</f>
        <v>#NAME?</v>
      </c>
      <c r="T482" s="28" t="e">
        <f ca="1">[1]!BexGetData("DP_1","00O2TNJGODT0G5Z4TTKYMMOLH","GSON1112031201")</f>
        <v>#NAME?</v>
      </c>
      <c r="U482" s="28" t="e">
        <f ca="1">[1]!BexGetData("DP_1","00O2TNJGODT0G5Z4TTKYMMUX1","GSON1112031201")</f>
        <v>#NAME?</v>
      </c>
      <c r="V482" s="28" t="e">
        <f ca="1">[1]!BexGetData("DP_1","00O2TNJGODT0G5Z4TTKYMN18L","GSON1112031201")</f>
        <v>#NAME?</v>
      </c>
      <c r="W482" s="28" t="e">
        <f ca="1">[1]!BexGetData("DP_1","00O2TNJGODT0G5Z4TTKYMN7K5","GSON1112031201")</f>
        <v>#NAME?</v>
      </c>
    </row>
    <row r="483" spans="1:23" x14ac:dyDescent="0.2">
      <c r="A483" s="36" t="s">
        <v>2398</v>
      </c>
      <c r="B483" s="27" t="s">
        <v>2399</v>
      </c>
      <c r="C483" s="23" t="e">
        <f ca="1">[1]!BexGetData("DP_1","003N8EMH8GTFRCSWKMPXRR8GU","GSON1112031203")</f>
        <v>#NAME?</v>
      </c>
      <c r="D483" s="23" t="e">
        <f ca="1">[1]!BexGetData("DP_1","003N8EMH8GTFRCSWKMPXRRESE","GSON1112031203")</f>
        <v>#NAME?</v>
      </c>
      <c r="E483" s="28" t="e">
        <f ca="1">[1]!BexGetData("DP_1","003N8EMH8GTFRCSWKMPXRRL3Y","GSON1112031203")</f>
        <v>#NAME?</v>
      </c>
      <c r="F483" s="28" t="e">
        <f ca="1">[1]!BexGetData("DP_1","003N8EMH8GTFRCSWKMPXRRRFI","GSON1112031203")</f>
        <v>#NAME?</v>
      </c>
      <c r="G483" s="23" t="e">
        <f ca="1">[1]!BexGetData("DP_1","003N8EMH8GTFRCSWKMPXRRXR2","GSON1112031203")</f>
        <v>#NAME?</v>
      </c>
      <c r="H483" s="23" t="e">
        <f ca="1">[1]!BexGetData("DP_1","003N8EMH8GTFRCSWKMPXRS42M","GSON1112031203")</f>
        <v>#NAME?</v>
      </c>
      <c r="I483" s="28" t="e">
        <f ca="1">[1]!BexGetData("DP_1","003N8EMH8GTFRCSWKMPXRSAE6","GSON1112031203")</f>
        <v>#NAME?</v>
      </c>
      <c r="J483" s="24" t="e">
        <f ca="1">[1]!BexGetData("DP_1","003N8EMH8GTFRCSWKMPXRSGPQ","GSON1112031203")</f>
        <v>#NAME?</v>
      </c>
      <c r="K483" s="28" t="e">
        <f ca="1">[1]!BexGetData("DP_1","003N8EMH8GTFRIVNUPY288VJH","GSON1112031203")</f>
        <v>#NAME?</v>
      </c>
      <c r="L483" s="28" t="e">
        <f ca="1">[1]!BexGetData("DP_1","003N8EMH8GTFRIVNUPY2891V1","GSON1112031203")</f>
        <v>#NAME?</v>
      </c>
      <c r="M483" s="28" t="e">
        <f ca="1">[1]!BexGetData("DP_1","003N8EMH8GTFRIVOG7KG9IQXA","GSON1112031203")</f>
        <v>#NAME?</v>
      </c>
      <c r="N483" s="28" t="e">
        <f ca="1">[1]!BexGetData("DP_1","003N8EMH8GTFRIVOG7KG9IX8U","GSON1112031203")</f>
        <v>#NAME?</v>
      </c>
      <c r="O483" s="28" t="e">
        <f ca="1">[1]!BexGetData("DP_1","003N8EMH8GTFRIVOG7KG9J3KE","GSON1112031203")</f>
        <v>#NAME?</v>
      </c>
      <c r="P483" s="28" t="e">
        <f ca="1">[1]!BexGetData("DP_1","003N8EMH8GTFRIVOG7KG9J9VY","GSON1112031203")</f>
        <v>#NAME?</v>
      </c>
      <c r="Q483" s="24" t="e">
        <f ca="1">[1]!BexGetData("DP_1","00O2TNJGODT0G5Z4TTKYMM5MT","GSON1112031203")</f>
        <v>#NAME?</v>
      </c>
      <c r="R483" s="28" t="e">
        <f ca="1">[1]!BexGetData("DP_1","00O2TNJGODT0G5Z4TTKYMMBYD","GSON1112031203")</f>
        <v>#NAME?</v>
      </c>
      <c r="S483" s="28" t="e">
        <f ca="1">[1]!BexGetData("DP_1","00O2TNJGODT0G5Z4TTKYMMI9X","GSON1112031203")</f>
        <v>#NAME?</v>
      </c>
      <c r="T483" s="28" t="e">
        <f ca="1">[1]!BexGetData("DP_1","00O2TNJGODT0G5Z4TTKYMMOLH","GSON1112031203")</f>
        <v>#NAME?</v>
      </c>
      <c r="U483" s="28" t="e">
        <f ca="1">[1]!BexGetData("DP_1","00O2TNJGODT0G5Z4TTKYMMUX1","GSON1112031203")</f>
        <v>#NAME?</v>
      </c>
      <c r="V483" s="28" t="e">
        <f ca="1">[1]!BexGetData("DP_1","00O2TNJGODT0G5Z4TTKYMN18L","GSON1112031203")</f>
        <v>#NAME?</v>
      </c>
      <c r="W483" s="28" t="e">
        <f ca="1">[1]!BexGetData("DP_1","00O2TNJGODT0G5Z4TTKYMN7K5","GSON1112031203")</f>
        <v>#NAME?</v>
      </c>
    </row>
    <row r="484" spans="1:23" x14ac:dyDescent="0.2">
      <c r="A484" s="36" t="s">
        <v>2400</v>
      </c>
      <c r="B484" s="27" t="s">
        <v>2401</v>
      </c>
      <c r="C484" s="23" t="e">
        <f ca="1">[1]!BexGetData("DP_1","003N8EMH8GTFRCSWKMPXRR8GU","GSON1112031205")</f>
        <v>#NAME?</v>
      </c>
      <c r="D484" s="23" t="e">
        <f ca="1">[1]!BexGetData("DP_1","003N8EMH8GTFRCSWKMPXRRESE","GSON1112031205")</f>
        <v>#NAME?</v>
      </c>
      <c r="E484" s="28" t="e">
        <f ca="1">[1]!BexGetData("DP_1","003N8EMH8GTFRCSWKMPXRRL3Y","GSON1112031205")</f>
        <v>#NAME?</v>
      </c>
      <c r="F484" s="28" t="e">
        <f ca="1">[1]!BexGetData("DP_1","003N8EMH8GTFRCSWKMPXRRRFI","GSON1112031205")</f>
        <v>#NAME?</v>
      </c>
      <c r="G484" s="23" t="e">
        <f ca="1">[1]!BexGetData("DP_1","003N8EMH8GTFRCSWKMPXRRXR2","GSON1112031205")</f>
        <v>#NAME?</v>
      </c>
      <c r="H484" s="23" t="e">
        <f ca="1">[1]!BexGetData("DP_1","003N8EMH8GTFRCSWKMPXRS42M","GSON1112031205")</f>
        <v>#NAME?</v>
      </c>
      <c r="I484" s="28" t="e">
        <f ca="1">[1]!BexGetData("DP_1","003N8EMH8GTFRCSWKMPXRSAE6","GSON1112031205")</f>
        <v>#NAME?</v>
      </c>
      <c r="J484" s="24" t="e">
        <f ca="1">[1]!BexGetData("DP_1","003N8EMH8GTFRCSWKMPXRSGPQ","GSON1112031205")</f>
        <v>#NAME?</v>
      </c>
      <c r="K484" s="28" t="e">
        <f ca="1">[1]!BexGetData("DP_1","003N8EMH8GTFRIVNUPY288VJH","GSON1112031205")</f>
        <v>#NAME?</v>
      </c>
      <c r="L484" s="28" t="e">
        <f ca="1">[1]!BexGetData("DP_1","003N8EMH8GTFRIVNUPY2891V1","GSON1112031205")</f>
        <v>#NAME?</v>
      </c>
      <c r="M484" s="28" t="e">
        <f ca="1">[1]!BexGetData("DP_1","003N8EMH8GTFRIVOG7KG9IQXA","GSON1112031205")</f>
        <v>#NAME?</v>
      </c>
      <c r="N484" s="28" t="e">
        <f ca="1">[1]!BexGetData("DP_1","003N8EMH8GTFRIVOG7KG9IX8U","GSON1112031205")</f>
        <v>#NAME?</v>
      </c>
      <c r="O484" s="28" t="e">
        <f ca="1">[1]!BexGetData("DP_1","003N8EMH8GTFRIVOG7KG9J3KE","GSON1112031205")</f>
        <v>#NAME?</v>
      </c>
      <c r="P484" s="28" t="e">
        <f ca="1">[1]!BexGetData("DP_1","003N8EMH8GTFRIVOG7KG9J9VY","GSON1112031205")</f>
        <v>#NAME?</v>
      </c>
      <c r="Q484" s="24" t="e">
        <f ca="1">[1]!BexGetData("DP_1","00O2TNJGODT0G5Z4TTKYMM5MT","GSON1112031205")</f>
        <v>#NAME?</v>
      </c>
      <c r="R484" s="28" t="e">
        <f ca="1">[1]!BexGetData("DP_1","00O2TNJGODT0G5Z4TTKYMMBYD","GSON1112031205")</f>
        <v>#NAME?</v>
      </c>
      <c r="S484" s="28" t="e">
        <f ca="1">[1]!BexGetData("DP_1","00O2TNJGODT0G5Z4TTKYMMI9X","GSON1112031205")</f>
        <v>#NAME?</v>
      </c>
      <c r="T484" s="28" t="e">
        <f ca="1">[1]!BexGetData("DP_1","00O2TNJGODT0G5Z4TTKYMMOLH","GSON1112031205")</f>
        <v>#NAME?</v>
      </c>
      <c r="U484" s="28" t="e">
        <f ca="1">[1]!BexGetData("DP_1","00O2TNJGODT0G5Z4TTKYMMUX1","GSON1112031205")</f>
        <v>#NAME?</v>
      </c>
      <c r="V484" s="28" t="e">
        <f ca="1">[1]!BexGetData("DP_1","00O2TNJGODT0G5Z4TTKYMN18L","GSON1112031205")</f>
        <v>#NAME?</v>
      </c>
      <c r="W484" s="28" t="e">
        <f ca="1">[1]!BexGetData("DP_1","00O2TNJGODT0G5Z4TTKYMN7K5","GSON1112031205")</f>
        <v>#NAME?</v>
      </c>
    </row>
    <row r="485" spans="1:23" x14ac:dyDescent="0.2">
      <c r="A485" s="36" t="s">
        <v>2402</v>
      </c>
      <c r="B485" s="27" t="s">
        <v>2403</v>
      </c>
      <c r="C485" s="28" t="e">
        <f ca="1">[1]!BexGetData("DP_1","003N8EMH8GTFRCSWKMPXRR8GU","GSON1112031210")</f>
        <v>#NAME?</v>
      </c>
      <c r="D485" s="23" t="e">
        <f ca="1">[1]!BexGetData("DP_1","003N8EMH8GTFRCSWKMPXRRESE","GSON1112031210")</f>
        <v>#NAME?</v>
      </c>
      <c r="E485" s="28" t="e">
        <f ca="1">[1]!BexGetData("DP_1","003N8EMH8GTFRCSWKMPXRRL3Y","GSON1112031210")</f>
        <v>#NAME?</v>
      </c>
      <c r="F485" s="23" t="e">
        <f ca="1">[1]!BexGetData("DP_1","003N8EMH8GTFRCSWKMPXRRRFI","GSON1112031210")</f>
        <v>#NAME?</v>
      </c>
      <c r="G485" s="23" t="e">
        <f ca="1">[1]!BexGetData("DP_1","003N8EMH8GTFRCSWKMPXRRXR2","GSON1112031210")</f>
        <v>#NAME?</v>
      </c>
      <c r="H485" s="23" t="e">
        <f ca="1">[1]!BexGetData("DP_1","003N8EMH8GTFRCSWKMPXRS42M","GSON1112031210")</f>
        <v>#NAME?</v>
      </c>
      <c r="I485" s="23" t="e">
        <f ca="1">[1]!BexGetData("DP_1","003N8EMH8GTFRCSWKMPXRSAE6","GSON1112031210")</f>
        <v>#NAME?</v>
      </c>
      <c r="J485" s="24" t="e">
        <f ca="1">[1]!BexGetData("DP_1","003N8EMH8GTFRCSWKMPXRSGPQ","GSON1112031210")</f>
        <v>#NAME?</v>
      </c>
      <c r="K485" s="23" t="e">
        <f ca="1">[1]!BexGetData("DP_1","003N8EMH8GTFRIVNUPY288VJH","GSON1112031210")</f>
        <v>#NAME?</v>
      </c>
      <c r="L485" s="23" t="e">
        <f ca="1">[1]!BexGetData("DP_1","003N8EMH8GTFRIVNUPY2891V1","GSON1112031210")</f>
        <v>#NAME?</v>
      </c>
      <c r="M485" s="23" t="e">
        <f ca="1">[1]!BexGetData("DP_1","003N8EMH8GTFRIVOG7KG9IQXA","GSON1112031210")</f>
        <v>#NAME?</v>
      </c>
      <c r="N485" s="28" t="e">
        <f ca="1">[1]!BexGetData("DP_1","003N8EMH8GTFRIVOG7KG9IX8U","GSON1112031210")</f>
        <v>#NAME?</v>
      </c>
      <c r="O485" s="23" t="e">
        <f ca="1">[1]!BexGetData("DP_1","003N8EMH8GTFRIVOG7KG9J3KE","GSON1112031210")</f>
        <v>#NAME?</v>
      </c>
      <c r="P485" s="28" t="e">
        <f ca="1">[1]!BexGetData("DP_1","003N8EMH8GTFRIVOG7KG9J9VY","GSON1112031210")</f>
        <v>#NAME?</v>
      </c>
      <c r="Q485" s="24" t="e">
        <f ca="1">[1]!BexGetData("DP_1","00O2TNJGODT0G5Z4TTKYMM5MT","GSON1112031210")</f>
        <v>#NAME?</v>
      </c>
      <c r="R485" s="23" t="e">
        <f ca="1">[1]!BexGetData("DP_1","00O2TNJGODT0G5Z4TTKYMMBYD","GSON1112031210")</f>
        <v>#NAME?</v>
      </c>
      <c r="S485" s="23" t="e">
        <f ca="1">[1]!BexGetData("DP_1","00O2TNJGODT0G5Z4TTKYMMI9X","GSON1112031210")</f>
        <v>#NAME?</v>
      </c>
      <c r="T485" s="28" t="e">
        <f ca="1">[1]!BexGetData("DP_1","00O2TNJGODT0G5Z4TTKYMMOLH","GSON1112031210")</f>
        <v>#NAME?</v>
      </c>
      <c r="U485" s="23" t="e">
        <f ca="1">[1]!BexGetData("DP_1","00O2TNJGODT0G5Z4TTKYMMUX1","GSON1112031210")</f>
        <v>#NAME?</v>
      </c>
      <c r="V485" s="28" t="e">
        <f ca="1">[1]!BexGetData("DP_1","00O2TNJGODT0G5Z4TTKYMN18L","GSON1112031210")</f>
        <v>#NAME?</v>
      </c>
      <c r="W485" s="23" t="e">
        <f ca="1">[1]!BexGetData("DP_1","00O2TNJGODT0G5Z4TTKYMN7K5","GSON1112031210")</f>
        <v>#NAME?</v>
      </c>
    </row>
    <row r="486" spans="1:23" x14ac:dyDescent="0.2">
      <c r="A486" s="36" t="s">
        <v>2404</v>
      </c>
      <c r="B486" s="27" t="s">
        <v>2405</v>
      </c>
      <c r="C486" s="28" t="e">
        <f ca="1">[1]!BexGetData("DP_1","003N8EMH8GTFRCSWKMPXRR8GU","GSON1112031211")</f>
        <v>#NAME?</v>
      </c>
      <c r="D486" s="28" t="e">
        <f ca="1">[1]!BexGetData("DP_1","003N8EMH8GTFRCSWKMPXRRESE","GSON1112031211")</f>
        <v>#NAME?</v>
      </c>
      <c r="E486" s="28" t="e">
        <f ca="1">[1]!BexGetData("DP_1","003N8EMH8GTFRCSWKMPXRRL3Y","GSON1112031211")</f>
        <v>#NAME?</v>
      </c>
      <c r="F486" s="28" t="e">
        <f ca="1">[1]!BexGetData("DP_1","003N8EMH8GTFRCSWKMPXRRRFI","GSON1112031211")</f>
        <v>#NAME?</v>
      </c>
      <c r="G486" s="23" t="e">
        <f ca="1">[1]!BexGetData("DP_1","003N8EMH8GTFRCSWKMPXRRXR2","GSON1112031211")</f>
        <v>#NAME?</v>
      </c>
      <c r="H486" s="23" t="e">
        <f ca="1">[1]!BexGetData("DP_1","003N8EMH8GTFRCSWKMPXRS42M","GSON1112031211")</f>
        <v>#NAME?</v>
      </c>
      <c r="I486" s="28" t="e">
        <f ca="1">[1]!BexGetData("DP_1","003N8EMH8GTFRCSWKMPXRSAE6","GSON1112031211")</f>
        <v>#NAME?</v>
      </c>
      <c r="J486" s="24" t="e">
        <f ca="1">[1]!BexGetData("DP_1","003N8EMH8GTFRCSWKMPXRSGPQ","GSON1112031211")</f>
        <v>#NAME?</v>
      </c>
      <c r="K486" s="28" t="e">
        <f ca="1">[1]!BexGetData("DP_1","003N8EMH8GTFRIVNUPY288VJH","GSON1112031211")</f>
        <v>#NAME?</v>
      </c>
      <c r="L486" s="28" t="e">
        <f ca="1">[1]!BexGetData("DP_1","003N8EMH8GTFRIVNUPY2891V1","GSON1112031211")</f>
        <v>#NAME?</v>
      </c>
      <c r="M486" s="28" t="e">
        <f ca="1">[1]!BexGetData("DP_1","003N8EMH8GTFRIVOG7KG9IQXA","GSON1112031211")</f>
        <v>#NAME?</v>
      </c>
      <c r="N486" s="28" t="e">
        <f ca="1">[1]!BexGetData("DP_1","003N8EMH8GTFRIVOG7KG9IX8U","GSON1112031211")</f>
        <v>#NAME?</v>
      </c>
      <c r="O486" s="28" t="e">
        <f ca="1">[1]!BexGetData("DP_1","003N8EMH8GTFRIVOG7KG9J3KE","GSON1112031211")</f>
        <v>#NAME?</v>
      </c>
      <c r="P486" s="28" t="e">
        <f ca="1">[1]!BexGetData("DP_1","003N8EMH8GTFRIVOG7KG9J9VY","GSON1112031211")</f>
        <v>#NAME?</v>
      </c>
      <c r="Q486" s="24" t="e">
        <f ca="1">[1]!BexGetData("DP_1","00O2TNJGODT0G5Z4TTKYMM5MT","GSON1112031211")</f>
        <v>#NAME?</v>
      </c>
      <c r="R486" s="28" t="e">
        <f ca="1">[1]!BexGetData("DP_1","00O2TNJGODT0G5Z4TTKYMMBYD","GSON1112031211")</f>
        <v>#NAME?</v>
      </c>
      <c r="S486" s="28" t="e">
        <f ca="1">[1]!BexGetData("DP_1","00O2TNJGODT0G5Z4TTKYMMI9X","GSON1112031211")</f>
        <v>#NAME?</v>
      </c>
      <c r="T486" s="28" t="e">
        <f ca="1">[1]!BexGetData("DP_1","00O2TNJGODT0G5Z4TTKYMMOLH","GSON1112031211")</f>
        <v>#NAME?</v>
      </c>
      <c r="U486" s="28" t="e">
        <f ca="1">[1]!BexGetData("DP_1","00O2TNJGODT0G5Z4TTKYMMUX1","GSON1112031211")</f>
        <v>#NAME?</v>
      </c>
      <c r="V486" s="28" t="e">
        <f ca="1">[1]!BexGetData("DP_1","00O2TNJGODT0G5Z4TTKYMN18L","GSON1112031211")</f>
        <v>#NAME?</v>
      </c>
      <c r="W486" s="28" t="e">
        <f ca="1">[1]!BexGetData("DP_1","00O2TNJGODT0G5Z4TTKYMN7K5","GSON1112031211")</f>
        <v>#NAME?</v>
      </c>
    </row>
    <row r="487" spans="1:23" x14ac:dyDescent="0.2">
      <c r="A487" s="36" t="s">
        <v>2406</v>
      </c>
      <c r="B487" s="27" t="s">
        <v>2407</v>
      </c>
      <c r="C487" s="23" t="e">
        <f ca="1">[1]!BexGetData("DP_1","003N8EMH8GTFRCSWKMPXRR8GU","GSON1112031213")</f>
        <v>#NAME?</v>
      </c>
      <c r="D487" s="23" t="e">
        <f ca="1">[1]!BexGetData("DP_1","003N8EMH8GTFRCSWKMPXRRESE","GSON1112031213")</f>
        <v>#NAME?</v>
      </c>
      <c r="E487" s="28" t="e">
        <f ca="1">[1]!BexGetData("DP_1","003N8EMH8GTFRCSWKMPXRRL3Y","GSON1112031213")</f>
        <v>#NAME?</v>
      </c>
      <c r="F487" s="28" t="e">
        <f ca="1">[1]!BexGetData("DP_1","003N8EMH8GTFRCSWKMPXRRRFI","GSON1112031213")</f>
        <v>#NAME?</v>
      </c>
      <c r="G487" s="23" t="e">
        <f ca="1">[1]!BexGetData("DP_1","003N8EMH8GTFRCSWKMPXRRXR2","GSON1112031213")</f>
        <v>#NAME?</v>
      </c>
      <c r="H487" s="23" t="e">
        <f ca="1">[1]!BexGetData("DP_1","003N8EMH8GTFRCSWKMPXRS42M","GSON1112031213")</f>
        <v>#NAME?</v>
      </c>
      <c r="I487" s="28" t="e">
        <f ca="1">[1]!BexGetData("DP_1","003N8EMH8GTFRCSWKMPXRSAE6","GSON1112031213")</f>
        <v>#NAME?</v>
      </c>
      <c r="J487" s="24" t="e">
        <f ca="1">[1]!BexGetData("DP_1","003N8EMH8GTFRCSWKMPXRSGPQ","GSON1112031213")</f>
        <v>#NAME?</v>
      </c>
      <c r="K487" s="28" t="e">
        <f ca="1">[1]!BexGetData("DP_1","003N8EMH8GTFRIVNUPY288VJH","GSON1112031213")</f>
        <v>#NAME?</v>
      </c>
      <c r="L487" s="28" t="e">
        <f ca="1">[1]!BexGetData("DP_1","003N8EMH8GTFRIVNUPY2891V1","GSON1112031213")</f>
        <v>#NAME?</v>
      </c>
      <c r="M487" s="28" t="e">
        <f ca="1">[1]!BexGetData("DP_1","003N8EMH8GTFRIVOG7KG9IQXA","GSON1112031213")</f>
        <v>#NAME?</v>
      </c>
      <c r="N487" s="28" t="e">
        <f ca="1">[1]!BexGetData("DP_1","003N8EMH8GTFRIVOG7KG9IX8U","GSON1112031213")</f>
        <v>#NAME?</v>
      </c>
      <c r="O487" s="28" t="e">
        <f ca="1">[1]!BexGetData("DP_1","003N8EMH8GTFRIVOG7KG9J3KE","GSON1112031213")</f>
        <v>#NAME?</v>
      </c>
      <c r="P487" s="28" t="e">
        <f ca="1">[1]!BexGetData("DP_1","003N8EMH8GTFRIVOG7KG9J9VY","GSON1112031213")</f>
        <v>#NAME?</v>
      </c>
      <c r="Q487" s="24" t="e">
        <f ca="1">[1]!BexGetData("DP_1","00O2TNJGODT0G5Z4TTKYMM5MT","GSON1112031213")</f>
        <v>#NAME?</v>
      </c>
      <c r="R487" s="28" t="e">
        <f ca="1">[1]!BexGetData("DP_1","00O2TNJGODT0G5Z4TTKYMMBYD","GSON1112031213")</f>
        <v>#NAME?</v>
      </c>
      <c r="S487" s="28" t="e">
        <f ca="1">[1]!BexGetData("DP_1","00O2TNJGODT0G5Z4TTKYMMI9X","GSON1112031213")</f>
        <v>#NAME?</v>
      </c>
      <c r="T487" s="28" t="e">
        <f ca="1">[1]!BexGetData("DP_1","00O2TNJGODT0G5Z4TTKYMMOLH","GSON1112031213")</f>
        <v>#NAME?</v>
      </c>
      <c r="U487" s="28" t="e">
        <f ca="1">[1]!BexGetData("DP_1","00O2TNJGODT0G5Z4TTKYMMUX1","GSON1112031213")</f>
        <v>#NAME?</v>
      </c>
      <c r="V487" s="28" t="e">
        <f ca="1">[1]!BexGetData("DP_1","00O2TNJGODT0G5Z4TTKYMN18L","GSON1112031213")</f>
        <v>#NAME?</v>
      </c>
      <c r="W487" s="28" t="e">
        <f ca="1">[1]!BexGetData("DP_1","00O2TNJGODT0G5Z4TTKYMN7K5","GSON1112031213")</f>
        <v>#NAME?</v>
      </c>
    </row>
    <row r="488" spans="1:23" x14ac:dyDescent="0.2">
      <c r="A488" s="36" t="s">
        <v>2408</v>
      </c>
      <c r="B488" s="27" t="s">
        <v>2409</v>
      </c>
      <c r="C488" s="28" t="e">
        <f ca="1">[1]!BexGetData("DP_1","003N8EMH8GTFRCSWKMPXRR8GU","GSON1112031215")</f>
        <v>#NAME?</v>
      </c>
      <c r="D488" s="28" t="e">
        <f ca="1">[1]!BexGetData("DP_1","003N8EMH8GTFRCSWKMPXRRESE","GSON1112031215")</f>
        <v>#NAME?</v>
      </c>
      <c r="E488" s="28" t="e">
        <f ca="1">[1]!BexGetData("DP_1","003N8EMH8GTFRCSWKMPXRRL3Y","GSON1112031215")</f>
        <v>#NAME?</v>
      </c>
      <c r="F488" s="28" t="e">
        <f ca="1">[1]!BexGetData("DP_1","003N8EMH8GTFRCSWKMPXRRRFI","GSON1112031215")</f>
        <v>#NAME?</v>
      </c>
      <c r="G488" s="23" t="e">
        <f ca="1">[1]!BexGetData("DP_1","003N8EMH8GTFRCSWKMPXRRXR2","GSON1112031215")</f>
        <v>#NAME?</v>
      </c>
      <c r="H488" s="23" t="e">
        <f ca="1">[1]!BexGetData("DP_1","003N8EMH8GTFRCSWKMPXRS42M","GSON1112031215")</f>
        <v>#NAME?</v>
      </c>
      <c r="I488" s="28" t="e">
        <f ca="1">[1]!BexGetData("DP_1","003N8EMH8GTFRCSWKMPXRSAE6","GSON1112031215")</f>
        <v>#NAME?</v>
      </c>
      <c r="J488" s="24" t="e">
        <f ca="1">[1]!BexGetData("DP_1","003N8EMH8GTFRCSWKMPXRSGPQ","GSON1112031215")</f>
        <v>#NAME?</v>
      </c>
      <c r="K488" s="28" t="e">
        <f ca="1">[1]!BexGetData("DP_1","003N8EMH8GTFRIVNUPY288VJH","GSON1112031215")</f>
        <v>#NAME?</v>
      </c>
      <c r="L488" s="28" t="e">
        <f ca="1">[1]!BexGetData("DP_1","003N8EMH8GTFRIVNUPY2891V1","GSON1112031215")</f>
        <v>#NAME?</v>
      </c>
      <c r="M488" s="28" t="e">
        <f ca="1">[1]!BexGetData("DP_1","003N8EMH8GTFRIVOG7KG9IQXA","GSON1112031215")</f>
        <v>#NAME?</v>
      </c>
      <c r="N488" s="28" t="e">
        <f ca="1">[1]!BexGetData("DP_1","003N8EMH8GTFRIVOG7KG9IX8U","GSON1112031215")</f>
        <v>#NAME?</v>
      </c>
      <c r="O488" s="28" t="e">
        <f ca="1">[1]!BexGetData("DP_1","003N8EMH8GTFRIVOG7KG9J3KE","GSON1112031215")</f>
        <v>#NAME?</v>
      </c>
      <c r="P488" s="28" t="e">
        <f ca="1">[1]!BexGetData("DP_1","003N8EMH8GTFRIVOG7KG9J9VY","GSON1112031215")</f>
        <v>#NAME?</v>
      </c>
      <c r="Q488" s="24" t="e">
        <f ca="1">[1]!BexGetData("DP_1","00O2TNJGODT0G5Z4TTKYMM5MT","GSON1112031215")</f>
        <v>#NAME?</v>
      </c>
      <c r="R488" s="28" t="e">
        <f ca="1">[1]!BexGetData("DP_1","00O2TNJGODT0G5Z4TTKYMMBYD","GSON1112031215")</f>
        <v>#NAME?</v>
      </c>
      <c r="S488" s="28" t="e">
        <f ca="1">[1]!BexGetData("DP_1","00O2TNJGODT0G5Z4TTKYMMI9X","GSON1112031215")</f>
        <v>#NAME?</v>
      </c>
      <c r="T488" s="28" t="e">
        <f ca="1">[1]!BexGetData("DP_1","00O2TNJGODT0G5Z4TTKYMMOLH","GSON1112031215")</f>
        <v>#NAME?</v>
      </c>
      <c r="U488" s="28" t="e">
        <f ca="1">[1]!BexGetData("DP_1","00O2TNJGODT0G5Z4TTKYMMUX1","GSON1112031215")</f>
        <v>#NAME?</v>
      </c>
      <c r="V488" s="28" t="e">
        <f ca="1">[1]!BexGetData("DP_1","00O2TNJGODT0G5Z4TTKYMN18L","GSON1112031215")</f>
        <v>#NAME?</v>
      </c>
      <c r="W488" s="28" t="e">
        <f ca="1">[1]!BexGetData("DP_1","00O2TNJGODT0G5Z4TTKYMN7K5","GSON1112031215")</f>
        <v>#NAME?</v>
      </c>
    </row>
    <row r="489" spans="1:23" x14ac:dyDescent="0.2">
      <c r="A489" s="36" t="s">
        <v>2410</v>
      </c>
      <c r="B489" s="27" t="s">
        <v>2411</v>
      </c>
      <c r="C489" s="28" t="e">
        <f ca="1">[1]!BexGetData("DP_1","003N8EMH8GTFRCSWKMPXRR8GU","GSON1112031220")</f>
        <v>#NAME?</v>
      </c>
      <c r="D489" s="23" t="e">
        <f ca="1">[1]!BexGetData("DP_1","003N8EMH8GTFRCSWKMPXRRESE","GSON1112031220")</f>
        <v>#NAME?</v>
      </c>
      <c r="E489" s="28" t="e">
        <f ca="1">[1]!BexGetData("DP_1","003N8EMH8GTFRCSWKMPXRRL3Y","GSON1112031220")</f>
        <v>#NAME?</v>
      </c>
      <c r="F489" s="23" t="e">
        <f ca="1">[1]!BexGetData("DP_1","003N8EMH8GTFRCSWKMPXRRRFI","GSON1112031220")</f>
        <v>#NAME?</v>
      </c>
      <c r="G489" s="23" t="e">
        <f ca="1">[1]!BexGetData("DP_1","003N8EMH8GTFRCSWKMPXRRXR2","GSON1112031220")</f>
        <v>#NAME?</v>
      </c>
      <c r="H489" s="23" t="e">
        <f ca="1">[1]!BexGetData("DP_1","003N8EMH8GTFRCSWKMPXRS42M","GSON1112031220")</f>
        <v>#NAME?</v>
      </c>
      <c r="I489" s="23" t="e">
        <f ca="1">[1]!BexGetData("DP_1","003N8EMH8GTFRCSWKMPXRSAE6","GSON1112031220")</f>
        <v>#NAME?</v>
      </c>
      <c r="J489" s="24" t="e">
        <f ca="1">[1]!BexGetData("DP_1","003N8EMH8GTFRCSWKMPXRSGPQ","GSON1112031220")</f>
        <v>#NAME?</v>
      </c>
      <c r="K489" s="23" t="e">
        <f ca="1">[1]!BexGetData("DP_1","003N8EMH8GTFRIVNUPY288VJH","GSON1112031220")</f>
        <v>#NAME?</v>
      </c>
      <c r="L489" s="23" t="e">
        <f ca="1">[1]!BexGetData("DP_1","003N8EMH8GTFRIVNUPY2891V1","GSON1112031220")</f>
        <v>#NAME?</v>
      </c>
      <c r="M489" s="23" t="e">
        <f ca="1">[1]!BexGetData("DP_1","003N8EMH8GTFRIVOG7KG9IQXA","GSON1112031220")</f>
        <v>#NAME?</v>
      </c>
      <c r="N489" s="28" t="e">
        <f ca="1">[1]!BexGetData("DP_1","003N8EMH8GTFRIVOG7KG9IX8U","GSON1112031220")</f>
        <v>#NAME?</v>
      </c>
      <c r="O489" s="23" t="e">
        <f ca="1">[1]!BexGetData("DP_1","003N8EMH8GTFRIVOG7KG9J3KE","GSON1112031220")</f>
        <v>#NAME?</v>
      </c>
      <c r="P489" s="28" t="e">
        <f ca="1">[1]!BexGetData("DP_1","003N8EMH8GTFRIVOG7KG9J9VY","GSON1112031220")</f>
        <v>#NAME?</v>
      </c>
      <c r="Q489" s="24" t="e">
        <f ca="1">[1]!BexGetData("DP_1","00O2TNJGODT0G5Z4TTKYMM5MT","GSON1112031220")</f>
        <v>#NAME?</v>
      </c>
      <c r="R489" s="23" t="e">
        <f ca="1">[1]!BexGetData("DP_1","00O2TNJGODT0G5Z4TTKYMMBYD","GSON1112031220")</f>
        <v>#NAME?</v>
      </c>
      <c r="S489" s="23" t="e">
        <f ca="1">[1]!BexGetData("DP_1","00O2TNJGODT0G5Z4TTKYMMI9X","GSON1112031220")</f>
        <v>#NAME?</v>
      </c>
      <c r="T489" s="28" t="e">
        <f ca="1">[1]!BexGetData("DP_1","00O2TNJGODT0G5Z4TTKYMMOLH","GSON1112031220")</f>
        <v>#NAME?</v>
      </c>
      <c r="U489" s="23" t="e">
        <f ca="1">[1]!BexGetData("DP_1","00O2TNJGODT0G5Z4TTKYMMUX1","GSON1112031220")</f>
        <v>#NAME?</v>
      </c>
      <c r="V489" s="28" t="e">
        <f ca="1">[1]!BexGetData("DP_1","00O2TNJGODT0G5Z4TTKYMN18L","GSON1112031220")</f>
        <v>#NAME?</v>
      </c>
      <c r="W489" s="23" t="e">
        <f ca="1">[1]!BexGetData("DP_1","00O2TNJGODT0G5Z4TTKYMN7K5","GSON1112031220")</f>
        <v>#NAME?</v>
      </c>
    </row>
    <row r="490" spans="1:23" x14ac:dyDescent="0.2">
      <c r="A490" s="36" t="s">
        <v>2412</v>
      </c>
      <c r="B490" s="27" t="s">
        <v>2413</v>
      </c>
      <c r="C490" s="28" t="e">
        <f ca="1">[1]!BexGetData("DP_1","003N8EMH8GTFRCSWKMPXRR8GU","GSON1112031221")</f>
        <v>#NAME?</v>
      </c>
      <c r="D490" s="28" t="e">
        <f ca="1">[1]!BexGetData("DP_1","003N8EMH8GTFRCSWKMPXRRESE","GSON1112031221")</f>
        <v>#NAME?</v>
      </c>
      <c r="E490" s="28" t="e">
        <f ca="1">[1]!BexGetData("DP_1","003N8EMH8GTFRCSWKMPXRRL3Y","GSON1112031221")</f>
        <v>#NAME?</v>
      </c>
      <c r="F490" s="28" t="e">
        <f ca="1">[1]!BexGetData("DP_1","003N8EMH8GTFRCSWKMPXRRRFI","GSON1112031221")</f>
        <v>#NAME?</v>
      </c>
      <c r="G490" s="23" t="e">
        <f ca="1">[1]!BexGetData("DP_1","003N8EMH8GTFRCSWKMPXRRXR2","GSON1112031221")</f>
        <v>#NAME?</v>
      </c>
      <c r="H490" s="23" t="e">
        <f ca="1">[1]!BexGetData("DP_1","003N8EMH8GTFRCSWKMPXRS42M","GSON1112031221")</f>
        <v>#NAME?</v>
      </c>
      <c r="I490" s="28" t="e">
        <f ca="1">[1]!BexGetData("DP_1","003N8EMH8GTFRCSWKMPXRSAE6","GSON1112031221")</f>
        <v>#NAME?</v>
      </c>
      <c r="J490" s="24" t="e">
        <f ca="1">[1]!BexGetData("DP_1","003N8EMH8GTFRCSWKMPXRSGPQ","GSON1112031221")</f>
        <v>#NAME?</v>
      </c>
      <c r="K490" s="28" t="e">
        <f ca="1">[1]!BexGetData("DP_1","003N8EMH8GTFRIVNUPY288VJH","GSON1112031221")</f>
        <v>#NAME?</v>
      </c>
      <c r="L490" s="28" t="e">
        <f ca="1">[1]!BexGetData("DP_1","003N8EMH8GTFRIVNUPY2891V1","GSON1112031221")</f>
        <v>#NAME?</v>
      </c>
      <c r="M490" s="28" t="e">
        <f ca="1">[1]!BexGetData("DP_1","003N8EMH8GTFRIVOG7KG9IQXA","GSON1112031221")</f>
        <v>#NAME?</v>
      </c>
      <c r="N490" s="28" t="e">
        <f ca="1">[1]!BexGetData("DP_1","003N8EMH8GTFRIVOG7KG9IX8U","GSON1112031221")</f>
        <v>#NAME?</v>
      </c>
      <c r="O490" s="28" t="e">
        <f ca="1">[1]!BexGetData("DP_1","003N8EMH8GTFRIVOG7KG9J3KE","GSON1112031221")</f>
        <v>#NAME?</v>
      </c>
      <c r="P490" s="28" t="e">
        <f ca="1">[1]!BexGetData("DP_1","003N8EMH8GTFRIVOG7KG9J9VY","GSON1112031221")</f>
        <v>#NAME?</v>
      </c>
      <c r="Q490" s="24" t="e">
        <f ca="1">[1]!BexGetData("DP_1","00O2TNJGODT0G5Z4TTKYMM5MT","GSON1112031221")</f>
        <v>#NAME?</v>
      </c>
      <c r="R490" s="28" t="e">
        <f ca="1">[1]!BexGetData("DP_1","00O2TNJGODT0G5Z4TTKYMMBYD","GSON1112031221")</f>
        <v>#NAME?</v>
      </c>
      <c r="S490" s="28" t="e">
        <f ca="1">[1]!BexGetData("DP_1","00O2TNJGODT0G5Z4TTKYMMI9X","GSON1112031221")</f>
        <v>#NAME?</v>
      </c>
      <c r="T490" s="28" t="e">
        <f ca="1">[1]!BexGetData("DP_1","00O2TNJGODT0G5Z4TTKYMMOLH","GSON1112031221")</f>
        <v>#NAME?</v>
      </c>
      <c r="U490" s="28" t="e">
        <f ca="1">[1]!BexGetData("DP_1","00O2TNJGODT0G5Z4TTKYMMUX1","GSON1112031221")</f>
        <v>#NAME?</v>
      </c>
      <c r="V490" s="28" t="e">
        <f ca="1">[1]!BexGetData("DP_1","00O2TNJGODT0G5Z4TTKYMN18L","GSON1112031221")</f>
        <v>#NAME?</v>
      </c>
      <c r="W490" s="28" t="e">
        <f ca="1">[1]!BexGetData("DP_1","00O2TNJGODT0G5Z4TTKYMN7K5","GSON1112031221")</f>
        <v>#NAME?</v>
      </c>
    </row>
    <row r="491" spans="1:23" x14ac:dyDescent="0.2">
      <c r="A491" s="36" t="s">
        <v>2414</v>
      </c>
      <c r="B491" s="27" t="s">
        <v>2415</v>
      </c>
      <c r="C491" s="23" t="e">
        <f ca="1">[1]!BexGetData("DP_1","003N8EMH8GTFRCSWKMPXRR8GU","GSON1112031223")</f>
        <v>#NAME?</v>
      </c>
      <c r="D491" s="23" t="e">
        <f ca="1">[1]!BexGetData("DP_1","003N8EMH8GTFRCSWKMPXRRESE","GSON1112031223")</f>
        <v>#NAME?</v>
      </c>
      <c r="E491" s="28" t="e">
        <f ca="1">[1]!BexGetData("DP_1","003N8EMH8GTFRCSWKMPXRRL3Y","GSON1112031223")</f>
        <v>#NAME?</v>
      </c>
      <c r="F491" s="28" t="e">
        <f ca="1">[1]!BexGetData("DP_1","003N8EMH8GTFRCSWKMPXRRRFI","GSON1112031223")</f>
        <v>#NAME?</v>
      </c>
      <c r="G491" s="23" t="e">
        <f ca="1">[1]!BexGetData("DP_1","003N8EMH8GTFRCSWKMPXRRXR2","GSON1112031223")</f>
        <v>#NAME?</v>
      </c>
      <c r="H491" s="23" t="e">
        <f ca="1">[1]!BexGetData("DP_1","003N8EMH8GTFRCSWKMPXRS42M","GSON1112031223")</f>
        <v>#NAME?</v>
      </c>
      <c r="I491" s="28" t="e">
        <f ca="1">[1]!BexGetData("DP_1","003N8EMH8GTFRCSWKMPXRSAE6","GSON1112031223")</f>
        <v>#NAME?</v>
      </c>
      <c r="J491" s="24" t="e">
        <f ca="1">[1]!BexGetData("DP_1","003N8EMH8GTFRCSWKMPXRSGPQ","GSON1112031223")</f>
        <v>#NAME?</v>
      </c>
      <c r="K491" s="28" t="e">
        <f ca="1">[1]!BexGetData("DP_1","003N8EMH8GTFRIVNUPY288VJH","GSON1112031223")</f>
        <v>#NAME?</v>
      </c>
      <c r="L491" s="28" t="e">
        <f ca="1">[1]!BexGetData("DP_1","003N8EMH8GTFRIVNUPY2891V1","GSON1112031223")</f>
        <v>#NAME?</v>
      </c>
      <c r="M491" s="28" t="e">
        <f ca="1">[1]!BexGetData("DP_1","003N8EMH8GTFRIVOG7KG9IQXA","GSON1112031223")</f>
        <v>#NAME?</v>
      </c>
      <c r="N491" s="28" t="e">
        <f ca="1">[1]!BexGetData("DP_1","003N8EMH8GTFRIVOG7KG9IX8U","GSON1112031223")</f>
        <v>#NAME?</v>
      </c>
      <c r="O491" s="28" t="e">
        <f ca="1">[1]!BexGetData("DP_1","003N8EMH8GTFRIVOG7KG9J3KE","GSON1112031223")</f>
        <v>#NAME?</v>
      </c>
      <c r="P491" s="28" t="e">
        <f ca="1">[1]!BexGetData("DP_1","003N8EMH8GTFRIVOG7KG9J9VY","GSON1112031223")</f>
        <v>#NAME?</v>
      </c>
      <c r="Q491" s="24" t="e">
        <f ca="1">[1]!BexGetData("DP_1","00O2TNJGODT0G5Z4TTKYMM5MT","GSON1112031223")</f>
        <v>#NAME?</v>
      </c>
      <c r="R491" s="28" t="e">
        <f ca="1">[1]!BexGetData("DP_1","00O2TNJGODT0G5Z4TTKYMMBYD","GSON1112031223")</f>
        <v>#NAME?</v>
      </c>
      <c r="S491" s="28" t="e">
        <f ca="1">[1]!BexGetData("DP_1","00O2TNJGODT0G5Z4TTKYMMI9X","GSON1112031223")</f>
        <v>#NAME?</v>
      </c>
      <c r="T491" s="28" t="e">
        <f ca="1">[1]!BexGetData("DP_1","00O2TNJGODT0G5Z4TTKYMMOLH","GSON1112031223")</f>
        <v>#NAME?</v>
      </c>
      <c r="U491" s="28" t="e">
        <f ca="1">[1]!BexGetData("DP_1","00O2TNJGODT0G5Z4TTKYMMUX1","GSON1112031223")</f>
        <v>#NAME?</v>
      </c>
      <c r="V491" s="28" t="e">
        <f ca="1">[1]!BexGetData("DP_1","00O2TNJGODT0G5Z4TTKYMN18L","GSON1112031223")</f>
        <v>#NAME?</v>
      </c>
      <c r="W491" s="28" t="e">
        <f ca="1">[1]!BexGetData("DP_1","00O2TNJGODT0G5Z4TTKYMN7K5","GSON1112031223")</f>
        <v>#NAME?</v>
      </c>
    </row>
    <row r="492" spans="1:23" x14ac:dyDescent="0.2">
      <c r="A492" s="36" t="s">
        <v>2416</v>
      </c>
      <c r="B492" s="27" t="s">
        <v>2417</v>
      </c>
      <c r="C492" s="28" t="e">
        <f ca="1">[1]!BexGetData("DP_1","003N8EMH8GTFRCSWKMPXRR8GU","GSON1112031225")</f>
        <v>#NAME?</v>
      </c>
      <c r="D492" s="28" t="e">
        <f ca="1">[1]!BexGetData("DP_1","003N8EMH8GTFRCSWKMPXRRESE","GSON1112031225")</f>
        <v>#NAME?</v>
      </c>
      <c r="E492" s="28" t="e">
        <f ca="1">[1]!BexGetData("DP_1","003N8EMH8GTFRCSWKMPXRRL3Y","GSON1112031225")</f>
        <v>#NAME?</v>
      </c>
      <c r="F492" s="28" t="e">
        <f ca="1">[1]!BexGetData("DP_1","003N8EMH8GTFRCSWKMPXRRRFI","GSON1112031225")</f>
        <v>#NAME?</v>
      </c>
      <c r="G492" s="23" t="e">
        <f ca="1">[1]!BexGetData("DP_1","003N8EMH8GTFRCSWKMPXRRXR2","GSON1112031225")</f>
        <v>#NAME?</v>
      </c>
      <c r="H492" s="23" t="e">
        <f ca="1">[1]!BexGetData("DP_1","003N8EMH8GTFRCSWKMPXRS42M","GSON1112031225")</f>
        <v>#NAME?</v>
      </c>
      <c r="I492" s="28" t="e">
        <f ca="1">[1]!BexGetData("DP_1","003N8EMH8GTFRCSWKMPXRSAE6","GSON1112031225")</f>
        <v>#NAME?</v>
      </c>
      <c r="J492" s="24" t="e">
        <f ca="1">[1]!BexGetData("DP_1","003N8EMH8GTFRCSWKMPXRSGPQ","GSON1112031225")</f>
        <v>#NAME?</v>
      </c>
      <c r="K492" s="28" t="e">
        <f ca="1">[1]!BexGetData("DP_1","003N8EMH8GTFRIVNUPY288VJH","GSON1112031225")</f>
        <v>#NAME?</v>
      </c>
      <c r="L492" s="28" t="e">
        <f ca="1">[1]!BexGetData("DP_1","003N8EMH8GTFRIVNUPY2891V1","GSON1112031225")</f>
        <v>#NAME?</v>
      </c>
      <c r="M492" s="28" t="e">
        <f ca="1">[1]!BexGetData("DP_1","003N8EMH8GTFRIVOG7KG9IQXA","GSON1112031225")</f>
        <v>#NAME?</v>
      </c>
      <c r="N492" s="28" t="e">
        <f ca="1">[1]!BexGetData("DP_1","003N8EMH8GTFRIVOG7KG9IX8U","GSON1112031225")</f>
        <v>#NAME?</v>
      </c>
      <c r="O492" s="28" t="e">
        <f ca="1">[1]!BexGetData("DP_1","003N8EMH8GTFRIVOG7KG9J3KE","GSON1112031225")</f>
        <v>#NAME?</v>
      </c>
      <c r="P492" s="28" t="e">
        <f ca="1">[1]!BexGetData("DP_1","003N8EMH8GTFRIVOG7KG9J9VY","GSON1112031225")</f>
        <v>#NAME?</v>
      </c>
      <c r="Q492" s="24" t="e">
        <f ca="1">[1]!BexGetData("DP_1","00O2TNJGODT0G5Z4TTKYMM5MT","GSON1112031225")</f>
        <v>#NAME?</v>
      </c>
      <c r="R492" s="28" t="e">
        <f ca="1">[1]!BexGetData("DP_1","00O2TNJGODT0G5Z4TTKYMMBYD","GSON1112031225")</f>
        <v>#NAME?</v>
      </c>
      <c r="S492" s="28" t="e">
        <f ca="1">[1]!BexGetData("DP_1","00O2TNJGODT0G5Z4TTKYMMI9X","GSON1112031225")</f>
        <v>#NAME?</v>
      </c>
      <c r="T492" s="28" t="e">
        <f ca="1">[1]!BexGetData("DP_1","00O2TNJGODT0G5Z4TTKYMMOLH","GSON1112031225")</f>
        <v>#NAME?</v>
      </c>
      <c r="U492" s="28" t="e">
        <f ca="1">[1]!BexGetData("DP_1","00O2TNJGODT0G5Z4TTKYMMUX1","GSON1112031225")</f>
        <v>#NAME?</v>
      </c>
      <c r="V492" s="28" t="e">
        <f ca="1">[1]!BexGetData("DP_1","00O2TNJGODT0G5Z4TTKYMN18L","GSON1112031225")</f>
        <v>#NAME?</v>
      </c>
      <c r="W492" s="28" t="e">
        <f ca="1">[1]!BexGetData("DP_1","00O2TNJGODT0G5Z4TTKYMN7K5","GSON1112031225")</f>
        <v>#NAME?</v>
      </c>
    </row>
    <row r="493" spans="1:23" x14ac:dyDescent="0.2">
      <c r="A493" s="36" t="s">
        <v>2418</v>
      </c>
      <c r="B493" s="27" t="s">
        <v>2419</v>
      </c>
      <c r="C493" s="23" t="e">
        <f ca="1">[1]!BexGetData("DP_1","003N8EMH8GTFRCSWKMPXRR8GU","GSON1112031230")</f>
        <v>#NAME?</v>
      </c>
      <c r="D493" s="23" t="e">
        <f ca="1">[1]!BexGetData("DP_1","003N8EMH8GTFRCSWKMPXRRESE","GSON1112031230")</f>
        <v>#NAME?</v>
      </c>
      <c r="E493" s="28" t="e">
        <f ca="1">[1]!BexGetData("DP_1","003N8EMH8GTFRCSWKMPXRRL3Y","GSON1112031230")</f>
        <v>#NAME?</v>
      </c>
      <c r="F493" s="23" t="e">
        <f ca="1">[1]!BexGetData("DP_1","003N8EMH8GTFRCSWKMPXRRRFI","GSON1112031230")</f>
        <v>#NAME?</v>
      </c>
      <c r="G493" s="23" t="e">
        <f ca="1">[1]!BexGetData("DP_1","003N8EMH8GTFRCSWKMPXRRXR2","GSON1112031230")</f>
        <v>#NAME?</v>
      </c>
      <c r="H493" s="23" t="e">
        <f ca="1">[1]!BexGetData("DP_1","003N8EMH8GTFRCSWKMPXRS42M","GSON1112031230")</f>
        <v>#NAME?</v>
      </c>
      <c r="I493" s="23" t="e">
        <f ca="1">[1]!BexGetData("DP_1","003N8EMH8GTFRCSWKMPXRSAE6","GSON1112031230")</f>
        <v>#NAME?</v>
      </c>
      <c r="J493" s="24" t="e">
        <f ca="1">[1]!BexGetData("DP_1","003N8EMH8GTFRCSWKMPXRSGPQ","GSON1112031230")</f>
        <v>#NAME?</v>
      </c>
      <c r="K493" s="23" t="e">
        <f ca="1">[1]!BexGetData("DP_1","003N8EMH8GTFRIVNUPY288VJH","GSON1112031230")</f>
        <v>#NAME?</v>
      </c>
      <c r="L493" s="23" t="e">
        <f ca="1">[1]!BexGetData("DP_1","003N8EMH8GTFRIVNUPY2891V1","GSON1112031230")</f>
        <v>#NAME?</v>
      </c>
      <c r="M493" s="23" t="e">
        <f ca="1">[1]!BexGetData("DP_1","003N8EMH8GTFRIVOG7KG9IQXA","GSON1112031230")</f>
        <v>#NAME?</v>
      </c>
      <c r="N493" s="28" t="e">
        <f ca="1">[1]!BexGetData("DP_1","003N8EMH8GTFRIVOG7KG9IX8U","GSON1112031230")</f>
        <v>#NAME?</v>
      </c>
      <c r="O493" s="23" t="e">
        <f ca="1">[1]!BexGetData("DP_1","003N8EMH8GTFRIVOG7KG9J3KE","GSON1112031230")</f>
        <v>#NAME?</v>
      </c>
      <c r="P493" s="28" t="e">
        <f ca="1">[1]!BexGetData("DP_1","003N8EMH8GTFRIVOG7KG9J9VY","GSON1112031230")</f>
        <v>#NAME?</v>
      </c>
      <c r="Q493" s="24" t="e">
        <f ca="1">[1]!BexGetData("DP_1","00O2TNJGODT0G5Z4TTKYMM5MT","GSON1112031230")</f>
        <v>#NAME?</v>
      </c>
      <c r="R493" s="23" t="e">
        <f ca="1">[1]!BexGetData("DP_1","00O2TNJGODT0G5Z4TTKYMMBYD","GSON1112031230")</f>
        <v>#NAME?</v>
      </c>
      <c r="S493" s="23" t="e">
        <f ca="1">[1]!BexGetData("DP_1","00O2TNJGODT0G5Z4TTKYMMI9X","GSON1112031230")</f>
        <v>#NAME?</v>
      </c>
      <c r="T493" s="28" t="e">
        <f ca="1">[1]!BexGetData("DP_1","00O2TNJGODT0G5Z4TTKYMMOLH","GSON1112031230")</f>
        <v>#NAME?</v>
      </c>
      <c r="U493" s="23" t="e">
        <f ca="1">[1]!BexGetData("DP_1","00O2TNJGODT0G5Z4TTKYMMUX1","GSON1112031230")</f>
        <v>#NAME?</v>
      </c>
      <c r="V493" s="28" t="e">
        <f ca="1">[1]!BexGetData("DP_1","00O2TNJGODT0G5Z4TTKYMN18L","GSON1112031230")</f>
        <v>#NAME?</v>
      </c>
      <c r="W493" s="23" t="e">
        <f ca="1">[1]!BexGetData("DP_1","00O2TNJGODT0G5Z4TTKYMN7K5","GSON1112031230")</f>
        <v>#NAME?</v>
      </c>
    </row>
    <row r="494" spans="1:23" x14ac:dyDescent="0.2">
      <c r="A494" s="36" t="s">
        <v>2420</v>
      </c>
      <c r="B494" s="27" t="s">
        <v>2421</v>
      </c>
      <c r="C494" s="28" t="e">
        <f ca="1">[1]!BexGetData("DP_1","003N8EMH8GTFRCSWKMPXRR8GU","GSON1112031231")</f>
        <v>#NAME?</v>
      </c>
      <c r="D494" s="28" t="e">
        <f ca="1">[1]!BexGetData("DP_1","003N8EMH8GTFRCSWKMPXRRESE","GSON1112031231")</f>
        <v>#NAME?</v>
      </c>
      <c r="E494" s="28" t="e">
        <f ca="1">[1]!BexGetData("DP_1","003N8EMH8GTFRCSWKMPXRRL3Y","GSON1112031231")</f>
        <v>#NAME?</v>
      </c>
      <c r="F494" s="28" t="e">
        <f ca="1">[1]!BexGetData("DP_1","003N8EMH8GTFRCSWKMPXRRRFI","GSON1112031231")</f>
        <v>#NAME?</v>
      </c>
      <c r="G494" s="23" t="e">
        <f ca="1">[1]!BexGetData("DP_1","003N8EMH8GTFRCSWKMPXRRXR2","GSON1112031231")</f>
        <v>#NAME?</v>
      </c>
      <c r="H494" s="23" t="e">
        <f ca="1">[1]!BexGetData("DP_1","003N8EMH8GTFRCSWKMPXRS42M","GSON1112031231")</f>
        <v>#NAME?</v>
      </c>
      <c r="I494" s="28" t="e">
        <f ca="1">[1]!BexGetData("DP_1","003N8EMH8GTFRCSWKMPXRSAE6","GSON1112031231")</f>
        <v>#NAME?</v>
      </c>
      <c r="J494" s="24" t="e">
        <f ca="1">[1]!BexGetData("DP_1","003N8EMH8GTFRCSWKMPXRSGPQ","GSON1112031231")</f>
        <v>#NAME?</v>
      </c>
      <c r="K494" s="28" t="e">
        <f ca="1">[1]!BexGetData("DP_1","003N8EMH8GTFRIVNUPY288VJH","GSON1112031231")</f>
        <v>#NAME?</v>
      </c>
      <c r="L494" s="28" t="e">
        <f ca="1">[1]!BexGetData("DP_1","003N8EMH8GTFRIVNUPY2891V1","GSON1112031231")</f>
        <v>#NAME?</v>
      </c>
      <c r="M494" s="28" t="e">
        <f ca="1">[1]!BexGetData("DP_1","003N8EMH8GTFRIVOG7KG9IQXA","GSON1112031231")</f>
        <v>#NAME?</v>
      </c>
      <c r="N494" s="28" t="e">
        <f ca="1">[1]!BexGetData("DP_1","003N8EMH8GTFRIVOG7KG9IX8U","GSON1112031231")</f>
        <v>#NAME?</v>
      </c>
      <c r="O494" s="28" t="e">
        <f ca="1">[1]!BexGetData("DP_1","003N8EMH8GTFRIVOG7KG9J3KE","GSON1112031231")</f>
        <v>#NAME?</v>
      </c>
      <c r="P494" s="28" t="e">
        <f ca="1">[1]!BexGetData("DP_1","003N8EMH8GTFRIVOG7KG9J9VY","GSON1112031231")</f>
        <v>#NAME?</v>
      </c>
      <c r="Q494" s="24" t="e">
        <f ca="1">[1]!BexGetData("DP_1","00O2TNJGODT0G5Z4TTKYMM5MT","GSON1112031231")</f>
        <v>#NAME?</v>
      </c>
      <c r="R494" s="28" t="e">
        <f ca="1">[1]!BexGetData("DP_1","00O2TNJGODT0G5Z4TTKYMMBYD","GSON1112031231")</f>
        <v>#NAME?</v>
      </c>
      <c r="S494" s="28" t="e">
        <f ca="1">[1]!BexGetData("DP_1","00O2TNJGODT0G5Z4TTKYMMI9X","GSON1112031231")</f>
        <v>#NAME?</v>
      </c>
      <c r="T494" s="28" t="e">
        <f ca="1">[1]!BexGetData("DP_1","00O2TNJGODT0G5Z4TTKYMMOLH","GSON1112031231")</f>
        <v>#NAME?</v>
      </c>
      <c r="U494" s="28" t="e">
        <f ca="1">[1]!BexGetData("DP_1","00O2TNJGODT0G5Z4TTKYMMUX1","GSON1112031231")</f>
        <v>#NAME?</v>
      </c>
      <c r="V494" s="28" t="e">
        <f ca="1">[1]!BexGetData("DP_1","00O2TNJGODT0G5Z4TTKYMN18L","GSON1112031231")</f>
        <v>#NAME?</v>
      </c>
      <c r="W494" s="28" t="e">
        <f ca="1">[1]!BexGetData("DP_1","00O2TNJGODT0G5Z4TTKYMN7K5","GSON1112031231")</f>
        <v>#NAME?</v>
      </c>
    </row>
    <row r="495" spans="1:23" x14ac:dyDescent="0.2">
      <c r="A495" s="36" t="s">
        <v>2422</v>
      </c>
      <c r="B495" s="27" t="s">
        <v>2423</v>
      </c>
      <c r="C495" s="23" t="e">
        <f ca="1">[1]!BexGetData("DP_1","003N8EMH8GTFRCSWKMPXRR8GU","GSON1112031233")</f>
        <v>#NAME?</v>
      </c>
      <c r="D495" s="23" t="e">
        <f ca="1">[1]!BexGetData("DP_1","003N8EMH8GTFRCSWKMPXRRESE","GSON1112031233")</f>
        <v>#NAME?</v>
      </c>
      <c r="E495" s="28" t="e">
        <f ca="1">[1]!BexGetData("DP_1","003N8EMH8GTFRCSWKMPXRRL3Y","GSON1112031233")</f>
        <v>#NAME?</v>
      </c>
      <c r="F495" s="28" t="e">
        <f ca="1">[1]!BexGetData("DP_1","003N8EMH8GTFRCSWKMPXRRRFI","GSON1112031233")</f>
        <v>#NAME?</v>
      </c>
      <c r="G495" s="23" t="e">
        <f ca="1">[1]!BexGetData("DP_1","003N8EMH8GTFRCSWKMPXRRXR2","GSON1112031233")</f>
        <v>#NAME?</v>
      </c>
      <c r="H495" s="23" t="e">
        <f ca="1">[1]!BexGetData("DP_1","003N8EMH8GTFRCSWKMPXRS42M","GSON1112031233")</f>
        <v>#NAME?</v>
      </c>
      <c r="I495" s="28" t="e">
        <f ca="1">[1]!BexGetData("DP_1","003N8EMH8GTFRCSWKMPXRSAE6","GSON1112031233")</f>
        <v>#NAME?</v>
      </c>
      <c r="J495" s="24" t="e">
        <f ca="1">[1]!BexGetData("DP_1","003N8EMH8GTFRCSWKMPXRSGPQ","GSON1112031233")</f>
        <v>#NAME?</v>
      </c>
      <c r="K495" s="28" t="e">
        <f ca="1">[1]!BexGetData("DP_1","003N8EMH8GTFRIVNUPY288VJH","GSON1112031233")</f>
        <v>#NAME?</v>
      </c>
      <c r="L495" s="28" t="e">
        <f ca="1">[1]!BexGetData("DP_1","003N8EMH8GTFRIVNUPY2891V1","GSON1112031233")</f>
        <v>#NAME?</v>
      </c>
      <c r="M495" s="28" t="e">
        <f ca="1">[1]!BexGetData("DP_1","003N8EMH8GTFRIVOG7KG9IQXA","GSON1112031233")</f>
        <v>#NAME?</v>
      </c>
      <c r="N495" s="28" t="e">
        <f ca="1">[1]!BexGetData("DP_1","003N8EMH8GTFRIVOG7KG9IX8U","GSON1112031233")</f>
        <v>#NAME?</v>
      </c>
      <c r="O495" s="28" t="e">
        <f ca="1">[1]!BexGetData("DP_1","003N8EMH8GTFRIVOG7KG9J3KE","GSON1112031233")</f>
        <v>#NAME?</v>
      </c>
      <c r="P495" s="28" t="e">
        <f ca="1">[1]!BexGetData("DP_1","003N8EMH8GTFRIVOG7KG9J9VY","GSON1112031233")</f>
        <v>#NAME?</v>
      </c>
      <c r="Q495" s="24" t="e">
        <f ca="1">[1]!BexGetData("DP_1","00O2TNJGODT0G5Z4TTKYMM5MT","GSON1112031233")</f>
        <v>#NAME?</v>
      </c>
      <c r="R495" s="28" t="e">
        <f ca="1">[1]!BexGetData("DP_1","00O2TNJGODT0G5Z4TTKYMMBYD","GSON1112031233")</f>
        <v>#NAME?</v>
      </c>
      <c r="S495" s="28" t="e">
        <f ca="1">[1]!BexGetData("DP_1","00O2TNJGODT0G5Z4TTKYMMI9X","GSON1112031233")</f>
        <v>#NAME?</v>
      </c>
      <c r="T495" s="28" t="e">
        <f ca="1">[1]!BexGetData("DP_1","00O2TNJGODT0G5Z4TTKYMMOLH","GSON1112031233")</f>
        <v>#NAME?</v>
      </c>
      <c r="U495" s="28" t="e">
        <f ca="1">[1]!BexGetData("DP_1","00O2TNJGODT0G5Z4TTKYMMUX1","GSON1112031233")</f>
        <v>#NAME?</v>
      </c>
      <c r="V495" s="28" t="e">
        <f ca="1">[1]!BexGetData("DP_1","00O2TNJGODT0G5Z4TTKYMN18L","GSON1112031233")</f>
        <v>#NAME?</v>
      </c>
      <c r="W495" s="28" t="e">
        <f ca="1">[1]!BexGetData("DP_1","00O2TNJGODT0G5Z4TTKYMN7K5","GSON1112031233")</f>
        <v>#NAME?</v>
      </c>
    </row>
    <row r="496" spans="1:23" x14ac:dyDescent="0.2">
      <c r="A496" s="36" t="s">
        <v>2424</v>
      </c>
      <c r="B496" s="27" t="s">
        <v>2425</v>
      </c>
      <c r="C496" s="23" t="e">
        <f ca="1">[1]!BexGetData("DP_1","003N8EMH8GTFRCSWKMPXRR8GU","GSON1112031235")</f>
        <v>#NAME?</v>
      </c>
      <c r="D496" s="23" t="e">
        <f ca="1">[1]!BexGetData("DP_1","003N8EMH8GTFRCSWKMPXRRESE","GSON1112031235")</f>
        <v>#NAME?</v>
      </c>
      <c r="E496" s="28" t="e">
        <f ca="1">[1]!BexGetData("DP_1","003N8EMH8GTFRCSWKMPXRRL3Y","GSON1112031235")</f>
        <v>#NAME?</v>
      </c>
      <c r="F496" s="28" t="e">
        <f ca="1">[1]!BexGetData("DP_1","003N8EMH8GTFRCSWKMPXRRRFI","GSON1112031235")</f>
        <v>#NAME?</v>
      </c>
      <c r="G496" s="23" t="e">
        <f ca="1">[1]!BexGetData("DP_1","003N8EMH8GTFRCSWKMPXRRXR2","GSON1112031235")</f>
        <v>#NAME?</v>
      </c>
      <c r="H496" s="23" t="e">
        <f ca="1">[1]!BexGetData("DP_1","003N8EMH8GTFRCSWKMPXRS42M","GSON1112031235")</f>
        <v>#NAME?</v>
      </c>
      <c r="I496" s="28" t="e">
        <f ca="1">[1]!BexGetData("DP_1","003N8EMH8GTFRCSWKMPXRSAE6","GSON1112031235")</f>
        <v>#NAME?</v>
      </c>
      <c r="J496" s="24" t="e">
        <f ca="1">[1]!BexGetData("DP_1","003N8EMH8GTFRCSWKMPXRSGPQ","GSON1112031235")</f>
        <v>#NAME?</v>
      </c>
      <c r="K496" s="28" t="e">
        <f ca="1">[1]!BexGetData("DP_1","003N8EMH8GTFRIVNUPY288VJH","GSON1112031235")</f>
        <v>#NAME?</v>
      </c>
      <c r="L496" s="28" t="e">
        <f ca="1">[1]!BexGetData("DP_1","003N8EMH8GTFRIVNUPY2891V1","GSON1112031235")</f>
        <v>#NAME?</v>
      </c>
      <c r="M496" s="28" t="e">
        <f ca="1">[1]!BexGetData("DP_1","003N8EMH8GTFRIVOG7KG9IQXA","GSON1112031235")</f>
        <v>#NAME?</v>
      </c>
      <c r="N496" s="28" t="e">
        <f ca="1">[1]!BexGetData("DP_1","003N8EMH8GTFRIVOG7KG9IX8U","GSON1112031235")</f>
        <v>#NAME?</v>
      </c>
      <c r="O496" s="28" t="e">
        <f ca="1">[1]!BexGetData("DP_1","003N8EMH8GTFRIVOG7KG9J3KE","GSON1112031235")</f>
        <v>#NAME?</v>
      </c>
      <c r="P496" s="28" t="e">
        <f ca="1">[1]!BexGetData("DP_1","003N8EMH8GTFRIVOG7KG9J9VY","GSON1112031235")</f>
        <v>#NAME?</v>
      </c>
      <c r="Q496" s="24" t="e">
        <f ca="1">[1]!BexGetData("DP_1","00O2TNJGODT0G5Z4TTKYMM5MT","GSON1112031235")</f>
        <v>#NAME?</v>
      </c>
      <c r="R496" s="28" t="e">
        <f ca="1">[1]!BexGetData("DP_1","00O2TNJGODT0G5Z4TTKYMMBYD","GSON1112031235")</f>
        <v>#NAME?</v>
      </c>
      <c r="S496" s="28" t="e">
        <f ca="1">[1]!BexGetData("DP_1","00O2TNJGODT0G5Z4TTKYMMI9X","GSON1112031235")</f>
        <v>#NAME?</v>
      </c>
      <c r="T496" s="28" t="e">
        <f ca="1">[1]!BexGetData("DP_1","00O2TNJGODT0G5Z4TTKYMMOLH","GSON1112031235")</f>
        <v>#NAME?</v>
      </c>
      <c r="U496" s="28" t="e">
        <f ca="1">[1]!BexGetData("DP_1","00O2TNJGODT0G5Z4TTKYMMUX1","GSON1112031235")</f>
        <v>#NAME?</v>
      </c>
      <c r="V496" s="28" t="e">
        <f ca="1">[1]!BexGetData("DP_1","00O2TNJGODT0G5Z4TTKYMN18L","GSON1112031235")</f>
        <v>#NAME?</v>
      </c>
      <c r="W496" s="28" t="e">
        <f ca="1">[1]!BexGetData("DP_1","00O2TNJGODT0G5Z4TTKYMN7K5","GSON1112031235")</f>
        <v>#NAME?</v>
      </c>
    </row>
    <row r="497" spans="1:23" x14ac:dyDescent="0.2">
      <c r="A497" s="36" t="s">
        <v>2426</v>
      </c>
      <c r="B497" s="27" t="s">
        <v>2427</v>
      </c>
      <c r="C497" s="28" t="e">
        <f ca="1">[1]!BexGetData("DP_1","003N8EMH8GTFRCSWKMPXRR8GU","GSON1112031240")</f>
        <v>#NAME?</v>
      </c>
      <c r="D497" s="23" t="e">
        <f ca="1">[1]!BexGetData("DP_1","003N8EMH8GTFRCSWKMPXRRESE","GSON1112031240")</f>
        <v>#NAME?</v>
      </c>
      <c r="E497" s="28" t="e">
        <f ca="1">[1]!BexGetData("DP_1","003N8EMH8GTFRCSWKMPXRRL3Y","GSON1112031240")</f>
        <v>#NAME?</v>
      </c>
      <c r="F497" s="23" t="e">
        <f ca="1">[1]!BexGetData("DP_1","003N8EMH8GTFRCSWKMPXRRRFI","GSON1112031240")</f>
        <v>#NAME?</v>
      </c>
      <c r="G497" s="23" t="e">
        <f ca="1">[1]!BexGetData("DP_1","003N8EMH8GTFRCSWKMPXRRXR2","GSON1112031240")</f>
        <v>#NAME?</v>
      </c>
      <c r="H497" s="23" t="e">
        <f ca="1">[1]!BexGetData("DP_1","003N8EMH8GTFRCSWKMPXRS42M","GSON1112031240")</f>
        <v>#NAME?</v>
      </c>
      <c r="I497" s="23" t="e">
        <f ca="1">[1]!BexGetData("DP_1","003N8EMH8GTFRCSWKMPXRSAE6","GSON1112031240")</f>
        <v>#NAME?</v>
      </c>
      <c r="J497" s="24" t="e">
        <f ca="1">[1]!BexGetData("DP_1","003N8EMH8GTFRCSWKMPXRSGPQ","GSON1112031240")</f>
        <v>#NAME?</v>
      </c>
      <c r="K497" s="23" t="e">
        <f ca="1">[1]!BexGetData("DP_1","003N8EMH8GTFRIVNUPY288VJH","GSON1112031240")</f>
        <v>#NAME?</v>
      </c>
      <c r="L497" s="23" t="e">
        <f ca="1">[1]!BexGetData("DP_1","003N8EMH8GTFRIVNUPY2891V1","GSON1112031240")</f>
        <v>#NAME?</v>
      </c>
      <c r="M497" s="23" t="e">
        <f ca="1">[1]!BexGetData("DP_1","003N8EMH8GTFRIVOG7KG9IQXA","GSON1112031240")</f>
        <v>#NAME?</v>
      </c>
      <c r="N497" s="28" t="e">
        <f ca="1">[1]!BexGetData("DP_1","003N8EMH8GTFRIVOG7KG9IX8U","GSON1112031240")</f>
        <v>#NAME?</v>
      </c>
      <c r="O497" s="23" t="e">
        <f ca="1">[1]!BexGetData("DP_1","003N8EMH8GTFRIVOG7KG9J3KE","GSON1112031240")</f>
        <v>#NAME?</v>
      </c>
      <c r="P497" s="28" t="e">
        <f ca="1">[1]!BexGetData("DP_1","003N8EMH8GTFRIVOG7KG9J9VY","GSON1112031240")</f>
        <v>#NAME?</v>
      </c>
      <c r="Q497" s="24" t="e">
        <f ca="1">[1]!BexGetData("DP_1","00O2TNJGODT0G5Z4TTKYMM5MT","GSON1112031240")</f>
        <v>#NAME?</v>
      </c>
      <c r="R497" s="23" t="e">
        <f ca="1">[1]!BexGetData("DP_1","00O2TNJGODT0G5Z4TTKYMMBYD","GSON1112031240")</f>
        <v>#NAME?</v>
      </c>
      <c r="S497" s="23" t="e">
        <f ca="1">[1]!BexGetData("DP_1","00O2TNJGODT0G5Z4TTKYMMI9X","GSON1112031240")</f>
        <v>#NAME?</v>
      </c>
      <c r="T497" s="28" t="e">
        <f ca="1">[1]!BexGetData("DP_1","00O2TNJGODT0G5Z4TTKYMMOLH","GSON1112031240")</f>
        <v>#NAME?</v>
      </c>
      <c r="U497" s="23" t="e">
        <f ca="1">[1]!BexGetData("DP_1","00O2TNJGODT0G5Z4TTKYMMUX1","GSON1112031240")</f>
        <v>#NAME?</v>
      </c>
      <c r="V497" s="28" t="e">
        <f ca="1">[1]!BexGetData("DP_1","00O2TNJGODT0G5Z4TTKYMN18L","GSON1112031240")</f>
        <v>#NAME?</v>
      </c>
      <c r="W497" s="23" t="e">
        <f ca="1">[1]!BexGetData("DP_1","00O2TNJGODT0G5Z4TTKYMN7K5","GSON1112031240")</f>
        <v>#NAME?</v>
      </c>
    </row>
    <row r="498" spans="1:23" x14ac:dyDescent="0.2">
      <c r="A498" s="36" t="s">
        <v>2428</v>
      </c>
      <c r="B498" s="27" t="s">
        <v>2429</v>
      </c>
      <c r="C498" s="28" t="e">
        <f ca="1">[1]!BexGetData("DP_1","003N8EMH8GTFRCSWKMPXRR8GU","GSON1112031241")</f>
        <v>#NAME?</v>
      </c>
      <c r="D498" s="28" t="e">
        <f ca="1">[1]!BexGetData("DP_1","003N8EMH8GTFRCSWKMPXRRESE","GSON1112031241")</f>
        <v>#NAME?</v>
      </c>
      <c r="E498" s="28" t="e">
        <f ca="1">[1]!BexGetData("DP_1","003N8EMH8GTFRCSWKMPXRRL3Y","GSON1112031241")</f>
        <v>#NAME?</v>
      </c>
      <c r="F498" s="28" t="e">
        <f ca="1">[1]!BexGetData("DP_1","003N8EMH8GTFRCSWKMPXRRRFI","GSON1112031241")</f>
        <v>#NAME?</v>
      </c>
      <c r="G498" s="23" t="e">
        <f ca="1">[1]!BexGetData("DP_1","003N8EMH8GTFRCSWKMPXRRXR2","GSON1112031241")</f>
        <v>#NAME?</v>
      </c>
      <c r="H498" s="23" t="e">
        <f ca="1">[1]!BexGetData("DP_1","003N8EMH8GTFRCSWKMPXRS42M","GSON1112031241")</f>
        <v>#NAME?</v>
      </c>
      <c r="I498" s="28" t="e">
        <f ca="1">[1]!BexGetData("DP_1","003N8EMH8GTFRCSWKMPXRSAE6","GSON1112031241")</f>
        <v>#NAME?</v>
      </c>
      <c r="J498" s="24" t="e">
        <f ca="1">[1]!BexGetData("DP_1","003N8EMH8GTFRCSWKMPXRSGPQ","GSON1112031241")</f>
        <v>#NAME?</v>
      </c>
      <c r="K498" s="28" t="e">
        <f ca="1">[1]!BexGetData("DP_1","003N8EMH8GTFRIVNUPY288VJH","GSON1112031241")</f>
        <v>#NAME?</v>
      </c>
      <c r="L498" s="28" t="e">
        <f ca="1">[1]!BexGetData("DP_1","003N8EMH8GTFRIVNUPY2891V1","GSON1112031241")</f>
        <v>#NAME?</v>
      </c>
      <c r="M498" s="28" t="e">
        <f ca="1">[1]!BexGetData("DP_1","003N8EMH8GTFRIVOG7KG9IQXA","GSON1112031241")</f>
        <v>#NAME?</v>
      </c>
      <c r="N498" s="28" t="e">
        <f ca="1">[1]!BexGetData("DP_1","003N8EMH8GTFRIVOG7KG9IX8U","GSON1112031241")</f>
        <v>#NAME?</v>
      </c>
      <c r="O498" s="28" t="e">
        <f ca="1">[1]!BexGetData("DP_1","003N8EMH8GTFRIVOG7KG9J3KE","GSON1112031241")</f>
        <v>#NAME?</v>
      </c>
      <c r="P498" s="28" t="e">
        <f ca="1">[1]!BexGetData("DP_1","003N8EMH8GTFRIVOG7KG9J9VY","GSON1112031241")</f>
        <v>#NAME?</v>
      </c>
      <c r="Q498" s="24" t="e">
        <f ca="1">[1]!BexGetData("DP_1","00O2TNJGODT0G5Z4TTKYMM5MT","GSON1112031241")</f>
        <v>#NAME?</v>
      </c>
      <c r="R498" s="28" t="e">
        <f ca="1">[1]!BexGetData("DP_1","00O2TNJGODT0G5Z4TTKYMMBYD","GSON1112031241")</f>
        <v>#NAME?</v>
      </c>
      <c r="S498" s="28" t="e">
        <f ca="1">[1]!BexGetData("DP_1","00O2TNJGODT0G5Z4TTKYMMI9X","GSON1112031241")</f>
        <v>#NAME?</v>
      </c>
      <c r="T498" s="28" t="e">
        <f ca="1">[1]!BexGetData("DP_1","00O2TNJGODT0G5Z4TTKYMMOLH","GSON1112031241")</f>
        <v>#NAME?</v>
      </c>
      <c r="U498" s="28" t="e">
        <f ca="1">[1]!BexGetData("DP_1","00O2TNJGODT0G5Z4TTKYMMUX1","GSON1112031241")</f>
        <v>#NAME?</v>
      </c>
      <c r="V498" s="28" t="e">
        <f ca="1">[1]!BexGetData("DP_1","00O2TNJGODT0G5Z4TTKYMN18L","GSON1112031241")</f>
        <v>#NAME?</v>
      </c>
      <c r="W498" s="28" t="e">
        <f ca="1">[1]!BexGetData("DP_1","00O2TNJGODT0G5Z4TTKYMN7K5","GSON1112031241")</f>
        <v>#NAME?</v>
      </c>
    </row>
    <row r="499" spans="1:23" x14ac:dyDescent="0.2">
      <c r="A499" s="36" t="s">
        <v>2430</v>
      </c>
      <c r="B499" s="27" t="s">
        <v>2431</v>
      </c>
      <c r="C499" s="23" t="e">
        <f ca="1">[1]!BexGetData("DP_1","003N8EMH8GTFRCSWKMPXRR8GU","GSON1112031243")</f>
        <v>#NAME?</v>
      </c>
      <c r="D499" s="23" t="e">
        <f ca="1">[1]!BexGetData("DP_1","003N8EMH8GTFRCSWKMPXRRESE","GSON1112031243")</f>
        <v>#NAME?</v>
      </c>
      <c r="E499" s="28" t="e">
        <f ca="1">[1]!BexGetData("DP_1","003N8EMH8GTFRCSWKMPXRRL3Y","GSON1112031243")</f>
        <v>#NAME?</v>
      </c>
      <c r="F499" s="28" t="e">
        <f ca="1">[1]!BexGetData("DP_1","003N8EMH8GTFRCSWKMPXRRRFI","GSON1112031243")</f>
        <v>#NAME?</v>
      </c>
      <c r="G499" s="23" t="e">
        <f ca="1">[1]!BexGetData("DP_1","003N8EMH8GTFRCSWKMPXRRXR2","GSON1112031243")</f>
        <v>#NAME?</v>
      </c>
      <c r="H499" s="23" t="e">
        <f ca="1">[1]!BexGetData("DP_1","003N8EMH8GTFRCSWKMPXRS42M","GSON1112031243")</f>
        <v>#NAME?</v>
      </c>
      <c r="I499" s="28" t="e">
        <f ca="1">[1]!BexGetData("DP_1","003N8EMH8GTFRCSWKMPXRSAE6","GSON1112031243")</f>
        <v>#NAME?</v>
      </c>
      <c r="J499" s="24" t="e">
        <f ca="1">[1]!BexGetData("DP_1","003N8EMH8GTFRCSWKMPXRSGPQ","GSON1112031243")</f>
        <v>#NAME?</v>
      </c>
      <c r="K499" s="28" t="e">
        <f ca="1">[1]!BexGetData("DP_1","003N8EMH8GTFRIVNUPY288VJH","GSON1112031243")</f>
        <v>#NAME?</v>
      </c>
      <c r="L499" s="28" t="e">
        <f ca="1">[1]!BexGetData("DP_1","003N8EMH8GTFRIVNUPY2891V1","GSON1112031243")</f>
        <v>#NAME?</v>
      </c>
      <c r="M499" s="28" t="e">
        <f ca="1">[1]!BexGetData("DP_1","003N8EMH8GTFRIVOG7KG9IQXA","GSON1112031243")</f>
        <v>#NAME?</v>
      </c>
      <c r="N499" s="28" t="e">
        <f ca="1">[1]!BexGetData("DP_1","003N8EMH8GTFRIVOG7KG9IX8U","GSON1112031243")</f>
        <v>#NAME?</v>
      </c>
      <c r="O499" s="28" t="e">
        <f ca="1">[1]!BexGetData("DP_1","003N8EMH8GTFRIVOG7KG9J3KE","GSON1112031243")</f>
        <v>#NAME?</v>
      </c>
      <c r="P499" s="28" t="e">
        <f ca="1">[1]!BexGetData("DP_1","003N8EMH8GTFRIVOG7KG9J9VY","GSON1112031243")</f>
        <v>#NAME?</v>
      </c>
      <c r="Q499" s="24" t="e">
        <f ca="1">[1]!BexGetData("DP_1","00O2TNJGODT0G5Z4TTKYMM5MT","GSON1112031243")</f>
        <v>#NAME?</v>
      </c>
      <c r="R499" s="28" t="e">
        <f ca="1">[1]!BexGetData("DP_1","00O2TNJGODT0G5Z4TTKYMMBYD","GSON1112031243")</f>
        <v>#NAME?</v>
      </c>
      <c r="S499" s="28" t="e">
        <f ca="1">[1]!BexGetData("DP_1","00O2TNJGODT0G5Z4TTKYMMI9X","GSON1112031243")</f>
        <v>#NAME?</v>
      </c>
      <c r="T499" s="28" t="e">
        <f ca="1">[1]!BexGetData("DP_1","00O2TNJGODT0G5Z4TTKYMMOLH","GSON1112031243")</f>
        <v>#NAME?</v>
      </c>
      <c r="U499" s="28" t="e">
        <f ca="1">[1]!BexGetData("DP_1","00O2TNJGODT0G5Z4TTKYMMUX1","GSON1112031243")</f>
        <v>#NAME?</v>
      </c>
      <c r="V499" s="28" t="e">
        <f ca="1">[1]!BexGetData("DP_1","00O2TNJGODT0G5Z4TTKYMN18L","GSON1112031243")</f>
        <v>#NAME?</v>
      </c>
      <c r="W499" s="28" t="e">
        <f ca="1">[1]!BexGetData("DP_1","00O2TNJGODT0G5Z4TTKYMN7K5","GSON1112031243")</f>
        <v>#NAME?</v>
      </c>
    </row>
    <row r="500" spans="1:23" x14ac:dyDescent="0.2">
      <c r="A500" s="36" t="s">
        <v>2432</v>
      </c>
      <c r="B500" s="27" t="s">
        <v>2433</v>
      </c>
      <c r="C500" s="28" t="e">
        <f ca="1">[1]!BexGetData("DP_1","003N8EMH8GTFRCSWKMPXRR8GU","GSON1112031245")</f>
        <v>#NAME?</v>
      </c>
      <c r="D500" s="28" t="e">
        <f ca="1">[1]!BexGetData("DP_1","003N8EMH8GTFRCSWKMPXRRESE","GSON1112031245")</f>
        <v>#NAME?</v>
      </c>
      <c r="E500" s="28" t="e">
        <f ca="1">[1]!BexGetData("DP_1","003N8EMH8GTFRCSWKMPXRRL3Y","GSON1112031245")</f>
        <v>#NAME?</v>
      </c>
      <c r="F500" s="28" t="e">
        <f ca="1">[1]!BexGetData("DP_1","003N8EMH8GTFRCSWKMPXRRRFI","GSON1112031245")</f>
        <v>#NAME?</v>
      </c>
      <c r="G500" s="23" t="e">
        <f ca="1">[1]!BexGetData("DP_1","003N8EMH8GTFRCSWKMPXRRXR2","GSON1112031245")</f>
        <v>#NAME?</v>
      </c>
      <c r="H500" s="23" t="e">
        <f ca="1">[1]!BexGetData("DP_1","003N8EMH8GTFRCSWKMPXRS42M","GSON1112031245")</f>
        <v>#NAME?</v>
      </c>
      <c r="I500" s="28" t="e">
        <f ca="1">[1]!BexGetData("DP_1","003N8EMH8GTFRCSWKMPXRSAE6","GSON1112031245")</f>
        <v>#NAME?</v>
      </c>
      <c r="J500" s="24" t="e">
        <f ca="1">[1]!BexGetData("DP_1","003N8EMH8GTFRCSWKMPXRSGPQ","GSON1112031245")</f>
        <v>#NAME?</v>
      </c>
      <c r="K500" s="28" t="e">
        <f ca="1">[1]!BexGetData("DP_1","003N8EMH8GTFRIVNUPY288VJH","GSON1112031245")</f>
        <v>#NAME?</v>
      </c>
      <c r="L500" s="28" t="e">
        <f ca="1">[1]!BexGetData("DP_1","003N8EMH8GTFRIVNUPY2891V1","GSON1112031245")</f>
        <v>#NAME?</v>
      </c>
      <c r="M500" s="28" t="e">
        <f ca="1">[1]!BexGetData("DP_1","003N8EMH8GTFRIVOG7KG9IQXA","GSON1112031245")</f>
        <v>#NAME?</v>
      </c>
      <c r="N500" s="28" t="e">
        <f ca="1">[1]!BexGetData("DP_1","003N8EMH8GTFRIVOG7KG9IX8U","GSON1112031245")</f>
        <v>#NAME?</v>
      </c>
      <c r="O500" s="28" t="e">
        <f ca="1">[1]!BexGetData("DP_1","003N8EMH8GTFRIVOG7KG9J3KE","GSON1112031245")</f>
        <v>#NAME?</v>
      </c>
      <c r="P500" s="28" t="e">
        <f ca="1">[1]!BexGetData("DP_1","003N8EMH8GTFRIVOG7KG9J9VY","GSON1112031245")</f>
        <v>#NAME?</v>
      </c>
      <c r="Q500" s="24" t="e">
        <f ca="1">[1]!BexGetData("DP_1","00O2TNJGODT0G5Z4TTKYMM5MT","GSON1112031245")</f>
        <v>#NAME?</v>
      </c>
      <c r="R500" s="28" t="e">
        <f ca="1">[1]!BexGetData("DP_1","00O2TNJGODT0G5Z4TTKYMMBYD","GSON1112031245")</f>
        <v>#NAME?</v>
      </c>
      <c r="S500" s="28" t="e">
        <f ca="1">[1]!BexGetData("DP_1","00O2TNJGODT0G5Z4TTKYMMI9X","GSON1112031245")</f>
        <v>#NAME?</v>
      </c>
      <c r="T500" s="28" t="e">
        <f ca="1">[1]!BexGetData("DP_1","00O2TNJGODT0G5Z4TTKYMMOLH","GSON1112031245")</f>
        <v>#NAME?</v>
      </c>
      <c r="U500" s="28" t="e">
        <f ca="1">[1]!BexGetData("DP_1","00O2TNJGODT0G5Z4TTKYMMUX1","GSON1112031245")</f>
        <v>#NAME?</v>
      </c>
      <c r="V500" s="28" t="e">
        <f ca="1">[1]!BexGetData("DP_1","00O2TNJGODT0G5Z4TTKYMN18L","GSON1112031245")</f>
        <v>#NAME?</v>
      </c>
      <c r="W500" s="28" t="e">
        <f ca="1">[1]!BexGetData("DP_1","00O2TNJGODT0G5Z4TTKYMN7K5","GSON1112031245")</f>
        <v>#NAME?</v>
      </c>
    </row>
    <row r="501" spans="1:23" x14ac:dyDescent="0.2">
      <c r="A501" s="36" t="s">
        <v>2434</v>
      </c>
      <c r="B501" s="27" t="s">
        <v>2435</v>
      </c>
      <c r="C501" s="28" t="e">
        <f ca="1">[1]!BexGetData("DP_1","003N8EMH8GTFRCSWKMPXRR8GU","GSON1112031250")</f>
        <v>#NAME?</v>
      </c>
      <c r="D501" s="23" t="e">
        <f ca="1">[1]!BexGetData("DP_1","003N8EMH8GTFRCSWKMPXRRESE","GSON1112031250")</f>
        <v>#NAME?</v>
      </c>
      <c r="E501" s="28" t="e">
        <f ca="1">[1]!BexGetData("DP_1","003N8EMH8GTFRCSWKMPXRRL3Y","GSON1112031250")</f>
        <v>#NAME?</v>
      </c>
      <c r="F501" s="23" t="e">
        <f ca="1">[1]!BexGetData("DP_1","003N8EMH8GTFRCSWKMPXRRRFI","GSON1112031250")</f>
        <v>#NAME?</v>
      </c>
      <c r="G501" s="23" t="e">
        <f ca="1">[1]!BexGetData("DP_1","003N8EMH8GTFRCSWKMPXRRXR2","GSON1112031250")</f>
        <v>#NAME?</v>
      </c>
      <c r="H501" s="23" t="e">
        <f ca="1">[1]!BexGetData("DP_1","003N8EMH8GTFRCSWKMPXRS42M","GSON1112031250")</f>
        <v>#NAME?</v>
      </c>
      <c r="I501" s="23" t="e">
        <f ca="1">[1]!BexGetData("DP_1","003N8EMH8GTFRCSWKMPXRSAE6","GSON1112031250")</f>
        <v>#NAME?</v>
      </c>
      <c r="J501" s="24" t="e">
        <f ca="1">[1]!BexGetData("DP_1","003N8EMH8GTFRCSWKMPXRSGPQ","GSON1112031250")</f>
        <v>#NAME?</v>
      </c>
      <c r="K501" s="23" t="e">
        <f ca="1">[1]!BexGetData("DP_1","003N8EMH8GTFRIVNUPY288VJH","GSON1112031250")</f>
        <v>#NAME?</v>
      </c>
      <c r="L501" s="23" t="e">
        <f ca="1">[1]!BexGetData("DP_1","003N8EMH8GTFRIVNUPY2891V1","GSON1112031250")</f>
        <v>#NAME?</v>
      </c>
      <c r="M501" s="23" t="e">
        <f ca="1">[1]!BexGetData("DP_1","003N8EMH8GTFRIVOG7KG9IQXA","GSON1112031250")</f>
        <v>#NAME?</v>
      </c>
      <c r="N501" s="28" t="e">
        <f ca="1">[1]!BexGetData("DP_1","003N8EMH8GTFRIVOG7KG9IX8U","GSON1112031250")</f>
        <v>#NAME?</v>
      </c>
      <c r="O501" s="23" t="e">
        <f ca="1">[1]!BexGetData("DP_1","003N8EMH8GTFRIVOG7KG9J3KE","GSON1112031250")</f>
        <v>#NAME?</v>
      </c>
      <c r="P501" s="28" t="e">
        <f ca="1">[1]!BexGetData("DP_1","003N8EMH8GTFRIVOG7KG9J9VY","GSON1112031250")</f>
        <v>#NAME?</v>
      </c>
      <c r="Q501" s="24" t="e">
        <f ca="1">[1]!BexGetData("DP_1","00O2TNJGODT0G5Z4TTKYMM5MT","GSON1112031250")</f>
        <v>#NAME?</v>
      </c>
      <c r="R501" s="23" t="e">
        <f ca="1">[1]!BexGetData("DP_1","00O2TNJGODT0G5Z4TTKYMMBYD","GSON1112031250")</f>
        <v>#NAME?</v>
      </c>
      <c r="S501" s="23" t="e">
        <f ca="1">[1]!BexGetData("DP_1","00O2TNJGODT0G5Z4TTKYMMI9X","GSON1112031250")</f>
        <v>#NAME?</v>
      </c>
      <c r="T501" s="28" t="e">
        <f ca="1">[1]!BexGetData("DP_1","00O2TNJGODT0G5Z4TTKYMMOLH","GSON1112031250")</f>
        <v>#NAME?</v>
      </c>
      <c r="U501" s="23" t="e">
        <f ca="1">[1]!BexGetData("DP_1","00O2TNJGODT0G5Z4TTKYMMUX1","GSON1112031250")</f>
        <v>#NAME?</v>
      </c>
      <c r="V501" s="28" t="e">
        <f ca="1">[1]!BexGetData("DP_1","00O2TNJGODT0G5Z4TTKYMN18L","GSON1112031250")</f>
        <v>#NAME?</v>
      </c>
      <c r="W501" s="23" t="e">
        <f ca="1">[1]!BexGetData("DP_1","00O2TNJGODT0G5Z4TTKYMN7K5","GSON1112031250")</f>
        <v>#NAME?</v>
      </c>
    </row>
    <row r="502" spans="1:23" x14ac:dyDescent="0.2">
      <c r="A502" s="36" t="s">
        <v>2436</v>
      </c>
      <c r="B502" s="27" t="s">
        <v>2437</v>
      </c>
      <c r="C502" s="28" t="e">
        <f ca="1">[1]!BexGetData("DP_1","003N8EMH8GTFRCSWKMPXRR8GU","GSON1112031251")</f>
        <v>#NAME?</v>
      </c>
      <c r="D502" s="28" t="e">
        <f ca="1">[1]!BexGetData("DP_1","003N8EMH8GTFRCSWKMPXRRESE","GSON1112031251")</f>
        <v>#NAME?</v>
      </c>
      <c r="E502" s="28" t="e">
        <f ca="1">[1]!BexGetData("DP_1","003N8EMH8GTFRCSWKMPXRRL3Y","GSON1112031251")</f>
        <v>#NAME?</v>
      </c>
      <c r="F502" s="28" t="e">
        <f ca="1">[1]!BexGetData("DP_1","003N8EMH8GTFRCSWKMPXRRRFI","GSON1112031251")</f>
        <v>#NAME?</v>
      </c>
      <c r="G502" s="23" t="e">
        <f ca="1">[1]!BexGetData("DP_1","003N8EMH8GTFRCSWKMPXRRXR2","GSON1112031251")</f>
        <v>#NAME?</v>
      </c>
      <c r="H502" s="23" t="e">
        <f ca="1">[1]!BexGetData("DP_1","003N8EMH8GTFRCSWKMPXRS42M","GSON1112031251")</f>
        <v>#NAME?</v>
      </c>
      <c r="I502" s="28" t="e">
        <f ca="1">[1]!BexGetData("DP_1","003N8EMH8GTFRCSWKMPXRSAE6","GSON1112031251")</f>
        <v>#NAME?</v>
      </c>
      <c r="J502" s="24" t="e">
        <f ca="1">[1]!BexGetData("DP_1","003N8EMH8GTFRCSWKMPXRSGPQ","GSON1112031251")</f>
        <v>#NAME?</v>
      </c>
      <c r="K502" s="28" t="e">
        <f ca="1">[1]!BexGetData("DP_1","003N8EMH8GTFRIVNUPY288VJH","GSON1112031251")</f>
        <v>#NAME?</v>
      </c>
      <c r="L502" s="28" t="e">
        <f ca="1">[1]!BexGetData("DP_1","003N8EMH8GTFRIVNUPY2891V1","GSON1112031251")</f>
        <v>#NAME?</v>
      </c>
      <c r="M502" s="28" t="e">
        <f ca="1">[1]!BexGetData("DP_1","003N8EMH8GTFRIVOG7KG9IQXA","GSON1112031251")</f>
        <v>#NAME?</v>
      </c>
      <c r="N502" s="28" t="e">
        <f ca="1">[1]!BexGetData("DP_1","003N8EMH8GTFRIVOG7KG9IX8U","GSON1112031251")</f>
        <v>#NAME?</v>
      </c>
      <c r="O502" s="28" t="e">
        <f ca="1">[1]!BexGetData("DP_1","003N8EMH8GTFRIVOG7KG9J3KE","GSON1112031251")</f>
        <v>#NAME?</v>
      </c>
      <c r="P502" s="28" t="e">
        <f ca="1">[1]!BexGetData("DP_1","003N8EMH8GTFRIVOG7KG9J9VY","GSON1112031251")</f>
        <v>#NAME?</v>
      </c>
      <c r="Q502" s="24" t="e">
        <f ca="1">[1]!BexGetData("DP_1","00O2TNJGODT0G5Z4TTKYMM5MT","GSON1112031251")</f>
        <v>#NAME?</v>
      </c>
      <c r="R502" s="28" t="e">
        <f ca="1">[1]!BexGetData("DP_1","00O2TNJGODT0G5Z4TTKYMMBYD","GSON1112031251")</f>
        <v>#NAME?</v>
      </c>
      <c r="S502" s="28" t="e">
        <f ca="1">[1]!BexGetData("DP_1","00O2TNJGODT0G5Z4TTKYMMI9X","GSON1112031251")</f>
        <v>#NAME?</v>
      </c>
      <c r="T502" s="28" t="e">
        <f ca="1">[1]!BexGetData("DP_1","00O2TNJGODT0G5Z4TTKYMMOLH","GSON1112031251")</f>
        <v>#NAME?</v>
      </c>
      <c r="U502" s="28" t="e">
        <f ca="1">[1]!BexGetData("DP_1","00O2TNJGODT0G5Z4TTKYMMUX1","GSON1112031251")</f>
        <v>#NAME?</v>
      </c>
      <c r="V502" s="28" t="e">
        <f ca="1">[1]!BexGetData("DP_1","00O2TNJGODT0G5Z4TTKYMN18L","GSON1112031251")</f>
        <v>#NAME?</v>
      </c>
      <c r="W502" s="28" t="e">
        <f ca="1">[1]!BexGetData("DP_1","00O2TNJGODT0G5Z4TTKYMN7K5","GSON1112031251")</f>
        <v>#NAME?</v>
      </c>
    </row>
    <row r="503" spans="1:23" x14ac:dyDescent="0.2">
      <c r="A503" s="36" t="s">
        <v>2438</v>
      </c>
      <c r="B503" s="27" t="s">
        <v>2439</v>
      </c>
      <c r="C503" s="23" t="e">
        <f ca="1">[1]!BexGetData("DP_1","003N8EMH8GTFRCSWKMPXRR8GU","GSON1112031253")</f>
        <v>#NAME?</v>
      </c>
      <c r="D503" s="23" t="e">
        <f ca="1">[1]!BexGetData("DP_1","003N8EMH8GTFRCSWKMPXRRESE","GSON1112031253")</f>
        <v>#NAME?</v>
      </c>
      <c r="E503" s="28" t="e">
        <f ca="1">[1]!BexGetData("DP_1","003N8EMH8GTFRCSWKMPXRRL3Y","GSON1112031253")</f>
        <v>#NAME?</v>
      </c>
      <c r="F503" s="28" t="e">
        <f ca="1">[1]!BexGetData("DP_1","003N8EMH8GTFRCSWKMPXRRRFI","GSON1112031253")</f>
        <v>#NAME?</v>
      </c>
      <c r="G503" s="23" t="e">
        <f ca="1">[1]!BexGetData("DP_1","003N8EMH8GTFRCSWKMPXRRXR2","GSON1112031253")</f>
        <v>#NAME?</v>
      </c>
      <c r="H503" s="23" t="e">
        <f ca="1">[1]!BexGetData("DP_1","003N8EMH8GTFRCSWKMPXRS42M","GSON1112031253")</f>
        <v>#NAME?</v>
      </c>
      <c r="I503" s="28" t="e">
        <f ca="1">[1]!BexGetData("DP_1","003N8EMH8GTFRCSWKMPXRSAE6","GSON1112031253")</f>
        <v>#NAME?</v>
      </c>
      <c r="J503" s="24" t="e">
        <f ca="1">[1]!BexGetData("DP_1","003N8EMH8GTFRCSWKMPXRSGPQ","GSON1112031253")</f>
        <v>#NAME?</v>
      </c>
      <c r="K503" s="28" t="e">
        <f ca="1">[1]!BexGetData("DP_1","003N8EMH8GTFRIVNUPY288VJH","GSON1112031253")</f>
        <v>#NAME?</v>
      </c>
      <c r="L503" s="28" t="e">
        <f ca="1">[1]!BexGetData("DP_1","003N8EMH8GTFRIVNUPY2891V1","GSON1112031253")</f>
        <v>#NAME?</v>
      </c>
      <c r="M503" s="28" t="e">
        <f ca="1">[1]!BexGetData("DP_1","003N8EMH8GTFRIVOG7KG9IQXA","GSON1112031253")</f>
        <v>#NAME?</v>
      </c>
      <c r="N503" s="28" t="e">
        <f ca="1">[1]!BexGetData("DP_1","003N8EMH8GTFRIVOG7KG9IX8U","GSON1112031253")</f>
        <v>#NAME?</v>
      </c>
      <c r="O503" s="28" t="e">
        <f ca="1">[1]!BexGetData("DP_1","003N8EMH8GTFRIVOG7KG9J3KE","GSON1112031253")</f>
        <v>#NAME?</v>
      </c>
      <c r="P503" s="28" t="e">
        <f ca="1">[1]!BexGetData("DP_1","003N8EMH8GTFRIVOG7KG9J9VY","GSON1112031253")</f>
        <v>#NAME?</v>
      </c>
      <c r="Q503" s="24" t="e">
        <f ca="1">[1]!BexGetData("DP_1","00O2TNJGODT0G5Z4TTKYMM5MT","GSON1112031253")</f>
        <v>#NAME?</v>
      </c>
      <c r="R503" s="28" t="e">
        <f ca="1">[1]!BexGetData("DP_1","00O2TNJGODT0G5Z4TTKYMMBYD","GSON1112031253")</f>
        <v>#NAME?</v>
      </c>
      <c r="S503" s="28" t="e">
        <f ca="1">[1]!BexGetData("DP_1","00O2TNJGODT0G5Z4TTKYMMI9X","GSON1112031253")</f>
        <v>#NAME?</v>
      </c>
      <c r="T503" s="28" t="e">
        <f ca="1">[1]!BexGetData("DP_1","00O2TNJGODT0G5Z4TTKYMMOLH","GSON1112031253")</f>
        <v>#NAME?</v>
      </c>
      <c r="U503" s="28" t="e">
        <f ca="1">[1]!BexGetData("DP_1","00O2TNJGODT0G5Z4TTKYMMUX1","GSON1112031253")</f>
        <v>#NAME?</v>
      </c>
      <c r="V503" s="28" t="e">
        <f ca="1">[1]!BexGetData("DP_1","00O2TNJGODT0G5Z4TTKYMN18L","GSON1112031253")</f>
        <v>#NAME?</v>
      </c>
      <c r="W503" s="28" t="e">
        <f ca="1">[1]!BexGetData("DP_1","00O2TNJGODT0G5Z4TTKYMN7K5","GSON1112031253")</f>
        <v>#NAME?</v>
      </c>
    </row>
    <row r="504" spans="1:23" x14ac:dyDescent="0.2">
      <c r="A504" s="36" t="s">
        <v>2440</v>
      </c>
      <c r="B504" s="27" t="s">
        <v>2441</v>
      </c>
      <c r="C504" s="28" t="e">
        <f ca="1">[1]!BexGetData("DP_1","003N8EMH8GTFRCSWKMPXRR8GU","GSON1112031255")</f>
        <v>#NAME?</v>
      </c>
      <c r="D504" s="28" t="e">
        <f ca="1">[1]!BexGetData("DP_1","003N8EMH8GTFRCSWKMPXRRESE","GSON1112031255")</f>
        <v>#NAME?</v>
      </c>
      <c r="E504" s="28" t="e">
        <f ca="1">[1]!BexGetData("DP_1","003N8EMH8GTFRCSWKMPXRRL3Y","GSON1112031255")</f>
        <v>#NAME?</v>
      </c>
      <c r="F504" s="28" t="e">
        <f ca="1">[1]!BexGetData("DP_1","003N8EMH8GTFRCSWKMPXRRRFI","GSON1112031255")</f>
        <v>#NAME?</v>
      </c>
      <c r="G504" s="23" t="e">
        <f ca="1">[1]!BexGetData("DP_1","003N8EMH8GTFRCSWKMPXRRXR2","GSON1112031255")</f>
        <v>#NAME?</v>
      </c>
      <c r="H504" s="23" t="e">
        <f ca="1">[1]!BexGetData("DP_1","003N8EMH8GTFRCSWKMPXRS42M","GSON1112031255")</f>
        <v>#NAME?</v>
      </c>
      <c r="I504" s="28" t="e">
        <f ca="1">[1]!BexGetData("DP_1","003N8EMH8GTFRCSWKMPXRSAE6","GSON1112031255")</f>
        <v>#NAME?</v>
      </c>
      <c r="J504" s="24" t="e">
        <f ca="1">[1]!BexGetData("DP_1","003N8EMH8GTFRCSWKMPXRSGPQ","GSON1112031255")</f>
        <v>#NAME?</v>
      </c>
      <c r="K504" s="28" t="e">
        <f ca="1">[1]!BexGetData("DP_1","003N8EMH8GTFRIVNUPY288VJH","GSON1112031255")</f>
        <v>#NAME?</v>
      </c>
      <c r="L504" s="28" t="e">
        <f ca="1">[1]!BexGetData("DP_1","003N8EMH8GTFRIVNUPY2891V1","GSON1112031255")</f>
        <v>#NAME?</v>
      </c>
      <c r="M504" s="28" t="e">
        <f ca="1">[1]!BexGetData("DP_1","003N8EMH8GTFRIVOG7KG9IQXA","GSON1112031255")</f>
        <v>#NAME?</v>
      </c>
      <c r="N504" s="28" t="e">
        <f ca="1">[1]!BexGetData("DP_1","003N8EMH8GTFRIVOG7KG9IX8U","GSON1112031255")</f>
        <v>#NAME?</v>
      </c>
      <c r="O504" s="28" t="e">
        <f ca="1">[1]!BexGetData("DP_1","003N8EMH8GTFRIVOG7KG9J3KE","GSON1112031255")</f>
        <v>#NAME?</v>
      </c>
      <c r="P504" s="28" t="e">
        <f ca="1">[1]!BexGetData("DP_1","003N8EMH8GTFRIVOG7KG9J9VY","GSON1112031255")</f>
        <v>#NAME?</v>
      </c>
      <c r="Q504" s="24" t="e">
        <f ca="1">[1]!BexGetData("DP_1","00O2TNJGODT0G5Z4TTKYMM5MT","GSON1112031255")</f>
        <v>#NAME?</v>
      </c>
      <c r="R504" s="28" t="e">
        <f ca="1">[1]!BexGetData("DP_1","00O2TNJGODT0G5Z4TTKYMMBYD","GSON1112031255")</f>
        <v>#NAME?</v>
      </c>
      <c r="S504" s="28" t="e">
        <f ca="1">[1]!BexGetData("DP_1","00O2TNJGODT0G5Z4TTKYMMI9X","GSON1112031255")</f>
        <v>#NAME?</v>
      </c>
      <c r="T504" s="28" t="e">
        <f ca="1">[1]!BexGetData("DP_1","00O2TNJGODT0G5Z4TTKYMMOLH","GSON1112031255")</f>
        <v>#NAME?</v>
      </c>
      <c r="U504" s="28" t="e">
        <f ca="1">[1]!BexGetData("DP_1","00O2TNJGODT0G5Z4TTKYMMUX1","GSON1112031255")</f>
        <v>#NAME?</v>
      </c>
      <c r="V504" s="28" t="e">
        <f ca="1">[1]!BexGetData("DP_1","00O2TNJGODT0G5Z4TTKYMN18L","GSON1112031255")</f>
        <v>#NAME?</v>
      </c>
      <c r="W504" s="28" t="e">
        <f ca="1">[1]!BexGetData("DP_1","00O2TNJGODT0G5Z4TTKYMN7K5","GSON1112031255")</f>
        <v>#NAME?</v>
      </c>
    </row>
    <row r="505" spans="1:23" x14ac:dyDescent="0.2">
      <c r="A505" s="36" t="s">
        <v>2442</v>
      </c>
      <c r="B505" s="27" t="s">
        <v>2443</v>
      </c>
      <c r="C505" s="23" t="e">
        <f ca="1">[1]!BexGetData("DP_1","003N8EMH8GTFRCSWKMPXRR8GU","GSON1112031260")</f>
        <v>#NAME?</v>
      </c>
      <c r="D505" s="23" t="e">
        <f ca="1">[1]!BexGetData("DP_1","003N8EMH8GTFRCSWKMPXRRESE","GSON1112031260")</f>
        <v>#NAME?</v>
      </c>
      <c r="E505" s="28" t="e">
        <f ca="1">[1]!BexGetData("DP_1","003N8EMH8GTFRCSWKMPXRRL3Y","GSON1112031260")</f>
        <v>#NAME?</v>
      </c>
      <c r="F505" s="23" t="e">
        <f ca="1">[1]!BexGetData("DP_1","003N8EMH8GTFRCSWKMPXRRRFI","GSON1112031260")</f>
        <v>#NAME?</v>
      </c>
      <c r="G505" s="23" t="e">
        <f ca="1">[1]!BexGetData("DP_1","003N8EMH8GTFRCSWKMPXRRXR2","GSON1112031260")</f>
        <v>#NAME?</v>
      </c>
      <c r="H505" s="23" t="e">
        <f ca="1">[1]!BexGetData("DP_1","003N8EMH8GTFRCSWKMPXRS42M","GSON1112031260")</f>
        <v>#NAME?</v>
      </c>
      <c r="I505" s="23" t="e">
        <f ca="1">[1]!BexGetData("DP_1","003N8EMH8GTFRCSWKMPXRSAE6","GSON1112031260")</f>
        <v>#NAME?</v>
      </c>
      <c r="J505" s="24" t="e">
        <f ca="1">[1]!BexGetData("DP_1","003N8EMH8GTFRCSWKMPXRSGPQ","GSON1112031260")</f>
        <v>#NAME?</v>
      </c>
      <c r="K505" s="23" t="e">
        <f ca="1">[1]!BexGetData("DP_1","003N8EMH8GTFRIVNUPY288VJH","GSON1112031260")</f>
        <v>#NAME?</v>
      </c>
      <c r="L505" s="23" t="e">
        <f ca="1">[1]!BexGetData("DP_1","003N8EMH8GTFRIVNUPY2891V1","GSON1112031260")</f>
        <v>#NAME?</v>
      </c>
      <c r="M505" s="23" t="e">
        <f ca="1">[1]!BexGetData("DP_1","003N8EMH8GTFRIVOG7KG9IQXA","GSON1112031260")</f>
        <v>#NAME?</v>
      </c>
      <c r="N505" s="28" t="e">
        <f ca="1">[1]!BexGetData("DP_1","003N8EMH8GTFRIVOG7KG9IX8U","GSON1112031260")</f>
        <v>#NAME?</v>
      </c>
      <c r="O505" s="23" t="e">
        <f ca="1">[1]!BexGetData("DP_1","003N8EMH8GTFRIVOG7KG9J3KE","GSON1112031260")</f>
        <v>#NAME?</v>
      </c>
      <c r="P505" s="28" t="e">
        <f ca="1">[1]!BexGetData("DP_1","003N8EMH8GTFRIVOG7KG9J9VY","GSON1112031260")</f>
        <v>#NAME?</v>
      </c>
      <c r="Q505" s="24" t="e">
        <f ca="1">[1]!BexGetData("DP_1","00O2TNJGODT0G5Z4TTKYMM5MT","GSON1112031260")</f>
        <v>#NAME?</v>
      </c>
      <c r="R505" s="23" t="e">
        <f ca="1">[1]!BexGetData("DP_1","00O2TNJGODT0G5Z4TTKYMMBYD","GSON1112031260")</f>
        <v>#NAME?</v>
      </c>
      <c r="S505" s="23" t="e">
        <f ca="1">[1]!BexGetData("DP_1","00O2TNJGODT0G5Z4TTKYMMI9X","GSON1112031260")</f>
        <v>#NAME?</v>
      </c>
      <c r="T505" s="28" t="e">
        <f ca="1">[1]!BexGetData("DP_1","00O2TNJGODT0G5Z4TTKYMMOLH","GSON1112031260")</f>
        <v>#NAME?</v>
      </c>
      <c r="U505" s="23" t="e">
        <f ca="1">[1]!BexGetData("DP_1","00O2TNJGODT0G5Z4TTKYMMUX1","GSON1112031260")</f>
        <v>#NAME?</v>
      </c>
      <c r="V505" s="28" t="e">
        <f ca="1">[1]!BexGetData("DP_1","00O2TNJGODT0G5Z4TTKYMN18L","GSON1112031260")</f>
        <v>#NAME?</v>
      </c>
      <c r="W505" s="23" t="e">
        <f ca="1">[1]!BexGetData("DP_1","00O2TNJGODT0G5Z4TTKYMN7K5","GSON1112031260")</f>
        <v>#NAME?</v>
      </c>
    </row>
    <row r="506" spans="1:23" x14ac:dyDescent="0.2">
      <c r="A506" s="36" t="s">
        <v>2444</v>
      </c>
      <c r="B506" s="27" t="s">
        <v>2445</v>
      </c>
      <c r="C506" s="28" t="e">
        <f ca="1">[1]!BexGetData("DP_1","003N8EMH8GTFRCSWKMPXRR8GU","GSON1112031261")</f>
        <v>#NAME?</v>
      </c>
      <c r="D506" s="28" t="e">
        <f ca="1">[1]!BexGetData("DP_1","003N8EMH8GTFRCSWKMPXRRESE","GSON1112031261")</f>
        <v>#NAME?</v>
      </c>
      <c r="E506" s="28" t="e">
        <f ca="1">[1]!BexGetData("DP_1","003N8EMH8GTFRCSWKMPXRRL3Y","GSON1112031261")</f>
        <v>#NAME?</v>
      </c>
      <c r="F506" s="28" t="e">
        <f ca="1">[1]!BexGetData("DP_1","003N8EMH8GTFRCSWKMPXRRRFI","GSON1112031261")</f>
        <v>#NAME?</v>
      </c>
      <c r="G506" s="23" t="e">
        <f ca="1">[1]!BexGetData("DP_1","003N8EMH8GTFRCSWKMPXRRXR2","GSON1112031261")</f>
        <v>#NAME?</v>
      </c>
      <c r="H506" s="23" t="e">
        <f ca="1">[1]!BexGetData("DP_1","003N8EMH8GTFRCSWKMPXRS42M","GSON1112031261")</f>
        <v>#NAME?</v>
      </c>
      <c r="I506" s="28" t="e">
        <f ca="1">[1]!BexGetData("DP_1","003N8EMH8GTFRCSWKMPXRSAE6","GSON1112031261")</f>
        <v>#NAME?</v>
      </c>
      <c r="J506" s="24" t="e">
        <f ca="1">[1]!BexGetData("DP_1","003N8EMH8GTFRCSWKMPXRSGPQ","GSON1112031261")</f>
        <v>#NAME?</v>
      </c>
      <c r="K506" s="28" t="e">
        <f ca="1">[1]!BexGetData("DP_1","003N8EMH8GTFRIVNUPY288VJH","GSON1112031261")</f>
        <v>#NAME?</v>
      </c>
      <c r="L506" s="28" t="e">
        <f ca="1">[1]!BexGetData("DP_1","003N8EMH8GTFRIVNUPY2891V1","GSON1112031261")</f>
        <v>#NAME?</v>
      </c>
      <c r="M506" s="28" t="e">
        <f ca="1">[1]!BexGetData("DP_1","003N8EMH8GTFRIVOG7KG9IQXA","GSON1112031261")</f>
        <v>#NAME?</v>
      </c>
      <c r="N506" s="28" t="e">
        <f ca="1">[1]!BexGetData("DP_1","003N8EMH8GTFRIVOG7KG9IX8U","GSON1112031261")</f>
        <v>#NAME?</v>
      </c>
      <c r="O506" s="28" t="e">
        <f ca="1">[1]!BexGetData("DP_1","003N8EMH8GTFRIVOG7KG9J3KE","GSON1112031261")</f>
        <v>#NAME?</v>
      </c>
      <c r="P506" s="28" t="e">
        <f ca="1">[1]!BexGetData("DP_1","003N8EMH8GTFRIVOG7KG9J9VY","GSON1112031261")</f>
        <v>#NAME?</v>
      </c>
      <c r="Q506" s="24" t="e">
        <f ca="1">[1]!BexGetData("DP_1","00O2TNJGODT0G5Z4TTKYMM5MT","GSON1112031261")</f>
        <v>#NAME?</v>
      </c>
      <c r="R506" s="28" t="e">
        <f ca="1">[1]!BexGetData("DP_1","00O2TNJGODT0G5Z4TTKYMMBYD","GSON1112031261")</f>
        <v>#NAME?</v>
      </c>
      <c r="S506" s="28" t="e">
        <f ca="1">[1]!BexGetData("DP_1","00O2TNJGODT0G5Z4TTKYMMI9X","GSON1112031261")</f>
        <v>#NAME?</v>
      </c>
      <c r="T506" s="28" t="e">
        <f ca="1">[1]!BexGetData("DP_1","00O2TNJGODT0G5Z4TTKYMMOLH","GSON1112031261")</f>
        <v>#NAME?</v>
      </c>
      <c r="U506" s="28" t="e">
        <f ca="1">[1]!BexGetData("DP_1","00O2TNJGODT0G5Z4TTKYMMUX1","GSON1112031261")</f>
        <v>#NAME?</v>
      </c>
      <c r="V506" s="28" t="e">
        <f ca="1">[1]!BexGetData("DP_1","00O2TNJGODT0G5Z4TTKYMN18L","GSON1112031261")</f>
        <v>#NAME?</v>
      </c>
      <c r="W506" s="28" t="e">
        <f ca="1">[1]!BexGetData("DP_1","00O2TNJGODT0G5Z4TTKYMN7K5","GSON1112031261")</f>
        <v>#NAME?</v>
      </c>
    </row>
    <row r="507" spans="1:23" x14ac:dyDescent="0.2">
      <c r="A507" s="36" t="s">
        <v>2446</v>
      </c>
      <c r="B507" s="27" t="s">
        <v>2447</v>
      </c>
      <c r="C507" s="23" t="e">
        <f ca="1">[1]!BexGetData("DP_1","003N8EMH8GTFRCSWKMPXRR8GU","GSON1112031263")</f>
        <v>#NAME?</v>
      </c>
      <c r="D507" s="23" t="e">
        <f ca="1">[1]!BexGetData("DP_1","003N8EMH8GTFRCSWKMPXRRESE","GSON1112031263")</f>
        <v>#NAME?</v>
      </c>
      <c r="E507" s="28" t="e">
        <f ca="1">[1]!BexGetData("DP_1","003N8EMH8GTFRCSWKMPXRRL3Y","GSON1112031263")</f>
        <v>#NAME?</v>
      </c>
      <c r="F507" s="28" t="e">
        <f ca="1">[1]!BexGetData("DP_1","003N8EMH8GTFRCSWKMPXRRRFI","GSON1112031263")</f>
        <v>#NAME?</v>
      </c>
      <c r="G507" s="23" t="e">
        <f ca="1">[1]!BexGetData("DP_1","003N8EMH8GTFRCSWKMPXRRXR2","GSON1112031263")</f>
        <v>#NAME?</v>
      </c>
      <c r="H507" s="23" t="e">
        <f ca="1">[1]!BexGetData("DP_1","003N8EMH8GTFRCSWKMPXRS42M","GSON1112031263")</f>
        <v>#NAME?</v>
      </c>
      <c r="I507" s="28" t="e">
        <f ca="1">[1]!BexGetData("DP_1","003N8EMH8GTFRCSWKMPXRSAE6","GSON1112031263")</f>
        <v>#NAME?</v>
      </c>
      <c r="J507" s="24" t="e">
        <f ca="1">[1]!BexGetData("DP_1","003N8EMH8GTFRCSWKMPXRSGPQ","GSON1112031263")</f>
        <v>#NAME?</v>
      </c>
      <c r="K507" s="28" t="e">
        <f ca="1">[1]!BexGetData("DP_1","003N8EMH8GTFRIVNUPY288VJH","GSON1112031263")</f>
        <v>#NAME?</v>
      </c>
      <c r="L507" s="28" t="e">
        <f ca="1">[1]!BexGetData("DP_1","003N8EMH8GTFRIVNUPY2891V1","GSON1112031263")</f>
        <v>#NAME?</v>
      </c>
      <c r="M507" s="28" t="e">
        <f ca="1">[1]!BexGetData("DP_1","003N8EMH8GTFRIVOG7KG9IQXA","GSON1112031263")</f>
        <v>#NAME?</v>
      </c>
      <c r="N507" s="28" t="e">
        <f ca="1">[1]!BexGetData("DP_1","003N8EMH8GTFRIVOG7KG9IX8U","GSON1112031263")</f>
        <v>#NAME?</v>
      </c>
      <c r="O507" s="28" t="e">
        <f ca="1">[1]!BexGetData("DP_1","003N8EMH8GTFRIVOG7KG9J3KE","GSON1112031263")</f>
        <v>#NAME?</v>
      </c>
      <c r="P507" s="28" t="e">
        <f ca="1">[1]!BexGetData("DP_1","003N8EMH8GTFRIVOG7KG9J9VY","GSON1112031263")</f>
        <v>#NAME?</v>
      </c>
      <c r="Q507" s="24" t="e">
        <f ca="1">[1]!BexGetData("DP_1","00O2TNJGODT0G5Z4TTKYMM5MT","GSON1112031263")</f>
        <v>#NAME?</v>
      </c>
      <c r="R507" s="28" t="e">
        <f ca="1">[1]!BexGetData("DP_1","00O2TNJGODT0G5Z4TTKYMMBYD","GSON1112031263")</f>
        <v>#NAME?</v>
      </c>
      <c r="S507" s="28" t="e">
        <f ca="1">[1]!BexGetData("DP_1","00O2TNJGODT0G5Z4TTKYMMI9X","GSON1112031263")</f>
        <v>#NAME?</v>
      </c>
      <c r="T507" s="28" t="e">
        <f ca="1">[1]!BexGetData("DP_1","00O2TNJGODT0G5Z4TTKYMMOLH","GSON1112031263")</f>
        <v>#NAME?</v>
      </c>
      <c r="U507" s="28" t="e">
        <f ca="1">[1]!BexGetData("DP_1","00O2TNJGODT0G5Z4TTKYMMUX1","GSON1112031263")</f>
        <v>#NAME?</v>
      </c>
      <c r="V507" s="28" t="e">
        <f ca="1">[1]!BexGetData("DP_1","00O2TNJGODT0G5Z4TTKYMN18L","GSON1112031263")</f>
        <v>#NAME?</v>
      </c>
      <c r="W507" s="28" t="e">
        <f ca="1">[1]!BexGetData("DP_1","00O2TNJGODT0G5Z4TTKYMN7K5","GSON1112031263")</f>
        <v>#NAME?</v>
      </c>
    </row>
    <row r="508" spans="1:23" x14ac:dyDescent="0.2">
      <c r="A508" s="36" t="s">
        <v>2448</v>
      </c>
      <c r="B508" s="27" t="s">
        <v>2449</v>
      </c>
      <c r="C508" s="23" t="e">
        <f ca="1">[1]!BexGetData("DP_1","003N8EMH8GTFRCSWKMPXRR8GU","GSON1112031265")</f>
        <v>#NAME?</v>
      </c>
      <c r="D508" s="23" t="e">
        <f ca="1">[1]!BexGetData("DP_1","003N8EMH8GTFRCSWKMPXRRESE","GSON1112031265")</f>
        <v>#NAME?</v>
      </c>
      <c r="E508" s="28" t="e">
        <f ca="1">[1]!BexGetData("DP_1","003N8EMH8GTFRCSWKMPXRRL3Y","GSON1112031265")</f>
        <v>#NAME?</v>
      </c>
      <c r="F508" s="28" t="e">
        <f ca="1">[1]!BexGetData("DP_1","003N8EMH8GTFRCSWKMPXRRRFI","GSON1112031265")</f>
        <v>#NAME?</v>
      </c>
      <c r="G508" s="23" t="e">
        <f ca="1">[1]!BexGetData("DP_1","003N8EMH8GTFRCSWKMPXRRXR2","GSON1112031265")</f>
        <v>#NAME?</v>
      </c>
      <c r="H508" s="23" t="e">
        <f ca="1">[1]!BexGetData("DP_1","003N8EMH8GTFRCSWKMPXRS42M","GSON1112031265")</f>
        <v>#NAME?</v>
      </c>
      <c r="I508" s="28" t="e">
        <f ca="1">[1]!BexGetData("DP_1","003N8EMH8GTFRCSWKMPXRSAE6","GSON1112031265")</f>
        <v>#NAME?</v>
      </c>
      <c r="J508" s="24" t="e">
        <f ca="1">[1]!BexGetData("DP_1","003N8EMH8GTFRCSWKMPXRSGPQ","GSON1112031265")</f>
        <v>#NAME?</v>
      </c>
      <c r="K508" s="28" t="e">
        <f ca="1">[1]!BexGetData("DP_1","003N8EMH8GTFRIVNUPY288VJH","GSON1112031265")</f>
        <v>#NAME?</v>
      </c>
      <c r="L508" s="28" t="e">
        <f ca="1">[1]!BexGetData("DP_1","003N8EMH8GTFRIVNUPY2891V1","GSON1112031265")</f>
        <v>#NAME?</v>
      </c>
      <c r="M508" s="28" t="e">
        <f ca="1">[1]!BexGetData("DP_1","003N8EMH8GTFRIVOG7KG9IQXA","GSON1112031265")</f>
        <v>#NAME?</v>
      </c>
      <c r="N508" s="28" t="e">
        <f ca="1">[1]!BexGetData("DP_1","003N8EMH8GTFRIVOG7KG9IX8U","GSON1112031265")</f>
        <v>#NAME?</v>
      </c>
      <c r="O508" s="28" t="e">
        <f ca="1">[1]!BexGetData("DP_1","003N8EMH8GTFRIVOG7KG9J3KE","GSON1112031265")</f>
        <v>#NAME?</v>
      </c>
      <c r="P508" s="28" t="e">
        <f ca="1">[1]!BexGetData("DP_1","003N8EMH8GTFRIVOG7KG9J9VY","GSON1112031265")</f>
        <v>#NAME?</v>
      </c>
      <c r="Q508" s="24" t="e">
        <f ca="1">[1]!BexGetData("DP_1","00O2TNJGODT0G5Z4TTKYMM5MT","GSON1112031265")</f>
        <v>#NAME?</v>
      </c>
      <c r="R508" s="28" t="e">
        <f ca="1">[1]!BexGetData("DP_1","00O2TNJGODT0G5Z4TTKYMMBYD","GSON1112031265")</f>
        <v>#NAME?</v>
      </c>
      <c r="S508" s="28" t="e">
        <f ca="1">[1]!BexGetData("DP_1","00O2TNJGODT0G5Z4TTKYMMI9X","GSON1112031265")</f>
        <v>#NAME?</v>
      </c>
      <c r="T508" s="28" t="e">
        <f ca="1">[1]!BexGetData("DP_1","00O2TNJGODT0G5Z4TTKYMMOLH","GSON1112031265")</f>
        <v>#NAME?</v>
      </c>
      <c r="U508" s="28" t="e">
        <f ca="1">[1]!BexGetData("DP_1","00O2TNJGODT0G5Z4TTKYMMUX1","GSON1112031265")</f>
        <v>#NAME?</v>
      </c>
      <c r="V508" s="28" t="e">
        <f ca="1">[1]!BexGetData("DP_1","00O2TNJGODT0G5Z4TTKYMN18L","GSON1112031265")</f>
        <v>#NAME?</v>
      </c>
      <c r="W508" s="28" t="e">
        <f ca="1">[1]!BexGetData("DP_1","00O2TNJGODT0G5Z4TTKYMN7K5","GSON1112031265")</f>
        <v>#NAME?</v>
      </c>
    </row>
    <row r="509" spans="1:23" x14ac:dyDescent="0.2">
      <c r="A509" s="36" t="s">
        <v>2450</v>
      </c>
      <c r="B509" s="27" t="s">
        <v>1661</v>
      </c>
      <c r="C509" s="28" t="e">
        <f ca="1">[1]!BexGetData("DP_1","003N8EMH8GTFRCSWKMPXRR8GU","GSON1112031270")</f>
        <v>#NAME?</v>
      </c>
      <c r="D509" s="23" t="e">
        <f ca="1">[1]!BexGetData("DP_1","003N8EMH8GTFRCSWKMPXRRESE","GSON1112031270")</f>
        <v>#NAME?</v>
      </c>
      <c r="E509" s="28" t="e">
        <f ca="1">[1]!BexGetData("DP_1","003N8EMH8GTFRCSWKMPXRRL3Y","GSON1112031270")</f>
        <v>#NAME?</v>
      </c>
      <c r="F509" s="23" t="e">
        <f ca="1">[1]!BexGetData("DP_1","003N8EMH8GTFRCSWKMPXRRRFI","GSON1112031270")</f>
        <v>#NAME?</v>
      </c>
      <c r="G509" s="23" t="e">
        <f ca="1">[1]!BexGetData("DP_1","003N8EMH8GTFRCSWKMPXRRXR2","GSON1112031270")</f>
        <v>#NAME?</v>
      </c>
      <c r="H509" s="23" t="e">
        <f ca="1">[1]!BexGetData("DP_1","003N8EMH8GTFRCSWKMPXRS42M","GSON1112031270")</f>
        <v>#NAME?</v>
      </c>
      <c r="I509" s="23" t="e">
        <f ca="1">[1]!BexGetData("DP_1","003N8EMH8GTFRCSWKMPXRSAE6","GSON1112031270")</f>
        <v>#NAME?</v>
      </c>
      <c r="J509" s="24" t="e">
        <f ca="1">[1]!BexGetData("DP_1","003N8EMH8GTFRCSWKMPXRSGPQ","GSON1112031270")</f>
        <v>#NAME?</v>
      </c>
      <c r="K509" s="23" t="e">
        <f ca="1">[1]!BexGetData("DP_1","003N8EMH8GTFRIVNUPY288VJH","GSON1112031270")</f>
        <v>#NAME?</v>
      </c>
      <c r="L509" s="23" t="e">
        <f ca="1">[1]!BexGetData("DP_1","003N8EMH8GTFRIVNUPY2891V1","GSON1112031270")</f>
        <v>#NAME?</v>
      </c>
      <c r="M509" s="23" t="e">
        <f ca="1">[1]!BexGetData("DP_1","003N8EMH8GTFRIVOG7KG9IQXA","GSON1112031270")</f>
        <v>#NAME?</v>
      </c>
      <c r="N509" s="28" t="e">
        <f ca="1">[1]!BexGetData("DP_1","003N8EMH8GTFRIVOG7KG9IX8U","GSON1112031270")</f>
        <v>#NAME?</v>
      </c>
      <c r="O509" s="23" t="e">
        <f ca="1">[1]!BexGetData("DP_1","003N8EMH8GTFRIVOG7KG9J3KE","GSON1112031270")</f>
        <v>#NAME?</v>
      </c>
      <c r="P509" s="28" t="e">
        <f ca="1">[1]!BexGetData("DP_1","003N8EMH8GTFRIVOG7KG9J9VY","GSON1112031270")</f>
        <v>#NAME?</v>
      </c>
      <c r="Q509" s="24" t="e">
        <f ca="1">[1]!BexGetData("DP_1","00O2TNJGODT0G5Z4TTKYMM5MT","GSON1112031270")</f>
        <v>#NAME?</v>
      </c>
      <c r="R509" s="23" t="e">
        <f ca="1">[1]!BexGetData("DP_1","00O2TNJGODT0G5Z4TTKYMMBYD","GSON1112031270")</f>
        <v>#NAME?</v>
      </c>
      <c r="S509" s="23" t="e">
        <f ca="1">[1]!BexGetData("DP_1","00O2TNJGODT0G5Z4TTKYMMI9X","GSON1112031270")</f>
        <v>#NAME?</v>
      </c>
      <c r="T509" s="28" t="e">
        <f ca="1">[1]!BexGetData("DP_1","00O2TNJGODT0G5Z4TTKYMMOLH","GSON1112031270")</f>
        <v>#NAME?</v>
      </c>
      <c r="U509" s="23" t="e">
        <f ca="1">[1]!BexGetData("DP_1","00O2TNJGODT0G5Z4TTKYMMUX1","GSON1112031270")</f>
        <v>#NAME?</v>
      </c>
      <c r="V509" s="28" t="e">
        <f ca="1">[1]!BexGetData("DP_1","00O2TNJGODT0G5Z4TTKYMN18L","GSON1112031270")</f>
        <v>#NAME?</v>
      </c>
      <c r="W509" s="23" t="e">
        <f ca="1">[1]!BexGetData("DP_1","00O2TNJGODT0G5Z4TTKYMN7K5","GSON1112031270")</f>
        <v>#NAME?</v>
      </c>
    </row>
    <row r="510" spans="1:23" x14ac:dyDescent="0.2">
      <c r="A510" s="36" t="s">
        <v>2451</v>
      </c>
      <c r="B510" s="27" t="s">
        <v>1662</v>
      </c>
      <c r="C510" s="28" t="e">
        <f ca="1">[1]!BexGetData("DP_1","003N8EMH8GTFRCSWKMPXRR8GU","GSON1112031271")</f>
        <v>#NAME?</v>
      </c>
      <c r="D510" s="28" t="e">
        <f ca="1">[1]!BexGetData("DP_1","003N8EMH8GTFRCSWKMPXRRESE","GSON1112031271")</f>
        <v>#NAME?</v>
      </c>
      <c r="E510" s="28" t="e">
        <f ca="1">[1]!BexGetData("DP_1","003N8EMH8GTFRCSWKMPXRRL3Y","GSON1112031271")</f>
        <v>#NAME?</v>
      </c>
      <c r="F510" s="28" t="e">
        <f ca="1">[1]!BexGetData("DP_1","003N8EMH8GTFRCSWKMPXRRRFI","GSON1112031271")</f>
        <v>#NAME?</v>
      </c>
      <c r="G510" s="23" t="e">
        <f ca="1">[1]!BexGetData("DP_1","003N8EMH8GTFRCSWKMPXRRXR2","GSON1112031271")</f>
        <v>#NAME?</v>
      </c>
      <c r="H510" s="23" t="e">
        <f ca="1">[1]!BexGetData("DP_1","003N8EMH8GTFRCSWKMPXRS42M","GSON1112031271")</f>
        <v>#NAME?</v>
      </c>
      <c r="I510" s="28" t="e">
        <f ca="1">[1]!BexGetData("DP_1","003N8EMH8GTFRCSWKMPXRSAE6","GSON1112031271")</f>
        <v>#NAME?</v>
      </c>
      <c r="J510" s="24" t="e">
        <f ca="1">[1]!BexGetData("DP_1","003N8EMH8GTFRCSWKMPXRSGPQ","GSON1112031271")</f>
        <v>#NAME?</v>
      </c>
      <c r="K510" s="28" t="e">
        <f ca="1">[1]!BexGetData("DP_1","003N8EMH8GTFRIVNUPY288VJH","GSON1112031271")</f>
        <v>#NAME?</v>
      </c>
      <c r="L510" s="28" t="e">
        <f ca="1">[1]!BexGetData("DP_1","003N8EMH8GTFRIVNUPY2891V1","GSON1112031271")</f>
        <v>#NAME?</v>
      </c>
      <c r="M510" s="28" t="e">
        <f ca="1">[1]!BexGetData("DP_1","003N8EMH8GTFRIVOG7KG9IQXA","GSON1112031271")</f>
        <v>#NAME?</v>
      </c>
      <c r="N510" s="28" t="e">
        <f ca="1">[1]!BexGetData("DP_1","003N8EMH8GTFRIVOG7KG9IX8U","GSON1112031271")</f>
        <v>#NAME?</v>
      </c>
      <c r="O510" s="28" t="e">
        <f ca="1">[1]!BexGetData("DP_1","003N8EMH8GTFRIVOG7KG9J3KE","GSON1112031271")</f>
        <v>#NAME?</v>
      </c>
      <c r="P510" s="28" t="e">
        <f ca="1">[1]!BexGetData("DP_1","003N8EMH8GTFRIVOG7KG9J9VY","GSON1112031271")</f>
        <v>#NAME?</v>
      </c>
      <c r="Q510" s="24" t="e">
        <f ca="1">[1]!BexGetData("DP_1","00O2TNJGODT0G5Z4TTKYMM5MT","GSON1112031271")</f>
        <v>#NAME?</v>
      </c>
      <c r="R510" s="28" t="e">
        <f ca="1">[1]!BexGetData("DP_1","00O2TNJGODT0G5Z4TTKYMMBYD","GSON1112031271")</f>
        <v>#NAME?</v>
      </c>
      <c r="S510" s="28" t="e">
        <f ca="1">[1]!BexGetData("DP_1","00O2TNJGODT0G5Z4TTKYMMI9X","GSON1112031271")</f>
        <v>#NAME?</v>
      </c>
      <c r="T510" s="28" t="e">
        <f ca="1">[1]!BexGetData("DP_1","00O2TNJGODT0G5Z4TTKYMMOLH","GSON1112031271")</f>
        <v>#NAME?</v>
      </c>
      <c r="U510" s="28" t="e">
        <f ca="1">[1]!BexGetData("DP_1","00O2TNJGODT0G5Z4TTKYMMUX1","GSON1112031271")</f>
        <v>#NAME?</v>
      </c>
      <c r="V510" s="28" t="e">
        <f ca="1">[1]!BexGetData("DP_1","00O2TNJGODT0G5Z4TTKYMN18L","GSON1112031271")</f>
        <v>#NAME?</v>
      </c>
      <c r="W510" s="28" t="e">
        <f ca="1">[1]!BexGetData("DP_1","00O2TNJGODT0G5Z4TTKYMN7K5","GSON1112031271")</f>
        <v>#NAME?</v>
      </c>
    </row>
    <row r="511" spans="1:23" x14ac:dyDescent="0.2">
      <c r="A511" s="36" t="s">
        <v>2452</v>
      </c>
      <c r="B511" s="27" t="s">
        <v>2453</v>
      </c>
      <c r="C511" s="23" t="e">
        <f ca="1">[1]!BexGetData("DP_1","003N8EMH8GTFRCSWKMPXRR8GU","GSON1112031273")</f>
        <v>#NAME?</v>
      </c>
      <c r="D511" s="23" t="e">
        <f ca="1">[1]!BexGetData("DP_1","003N8EMH8GTFRCSWKMPXRRESE","GSON1112031273")</f>
        <v>#NAME?</v>
      </c>
      <c r="E511" s="28" t="e">
        <f ca="1">[1]!BexGetData("DP_1","003N8EMH8GTFRCSWKMPXRRL3Y","GSON1112031273")</f>
        <v>#NAME?</v>
      </c>
      <c r="F511" s="28" t="e">
        <f ca="1">[1]!BexGetData("DP_1","003N8EMH8GTFRCSWKMPXRRRFI","GSON1112031273")</f>
        <v>#NAME?</v>
      </c>
      <c r="G511" s="23" t="e">
        <f ca="1">[1]!BexGetData("DP_1","003N8EMH8GTFRCSWKMPXRRXR2","GSON1112031273")</f>
        <v>#NAME?</v>
      </c>
      <c r="H511" s="23" t="e">
        <f ca="1">[1]!BexGetData("DP_1","003N8EMH8GTFRCSWKMPXRS42M","GSON1112031273")</f>
        <v>#NAME?</v>
      </c>
      <c r="I511" s="28" t="e">
        <f ca="1">[1]!BexGetData("DP_1","003N8EMH8GTFRCSWKMPXRSAE6","GSON1112031273")</f>
        <v>#NAME?</v>
      </c>
      <c r="J511" s="24" t="e">
        <f ca="1">[1]!BexGetData("DP_1","003N8EMH8GTFRCSWKMPXRSGPQ","GSON1112031273")</f>
        <v>#NAME?</v>
      </c>
      <c r="K511" s="28" t="e">
        <f ca="1">[1]!BexGetData("DP_1","003N8EMH8GTFRIVNUPY288VJH","GSON1112031273")</f>
        <v>#NAME?</v>
      </c>
      <c r="L511" s="28" t="e">
        <f ca="1">[1]!BexGetData("DP_1","003N8EMH8GTFRIVNUPY2891V1","GSON1112031273")</f>
        <v>#NAME?</v>
      </c>
      <c r="M511" s="28" t="e">
        <f ca="1">[1]!BexGetData("DP_1","003N8EMH8GTFRIVOG7KG9IQXA","GSON1112031273")</f>
        <v>#NAME?</v>
      </c>
      <c r="N511" s="28" t="e">
        <f ca="1">[1]!BexGetData("DP_1","003N8EMH8GTFRIVOG7KG9IX8U","GSON1112031273")</f>
        <v>#NAME?</v>
      </c>
      <c r="O511" s="28" t="e">
        <f ca="1">[1]!BexGetData("DP_1","003N8EMH8GTFRIVOG7KG9J3KE","GSON1112031273")</f>
        <v>#NAME?</v>
      </c>
      <c r="P511" s="28" t="e">
        <f ca="1">[1]!BexGetData("DP_1","003N8EMH8GTFRIVOG7KG9J9VY","GSON1112031273")</f>
        <v>#NAME?</v>
      </c>
      <c r="Q511" s="24" t="e">
        <f ca="1">[1]!BexGetData("DP_1","00O2TNJGODT0G5Z4TTKYMM5MT","GSON1112031273")</f>
        <v>#NAME?</v>
      </c>
      <c r="R511" s="28" t="e">
        <f ca="1">[1]!BexGetData("DP_1","00O2TNJGODT0G5Z4TTKYMMBYD","GSON1112031273")</f>
        <v>#NAME?</v>
      </c>
      <c r="S511" s="28" t="e">
        <f ca="1">[1]!BexGetData("DP_1","00O2TNJGODT0G5Z4TTKYMMI9X","GSON1112031273")</f>
        <v>#NAME?</v>
      </c>
      <c r="T511" s="28" t="e">
        <f ca="1">[1]!BexGetData("DP_1","00O2TNJGODT0G5Z4TTKYMMOLH","GSON1112031273")</f>
        <v>#NAME?</v>
      </c>
      <c r="U511" s="28" t="e">
        <f ca="1">[1]!BexGetData("DP_1","00O2TNJGODT0G5Z4TTKYMMUX1","GSON1112031273")</f>
        <v>#NAME?</v>
      </c>
      <c r="V511" s="28" t="e">
        <f ca="1">[1]!BexGetData("DP_1","00O2TNJGODT0G5Z4TTKYMN18L","GSON1112031273")</f>
        <v>#NAME?</v>
      </c>
      <c r="W511" s="28" t="e">
        <f ca="1">[1]!BexGetData("DP_1","00O2TNJGODT0G5Z4TTKYMN7K5","GSON1112031273")</f>
        <v>#NAME?</v>
      </c>
    </row>
    <row r="512" spans="1:23" x14ac:dyDescent="0.2">
      <c r="A512" s="36" t="s">
        <v>2454</v>
      </c>
      <c r="B512" s="27" t="s">
        <v>2455</v>
      </c>
      <c r="C512" s="28" t="e">
        <f ca="1">[1]!BexGetData("DP_1","003N8EMH8GTFRCSWKMPXRR8GU","GSON1112031275")</f>
        <v>#NAME?</v>
      </c>
      <c r="D512" s="28" t="e">
        <f ca="1">[1]!BexGetData("DP_1","003N8EMH8GTFRCSWKMPXRRESE","GSON1112031275")</f>
        <v>#NAME?</v>
      </c>
      <c r="E512" s="28" t="e">
        <f ca="1">[1]!BexGetData("DP_1","003N8EMH8GTFRCSWKMPXRRL3Y","GSON1112031275")</f>
        <v>#NAME?</v>
      </c>
      <c r="F512" s="28" t="e">
        <f ca="1">[1]!BexGetData("DP_1","003N8EMH8GTFRCSWKMPXRRRFI","GSON1112031275")</f>
        <v>#NAME?</v>
      </c>
      <c r="G512" s="23" t="e">
        <f ca="1">[1]!BexGetData("DP_1","003N8EMH8GTFRCSWKMPXRRXR2","GSON1112031275")</f>
        <v>#NAME?</v>
      </c>
      <c r="H512" s="23" t="e">
        <f ca="1">[1]!BexGetData("DP_1","003N8EMH8GTFRCSWKMPXRS42M","GSON1112031275")</f>
        <v>#NAME?</v>
      </c>
      <c r="I512" s="28" t="e">
        <f ca="1">[1]!BexGetData("DP_1","003N8EMH8GTFRCSWKMPXRSAE6","GSON1112031275")</f>
        <v>#NAME?</v>
      </c>
      <c r="J512" s="24" t="e">
        <f ca="1">[1]!BexGetData("DP_1","003N8EMH8GTFRCSWKMPXRSGPQ","GSON1112031275")</f>
        <v>#NAME?</v>
      </c>
      <c r="K512" s="28" t="e">
        <f ca="1">[1]!BexGetData("DP_1","003N8EMH8GTFRIVNUPY288VJH","GSON1112031275")</f>
        <v>#NAME?</v>
      </c>
      <c r="L512" s="28" t="e">
        <f ca="1">[1]!BexGetData("DP_1","003N8EMH8GTFRIVNUPY2891V1","GSON1112031275")</f>
        <v>#NAME?</v>
      </c>
      <c r="M512" s="28" t="e">
        <f ca="1">[1]!BexGetData("DP_1","003N8EMH8GTFRIVOG7KG9IQXA","GSON1112031275")</f>
        <v>#NAME?</v>
      </c>
      <c r="N512" s="28" t="e">
        <f ca="1">[1]!BexGetData("DP_1","003N8EMH8GTFRIVOG7KG9IX8U","GSON1112031275")</f>
        <v>#NAME?</v>
      </c>
      <c r="O512" s="28" t="e">
        <f ca="1">[1]!BexGetData("DP_1","003N8EMH8GTFRIVOG7KG9J3KE","GSON1112031275")</f>
        <v>#NAME?</v>
      </c>
      <c r="P512" s="28" t="e">
        <f ca="1">[1]!BexGetData("DP_1","003N8EMH8GTFRIVOG7KG9J9VY","GSON1112031275")</f>
        <v>#NAME?</v>
      </c>
      <c r="Q512" s="24" t="e">
        <f ca="1">[1]!BexGetData("DP_1","00O2TNJGODT0G5Z4TTKYMM5MT","GSON1112031275")</f>
        <v>#NAME?</v>
      </c>
      <c r="R512" s="28" t="e">
        <f ca="1">[1]!BexGetData("DP_1","00O2TNJGODT0G5Z4TTKYMMBYD","GSON1112031275")</f>
        <v>#NAME?</v>
      </c>
      <c r="S512" s="28" t="e">
        <f ca="1">[1]!BexGetData("DP_1","00O2TNJGODT0G5Z4TTKYMMI9X","GSON1112031275")</f>
        <v>#NAME?</v>
      </c>
      <c r="T512" s="28" t="e">
        <f ca="1">[1]!BexGetData("DP_1","00O2TNJGODT0G5Z4TTKYMMOLH","GSON1112031275")</f>
        <v>#NAME?</v>
      </c>
      <c r="U512" s="28" t="e">
        <f ca="1">[1]!BexGetData("DP_1","00O2TNJGODT0G5Z4TTKYMMUX1","GSON1112031275")</f>
        <v>#NAME?</v>
      </c>
      <c r="V512" s="28" t="e">
        <f ca="1">[1]!BexGetData("DP_1","00O2TNJGODT0G5Z4TTKYMN18L","GSON1112031275")</f>
        <v>#NAME?</v>
      </c>
      <c r="W512" s="28" t="e">
        <f ca="1">[1]!BexGetData("DP_1","00O2TNJGODT0G5Z4TTKYMN7K5","GSON1112031275")</f>
        <v>#NAME?</v>
      </c>
    </row>
    <row r="513" spans="1:23" x14ac:dyDescent="0.2">
      <c r="A513" s="36" t="s">
        <v>2456</v>
      </c>
      <c r="B513" s="27" t="s">
        <v>2457</v>
      </c>
      <c r="C513" s="23" t="e">
        <f ca="1">[1]!BexGetData("DP_1","003N8EMH8GTFRCSWKMPXRR8GU","GSON1112031280")</f>
        <v>#NAME?</v>
      </c>
      <c r="D513" s="23" t="e">
        <f ca="1">[1]!BexGetData("DP_1","003N8EMH8GTFRCSWKMPXRRESE","GSON1112031280")</f>
        <v>#NAME?</v>
      </c>
      <c r="E513" s="23" t="e">
        <f ca="1">[1]!BexGetData("DP_1","003N8EMH8GTFRCSWKMPXRRL3Y","GSON1112031280")</f>
        <v>#NAME?</v>
      </c>
      <c r="F513" s="23" t="e">
        <f ca="1">[1]!BexGetData("DP_1","003N8EMH8GTFRCSWKMPXRRRFI","GSON1112031280")</f>
        <v>#NAME?</v>
      </c>
      <c r="G513" s="23" t="e">
        <f ca="1">[1]!BexGetData("DP_1","003N8EMH8GTFRCSWKMPXRRXR2","GSON1112031280")</f>
        <v>#NAME?</v>
      </c>
      <c r="H513" s="23" t="e">
        <f ca="1">[1]!BexGetData("DP_1","003N8EMH8GTFRCSWKMPXRS42M","GSON1112031280")</f>
        <v>#NAME?</v>
      </c>
      <c r="I513" s="23" t="e">
        <f ca="1">[1]!BexGetData("DP_1","003N8EMH8GTFRCSWKMPXRSAE6","GSON1112031280")</f>
        <v>#NAME?</v>
      </c>
      <c r="J513" s="24" t="e">
        <f ca="1">[1]!BexGetData("DP_1","003N8EMH8GTFRCSWKMPXRSGPQ","GSON1112031280")</f>
        <v>#NAME?</v>
      </c>
      <c r="K513" s="23" t="e">
        <f ca="1">[1]!BexGetData("DP_1","003N8EMH8GTFRIVNUPY288VJH","GSON1112031280")</f>
        <v>#NAME?</v>
      </c>
      <c r="L513" s="23" t="e">
        <f ca="1">[1]!BexGetData("DP_1","003N8EMH8GTFRIVNUPY2891V1","GSON1112031280")</f>
        <v>#NAME?</v>
      </c>
      <c r="M513" s="23" t="e">
        <f ca="1">[1]!BexGetData("DP_1","003N8EMH8GTFRIVOG7KG9IQXA","GSON1112031280")</f>
        <v>#NAME?</v>
      </c>
      <c r="N513" s="28" t="e">
        <f ca="1">[1]!BexGetData("DP_1","003N8EMH8GTFRIVOG7KG9IX8U","GSON1112031280")</f>
        <v>#NAME?</v>
      </c>
      <c r="O513" s="23" t="e">
        <f ca="1">[1]!BexGetData("DP_1","003N8EMH8GTFRIVOG7KG9J3KE","GSON1112031280")</f>
        <v>#NAME?</v>
      </c>
      <c r="P513" s="28" t="e">
        <f ca="1">[1]!BexGetData("DP_1","003N8EMH8GTFRIVOG7KG9J9VY","GSON1112031280")</f>
        <v>#NAME?</v>
      </c>
      <c r="Q513" s="24" t="e">
        <f ca="1">[1]!BexGetData("DP_1","00O2TNJGODT0G5Z4TTKYMM5MT","GSON1112031280")</f>
        <v>#NAME?</v>
      </c>
      <c r="R513" s="23" t="e">
        <f ca="1">[1]!BexGetData("DP_1","00O2TNJGODT0G5Z4TTKYMMBYD","GSON1112031280")</f>
        <v>#NAME?</v>
      </c>
      <c r="S513" s="23" t="e">
        <f ca="1">[1]!BexGetData("DP_1","00O2TNJGODT0G5Z4TTKYMMI9X","GSON1112031280")</f>
        <v>#NAME?</v>
      </c>
      <c r="T513" s="28" t="e">
        <f ca="1">[1]!BexGetData("DP_1","00O2TNJGODT0G5Z4TTKYMMOLH","GSON1112031280")</f>
        <v>#NAME?</v>
      </c>
      <c r="U513" s="23" t="e">
        <f ca="1">[1]!BexGetData("DP_1","00O2TNJGODT0G5Z4TTKYMMUX1","GSON1112031280")</f>
        <v>#NAME?</v>
      </c>
      <c r="V513" s="28" t="e">
        <f ca="1">[1]!BexGetData("DP_1","00O2TNJGODT0G5Z4TTKYMN18L","GSON1112031280")</f>
        <v>#NAME?</v>
      </c>
      <c r="W513" s="23" t="e">
        <f ca="1">[1]!BexGetData("DP_1","00O2TNJGODT0G5Z4TTKYMN7K5","GSON1112031280")</f>
        <v>#NAME?</v>
      </c>
    </row>
    <row r="514" spans="1:23" x14ac:dyDescent="0.2">
      <c r="A514" s="36" t="s">
        <v>2458</v>
      </c>
      <c r="B514" s="27" t="s">
        <v>2459</v>
      </c>
      <c r="C514" s="28" t="e">
        <f ca="1">[1]!BexGetData("DP_1","003N8EMH8GTFRCSWKMPXRR8GU","GSON1112031281")</f>
        <v>#NAME?</v>
      </c>
      <c r="D514" s="28" t="e">
        <f ca="1">[1]!BexGetData("DP_1","003N8EMH8GTFRCSWKMPXRRESE","GSON1112031281")</f>
        <v>#NAME?</v>
      </c>
      <c r="E514" s="28" t="e">
        <f ca="1">[1]!BexGetData("DP_1","003N8EMH8GTFRCSWKMPXRRL3Y","GSON1112031281")</f>
        <v>#NAME?</v>
      </c>
      <c r="F514" s="28" t="e">
        <f ca="1">[1]!BexGetData("DP_1","003N8EMH8GTFRCSWKMPXRRRFI","GSON1112031281")</f>
        <v>#NAME?</v>
      </c>
      <c r="G514" s="23" t="e">
        <f ca="1">[1]!BexGetData("DP_1","003N8EMH8GTFRCSWKMPXRRXR2","GSON1112031281")</f>
        <v>#NAME?</v>
      </c>
      <c r="H514" s="23" t="e">
        <f ca="1">[1]!BexGetData("DP_1","003N8EMH8GTFRCSWKMPXRS42M","GSON1112031281")</f>
        <v>#NAME?</v>
      </c>
      <c r="I514" s="28" t="e">
        <f ca="1">[1]!BexGetData("DP_1","003N8EMH8GTFRCSWKMPXRSAE6","GSON1112031281")</f>
        <v>#NAME?</v>
      </c>
      <c r="J514" s="24" t="e">
        <f ca="1">[1]!BexGetData("DP_1","003N8EMH8GTFRCSWKMPXRSGPQ","GSON1112031281")</f>
        <v>#NAME?</v>
      </c>
      <c r="K514" s="28" t="e">
        <f ca="1">[1]!BexGetData("DP_1","003N8EMH8GTFRIVNUPY288VJH","GSON1112031281")</f>
        <v>#NAME?</v>
      </c>
      <c r="L514" s="28" t="e">
        <f ca="1">[1]!BexGetData("DP_1","003N8EMH8GTFRIVNUPY2891V1","GSON1112031281")</f>
        <v>#NAME?</v>
      </c>
      <c r="M514" s="28" t="e">
        <f ca="1">[1]!BexGetData("DP_1","003N8EMH8GTFRIVOG7KG9IQXA","GSON1112031281")</f>
        <v>#NAME?</v>
      </c>
      <c r="N514" s="28" t="e">
        <f ca="1">[1]!BexGetData("DP_1","003N8EMH8GTFRIVOG7KG9IX8U","GSON1112031281")</f>
        <v>#NAME?</v>
      </c>
      <c r="O514" s="28" t="e">
        <f ca="1">[1]!BexGetData("DP_1","003N8EMH8GTFRIVOG7KG9J3KE","GSON1112031281")</f>
        <v>#NAME?</v>
      </c>
      <c r="P514" s="28" t="e">
        <f ca="1">[1]!BexGetData("DP_1","003N8EMH8GTFRIVOG7KG9J9VY","GSON1112031281")</f>
        <v>#NAME?</v>
      </c>
      <c r="Q514" s="24" t="e">
        <f ca="1">[1]!BexGetData("DP_1","00O2TNJGODT0G5Z4TTKYMM5MT","GSON1112031281")</f>
        <v>#NAME?</v>
      </c>
      <c r="R514" s="28" t="e">
        <f ca="1">[1]!BexGetData("DP_1","00O2TNJGODT0G5Z4TTKYMMBYD","GSON1112031281")</f>
        <v>#NAME?</v>
      </c>
      <c r="S514" s="28" t="e">
        <f ca="1">[1]!BexGetData("DP_1","00O2TNJGODT0G5Z4TTKYMMI9X","GSON1112031281")</f>
        <v>#NAME?</v>
      </c>
      <c r="T514" s="28" t="e">
        <f ca="1">[1]!BexGetData("DP_1","00O2TNJGODT0G5Z4TTKYMMOLH","GSON1112031281")</f>
        <v>#NAME?</v>
      </c>
      <c r="U514" s="28" t="e">
        <f ca="1">[1]!BexGetData("DP_1","00O2TNJGODT0G5Z4TTKYMMUX1","GSON1112031281")</f>
        <v>#NAME?</v>
      </c>
      <c r="V514" s="28" t="e">
        <f ca="1">[1]!BexGetData("DP_1","00O2TNJGODT0G5Z4TTKYMN18L","GSON1112031281")</f>
        <v>#NAME?</v>
      </c>
      <c r="W514" s="28" t="e">
        <f ca="1">[1]!BexGetData("DP_1","00O2TNJGODT0G5Z4TTKYMN7K5","GSON1112031281")</f>
        <v>#NAME?</v>
      </c>
    </row>
    <row r="515" spans="1:23" x14ac:dyDescent="0.2">
      <c r="A515" s="36" t="s">
        <v>2460</v>
      </c>
      <c r="B515" s="27" t="s">
        <v>2461</v>
      </c>
      <c r="C515" s="24" t="e">
        <f ca="1">[1]!BexGetData("DP_1","003N8EMH8GTFRCSWKMPXRR8GU","GSON1112031282")</f>
        <v>#NAME?</v>
      </c>
      <c r="D515" s="24" t="e">
        <f ca="1">[1]!BexGetData("DP_1","003N8EMH8GTFRCSWKMPXRRESE","GSON1112031282")</f>
        <v>#NAME?</v>
      </c>
      <c r="E515" s="24" t="e">
        <f ca="1">[1]!BexGetData("DP_1","003N8EMH8GTFRCSWKMPXRRL3Y","GSON1112031282")</f>
        <v>#NAME?</v>
      </c>
      <c r="F515" s="28" t="e">
        <f ca="1">[1]!BexGetData("DP_1","003N8EMH8GTFRCSWKMPXRRRFI","GSON1112031282")</f>
        <v>#NAME?</v>
      </c>
      <c r="G515" s="23" t="e">
        <f ca="1">[1]!BexGetData("DP_1","003N8EMH8GTFRCSWKMPXRRXR2","GSON1112031282")</f>
        <v>#NAME?</v>
      </c>
      <c r="H515" s="23" t="e">
        <f ca="1">[1]!BexGetData("DP_1","003N8EMH8GTFRCSWKMPXRS42M","GSON1112031282")</f>
        <v>#NAME?</v>
      </c>
      <c r="I515" s="28" t="e">
        <f ca="1">[1]!BexGetData("DP_1","003N8EMH8GTFRCSWKMPXRSAE6","GSON1112031282")</f>
        <v>#NAME?</v>
      </c>
      <c r="J515" s="24" t="e">
        <f ca="1">[1]!BexGetData("DP_1","003N8EMH8GTFRCSWKMPXRSGPQ","GSON1112031282")</f>
        <v>#NAME?</v>
      </c>
      <c r="K515" s="28" t="e">
        <f ca="1">[1]!BexGetData("DP_1","003N8EMH8GTFRIVNUPY288VJH","GSON1112031282")</f>
        <v>#NAME?</v>
      </c>
      <c r="L515" s="28" t="e">
        <f ca="1">[1]!BexGetData("DP_1","003N8EMH8GTFRIVNUPY2891V1","GSON1112031282")</f>
        <v>#NAME?</v>
      </c>
      <c r="M515" s="28" t="e">
        <f ca="1">[1]!BexGetData("DP_1","003N8EMH8GTFRIVOG7KG9IQXA","GSON1112031282")</f>
        <v>#NAME?</v>
      </c>
      <c r="N515" s="28" t="e">
        <f ca="1">[1]!BexGetData("DP_1","003N8EMH8GTFRIVOG7KG9IX8U","GSON1112031282")</f>
        <v>#NAME?</v>
      </c>
      <c r="O515" s="28" t="e">
        <f ca="1">[1]!BexGetData("DP_1","003N8EMH8GTFRIVOG7KG9J3KE","GSON1112031282")</f>
        <v>#NAME?</v>
      </c>
      <c r="P515" s="28" t="e">
        <f ca="1">[1]!BexGetData("DP_1","003N8EMH8GTFRIVOG7KG9J9VY","GSON1112031282")</f>
        <v>#NAME?</v>
      </c>
      <c r="Q515" s="24" t="e">
        <f ca="1">[1]!BexGetData("DP_1","00O2TNJGODT0G5Z4TTKYMM5MT","GSON1112031282")</f>
        <v>#NAME?</v>
      </c>
      <c r="R515" s="28" t="e">
        <f ca="1">[1]!BexGetData("DP_1","00O2TNJGODT0G5Z4TTKYMMBYD","GSON1112031282")</f>
        <v>#NAME?</v>
      </c>
      <c r="S515" s="28" t="e">
        <f ca="1">[1]!BexGetData("DP_1","00O2TNJGODT0G5Z4TTKYMMI9X","GSON1112031282")</f>
        <v>#NAME?</v>
      </c>
      <c r="T515" s="28" t="e">
        <f ca="1">[1]!BexGetData("DP_1","00O2TNJGODT0G5Z4TTKYMMOLH","GSON1112031282")</f>
        <v>#NAME?</v>
      </c>
      <c r="U515" s="28" t="e">
        <f ca="1">[1]!BexGetData("DP_1","00O2TNJGODT0G5Z4TTKYMMUX1","GSON1112031282")</f>
        <v>#NAME?</v>
      </c>
      <c r="V515" s="28" t="e">
        <f ca="1">[1]!BexGetData("DP_1","00O2TNJGODT0G5Z4TTKYMN18L","GSON1112031282")</f>
        <v>#NAME?</v>
      </c>
      <c r="W515" s="28" t="e">
        <f ca="1">[1]!BexGetData("DP_1","00O2TNJGODT0G5Z4TTKYMN7K5","GSON1112031282")</f>
        <v>#NAME?</v>
      </c>
    </row>
    <row r="516" spans="1:23" x14ac:dyDescent="0.2">
      <c r="A516" s="36" t="s">
        <v>2462</v>
      </c>
      <c r="B516" s="27" t="s">
        <v>2463</v>
      </c>
      <c r="C516" s="23" t="e">
        <f ca="1">[1]!BexGetData("DP_1","003N8EMH8GTFRCSWKMPXRR8GU","GSON1112031283")</f>
        <v>#NAME?</v>
      </c>
      <c r="D516" s="23" t="e">
        <f ca="1">[1]!BexGetData("DP_1","003N8EMH8GTFRCSWKMPXRRESE","GSON1112031283")</f>
        <v>#NAME?</v>
      </c>
      <c r="E516" s="28" t="e">
        <f ca="1">[1]!BexGetData("DP_1","003N8EMH8GTFRCSWKMPXRRL3Y","GSON1112031283")</f>
        <v>#NAME?</v>
      </c>
      <c r="F516" s="28" t="e">
        <f ca="1">[1]!BexGetData("DP_1","003N8EMH8GTFRCSWKMPXRRRFI","GSON1112031283")</f>
        <v>#NAME?</v>
      </c>
      <c r="G516" s="23" t="e">
        <f ca="1">[1]!BexGetData("DP_1","003N8EMH8GTFRCSWKMPXRRXR2","GSON1112031283")</f>
        <v>#NAME?</v>
      </c>
      <c r="H516" s="23" t="e">
        <f ca="1">[1]!BexGetData("DP_1","003N8EMH8GTFRCSWKMPXRS42M","GSON1112031283")</f>
        <v>#NAME?</v>
      </c>
      <c r="I516" s="28" t="e">
        <f ca="1">[1]!BexGetData("DP_1","003N8EMH8GTFRCSWKMPXRSAE6","GSON1112031283")</f>
        <v>#NAME?</v>
      </c>
      <c r="J516" s="24" t="e">
        <f ca="1">[1]!BexGetData("DP_1","003N8EMH8GTFRCSWKMPXRSGPQ","GSON1112031283")</f>
        <v>#NAME?</v>
      </c>
      <c r="K516" s="28" t="e">
        <f ca="1">[1]!BexGetData("DP_1","003N8EMH8GTFRIVNUPY288VJH","GSON1112031283")</f>
        <v>#NAME?</v>
      </c>
      <c r="L516" s="28" t="e">
        <f ca="1">[1]!BexGetData("DP_1","003N8EMH8GTFRIVNUPY2891V1","GSON1112031283")</f>
        <v>#NAME?</v>
      </c>
      <c r="M516" s="28" t="e">
        <f ca="1">[1]!BexGetData("DP_1","003N8EMH8GTFRIVOG7KG9IQXA","GSON1112031283")</f>
        <v>#NAME?</v>
      </c>
      <c r="N516" s="28" t="e">
        <f ca="1">[1]!BexGetData("DP_1","003N8EMH8GTFRIVOG7KG9IX8U","GSON1112031283")</f>
        <v>#NAME?</v>
      </c>
      <c r="O516" s="28" t="e">
        <f ca="1">[1]!BexGetData("DP_1","003N8EMH8GTFRIVOG7KG9J3KE","GSON1112031283")</f>
        <v>#NAME?</v>
      </c>
      <c r="P516" s="28" t="e">
        <f ca="1">[1]!BexGetData("DP_1","003N8EMH8GTFRIVOG7KG9J9VY","GSON1112031283")</f>
        <v>#NAME?</v>
      </c>
      <c r="Q516" s="24" t="e">
        <f ca="1">[1]!BexGetData("DP_1","00O2TNJGODT0G5Z4TTKYMM5MT","GSON1112031283")</f>
        <v>#NAME?</v>
      </c>
      <c r="R516" s="28" t="e">
        <f ca="1">[1]!BexGetData("DP_1","00O2TNJGODT0G5Z4TTKYMMBYD","GSON1112031283")</f>
        <v>#NAME?</v>
      </c>
      <c r="S516" s="28" t="e">
        <f ca="1">[1]!BexGetData("DP_1","00O2TNJGODT0G5Z4TTKYMMI9X","GSON1112031283")</f>
        <v>#NAME?</v>
      </c>
      <c r="T516" s="28" t="e">
        <f ca="1">[1]!BexGetData("DP_1","00O2TNJGODT0G5Z4TTKYMMOLH","GSON1112031283")</f>
        <v>#NAME?</v>
      </c>
      <c r="U516" s="28" t="e">
        <f ca="1">[1]!BexGetData("DP_1","00O2TNJGODT0G5Z4TTKYMMUX1","GSON1112031283")</f>
        <v>#NAME?</v>
      </c>
      <c r="V516" s="28" t="e">
        <f ca="1">[1]!BexGetData("DP_1","00O2TNJGODT0G5Z4TTKYMN18L","GSON1112031283")</f>
        <v>#NAME?</v>
      </c>
      <c r="W516" s="28" t="e">
        <f ca="1">[1]!BexGetData("DP_1","00O2TNJGODT0G5Z4TTKYMN7K5","GSON1112031283")</f>
        <v>#NAME?</v>
      </c>
    </row>
    <row r="517" spans="1:23" x14ac:dyDescent="0.2">
      <c r="A517" s="36" t="s">
        <v>2464</v>
      </c>
      <c r="B517" s="27" t="s">
        <v>2465</v>
      </c>
      <c r="C517" s="23" t="e">
        <f ca="1">[1]!BexGetData("DP_1","003N8EMH8GTFRCSWKMPXRR8GU","GSON1112031285")</f>
        <v>#NAME?</v>
      </c>
      <c r="D517" s="23" t="e">
        <f ca="1">[1]!BexGetData("DP_1","003N8EMH8GTFRCSWKMPXRRESE","GSON1112031285")</f>
        <v>#NAME?</v>
      </c>
      <c r="E517" s="28" t="e">
        <f ca="1">[1]!BexGetData("DP_1","003N8EMH8GTFRCSWKMPXRRL3Y","GSON1112031285")</f>
        <v>#NAME?</v>
      </c>
      <c r="F517" s="28" t="e">
        <f ca="1">[1]!BexGetData("DP_1","003N8EMH8GTFRCSWKMPXRRRFI","GSON1112031285")</f>
        <v>#NAME?</v>
      </c>
      <c r="G517" s="23" t="e">
        <f ca="1">[1]!BexGetData("DP_1","003N8EMH8GTFRCSWKMPXRRXR2","GSON1112031285")</f>
        <v>#NAME?</v>
      </c>
      <c r="H517" s="23" t="e">
        <f ca="1">[1]!BexGetData("DP_1","003N8EMH8GTFRCSWKMPXRS42M","GSON1112031285")</f>
        <v>#NAME?</v>
      </c>
      <c r="I517" s="28" t="e">
        <f ca="1">[1]!BexGetData("DP_1","003N8EMH8GTFRCSWKMPXRSAE6","GSON1112031285")</f>
        <v>#NAME?</v>
      </c>
      <c r="J517" s="24" t="e">
        <f ca="1">[1]!BexGetData("DP_1","003N8EMH8GTFRCSWKMPXRSGPQ","GSON1112031285")</f>
        <v>#NAME?</v>
      </c>
      <c r="K517" s="28" t="e">
        <f ca="1">[1]!BexGetData("DP_1","003N8EMH8GTFRIVNUPY288VJH","GSON1112031285")</f>
        <v>#NAME?</v>
      </c>
      <c r="L517" s="28" t="e">
        <f ca="1">[1]!BexGetData("DP_1","003N8EMH8GTFRIVNUPY2891V1","GSON1112031285")</f>
        <v>#NAME?</v>
      </c>
      <c r="M517" s="28" t="e">
        <f ca="1">[1]!BexGetData("DP_1","003N8EMH8GTFRIVOG7KG9IQXA","GSON1112031285")</f>
        <v>#NAME?</v>
      </c>
      <c r="N517" s="28" t="e">
        <f ca="1">[1]!BexGetData("DP_1","003N8EMH8GTFRIVOG7KG9IX8U","GSON1112031285")</f>
        <v>#NAME?</v>
      </c>
      <c r="O517" s="28" t="e">
        <f ca="1">[1]!BexGetData("DP_1","003N8EMH8GTFRIVOG7KG9J3KE","GSON1112031285")</f>
        <v>#NAME?</v>
      </c>
      <c r="P517" s="28" t="e">
        <f ca="1">[1]!BexGetData("DP_1","003N8EMH8GTFRIVOG7KG9J9VY","GSON1112031285")</f>
        <v>#NAME?</v>
      </c>
      <c r="Q517" s="24" t="e">
        <f ca="1">[1]!BexGetData("DP_1","00O2TNJGODT0G5Z4TTKYMM5MT","GSON1112031285")</f>
        <v>#NAME?</v>
      </c>
      <c r="R517" s="28" t="e">
        <f ca="1">[1]!BexGetData("DP_1","00O2TNJGODT0G5Z4TTKYMMBYD","GSON1112031285")</f>
        <v>#NAME?</v>
      </c>
      <c r="S517" s="28" t="e">
        <f ca="1">[1]!BexGetData("DP_1","00O2TNJGODT0G5Z4TTKYMMI9X","GSON1112031285")</f>
        <v>#NAME?</v>
      </c>
      <c r="T517" s="28" t="e">
        <f ca="1">[1]!BexGetData("DP_1","00O2TNJGODT0G5Z4TTKYMMOLH","GSON1112031285")</f>
        <v>#NAME?</v>
      </c>
      <c r="U517" s="28" t="e">
        <f ca="1">[1]!BexGetData("DP_1","00O2TNJGODT0G5Z4TTKYMMUX1","GSON1112031285")</f>
        <v>#NAME?</v>
      </c>
      <c r="V517" s="28" t="e">
        <f ca="1">[1]!BexGetData("DP_1","00O2TNJGODT0G5Z4TTKYMN18L","GSON1112031285")</f>
        <v>#NAME?</v>
      </c>
      <c r="W517" s="28" t="e">
        <f ca="1">[1]!BexGetData("DP_1","00O2TNJGODT0G5Z4TTKYMN7K5","GSON1112031285")</f>
        <v>#NAME?</v>
      </c>
    </row>
    <row r="518" spans="1:23" x14ac:dyDescent="0.2">
      <c r="A518" s="36" t="s">
        <v>2466</v>
      </c>
      <c r="B518" s="27" t="s">
        <v>2467</v>
      </c>
      <c r="C518" s="23" t="e">
        <f ca="1">[1]!BexGetData("DP_1","003N8EMH8GTFRCSWKMPXRR8GU","GSON1112031290")</f>
        <v>#NAME?</v>
      </c>
      <c r="D518" s="23" t="e">
        <f ca="1">[1]!BexGetData("DP_1","003N8EMH8GTFRCSWKMPXRRESE","GSON1112031290")</f>
        <v>#NAME?</v>
      </c>
      <c r="E518" s="28" t="e">
        <f ca="1">[1]!BexGetData("DP_1","003N8EMH8GTFRCSWKMPXRRL3Y","GSON1112031290")</f>
        <v>#NAME?</v>
      </c>
      <c r="F518" s="23" t="e">
        <f ca="1">[1]!BexGetData("DP_1","003N8EMH8GTFRCSWKMPXRRRFI","GSON1112031290")</f>
        <v>#NAME?</v>
      </c>
      <c r="G518" s="23" t="e">
        <f ca="1">[1]!BexGetData("DP_1","003N8EMH8GTFRCSWKMPXRRXR2","GSON1112031290")</f>
        <v>#NAME?</v>
      </c>
      <c r="H518" s="23" t="e">
        <f ca="1">[1]!BexGetData("DP_1","003N8EMH8GTFRCSWKMPXRS42M","GSON1112031290")</f>
        <v>#NAME?</v>
      </c>
      <c r="I518" s="23" t="e">
        <f ca="1">[1]!BexGetData("DP_1","003N8EMH8GTFRCSWKMPXRSAE6","GSON1112031290")</f>
        <v>#NAME?</v>
      </c>
      <c r="J518" s="24" t="e">
        <f ca="1">[1]!BexGetData("DP_1","003N8EMH8GTFRCSWKMPXRSGPQ","GSON1112031290")</f>
        <v>#NAME?</v>
      </c>
      <c r="K518" s="23" t="e">
        <f ca="1">[1]!BexGetData("DP_1","003N8EMH8GTFRIVNUPY288VJH","GSON1112031290")</f>
        <v>#NAME?</v>
      </c>
      <c r="L518" s="23" t="e">
        <f ca="1">[1]!BexGetData("DP_1","003N8EMH8GTFRIVNUPY2891V1","GSON1112031290")</f>
        <v>#NAME?</v>
      </c>
      <c r="M518" s="23" t="e">
        <f ca="1">[1]!BexGetData("DP_1","003N8EMH8GTFRIVOG7KG9IQXA","GSON1112031290")</f>
        <v>#NAME?</v>
      </c>
      <c r="N518" s="28" t="e">
        <f ca="1">[1]!BexGetData("DP_1","003N8EMH8GTFRIVOG7KG9IX8U","GSON1112031290")</f>
        <v>#NAME?</v>
      </c>
      <c r="O518" s="23" t="e">
        <f ca="1">[1]!BexGetData("DP_1","003N8EMH8GTFRIVOG7KG9J3KE","GSON1112031290")</f>
        <v>#NAME?</v>
      </c>
      <c r="P518" s="28" t="e">
        <f ca="1">[1]!BexGetData("DP_1","003N8EMH8GTFRIVOG7KG9J9VY","GSON1112031290")</f>
        <v>#NAME?</v>
      </c>
      <c r="Q518" s="24" t="e">
        <f ca="1">[1]!BexGetData("DP_1","00O2TNJGODT0G5Z4TTKYMM5MT","GSON1112031290")</f>
        <v>#NAME?</v>
      </c>
      <c r="R518" s="23" t="e">
        <f ca="1">[1]!BexGetData("DP_1","00O2TNJGODT0G5Z4TTKYMMBYD","GSON1112031290")</f>
        <v>#NAME?</v>
      </c>
      <c r="S518" s="23" t="e">
        <f ca="1">[1]!BexGetData("DP_1","00O2TNJGODT0G5Z4TTKYMMI9X","GSON1112031290")</f>
        <v>#NAME?</v>
      </c>
      <c r="T518" s="28" t="e">
        <f ca="1">[1]!BexGetData("DP_1","00O2TNJGODT0G5Z4TTKYMMOLH","GSON1112031290")</f>
        <v>#NAME?</v>
      </c>
      <c r="U518" s="23" t="e">
        <f ca="1">[1]!BexGetData("DP_1","00O2TNJGODT0G5Z4TTKYMMUX1","GSON1112031290")</f>
        <v>#NAME?</v>
      </c>
      <c r="V518" s="28" t="e">
        <f ca="1">[1]!BexGetData("DP_1","00O2TNJGODT0G5Z4TTKYMN18L","GSON1112031290")</f>
        <v>#NAME?</v>
      </c>
      <c r="W518" s="23" t="e">
        <f ca="1">[1]!BexGetData("DP_1","00O2TNJGODT0G5Z4TTKYMN7K5","GSON1112031290")</f>
        <v>#NAME?</v>
      </c>
    </row>
    <row r="519" spans="1:23" x14ac:dyDescent="0.2">
      <c r="A519" s="36" t="s">
        <v>2468</v>
      </c>
      <c r="B519" s="27" t="s">
        <v>2469</v>
      </c>
      <c r="C519" s="28" t="e">
        <f ca="1">[1]!BexGetData("DP_1","003N8EMH8GTFRCSWKMPXRR8GU","GSON1112031291")</f>
        <v>#NAME?</v>
      </c>
      <c r="D519" s="28" t="e">
        <f ca="1">[1]!BexGetData("DP_1","003N8EMH8GTFRCSWKMPXRRESE","GSON1112031291")</f>
        <v>#NAME?</v>
      </c>
      <c r="E519" s="28" t="e">
        <f ca="1">[1]!BexGetData("DP_1","003N8EMH8GTFRCSWKMPXRRL3Y","GSON1112031291")</f>
        <v>#NAME?</v>
      </c>
      <c r="F519" s="28" t="e">
        <f ca="1">[1]!BexGetData("DP_1","003N8EMH8GTFRCSWKMPXRRRFI","GSON1112031291")</f>
        <v>#NAME?</v>
      </c>
      <c r="G519" s="23" t="e">
        <f ca="1">[1]!BexGetData("DP_1","003N8EMH8GTFRCSWKMPXRRXR2","GSON1112031291")</f>
        <v>#NAME?</v>
      </c>
      <c r="H519" s="23" t="e">
        <f ca="1">[1]!BexGetData("DP_1","003N8EMH8GTFRCSWKMPXRS42M","GSON1112031291")</f>
        <v>#NAME?</v>
      </c>
      <c r="I519" s="28" t="e">
        <f ca="1">[1]!BexGetData("DP_1","003N8EMH8GTFRCSWKMPXRSAE6","GSON1112031291")</f>
        <v>#NAME?</v>
      </c>
      <c r="J519" s="24" t="e">
        <f ca="1">[1]!BexGetData("DP_1","003N8EMH8GTFRCSWKMPXRSGPQ","GSON1112031291")</f>
        <v>#NAME?</v>
      </c>
      <c r="K519" s="28" t="e">
        <f ca="1">[1]!BexGetData("DP_1","003N8EMH8GTFRIVNUPY288VJH","GSON1112031291")</f>
        <v>#NAME?</v>
      </c>
      <c r="L519" s="28" t="e">
        <f ca="1">[1]!BexGetData("DP_1","003N8EMH8GTFRIVNUPY2891V1","GSON1112031291")</f>
        <v>#NAME?</v>
      </c>
      <c r="M519" s="28" t="e">
        <f ca="1">[1]!BexGetData("DP_1","003N8EMH8GTFRIVOG7KG9IQXA","GSON1112031291")</f>
        <v>#NAME?</v>
      </c>
      <c r="N519" s="28" t="e">
        <f ca="1">[1]!BexGetData("DP_1","003N8EMH8GTFRIVOG7KG9IX8U","GSON1112031291")</f>
        <v>#NAME?</v>
      </c>
      <c r="O519" s="28" t="e">
        <f ca="1">[1]!BexGetData("DP_1","003N8EMH8GTFRIVOG7KG9J3KE","GSON1112031291")</f>
        <v>#NAME?</v>
      </c>
      <c r="P519" s="28" t="e">
        <f ca="1">[1]!BexGetData("DP_1","003N8EMH8GTFRIVOG7KG9J9VY","GSON1112031291")</f>
        <v>#NAME?</v>
      </c>
      <c r="Q519" s="24" t="e">
        <f ca="1">[1]!BexGetData("DP_1","00O2TNJGODT0G5Z4TTKYMM5MT","GSON1112031291")</f>
        <v>#NAME?</v>
      </c>
      <c r="R519" s="28" t="e">
        <f ca="1">[1]!BexGetData("DP_1","00O2TNJGODT0G5Z4TTKYMMBYD","GSON1112031291")</f>
        <v>#NAME?</v>
      </c>
      <c r="S519" s="28" t="e">
        <f ca="1">[1]!BexGetData("DP_1","00O2TNJGODT0G5Z4TTKYMMI9X","GSON1112031291")</f>
        <v>#NAME?</v>
      </c>
      <c r="T519" s="28" t="e">
        <f ca="1">[1]!BexGetData("DP_1","00O2TNJGODT0G5Z4TTKYMMOLH","GSON1112031291")</f>
        <v>#NAME?</v>
      </c>
      <c r="U519" s="28" t="e">
        <f ca="1">[1]!BexGetData("DP_1","00O2TNJGODT0G5Z4TTKYMMUX1","GSON1112031291")</f>
        <v>#NAME?</v>
      </c>
      <c r="V519" s="28" t="e">
        <f ca="1">[1]!BexGetData("DP_1","00O2TNJGODT0G5Z4TTKYMN18L","GSON1112031291")</f>
        <v>#NAME?</v>
      </c>
      <c r="W519" s="28" t="e">
        <f ca="1">[1]!BexGetData("DP_1","00O2TNJGODT0G5Z4TTKYMN7K5","GSON1112031291")</f>
        <v>#NAME?</v>
      </c>
    </row>
    <row r="520" spans="1:23" x14ac:dyDescent="0.2">
      <c r="A520" s="36" t="s">
        <v>2470</v>
      </c>
      <c r="B520" s="27" t="s">
        <v>2471</v>
      </c>
      <c r="C520" s="23" t="e">
        <f ca="1">[1]!BexGetData("DP_1","003N8EMH8GTFRCSWKMPXRR8GU","GSON1112031293")</f>
        <v>#NAME?</v>
      </c>
      <c r="D520" s="23" t="e">
        <f ca="1">[1]!BexGetData("DP_1","003N8EMH8GTFRCSWKMPXRRESE","GSON1112031293")</f>
        <v>#NAME?</v>
      </c>
      <c r="E520" s="28" t="e">
        <f ca="1">[1]!BexGetData("DP_1","003N8EMH8GTFRCSWKMPXRRL3Y","GSON1112031293")</f>
        <v>#NAME?</v>
      </c>
      <c r="F520" s="28" t="e">
        <f ca="1">[1]!BexGetData("DP_1","003N8EMH8GTFRCSWKMPXRRRFI","GSON1112031293")</f>
        <v>#NAME?</v>
      </c>
      <c r="G520" s="23" t="e">
        <f ca="1">[1]!BexGetData("DP_1","003N8EMH8GTFRCSWKMPXRRXR2","GSON1112031293")</f>
        <v>#NAME?</v>
      </c>
      <c r="H520" s="23" t="e">
        <f ca="1">[1]!BexGetData("DP_1","003N8EMH8GTFRCSWKMPXRS42M","GSON1112031293")</f>
        <v>#NAME?</v>
      </c>
      <c r="I520" s="28" t="e">
        <f ca="1">[1]!BexGetData("DP_1","003N8EMH8GTFRCSWKMPXRSAE6","GSON1112031293")</f>
        <v>#NAME?</v>
      </c>
      <c r="J520" s="24" t="e">
        <f ca="1">[1]!BexGetData("DP_1","003N8EMH8GTFRCSWKMPXRSGPQ","GSON1112031293")</f>
        <v>#NAME?</v>
      </c>
      <c r="K520" s="28" t="e">
        <f ca="1">[1]!BexGetData("DP_1","003N8EMH8GTFRIVNUPY288VJH","GSON1112031293")</f>
        <v>#NAME?</v>
      </c>
      <c r="L520" s="28" t="e">
        <f ca="1">[1]!BexGetData("DP_1","003N8EMH8GTFRIVNUPY2891V1","GSON1112031293")</f>
        <v>#NAME?</v>
      </c>
      <c r="M520" s="28" t="e">
        <f ca="1">[1]!BexGetData("DP_1","003N8EMH8GTFRIVOG7KG9IQXA","GSON1112031293")</f>
        <v>#NAME?</v>
      </c>
      <c r="N520" s="28" t="e">
        <f ca="1">[1]!BexGetData("DP_1","003N8EMH8GTFRIVOG7KG9IX8U","GSON1112031293")</f>
        <v>#NAME?</v>
      </c>
      <c r="O520" s="28" t="e">
        <f ca="1">[1]!BexGetData("DP_1","003N8EMH8GTFRIVOG7KG9J3KE","GSON1112031293")</f>
        <v>#NAME?</v>
      </c>
      <c r="P520" s="28" t="e">
        <f ca="1">[1]!BexGetData("DP_1","003N8EMH8GTFRIVOG7KG9J9VY","GSON1112031293")</f>
        <v>#NAME?</v>
      </c>
      <c r="Q520" s="24" t="e">
        <f ca="1">[1]!BexGetData("DP_1","00O2TNJGODT0G5Z4TTKYMM5MT","GSON1112031293")</f>
        <v>#NAME?</v>
      </c>
      <c r="R520" s="28" t="e">
        <f ca="1">[1]!BexGetData("DP_1","00O2TNJGODT0G5Z4TTKYMMBYD","GSON1112031293")</f>
        <v>#NAME?</v>
      </c>
      <c r="S520" s="28" t="e">
        <f ca="1">[1]!BexGetData("DP_1","00O2TNJGODT0G5Z4TTKYMMI9X","GSON1112031293")</f>
        <v>#NAME?</v>
      </c>
      <c r="T520" s="28" t="e">
        <f ca="1">[1]!BexGetData("DP_1","00O2TNJGODT0G5Z4TTKYMMOLH","GSON1112031293")</f>
        <v>#NAME?</v>
      </c>
      <c r="U520" s="28" t="e">
        <f ca="1">[1]!BexGetData("DP_1","00O2TNJGODT0G5Z4TTKYMMUX1","GSON1112031293")</f>
        <v>#NAME?</v>
      </c>
      <c r="V520" s="28" t="e">
        <f ca="1">[1]!BexGetData("DP_1","00O2TNJGODT0G5Z4TTKYMN18L","GSON1112031293")</f>
        <v>#NAME?</v>
      </c>
      <c r="W520" s="28" t="e">
        <f ca="1">[1]!BexGetData("DP_1","00O2TNJGODT0G5Z4TTKYMN7K5","GSON1112031293")</f>
        <v>#NAME?</v>
      </c>
    </row>
    <row r="521" spans="1:23" x14ac:dyDescent="0.2">
      <c r="A521" s="36" t="s">
        <v>2472</v>
      </c>
      <c r="B521" s="27" t="s">
        <v>2473</v>
      </c>
      <c r="C521" s="23" t="e">
        <f ca="1">[1]!BexGetData("DP_1","003N8EMH8GTFRCSWKMPXRR8GU","GSON1112031295")</f>
        <v>#NAME?</v>
      </c>
      <c r="D521" s="23" t="e">
        <f ca="1">[1]!BexGetData("DP_1","003N8EMH8GTFRCSWKMPXRRESE","GSON1112031295")</f>
        <v>#NAME?</v>
      </c>
      <c r="E521" s="28" t="e">
        <f ca="1">[1]!BexGetData("DP_1","003N8EMH8GTFRCSWKMPXRRL3Y","GSON1112031295")</f>
        <v>#NAME?</v>
      </c>
      <c r="F521" s="28" t="e">
        <f ca="1">[1]!BexGetData("DP_1","003N8EMH8GTFRCSWKMPXRRRFI","GSON1112031295")</f>
        <v>#NAME?</v>
      </c>
      <c r="G521" s="23" t="e">
        <f ca="1">[1]!BexGetData("DP_1","003N8EMH8GTFRCSWKMPXRRXR2","GSON1112031295")</f>
        <v>#NAME?</v>
      </c>
      <c r="H521" s="23" t="e">
        <f ca="1">[1]!BexGetData("DP_1","003N8EMH8GTFRCSWKMPXRS42M","GSON1112031295")</f>
        <v>#NAME?</v>
      </c>
      <c r="I521" s="28" t="e">
        <f ca="1">[1]!BexGetData("DP_1","003N8EMH8GTFRCSWKMPXRSAE6","GSON1112031295")</f>
        <v>#NAME?</v>
      </c>
      <c r="J521" s="24" t="e">
        <f ca="1">[1]!BexGetData("DP_1","003N8EMH8GTFRCSWKMPXRSGPQ","GSON1112031295")</f>
        <v>#NAME?</v>
      </c>
      <c r="K521" s="28" t="e">
        <f ca="1">[1]!BexGetData("DP_1","003N8EMH8GTFRIVNUPY288VJH","GSON1112031295")</f>
        <v>#NAME?</v>
      </c>
      <c r="L521" s="28" t="e">
        <f ca="1">[1]!BexGetData("DP_1","003N8EMH8GTFRIVNUPY2891V1","GSON1112031295")</f>
        <v>#NAME?</v>
      </c>
      <c r="M521" s="28" t="e">
        <f ca="1">[1]!BexGetData("DP_1","003N8EMH8GTFRIVOG7KG9IQXA","GSON1112031295")</f>
        <v>#NAME?</v>
      </c>
      <c r="N521" s="28" t="e">
        <f ca="1">[1]!BexGetData("DP_1","003N8EMH8GTFRIVOG7KG9IX8U","GSON1112031295")</f>
        <v>#NAME?</v>
      </c>
      <c r="O521" s="28" t="e">
        <f ca="1">[1]!BexGetData("DP_1","003N8EMH8GTFRIVOG7KG9J3KE","GSON1112031295")</f>
        <v>#NAME?</v>
      </c>
      <c r="P521" s="28" t="e">
        <f ca="1">[1]!BexGetData("DP_1","003N8EMH8GTFRIVOG7KG9J9VY","GSON1112031295")</f>
        <v>#NAME?</v>
      </c>
      <c r="Q521" s="24" t="e">
        <f ca="1">[1]!BexGetData("DP_1","00O2TNJGODT0G5Z4TTKYMM5MT","GSON1112031295")</f>
        <v>#NAME?</v>
      </c>
      <c r="R521" s="28" t="e">
        <f ca="1">[1]!BexGetData("DP_1","00O2TNJGODT0G5Z4TTKYMMBYD","GSON1112031295")</f>
        <v>#NAME?</v>
      </c>
      <c r="S521" s="28" t="e">
        <f ca="1">[1]!BexGetData("DP_1","00O2TNJGODT0G5Z4TTKYMMI9X","GSON1112031295")</f>
        <v>#NAME?</v>
      </c>
      <c r="T521" s="28" t="e">
        <f ca="1">[1]!BexGetData("DP_1","00O2TNJGODT0G5Z4TTKYMMOLH","GSON1112031295")</f>
        <v>#NAME?</v>
      </c>
      <c r="U521" s="28" t="e">
        <f ca="1">[1]!BexGetData("DP_1","00O2TNJGODT0G5Z4TTKYMMUX1","GSON1112031295")</f>
        <v>#NAME?</v>
      </c>
      <c r="V521" s="28" t="e">
        <f ca="1">[1]!BexGetData("DP_1","00O2TNJGODT0G5Z4TTKYMN18L","GSON1112031295")</f>
        <v>#NAME?</v>
      </c>
      <c r="W521" s="28" t="e">
        <f ca="1">[1]!BexGetData("DP_1","00O2TNJGODT0G5Z4TTKYMN7K5","GSON1112031295")</f>
        <v>#NAME?</v>
      </c>
    </row>
    <row r="522" spans="1:23" x14ac:dyDescent="0.2">
      <c r="A522" s="36" t="s">
        <v>2474</v>
      </c>
      <c r="B522" s="27" t="s">
        <v>2475</v>
      </c>
      <c r="C522" s="28" t="e">
        <f ca="1">[1]!BexGetData("DP_1","003N8EMH8GTFRCSWKMPXRR8GU","GSON1112031300")</f>
        <v>#NAME?</v>
      </c>
      <c r="D522" s="28" t="e">
        <f ca="1">[1]!BexGetData("DP_1","003N8EMH8GTFRCSWKMPXRRESE","GSON1112031300")</f>
        <v>#NAME?</v>
      </c>
      <c r="E522" s="23" t="e">
        <f ca="1">[1]!BexGetData("DP_1","003N8EMH8GTFRCSWKMPXRRL3Y","GSON1112031300")</f>
        <v>#NAME?</v>
      </c>
      <c r="F522" s="23" t="e">
        <f ca="1">[1]!BexGetData("DP_1","003N8EMH8GTFRCSWKMPXRRRFI","GSON1112031300")</f>
        <v>#NAME?</v>
      </c>
      <c r="G522" s="23" t="e">
        <f ca="1">[1]!BexGetData("DP_1","003N8EMH8GTFRCSWKMPXRRXR2","GSON1112031300")</f>
        <v>#NAME?</v>
      </c>
      <c r="H522" s="28" t="e">
        <f ca="1">[1]!BexGetData("DP_1","003N8EMH8GTFRCSWKMPXRS42M","GSON1112031300")</f>
        <v>#NAME?</v>
      </c>
      <c r="I522" s="23" t="e">
        <f ca="1">[1]!BexGetData("DP_1","003N8EMH8GTFRCSWKMPXRSAE6","GSON1112031300")</f>
        <v>#NAME?</v>
      </c>
      <c r="J522" s="24" t="e">
        <f ca="1">[1]!BexGetData("DP_1","003N8EMH8GTFRCSWKMPXRSGPQ","GSON1112031300")</f>
        <v>#NAME?</v>
      </c>
      <c r="K522" s="28" t="e">
        <f ca="1">[1]!BexGetData("DP_1","003N8EMH8GTFRIVNUPY288VJH","GSON1112031300")</f>
        <v>#NAME?</v>
      </c>
      <c r="L522" s="28" t="e">
        <f ca="1">[1]!BexGetData("DP_1","003N8EMH8GTFRIVNUPY2891V1","GSON1112031300")</f>
        <v>#NAME?</v>
      </c>
      <c r="M522" s="28" t="e">
        <f ca="1">[1]!BexGetData("DP_1","003N8EMH8GTFRIVOG7KG9IQXA","GSON1112031300")</f>
        <v>#NAME?</v>
      </c>
      <c r="N522" s="28" t="e">
        <f ca="1">[1]!BexGetData("DP_1","003N8EMH8GTFRIVOG7KG9IX8U","GSON1112031300")</f>
        <v>#NAME?</v>
      </c>
      <c r="O522" s="28" t="e">
        <f ca="1">[1]!BexGetData("DP_1","003N8EMH8GTFRIVOG7KG9J3KE","GSON1112031300")</f>
        <v>#NAME?</v>
      </c>
      <c r="P522" s="28" t="e">
        <f ca="1">[1]!BexGetData("DP_1","003N8EMH8GTFRIVOG7KG9J9VY","GSON1112031300")</f>
        <v>#NAME?</v>
      </c>
      <c r="Q522" s="24" t="e">
        <f ca="1">[1]!BexGetData("DP_1","00O2TNJGODT0G5Z4TTKYMM5MT","GSON1112031300")</f>
        <v>#NAME?</v>
      </c>
      <c r="R522" s="23" t="e">
        <f ca="1">[1]!BexGetData("DP_1","00O2TNJGODT0G5Z4TTKYMMBYD","GSON1112031300")</f>
        <v>#NAME?</v>
      </c>
      <c r="S522" s="23" t="e">
        <f ca="1">[1]!BexGetData("DP_1","00O2TNJGODT0G5Z4TTKYMMI9X","GSON1112031300")</f>
        <v>#NAME?</v>
      </c>
      <c r="T522" s="28" t="e">
        <f ca="1">[1]!BexGetData("DP_1","00O2TNJGODT0G5Z4TTKYMMOLH","GSON1112031300")</f>
        <v>#NAME?</v>
      </c>
      <c r="U522" s="23" t="e">
        <f ca="1">[1]!BexGetData("DP_1","00O2TNJGODT0G5Z4TTKYMMUX1","GSON1112031300")</f>
        <v>#NAME?</v>
      </c>
      <c r="V522" s="28" t="e">
        <f ca="1">[1]!BexGetData("DP_1","00O2TNJGODT0G5Z4TTKYMN18L","GSON1112031300")</f>
        <v>#NAME?</v>
      </c>
      <c r="W522" s="23" t="e">
        <f ca="1">[1]!BexGetData("DP_1","00O2TNJGODT0G5Z4TTKYMN7K5","GSON1112031300")</f>
        <v>#NAME?</v>
      </c>
    </row>
    <row r="523" spans="1:23" x14ac:dyDescent="0.2">
      <c r="A523" s="36" t="s">
        <v>2476</v>
      </c>
      <c r="B523" s="27" t="s">
        <v>2477</v>
      </c>
      <c r="C523" s="28" t="e">
        <f ca="1">[1]!BexGetData("DP_1","003N8EMH8GTFRCSWKMPXRR8GU","GSON1112031301")</f>
        <v>#NAME?</v>
      </c>
      <c r="D523" s="28" t="e">
        <f ca="1">[1]!BexGetData("DP_1","003N8EMH8GTFRCSWKMPXRRESE","GSON1112031301")</f>
        <v>#NAME?</v>
      </c>
      <c r="E523" s="28" t="e">
        <f ca="1">[1]!BexGetData("DP_1","003N8EMH8GTFRCSWKMPXRRL3Y","GSON1112031301")</f>
        <v>#NAME?</v>
      </c>
      <c r="F523" s="28" t="e">
        <f ca="1">[1]!BexGetData("DP_1","003N8EMH8GTFRCSWKMPXRRRFI","GSON1112031301")</f>
        <v>#NAME?</v>
      </c>
      <c r="G523" s="23" t="e">
        <f ca="1">[1]!BexGetData("DP_1","003N8EMH8GTFRCSWKMPXRRXR2","GSON1112031301")</f>
        <v>#NAME?</v>
      </c>
      <c r="H523" s="23" t="e">
        <f ca="1">[1]!BexGetData("DP_1","003N8EMH8GTFRCSWKMPXRS42M","GSON1112031301")</f>
        <v>#NAME?</v>
      </c>
      <c r="I523" s="28" t="e">
        <f ca="1">[1]!BexGetData("DP_1","003N8EMH8GTFRCSWKMPXRSAE6","GSON1112031301")</f>
        <v>#NAME?</v>
      </c>
      <c r="J523" s="24" t="e">
        <f ca="1">[1]!BexGetData("DP_1","003N8EMH8GTFRCSWKMPXRSGPQ","GSON1112031301")</f>
        <v>#NAME?</v>
      </c>
      <c r="K523" s="28" t="e">
        <f ca="1">[1]!BexGetData("DP_1","003N8EMH8GTFRIVNUPY288VJH","GSON1112031301")</f>
        <v>#NAME?</v>
      </c>
      <c r="L523" s="28" t="e">
        <f ca="1">[1]!BexGetData("DP_1","003N8EMH8GTFRIVNUPY2891V1","GSON1112031301")</f>
        <v>#NAME?</v>
      </c>
      <c r="M523" s="28" t="e">
        <f ca="1">[1]!BexGetData("DP_1","003N8EMH8GTFRIVOG7KG9IQXA","GSON1112031301")</f>
        <v>#NAME?</v>
      </c>
      <c r="N523" s="28" t="e">
        <f ca="1">[1]!BexGetData("DP_1","003N8EMH8GTFRIVOG7KG9IX8U","GSON1112031301")</f>
        <v>#NAME?</v>
      </c>
      <c r="O523" s="28" t="e">
        <f ca="1">[1]!BexGetData("DP_1","003N8EMH8GTFRIVOG7KG9J3KE","GSON1112031301")</f>
        <v>#NAME?</v>
      </c>
      <c r="P523" s="28" t="e">
        <f ca="1">[1]!BexGetData("DP_1","003N8EMH8GTFRIVOG7KG9J9VY","GSON1112031301")</f>
        <v>#NAME?</v>
      </c>
      <c r="Q523" s="24" t="e">
        <f ca="1">[1]!BexGetData("DP_1","00O2TNJGODT0G5Z4TTKYMM5MT","GSON1112031301")</f>
        <v>#NAME?</v>
      </c>
      <c r="R523" s="28" t="e">
        <f ca="1">[1]!BexGetData("DP_1","00O2TNJGODT0G5Z4TTKYMMBYD","GSON1112031301")</f>
        <v>#NAME?</v>
      </c>
      <c r="S523" s="28" t="e">
        <f ca="1">[1]!BexGetData("DP_1","00O2TNJGODT0G5Z4TTKYMMI9X","GSON1112031301")</f>
        <v>#NAME?</v>
      </c>
      <c r="T523" s="28" t="e">
        <f ca="1">[1]!BexGetData("DP_1","00O2TNJGODT0G5Z4TTKYMMOLH","GSON1112031301")</f>
        <v>#NAME?</v>
      </c>
      <c r="U523" s="28" t="e">
        <f ca="1">[1]!BexGetData("DP_1","00O2TNJGODT0G5Z4TTKYMMUX1","GSON1112031301")</f>
        <v>#NAME?</v>
      </c>
      <c r="V523" s="28" t="e">
        <f ca="1">[1]!BexGetData("DP_1","00O2TNJGODT0G5Z4TTKYMN18L","GSON1112031301")</f>
        <v>#NAME?</v>
      </c>
      <c r="W523" s="28" t="e">
        <f ca="1">[1]!BexGetData("DP_1","00O2TNJGODT0G5Z4TTKYMN7K5","GSON1112031301")</f>
        <v>#NAME?</v>
      </c>
    </row>
    <row r="524" spans="1:23" x14ac:dyDescent="0.2">
      <c r="A524" s="36" t="s">
        <v>2478</v>
      </c>
      <c r="B524" s="27" t="s">
        <v>2479</v>
      </c>
      <c r="C524" s="23" t="e">
        <f ca="1">[1]!BexGetData("DP_1","003N8EMH8GTFRCSWKMPXRR8GU","GSON1112031310")</f>
        <v>#NAME?</v>
      </c>
      <c r="D524" s="23" t="e">
        <f ca="1">[1]!BexGetData("DP_1","003N8EMH8GTFRCSWKMPXRRESE","GSON1112031310")</f>
        <v>#NAME?</v>
      </c>
      <c r="E524" s="23" t="e">
        <f ca="1">[1]!BexGetData("DP_1","003N8EMH8GTFRCSWKMPXRRL3Y","GSON1112031310")</f>
        <v>#NAME?</v>
      </c>
      <c r="F524" s="23" t="e">
        <f ca="1">[1]!BexGetData("DP_1","003N8EMH8GTFRCSWKMPXRRRFI","GSON1112031310")</f>
        <v>#NAME?</v>
      </c>
      <c r="G524" s="23" t="e">
        <f ca="1">[1]!BexGetData("DP_1","003N8EMH8GTFRCSWKMPXRRXR2","GSON1112031310")</f>
        <v>#NAME?</v>
      </c>
      <c r="H524" s="23" t="e">
        <f ca="1">[1]!BexGetData("DP_1","003N8EMH8GTFRCSWKMPXRS42M","GSON1112031310")</f>
        <v>#NAME?</v>
      </c>
      <c r="I524" s="23" t="e">
        <f ca="1">[1]!BexGetData("DP_1","003N8EMH8GTFRCSWKMPXRSAE6","GSON1112031310")</f>
        <v>#NAME?</v>
      </c>
      <c r="J524" s="24" t="e">
        <f ca="1">[1]!BexGetData("DP_1","003N8EMH8GTFRCSWKMPXRSGPQ","GSON1112031310")</f>
        <v>#NAME?</v>
      </c>
      <c r="K524" s="23" t="e">
        <f ca="1">[1]!BexGetData("DP_1","003N8EMH8GTFRIVNUPY288VJH","GSON1112031310")</f>
        <v>#NAME?</v>
      </c>
      <c r="L524" s="23" t="e">
        <f ca="1">[1]!BexGetData("DP_1","003N8EMH8GTFRIVNUPY2891V1","GSON1112031310")</f>
        <v>#NAME?</v>
      </c>
      <c r="M524" s="28" t="e">
        <f ca="1">[1]!BexGetData("DP_1","003N8EMH8GTFRIVOG7KG9IQXA","GSON1112031310")</f>
        <v>#NAME?</v>
      </c>
      <c r="N524" s="23" t="e">
        <f ca="1">[1]!BexGetData("DP_1","003N8EMH8GTFRIVOG7KG9IX8U","GSON1112031310")</f>
        <v>#NAME?</v>
      </c>
      <c r="O524" s="28" t="e">
        <f ca="1">[1]!BexGetData("DP_1","003N8EMH8GTFRIVOG7KG9J3KE","GSON1112031310")</f>
        <v>#NAME?</v>
      </c>
      <c r="P524" s="23" t="e">
        <f ca="1">[1]!BexGetData("DP_1","003N8EMH8GTFRIVOG7KG9J9VY","GSON1112031310")</f>
        <v>#NAME?</v>
      </c>
      <c r="Q524" s="24" t="e">
        <f ca="1">[1]!BexGetData("DP_1","00O2TNJGODT0G5Z4TTKYMM5MT","GSON1112031310")</f>
        <v>#NAME?</v>
      </c>
      <c r="R524" s="23" t="e">
        <f ca="1">[1]!BexGetData("DP_1","00O2TNJGODT0G5Z4TTKYMMBYD","GSON1112031310")</f>
        <v>#NAME?</v>
      </c>
      <c r="S524" s="23" t="e">
        <f ca="1">[1]!BexGetData("DP_1","00O2TNJGODT0G5Z4TTKYMMI9X","GSON1112031310")</f>
        <v>#NAME?</v>
      </c>
      <c r="T524" s="28" t="e">
        <f ca="1">[1]!BexGetData("DP_1","00O2TNJGODT0G5Z4TTKYMMOLH","GSON1112031310")</f>
        <v>#NAME?</v>
      </c>
      <c r="U524" s="23" t="e">
        <f ca="1">[1]!BexGetData("DP_1","00O2TNJGODT0G5Z4TTKYMMUX1","GSON1112031310")</f>
        <v>#NAME?</v>
      </c>
      <c r="V524" s="28" t="e">
        <f ca="1">[1]!BexGetData("DP_1","00O2TNJGODT0G5Z4TTKYMN18L","GSON1112031310")</f>
        <v>#NAME?</v>
      </c>
      <c r="W524" s="23" t="e">
        <f ca="1">[1]!BexGetData("DP_1","00O2TNJGODT0G5Z4TTKYMN7K5","GSON1112031310")</f>
        <v>#NAME?</v>
      </c>
    </row>
    <row r="525" spans="1:23" x14ac:dyDescent="0.2">
      <c r="A525" s="36" t="s">
        <v>2480</v>
      </c>
      <c r="B525" s="27" t="s">
        <v>2481</v>
      </c>
      <c r="C525" s="23" t="e">
        <f ca="1">[1]!BexGetData("DP_1","003N8EMH8GTFRCSWKMPXRR8GU","GSON1112031311")</f>
        <v>#NAME?</v>
      </c>
      <c r="D525" s="23" t="e">
        <f ca="1">[1]!BexGetData("DP_1","003N8EMH8GTFRCSWKMPXRRESE","GSON1112031311")</f>
        <v>#NAME?</v>
      </c>
      <c r="E525" s="23" t="e">
        <f ca="1">[1]!BexGetData("DP_1","003N8EMH8GTFRCSWKMPXRRL3Y","GSON1112031311")</f>
        <v>#NAME?</v>
      </c>
      <c r="F525" s="23" t="e">
        <f ca="1">[1]!BexGetData("DP_1","003N8EMH8GTFRCSWKMPXRRRFI","GSON1112031311")</f>
        <v>#NAME?</v>
      </c>
      <c r="G525" s="23" t="e">
        <f ca="1">[1]!BexGetData("DP_1","003N8EMH8GTFRCSWKMPXRRXR2","GSON1112031311")</f>
        <v>#NAME?</v>
      </c>
      <c r="H525" s="23" t="e">
        <f ca="1">[1]!BexGetData("DP_1","003N8EMH8GTFRCSWKMPXRS42M","GSON1112031311")</f>
        <v>#NAME?</v>
      </c>
      <c r="I525" s="23" t="e">
        <f ca="1">[1]!BexGetData("DP_1","003N8EMH8GTFRCSWKMPXRSAE6","GSON1112031311")</f>
        <v>#NAME?</v>
      </c>
      <c r="J525" s="24" t="e">
        <f ca="1">[1]!BexGetData("DP_1","003N8EMH8GTFRCSWKMPXRSGPQ","GSON1112031311")</f>
        <v>#NAME?</v>
      </c>
      <c r="K525" s="23" t="e">
        <f ca="1">[1]!BexGetData("DP_1","003N8EMH8GTFRIVNUPY288VJH","GSON1112031311")</f>
        <v>#NAME?</v>
      </c>
      <c r="L525" s="23" t="e">
        <f ca="1">[1]!BexGetData("DP_1","003N8EMH8GTFRIVNUPY2891V1","GSON1112031311")</f>
        <v>#NAME?</v>
      </c>
      <c r="M525" s="23" t="e">
        <f ca="1">[1]!BexGetData("DP_1","003N8EMH8GTFRIVOG7KG9IQXA","GSON1112031311")</f>
        <v>#NAME?</v>
      </c>
      <c r="N525" s="28" t="e">
        <f ca="1">[1]!BexGetData("DP_1","003N8EMH8GTFRIVOG7KG9IX8U","GSON1112031311")</f>
        <v>#NAME?</v>
      </c>
      <c r="O525" s="23" t="e">
        <f ca="1">[1]!BexGetData("DP_1","003N8EMH8GTFRIVOG7KG9J3KE","GSON1112031311")</f>
        <v>#NAME?</v>
      </c>
      <c r="P525" s="28" t="e">
        <f ca="1">[1]!BexGetData("DP_1","003N8EMH8GTFRIVOG7KG9J9VY","GSON1112031311")</f>
        <v>#NAME?</v>
      </c>
      <c r="Q525" s="24" t="e">
        <f ca="1">[1]!BexGetData("DP_1","00O2TNJGODT0G5Z4TTKYMM5MT","GSON1112031311")</f>
        <v>#NAME?</v>
      </c>
      <c r="R525" s="23" t="e">
        <f ca="1">[1]!BexGetData("DP_1","00O2TNJGODT0G5Z4TTKYMMBYD","GSON1112031311")</f>
        <v>#NAME?</v>
      </c>
      <c r="S525" s="23" t="e">
        <f ca="1">[1]!BexGetData("DP_1","00O2TNJGODT0G5Z4TTKYMMI9X","GSON1112031311")</f>
        <v>#NAME?</v>
      </c>
      <c r="T525" s="28" t="e">
        <f ca="1">[1]!BexGetData("DP_1","00O2TNJGODT0G5Z4TTKYMMOLH","GSON1112031311")</f>
        <v>#NAME?</v>
      </c>
      <c r="U525" s="23" t="e">
        <f ca="1">[1]!BexGetData("DP_1","00O2TNJGODT0G5Z4TTKYMMUX1","GSON1112031311")</f>
        <v>#NAME?</v>
      </c>
      <c r="V525" s="28" t="e">
        <f ca="1">[1]!BexGetData("DP_1","00O2TNJGODT0G5Z4TTKYMN18L","GSON1112031311")</f>
        <v>#NAME?</v>
      </c>
      <c r="W525" s="23" t="e">
        <f ca="1">[1]!BexGetData("DP_1","00O2TNJGODT0G5Z4TTKYMN7K5","GSON1112031311")</f>
        <v>#NAME?</v>
      </c>
    </row>
    <row r="526" spans="1:23" x14ac:dyDescent="0.2">
      <c r="A526" s="36" t="s">
        <v>2482</v>
      </c>
      <c r="B526" s="27" t="s">
        <v>2483</v>
      </c>
      <c r="C526" s="23" t="e">
        <f ca="1">[1]!BexGetData("DP_1","003N8EMH8GTFRCSWKMPXRR8GU","GSON1112031312")</f>
        <v>#NAME?</v>
      </c>
      <c r="D526" s="28" t="e">
        <f ca="1">[1]!BexGetData("DP_1","003N8EMH8GTFRCSWKMPXRRESE","GSON1112031312")</f>
        <v>#NAME?</v>
      </c>
      <c r="E526" s="23" t="e">
        <f ca="1">[1]!BexGetData("DP_1","003N8EMH8GTFRCSWKMPXRRL3Y","GSON1112031312")</f>
        <v>#NAME?</v>
      </c>
      <c r="F526" s="24" t="e">
        <f ca="1">[1]!BexGetData("DP_1","003N8EMH8GTFRCSWKMPXRRRFI","GSON1112031312")</f>
        <v>#NAME?</v>
      </c>
      <c r="G526" s="24" t="e">
        <f ca="1">[1]!BexGetData("DP_1","003N8EMH8GTFRCSWKMPXRRXR2","GSON1112031312")</f>
        <v>#NAME?</v>
      </c>
      <c r="H526" s="24" t="e">
        <f ca="1">[1]!BexGetData("DP_1","003N8EMH8GTFRCSWKMPXRS42M","GSON1112031312")</f>
        <v>#NAME?</v>
      </c>
      <c r="I526" s="24" t="e">
        <f ca="1">[1]!BexGetData("DP_1","003N8EMH8GTFRCSWKMPXRSAE6","GSON1112031312")</f>
        <v>#NAME?</v>
      </c>
      <c r="J526" s="24" t="e">
        <f ca="1">[1]!BexGetData("DP_1","003N8EMH8GTFRCSWKMPXRSGPQ","GSON1112031312")</f>
        <v>#NAME?</v>
      </c>
      <c r="K526" s="23" t="e">
        <f ca="1">[1]!BexGetData("DP_1","003N8EMH8GTFRIVNUPY288VJH","GSON1112031312")</f>
        <v>#NAME?</v>
      </c>
      <c r="L526" s="23" t="e">
        <f ca="1">[1]!BexGetData("DP_1","003N8EMH8GTFRIVNUPY2891V1","GSON1112031312")</f>
        <v>#NAME?</v>
      </c>
      <c r="M526" s="28" t="e">
        <f ca="1">[1]!BexGetData("DP_1","003N8EMH8GTFRIVOG7KG9IQXA","GSON1112031312")</f>
        <v>#NAME?</v>
      </c>
      <c r="N526" s="23" t="e">
        <f ca="1">[1]!BexGetData("DP_1","003N8EMH8GTFRIVOG7KG9IX8U","GSON1112031312")</f>
        <v>#NAME?</v>
      </c>
      <c r="O526" s="28" t="e">
        <f ca="1">[1]!BexGetData("DP_1","003N8EMH8GTFRIVOG7KG9J3KE","GSON1112031312")</f>
        <v>#NAME?</v>
      </c>
      <c r="P526" s="23" t="e">
        <f ca="1">[1]!BexGetData("DP_1","003N8EMH8GTFRIVOG7KG9J9VY","GSON1112031312")</f>
        <v>#NAME?</v>
      </c>
      <c r="Q526" s="24" t="e">
        <f ca="1">[1]!BexGetData("DP_1","00O2TNJGODT0G5Z4TTKYMM5MT","GSON1112031312")</f>
        <v>#NAME?</v>
      </c>
      <c r="R526" s="24" t="e">
        <f ca="1">[1]!BexGetData("DP_1","00O2TNJGODT0G5Z4TTKYMMBYD","GSON1112031312")</f>
        <v>#NAME?</v>
      </c>
      <c r="S526" s="24" t="e">
        <f ca="1">[1]!BexGetData("DP_1","00O2TNJGODT0G5Z4TTKYMMI9X","GSON1112031312")</f>
        <v>#NAME?</v>
      </c>
      <c r="T526" s="24" t="e">
        <f ca="1">[1]!BexGetData("DP_1","00O2TNJGODT0G5Z4TTKYMMOLH","GSON1112031312")</f>
        <v>#NAME?</v>
      </c>
      <c r="U526" s="24" t="e">
        <f ca="1">[1]!BexGetData("DP_1","00O2TNJGODT0G5Z4TTKYMMUX1","GSON1112031312")</f>
        <v>#NAME?</v>
      </c>
      <c r="V526" s="24" t="e">
        <f ca="1">[1]!BexGetData("DP_1","00O2TNJGODT0G5Z4TTKYMN18L","GSON1112031312")</f>
        <v>#NAME?</v>
      </c>
      <c r="W526" s="24" t="e">
        <f ca="1">[1]!BexGetData("DP_1","00O2TNJGODT0G5Z4TTKYMN7K5","GSON1112031312")</f>
        <v>#NAME?</v>
      </c>
    </row>
    <row r="527" spans="1:23" x14ac:dyDescent="0.2">
      <c r="A527" s="36" t="s">
        <v>2484</v>
      </c>
      <c r="B527" s="27" t="s">
        <v>2485</v>
      </c>
      <c r="C527" s="23" t="e">
        <f ca="1">[1]!BexGetData("DP_1","003N8EMH8GTFRCSWKMPXRR8GU","GSON1112031313")</f>
        <v>#NAME?</v>
      </c>
      <c r="D527" s="23" t="e">
        <f ca="1">[1]!BexGetData("DP_1","003N8EMH8GTFRCSWKMPXRRESE","GSON1112031313")</f>
        <v>#NAME?</v>
      </c>
      <c r="E527" s="28" t="e">
        <f ca="1">[1]!BexGetData("DP_1","003N8EMH8GTFRCSWKMPXRRL3Y","GSON1112031313")</f>
        <v>#NAME?</v>
      </c>
      <c r="F527" s="28" t="e">
        <f ca="1">[1]!BexGetData("DP_1","003N8EMH8GTFRCSWKMPXRRRFI","GSON1112031313")</f>
        <v>#NAME?</v>
      </c>
      <c r="G527" s="23" t="e">
        <f ca="1">[1]!BexGetData("DP_1","003N8EMH8GTFRCSWKMPXRRXR2","GSON1112031313")</f>
        <v>#NAME?</v>
      </c>
      <c r="H527" s="23" t="e">
        <f ca="1">[1]!BexGetData("DP_1","003N8EMH8GTFRCSWKMPXRS42M","GSON1112031313")</f>
        <v>#NAME?</v>
      </c>
      <c r="I527" s="28" t="e">
        <f ca="1">[1]!BexGetData("DP_1","003N8EMH8GTFRCSWKMPXRSAE6","GSON1112031313")</f>
        <v>#NAME?</v>
      </c>
      <c r="J527" s="24" t="e">
        <f ca="1">[1]!BexGetData("DP_1","003N8EMH8GTFRCSWKMPXRSGPQ","GSON1112031313")</f>
        <v>#NAME?</v>
      </c>
      <c r="K527" s="28" t="e">
        <f ca="1">[1]!BexGetData("DP_1","003N8EMH8GTFRIVNUPY288VJH","GSON1112031313")</f>
        <v>#NAME?</v>
      </c>
      <c r="L527" s="28" t="e">
        <f ca="1">[1]!BexGetData("DP_1","003N8EMH8GTFRIVNUPY2891V1","GSON1112031313")</f>
        <v>#NAME?</v>
      </c>
      <c r="M527" s="28" t="e">
        <f ca="1">[1]!BexGetData("DP_1","003N8EMH8GTFRIVOG7KG9IQXA","GSON1112031313")</f>
        <v>#NAME?</v>
      </c>
      <c r="N527" s="28" t="e">
        <f ca="1">[1]!BexGetData("DP_1","003N8EMH8GTFRIVOG7KG9IX8U","GSON1112031313")</f>
        <v>#NAME?</v>
      </c>
      <c r="O527" s="28" t="e">
        <f ca="1">[1]!BexGetData("DP_1","003N8EMH8GTFRIVOG7KG9J3KE","GSON1112031313")</f>
        <v>#NAME?</v>
      </c>
      <c r="P527" s="28" t="e">
        <f ca="1">[1]!BexGetData("DP_1","003N8EMH8GTFRIVOG7KG9J9VY","GSON1112031313")</f>
        <v>#NAME?</v>
      </c>
      <c r="Q527" s="24" t="e">
        <f ca="1">[1]!BexGetData("DP_1","00O2TNJGODT0G5Z4TTKYMM5MT","GSON1112031313")</f>
        <v>#NAME?</v>
      </c>
      <c r="R527" s="28" t="e">
        <f ca="1">[1]!BexGetData("DP_1","00O2TNJGODT0G5Z4TTKYMMBYD","GSON1112031313")</f>
        <v>#NAME?</v>
      </c>
      <c r="S527" s="28" t="e">
        <f ca="1">[1]!BexGetData("DP_1","00O2TNJGODT0G5Z4TTKYMMI9X","GSON1112031313")</f>
        <v>#NAME?</v>
      </c>
      <c r="T527" s="28" t="e">
        <f ca="1">[1]!BexGetData("DP_1","00O2TNJGODT0G5Z4TTKYMMOLH","GSON1112031313")</f>
        <v>#NAME?</v>
      </c>
      <c r="U527" s="28" t="e">
        <f ca="1">[1]!BexGetData("DP_1","00O2TNJGODT0G5Z4TTKYMMUX1","GSON1112031313")</f>
        <v>#NAME?</v>
      </c>
      <c r="V527" s="28" t="e">
        <f ca="1">[1]!BexGetData("DP_1","00O2TNJGODT0G5Z4TTKYMN18L","GSON1112031313")</f>
        <v>#NAME?</v>
      </c>
      <c r="W527" s="28" t="e">
        <f ca="1">[1]!BexGetData("DP_1","00O2TNJGODT0G5Z4TTKYMN7K5","GSON1112031313")</f>
        <v>#NAME?</v>
      </c>
    </row>
    <row r="528" spans="1:23" x14ac:dyDescent="0.2">
      <c r="A528" s="36" t="s">
        <v>2486</v>
      </c>
      <c r="B528" s="27" t="s">
        <v>2487</v>
      </c>
      <c r="C528" s="23" t="e">
        <f ca="1">[1]!BexGetData("DP_1","003N8EMH8GTFRCSWKMPXRR8GU","GSON1112031314")</f>
        <v>#NAME?</v>
      </c>
      <c r="D528" s="23" t="e">
        <f ca="1">[1]!BexGetData("DP_1","003N8EMH8GTFRCSWKMPXRRESE","GSON1112031314")</f>
        <v>#NAME?</v>
      </c>
      <c r="E528" s="28" t="e">
        <f ca="1">[1]!BexGetData("DP_1","003N8EMH8GTFRCSWKMPXRRL3Y","GSON1112031314")</f>
        <v>#NAME?</v>
      </c>
      <c r="F528" s="28" t="e">
        <f ca="1">[1]!BexGetData("DP_1","003N8EMH8GTFRCSWKMPXRRRFI","GSON1112031314")</f>
        <v>#NAME?</v>
      </c>
      <c r="G528" s="23" t="e">
        <f ca="1">[1]!BexGetData("DP_1","003N8EMH8GTFRCSWKMPXRRXR2","GSON1112031314")</f>
        <v>#NAME?</v>
      </c>
      <c r="H528" s="23" t="e">
        <f ca="1">[1]!BexGetData("DP_1","003N8EMH8GTFRCSWKMPXRS42M","GSON1112031314")</f>
        <v>#NAME?</v>
      </c>
      <c r="I528" s="28" t="e">
        <f ca="1">[1]!BexGetData("DP_1","003N8EMH8GTFRCSWKMPXRSAE6","GSON1112031314")</f>
        <v>#NAME?</v>
      </c>
      <c r="J528" s="24" t="e">
        <f ca="1">[1]!BexGetData("DP_1","003N8EMH8GTFRCSWKMPXRSGPQ","GSON1112031314")</f>
        <v>#NAME?</v>
      </c>
      <c r="K528" s="28" t="e">
        <f ca="1">[1]!BexGetData("DP_1","003N8EMH8GTFRIVNUPY288VJH","GSON1112031314")</f>
        <v>#NAME?</v>
      </c>
      <c r="L528" s="28" t="e">
        <f ca="1">[1]!BexGetData("DP_1","003N8EMH8GTFRIVNUPY2891V1","GSON1112031314")</f>
        <v>#NAME?</v>
      </c>
      <c r="M528" s="28" t="e">
        <f ca="1">[1]!BexGetData("DP_1","003N8EMH8GTFRIVOG7KG9IQXA","GSON1112031314")</f>
        <v>#NAME?</v>
      </c>
      <c r="N528" s="28" t="e">
        <f ca="1">[1]!BexGetData("DP_1","003N8EMH8GTFRIVOG7KG9IX8U","GSON1112031314")</f>
        <v>#NAME?</v>
      </c>
      <c r="O528" s="28" t="e">
        <f ca="1">[1]!BexGetData("DP_1","003N8EMH8GTFRIVOG7KG9J3KE","GSON1112031314")</f>
        <v>#NAME?</v>
      </c>
      <c r="P528" s="28" t="e">
        <f ca="1">[1]!BexGetData("DP_1","003N8EMH8GTFRIVOG7KG9J9VY","GSON1112031314")</f>
        <v>#NAME?</v>
      </c>
      <c r="Q528" s="24" t="e">
        <f ca="1">[1]!BexGetData("DP_1","00O2TNJGODT0G5Z4TTKYMM5MT","GSON1112031314")</f>
        <v>#NAME?</v>
      </c>
      <c r="R528" s="28" t="e">
        <f ca="1">[1]!BexGetData("DP_1","00O2TNJGODT0G5Z4TTKYMMBYD","GSON1112031314")</f>
        <v>#NAME?</v>
      </c>
      <c r="S528" s="28" t="e">
        <f ca="1">[1]!BexGetData("DP_1","00O2TNJGODT0G5Z4TTKYMMI9X","GSON1112031314")</f>
        <v>#NAME?</v>
      </c>
      <c r="T528" s="28" t="e">
        <f ca="1">[1]!BexGetData("DP_1","00O2TNJGODT0G5Z4TTKYMMOLH","GSON1112031314")</f>
        <v>#NAME?</v>
      </c>
      <c r="U528" s="28" t="e">
        <f ca="1">[1]!BexGetData("DP_1","00O2TNJGODT0G5Z4TTKYMMUX1","GSON1112031314")</f>
        <v>#NAME?</v>
      </c>
      <c r="V528" s="28" t="e">
        <f ca="1">[1]!BexGetData("DP_1","00O2TNJGODT0G5Z4TTKYMN18L","GSON1112031314")</f>
        <v>#NAME?</v>
      </c>
      <c r="W528" s="28" t="e">
        <f ca="1">[1]!BexGetData("DP_1","00O2TNJGODT0G5Z4TTKYMN7K5","GSON1112031314")</f>
        <v>#NAME?</v>
      </c>
    </row>
    <row r="529" spans="1:23" x14ac:dyDescent="0.2">
      <c r="A529" s="36" t="s">
        <v>2488</v>
      </c>
      <c r="B529" s="27" t="s">
        <v>2489</v>
      </c>
      <c r="C529" s="23" t="e">
        <f ca="1">[1]!BexGetData("DP_1","003N8EMH8GTFRCSWKMPXRR8GU","GSON1112031320")</f>
        <v>#NAME?</v>
      </c>
      <c r="D529" s="23" t="e">
        <f ca="1">[1]!BexGetData("DP_1","003N8EMH8GTFRCSWKMPXRRESE","GSON1112031320")</f>
        <v>#NAME?</v>
      </c>
      <c r="E529" s="23" t="e">
        <f ca="1">[1]!BexGetData("DP_1","003N8EMH8GTFRCSWKMPXRRL3Y","GSON1112031320")</f>
        <v>#NAME?</v>
      </c>
      <c r="F529" s="23" t="e">
        <f ca="1">[1]!BexGetData("DP_1","003N8EMH8GTFRCSWKMPXRRRFI","GSON1112031320")</f>
        <v>#NAME?</v>
      </c>
      <c r="G529" s="23" t="e">
        <f ca="1">[1]!BexGetData("DP_1","003N8EMH8GTFRCSWKMPXRRXR2","GSON1112031320")</f>
        <v>#NAME?</v>
      </c>
      <c r="H529" s="23" t="e">
        <f ca="1">[1]!BexGetData("DP_1","003N8EMH8GTFRCSWKMPXRS42M","GSON1112031320")</f>
        <v>#NAME?</v>
      </c>
      <c r="I529" s="23" t="e">
        <f ca="1">[1]!BexGetData("DP_1","003N8EMH8GTFRCSWKMPXRSAE6","GSON1112031320")</f>
        <v>#NAME?</v>
      </c>
      <c r="J529" s="24" t="e">
        <f ca="1">[1]!BexGetData("DP_1","003N8EMH8GTFRCSWKMPXRSGPQ","GSON1112031320")</f>
        <v>#NAME?</v>
      </c>
      <c r="K529" s="23" t="e">
        <f ca="1">[1]!BexGetData("DP_1","003N8EMH8GTFRIVNUPY288VJH","GSON1112031320")</f>
        <v>#NAME?</v>
      </c>
      <c r="L529" s="23" t="e">
        <f ca="1">[1]!BexGetData("DP_1","003N8EMH8GTFRIVNUPY2891V1","GSON1112031320")</f>
        <v>#NAME?</v>
      </c>
      <c r="M529" s="28" t="e">
        <f ca="1">[1]!BexGetData("DP_1","003N8EMH8GTFRIVOG7KG9IQXA","GSON1112031320")</f>
        <v>#NAME?</v>
      </c>
      <c r="N529" s="23" t="e">
        <f ca="1">[1]!BexGetData("DP_1","003N8EMH8GTFRIVOG7KG9IX8U","GSON1112031320")</f>
        <v>#NAME?</v>
      </c>
      <c r="O529" s="28" t="e">
        <f ca="1">[1]!BexGetData("DP_1","003N8EMH8GTFRIVOG7KG9J3KE","GSON1112031320")</f>
        <v>#NAME?</v>
      </c>
      <c r="P529" s="23" t="e">
        <f ca="1">[1]!BexGetData("DP_1","003N8EMH8GTFRIVOG7KG9J9VY","GSON1112031320")</f>
        <v>#NAME?</v>
      </c>
      <c r="Q529" s="24" t="e">
        <f ca="1">[1]!BexGetData("DP_1","00O2TNJGODT0G5Z4TTKYMM5MT","GSON1112031320")</f>
        <v>#NAME?</v>
      </c>
      <c r="R529" s="23" t="e">
        <f ca="1">[1]!BexGetData("DP_1","00O2TNJGODT0G5Z4TTKYMMBYD","GSON1112031320")</f>
        <v>#NAME?</v>
      </c>
      <c r="S529" s="23" t="e">
        <f ca="1">[1]!BexGetData("DP_1","00O2TNJGODT0G5Z4TTKYMMI9X","GSON1112031320")</f>
        <v>#NAME?</v>
      </c>
      <c r="T529" s="28" t="e">
        <f ca="1">[1]!BexGetData("DP_1","00O2TNJGODT0G5Z4TTKYMMOLH","GSON1112031320")</f>
        <v>#NAME?</v>
      </c>
      <c r="U529" s="23" t="e">
        <f ca="1">[1]!BexGetData("DP_1","00O2TNJGODT0G5Z4TTKYMMUX1","GSON1112031320")</f>
        <v>#NAME?</v>
      </c>
      <c r="V529" s="28" t="e">
        <f ca="1">[1]!BexGetData("DP_1","00O2TNJGODT0G5Z4TTKYMN18L","GSON1112031320")</f>
        <v>#NAME?</v>
      </c>
      <c r="W529" s="23" t="e">
        <f ca="1">[1]!BexGetData("DP_1","00O2TNJGODT0G5Z4TTKYMN7K5","GSON1112031320")</f>
        <v>#NAME?</v>
      </c>
    </row>
    <row r="530" spans="1:23" x14ac:dyDescent="0.2">
      <c r="A530" s="36" t="s">
        <v>2490</v>
      </c>
      <c r="B530" s="27" t="s">
        <v>2491</v>
      </c>
      <c r="C530" s="23" t="e">
        <f ca="1">[1]!BexGetData("DP_1","003N8EMH8GTFRCSWKMPXRR8GU","GSON1112031321")</f>
        <v>#NAME?</v>
      </c>
      <c r="D530" s="23" t="e">
        <f ca="1">[1]!BexGetData("DP_1","003N8EMH8GTFRCSWKMPXRRESE","GSON1112031321")</f>
        <v>#NAME?</v>
      </c>
      <c r="E530" s="23" t="e">
        <f ca="1">[1]!BexGetData("DP_1","003N8EMH8GTFRCSWKMPXRRL3Y","GSON1112031321")</f>
        <v>#NAME?</v>
      </c>
      <c r="F530" s="23" t="e">
        <f ca="1">[1]!BexGetData("DP_1","003N8EMH8GTFRCSWKMPXRRRFI","GSON1112031321")</f>
        <v>#NAME?</v>
      </c>
      <c r="G530" s="23" t="e">
        <f ca="1">[1]!BexGetData("DP_1","003N8EMH8GTFRCSWKMPXRRXR2","GSON1112031321")</f>
        <v>#NAME?</v>
      </c>
      <c r="H530" s="23" t="e">
        <f ca="1">[1]!BexGetData("DP_1","003N8EMH8GTFRCSWKMPXRS42M","GSON1112031321")</f>
        <v>#NAME?</v>
      </c>
      <c r="I530" s="23" t="e">
        <f ca="1">[1]!BexGetData("DP_1","003N8EMH8GTFRCSWKMPXRSAE6","GSON1112031321")</f>
        <v>#NAME?</v>
      </c>
      <c r="J530" s="24" t="e">
        <f ca="1">[1]!BexGetData("DP_1","003N8EMH8GTFRCSWKMPXRSGPQ","GSON1112031321")</f>
        <v>#NAME?</v>
      </c>
      <c r="K530" s="23" t="e">
        <f ca="1">[1]!BexGetData("DP_1","003N8EMH8GTFRIVNUPY288VJH","GSON1112031321")</f>
        <v>#NAME?</v>
      </c>
      <c r="L530" s="23" t="e">
        <f ca="1">[1]!BexGetData("DP_1","003N8EMH8GTFRIVNUPY2891V1","GSON1112031321")</f>
        <v>#NAME?</v>
      </c>
      <c r="M530" s="23" t="e">
        <f ca="1">[1]!BexGetData("DP_1","003N8EMH8GTFRIVOG7KG9IQXA","GSON1112031321")</f>
        <v>#NAME?</v>
      </c>
      <c r="N530" s="28" t="e">
        <f ca="1">[1]!BexGetData("DP_1","003N8EMH8GTFRIVOG7KG9IX8U","GSON1112031321")</f>
        <v>#NAME?</v>
      </c>
      <c r="O530" s="23" t="e">
        <f ca="1">[1]!BexGetData("DP_1","003N8EMH8GTFRIVOG7KG9J3KE","GSON1112031321")</f>
        <v>#NAME?</v>
      </c>
      <c r="P530" s="28" t="e">
        <f ca="1">[1]!BexGetData("DP_1","003N8EMH8GTFRIVOG7KG9J9VY","GSON1112031321")</f>
        <v>#NAME?</v>
      </c>
      <c r="Q530" s="24" t="e">
        <f ca="1">[1]!BexGetData("DP_1","00O2TNJGODT0G5Z4TTKYMM5MT","GSON1112031321")</f>
        <v>#NAME?</v>
      </c>
      <c r="R530" s="23" t="e">
        <f ca="1">[1]!BexGetData("DP_1","00O2TNJGODT0G5Z4TTKYMMBYD","GSON1112031321")</f>
        <v>#NAME?</v>
      </c>
      <c r="S530" s="23" t="e">
        <f ca="1">[1]!BexGetData("DP_1","00O2TNJGODT0G5Z4TTKYMMI9X","GSON1112031321")</f>
        <v>#NAME?</v>
      </c>
      <c r="T530" s="28" t="e">
        <f ca="1">[1]!BexGetData("DP_1","00O2TNJGODT0G5Z4TTKYMMOLH","GSON1112031321")</f>
        <v>#NAME?</v>
      </c>
      <c r="U530" s="23" t="e">
        <f ca="1">[1]!BexGetData("DP_1","00O2TNJGODT0G5Z4TTKYMMUX1","GSON1112031321")</f>
        <v>#NAME?</v>
      </c>
      <c r="V530" s="28" t="e">
        <f ca="1">[1]!BexGetData("DP_1","00O2TNJGODT0G5Z4TTKYMN18L","GSON1112031321")</f>
        <v>#NAME?</v>
      </c>
      <c r="W530" s="23" t="e">
        <f ca="1">[1]!BexGetData("DP_1","00O2TNJGODT0G5Z4TTKYMN7K5","GSON1112031321")</f>
        <v>#NAME?</v>
      </c>
    </row>
    <row r="531" spans="1:23" x14ac:dyDescent="0.2">
      <c r="A531" s="36" t="s">
        <v>2492</v>
      </c>
      <c r="B531" s="27" t="s">
        <v>2493</v>
      </c>
      <c r="C531" s="23" t="e">
        <f ca="1">[1]!BexGetData("DP_1","003N8EMH8GTFRCSWKMPXRR8GU","GSON1112031322")</f>
        <v>#NAME?</v>
      </c>
      <c r="D531" s="23" t="e">
        <f ca="1">[1]!BexGetData("DP_1","003N8EMH8GTFRCSWKMPXRRESE","GSON1112031322")</f>
        <v>#NAME?</v>
      </c>
      <c r="E531" s="28" t="e">
        <f ca="1">[1]!BexGetData("DP_1","003N8EMH8GTFRCSWKMPXRRL3Y","GSON1112031322")</f>
        <v>#NAME?</v>
      </c>
      <c r="F531" s="24" t="e">
        <f ca="1">[1]!BexGetData("DP_1","003N8EMH8GTFRCSWKMPXRRRFI","GSON1112031322")</f>
        <v>#NAME?</v>
      </c>
      <c r="G531" s="24" t="e">
        <f ca="1">[1]!BexGetData("DP_1","003N8EMH8GTFRCSWKMPXRRXR2","GSON1112031322")</f>
        <v>#NAME?</v>
      </c>
      <c r="H531" s="24" t="e">
        <f ca="1">[1]!BexGetData("DP_1","003N8EMH8GTFRCSWKMPXRS42M","GSON1112031322")</f>
        <v>#NAME?</v>
      </c>
      <c r="I531" s="24" t="e">
        <f ca="1">[1]!BexGetData("DP_1","003N8EMH8GTFRCSWKMPXRSAE6","GSON1112031322")</f>
        <v>#NAME?</v>
      </c>
      <c r="J531" s="24" t="e">
        <f ca="1">[1]!BexGetData("DP_1","003N8EMH8GTFRCSWKMPXRSGPQ","GSON1112031322")</f>
        <v>#NAME?</v>
      </c>
      <c r="K531" s="28" t="e">
        <f ca="1">[1]!BexGetData("DP_1","003N8EMH8GTFRIVNUPY288VJH","GSON1112031322")</f>
        <v>#NAME?</v>
      </c>
      <c r="L531" s="28" t="e">
        <f ca="1">[1]!BexGetData("DP_1","003N8EMH8GTFRIVNUPY2891V1","GSON1112031322")</f>
        <v>#NAME?</v>
      </c>
      <c r="M531" s="28" t="e">
        <f ca="1">[1]!BexGetData("DP_1","003N8EMH8GTFRIVOG7KG9IQXA","GSON1112031322")</f>
        <v>#NAME?</v>
      </c>
      <c r="N531" s="28" t="e">
        <f ca="1">[1]!BexGetData("DP_1","003N8EMH8GTFRIVOG7KG9IX8U","GSON1112031322")</f>
        <v>#NAME?</v>
      </c>
      <c r="O531" s="28" t="e">
        <f ca="1">[1]!BexGetData("DP_1","003N8EMH8GTFRIVOG7KG9J3KE","GSON1112031322")</f>
        <v>#NAME?</v>
      </c>
      <c r="P531" s="28" t="e">
        <f ca="1">[1]!BexGetData("DP_1","003N8EMH8GTFRIVOG7KG9J9VY","GSON1112031322")</f>
        <v>#NAME?</v>
      </c>
      <c r="Q531" s="24" t="e">
        <f ca="1">[1]!BexGetData("DP_1","00O2TNJGODT0G5Z4TTKYMM5MT","GSON1112031322")</f>
        <v>#NAME?</v>
      </c>
      <c r="R531" s="24" t="e">
        <f ca="1">[1]!BexGetData("DP_1","00O2TNJGODT0G5Z4TTKYMMBYD","GSON1112031322")</f>
        <v>#NAME?</v>
      </c>
      <c r="S531" s="24" t="e">
        <f ca="1">[1]!BexGetData("DP_1","00O2TNJGODT0G5Z4TTKYMMI9X","GSON1112031322")</f>
        <v>#NAME?</v>
      </c>
      <c r="T531" s="24" t="e">
        <f ca="1">[1]!BexGetData("DP_1","00O2TNJGODT0G5Z4TTKYMMOLH","GSON1112031322")</f>
        <v>#NAME?</v>
      </c>
      <c r="U531" s="24" t="e">
        <f ca="1">[1]!BexGetData("DP_1","00O2TNJGODT0G5Z4TTKYMMUX1","GSON1112031322")</f>
        <v>#NAME?</v>
      </c>
      <c r="V531" s="24" t="e">
        <f ca="1">[1]!BexGetData("DP_1","00O2TNJGODT0G5Z4TTKYMN18L","GSON1112031322")</f>
        <v>#NAME?</v>
      </c>
      <c r="W531" s="24" t="e">
        <f ca="1">[1]!BexGetData("DP_1","00O2TNJGODT0G5Z4TTKYMN7K5","GSON1112031322")</f>
        <v>#NAME?</v>
      </c>
    </row>
    <row r="532" spans="1:23" x14ac:dyDescent="0.2">
      <c r="A532" s="36" t="s">
        <v>2494</v>
      </c>
      <c r="B532" s="27" t="s">
        <v>2495</v>
      </c>
      <c r="C532" s="23" t="e">
        <f ca="1">[1]!BexGetData("DP_1","003N8EMH8GTFRCSWKMPXRR8GU","GSON1112031323")</f>
        <v>#NAME?</v>
      </c>
      <c r="D532" s="23" t="e">
        <f ca="1">[1]!BexGetData("DP_1","003N8EMH8GTFRCSWKMPXRRESE","GSON1112031323")</f>
        <v>#NAME?</v>
      </c>
      <c r="E532" s="28" t="e">
        <f ca="1">[1]!BexGetData("DP_1","003N8EMH8GTFRCSWKMPXRRL3Y","GSON1112031323")</f>
        <v>#NAME?</v>
      </c>
      <c r="F532" s="28" t="e">
        <f ca="1">[1]!BexGetData("DP_1","003N8EMH8GTFRCSWKMPXRRRFI","GSON1112031323")</f>
        <v>#NAME?</v>
      </c>
      <c r="G532" s="23" t="e">
        <f ca="1">[1]!BexGetData("DP_1","003N8EMH8GTFRCSWKMPXRRXR2","GSON1112031323")</f>
        <v>#NAME?</v>
      </c>
      <c r="H532" s="23" t="e">
        <f ca="1">[1]!BexGetData("DP_1","003N8EMH8GTFRCSWKMPXRS42M","GSON1112031323")</f>
        <v>#NAME?</v>
      </c>
      <c r="I532" s="28" t="e">
        <f ca="1">[1]!BexGetData("DP_1","003N8EMH8GTFRCSWKMPXRSAE6","GSON1112031323")</f>
        <v>#NAME?</v>
      </c>
      <c r="J532" s="24" t="e">
        <f ca="1">[1]!BexGetData("DP_1","003N8EMH8GTFRCSWKMPXRSGPQ","GSON1112031323")</f>
        <v>#NAME?</v>
      </c>
      <c r="K532" s="28" t="e">
        <f ca="1">[1]!BexGetData("DP_1","003N8EMH8GTFRIVNUPY288VJH","GSON1112031323")</f>
        <v>#NAME?</v>
      </c>
      <c r="L532" s="28" t="e">
        <f ca="1">[1]!BexGetData("DP_1","003N8EMH8GTFRIVNUPY2891V1","GSON1112031323")</f>
        <v>#NAME?</v>
      </c>
      <c r="M532" s="28" t="e">
        <f ca="1">[1]!BexGetData("DP_1","003N8EMH8GTFRIVOG7KG9IQXA","GSON1112031323")</f>
        <v>#NAME?</v>
      </c>
      <c r="N532" s="28" t="e">
        <f ca="1">[1]!BexGetData("DP_1","003N8EMH8GTFRIVOG7KG9IX8U","GSON1112031323")</f>
        <v>#NAME?</v>
      </c>
      <c r="O532" s="28" t="e">
        <f ca="1">[1]!BexGetData("DP_1","003N8EMH8GTFRIVOG7KG9J3KE","GSON1112031323")</f>
        <v>#NAME?</v>
      </c>
      <c r="P532" s="28" t="e">
        <f ca="1">[1]!BexGetData("DP_1","003N8EMH8GTFRIVOG7KG9J9VY","GSON1112031323")</f>
        <v>#NAME?</v>
      </c>
      <c r="Q532" s="24" t="e">
        <f ca="1">[1]!BexGetData("DP_1","00O2TNJGODT0G5Z4TTKYMM5MT","GSON1112031323")</f>
        <v>#NAME?</v>
      </c>
      <c r="R532" s="28" t="e">
        <f ca="1">[1]!BexGetData("DP_1","00O2TNJGODT0G5Z4TTKYMMBYD","GSON1112031323")</f>
        <v>#NAME?</v>
      </c>
      <c r="S532" s="28" t="e">
        <f ca="1">[1]!BexGetData("DP_1","00O2TNJGODT0G5Z4TTKYMMI9X","GSON1112031323")</f>
        <v>#NAME?</v>
      </c>
      <c r="T532" s="28" t="e">
        <f ca="1">[1]!BexGetData("DP_1","00O2TNJGODT0G5Z4TTKYMMOLH","GSON1112031323")</f>
        <v>#NAME?</v>
      </c>
      <c r="U532" s="28" t="e">
        <f ca="1">[1]!BexGetData("DP_1","00O2TNJGODT0G5Z4TTKYMMUX1","GSON1112031323")</f>
        <v>#NAME?</v>
      </c>
      <c r="V532" s="28" t="e">
        <f ca="1">[1]!BexGetData("DP_1","00O2TNJGODT0G5Z4TTKYMN18L","GSON1112031323")</f>
        <v>#NAME?</v>
      </c>
      <c r="W532" s="28" t="e">
        <f ca="1">[1]!BexGetData("DP_1","00O2TNJGODT0G5Z4TTKYMN7K5","GSON1112031323")</f>
        <v>#NAME?</v>
      </c>
    </row>
    <row r="533" spans="1:23" x14ac:dyDescent="0.2">
      <c r="A533" s="36" t="s">
        <v>2496</v>
      </c>
      <c r="B533" s="27" t="s">
        <v>2497</v>
      </c>
      <c r="C533" s="23" t="e">
        <f ca="1">[1]!BexGetData("DP_1","003N8EMH8GTFRCSWKMPXRR8GU","GSON1112031324")</f>
        <v>#NAME?</v>
      </c>
      <c r="D533" s="23" t="e">
        <f ca="1">[1]!BexGetData("DP_1","003N8EMH8GTFRCSWKMPXRRESE","GSON1112031324")</f>
        <v>#NAME?</v>
      </c>
      <c r="E533" s="28" t="e">
        <f ca="1">[1]!BexGetData("DP_1","003N8EMH8GTFRCSWKMPXRRL3Y","GSON1112031324")</f>
        <v>#NAME?</v>
      </c>
      <c r="F533" s="28" t="e">
        <f ca="1">[1]!BexGetData("DP_1","003N8EMH8GTFRCSWKMPXRRRFI","GSON1112031324")</f>
        <v>#NAME?</v>
      </c>
      <c r="G533" s="23" t="e">
        <f ca="1">[1]!BexGetData("DP_1","003N8EMH8GTFRCSWKMPXRRXR2","GSON1112031324")</f>
        <v>#NAME?</v>
      </c>
      <c r="H533" s="23" t="e">
        <f ca="1">[1]!BexGetData("DP_1","003N8EMH8GTFRCSWKMPXRS42M","GSON1112031324")</f>
        <v>#NAME?</v>
      </c>
      <c r="I533" s="28" t="e">
        <f ca="1">[1]!BexGetData("DP_1","003N8EMH8GTFRCSWKMPXRSAE6","GSON1112031324")</f>
        <v>#NAME?</v>
      </c>
      <c r="J533" s="24" t="e">
        <f ca="1">[1]!BexGetData("DP_1","003N8EMH8GTFRCSWKMPXRSGPQ","GSON1112031324")</f>
        <v>#NAME?</v>
      </c>
      <c r="K533" s="28" t="e">
        <f ca="1">[1]!BexGetData("DP_1","003N8EMH8GTFRIVNUPY288VJH","GSON1112031324")</f>
        <v>#NAME?</v>
      </c>
      <c r="L533" s="28" t="e">
        <f ca="1">[1]!BexGetData("DP_1","003N8EMH8GTFRIVNUPY2891V1","GSON1112031324")</f>
        <v>#NAME?</v>
      </c>
      <c r="M533" s="28" t="e">
        <f ca="1">[1]!BexGetData("DP_1","003N8EMH8GTFRIVOG7KG9IQXA","GSON1112031324")</f>
        <v>#NAME?</v>
      </c>
      <c r="N533" s="28" t="e">
        <f ca="1">[1]!BexGetData("DP_1","003N8EMH8GTFRIVOG7KG9IX8U","GSON1112031324")</f>
        <v>#NAME?</v>
      </c>
      <c r="O533" s="28" t="e">
        <f ca="1">[1]!BexGetData("DP_1","003N8EMH8GTFRIVOG7KG9J3KE","GSON1112031324")</f>
        <v>#NAME?</v>
      </c>
      <c r="P533" s="28" t="e">
        <f ca="1">[1]!BexGetData("DP_1","003N8EMH8GTFRIVOG7KG9J9VY","GSON1112031324")</f>
        <v>#NAME?</v>
      </c>
      <c r="Q533" s="24" t="e">
        <f ca="1">[1]!BexGetData("DP_1","00O2TNJGODT0G5Z4TTKYMM5MT","GSON1112031324")</f>
        <v>#NAME?</v>
      </c>
      <c r="R533" s="28" t="e">
        <f ca="1">[1]!BexGetData("DP_1","00O2TNJGODT0G5Z4TTKYMMBYD","GSON1112031324")</f>
        <v>#NAME?</v>
      </c>
      <c r="S533" s="28" t="e">
        <f ca="1">[1]!BexGetData("DP_1","00O2TNJGODT0G5Z4TTKYMMI9X","GSON1112031324")</f>
        <v>#NAME?</v>
      </c>
      <c r="T533" s="28" t="e">
        <f ca="1">[1]!BexGetData("DP_1","00O2TNJGODT0G5Z4TTKYMMOLH","GSON1112031324")</f>
        <v>#NAME?</v>
      </c>
      <c r="U533" s="28" t="e">
        <f ca="1">[1]!BexGetData("DP_1","00O2TNJGODT0G5Z4TTKYMMUX1","GSON1112031324")</f>
        <v>#NAME?</v>
      </c>
      <c r="V533" s="28" t="e">
        <f ca="1">[1]!BexGetData("DP_1","00O2TNJGODT0G5Z4TTKYMN18L","GSON1112031324")</f>
        <v>#NAME?</v>
      </c>
      <c r="W533" s="28" t="e">
        <f ca="1">[1]!BexGetData("DP_1","00O2TNJGODT0G5Z4TTKYMN7K5","GSON1112031324")</f>
        <v>#NAME?</v>
      </c>
    </row>
    <row r="534" spans="1:23" x14ac:dyDescent="0.2">
      <c r="A534" s="36" t="s">
        <v>2498</v>
      </c>
      <c r="B534" s="27" t="s">
        <v>2499</v>
      </c>
      <c r="C534" s="28" t="e">
        <f ca="1">[1]!BexGetData("DP_1","003N8EMH8GTFRCSWKMPXRR8GU","GSON1112031330")</f>
        <v>#NAME?</v>
      </c>
      <c r="D534" s="23" t="e">
        <f ca="1">[1]!BexGetData("DP_1","003N8EMH8GTFRCSWKMPXRRESE","GSON1112031330")</f>
        <v>#NAME?</v>
      </c>
      <c r="E534" s="28" t="e">
        <f ca="1">[1]!BexGetData("DP_1","003N8EMH8GTFRCSWKMPXRRL3Y","GSON1112031330")</f>
        <v>#NAME?</v>
      </c>
      <c r="F534" s="23" t="e">
        <f ca="1">[1]!BexGetData("DP_1","003N8EMH8GTFRCSWKMPXRRRFI","GSON1112031330")</f>
        <v>#NAME?</v>
      </c>
      <c r="G534" s="23" t="e">
        <f ca="1">[1]!BexGetData("DP_1","003N8EMH8GTFRCSWKMPXRRXR2","GSON1112031330")</f>
        <v>#NAME?</v>
      </c>
      <c r="H534" s="23" t="e">
        <f ca="1">[1]!BexGetData("DP_1","003N8EMH8GTFRCSWKMPXRS42M","GSON1112031330")</f>
        <v>#NAME?</v>
      </c>
      <c r="I534" s="23" t="e">
        <f ca="1">[1]!BexGetData("DP_1","003N8EMH8GTFRCSWKMPXRSAE6","GSON1112031330")</f>
        <v>#NAME?</v>
      </c>
      <c r="J534" s="24" t="e">
        <f ca="1">[1]!BexGetData("DP_1","003N8EMH8GTFRCSWKMPXRSGPQ","GSON1112031330")</f>
        <v>#NAME?</v>
      </c>
      <c r="K534" s="23" t="e">
        <f ca="1">[1]!BexGetData("DP_1","003N8EMH8GTFRIVNUPY288VJH","GSON1112031330")</f>
        <v>#NAME?</v>
      </c>
      <c r="L534" s="23" t="e">
        <f ca="1">[1]!BexGetData("DP_1","003N8EMH8GTFRIVNUPY2891V1","GSON1112031330")</f>
        <v>#NAME?</v>
      </c>
      <c r="M534" s="23" t="e">
        <f ca="1">[1]!BexGetData("DP_1","003N8EMH8GTFRIVOG7KG9IQXA","GSON1112031330")</f>
        <v>#NAME?</v>
      </c>
      <c r="N534" s="28" t="e">
        <f ca="1">[1]!BexGetData("DP_1","003N8EMH8GTFRIVOG7KG9IX8U","GSON1112031330")</f>
        <v>#NAME?</v>
      </c>
      <c r="O534" s="23" t="e">
        <f ca="1">[1]!BexGetData("DP_1","003N8EMH8GTFRIVOG7KG9J3KE","GSON1112031330")</f>
        <v>#NAME?</v>
      </c>
      <c r="P534" s="28" t="e">
        <f ca="1">[1]!BexGetData("DP_1","003N8EMH8GTFRIVOG7KG9J9VY","GSON1112031330")</f>
        <v>#NAME?</v>
      </c>
      <c r="Q534" s="24" t="e">
        <f ca="1">[1]!BexGetData("DP_1","00O2TNJGODT0G5Z4TTKYMM5MT","GSON1112031330")</f>
        <v>#NAME?</v>
      </c>
      <c r="R534" s="23" t="e">
        <f ca="1">[1]!BexGetData("DP_1","00O2TNJGODT0G5Z4TTKYMMBYD","GSON1112031330")</f>
        <v>#NAME?</v>
      </c>
      <c r="S534" s="23" t="e">
        <f ca="1">[1]!BexGetData("DP_1","00O2TNJGODT0G5Z4TTKYMMI9X","GSON1112031330")</f>
        <v>#NAME?</v>
      </c>
      <c r="T534" s="28" t="e">
        <f ca="1">[1]!BexGetData("DP_1","00O2TNJGODT0G5Z4TTKYMMOLH","GSON1112031330")</f>
        <v>#NAME?</v>
      </c>
      <c r="U534" s="23" t="e">
        <f ca="1">[1]!BexGetData("DP_1","00O2TNJGODT0G5Z4TTKYMMUX1","GSON1112031330")</f>
        <v>#NAME?</v>
      </c>
      <c r="V534" s="28" t="e">
        <f ca="1">[1]!BexGetData("DP_1","00O2TNJGODT0G5Z4TTKYMN18L","GSON1112031330")</f>
        <v>#NAME?</v>
      </c>
      <c r="W534" s="23" t="e">
        <f ca="1">[1]!BexGetData("DP_1","00O2TNJGODT0G5Z4TTKYMN7K5","GSON1112031330")</f>
        <v>#NAME?</v>
      </c>
    </row>
    <row r="535" spans="1:23" x14ac:dyDescent="0.2">
      <c r="A535" s="36" t="s">
        <v>2500</v>
      </c>
      <c r="B535" s="27" t="s">
        <v>2501</v>
      </c>
      <c r="C535" s="28" t="e">
        <f ca="1">[1]!BexGetData("DP_1","003N8EMH8GTFRCSWKMPXRR8GU","GSON1112031331")</f>
        <v>#NAME?</v>
      </c>
      <c r="D535" s="28" t="e">
        <f ca="1">[1]!BexGetData("DP_1","003N8EMH8GTFRCSWKMPXRRESE","GSON1112031331")</f>
        <v>#NAME?</v>
      </c>
      <c r="E535" s="28" t="e">
        <f ca="1">[1]!BexGetData("DP_1","003N8EMH8GTFRCSWKMPXRRL3Y","GSON1112031331")</f>
        <v>#NAME?</v>
      </c>
      <c r="F535" s="28" t="e">
        <f ca="1">[1]!BexGetData("DP_1","003N8EMH8GTFRCSWKMPXRRRFI","GSON1112031331")</f>
        <v>#NAME?</v>
      </c>
      <c r="G535" s="23" t="e">
        <f ca="1">[1]!BexGetData("DP_1","003N8EMH8GTFRCSWKMPXRRXR2","GSON1112031331")</f>
        <v>#NAME?</v>
      </c>
      <c r="H535" s="23" t="e">
        <f ca="1">[1]!BexGetData("DP_1","003N8EMH8GTFRCSWKMPXRS42M","GSON1112031331")</f>
        <v>#NAME?</v>
      </c>
      <c r="I535" s="28" t="e">
        <f ca="1">[1]!BexGetData("DP_1","003N8EMH8GTFRCSWKMPXRSAE6","GSON1112031331")</f>
        <v>#NAME?</v>
      </c>
      <c r="J535" s="24" t="e">
        <f ca="1">[1]!BexGetData("DP_1","003N8EMH8GTFRCSWKMPXRSGPQ","GSON1112031331")</f>
        <v>#NAME?</v>
      </c>
      <c r="K535" s="28" t="e">
        <f ca="1">[1]!BexGetData("DP_1","003N8EMH8GTFRIVNUPY288VJH","GSON1112031331")</f>
        <v>#NAME?</v>
      </c>
      <c r="L535" s="28" t="e">
        <f ca="1">[1]!BexGetData("DP_1","003N8EMH8GTFRIVNUPY2891V1","GSON1112031331")</f>
        <v>#NAME?</v>
      </c>
      <c r="M535" s="28" t="e">
        <f ca="1">[1]!BexGetData("DP_1","003N8EMH8GTFRIVOG7KG9IQXA","GSON1112031331")</f>
        <v>#NAME?</v>
      </c>
      <c r="N535" s="28" t="e">
        <f ca="1">[1]!BexGetData("DP_1","003N8EMH8GTFRIVOG7KG9IX8U","GSON1112031331")</f>
        <v>#NAME?</v>
      </c>
      <c r="O535" s="28" t="e">
        <f ca="1">[1]!BexGetData("DP_1","003N8EMH8GTFRIVOG7KG9J3KE","GSON1112031331")</f>
        <v>#NAME?</v>
      </c>
      <c r="P535" s="28" t="e">
        <f ca="1">[1]!BexGetData("DP_1","003N8EMH8GTFRIVOG7KG9J9VY","GSON1112031331")</f>
        <v>#NAME?</v>
      </c>
      <c r="Q535" s="24" t="e">
        <f ca="1">[1]!BexGetData("DP_1","00O2TNJGODT0G5Z4TTKYMM5MT","GSON1112031331")</f>
        <v>#NAME?</v>
      </c>
      <c r="R535" s="28" t="e">
        <f ca="1">[1]!BexGetData("DP_1","00O2TNJGODT0G5Z4TTKYMMBYD","GSON1112031331")</f>
        <v>#NAME?</v>
      </c>
      <c r="S535" s="28" t="e">
        <f ca="1">[1]!BexGetData("DP_1","00O2TNJGODT0G5Z4TTKYMMI9X","GSON1112031331")</f>
        <v>#NAME?</v>
      </c>
      <c r="T535" s="28" t="e">
        <f ca="1">[1]!BexGetData("DP_1","00O2TNJGODT0G5Z4TTKYMMOLH","GSON1112031331")</f>
        <v>#NAME?</v>
      </c>
      <c r="U535" s="28" t="e">
        <f ca="1">[1]!BexGetData("DP_1","00O2TNJGODT0G5Z4TTKYMMUX1","GSON1112031331")</f>
        <v>#NAME?</v>
      </c>
      <c r="V535" s="28" t="e">
        <f ca="1">[1]!BexGetData("DP_1","00O2TNJGODT0G5Z4TTKYMN18L","GSON1112031331")</f>
        <v>#NAME?</v>
      </c>
      <c r="W535" s="28" t="e">
        <f ca="1">[1]!BexGetData("DP_1","00O2TNJGODT0G5Z4TTKYMN7K5","GSON1112031331")</f>
        <v>#NAME?</v>
      </c>
    </row>
    <row r="536" spans="1:23" x14ac:dyDescent="0.2">
      <c r="A536" s="36" t="s">
        <v>2502</v>
      </c>
      <c r="B536" s="27" t="s">
        <v>2503</v>
      </c>
      <c r="C536" s="23" t="e">
        <f ca="1">[1]!BexGetData("DP_1","003N8EMH8GTFRCSWKMPXRR8GU","GSON1112031333")</f>
        <v>#NAME?</v>
      </c>
      <c r="D536" s="23" t="e">
        <f ca="1">[1]!BexGetData("DP_1","003N8EMH8GTFRCSWKMPXRRESE","GSON1112031333")</f>
        <v>#NAME?</v>
      </c>
      <c r="E536" s="28" t="e">
        <f ca="1">[1]!BexGetData("DP_1","003N8EMH8GTFRCSWKMPXRRL3Y","GSON1112031333")</f>
        <v>#NAME?</v>
      </c>
      <c r="F536" s="28" t="e">
        <f ca="1">[1]!BexGetData("DP_1","003N8EMH8GTFRCSWKMPXRRRFI","GSON1112031333")</f>
        <v>#NAME?</v>
      </c>
      <c r="G536" s="23" t="e">
        <f ca="1">[1]!BexGetData("DP_1","003N8EMH8GTFRCSWKMPXRRXR2","GSON1112031333")</f>
        <v>#NAME?</v>
      </c>
      <c r="H536" s="23" t="e">
        <f ca="1">[1]!BexGetData("DP_1","003N8EMH8GTFRCSWKMPXRS42M","GSON1112031333")</f>
        <v>#NAME?</v>
      </c>
      <c r="I536" s="28" t="e">
        <f ca="1">[1]!BexGetData("DP_1","003N8EMH8GTFRCSWKMPXRSAE6","GSON1112031333")</f>
        <v>#NAME?</v>
      </c>
      <c r="J536" s="24" t="e">
        <f ca="1">[1]!BexGetData("DP_1","003N8EMH8GTFRCSWKMPXRSGPQ","GSON1112031333")</f>
        <v>#NAME?</v>
      </c>
      <c r="K536" s="28" t="e">
        <f ca="1">[1]!BexGetData("DP_1","003N8EMH8GTFRIVNUPY288VJH","GSON1112031333")</f>
        <v>#NAME?</v>
      </c>
      <c r="L536" s="28" t="e">
        <f ca="1">[1]!BexGetData("DP_1","003N8EMH8GTFRIVNUPY2891V1","GSON1112031333")</f>
        <v>#NAME?</v>
      </c>
      <c r="M536" s="28" t="e">
        <f ca="1">[1]!BexGetData("DP_1","003N8EMH8GTFRIVOG7KG9IQXA","GSON1112031333")</f>
        <v>#NAME?</v>
      </c>
      <c r="N536" s="28" t="e">
        <f ca="1">[1]!BexGetData("DP_1","003N8EMH8GTFRIVOG7KG9IX8U","GSON1112031333")</f>
        <v>#NAME?</v>
      </c>
      <c r="O536" s="28" t="e">
        <f ca="1">[1]!BexGetData("DP_1","003N8EMH8GTFRIVOG7KG9J3KE","GSON1112031333")</f>
        <v>#NAME?</v>
      </c>
      <c r="P536" s="28" t="e">
        <f ca="1">[1]!BexGetData("DP_1","003N8EMH8GTFRIVOG7KG9J9VY","GSON1112031333")</f>
        <v>#NAME?</v>
      </c>
      <c r="Q536" s="24" t="e">
        <f ca="1">[1]!BexGetData("DP_1","00O2TNJGODT0G5Z4TTKYMM5MT","GSON1112031333")</f>
        <v>#NAME?</v>
      </c>
      <c r="R536" s="28" t="e">
        <f ca="1">[1]!BexGetData("DP_1","00O2TNJGODT0G5Z4TTKYMMBYD","GSON1112031333")</f>
        <v>#NAME?</v>
      </c>
      <c r="S536" s="28" t="e">
        <f ca="1">[1]!BexGetData("DP_1","00O2TNJGODT0G5Z4TTKYMMI9X","GSON1112031333")</f>
        <v>#NAME?</v>
      </c>
      <c r="T536" s="28" t="e">
        <f ca="1">[1]!BexGetData("DP_1","00O2TNJGODT0G5Z4TTKYMMOLH","GSON1112031333")</f>
        <v>#NAME?</v>
      </c>
      <c r="U536" s="28" t="e">
        <f ca="1">[1]!BexGetData("DP_1","00O2TNJGODT0G5Z4TTKYMMUX1","GSON1112031333")</f>
        <v>#NAME?</v>
      </c>
      <c r="V536" s="28" t="e">
        <f ca="1">[1]!BexGetData("DP_1","00O2TNJGODT0G5Z4TTKYMN18L","GSON1112031333")</f>
        <v>#NAME?</v>
      </c>
      <c r="W536" s="28" t="e">
        <f ca="1">[1]!BexGetData("DP_1","00O2TNJGODT0G5Z4TTKYMN7K5","GSON1112031333")</f>
        <v>#NAME?</v>
      </c>
    </row>
    <row r="537" spans="1:23" x14ac:dyDescent="0.2">
      <c r="A537" s="36" t="s">
        <v>2504</v>
      </c>
      <c r="B537" s="27" t="s">
        <v>2505</v>
      </c>
      <c r="C537" s="28" t="e">
        <f ca="1">[1]!BexGetData("DP_1","003N8EMH8GTFRCSWKMPXRR8GU","GSON1112031335")</f>
        <v>#NAME?</v>
      </c>
      <c r="D537" s="28" t="e">
        <f ca="1">[1]!BexGetData("DP_1","003N8EMH8GTFRCSWKMPXRRESE","GSON1112031335")</f>
        <v>#NAME?</v>
      </c>
      <c r="E537" s="28" t="e">
        <f ca="1">[1]!BexGetData("DP_1","003N8EMH8GTFRCSWKMPXRRL3Y","GSON1112031335")</f>
        <v>#NAME?</v>
      </c>
      <c r="F537" s="28" t="e">
        <f ca="1">[1]!BexGetData("DP_1","003N8EMH8GTFRCSWKMPXRRRFI","GSON1112031335")</f>
        <v>#NAME?</v>
      </c>
      <c r="G537" s="23" t="e">
        <f ca="1">[1]!BexGetData("DP_1","003N8EMH8GTFRCSWKMPXRRXR2","GSON1112031335")</f>
        <v>#NAME?</v>
      </c>
      <c r="H537" s="23" t="e">
        <f ca="1">[1]!BexGetData("DP_1","003N8EMH8GTFRCSWKMPXRS42M","GSON1112031335")</f>
        <v>#NAME?</v>
      </c>
      <c r="I537" s="28" t="e">
        <f ca="1">[1]!BexGetData("DP_1","003N8EMH8GTFRCSWKMPXRSAE6","GSON1112031335")</f>
        <v>#NAME?</v>
      </c>
      <c r="J537" s="24" t="e">
        <f ca="1">[1]!BexGetData("DP_1","003N8EMH8GTFRCSWKMPXRSGPQ","GSON1112031335")</f>
        <v>#NAME?</v>
      </c>
      <c r="K537" s="28" t="e">
        <f ca="1">[1]!BexGetData("DP_1","003N8EMH8GTFRIVNUPY288VJH","GSON1112031335")</f>
        <v>#NAME?</v>
      </c>
      <c r="L537" s="28" t="e">
        <f ca="1">[1]!BexGetData("DP_1","003N8EMH8GTFRIVNUPY2891V1","GSON1112031335")</f>
        <v>#NAME?</v>
      </c>
      <c r="M537" s="28" t="e">
        <f ca="1">[1]!BexGetData("DP_1","003N8EMH8GTFRIVOG7KG9IQXA","GSON1112031335")</f>
        <v>#NAME?</v>
      </c>
      <c r="N537" s="28" t="e">
        <f ca="1">[1]!BexGetData("DP_1","003N8EMH8GTFRIVOG7KG9IX8U","GSON1112031335")</f>
        <v>#NAME?</v>
      </c>
      <c r="O537" s="28" t="e">
        <f ca="1">[1]!BexGetData("DP_1","003N8EMH8GTFRIVOG7KG9J3KE","GSON1112031335")</f>
        <v>#NAME?</v>
      </c>
      <c r="P537" s="28" t="e">
        <f ca="1">[1]!BexGetData("DP_1","003N8EMH8GTFRIVOG7KG9J9VY","GSON1112031335")</f>
        <v>#NAME?</v>
      </c>
      <c r="Q537" s="24" t="e">
        <f ca="1">[1]!BexGetData("DP_1","00O2TNJGODT0G5Z4TTKYMM5MT","GSON1112031335")</f>
        <v>#NAME?</v>
      </c>
      <c r="R537" s="28" t="e">
        <f ca="1">[1]!BexGetData("DP_1","00O2TNJGODT0G5Z4TTKYMMBYD","GSON1112031335")</f>
        <v>#NAME?</v>
      </c>
      <c r="S537" s="28" t="e">
        <f ca="1">[1]!BexGetData("DP_1","00O2TNJGODT0G5Z4TTKYMMI9X","GSON1112031335")</f>
        <v>#NAME?</v>
      </c>
      <c r="T537" s="28" t="e">
        <f ca="1">[1]!BexGetData("DP_1","00O2TNJGODT0G5Z4TTKYMMOLH","GSON1112031335")</f>
        <v>#NAME?</v>
      </c>
      <c r="U537" s="28" t="e">
        <f ca="1">[1]!BexGetData("DP_1","00O2TNJGODT0G5Z4TTKYMMUX1","GSON1112031335")</f>
        <v>#NAME?</v>
      </c>
      <c r="V537" s="28" t="e">
        <f ca="1">[1]!BexGetData("DP_1","00O2TNJGODT0G5Z4TTKYMN18L","GSON1112031335")</f>
        <v>#NAME?</v>
      </c>
      <c r="W537" s="28" t="e">
        <f ca="1">[1]!BexGetData("DP_1","00O2TNJGODT0G5Z4TTKYMN7K5","GSON1112031335")</f>
        <v>#NAME?</v>
      </c>
    </row>
    <row r="538" spans="1:23" x14ac:dyDescent="0.2">
      <c r="A538" s="36" t="s">
        <v>2506</v>
      </c>
      <c r="B538" s="27" t="s">
        <v>2507</v>
      </c>
      <c r="C538" s="23" t="e">
        <f ca="1">[1]!BexGetData("DP_1","003N8EMH8GTFRCSWKMPXRR8GU","GSON1112031340")</f>
        <v>#NAME?</v>
      </c>
      <c r="D538" s="23" t="e">
        <f ca="1">[1]!BexGetData("DP_1","003N8EMH8GTFRCSWKMPXRRESE","GSON1112031340")</f>
        <v>#NAME?</v>
      </c>
      <c r="E538" s="23" t="e">
        <f ca="1">[1]!BexGetData("DP_1","003N8EMH8GTFRCSWKMPXRRL3Y","GSON1112031340")</f>
        <v>#NAME?</v>
      </c>
      <c r="F538" s="23" t="e">
        <f ca="1">[1]!BexGetData("DP_1","003N8EMH8GTFRCSWKMPXRRRFI","GSON1112031340")</f>
        <v>#NAME?</v>
      </c>
      <c r="G538" s="23" t="e">
        <f ca="1">[1]!BexGetData("DP_1","003N8EMH8GTFRCSWKMPXRRXR2","GSON1112031340")</f>
        <v>#NAME?</v>
      </c>
      <c r="H538" s="23" t="e">
        <f ca="1">[1]!BexGetData("DP_1","003N8EMH8GTFRCSWKMPXRS42M","GSON1112031340")</f>
        <v>#NAME?</v>
      </c>
      <c r="I538" s="23" t="e">
        <f ca="1">[1]!BexGetData("DP_1","003N8EMH8GTFRCSWKMPXRSAE6","GSON1112031340")</f>
        <v>#NAME?</v>
      </c>
      <c r="J538" s="24" t="e">
        <f ca="1">[1]!BexGetData("DP_1","003N8EMH8GTFRCSWKMPXRSGPQ","GSON1112031340")</f>
        <v>#NAME?</v>
      </c>
      <c r="K538" s="23" t="e">
        <f ca="1">[1]!BexGetData("DP_1","003N8EMH8GTFRIVNUPY288VJH","GSON1112031340")</f>
        <v>#NAME?</v>
      </c>
      <c r="L538" s="23" t="e">
        <f ca="1">[1]!BexGetData("DP_1","003N8EMH8GTFRIVNUPY2891V1","GSON1112031340")</f>
        <v>#NAME?</v>
      </c>
      <c r="M538" s="23" t="e">
        <f ca="1">[1]!BexGetData("DP_1","003N8EMH8GTFRIVOG7KG9IQXA","GSON1112031340")</f>
        <v>#NAME?</v>
      </c>
      <c r="N538" s="28" t="e">
        <f ca="1">[1]!BexGetData("DP_1","003N8EMH8GTFRIVOG7KG9IX8U","GSON1112031340")</f>
        <v>#NAME?</v>
      </c>
      <c r="O538" s="23" t="e">
        <f ca="1">[1]!BexGetData("DP_1","003N8EMH8GTFRIVOG7KG9J3KE","GSON1112031340")</f>
        <v>#NAME?</v>
      </c>
      <c r="P538" s="28" t="e">
        <f ca="1">[1]!BexGetData("DP_1","003N8EMH8GTFRIVOG7KG9J9VY","GSON1112031340")</f>
        <v>#NAME?</v>
      </c>
      <c r="Q538" s="24" t="e">
        <f ca="1">[1]!BexGetData("DP_1","00O2TNJGODT0G5Z4TTKYMM5MT","GSON1112031340")</f>
        <v>#NAME?</v>
      </c>
      <c r="R538" s="23" t="e">
        <f ca="1">[1]!BexGetData("DP_1","00O2TNJGODT0G5Z4TTKYMMBYD","GSON1112031340")</f>
        <v>#NAME?</v>
      </c>
      <c r="S538" s="23" t="e">
        <f ca="1">[1]!BexGetData("DP_1","00O2TNJGODT0G5Z4TTKYMMI9X","GSON1112031340")</f>
        <v>#NAME?</v>
      </c>
      <c r="T538" s="28" t="e">
        <f ca="1">[1]!BexGetData("DP_1","00O2TNJGODT0G5Z4TTKYMMOLH","GSON1112031340")</f>
        <v>#NAME?</v>
      </c>
      <c r="U538" s="23" t="e">
        <f ca="1">[1]!BexGetData("DP_1","00O2TNJGODT0G5Z4TTKYMMUX1","GSON1112031340")</f>
        <v>#NAME?</v>
      </c>
      <c r="V538" s="28" t="e">
        <f ca="1">[1]!BexGetData("DP_1","00O2TNJGODT0G5Z4TTKYMN18L","GSON1112031340")</f>
        <v>#NAME?</v>
      </c>
      <c r="W538" s="23" t="e">
        <f ca="1">[1]!BexGetData("DP_1","00O2TNJGODT0G5Z4TTKYMN7K5","GSON1112031340")</f>
        <v>#NAME?</v>
      </c>
    </row>
    <row r="539" spans="1:23" x14ac:dyDescent="0.2">
      <c r="A539" s="36" t="s">
        <v>2508</v>
      </c>
      <c r="B539" s="27" t="s">
        <v>2509</v>
      </c>
      <c r="C539" s="28" t="e">
        <f ca="1">[1]!BexGetData("DP_1","003N8EMH8GTFRCSWKMPXRR8GU","GSON1112031341")</f>
        <v>#NAME?</v>
      </c>
      <c r="D539" s="28" t="e">
        <f ca="1">[1]!BexGetData("DP_1","003N8EMH8GTFRCSWKMPXRRESE","GSON1112031341")</f>
        <v>#NAME?</v>
      </c>
      <c r="E539" s="28" t="e">
        <f ca="1">[1]!BexGetData("DP_1","003N8EMH8GTFRCSWKMPXRRL3Y","GSON1112031341")</f>
        <v>#NAME?</v>
      </c>
      <c r="F539" s="28" t="e">
        <f ca="1">[1]!BexGetData("DP_1","003N8EMH8GTFRCSWKMPXRRRFI","GSON1112031341")</f>
        <v>#NAME?</v>
      </c>
      <c r="G539" s="23" t="e">
        <f ca="1">[1]!BexGetData("DP_1","003N8EMH8GTFRCSWKMPXRRXR2","GSON1112031341")</f>
        <v>#NAME?</v>
      </c>
      <c r="H539" s="23" t="e">
        <f ca="1">[1]!BexGetData("DP_1","003N8EMH8GTFRCSWKMPXRS42M","GSON1112031341")</f>
        <v>#NAME?</v>
      </c>
      <c r="I539" s="28" t="e">
        <f ca="1">[1]!BexGetData("DP_1","003N8EMH8GTFRCSWKMPXRSAE6","GSON1112031341")</f>
        <v>#NAME?</v>
      </c>
      <c r="J539" s="24" t="e">
        <f ca="1">[1]!BexGetData("DP_1","003N8EMH8GTFRCSWKMPXRSGPQ","GSON1112031341")</f>
        <v>#NAME?</v>
      </c>
      <c r="K539" s="28" t="e">
        <f ca="1">[1]!BexGetData("DP_1","003N8EMH8GTFRIVNUPY288VJH","GSON1112031341")</f>
        <v>#NAME?</v>
      </c>
      <c r="L539" s="28" t="e">
        <f ca="1">[1]!BexGetData("DP_1","003N8EMH8GTFRIVNUPY2891V1","GSON1112031341")</f>
        <v>#NAME?</v>
      </c>
      <c r="M539" s="28" t="e">
        <f ca="1">[1]!BexGetData("DP_1","003N8EMH8GTFRIVOG7KG9IQXA","GSON1112031341")</f>
        <v>#NAME?</v>
      </c>
      <c r="N539" s="28" t="e">
        <f ca="1">[1]!BexGetData("DP_1","003N8EMH8GTFRIVOG7KG9IX8U","GSON1112031341")</f>
        <v>#NAME?</v>
      </c>
      <c r="O539" s="28" t="e">
        <f ca="1">[1]!BexGetData("DP_1","003N8EMH8GTFRIVOG7KG9J3KE","GSON1112031341")</f>
        <v>#NAME?</v>
      </c>
      <c r="P539" s="28" t="e">
        <f ca="1">[1]!BexGetData("DP_1","003N8EMH8GTFRIVOG7KG9J9VY","GSON1112031341")</f>
        <v>#NAME?</v>
      </c>
      <c r="Q539" s="24" t="e">
        <f ca="1">[1]!BexGetData("DP_1","00O2TNJGODT0G5Z4TTKYMM5MT","GSON1112031341")</f>
        <v>#NAME?</v>
      </c>
      <c r="R539" s="28" t="e">
        <f ca="1">[1]!BexGetData("DP_1","00O2TNJGODT0G5Z4TTKYMMBYD","GSON1112031341")</f>
        <v>#NAME?</v>
      </c>
      <c r="S539" s="28" t="e">
        <f ca="1">[1]!BexGetData("DP_1","00O2TNJGODT0G5Z4TTKYMMI9X","GSON1112031341")</f>
        <v>#NAME?</v>
      </c>
      <c r="T539" s="28" t="e">
        <f ca="1">[1]!BexGetData("DP_1","00O2TNJGODT0G5Z4TTKYMMOLH","GSON1112031341")</f>
        <v>#NAME?</v>
      </c>
      <c r="U539" s="28" t="e">
        <f ca="1">[1]!BexGetData("DP_1","00O2TNJGODT0G5Z4TTKYMMUX1","GSON1112031341")</f>
        <v>#NAME?</v>
      </c>
      <c r="V539" s="28" t="e">
        <f ca="1">[1]!BexGetData("DP_1","00O2TNJGODT0G5Z4TTKYMN18L","GSON1112031341")</f>
        <v>#NAME?</v>
      </c>
      <c r="W539" s="28" t="e">
        <f ca="1">[1]!BexGetData("DP_1","00O2TNJGODT0G5Z4TTKYMN7K5","GSON1112031341")</f>
        <v>#NAME?</v>
      </c>
    </row>
    <row r="540" spans="1:23" x14ac:dyDescent="0.2">
      <c r="A540" s="36" t="s">
        <v>2510</v>
      </c>
      <c r="B540" s="27" t="s">
        <v>2511</v>
      </c>
      <c r="C540" s="23" t="e">
        <f ca="1">[1]!BexGetData("DP_1","003N8EMH8GTFRCSWKMPXRR8GU","GSON1112031342")</f>
        <v>#NAME?</v>
      </c>
      <c r="D540" s="23" t="e">
        <f ca="1">[1]!BexGetData("DP_1","003N8EMH8GTFRCSWKMPXRRESE","GSON1112031342")</f>
        <v>#NAME?</v>
      </c>
      <c r="E540" s="28" t="e">
        <f ca="1">[1]!BexGetData("DP_1","003N8EMH8GTFRCSWKMPXRRL3Y","GSON1112031342")</f>
        <v>#NAME?</v>
      </c>
      <c r="F540" s="23" t="e">
        <f ca="1">[1]!BexGetData("DP_1","003N8EMH8GTFRCSWKMPXRRRFI","GSON1112031342")</f>
        <v>#NAME?</v>
      </c>
      <c r="G540" s="28" t="e">
        <f ca="1">[1]!BexGetData("DP_1","003N8EMH8GTFRCSWKMPXRRXR2","GSON1112031342")</f>
        <v>#NAME?</v>
      </c>
      <c r="H540" s="23" t="e">
        <f ca="1">[1]!BexGetData("DP_1","003N8EMH8GTFRCSWKMPXRS42M","GSON1112031342")</f>
        <v>#NAME?</v>
      </c>
      <c r="I540" s="23" t="e">
        <f ca="1">[1]!BexGetData("DP_1","003N8EMH8GTFRCSWKMPXRSAE6","GSON1112031342")</f>
        <v>#NAME?</v>
      </c>
      <c r="J540" s="24" t="e">
        <f ca="1">[1]!BexGetData("DP_1","003N8EMH8GTFRCSWKMPXRSGPQ","GSON1112031342")</f>
        <v>#NAME?</v>
      </c>
      <c r="K540" s="23" t="e">
        <f ca="1">[1]!BexGetData("DP_1","003N8EMH8GTFRIVNUPY288VJH","GSON1112031342")</f>
        <v>#NAME?</v>
      </c>
      <c r="L540" s="23" t="e">
        <f ca="1">[1]!BexGetData("DP_1","003N8EMH8GTFRIVNUPY2891V1","GSON1112031342")</f>
        <v>#NAME?</v>
      </c>
      <c r="M540" s="28" t="e">
        <f ca="1">[1]!BexGetData("DP_1","003N8EMH8GTFRIVOG7KG9IQXA","GSON1112031342")</f>
        <v>#NAME?</v>
      </c>
      <c r="N540" s="23" t="e">
        <f ca="1">[1]!BexGetData("DP_1","003N8EMH8GTFRIVOG7KG9IX8U","GSON1112031342")</f>
        <v>#NAME?</v>
      </c>
      <c r="O540" s="28" t="e">
        <f ca="1">[1]!BexGetData("DP_1","003N8EMH8GTFRIVOG7KG9J3KE","GSON1112031342")</f>
        <v>#NAME?</v>
      </c>
      <c r="P540" s="23" t="e">
        <f ca="1">[1]!BexGetData("DP_1","003N8EMH8GTFRIVOG7KG9J9VY","GSON1112031342")</f>
        <v>#NAME?</v>
      </c>
      <c r="Q540" s="24" t="e">
        <f ca="1">[1]!BexGetData("DP_1","00O2TNJGODT0G5Z4TTKYMM5MT","GSON1112031342")</f>
        <v>#NAME?</v>
      </c>
      <c r="R540" s="23" t="e">
        <f ca="1">[1]!BexGetData("DP_1","00O2TNJGODT0G5Z4TTKYMMBYD","GSON1112031342")</f>
        <v>#NAME?</v>
      </c>
      <c r="S540" s="23" t="e">
        <f ca="1">[1]!BexGetData("DP_1","00O2TNJGODT0G5Z4TTKYMMI9X","GSON1112031342")</f>
        <v>#NAME?</v>
      </c>
      <c r="T540" s="23" t="e">
        <f ca="1">[1]!BexGetData("DP_1","00O2TNJGODT0G5Z4TTKYMMOLH","GSON1112031342")</f>
        <v>#NAME?</v>
      </c>
      <c r="U540" s="28" t="e">
        <f ca="1">[1]!BexGetData("DP_1","00O2TNJGODT0G5Z4TTKYMMUX1","GSON1112031342")</f>
        <v>#NAME?</v>
      </c>
      <c r="V540" s="23" t="e">
        <f ca="1">[1]!BexGetData("DP_1","00O2TNJGODT0G5Z4TTKYMN18L","GSON1112031342")</f>
        <v>#NAME?</v>
      </c>
      <c r="W540" s="28" t="e">
        <f ca="1">[1]!BexGetData("DP_1","00O2TNJGODT0G5Z4TTKYMN7K5","GSON1112031342")</f>
        <v>#NAME?</v>
      </c>
    </row>
    <row r="541" spans="1:23" x14ac:dyDescent="0.2">
      <c r="A541" s="36" t="s">
        <v>2512</v>
      </c>
      <c r="B541" s="27" t="s">
        <v>2513</v>
      </c>
      <c r="C541" s="23" t="e">
        <f ca="1">[1]!BexGetData("DP_1","003N8EMH8GTFRCSWKMPXRR8GU","GSON1112031343")</f>
        <v>#NAME?</v>
      </c>
      <c r="D541" s="23" t="e">
        <f ca="1">[1]!BexGetData("DP_1","003N8EMH8GTFRCSWKMPXRRESE","GSON1112031343")</f>
        <v>#NAME?</v>
      </c>
      <c r="E541" s="28" t="e">
        <f ca="1">[1]!BexGetData("DP_1","003N8EMH8GTFRCSWKMPXRRL3Y","GSON1112031343")</f>
        <v>#NAME?</v>
      </c>
      <c r="F541" s="28" t="e">
        <f ca="1">[1]!BexGetData("DP_1","003N8EMH8GTFRCSWKMPXRRRFI","GSON1112031343")</f>
        <v>#NAME?</v>
      </c>
      <c r="G541" s="23" t="e">
        <f ca="1">[1]!BexGetData("DP_1","003N8EMH8GTFRCSWKMPXRRXR2","GSON1112031343")</f>
        <v>#NAME?</v>
      </c>
      <c r="H541" s="23" t="e">
        <f ca="1">[1]!BexGetData("DP_1","003N8EMH8GTFRCSWKMPXRS42M","GSON1112031343")</f>
        <v>#NAME?</v>
      </c>
      <c r="I541" s="28" t="e">
        <f ca="1">[1]!BexGetData("DP_1","003N8EMH8GTFRCSWKMPXRSAE6","GSON1112031343")</f>
        <v>#NAME?</v>
      </c>
      <c r="J541" s="24" t="e">
        <f ca="1">[1]!BexGetData("DP_1","003N8EMH8GTFRCSWKMPXRSGPQ","GSON1112031343")</f>
        <v>#NAME?</v>
      </c>
      <c r="K541" s="28" t="e">
        <f ca="1">[1]!BexGetData("DP_1","003N8EMH8GTFRIVNUPY288VJH","GSON1112031343")</f>
        <v>#NAME?</v>
      </c>
      <c r="L541" s="28" t="e">
        <f ca="1">[1]!BexGetData("DP_1","003N8EMH8GTFRIVNUPY2891V1","GSON1112031343")</f>
        <v>#NAME?</v>
      </c>
      <c r="M541" s="28" t="e">
        <f ca="1">[1]!BexGetData("DP_1","003N8EMH8GTFRIVOG7KG9IQXA","GSON1112031343")</f>
        <v>#NAME?</v>
      </c>
      <c r="N541" s="28" t="e">
        <f ca="1">[1]!BexGetData("DP_1","003N8EMH8GTFRIVOG7KG9IX8U","GSON1112031343")</f>
        <v>#NAME?</v>
      </c>
      <c r="O541" s="28" t="e">
        <f ca="1">[1]!BexGetData("DP_1","003N8EMH8GTFRIVOG7KG9J3KE","GSON1112031343")</f>
        <v>#NAME?</v>
      </c>
      <c r="P541" s="28" t="e">
        <f ca="1">[1]!BexGetData("DP_1","003N8EMH8GTFRIVOG7KG9J9VY","GSON1112031343")</f>
        <v>#NAME?</v>
      </c>
      <c r="Q541" s="24" t="e">
        <f ca="1">[1]!BexGetData("DP_1","00O2TNJGODT0G5Z4TTKYMM5MT","GSON1112031343")</f>
        <v>#NAME?</v>
      </c>
      <c r="R541" s="28" t="e">
        <f ca="1">[1]!BexGetData("DP_1","00O2TNJGODT0G5Z4TTKYMMBYD","GSON1112031343")</f>
        <v>#NAME?</v>
      </c>
      <c r="S541" s="28" t="e">
        <f ca="1">[1]!BexGetData("DP_1","00O2TNJGODT0G5Z4TTKYMMI9X","GSON1112031343")</f>
        <v>#NAME?</v>
      </c>
      <c r="T541" s="28" t="e">
        <f ca="1">[1]!BexGetData("DP_1","00O2TNJGODT0G5Z4TTKYMMOLH","GSON1112031343")</f>
        <v>#NAME?</v>
      </c>
      <c r="U541" s="28" t="e">
        <f ca="1">[1]!BexGetData("DP_1","00O2TNJGODT0G5Z4TTKYMMUX1","GSON1112031343")</f>
        <v>#NAME?</v>
      </c>
      <c r="V541" s="28" t="e">
        <f ca="1">[1]!BexGetData("DP_1","00O2TNJGODT0G5Z4TTKYMN18L","GSON1112031343")</f>
        <v>#NAME?</v>
      </c>
      <c r="W541" s="28" t="e">
        <f ca="1">[1]!BexGetData("DP_1","00O2TNJGODT0G5Z4TTKYMN7K5","GSON1112031343")</f>
        <v>#NAME?</v>
      </c>
    </row>
    <row r="542" spans="1:23" x14ac:dyDescent="0.2">
      <c r="A542" s="36" t="s">
        <v>2514</v>
      </c>
      <c r="B542" s="27" t="s">
        <v>2515</v>
      </c>
      <c r="C542" s="23" t="e">
        <f ca="1">[1]!BexGetData("DP_1","003N8EMH8GTFRCSWKMPXRR8GU","GSON1112031345")</f>
        <v>#NAME?</v>
      </c>
      <c r="D542" s="23" t="e">
        <f ca="1">[1]!BexGetData("DP_1","003N8EMH8GTFRCSWKMPXRRESE","GSON1112031345")</f>
        <v>#NAME?</v>
      </c>
      <c r="E542" s="28" t="e">
        <f ca="1">[1]!BexGetData("DP_1","003N8EMH8GTFRCSWKMPXRRL3Y","GSON1112031345")</f>
        <v>#NAME?</v>
      </c>
      <c r="F542" s="28" t="e">
        <f ca="1">[1]!BexGetData("DP_1","003N8EMH8GTFRCSWKMPXRRRFI","GSON1112031345")</f>
        <v>#NAME?</v>
      </c>
      <c r="G542" s="23" t="e">
        <f ca="1">[1]!BexGetData("DP_1","003N8EMH8GTFRCSWKMPXRRXR2","GSON1112031345")</f>
        <v>#NAME?</v>
      </c>
      <c r="H542" s="23" t="e">
        <f ca="1">[1]!BexGetData("DP_1","003N8EMH8GTFRCSWKMPXRS42M","GSON1112031345")</f>
        <v>#NAME?</v>
      </c>
      <c r="I542" s="28" t="e">
        <f ca="1">[1]!BexGetData("DP_1","003N8EMH8GTFRCSWKMPXRSAE6","GSON1112031345")</f>
        <v>#NAME?</v>
      </c>
      <c r="J542" s="24" t="e">
        <f ca="1">[1]!BexGetData("DP_1","003N8EMH8GTFRCSWKMPXRSGPQ","GSON1112031345")</f>
        <v>#NAME?</v>
      </c>
      <c r="K542" s="28" t="e">
        <f ca="1">[1]!BexGetData("DP_1","003N8EMH8GTFRIVNUPY288VJH","GSON1112031345")</f>
        <v>#NAME?</v>
      </c>
      <c r="L542" s="28" t="e">
        <f ca="1">[1]!BexGetData("DP_1","003N8EMH8GTFRIVNUPY2891V1","GSON1112031345")</f>
        <v>#NAME?</v>
      </c>
      <c r="M542" s="28" t="e">
        <f ca="1">[1]!BexGetData("DP_1","003N8EMH8GTFRIVOG7KG9IQXA","GSON1112031345")</f>
        <v>#NAME?</v>
      </c>
      <c r="N542" s="28" t="e">
        <f ca="1">[1]!BexGetData("DP_1","003N8EMH8GTFRIVOG7KG9IX8U","GSON1112031345")</f>
        <v>#NAME?</v>
      </c>
      <c r="O542" s="28" t="e">
        <f ca="1">[1]!BexGetData("DP_1","003N8EMH8GTFRIVOG7KG9J3KE","GSON1112031345")</f>
        <v>#NAME?</v>
      </c>
      <c r="P542" s="28" t="e">
        <f ca="1">[1]!BexGetData("DP_1","003N8EMH8GTFRIVOG7KG9J9VY","GSON1112031345")</f>
        <v>#NAME?</v>
      </c>
      <c r="Q542" s="24" t="e">
        <f ca="1">[1]!BexGetData("DP_1","00O2TNJGODT0G5Z4TTKYMM5MT","GSON1112031345")</f>
        <v>#NAME?</v>
      </c>
      <c r="R542" s="28" t="e">
        <f ca="1">[1]!BexGetData("DP_1","00O2TNJGODT0G5Z4TTKYMMBYD","GSON1112031345")</f>
        <v>#NAME?</v>
      </c>
      <c r="S542" s="28" t="e">
        <f ca="1">[1]!BexGetData("DP_1","00O2TNJGODT0G5Z4TTKYMMI9X","GSON1112031345")</f>
        <v>#NAME?</v>
      </c>
      <c r="T542" s="28" t="e">
        <f ca="1">[1]!BexGetData("DP_1","00O2TNJGODT0G5Z4TTKYMMOLH","GSON1112031345")</f>
        <v>#NAME?</v>
      </c>
      <c r="U542" s="28" t="e">
        <f ca="1">[1]!BexGetData("DP_1","00O2TNJGODT0G5Z4TTKYMMUX1","GSON1112031345")</f>
        <v>#NAME?</v>
      </c>
      <c r="V542" s="28" t="e">
        <f ca="1">[1]!BexGetData("DP_1","00O2TNJGODT0G5Z4TTKYMN18L","GSON1112031345")</f>
        <v>#NAME?</v>
      </c>
      <c r="W542" s="28" t="e">
        <f ca="1">[1]!BexGetData("DP_1","00O2TNJGODT0G5Z4TTKYMN7K5","GSON1112031345")</f>
        <v>#NAME?</v>
      </c>
    </row>
    <row r="543" spans="1:23" x14ac:dyDescent="0.2">
      <c r="A543" s="36" t="s">
        <v>2516</v>
      </c>
      <c r="B543" s="27" t="s">
        <v>2517</v>
      </c>
      <c r="C543" s="23" t="e">
        <f ca="1">[1]!BexGetData("DP_1","003N8EMH8GTFRCSWKMPXRR8GU","GSON1112031350")</f>
        <v>#NAME?</v>
      </c>
      <c r="D543" s="23" t="e">
        <f ca="1">[1]!BexGetData("DP_1","003N8EMH8GTFRCSWKMPXRRESE","GSON1112031350")</f>
        <v>#NAME?</v>
      </c>
      <c r="E543" s="28" t="e">
        <f ca="1">[1]!BexGetData("DP_1","003N8EMH8GTFRCSWKMPXRRL3Y","GSON1112031350")</f>
        <v>#NAME?</v>
      </c>
      <c r="F543" s="23" t="e">
        <f ca="1">[1]!BexGetData("DP_1","003N8EMH8GTFRCSWKMPXRRRFI","GSON1112031350")</f>
        <v>#NAME?</v>
      </c>
      <c r="G543" s="23" t="e">
        <f ca="1">[1]!BexGetData("DP_1","003N8EMH8GTFRCSWKMPXRRXR2","GSON1112031350")</f>
        <v>#NAME?</v>
      </c>
      <c r="H543" s="23" t="e">
        <f ca="1">[1]!BexGetData("DP_1","003N8EMH8GTFRCSWKMPXRS42M","GSON1112031350")</f>
        <v>#NAME?</v>
      </c>
      <c r="I543" s="23" t="e">
        <f ca="1">[1]!BexGetData("DP_1","003N8EMH8GTFRCSWKMPXRSAE6","GSON1112031350")</f>
        <v>#NAME?</v>
      </c>
      <c r="J543" s="24" t="e">
        <f ca="1">[1]!BexGetData("DP_1","003N8EMH8GTFRCSWKMPXRSGPQ","GSON1112031350")</f>
        <v>#NAME?</v>
      </c>
      <c r="K543" s="23" t="e">
        <f ca="1">[1]!BexGetData("DP_1","003N8EMH8GTFRIVNUPY288VJH","GSON1112031350")</f>
        <v>#NAME?</v>
      </c>
      <c r="L543" s="23" t="e">
        <f ca="1">[1]!BexGetData("DP_1","003N8EMH8GTFRIVNUPY2891V1","GSON1112031350")</f>
        <v>#NAME?</v>
      </c>
      <c r="M543" s="23" t="e">
        <f ca="1">[1]!BexGetData("DP_1","003N8EMH8GTFRIVOG7KG9IQXA","GSON1112031350")</f>
        <v>#NAME?</v>
      </c>
      <c r="N543" s="28" t="e">
        <f ca="1">[1]!BexGetData("DP_1","003N8EMH8GTFRIVOG7KG9IX8U","GSON1112031350")</f>
        <v>#NAME?</v>
      </c>
      <c r="O543" s="23" t="e">
        <f ca="1">[1]!BexGetData("DP_1","003N8EMH8GTFRIVOG7KG9J3KE","GSON1112031350")</f>
        <v>#NAME?</v>
      </c>
      <c r="P543" s="28" t="e">
        <f ca="1">[1]!BexGetData("DP_1","003N8EMH8GTFRIVOG7KG9J9VY","GSON1112031350")</f>
        <v>#NAME?</v>
      </c>
      <c r="Q543" s="24" t="e">
        <f ca="1">[1]!BexGetData("DP_1","00O2TNJGODT0G5Z4TTKYMM5MT","GSON1112031350")</f>
        <v>#NAME?</v>
      </c>
      <c r="R543" s="23" t="e">
        <f ca="1">[1]!BexGetData("DP_1","00O2TNJGODT0G5Z4TTKYMMBYD","GSON1112031350")</f>
        <v>#NAME?</v>
      </c>
      <c r="S543" s="23" t="e">
        <f ca="1">[1]!BexGetData("DP_1","00O2TNJGODT0G5Z4TTKYMMI9X","GSON1112031350")</f>
        <v>#NAME?</v>
      </c>
      <c r="T543" s="28" t="e">
        <f ca="1">[1]!BexGetData("DP_1","00O2TNJGODT0G5Z4TTKYMMOLH","GSON1112031350")</f>
        <v>#NAME?</v>
      </c>
      <c r="U543" s="23" t="e">
        <f ca="1">[1]!BexGetData("DP_1","00O2TNJGODT0G5Z4TTKYMMUX1","GSON1112031350")</f>
        <v>#NAME?</v>
      </c>
      <c r="V543" s="28" t="e">
        <f ca="1">[1]!BexGetData("DP_1","00O2TNJGODT0G5Z4TTKYMN18L","GSON1112031350")</f>
        <v>#NAME?</v>
      </c>
      <c r="W543" s="23" t="e">
        <f ca="1">[1]!BexGetData("DP_1","00O2TNJGODT0G5Z4TTKYMN7K5","GSON1112031350")</f>
        <v>#NAME?</v>
      </c>
    </row>
    <row r="544" spans="1:23" x14ac:dyDescent="0.2">
      <c r="A544" s="36" t="s">
        <v>2518</v>
      </c>
      <c r="B544" s="27" t="s">
        <v>2519</v>
      </c>
      <c r="C544" s="28" t="e">
        <f ca="1">[1]!BexGetData("DP_1","003N8EMH8GTFRCSWKMPXRR8GU","GSON1112031351")</f>
        <v>#NAME?</v>
      </c>
      <c r="D544" s="28" t="e">
        <f ca="1">[1]!BexGetData("DP_1","003N8EMH8GTFRCSWKMPXRRESE","GSON1112031351")</f>
        <v>#NAME?</v>
      </c>
      <c r="E544" s="28" t="e">
        <f ca="1">[1]!BexGetData("DP_1","003N8EMH8GTFRCSWKMPXRRL3Y","GSON1112031351")</f>
        <v>#NAME?</v>
      </c>
      <c r="F544" s="28" t="e">
        <f ca="1">[1]!BexGetData("DP_1","003N8EMH8GTFRCSWKMPXRRRFI","GSON1112031351")</f>
        <v>#NAME?</v>
      </c>
      <c r="G544" s="23" t="e">
        <f ca="1">[1]!BexGetData("DP_1","003N8EMH8GTFRCSWKMPXRRXR2","GSON1112031351")</f>
        <v>#NAME?</v>
      </c>
      <c r="H544" s="23" t="e">
        <f ca="1">[1]!BexGetData("DP_1","003N8EMH8GTFRCSWKMPXRS42M","GSON1112031351")</f>
        <v>#NAME?</v>
      </c>
      <c r="I544" s="28" t="e">
        <f ca="1">[1]!BexGetData("DP_1","003N8EMH8GTFRCSWKMPXRSAE6","GSON1112031351")</f>
        <v>#NAME?</v>
      </c>
      <c r="J544" s="24" t="e">
        <f ca="1">[1]!BexGetData("DP_1","003N8EMH8GTFRCSWKMPXRSGPQ","GSON1112031351")</f>
        <v>#NAME?</v>
      </c>
      <c r="K544" s="28" t="e">
        <f ca="1">[1]!BexGetData("DP_1","003N8EMH8GTFRIVNUPY288VJH","GSON1112031351")</f>
        <v>#NAME?</v>
      </c>
      <c r="L544" s="28" t="e">
        <f ca="1">[1]!BexGetData("DP_1","003N8EMH8GTFRIVNUPY2891V1","GSON1112031351")</f>
        <v>#NAME?</v>
      </c>
      <c r="M544" s="28" t="e">
        <f ca="1">[1]!BexGetData("DP_1","003N8EMH8GTFRIVOG7KG9IQXA","GSON1112031351")</f>
        <v>#NAME?</v>
      </c>
      <c r="N544" s="28" t="e">
        <f ca="1">[1]!BexGetData("DP_1","003N8EMH8GTFRIVOG7KG9IX8U","GSON1112031351")</f>
        <v>#NAME?</v>
      </c>
      <c r="O544" s="28" t="e">
        <f ca="1">[1]!BexGetData("DP_1","003N8EMH8GTFRIVOG7KG9J3KE","GSON1112031351")</f>
        <v>#NAME?</v>
      </c>
      <c r="P544" s="28" t="e">
        <f ca="1">[1]!BexGetData("DP_1","003N8EMH8GTFRIVOG7KG9J9VY","GSON1112031351")</f>
        <v>#NAME?</v>
      </c>
      <c r="Q544" s="24" t="e">
        <f ca="1">[1]!BexGetData("DP_1","00O2TNJGODT0G5Z4TTKYMM5MT","GSON1112031351")</f>
        <v>#NAME?</v>
      </c>
      <c r="R544" s="28" t="e">
        <f ca="1">[1]!BexGetData("DP_1","00O2TNJGODT0G5Z4TTKYMMBYD","GSON1112031351")</f>
        <v>#NAME?</v>
      </c>
      <c r="S544" s="28" t="e">
        <f ca="1">[1]!BexGetData("DP_1","00O2TNJGODT0G5Z4TTKYMMI9X","GSON1112031351")</f>
        <v>#NAME?</v>
      </c>
      <c r="T544" s="28" t="e">
        <f ca="1">[1]!BexGetData("DP_1","00O2TNJGODT0G5Z4TTKYMMOLH","GSON1112031351")</f>
        <v>#NAME?</v>
      </c>
      <c r="U544" s="28" t="e">
        <f ca="1">[1]!BexGetData("DP_1","00O2TNJGODT0G5Z4TTKYMMUX1","GSON1112031351")</f>
        <v>#NAME?</v>
      </c>
      <c r="V544" s="28" t="e">
        <f ca="1">[1]!BexGetData("DP_1","00O2TNJGODT0G5Z4TTKYMN18L","GSON1112031351")</f>
        <v>#NAME?</v>
      </c>
      <c r="W544" s="28" t="e">
        <f ca="1">[1]!BexGetData("DP_1","00O2TNJGODT0G5Z4TTKYMN7K5","GSON1112031351")</f>
        <v>#NAME?</v>
      </c>
    </row>
    <row r="545" spans="1:23" x14ac:dyDescent="0.2">
      <c r="A545" s="36" t="s">
        <v>2520</v>
      </c>
      <c r="B545" s="27" t="s">
        <v>2521</v>
      </c>
      <c r="C545" s="23" t="e">
        <f ca="1">[1]!BexGetData("DP_1","003N8EMH8GTFRCSWKMPXRR8GU","GSON1112031353")</f>
        <v>#NAME?</v>
      </c>
      <c r="D545" s="23" t="e">
        <f ca="1">[1]!BexGetData("DP_1","003N8EMH8GTFRCSWKMPXRRESE","GSON1112031353")</f>
        <v>#NAME?</v>
      </c>
      <c r="E545" s="28" t="e">
        <f ca="1">[1]!BexGetData("DP_1","003N8EMH8GTFRCSWKMPXRRL3Y","GSON1112031353")</f>
        <v>#NAME?</v>
      </c>
      <c r="F545" s="28" t="e">
        <f ca="1">[1]!BexGetData("DP_1","003N8EMH8GTFRCSWKMPXRRRFI","GSON1112031353")</f>
        <v>#NAME?</v>
      </c>
      <c r="G545" s="23" t="e">
        <f ca="1">[1]!BexGetData("DP_1","003N8EMH8GTFRCSWKMPXRRXR2","GSON1112031353")</f>
        <v>#NAME?</v>
      </c>
      <c r="H545" s="23" t="e">
        <f ca="1">[1]!BexGetData("DP_1","003N8EMH8GTFRCSWKMPXRS42M","GSON1112031353")</f>
        <v>#NAME?</v>
      </c>
      <c r="I545" s="28" t="e">
        <f ca="1">[1]!BexGetData("DP_1","003N8EMH8GTFRCSWKMPXRSAE6","GSON1112031353")</f>
        <v>#NAME?</v>
      </c>
      <c r="J545" s="24" t="e">
        <f ca="1">[1]!BexGetData("DP_1","003N8EMH8GTFRCSWKMPXRSGPQ","GSON1112031353")</f>
        <v>#NAME?</v>
      </c>
      <c r="K545" s="28" t="e">
        <f ca="1">[1]!BexGetData("DP_1","003N8EMH8GTFRIVNUPY288VJH","GSON1112031353")</f>
        <v>#NAME?</v>
      </c>
      <c r="L545" s="28" t="e">
        <f ca="1">[1]!BexGetData("DP_1","003N8EMH8GTFRIVNUPY2891V1","GSON1112031353")</f>
        <v>#NAME?</v>
      </c>
      <c r="M545" s="28" t="e">
        <f ca="1">[1]!BexGetData("DP_1","003N8EMH8GTFRIVOG7KG9IQXA","GSON1112031353")</f>
        <v>#NAME?</v>
      </c>
      <c r="N545" s="28" t="e">
        <f ca="1">[1]!BexGetData("DP_1","003N8EMH8GTFRIVOG7KG9IX8U","GSON1112031353")</f>
        <v>#NAME?</v>
      </c>
      <c r="O545" s="28" t="e">
        <f ca="1">[1]!BexGetData("DP_1","003N8EMH8GTFRIVOG7KG9J3KE","GSON1112031353")</f>
        <v>#NAME?</v>
      </c>
      <c r="P545" s="28" t="e">
        <f ca="1">[1]!BexGetData("DP_1","003N8EMH8GTFRIVOG7KG9J9VY","GSON1112031353")</f>
        <v>#NAME?</v>
      </c>
      <c r="Q545" s="24" t="e">
        <f ca="1">[1]!BexGetData("DP_1","00O2TNJGODT0G5Z4TTKYMM5MT","GSON1112031353")</f>
        <v>#NAME?</v>
      </c>
      <c r="R545" s="28" t="e">
        <f ca="1">[1]!BexGetData("DP_1","00O2TNJGODT0G5Z4TTKYMMBYD","GSON1112031353")</f>
        <v>#NAME?</v>
      </c>
      <c r="S545" s="28" t="e">
        <f ca="1">[1]!BexGetData("DP_1","00O2TNJGODT0G5Z4TTKYMMI9X","GSON1112031353")</f>
        <v>#NAME?</v>
      </c>
      <c r="T545" s="28" t="e">
        <f ca="1">[1]!BexGetData("DP_1","00O2TNJGODT0G5Z4TTKYMMOLH","GSON1112031353")</f>
        <v>#NAME?</v>
      </c>
      <c r="U545" s="28" t="e">
        <f ca="1">[1]!BexGetData("DP_1","00O2TNJGODT0G5Z4TTKYMMUX1","GSON1112031353")</f>
        <v>#NAME?</v>
      </c>
      <c r="V545" s="28" t="e">
        <f ca="1">[1]!BexGetData("DP_1","00O2TNJGODT0G5Z4TTKYMN18L","GSON1112031353")</f>
        <v>#NAME?</v>
      </c>
      <c r="W545" s="28" t="e">
        <f ca="1">[1]!BexGetData("DP_1","00O2TNJGODT0G5Z4TTKYMN7K5","GSON1112031353")</f>
        <v>#NAME?</v>
      </c>
    </row>
    <row r="546" spans="1:23" x14ac:dyDescent="0.2">
      <c r="A546" s="36" t="s">
        <v>2522</v>
      </c>
      <c r="B546" s="27" t="s">
        <v>2523</v>
      </c>
      <c r="C546" s="23" t="e">
        <f ca="1">[1]!BexGetData("DP_1","003N8EMH8GTFRCSWKMPXRR8GU","GSON1112031355")</f>
        <v>#NAME?</v>
      </c>
      <c r="D546" s="23" t="e">
        <f ca="1">[1]!BexGetData("DP_1","003N8EMH8GTFRCSWKMPXRRESE","GSON1112031355")</f>
        <v>#NAME?</v>
      </c>
      <c r="E546" s="28" t="e">
        <f ca="1">[1]!BexGetData("DP_1","003N8EMH8GTFRCSWKMPXRRL3Y","GSON1112031355")</f>
        <v>#NAME?</v>
      </c>
      <c r="F546" s="28" t="e">
        <f ca="1">[1]!BexGetData("DP_1","003N8EMH8GTFRCSWKMPXRRRFI","GSON1112031355")</f>
        <v>#NAME?</v>
      </c>
      <c r="G546" s="23" t="e">
        <f ca="1">[1]!BexGetData("DP_1","003N8EMH8GTFRCSWKMPXRRXR2","GSON1112031355")</f>
        <v>#NAME?</v>
      </c>
      <c r="H546" s="23" t="e">
        <f ca="1">[1]!BexGetData("DP_1","003N8EMH8GTFRCSWKMPXRS42M","GSON1112031355")</f>
        <v>#NAME?</v>
      </c>
      <c r="I546" s="28" t="e">
        <f ca="1">[1]!BexGetData("DP_1","003N8EMH8GTFRCSWKMPXRSAE6","GSON1112031355")</f>
        <v>#NAME?</v>
      </c>
      <c r="J546" s="24" t="e">
        <f ca="1">[1]!BexGetData("DP_1","003N8EMH8GTFRCSWKMPXRSGPQ","GSON1112031355")</f>
        <v>#NAME?</v>
      </c>
      <c r="K546" s="28" t="e">
        <f ca="1">[1]!BexGetData("DP_1","003N8EMH8GTFRIVNUPY288VJH","GSON1112031355")</f>
        <v>#NAME?</v>
      </c>
      <c r="L546" s="28" t="e">
        <f ca="1">[1]!BexGetData("DP_1","003N8EMH8GTFRIVNUPY2891V1","GSON1112031355")</f>
        <v>#NAME?</v>
      </c>
      <c r="M546" s="28" t="e">
        <f ca="1">[1]!BexGetData("DP_1","003N8EMH8GTFRIVOG7KG9IQXA","GSON1112031355")</f>
        <v>#NAME?</v>
      </c>
      <c r="N546" s="28" t="e">
        <f ca="1">[1]!BexGetData("DP_1","003N8EMH8GTFRIVOG7KG9IX8U","GSON1112031355")</f>
        <v>#NAME?</v>
      </c>
      <c r="O546" s="28" t="e">
        <f ca="1">[1]!BexGetData("DP_1","003N8EMH8GTFRIVOG7KG9J3KE","GSON1112031355")</f>
        <v>#NAME?</v>
      </c>
      <c r="P546" s="28" t="e">
        <f ca="1">[1]!BexGetData("DP_1","003N8EMH8GTFRIVOG7KG9J9VY","GSON1112031355")</f>
        <v>#NAME?</v>
      </c>
      <c r="Q546" s="24" t="e">
        <f ca="1">[1]!BexGetData("DP_1","00O2TNJGODT0G5Z4TTKYMM5MT","GSON1112031355")</f>
        <v>#NAME?</v>
      </c>
      <c r="R546" s="28" t="e">
        <f ca="1">[1]!BexGetData("DP_1","00O2TNJGODT0G5Z4TTKYMMBYD","GSON1112031355")</f>
        <v>#NAME?</v>
      </c>
      <c r="S546" s="28" t="e">
        <f ca="1">[1]!BexGetData("DP_1","00O2TNJGODT0G5Z4TTKYMMI9X","GSON1112031355")</f>
        <v>#NAME?</v>
      </c>
      <c r="T546" s="28" t="e">
        <f ca="1">[1]!BexGetData("DP_1","00O2TNJGODT0G5Z4TTKYMMOLH","GSON1112031355")</f>
        <v>#NAME?</v>
      </c>
      <c r="U546" s="28" t="e">
        <f ca="1">[1]!BexGetData("DP_1","00O2TNJGODT0G5Z4TTKYMMUX1","GSON1112031355")</f>
        <v>#NAME?</v>
      </c>
      <c r="V546" s="28" t="e">
        <f ca="1">[1]!BexGetData("DP_1","00O2TNJGODT0G5Z4TTKYMN18L","GSON1112031355")</f>
        <v>#NAME?</v>
      </c>
      <c r="W546" s="28" t="e">
        <f ca="1">[1]!BexGetData("DP_1","00O2TNJGODT0G5Z4TTKYMN7K5","GSON1112031355")</f>
        <v>#NAME?</v>
      </c>
    </row>
    <row r="547" spans="1:23" x14ac:dyDescent="0.2">
      <c r="A547" s="36" t="s">
        <v>2524</v>
      </c>
      <c r="B547" s="27" t="s">
        <v>2525</v>
      </c>
      <c r="C547" s="23" t="e">
        <f ca="1">[1]!BexGetData("DP_1","003N8EMH8GTFRCSWKMPXRR8GU","GSON1112031360")</f>
        <v>#NAME?</v>
      </c>
      <c r="D547" s="23" t="e">
        <f ca="1">[1]!BexGetData("DP_1","003N8EMH8GTFRCSWKMPXRRESE","GSON1112031360")</f>
        <v>#NAME?</v>
      </c>
      <c r="E547" s="28" t="e">
        <f ca="1">[1]!BexGetData("DP_1","003N8EMH8GTFRCSWKMPXRRL3Y","GSON1112031360")</f>
        <v>#NAME?</v>
      </c>
      <c r="F547" s="24" t="e">
        <f ca="1">[1]!BexGetData("DP_1","003N8EMH8GTFRCSWKMPXRRRFI","GSON1112031360")</f>
        <v>#NAME?</v>
      </c>
      <c r="G547" s="24" t="e">
        <f ca="1">[1]!BexGetData("DP_1","003N8EMH8GTFRCSWKMPXRRXR2","GSON1112031360")</f>
        <v>#NAME?</v>
      </c>
      <c r="H547" s="24" t="e">
        <f ca="1">[1]!BexGetData("DP_1","003N8EMH8GTFRCSWKMPXRS42M","GSON1112031360")</f>
        <v>#NAME?</v>
      </c>
      <c r="I547" s="24" t="e">
        <f ca="1">[1]!BexGetData("DP_1","003N8EMH8GTFRCSWKMPXRSAE6","GSON1112031360")</f>
        <v>#NAME?</v>
      </c>
      <c r="J547" s="24" t="e">
        <f ca="1">[1]!BexGetData("DP_1","003N8EMH8GTFRCSWKMPXRSGPQ","GSON1112031360")</f>
        <v>#NAME?</v>
      </c>
      <c r="K547" s="28" t="e">
        <f ca="1">[1]!BexGetData("DP_1","003N8EMH8GTFRIVNUPY288VJH","GSON1112031360")</f>
        <v>#NAME?</v>
      </c>
      <c r="L547" s="28" t="e">
        <f ca="1">[1]!BexGetData("DP_1","003N8EMH8GTFRIVNUPY2891V1","GSON1112031360")</f>
        <v>#NAME?</v>
      </c>
      <c r="M547" s="28" t="e">
        <f ca="1">[1]!BexGetData("DP_1","003N8EMH8GTFRIVOG7KG9IQXA","GSON1112031360")</f>
        <v>#NAME?</v>
      </c>
      <c r="N547" s="28" t="e">
        <f ca="1">[1]!BexGetData("DP_1","003N8EMH8GTFRIVOG7KG9IX8U","GSON1112031360")</f>
        <v>#NAME?</v>
      </c>
      <c r="O547" s="28" t="e">
        <f ca="1">[1]!BexGetData("DP_1","003N8EMH8GTFRIVOG7KG9J3KE","GSON1112031360")</f>
        <v>#NAME?</v>
      </c>
      <c r="P547" s="28" t="e">
        <f ca="1">[1]!BexGetData("DP_1","003N8EMH8GTFRIVOG7KG9J9VY","GSON1112031360")</f>
        <v>#NAME?</v>
      </c>
      <c r="Q547" s="24" t="e">
        <f ca="1">[1]!BexGetData("DP_1","00O2TNJGODT0G5Z4TTKYMM5MT","GSON1112031360")</f>
        <v>#NAME?</v>
      </c>
      <c r="R547" s="24" t="e">
        <f ca="1">[1]!BexGetData("DP_1","00O2TNJGODT0G5Z4TTKYMMBYD","GSON1112031360")</f>
        <v>#NAME?</v>
      </c>
      <c r="S547" s="24" t="e">
        <f ca="1">[1]!BexGetData("DP_1","00O2TNJGODT0G5Z4TTKYMMI9X","GSON1112031360")</f>
        <v>#NAME?</v>
      </c>
      <c r="T547" s="24" t="e">
        <f ca="1">[1]!BexGetData("DP_1","00O2TNJGODT0G5Z4TTKYMMOLH","GSON1112031360")</f>
        <v>#NAME?</v>
      </c>
      <c r="U547" s="24" t="e">
        <f ca="1">[1]!BexGetData("DP_1","00O2TNJGODT0G5Z4TTKYMMUX1","GSON1112031360")</f>
        <v>#NAME?</v>
      </c>
      <c r="V547" s="24" t="e">
        <f ca="1">[1]!BexGetData("DP_1","00O2TNJGODT0G5Z4TTKYMN18L","GSON1112031360")</f>
        <v>#NAME?</v>
      </c>
      <c r="W547" s="24" t="e">
        <f ca="1">[1]!BexGetData("DP_1","00O2TNJGODT0G5Z4TTKYMN7K5","GSON1112031360")</f>
        <v>#NAME?</v>
      </c>
    </row>
    <row r="548" spans="1:23" x14ac:dyDescent="0.2">
      <c r="A548" s="36" t="s">
        <v>2526</v>
      </c>
      <c r="B548" s="27" t="s">
        <v>2527</v>
      </c>
      <c r="C548" s="23" t="e">
        <f ca="1">[1]!BexGetData("DP_1","003N8EMH8GTFRCSWKMPXRR8GU","GSON1112031361")</f>
        <v>#NAME?</v>
      </c>
      <c r="D548" s="23" t="e">
        <f ca="1">[1]!BexGetData("DP_1","003N8EMH8GTFRCSWKMPXRRESE","GSON1112031361")</f>
        <v>#NAME?</v>
      </c>
      <c r="E548" s="28" t="e">
        <f ca="1">[1]!BexGetData("DP_1","003N8EMH8GTFRCSWKMPXRRL3Y","GSON1112031361")</f>
        <v>#NAME?</v>
      </c>
      <c r="F548" s="24" t="e">
        <f ca="1">[1]!BexGetData("DP_1","003N8EMH8GTFRCSWKMPXRRRFI","GSON1112031361")</f>
        <v>#NAME?</v>
      </c>
      <c r="G548" s="24" t="e">
        <f ca="1">[1]!BexGetData("DP_1","003N8EMH8GTFRCSWKMPXRRXR2","GSON1112031361")</f>
        <v>#NAME?</v>
      </c>
      <c r="H548" s="24" t="e">
        <f ca="1">[1]!BexGetData("DP_1","003N8EMH8GTFRCSWKMPXRS42M","GSON1112031361")</f>
        <v>#NAME?</v>
      </c>
      <c r="I548" s="24" t="e">
        <f ca="1">[1]!BexGetData("DP_1","003N8EMH8GTFRCSWKMPXRSAE6","GSON1112031361")</f>
        <v>#NAME?</v>
      </c>
      <c r="J548" s="24" t="e">
        <f ca="1">[1]!BexGetData("DP_1","003N8EMH8GTFRCSWKMPXRSGPQ","GSON1112031361")</f>
        <v>#NAME?</v>
      </c>
      <c r="K548" s="28" t="e">
        <f ca="1">[1]!BexGetData("DP_1","003N8EMH8GTFRIVNUPY288VJH","GSON1112031361")</f>
        <v>#NAME?</v>
      </c>
      <c r="L548" s="28" t="e">
        <f ca="1">[1]!BexGetData("DP_1","003N8EMH8GTFRIVNUPY2891V1","GSON1112031361")</f>
        <v>#NAME?</v>
      </c>
      <c r="M548" s="28" t="e">
        <f ca="1">[1]!BexGetData("DP_1","003N8EMH8GTFRIVOG7KG9IQXA","GSON1112031361")</f>
        <v>#NAME?</v>
      </c>
      <c r="N548" s="28" t="e">
        <f ca="1">[1]!BexGetData("DP_1","003N8EMH8GTFRIVOG7KG9IX8U","GSON1112031361")</f>
        <v>#NAME?</v>
      </c>
      <c r="O548" s="28" t="e">
        <f ca="1">[1]!BexGetData("DP_1","003N8EMH8GTFRIVOG7KG9J3KE","GSON1112031361")</f>
        <v>#NAME?</v>
      </c>
      <c r="P548" s="28" t="e">
        <f ca="1">[1]!BexGetData("DP_1","003N8EMH8GTFRIVOG7KG9J9VY","GSON1112031361")</f>
        <v>#NAME?</v>
      </c>
      <c r="Q548" s="24" t="e">
        <f ca="1">[1]!BexGetData("DP_1","00O2TNJGODT0G5Z4TTKYMM5MT","GSON1112031361")</f>
        <v>#NAME?</v>
      </c>
      <c r="R548" s="24" t="e">
        <f ca="1">[1]!BexGetData("DP_1","00O2TNJGODT0G5Z4TTKYMMBYD","GSON1112031361")</f>
        <v>#NAME?</v>
      </c>
      <c r="S548" s="24" t="e">
        <f ca="1">[1]!BexGetData("DP_1","00O2TNJGODT0G5Z4TTKYMMI9X","GSON1112031361")</f>
        <v>#NAME?</v>
      </c>
      <c r="T548" s="24" t="e">
        <f ca="1">[1]!BexGetData("DP_1","00O2TNJGODT0G5Z4TTKYMMOLH","GSON1112031361")</f>
        <v>#NAME?</v>
      </c>
      <c r="U548" s="24" t="e">
        <f ca="1">[1]!BexGetData("DP_1","00O2TNJGODT0G5Z4TTKYMMUX1","GSON1112031361")</f>
        <v>#NAME?</v>
      </c>
      <c r="V548" s="24" t="e">
        <f ca="1">[1]!BexGetData("DP_1","00O2TNJGODT0G5Z4TTKYMN18L","GSON1112031361")</f>
        <v>#NAME?</v>
      </c>
      <c r="W548" s="24" t="e">
        <f ca="1">[1]!BexGetData("DP_1","00O2TNJGODT0G5Z4TTKYMN7K5","GSON1112031361")</f>
        <v>#NAME?</v>
      </c>
    </row>
    <row r="549" spans="1:23" x14ac:dyDescent="0.2">
      <c r="A549" s="36" t="s">
        <v>2528</v>
      </c>
      <c r="B549" s="27" t="s">
        <v>2529</v>
      </c>
      <c r="C549" s="23" t="e">
        <f ca="1">[1]!BexGetData("DP_1","003N8EMH8GTFRCSWKMPXRR8GU","GSON1112031363")</f>
        <v>#NAME?</v>
      </c>
      <c r="D549" s="23" t="e">
        <f ca="1">[1]!BexGetData("DP_1","003N8EMH8GTFRCSWKMPXRRESE","GSON1112031363")</f>
        <v>#NAME?</v>
      </c>
      <c r="E549" s="28" t="e">
        <f ca="1">[1]!BexGetData("DP_1","003N8EMH8GTFRCSWKMPXRRL3Y","GSON1112031363")</f>
        <v>#NAME?</v>
      </c>
      <c r="F549" s="24" t="e">
        <f ca="1">[1]!BexGetData("DP_1","003N8EMH8GTFRCSWKMPXRRRFI","GSON1112031363")</f>
        <v>#NAME?</v>
      </c>
      <c r="G549" s="24" t="e">
        <f ca="1">[1]!BexGetData("DP_1","003N8EMH8GTFRCSWKMPXRRXR2","GSON1112031363")</f>
        <v>#NAME?</v>
      </c>
      <c r="H549" s="24" t="e">
        <f ca="1">[1]!BexGetData("DP_1","003N8EMH8GTFRCSWKMPXRS42M","GSON1112031363")</f>
        <v>#NAME?</v>
      </c>
      <c r="I549" s="24" t="e">
        <f ca="1">[1]!BexGetData("DP_1","003N8EMH8GTFRCSWKMPXRSAE6","GSON1112031363")</f>
        <v>#NAME?</v>
      </c>
      <c r="J549" s="24" t="e">
        <f ca="1">[1]!BexGetData("DP_1","003N8EMH8GTFRCSWKMPXRSGPQ","GSON1112031363")</f>
        <v>#NAME?</v>
      </c>
      <c r="K549" s="28" t="e">
        <f ca="1">[1]!BexGetData("DP_1","003N8EMH8GTFRIVNUPY288VJH","GSON1112031363")</f>
        <v>#NAME?</v>
      </c>
      <c r="L549" s="28" t="e">
        <f ca="1">[1]!BexGetData("DP_1","003N8EMH8GTFRIVNUPY2891V1","GSON1112031363")</f>
        <v>#NAME?</v>
      </c>
      <c r="M549" s="28" t="e">
        <f ca="1">[1]!BexGetData("DP_1","003N8EMH8GTFRIVOG7KG9IQXA","GSON1112031363")</f>
        <v>#NAME?</v>
      </c>
      <c r="N549" s="28" t="e">
        <f ca="1">[1]!BexGetData("DP_1","003N8EMH8GTFRIVOG7KG9IX8U","GSON1112031363")</f>
        <v>#NAME?</v>
      </c>
      <c r="O549" s="28" t="e">
        <f ca="1">[1]!BexGetData("DP_1","003N8EMH8GTFRIVOG7KG9J3KE","GSON1112031363")</f>
        <v>#NAME?</v>
      </c>
      <c r="P549" s="28" t="e">
        <f ca="1">[1]!BexGetData("DP_1","003N8EMH8GTFRIVOG7KG9J9VY","GSON1112031363")</f>
        <v>#NAME?</v>
      </c>
      <c r="Q549" s="24" t="e">
        <f ca="1">[1]!BexGetData("DP_1","00O2TNJGODT0G5Z4TTKYMM5MT","GSON1112031363")</f>
        <v>#NAME?</v>
      </c>
      <c r="R549" s="24" t="e">
        <f ca="1">[1]!BexGetData("DP_1","00O2TNJGODT0G5Z4TTKYMMBYD","GSON1112031363")</f>
        <v>#NAME?</v>
      </c>
      <c r="S549" s="24" t="e">
        <f ca="1">[1]!BexGetData("DP_1","00O2TNJGODT0G5Z4TTKYMMI9X","GSON1112031363")</f>
        <v>#NAME?</v>
      </c>
      <c r="T549" s="24" t="e">
        <f ca="1">[1]!BexGetData("DP_1","00O2TNJGODT0G5Z4TTKYMMOLH","GSON1112031363")</f>
        <v>#NAME?</v>
      </c>
      <c r="U549" s="24" t="e">
        <f ca="1">[1]!BexGetData("DP_1","00O2TNJGODT0G5Z4TTKYMMUX1","GSON1112031363")</f>
        <v>#NAME?</v>
      </c>
      <c r="V549" s="24" t="e">
        <f ca="1">[1]!BexGetData("DP_1","00O2TNJGODT0G5Z4TTKYMN18L","GSON1112031363")</f>
        <v>#NAME?</v>
      </c>
      <c r="W549" s="24" t="e">
        <f ca="1">[1]!BexGetData("DP_1","00O2TNJGODT0G5Z4TTKYMN7K5","GSON1112031363")</f>
        <v>#NAME?</v>
      </c>
    </row>
    <row r="550" spans="1:23" x14ac:dyDescent="0.2">
      <c r="A550" s="36" t="s">
        <v>2530</v>
      </c>
      <c r="B550" s="27" t="s">
        <v>2531</v>
      </c>
      <c r="C550" s="23" t="e">
        <f ca="1">[1]!BexGetData("DP_1","003N8EMH8GTFRCSWKMPXRR8GU","GSON1112031365")</f>
        <v>#NAME?</v>
      </c>
      <c r="D550" s="23" t="e">
        <f ca="1">[1]!BexGetData("DP_1","003N8EMH8GTFRCSWKMPXRRESE","GSON1112031365")</f>
        <v>#NAME?</v>
      </c>
      <c r="E550" s="28" t="e">
        <f ca="1">[1]!BexGetData("DP_1","003N8EMH8GTFRCSWKMPXRRL3Y","GSON1112031365")</f>
        <v>#NAME?</v>
      </c>
      <c r="F550" s="24" t="e">
        <f ca="1">[1]!BexGetData("DP_1","003N8EMH8GTFRCSWKMPXRRRFI","GSON1112031365")</f>
        <v>#NAME?</v>
      </c>
      <c r="G550" s="24" t="e">
        <f ca="1">[1]!BexGetData("DP_1","003N8EMH8GTFRCSWKMPXRRXR2","GSON1112031365")</f>
        <v>#NAME?</v>
      </c>
      <c r="H550" s="24" t="e">
        <f ca="1">[1]!BexGetData("DP_1","003N8EMH8GTFRCSWKMPXRS42M","GSON1112031365")</f>
        <v>#NAME?</v>
      </c>
      <c r="I550" s="24" t="e">
        <f ca="1">[1]!BexGetData("DP_1","003N8EMH8GTFRCSWKMPXRSAE6","GSON1112031365")</f>
        <v>#NAME?</v>
      </c>
      <c r="J550" s="24" t="e">
        <f ca="1">[1]!BexGetData("DP_1","003N8EMH8GTFRCSWKMPXRSGPQ","GSON1112031365")</f>
        <v>#NAME?</v>
      </c>
      <c r="K550" s="28" t="e">
        <f ca="1">[1]!BexGetData("DP_1","003N8EMH8GTFRIVNUPY288VJH","GSON1112031365")</f>
        <v>#NAME?</v>
      </c>
      <c r="L550" s="28" t="e">
        <f ca="1">[1]!BexGetData("DP_1","003N8EMH8GTFRIVNUPY2891V1","GSON1112031365")</f>
        <v>#NAME?</v>
      </c>
      <c r="M550" s="28" t="e">
        <f ca="1">[1]!BexGetData("DP_1","003N8EMH8GTFRIVOG7KG9IQXA","GSON1112031365")</f>
        <v>#NAME?</v>
      </c>
      <c r="N550" s="28" t="e">
        <f ca="1">[1]!BexGetData("DP_1","003N8EMH8GTFRIVOG7KG9IX8U","GSON1112031365")</f>
        <v>#NAME?</v>
      </c>
      <c r="O550" s="28" t="e">
        <f ca="1">[1]!BexGetData("DP_1","003N8EMH8GTFRIVOG7KG9J3KE","GSON1112031365")</f>
        <v>#NAME?</v>
      </c>
      <c r="P550" s="28" t="e">
        <f ca="1">[1]!BexGetData("DP_1","003N8EMH8GTFRIVOG7KG9J9VY","GSON1112031365")</f>
        <v>#NAME?</v>
      </c>
      <c r="Q550" s="24" t="e">
        <f ca="1">[1]!BexGetData("DP_1","00O2TNJGODT0G5Z4TTKYMM5MT","GSON1112031365")</f>
        <v>#NAME?</v>
      </c>
      <c r="R550" s="24" t="e">
        <f ca="1">[1]!BexGetData("DP_1","00O2TNJGODT0G5Z4TTKYMMBYD","GSON1112031365")</f>
        <v>#NAME?</v>
      </c>
      <c r="S550" s="24" t="e">
        <f ca="1">[1]!BexGetData("DP_1","00O2TNJGODT0G5Z4TTKYMMI9X","GSON1112031365")</f>
        <v>#NAME?</v>
      </c>
      <c r="T550" s="24" t="e">
        <f ca="1">[1]!BexGetData("DP_1","00O2TNJGODT0G5Z4TTKYMMOLH","GSON1112031365")</f>
        <v>#NAME?</v>
      </c>
      <c r="U550" s="24" t="e">
        <f ca="1">[1]!BexGetData("DP_1","00O2TNJGODT0G5Z4TTKYMMUX1","GSON1112031365")</f>
        <v>#NAME?</v>
      </c>
      <c r="V550" s="24" t="e">
        <f ca="1">[1]!BexGetData("DP_1","00O2TNJGODT0G5Z4TTKYMN18L","GSON1112031365")</f>
        <v>#NAME?</v>
      </c>
      <c r="W550" s="24" t="e">
        <f ca="1">[1]!BexGetData("DP_1","00O2TNJGODT0G5Z4TTKYMN7K5","GSON1112031365")</f>
        <v>#NAME?</v>
      </c>
    </row>
    <row r="551" spans="1:23" x14ac:dyDescent="0.2">
      <c r="A551" s="36" t="s">
        <v>2532</v>
      </c>
      <c r="B551" s="27" t="s">
        <v>2533</v>
      </c>
      <c r="C551" s="23" t="e">
        <f ca="1">[1]!BexGetData("DP_1","003N8EMH8GTFRCSWKMPXRR8GU","GSON1112031370")</f>
        <v>#NAME?</v>
      </c>
      <c r="D551" s="23" t="e">
        <f ca="1">[1]!BexGetData("DP_1","003N8EMH8GTFRCSWKMPXRRESE","GSON1112031370")</f>
        <v>#NAME?</v>
      </c>
      <c r="E551" s="28" t="e">
        <f ca="1">[1]!BexGetData("DP_1","003N8EMH8GTFRCSWKMPXRRL3Y","GSON1112031370")</f>
        <v>#NAME?</v>
      </c>
      <c r="F551" s="24" t="e">
        <f ca="1">[1]!BexGetData("DP_1","003N8EMH8GTFRCSWKMPXRRRFI","GSON1112031370")</f>
        <v>#NAME?</v>
      </c>
      <c r="G551" s="24" t="e">
        <f ca="1">[1]!BexGetData("DP_1","003N8EMH8GTFRCSWKMPXRRXR2","GSON1112031370")</f>
        <v>#NAME?</v>
      </c>
      <c r="H551" s="24" t="e">
        <f ca="1">[1]!BexGetData("DP_1","003N8EMH8GTFRCSWKMPXRS42M","GSON1112031370")</f>
        <v>#NAME?</v>
      </c>
      <c r="I551" s="24" t="e">
        <f ca="1">[1]!BexGetData("DP_1","003N8EMH8GTFRCSWKMPXRSAE6","GSON1112031370")</f>
        <v>#NAME?</v>
      </c>
      <c r="J551" s="24" t="e">
        <f ca="1">[1]!BexGetData("DP_1","003N8EMH8GTFRCSWKMPXRSGPQ","GSON1112031370")</f>
        <v>#NAME?</v>
      </c>
      <c r="K551" s="28" t="e">
        <f ca="1">[1]!BexGetData("DP_1","003N8EMH8GTFRIVNUPY288VJH","GSON1112031370")</f>
        <v>#NAME?</v>
      </c>
      <c r="L551" s="28" t="e">
        <f ca="1">[1]!BexGetData("DP_1","003N8EMH8GTFRIVNUPY2891V1","GSON1112031370")</f>
        <v>#NAME?</v>
      </c>
      <c r="M551" s="28" t="e">
        <f ca="1">[1]!BexGetData("DP_1","003N8EMH8GTFRIVOG7KG9IQXA","GSON1112031370")</f>
        <v>#NAME?</v>
      </c>
      <c r="N551" s="28" t="e">
        <f ca="1">[1]!BexGetData("DP_1","003N8EMH8GTFRIVOG7KG9IX8U","GSON1112031370")</f>
        <v>#NAME?</v>
      </c>
      <c r="O551" s="28" t="e">
        <f ca="1">[1]!BexGetData("DP_1","003N8EMH8GTFRIVOG7KG9J3KE","GSON1112031370")</f>
        <v>#NAME?</v>
      </c>
      <c r="P551" s="28" t="e">
        <f ca="1">[1]!BexGetData("DP_1","003N8EMH8GTFRIVOG7KG9J9VY","GSON1112031370")</f>
        <v>#NAME?</v>
      </c>
      <c r="Q551" s="24" t="e">
        <f ca="1">[1]!BexGetData("DP_1","00O2TNJGODT0G5Z4TTKYMM5MT","GSON1112031370")</f>
        <v>#NAME?</v>
      </c>
      <c r="R551" s="24" t="e">
        <f ca="1">[1]!BexGetData("DP_1","00O2TNJGODT0G5Z4TTKYMMBYD","GSON1112031370")</f>
        <v>#NAME?</v>
      </c>
      <c r="S551" s="24" t="e">
        <f ca="1">[1]!BexGetData("DP_1","00O2TNJGODT0G5Z4TTKYMMI9X","GSON1112031370")</f>
        <v>#NAME?</v>
      </c>
      <c r="T551" s="24" t="e">
        <f ca="1">[1]!BexGetData("DP_1","00O2TNJGODT0G5Z4TTKYMMOLH","GSON1112031370")</f>
        <v>#NAME?</v>
      </c>
      <c r="U551" s="24" t="e">
        <f ca="1">[1]!BexGetData("DP_1","00O2TNJGODT0G5Z4TTKYMMUX1","GSON1112031370")</f>
        <v>#NAME?</v>
      </c>
      <c r="V551" s="24" t="e">
        <f ca="1">[1]!BexGetData("DP_1","00O2TNJGODT0G5Z4TTKYMN18L","GSON1112031370")</f>
        <v>#NAME?</v>
      </c>
      <c r="W551" s="24" t="e">
        <f ca="1">[1]!BexGetData("DP_1","00O2TNJGODT0G5Z4TTKYMN7K5","GSON1112031370")</f>
        <v>#NAME?</v>
      </c>
    </row>
    <row r="552" spans="1:23" x14ac:dyDescent="0.2">
      <c r="A552" s="36" t="s">
        <v>2534</v>
      </c>
      <c r="B552" s="27" t="s">
        <v>2535</v>
      </c>
      <c r="C552" s="23" t="e">
        <f ca="1">[1]!BexGetData("DP_1","003N8EMH8GTFRCSWKMPXRR8GU","GSON1112031371")</f>
        <v>#NAME?</v>
      </c>
      <c r="D552" s="23" t="e">
        <f ca="1">[1]!BexGetData("DP_1","003N8EMH8GTFRCSWKMPXRRESE","GSON1112031371")</f>
        <v>#NAME?</v>
      </c>
      <c r="E552" s="28" t="e">
        <f ca="1">[1]!BexGetData("DP_1","003N8EMH8GTFRCSWKMPXRRL3Y","GSON1112031371")</f>
        <v>#NAME?</v>
      </c>
      <c r="F552" s="24" t="e">
        <f ca="1">[1]!BexGetData("DP_1","003N8EMH8GTFRCSWKMPXRRRFI","GSON1112031371")</f>
        <v>#NAME?</v>
      </c>
      <c r="G552" s="24" t="e">
        <f ca="1">[1]!BexGetData("DP_1","003N8EMH8GTFRCSWKMPXRRXR2","GSON1112031371")</f>
        <v>#NAME?</v>
      </c>
      <c r="H552" s="24" t="e">
        <f ca="1">[1]!BexGetData("DP_1","003N8EMH8GTFRCSWKMPXRS42M","GSON1112031371")</f>
        <v>#NAME?</v>
      </c>
      <c r="I552" s="24" t="e">
        <f ca="1">[1]!BexGetData("DP_1","003N8EMH8GTFRCSWKMPXRSAE6","GSON1112031371")</f>
        <v>#NAME?</v>
      </c>
      <c r="J552" s="24" t="e">
        <f ca="1">[1]!BexGetData("DP_1","003N8EMH8GTFRCSWKMPXRSGPQ","GSON1112031371")</f>
        <v>#NAME?</v>
      </c>
      <c r="K552" s="28" t="e">
        <f ca="1">[1]!BexGetData("DP_1","003N8EMH8GTFRIVNUPY288VJH","GSON1112031371")</f>
        <v>#NAME?</v>
      </c>
      <c r="L552" s="28" t="e">
        <f ca="1">[1]!BexGetData("DP_1","003N8EMH8GTFRIVNUPY2891V1","GSON1112031371")</f>
        <v>#NAME?</v>
      </c>
      <c r="M552" s="28" t="e">
        <f ca="1">[1]!BexGetData("DP_1","003N8EMH8GTFRIVOG7KG9IQXA","GSON1112031371")</f>
        <v>#NAME?</v>
      </c>
      <c r="N552" s="28" t="e">
        <f ca="1">[1]!BexGetData("DP_1","003N8EMH8GTFRIVOG7KG9IX8U","GSON1112031371")</f>
        <v>#NAME?</v>
      </c>
      <c r="O552" s="28" t="e">
        <f ca="1">[1]!BexGetData("DP_1","003N8EMH8GTFRIVOG7KG9J3KE","GSON1112031371")</f>
        <v>#NAME?</v>
      </c>
      <c r="P552" s="28" t="e">
        <f ca="1">[1]!BexGetData("DP_1","003N8EMH8GTFRIVOG7KG9J9VY","GSON1112031371")</f>
        <v>#NAME?</v>
      </c>
      <c r="Q552" s="24" t="e">
        <f ca="1">[1]!BexGetData("DP_1","00O2TNJGODT0G5Z4TTKYMM5MT","GSON1112031371")</f>
        <v>#NAME?</v>
      </c>
      <c r="R552" s="24" t="e">
        <f ca="1">[1]!BexGetData("DP_1","00O2TNJGODT0G5Z4TTKYMMBYD","GSON1112031371")</f>
        <v>#NAME?</v>
      </c>
      <c r="S552" s="24" t="e">
        <f ca="1">[1]!BexGetData("DP_1","00O2TNJGODT0G5Z4TTKYMMI9X","GSON1112031371")</f>
        <v>#NAME?</v>
      </c>
      <c r="T552" s="24" t="e">
        <f ca="1">[1]!BexGetData("DP_1","00O2TNJGODT0G5Z4TTKYMMOLH","GSON1112031371")</f>
        <v>#NAME?</v>
      </c>
      <c r="U552" s="24" t="e">
        <f ca="1">[1]!BexGetData("DP_1","00O2TNJGODT0G5Z4TTKYMMUX1","GSON1112031371")</f>
        <v>#NAME?</v>
      </c>
      <c r="V552" s="24" t="e">
        <f ca="1">[1]!BexGetData("DP_1","00O2TNJGODT0G5Z4TTKYMN18L","GSON1112031371")</f>
        <v>#NAME?</v>
      </c>
      <c r="W552" s="24" t="e">
        <f ca="1">[1]!BexGetData("DP_1","00O2TNJGODT0G5Z4TTKYMN7K5","GSON1112031371")</f>
        <v>#NAME?</v>
      </c>
    </row>
    <row r="553" spans="1:23" x14ac:dyDescent="0.2">
      <c r="A553" s="36" t="s">
        <v>2536</v>
      </c>
      <c r="B553" s="27" t="s">
        <v>2537</v>
      </c>
      <c r="C553" s="23" t="e">
        <f ca="1">[1]!BexGetData("DP_1","003N8EMH8GTFRCSWKMPXRR8GU","GSON1112031373")</f>
        <v>#NAME?</v>
      </c>
      <c r="D553" s="23" t="e">
        <f ca="1">[1]!BexGetData("DP_1","003N8EMH8GTFRCSWKMPXRRESE","GSON1112031373")</f>
        <v>#NAME?</v>
      </c>
      <c r="E553" s="28" t="e">
        <f ca="1">[1]!BexGetData("DP_1","003N8EMH8GTFRCSWKMPXRRL3Y","GSON1112031373")</f>
        <v>#NAME?</v>
      </c>
      <c r="F553" s="24" t="e">
        <f ca="1">[1]!BexGetData("DP_1","003N8EMH8GTFRCSWKMPXRRRFI","GSON1112031373")</f>
        <v>#NAME?</v>
      </c>
      <c r="G553" s="24" t="e">
        <f ca="1">[1]!BexGetData("DP_1","003N8EMH8GTFRCSWKMPXRRXR2","GSON1112031373")</f>
        <v>#NAME?</v>
      </c>
      <c r="H553" s="24" t="e">
        <f ca="1">[1]!BexGetData("DP_1","003N8EMH8GTFRCSWKMPXRS42M","GSON1112031373")</f>
        <v>#NAME?</v>
      </c>
      <c r="I553" s="24" t="e">
        <f ca="1">[1]!BexGetData("DP_1","003N8EMH8GTFRCSWKMPXRSAE6","GSON1112031373")</f>
        <v>#NAME?</v>
      </c>
      <c r="J553" s="24" t="e">
        <f ca="1">[1]!BexGetData("DP_1","003N8EMH8GTFRCSWKMPXRSGPQ","GSON1112031373")</f>
        <v>#NAME?</v>
      </c>
      <c r="K553" s="28" t="e">
        <f ca="1">[1]!BexGetData("DP_1","003N8EMH8GTFRIVNUPY288VJH","GSON1112031373")</f>
        <v>#NAME?</v>
      </c>
      <c r="L553" s="28" t="e">
        <f ca="1">[1]!BexGetData("DP_1","003N8EMH8GTFRIVNUPY2891V1","GSON1112031373")</f>
        <v>#NAME?</v>
      </c>
      <c r="M553" s="28" t="e">
        <f ca="1">[1]!BexGetData("DP_1","003N8EMH8GTFRIVOG7KG9IQXA","GSON1112031373")</f>
        <v>#NAME?</v>
      </c>
      <c r="N553" s="28" t="e">
        <f ca="1">[1]!BexGetData("DP_1","003N8EMH8GTFRIVOG7KG9IX8U","GSON1112031373")</f>
        <v>#NAME?</v>
      </c>
      <c r="O553" s="28" t="e">
        <f ca="1">[1]!BexGetData("DP_1","003N8EMH8GTFRIVOG7KG9J3KE","GSON1112031373")</f>
        <v>#NAME?</v>
      </c>
      <c r="P553" s="28" t="e">
        <f ca="1">[1]!BexGetData("DP_1","003N8EMH8GTFRIVOG7KG9J9VY","GSON1112031373")</f>
        <v>#NAME?</v>
      </c>
      <c r="Q553" s="24" t="e">
        <f ca="1">[1]!BexGetData("DP_1","00O2TNJGODT0G5Z4TTKYMM5MT","GSON1112031373")</f>
        <v>#NAME?</v>
      </c>
      <c r="R553" s="24" t="e">
        <f ca="1">[1]!BexGetData("DP_1","00O2TNJGODT0G5Z4TTKYMMBYD","GSON1112031373")</f>
        <v>#NAME?</v>
      </c>
      <c r="S553" s="24" t="e">
        <f ca="1">[1]!BexGetData("DP_1","00O2TNJGODT0G5Z4TTKYMMI9X","GSON1112031373")</f>
        <v>#NAME?</v>
      </c>
      <c r="T553" s="24" t="e">
        <f ca="1">[1]!BexGetData("DP_1","00O2TNJGODT0G5Z4TTKYMMOLH","GSON1112031373")</f>
        <v>#NAME?</v>
      </c>
      <c r="U553" s="24" t="e">
        <f ca="1">[1]!BexGetData("DP_1","00O2TNJGODT0G5Z4TTKYMMUX1","GSON1112031373")</f>
        <v>#NAME?</v>
      </c>
      <c r="V553" s="24" t="e">
        <f ca="1">[1]!BexGetData("DP_1","00O2TNJGODT0G5Z4TTKYMN18L","GSON1112031373")</f>
        <v>#NAME?</v>
      </c>
      <c r="W553" s="24" t="e">
        <f ca="1">[1]!BexGetData("DP_1","00O2TNJGODT0G5Z4TTKYMN7K5","GSON1112031373")</f>
        <v>#NAME?</v>
      </c>
    </row>
    <row r="554" spans="1:23" x14ac:dyDescent="0.2">
      <c r="A554" s="36" t="s">
        <v>2538</v>
      </c>
      <c r="B554" s="27" t="s">
        <v>2539</v>
      </c>
      <c r="C554" s="23" t="e">
        <f ca="1">[1]!BexGetData("DP_1","003N8EMH8GTFRCSWKMPXRR8GU","GSON1112031375")</f>
        <v>#NAME?</v>
      </c>
      <c r="D554" s="23" t="e">
        <f ca="1">[1]!BexGetData("DP_1","003N8EMH8GTFRCSWKMPXRRESE","GSON1112031375")</f>
        <v>#NAME?</v>
      </c>
      <c r="E554" s="28" t="e">
        <f ca="1">[1]!BexGetData("DP_1","003N8EMH8GTFRCSWKMPXRRL3Y","GSON1112031375")</f>
        <v>#NAME?</v>
      </c>
      <c r="F554" s="24" t="e">
        <f ca="1">[1]!BexGetData("DP_1","003N8EMH8GTFRCSWKMPXRRRFI","GSON1112031375")</f>
        <v>#NAME?</v>
      </c>
      <c r="G554" s="24" t="e">
        <f ca="1">[1]!BexGetData("DP_1","003N8EMH8GTFRCSWKMPXRRXR2","GSON1112031375")</f>
        <v>#NAME?</v>
      </c>
      <c r="H554" s="24" t="e">
        <f ca="1">[1]!BexGetData("DP_1","003N8EMH8GTFRCSWKMPXRS42M","GSON1112031375")</f>
        <v>#NAME?</v>
      </c>
      <c r="I554" s="24" t="e">
        <f ca="1">[1]!BexGetData("DP_1","003N8EMH8GTFRCSWKMPXRSAE6","GSON1112031375")</f>
        <v>#NAME?</v>
      </c>
      <c r="J554" s="24" t="e">
        <f ca="1">[1]!BexGetData("DP_1","003N8EMH8GTFRCSWKMPXRSGPQ","GSON1112031375")</f>
        <v>#NAME?</v>
      </c>
      <c r="K554" s="28" t="e">
        <f ca="1">[1]!BexGetData("DP_1","003N8EMH8GTFRIVNUPY288VJH","GSON1112031375")</f>
        <v>#NAME?</v>
      </c>
      <c r="L554" s="28" t="e">
        <f ca="1">[1]!BexGetData("DP_1","003N8EMH8GTFRIVNUPY2891V1","GSON1112031375")</f>
        <v>#NAME?</v>
      </c>
      <c r="M554" s="28" t="e">
        <f ca="1">[1]!BexGetData("DP_1","003N8EMH8GTFRIVOG7KG9IQXA","GSON1112031375")</f>
        <v>#NAME?</v>
      </c>
      <c r="N554" s="28" t="e">
        <f ca="1">[1]!BexGetData("DP_1","003N8EMH8GTFRIVOG7KG9IX8U","GSON1112031375")</f>
        <v>#NAME?</v>
      </c>
      <c r="O554" s="28" t="e">
        <f ca="1">[1]!BexGetData("DP_1","003N8EMH8GTFRIVOG7KG9J3KE","GSON1112031375")</f>
        <v>#NAME?</v>
      </c>
      <c r="P554" s="28" t="e">
        <f ca="1">[1]!BexGetData("DP_1","003N8EMH8GTFRIVOG7KG9J9VY","GSON1112031375")</f>
        <v>#NAME?</v>
      </c>
      <c r="Q554" s="24" t="e">
        <f ca="1">[1]!BexGetData("DP_1","00O2TNJGODT0G5Z4TTKYMM5MT","GSON1112031375")</f>
        <v>#NAME?</v>
      </c>
      <c r="R554" s="24" t="e">
        <f ca="1">[1]!BexGetData("DP_1","00O2TNJGODT0G5Z4TTKYMMBYD","GSON1112031375")</f>
        <v>#NAME?</v>
      </c>
      <c r="S554" s="24" t="e">
        <f ca="1">[1]!BexGetData("DP_1","00O2TNJGODT0G5Z4TTKYMMI9X","GSON1112031375")</f>
        <v>#NAME?</v>
      </c>
      <c r="T554" s="24" t="e">
        <f ca="1">[1]!BexGetData("DP_1","00O2TNJGODT0G5Z4TTKYMMOLH","GSON1112031375")</f>
        <v>#NAME?</v>
      </c>
      <c r="U554" s="24" t="e">
        <f ca="1">[1]!BexGetData("DP_1","00O2TNJGODT0G5Z4TTKYMMUX1","GSON1112031375")</f>
        <v>#NAME?</v>
      </c>
      <c r="V554" s="24" t="e">
        <f ca="1">[1]!BexGetData("DP_1","00O2TNJGODT0G5Z4TTKYMN18L","GSON1112031375")</f>
        <v>#NAME?</v>
      </c>
      <c r="W554" s="24" t="e">
        <f ca="1">[1]!BexGetData("DP_1","00O2TNJGODT0G5Z4TTKYMN7K5","GSON1112031375")</f>
        <v>#NAME?</v>
      </c>
    </row>
    <row r="555" spans="1:23" x14ac:dyDescent="0.2">
      <c r="A555" s="36" t="s">
        <v>2540</v>
      </c>
      <c r="B555" s="27" t="s">
        <v>2541</v>
      </c>
      <c r="C555" s="23" t="e">
        <f ca="1">[1]!BexGetData("DP_1","003N8EMH8GTFRCSWKMPXRR8GU","GSON1112031400")</f>
        <v>#NAME?</v>
      </c>
      <c r="D555" s="23" t="e">
        <f ca="1">[1]!BexGetData("DP_1","003N8EMH8GTFRCSWKMPXRRESE","GSON1112031400")</f>
        <v>#NAME?</v>
      </c>
      <c r="E555" s="28" t="e">
        <f ca="1">[1]!BexGetData("DP_1","003N8EMH8GTFRCSWKMPXRRL3Y","GSON1112031400")</f>
        <v>#NAME?</v>
      </c>
      <c r="F555" s="28" t="e">
        <f ca="1">[1]!BexGetData("DP_1","003N8EMH8GTFRCSWKMPXRRRFI","GSON1112031400")</f>
        <v>#NAME?</v>
      </c>
      <c r="G555" s="23" t="e">
        <f ca="1">[1]!BexGetData("DP_1","003N8EMH8GTFRCSWKMPXRRXR2","GSON1112031400")</f>
        <v>#NAME?</v>
      </c>
      <c r="H555" s="23" t="e">
        <f ca="1">[1]!BexGetData("DP_1","003N8EMH8GTFRCSWKMPXRS42M","GSON1112031400")</f>
        <v>#NAME?</v>
      </c>
      <c r="I555" s="28" t="e">
        <f ca="1">[1]!BexGetData("DP_1","003N8EMH8GTFRCSWKMPXRSAE6","GSON1112031400")</f>
        <v>#NAME?</v>
      </c>
      <c r="J555" s="24" t="e">
        <f ca="1">[1]!BexGetData("DP_1","003N8EMH8GTFRCSWKMPXRSGPQ","GSON1112031400")</f>
        <v>#NAME?</v>
      </c>
      <c r="K555" s="28" t="e">
        <f ca="1">[1]!BexGetData("DP_1","003N8EMH8GTFRIVNUPY288VJH","GSON1112031400")</f>
        <v>#NAME?</v>
      </c>
      <c r="L555" s="28" t="e">
        <f ca="1">[1]!BexGetData("DP_1","003N8EMH8GTFRIVNUPY2891V1","GSON1112031400")</f>
        <v>#NAME?</v>
      </c>
      <c r="M555" s="28" t="e">
        <f ca="1">[1]!BexGetData("DP_1","003N8EMH8GTFRIVOG7KG9IQXA","GSON1112031400")</f>
        <v>#NAME?</v>
      </c>
      <c r="N555" s="28" t="e">
        <f ca="1">[1]!BexGetData("DP_1","003N8EMH8GTFRIVOG7KG9IX8U","GSON1112031400")</f>
        <v>#NAME?</v>
      </c>
      <c r="O555" s="28" t="e">
        <f ca="1">[1]!BexGetData("DP_1","003N8EMH8GTFRIVOG7KG9J3KE","GSON1112031400")</f>
        <v>#NAME?</v>
      </c>
      <c r="P555" s="28" t="e">
        <f ca="1">[1]!BexGetData("DP_1","003N8EMH8GTFRIVOG7KG9J9VY","GSON1112031400")</f>
        <v>#NAME?</v>
      </c>
      <c r="Q555" s="24" t="e">
        <f ca="1">[1]!BexGetData("DP_1","00O2TNJGODT0G5Z4TTKYMM5MT","GSON1112031400")</f>
        <v>#NAME?</v>
      </c>
      <c r="R555" s="28" t="e">
        <f ca="1">[1]!BexGetData("DP_1","00O2TNJGODT0G5Z4TTKYMMBYD","GSON1112031400")</f>
        <v>#NAME?</v>
      </c>
      <c r="S555" s="28" t="e">
        <f ca="1">[1]!BexGetData("DP_1","00O2TNJGODT0G5Z4TTKYMMI9X","GSON1112031400")</f>
        <v>#NAME?</v>
      </c>
      <c r="T555" s="28" t="e">
        <f ca="1">[1]!BexGetData("DP_1","00O2TNJGODT0G5Z4TTKYMMOLH","GSON1112031400")</f>
        <v>#NAME?</v>
      </c>
      <c r="U555" s="28" t="e">
        <f ca="1">[1]!BexGetData("DP_1","00O2TNJGODT0G5Z4TTKYMMUX1","GSON1112031400")</f>
        <v>#NAME?</v>
      </c>
      <c r="V555" s="28" t="e">
        <f ca="1">[1]!BexGetData("DP_1","00O2TNJGODT0G5Z4TTKYMN18L","GSON1112031400")</f>
        <v>#NAME?</v>
      </c>
      <c r="W555" s="28" t="e">
        <f ca="1">[1]!BexGetData("DP_1","00O2TNJGODT0G5Z4TTKYMN7K5","GSON1112031400")</f>
        <v>#NAME?</v>
      </c>
    </row>
    <row r="556" spans="1:23" x14ac:dyDescent="0.2">
      <c r="A556" s="36" t="s">
        <v>2542</v>
      </c>
      <c r="B556" s="27" t="s">
        <v>2543</v>
      </c>
      <c r="C556" s="28" t="e">
        <f ca="1">[1]!BexGetData("DP_1","003N8EMH8GTFRCSWKMPXRR8GU","GSON1112031401")</f>
        <v>#NAME?</v>
      </c>
      <c r="D556" s="28" t="e">
        <f ca="1">[1]!BexGetData("DP_1","003N8EMH8GTFRCSWKMPXRRESE","GSON1112031401")</f>
        <v>#NAME?</v>
      </c>
      <c r="E556" s="28" t="e">
        <f ca="1">[1]!BexGetData("DP_1","003N8EMH8GTFRCSWKMPXRRL3Y","GSON1112031401")</f>
        <v>#NAME?</v>
      </c>
      <c r="F556" s="28" t="e">
        <f ca="1">[1]!BexGetData("DP_1","003N8EMH8GTFRCSWKMPXRRRFI","GSON1112031401")</f>
        <v>#NAME?</v>
      </c>
      <c r="G556" s="23" t="e">
        <f ca="1">[1]!BexGetData("DP_1","003N8EMH8GTFRCSWKMPXRRXR2","GSON1112031401")</f>
        <v>#NAME?</v>
      </c>
      <c r="H556" s="23" t="e">
        <f ca="1">[1]!BexGetData("DP_1","003N8EMH8GTFRCSWKMPXRS42M","GSON1112031401")</f>
        <v>#NAME?</v>
      </c>
      <c r="I556" s="28" t="e">
        <f ca="1">[1]!BexGetData("DP_1","003N8EMH8GTFRCSWKMPXRSAE6","GSON1112031401")</f>
        <v>#NAME?</v>
      </c>
      <c r="J556" s="24" t="e">
        <f ca="1">[1]!BexGetData("DP_1","003N8EMH8GTFRCSWKMPXRSGPQ","GSON1112031401")</f>
        <v>#NAME?</v>
      </c>
      <c r="K556" s="28" t="e">
        <f ca="1">[1]!BexGetData("DP_1","003N8EMH8GTFRIVNUPY288VJH","GSON1112031401")</f>
        <v>#NAME?</v>
      </c>
      <c r="L556" s="28" t="e">
        <f ca="1">[1]!BexGetData("DP_1","003N8EMH8GTFRIVNUPY2891V1","GSON1112031401")</f>
        <v>#NAME?</v>
      </c>
      <c r="M556" s="28" t="e">
        <f ca="1">[1]!BexGetData("DP_1","003N8EMH8GTFRIVOG7KG9IQXA","GSON1112031401")</f>
        <v>#NAME?</v>
      </c>
      <c r="N556" s="28" t="e">
        <f ca="1">[1]!BexGetData("DP_1","003N8EMH8GTFRIVOG7KG9IX8U","GSON1112031401")</f>
        <v>#NAME?</v>
      </c>
      <c r="O556" s="28" t="e">
        <f ca="1">[1]!BexGetData("DP_1","003N8EMH8GTFRIVOG7KG9J3KE","GSON1112031401")</f>
        <v>#NAME?</v>
      </c>
      <c r="P556" s="28" t="e">
        <f ca="1">[1]!BexGetData("DP_1","003N8EMH8GTFRIVOG7KG9J9VY","GSON1112031401")</f>
        <v>#NAME?</v>
      </c>
      <c r="Q556" s="24" t="e">
        <f ca="1">[1]!BexGetData("DP_1","00O2TNJGODT0G5Z4TTKYMM5MT","GSON1112031401")</f>
        <v>#NAME?</v>
      </c>
      <c r="R556" s="28" t="e">
        <f ca="1">[1]!BexGetData("DP_1","00O2TNJGODT0G5Z4TTKYMMBYD","GSON1112031401")</f>
        <v>#NAME?</v>
      </c>
      <c r="S556" s="28" t="e">
        <f ca="1">[1]!BexGetData("DP_1","00O2TNJGODT0G5Z4TTKYMMI9X","GSON1112031401")</f>
        <v>#NAME?</v>
      </c>
      <c r="T556" s="28" t="e">
        <f ca="1">[1]!BexGetData("DP_1","00O2TNJGODT0G5Z4TTKYMMOLH","GSON1112031401")</f>
        <v>#NAME?</v>
      </c>
      <c r="U556" s="28" t="e">
        <f ca="1">[1]!BexGetData("DP_1","00O2TNJGODT0G5Z4TTKYMMUX1","GSON1112031401")</f>
        <v>#NAME?</v>
      </c>
      <c r="V556" s="28" t="e">
        <f ca="1">[1]!BexGetData("DP_1","00O2TNJGODT0G5Z4TTKYMN18L","GSON1112031401")</f>
        <v>#NAME?</v>
      </c>
      <c r="W556" s="28" t="e">
        <f ca="1">[1]!BexGetData("DP_1","00O2TNJGODT0G5Z4TTKYMN7K5","GSON1112031401")</f>
        <v>#NAME?</v>
      </c>
    </row>
    <row r="557" spans="1:23" x14ac:dyDescent="0.2">
      <c r="A557" s="36" t="s">
        <v>2544</v>
      </c>
      <c r="B557" s="27" t="s">
        <v>2545</v>
      </c>
      <c r="C557" s="23" t="e">
        <f ca="1">[1]!BexGetData("DP_1","003N8EMH8GTFRCSWKMPXRR8GU","GSON1112031403")</f>
        <v>#NAME?</v>
      </c>
      <c r="D557" s="23" t="e">
        <f ca="1">[1]!BexGetData("DP_1","003N8EMH8GTFRCSWKMPXRRESE","GSON1112031403")</f>
        <v>#NAME?</v>
      </c>
      <c r="E557" s="28" t="e">
        <f ca="1">[1]!BexGetData("DP_1","003N8EMH8GTFRCSWKMPXRRL3Y","GSON1112031403")</f>
        <v>#NAME?</v>
      </c>
      <c r="F557" s="28" t="e">
        <f ca="1">[1]!BexGetData("DP_1","003N8EMH8GTFRCSWKMPXRRRFI","GSON1112031403")</f>
        <v>#NAME?</v>
      </c>
      <c r="G557" s="23" t="e">
        <f ca="1">[1]!BexGetData("DP_1","003N8EMH8GTFRCSWKMPXRRXR2","GSON1112031403")</f>
        <v>#NAME?</v>
      </c>
      <c r="H557" s="23" t="e">
        <f ca="1">[1]!BexGetData("DP_1","003N8EMH8GTFRCSWKMPXRS42M","GSON1112031403")</f>
        <v>#NAME?</v>
      </c>
      <c r="I557" s="28" t="e">
        <f ca="1">[1]!BexGetData("DP_1","003N8EMH8GTFRCSWKMPXRSAE6","GSON1112031403")</f>
        <v>#NAME?</v>
      </c>
      <c r="J557" s="24" t="e">
        <f ca="1">[1]!BexGetData("DP_1","003N8EMH8GTFRCSWKMPXRSGPQ","GSON1112031403")</f>
        <v>#NAME?</v>
      </c>
      <c r="K557" s="28" t="e">
        <f ca="1">[1]!BexGetData("DP_1","003N8EMH8GTFRIVNUPY288VJH","GSON1112031403")</f>
        <v>#NAME?</v>
      </c>
      <c r="L557" s="28" t="e">
        <f ca="1">[1]!BexGetData("DP_1","003N8EMH8GTFRIVNUPY2891V1","GSON1112031403")</f>
        <v>#NAME?</v>
      </c>
      <c r="M557" s="28" t="e">
        <f ca="1">[1]!BexGetData("DP_1","003N8EMH8GTFRIVOG7KG9IQXA","GSON1112031403")</f>
        <v>#NAME?</v>
      </c>
      <c r="N557" s="28" t="e">
        <f ca="1">[1]!BexGetData("DP_1","003N8EMH8GTFRIVOG7KG9IX8U","GSON1112031403")</f>
        <v>#NAME?</v>
      </c>
      <c r="O557" s="28" t="e">
        <f ca="1">[1]!BexGetData("DP_1","003N8EMH8GTFRIVOG7KG9J3KE","GSON1112031403")</f>
        <v>#NAME?</v>
      </c>
      <c r="P557" s="28" t="e">
        <f ca="1">[1]!BexGetData("DP_1","003N8EMH8GTFRIVOG7KG9J9VY","GSON1112031403")</f>
        <v>#NAME?</v>
      </c>
      <c r="Q557" s="24" t="e">
        <f ca="1">[1]!BexGetData("DP_1","00O2TNJGODT0G5Z4TTKYMM5MT","GSON1112031403")</f>
        <v>#NAME?</v>
      </c>
      <c r="R557" s="28" t="e">
        <f ca="1">[1]!BexGetData("DP_1","00O2TNJGODT0G5Z4TTKYMMBYD","GSON1112031403")</f>
        <v>#NAME?</v>
      </c>
      <c r="S557" s="28" t="e">
        <f ca="1">[1]!BexGetData("DP_1","00O2TNJGODT0G5Z4TTKYMMI9X","GSON1112031403")</f>
        <v>#NAME?</v>
      </c>
      <c r="T557" s="28" t="e">
        <f ca="1">[1]!BexGetData("DP_1","00O2TNJGODT0G5Z4TTKYMMOLH","GSON1112031403")</f>
        <v>#NAME?</v>
      </c>
      <c r="U557" s="28" t="e">
        <f ca="1">[1]!BexGetData("DP_1","00O2TNJGODT0G5Z4TTKYMMUX1","GSON1112031403")</f>
        <v>#NAME?</v>
      </c>
      <c r="V557" s="28" t="e">
        <f ca="1">[1]!BexGetData("DP_1","00O2TNJGODT0G5Z4TTKYMN18L","GSON1112031403")</f>
        <v>#NAME?</v>
      </c>
      <c r="W557" s="28" t="e">
        <f ca="1">[1]!BexGetData("DP_1","00O2TNJGODT0G5Z4TTKYMN7K5","GSON1112031403")</f>
        <v>#NAME?</v>
      </c>
    </row>
    <row r="558" spans="1:23" x14ac:dyDescent="0.2">
      <c r="A558" s="36" t="s">
        <v>2546</v>
      </c>
      <c r="B558" s="27" t="s">
        <v>2547</v>
      </c>
      <c r="C558" s="23" t="e">
        <f ca="1">[1]!BexGetData("DP_1","003N8EMH8GTFRCSWKMPXRR8GU","GSON1112031405")</f>
        <v>#NAME?</v>
      </c>
      <c r="D558" s="23" t="e">
        <f ca="1">[1]!BexGetData("DP_1","003N8EMH8GTFRCSWKMPXRRESE","GSON1112031405")</f>
        <v>#NAME?</v>
      </c>
      <c r="E558" s="28" t="e">
        <f ca="1">[1]!BexGetData("DP_1","003N8EMH8GTFRCSWKMPXRRL3Y","GSON1112031405")</f>
        <v>#NAME?</v>
      </c>
      <c r="F558" s="24" t="e">
        <f ca="1">[1]!BexGetData("DP_1","003N8EMH8GTFRCSWKMPXRRRFI","GSON1112031405")</f>
        <v>#NAME?</v>
      </c>
      <c r="G558" s="24" t="e">
        <f ca="1">[1]!BexGetData("DP_1","003N8EMH8GTFRCSWKMPXRRXR2","GSON1112031405")</f>
        <v>#NAME?</v>
      </c>
      <c r="H558" s="24" t="e">
        <f ca="1">[1]!BexGetData("DP_1","003N8EMH8GTFRCSWKMPXRS42M","GSON1112031405")</f>
        <v>#NAME?</v>
      </c>
      <c r="I558" s="24" t="e">
        <f ca="1">[1]!BexGetData("DP_1","003N8EMH8GTFRCSWKMPXRSAE6","GSON1112031405")</f>
        <v>#NAME?</v>
      </c>
      <c r="J558" s="24" t="e">
        <f ca="1">[1]!BexGetData("DP_1","003N8EMH8GTFRCSWKMPXRSGPQ","GSON1112031405")</f>
        <v>#NAME?</v>
      </c>
      <c r="K558" s="28" t="e">
        <f ca="1">[1]!BexGetData("DP_1","003N8EMH8GTFRIVNUPY288VJH","GSON1112031405")</f>
        <v>#NAME?</v>
      </c>
      <c r="L558" s="28" t="e">
        <f ca="1">[1]!BexGetData("DP_1","003N8EMH8GTFRIVNUPY2891V1","GSON1112031405")</f>
        <v>#NAME?</v>
      </c>
      <c r="M558" s="28" t="e">
        <f ca="1">[1]!BexGetData("DP_1","003N8EMH8GTFRIVOG7KG9IQXA","GSON1112031405")</f>
        <v>#NAME?</v>
      </c>
      <c r="N558" s="28" t="e">
        <f ca="1">[1]!BexGetData("DP_1","003N8EMH8GTFRIVOG7KG9IX8U","GSON1112031405")</f>
        <v>#NAME?</v>
      </c>
      <c r="O558" s="28" t="e">
        <f ca="1">[1]!BexGetData("DP_1","003N8EMH8GTFRIVOG7KG9J3KE","GSON1112031405")</f>
        <v>#NAME?</v>
      </c>
      <c r="P558" s="28" t="e">
        <f ca="1">[1]!BexGetData("DP_1","003N8EMH8GTFRIVOG7KG9J9VY","GSON1112031405")</f>
        <v>#NAME?</v>
      </c>
      <c r="Q558" s="24" t="e">
        <f ca="1">[1]!BexGetData("DP_1","00O2TNJGODT0G5Z4TTKYMM5MT","GSON1112031405")</f>
        <v>#NAME?</v>
      </c>
      <c r="R558" s="24" t="e">
        <f ca="1">[1]!BexGetData("DP_1","00O2TNJGODT0G5Z4TTKYMMBYD","GSON1112031405")</f>
        <v>#NAME?</v>
      </c>
      <c r="S558" s="24" t="e">
        <f ca="1">[1]!BexGetData("DP_1","00O2TNJGODT0G5Z4TTKYMMI9X","GSON1112031405")</f>
        <v>#NAME?</v>
      </c>
      <c r="T558" s="24" t="e">
        <f ca="1">[1]!BexGetData("DP_1","00O2TNJGODT0G5Z4TTKYMMOLH","GSON1112031405")</f>
        <v>#NAME?</v>
      </c>
      <c r="U558" s="24" t="e">
        <f ca="1">[1]!BexGetData("DP_1","00O2TNJGODT0G5Z4TTKYMMUX1","GSON1112031405")</f>
        <v>#NAME?</v>
      </c>
      <c r="V558" s="24" t="e">
        <f ca="1">[1]!BexGetData("DP_1","00O2TNJGODT0G5Z4TTKYMN18L","GSON1112031405")</f>
        <v>#NAME?</v>
      </c>
      <c r="W558" s="24" t="e">
        <f ca="1">[1]!BexGetData("DP_1","00O2TNJGODT0G5Z4TTKYMN7K5","GSON1112031405")</f>
        <v>#NAME?</v>
      </c>
    </row>
    <row r="559" spans="1:23" x14ac:dyDescent="0.2">
      <c r="A559" s="36" t="s">
        <v>2548</v>
      </c>
      <c r="B559" s="27" t="s">
        <v>2549</v>
      </c>
      <c r="C559" s="23" t="e">
        <f ca="1">[1]!BexGetData("DP_1","003N8EMH8GTFRCSWKMPXRR8GU","GSON1112031410")</f>
        <v>#NAME?</v>
      </c>
      <c r="D559" s="23" t="e">
        <f ca="1">[1]!BexGetData("DP_1","003N8EMH8GTFRCSWKMPXRRESE","GSON1112031410")</f>
        <v>#NAME?</v>
      </c>
      <c r="E559" s="28" t="e">
        <f ca="1">[1]!BexGetData("DP_1","003N8EMH8GTFRCSWKMPXRRL3Y","GSON1112031410")</f>
        <v>#NAME?</v>
      </c>
      <c r="F559" s="28" t="e">
        <f ca="1">[1]!BexGetData("DP_1","003N8EMH8GTFRCSWKMPXRRRFI","GSON1112031410")</f>
        <v>#NAME?</v>
      </c>
      <c r="G559" s="23" t="e">
        <f ca="1">[1]!BexGetData("DP_1","003N8EMH8GTFRCSWKMPXRRXR2","GSON1112031410")</f>
        <v>#NAME?</v>
      </c>
      <c r="H559" s="23" t="e">
        <f ca="1">[1]!BexGetData("DP_1","003N8EMH8GTFRCSWKMPXRS42M","GSON1112031410")</f>
        <v>#NAME?</v>
      </c>
      <c r="I559" s="28" t="e">
        <f ca="1">[1]!BexGetData("DP_1","003N8EMH8GTFRCSWKMPXRSAE6","GSON1112031410")</f>
        <v>#NAME?</v>
      </c>
      <c r="J559" s="24" t="e">
        <f ca="1">[1]!BexGetData("DP_1","003N8EMH8GTFRCSWKMPXRSGPQ","GSON1112031410")</f>
        <v>#NAME?</v>
      </c>
      <c r="K559" s="28" t="e">
        <f ca="1">[1]!BexGetData("DP_1","003N8EMH8GTFRIVNUPY288VJH","GSON1112031410")</f>
        <v>#NAME?</v>
      </c>
      <c r="L559" s="28" t="e">
        <f ca="1">[1]!BexGetData("DP_1","003N8EMH8GTFRIVNUPY2891V1","GSON1112031410")</f>
        <v>#NAME?</v>
      </c>
      <c r="M559" s="28" t="e">
        <f ca="1">[1]!BexGetData("DP_1","003N8EMH8GTFRIVOG7KG9IQXA","GSON1112031410")</f>
        <v>#NAME?</v>
      </c>
      <c r="N559" s="28" t="e">
        <f ca="1">[1]!BexGetData("DP_1","003N8EMH8GTFRIVOG7KG9IX8U","GSON1112031410")</f>
        <v>#NAME?</v>
      </c>
      <c r="O559" s="28" t="e">
        <f ca="1">[1]!BexGetData("DP_1","003N8EMH8GTFRIVOG7KG9J3KE","GSON1112031410")</f>
        <v>#NAME?</v>
      </c>
      <c r="P559" s="28" t="e">
        <f ca="1">[1]!BexGetData("DP_1","003N8EMH8GTFRIVOG7KG9J9VY","GSON1112031410")</f>
        <v>#NAME?</v>
      </c>
      <c r="Q559" s="24" t="e">
        <f ca="1">[1]!BexGetData("DP_1","00O2TNJGODT0G5Z4TTKYMM5MT","GSON1112031410")</f>
        <v>#NAME?</v>
      </c>
      <c r="R559" s="28" t="e">
        <f ca="1">[1]!BexGetData("DP_1","00O2TNJGODT0G5Z4TTKYMMBYD","GSON1112031410")</f>
        <v>#NAME?</v>
      </c>
      <c r="S559" s="28" t="e">
        <f ca="1">[1]!BexGetData("DP_1","00O2TNJGODT0G5Z4TTKYMMI9X","GSON1112031410")</f>
        <v>#NAME?</v>
      </c>
      <c r="T559" s="28" t="e">
        <f ca="1">[1]!BexGetData("DP_1","00O2TNJGODT0G5Z4TTKYMMOLH","GSON1112031410")</f>
        <v>#NAME?</v>
      </c>
      <c r="U559" s="28" t="e">
        <f ca="1">[1]!BexGetData("DP_1","00O2TNJGODT0G5Z4TTKYMMUX1","GSON1112031410")</f>
        <v>#NAME?</v>
      </c>
      <c r="V559" s="28" t="e">
        <f ca="1">[1]!BexGetData("DP_1","00O2TNJGODT0G5Z4TTKYMN18L","GSON1112031410")</f>
        <v>#NAME?</v>
      </c>
      <c r="W559" s="28" t="e">
        <f ca="1">[1]!BexGetData("DP_1","00O2TNJGODT0G5Z4TTKYMN7K5","GSON1112031410")</f>
        <v>#NAME?</v>
      </c>
    </row>
    <row r="560" spans="1:23" x14ac:dyDescent="0.2">
      <c r="A560" s="36" t="s">
        <v>2550</v>
      </c>
      <c r="B560" s="27" t="s">
        <v>2551</v>
      </c>
      <c r="C560" s="28" t="e">
        <f ca="1">[1]!BexGetData("DP_1","003N8EMH8GTFRCSWKMPXRR8GU","GSON1112031411")</f>
        <v>#NAME?</v>
      </c>
      <c r="D560" s="28" t="e">
        <f ca="1">[1]!BexGetData("DP_1","003N8EMH8GTFRCSWKMPXRRESE","GSON1112031411")</f>
        <v>#NAME?</v>
      </c>
      <c r="E560" s="28" t="e">
        <f ca="1">[1]!BexGetData("DP_1","003N8EMH8GTFRCSWKMPXRRL3Y","GSON1112031411")</f>
        <v>#NAME?</v>
      </c>
      <c r="F560" s="28" t="e">
        <f ca="1">[1]!BexGetData("DP_1","003N8EMH8GTFRCSWKMPXRRRFI","GSON1112031411")</f>
        <v>#NAME?</v>
      </c>
      <c r="G560" s="23" t="e">
        <f ca="1">[1]!BexGetData("DP_1","003N8EMH8GTFRCSWKMPXRRXR2","GSON1112031411")</f>
        <v>#NAME?</v>
      </c>
      <c r="H560" s="23" t="e">
        <f ca="1">[1]!BexGetData("DP_1","003N8EMH8GTFRCSWKMPXRS42M","GSON1112031411")</f>
        <v>#NAME?</v>
      </c>
      <c r="I560" s="28" t="e">
        <f ca="1">[1]!BexGetData("DP_1","003N8EMH8GTFRCSWKMPXRSAE6","GSON1112031411")</f>
        <v>#NAME?</v>
      </c>
      <c r="J560" s="24" t="e">
        <f ca="1">[1]!BexGetData("DP_1","003N8EMH8GTFRCSWKMPXRSGPQ","GSON1112031411")</f>
        <v>#NAME?</v>
      </c>
      <c r="K560" s="28" t="e">
        <f ca="1">[1]!BexGetData("DP_1","003N8EMH8GTFRIVNUPY288VJH","GSON1112031411")</f>
        <v>#NAME?</v>
      </c>
      <c r="L560" s="28" t="e">
        <f ca="1">[1]!BexGetData("DP_1","003N8EMH8GTFRIVNUPY2891V1","GSON1112031411")</f>
        <v>#NAME?</v>
      </c>
      <c r="M560" s="28" t="e">
        <f ca="1">[1]!BexGetData("DP_1","003N8EMH8GTFRIVOG7KG9IQXA","GSON1112031411")</f>
        <v>#NAME?</v>
      </c>
      <c r="N560" s="28" t="e">
        <f ca="1">[1]!BexGetData("DP_1","003N8EMH8GTFRIVOG7KG9IX8U","GSON1112031411")</f>
        <v>#NAME?</v>
      </c>
      <c r="O560" s="28" t="e">
        <f ca="1">[1]!BexGetData("DP_1","003N8EMH8GTFRIVOG7KG9J3KE","GSON1112031411")</f>
        <v>#NAME?</v>
      </c>
      <c r="P560" s="28" t="e">
        <f ca="1">[1]!BexGetData("DP_1","003N8EMH8GTFRIVOG7KG9J9VY","GSON1112031411")</f>
        <v>#NAME?</v>
      </c>
      <c r="Q560" s="24" t="e">
        <f ca="1">[1]!BexGetData("DP_1","00O2TNJGODT0G5Z4TTKYMM5MT","GSON1112031411")</f>
        <v>#NAME?</v>
      </c>
      <c r="R560" s="28" t="e">
        <f ca="1">[1]!BexGetData("DP_1","00O2TNJGODT0G5Z4TTKYMMBYD","GSON1112031411")</f>
        <v>#NAME?</v>
      </c>
      <c r="S560" s="28" t="e">
        <f ca="1">[1]!BexGetData("DP_1","00O2TNJGODT0G5Z4TTKYMMI9X","GSON1112031411")</f>
        <v>#NAME?</v>
      </c>
      <c r="T560" s="28" t="e">
        <f ca="1">[1]!BexGetData("DP_1","00O2TNJGODT0G5Z4TTKYMMOLH","GSON1112031411")</f>
        <v>#NAME?</v>
      </c>
      <c r="U560" s="28" t="e">
        <f ca="1">[1]!BexGetData("DP_1","00O2TNJGODT0G5Z4TTKYMMUX1","GSON1112031411")</f>
        <v>#NAME?</v>
      </c>
      <c r="V560" s="28" t="e">
        <f ca="1">[1]!BexGetData("DP_1","00O2TNJGODT0G5Z4TTKYMN18L","GSON1112031411")</f>
        <v>#NAME?</v>
      </c>
      <c r="W560" s="28" t="e">
        <f ca="1">[1]!BexGetData("DP_1","00O2TNJGODT0G5Z4TTKYMN7K5","GSON1112031411")</f>
        <v>#NAME?</v>
      </c>
    </row>
    <row r="561" spans="1:23" x14ac:dyDescent="0.2">
      <c r="A561" s="36" t="s">
        <v>2552</v>
      </c>
      <c r="B561" s="27" t="s">
        <v>2553</v>
      </c>
      <c r="C561" s="23" t="e">
        <f ca="1">[1]!BexGetData("DP_1","003N8EMH8GTFRCSWKMPXRR8GU","GSON1112031413")</f>
        <v>#NAME?</v>
      </c>
      <c r="D561" s="23" t="e">
        <f ca="1">[1]!BexGetData("DP_1","003N8EMH8GTFRCSWKMPXRRESE","GSON1112031413")</f>
        <v>#NAME?</v>
      </c>
      <c r="E561" s="28" t="e">
        <f ca="1">[1]!BexGetData("DP_1","003N8EMH8GTFRCSWKMPXRRL3Y","GSON1112031413")</f>
        <v>#NAME?</v>
      </c>
      <c r="F561" s="28" t="e">
        <f ca="1">[1]!BexGetData("DP_1","003N8EMH8GTFRCSWKMPXRRRFI","GSON1112031413")</f>
        <v>#NAME?</v>
      </c>
      <c r="G561" s="23" t="e">
        <f ca="1">[1]!BexGetData("DP_1","003N8EMH8GTFRCSWKMPXRRXR2","GSON1112031413")</f>
        <v>#NAME?</v>
      </c>
      <c r="H561" s="23" t="e">
        <f ca="1">[1]!BexGetData("DP_1","003N8EMH8GTFRCSWKMPXRS42M","GSON1112031413")</f>
        <v>#NAME?</v>
      </c>
      <c r="I561" s="28" t="e">
        <f ca="1">[1]!BexGetData("DP_1","003N8EMH8GTFRCSWKMPXRSAE6","GSON1112031413")</f>
        <v>#NAME?</v>
      </c>
      <c r="J561" s="24" t="e">
        <f ca="1">[1]!BexGetData("DP_1","003N8EMH8GTFRCSWKMPXRSGPQ","GSON1112031413")</f>
        <v>#NAME?</v>
      </c>
      <c r="K561" s="28" t="e">
        <f ca="1">[1]!BexGetData("DP_1","003N8EMH8GTFRIVNUPY288VJH","GSON1112031413")</f>
        <v>#NAME?</v>
      </c>
      <c r="L561" s="28" t="e">
        <f ca="1">[1]!BexGetData("DP_1","003N8EMH8GTFRIVNUPY2891V1","GSON1112031413")</f>
        <v>#NAME?</v>
      </c>
      <c r="M561" s="28" t="e">
        <f ca="1">[1]!BexGetData("DP_1","003N8EMH8GTFRIVOG7KG9IQXA","GSON1112031413")</f>
        <v>#NAME?</v>
      </c>
      <c r="N561" s="28" t="e">
        <f ca="1">[1]!BexGetData("DP_1","003N8EMH8GTFRIVOG7KG9IX8U","GSON1112031413")</f>
        <v>#NAME?</v>
      </c>
      <c r="O561" s="28" t="e">
        <f ca="1">[1]!BexGetData("DP_1","003N8EMH8GTFRIVOG7KG9J3KE","GSON1112031413")</f>
        <v>#NAME?</v>
      </c>
      <c r="P561" s="28" t="e">
        <f ca="1">[1]!BexGetData("DP_1","003N8EMH8GTFRIVOG7KG9J9VY","GSON1112031413")</f>
        <v>#NAME?</v>
      </c>
      <c r="Q561" s="24" t="e">
        <f ca="1">[1]!BexGetData("DP_1","00O2TNJGODT0G5Z4TTKYMM5MT","GSON1112031413")</f>
        <v>#NAME?</v>
      </c>
      <c r="R561" s="28" t="e">
        <f ca="1">[1]!BexGetData("DP_1","00O2TNJGODT0G5Z4TTKYMMBYD","GSON1112031413")</f>
        <v>#NAME?</v>
      </c>
      <c r="S561" s="28" t="e">
        <f ca="1">[1]!BexGetData("DP_1","00O2TNJGODT0G5Z4TTKYMMI9X","GSON1112031413")</f>
        <v>#NAME?</v>
      </c>
      <c r="T561" s="28" t="e">
        <f ca="1">[1]!BexGetData("DP_1","00O2TNJGODT0G5Z4TTKYMMOLH","GSON1112031413")</f>
        <v>#NAME?</v>
      </c>
      <c r="U561" s="28" t="e">
        <f ca="1">[1]!BexGetData("DP_1","00O2TNJGODT0G5Z4TTKYMMUX1","GSON1112031413")</f>
        <v>#NAME?</v>
      </c>
      <c r="V561" s="28" t="e">
        <f ca="1">[1]!BexGetData("DP_1","00O2TNJGODT0G5Z4TTKYMN18L","GSON1112031413")</f>
        <v>#NAME?</v>
      </c>
      <c r="W561" s="28" t="e">
        <f ca="1">[1]!BexGetData("DP_1","00O2TNJGODT0G5Z4TTKYMN7K5","GSON1112031413")</f>
        <v>#NAME?</v>
      </c>
    </row>
    <row r="562" spans="1:23" x14ac:dyDescent="0.2">
      <c r="A562" s="36" t="s">
        <v>2554</v>
      </c>
      <c r="B562" s="27" t="s">
        <v>2555</v>
      </c>
      <c r="C562" s="23" t="e">
        <f ca="1">[1]!BexGetData("DP_1","003N8EMH8GTFRCSWKMPXRR8GU","GSON1112031415")</f>
        <v>#NAME?</v>
      </c>
      <c r="D562" s="23" t="e">
        <f ca="1">[1]!BexGetData("DP_1","003N8EMH8GTFRCSWKMPXRRESE","GSON1112031415")</f>
        <v>#NAME?</v>
      </c>
      <c r="E562" s="28" t="e">
        <f ca="1">[1]!BexGetData("DP_1","003N8EMH8GTFRCSWKMPXRRL3Y","GSON1112031415")</f>
        <v>#NAME?</v>
      </c>
      <c r="F562" s="24" t="e">
        <f ca="1">[1]!BexGetData("DP_1","003N8EMH8GTFRCSWKMPXRRRFI","GSON1112031415")</f>
        <v>#NAME?</v>
      </c>
      <c r="G562" s="24" t="e">
        <f ca="1">[1]!BexGetData("DP_1","003N8EMH8GTFRCSWKMPXRRXR2","GSON1112031415")</f>
        <v>#NAME?</v>
      </c>
      <c r="H562" s="24" t="e">
        <f ca="1">[1]!BexGetData("DP_1","003N8EMH8GTFRCSWKMPXRS42M","GSON1112031415")</f>
        <v>#NAME?</v>
      </c>
      <c r="I562" s="24" t="e">
        <f ca="1">[1]!BexGetData("DP_1","003N8EMH8GTFRCSWKMPXRSAE6","GSON1112031415")</f>
        <v>#NAME?</v>
      </c>
      <c r="J562" s="24" t="e">
        <f ca="1">[1]!BexGetData("DP_1","003N8EMH8GTFRCSWKMPXRSGPQ","GSON1112031415")</f>
        <v>#NAME?</v>
      </c>
      <c r="K562" s="28" t="e">
        <f ca="1">[1]!BexGetData("DP_1","003N8EMH8GTFRIVNUPY288VJH","GSON1112031415")</f>
        <v>#NAME?</v>
      </c>
      <c r="L562" s="28" t="e">
        <f ca="1">[1]!BexGetData("DP_1","003N8EMH8GTFRIVNUPY2891V1","GSON1112031415")</f>
        <v>#NAME?</v>
      </c>
      <c r="M562" s="28" t="e">
        <f ca="1">[1]!BexGetData("DP_1","003N8EMH8GTFRIVOG7KG9IQXA","GSON1112031415")</f>
        <v>#NAME?</v>
      </c>
      <c r="N562" s="28" t="e">
        <f ca="1">[1]!BexGetData("DP_1","003N8EMH8GTFRIVOG7KG9IX8U","GSON1112031415")</f>
        <v>#NAME?</v>
      </c>
      <c r="O562" s="28" t="e">
        <f ca="1">[1]!BexGetData("DP_1","003N8EMH8GTFRIVOG7KG9J3KE","GSON1112031415")</f>
        <v>#NAME?</v>
      </c>
      <c r="P562" s="28" t="e">
        <f ca="1">[1]!BexGetData("DP_1","003N8EMH8GTFRIVOG7KG9J9VY","GSON1112031415")</f>
        <v>#NAME?</v>
      </c>
      <c r="Q562" s="24" t="e">
        <f ca="1">[1]!BexGetData("DP_1","00O2TNJGODT0G5Z4TTKYMM5MT","GSON1112031415")</f>
        <v>#NAME?</v>
      </c>
      <c r="R562" s="24" t="e">
        <f ca="1">[1]!BexGetData("DP_1","00O2TNJGODT0G5Z4TTKYMMBYD","GSON1112031415")</f>
        <v>#NAME?</v>
      </c>
      <c r="S562" s="24" t="e">
        <f ca="1">[1]!BexGetData("DP_1","00O2TNJGODT0G5Z4TTKYMMI9X","GSON1112031415")</f>
        <v>#NAME?</v>
      </c>
      <c r="T562" s="24" t="e">
        <f ca="1">[1]!BexGetData("DP_1","00O2TNJGODT0G5Z4TTKYMMOLH","GSON1112031415")</f>
        <v>#NAME?</v>
      </c>
      <c r="U562" s="24" t="e">
        <f ca="1">[1]!BexGetData("DP_1","00O2TNJGODT0G5Z4TTKYMMUX1","GSON1112031415")</f>
        <v>#NAME?</v>
      </c>
      <c r="V562" s="24" t="e">
        <f ca="1">[1]!BexGetData("DP_1","00O2TNJGODT0G5Z4TTKYMN18L","GSON1112031415")</f>
        <v>#NAME?</v>
      </c>
      <c r="W562" s="24" t="e">
        <f ca="1">[1]!BexGetData("DP_1","00O2TNJGODT0G5Z4TTKYMN7K5","GSON1112031415")</f>
        <v>#NAME?</v>
      </c>
    </row>
    <row r="563" spans="1:23" x14ac:dyDescent="0.2">
      <c r="A563" s="36" t="s">
        <v>2556</v>
      </c>
      <c r="B563" s="27" t="s">
        <v>2557</v>
      </c>
      <c r="C563" s="23" t="e">
        <f ca="1">[1]!BexGetData("DP_1","003N8EMH8GTFRCSWKMPXRR8GU","GSON1112031430")</f>
        <v>#NAME?</v>
      </c>
      <c r="D563" s="23" t="e">
        <f ca="1">[1]!BexGetData("DP_1","003N8EMH8GTFRCSWKMPXRRESE","GSON1112031430")</f>
        <v>#NAME?</v>
      </c>
      <c r="E563" s="28" t="e">
        <f ca="1">[1]!BexGetData("DP_1","003N8EMH8GTFRCSWKMPXRRL3Y","GSON1112031430")</f>
        <v>#NAME?</v>
      </c>
      <c r="F563" s="28" t="e">
        <f ca="1">[1]!BexGetData("DP_1","003N8EMH8GTFRCSWKMPXRRRFI","GSON1112031430")</f>
        <v>#NAME?</v>
      </c>
      <c r="G563" s="23" t="e">
        <f ca="1">[1]!BexGetData("DP_1","003N8EMH8GTFRCSWKMPXRRXR2","GSON1112031430")</f>
        <v>#NAME?</v>
      </c>
      <c r="H563" s="23" t="e">
        <f ca="1">[1]!BexGetData("DP_1","003N8EMH8GTFRCSWKMPXRS42M","GSON1112031430")</f>
        <v>#NAME?</v>
      </c>
      <c r="I563" s="28" t="e">
        <f ca="1">[1]!BexGetData("DP_1","003N8EMH8GTFRCSWKMPXRSAE6","GSON1112031430")</f>
        <v>#NAME?</v>
      </c>
      <c r="J563" s="24" t="e">
        <f ca="1">[1]!BexGetData("DP_1","003N8EMH8GTFRCSWKMPXRSGPQ","GSON1112031430")</f>
        <v>#NAME?</v>
      </c>
      <c r="K563" s="28" t="e">
        <f ca="1">[1]!BexGetData("DP_1","003N8EMH8GTFRIVNUPY288VJH","GSON1112031430")</f>
        <v>#NAME?</v>
      </c>
      <c r="L563" s="28" t="e">
        <f ca="1">[1]!BexGetData("DP_1","003N8EMH8GTFRIVNUPY2891V1","GSON1112031430")</f>
        <v>#NAME?</v>
      </c>
      <c r="M563" s="28" t="e">
        <f ca="1">[1]!BexGetData("DP_1","003N8EMH8GTFRIVOG7KG9IQXA","GSON1112031430")</f>
        <v>#NAME?</v>
      </c>
      <c r="N563" s="28" t="e">
        <f ca="1">[1]!BexGetData("DP_1","003N8EMH8GTFRIVOG7KG9IX8U","GSON1112031430")</f>
        <v>#NAME?</v>
      </c>
      <c r="O563" s="28" t="e">
        <f ca="1">[1]!BexGetData("DP_1","003N8EMH8GTFRIVOG7KG9J3KE","GSON1112031430")</f>
        <v>#NAME?</v>
      </c>
      <c r="P563" s="28" t="e">
        <f ca="1">[1]!BexGetData("DP_1","003N8EMH8GTFRIVOG7KG9J9VY","GSON1112031430")</f>
        <v>#NAME?</v>
      </c>
      <c r="Q563" s="24" t="e">
        <f ca="1">[1]!BexGetData("DP_1","00O2TNJGODT0G5Z4TTKYMM5MT","GSON1112031430")</f>
        <v>#NAME?</v>
      </c>
      <c r="R563" s="28" t="e">
        <f ca="1">[1]!BexGetData("DP_1","00O2TNJGODT0G5Z4TTKYMMBYD","GSON1112031430")</f>
        <v>#NAME?</v>
      </c>
      <c r="S563" s="28" t="e">
        <f ca="1">[1]!BexGetData("DP_1","00O2TNJGODT0G5Z4TTKYMMI9X","GSON1112031430")</f>
        <v>#NAME?</v>
      </c>
      <c r="T563" s="28" t="e">
        <f ca="1">[1]!BexGetData("DP_1","00O2TNJGODT0G5Z4TTKYMMOLH","GSON1112031430")</f>
        <v>#NAME?</v>
      </c>
      <c r="U563" s="28" t="e">
        <f ca="1">[1]!BexGetData("DP_1","00O2TNJGODT0G5Z4TTKYMMUX1","GSON1112031430")</f>
        <v>#NAME?</v>
      </c>
      <c r="V563" s="28" t="e">
        <f ca="1">[1]!BexGetData("DP_1","00O2TNJGODT0G5Z4TTKYMN18L","GSON1112031430")</f>
        <v>#NAME?</v>
      </c>
      <c r="W563" s="28" t="e">
        <f ca="1">[1]!BexGetData("DP_1","00O2TNJGODT0G5Z4TTKYMN7K5","GSON1112031430")</f>
        <v>#NAME?</v>
      </c>
    </row>
    <row r="564" spans="1:23" x14ac:dyDescent="0.2">
      <c r="A564" s="36" t="s">
        <v>2558</v>
      </c>
      <c r="B564" s="27" t="s">
        <v>2559</v>
      </c>
      <c r="C564" s="28" t="e">
        <f ca="1">[1]!BexGetData("DP_1","003N8EMH8GTFRCSWKMPXRR8GU","GSON1112031431")</f>
        <v>#NAME?</v>
      </c>
      <c r="D564" s="28" t="e">
        <f ca="1">[1]!BexGetData("DP_1","003N8EMH8GTFRCSWKMPXRRESE","GSON1112031431")</f>
        <v>#NAME?</v>
      </c>
      <c r="E564" s="28" t="e">
        <f ca="1">[1]!BexGetData("DP_1","003N8EMH8GTFRCSWKMPXRRL3Y","GSON1112031431")</f>
        <v>#NAME?</v>
      </c>
      <c r="F564" s="28" t="e">
        <f ca="1">[1]!BexGetData("DP_1","003N8EMH8GTFRCSWKMPXRRRFI","GSON1112031431")</f>
        <v>#NAME?</v>
      </c>
      <c r="G564" s="23" t="e">
        <f ca="1">[1]!BexGetData("DP_1","003N8EMH8GTFRCSWKMPXRRXR2","GSON1112031431")</f>
        <v>#NAME?</v>
      </c>
      <c r="H564" s="23" t="e">
        <f ca="1">[1]!BexGetData("DP_1","003N8EMH8GTFRCSWKMPXRS42M","GSON1112031431")</f>
        <v>#NAME?</v>
      </c>
      <c r="I564" s="28" t="e">
        <f ca="1">[1]!BexGetData("DP_1","003N8EMH8GTFRCSWKMPXRSAE6","GSON1112031431")</f>
        <v>#NAME?</v>
      </c>
      <c r="J564" s="24" t="e">
        <f ca="1">[1]!BexGetData("DP_1","003N8EMH8GTFRCSWKMPXRSGPQ","GSON1112031431")</f>
        <v>#NAME?</v>
      </c>
      <c r="K564" s="28" t="e">
        <f ca="1">[1]!BexGetData("DP_1","003N8EMH8GTFRIVNUPY288VJH","GSON1112031431")</f>
        <v>#NAME?</v>
      </c>
      <c r="L564" s="28" t="e">
        <f ca="1">[1]!BexGetData("DP_1","003N8EMH8GTFRIVNUPY2891V1","GSON1112031431")</f>
        <v>#NAME?</v>
      </c>
      <c r="M564" s="28" t="e">
        <f ca="1">[1]!BexGetData("DP_1","003N8EMH8GTFRIVOG7KG9IQXA","GSON1112031431")</f>
        <v>#NAME?</v>
      </c>
      <c r="N564" s="28" t="e">
        <f ca="1">[1]!BexGetData("DP_1","003N8EMH8GTFRIVOG7KG9IX8U","GSON1112031431")</f>
        <v>#NAME?</v>
      </c>
      <c r="O564" s="28" t="e">
        <f ca="1">[1]!BexGetData("DP_1","003N8EMH8GTFRIVOG7KG9J3KE","GSON1112031431")</f>
        <v>#NAME?</v>
      </c>
      <c r="P564" s="28" t="e">
        <f ca="1">[1]!BexGetData("DP_1","003N8EMH8GTFRIVOG7KG9J9VY","GSON1112031431")</f>
        <v>#NAME?</v>
      </c>
      <c r="Q564" s="24" t="e">
        <f ca="1">[1]!BexGetData("DP_1","00O2TNJGODT0G5Z4TTKYMM5MT","GSON1112031431")</f>
        <v>#NAME?</v>
      </c>
      <c r="R564" s="28" t="e">
        <f ca="1">[1]!BexGetData("DP_1","00O2TNJGODT0G5Z4TTKYMMBYD","GSON1112031431")</f>
        <v>#NAME?</v>
      </c>
      <c r="S564" s="28" t="e">
        <f ca="1">[1]!BexGetData("DP_1","00O2TNJGODT0G5Z4TTKYMMI9X","GSON1112031431")</f>
        <v>#NAME?</v>
      </c>
      <c r="T564" s="28" t="e">
        <f ca="1">[1]!BexGetData("DP_1","00O2TNJGODT0G5Z4TTKYMMOLH","GSON1112031431")</f>
        <v>#NAME?</v>
      </c>
      <c r="U564" s="28" t="e">
        <f ca="1">[1]!BexGetData("DP_1","00O2TNJGODT0G5Z4TTKYMMUX1","GSON1112031431")</f>
        <v>#NAME?</v>
      </c>
      <c r="V564" s="28" t="e">
        <f ca="1">[1]!BexGetData("DP_1","00O2TNJGODT0G5Z4TTKYMN18L","GSON1112031431")</f>
        <v>#NAME?</v>
      </c>
      <c r="W564" s="28" t="e">
        <f ca="1">[1]!BexGetData("DP_1","00O2TNJGODT0G5Z4TTKYMN7K5","GSON1112031431")</f>
        <v>#NAME?</v>
      </c>
    </row>
    <row r="565" spans="1:23" x14ac:dyDescent="0.2">
      <c r="A565" s="36" t="s">
        <v>2560</v>
      </c>
      <c r="B565" s="27" t="s">
        <v>2561</v>
      </c>
      <c r="C565" s="23" t="e">
        <f ca="1">[1]!BexGetData("DP_1","003N8EMH8GTFRCSWKMPXRR8GU","GSON1112031433")</f>
        <v>#NAME?</v>
      </c>
      <c r="D565" s="23" t="e">
        <f ca="1">[1]!BexGetData("DP_1","003N8EMH8GTFRCSWKMPXRRESE","GSON1112031433")</f>
        <v>#NAME?</v>
      </c>
      <c r="E565" s="28" t="e">
        <f ca="1">[1]!BexGetData("DP_1","003N8EMH8GTFRCSWKMPXRRL3Y","GSON1112031433")</f>
        <v>#NAME?</v>
      </c>
      <c r="F565" s="28" t="e">
        <f ca="1">[1]!BexGetData("DP_1","003N8EMH8GTFRCSWKMPXRRRFI","GSON1112031433")</f>
        <v>#NAME?</v>
      </c>
      <c r="G565" s="23" t="e">
        <f ca="1">[1]!BexGetData("DP_1","003N8EMH8GTFRCSWKMPXRRXR2","GSON1112031433")</f>
        <v>#NAME?</v>
      </c>
      <c r="H565" s="23" t="e">
        <f ca="1">[1]!BexGetData("DP_1","003N8EMH8GTFRCSWKMPXRS42M","GSON1112031433")</f>
        <v>#NAME?</v>
      </c>
      <c r="I565" s="28" t="e">
        <f ca="1">[1]!BexGetData("DP_1","003N8EMH8GTFRCSWKMPXRSAE6","GSON1112031433")</f>
        <v>#NAME?</v>
      </c>
      <c r="J565" s="24" t="e">
        <f ca="1">[1]!BexGetData("DP_1","003N8EMH8GTFRCSWKMPXRSGPQ","GSON1112031433")</f>
        <v>#NAME?</v>
      </c>
      <c r="K565" s="28" t="e">
        <f ca="1">[1]!BexGetData("DP_1","003N8EMH8GTFRIVNUPY288VJH","GSON1112031433")</f>
        <v>#NAME?</v>
      </c>
      <c r="L565" s="28" t="e">
        <f ca="1">[1]!BexGetData("DP_1","003N8EMH8GTFRIVNUPY2891V1","GSON1112031433")</f>
        <v>#NAME?</v>
      </c>
      <c r="M565" s="28" t="e">
        <f ca="1">[1]!BexGetData("DP_1","003N8EMH8GTFRIVOG7KG9IQXA","GSON1112031433")</f>
        <v>#NAME?</v>
      </c>
      <c r="N565" s="28" t="e">
        <f ca="1">[1]!BexGetData("DP_1","003N8EMH8GTFRIVOG7KG9IX8U","GSON1112031433")</f>
        <v>#NAME?</v>
      </c>
      <c r="O565" s="28" t="e">
        <f ca="1">[1]!BexGetData("DP_1","003N8EMH8GTFRIVOG7KG9J3KE","GSON1112031433")</f>
        <v>#NAME?</v>
      </c>
      <c r="P565" s="28" t="e">
        <f ca="1">[1]!BexGetData("DP_1","003N8EMH8GTFRIVOG7KG9J9VY","GSON1112031433")</f>
        <v>#NAME?</v>
      </c>
      <c r="Q565" s="24" t="e">
        <f ca="1">[1]!BexGetData("DP_1","00O2TNJGODT0G5Z4TTKYMM5MT","GSON1112031433")</f>
        <v>#NAME?</v>
      </c>
      <c r="R565" s="28" t="e">
        <f ca="1">[1]!BexGetData("DP_1","00O2TNJGODT0G5Z4TTKYMMBYD","GSON1112031433")</f>
        <v>#NAME?</v>
      </c>
      <c r="S565" s="28" t="e">
        <f ca="1">[1]!BexGetData("DP_1","00O2TNJGODT0G5Z4TTKYMMI9X","GSON1112031433")</f>
        <v>#NAME?</v>
      </c>
      <c r="T565" s="28" t="e">
        <f ca="1">[1]!BexGetData("DP_1","00O2TNJGODT0G5Z4TTKYMMOLH","GSON1112031433")</f>
        <v>#NAME?</v>
      </c>
      <c r="U565" s="28" t="e">
        <f ca="1">[1]!BexGetData("DP_1","00O2TNJGODT0G5Z4TTKYMMUX1","GSON1112031433")</f>
        <v>#NAME?</v>
      </c>
      <c r="V565" s="28" t="e">
        <f ca="1">[1]!BexGetData("DP_1","00O2TNJGODT0G5Z4TTKYMN18L","GSON1112031433")</f>
        <v>#NAME?</v>
      </c>
      <c r="W565" s="28" t="e">
        <f ca="1">[1]!BexGetData("DP_1","00O2TNJGODT0G5Z4TTKYMN7K5","GSON1112031433")</f>
        <v>#NAME?</v>
      </c>
    </row>
    <row r="566" spans="1:23" x14ac:dyDescent="0.2">
      <c r="A566" s="36" t="s">
        <v>2562</v>
      </c>
      <c r="B566" s="27" t="s">
        <v>2563</v>
      </c>
      <c r="C566" s="23" t="e">
        <f ca="1">[1]!BexGetData("DP_1","003N8EMH8GTFRCSWKMPXRR8GU","GSON1112031435")</f>
        <v>#NAME?</v>
      </c>
      <c r="D566" s="23" t="e">
        <f ca="1">[1]!BexGetData("DP_1","003N8EMH8GTFRCSWKMPXRRESE","GSON1112031435")</f>
        <v>#NAME?</v>
      </c>
      <c r="E566" s="28" t="e">
        <f ca="1">[1]!BexGetData("DP_1","003N8EMH8GTFRCSWKMPXRRL3Y","GSON1112031435")</f>
        <v>#NAME?</v>
      </c>
      <c r="F566" s="24" t="e">
        <f ca="1">[1]!BexGetData("DP_1","003N8EMH8GTFRCSWKMPXRRRFI","GSON1112031435")</f>
        <v>#NAME?</v>
      </c>
      <c r="G566" s="24" t="e">
        <f ca="1">[1]!BexGetData("DP_1","003N8EMH8GTFRCSWKMPXRRXR2","GSON1112031435")</f>
        <v>#NAME?</v>
      </c>
      <c r="H566" s="24" t="e">
        <f ca="1">[1]!BexGetData("DP_1","003N8EMH8GTFRCSWKMPXRS42M","GSON1112031435")</f>
        <v>#NAME?</v>
      </c>
      <c r="I566" s="24" t="e">
        <f ca="1">[1]!BexGetData("DP_1","003N8EMH8GTFRCSWKMPXRSAE6","GSON1112031435")</f>
        <v>#NAME?</v>
      </c>
      <c r="J566" s="24" t="e">
        <f ca="1">[1]!BexGetData("DP_1","003N8EMH8GTFRCSWKMPXRSGPQ","GSON1112031435")</f>
        <v>#NAME?</v>
      </c>
      <c r="K566" s="28" t="e">
        <f ca="1">[1]!BexGetData("DP_1","003N8EMH8GTFRIVNUPY288VJH","GSON1112031435")</f>
        <v>#NAME?</v>
      </c>
      <c r="L566" s="28" t="e">
        <f ca="1">[1]!BexGetData("DP_1","003N8EMH8GTFRIVNUPY2891V1","GSON1112031435")</f>
        <v>#NAME?</v>
      </c>
      <c r="M566" s="28" t="e">
        <f ca="1">[1]!BexGetData("DP_1","003N8EMH8GTFRIVOG7KG9IQXA","GSON1112031435")</f>
        <v>#NAME?</v>
      </c>
      <c r="N566" s="28" t="e">
        <f ca="1">[1]!BexGetData("DP_1","003N8EMH8GTFRIVOG7KG9IX8U","GSON1112031435")</f>
        <v>#NAME?</v>
      </c>
      <c r="O566" s="28" t="e">
        <f ca="1">[1]!BexGetData("DP_1","003N8EMH8GTFRIVOG7KG9J3KE","GSON1112031435")</f>
        <v>#NAME?</v>
      </c>
      <c r="P566" s="28" t="e">
        <f ca="1">[1]!BexGetData("DP_1","003N8EMH8GTFRIVOG7KG9J9VY","GSON1112031435")</f>
        <v>#NAME?</v>
      </c>
      <c r="Q566" s="24" t="e">
        <f ca="1">[1]!BexGetData("DP_1","00O2TNJGODT0G5Z4TTKYMM5MT","GSON1112031435")</f>
        <v>#NAME?</v>
      </c>
      <c r="R566" s="24" t="e">
        <f ca="1">[1]!BexGetData("DP_1","00O2TNJGODT0G5Z4TTKYMMBYD","GSON1112031435")</f>
        <v>#NAME?</v>
      </c>
      <c r="S566" s="24" t="e">
        <f ca="1">[1]!BexGetData("DP_1","00O2TNJGODT0G5Z4TTKYMMI9X","GSON1112031435")</f>
        <v>#NAME?</v>
      </c>
      <c r="T566" s="24" t="e">
        <f ca="1">[1]!BexGetData("DP_1","00O2TNJGODT0G5Z4TTKYMMOLH","GSON1112031435")</f>
        <v>#NAME?</v>
      </c>
      <c r="U566" s="24" t="e">
        <f ca="1">[1]!BexGetData("DP_1","00O2TNJGODT0G5Z4TTKYMMUX1","GSON1112031435")</f>
        <v>#NAME?</v>
      </c>
      <c r="V566" s="24" t="e">
        <f ca="1">[1]!BexGetData("DP_1","00O2TNJGODT0G5Z4TTKYMN18L","GSON1112031435")</f>
        <v>#NAME?</v>
      </c>
      <c r="W566" s="24" t="e">
        <f ca="1">[1]!BexGetData("DP_1","00O2TNJGODT0G5Z4TTKYMN7K5","GSON1112031435")</f>
        <v>#NAME?</v>
      </c>
    </row>
    <row r="567" spans="1:23" x14ac:dyDescent="0.2">
      <c r="A567" s="36" t="s">
        <v>2564</v>
      </c>
      <c r="B567" s="27" t="s">
        <v>2565</v>
      </c>
      <c r="C567" s="23" t="e">
        <f ca="1">[1]!BexGetData("DP_1","003N8EMH8GTFRCSWKMPXRR8GU","GSON1112031440")</f>
        <v>#NAME?</v>
      </c>
      <c r="D567" s="23" t="e">
        <f ca="1">[1]!BexGetData("DP_1","003N8EMH8GTFRCSWKMPXRRESE","GSON1112031440")</f>
        <v>#NAME?</v>
      </c>
      <c r="E567" s="28" t="e">
        <f ca="1">[1]!BexGetData("DP_1","003N8EMH8GTFRCSWKMPXRRL3Y","GSON1112031440")</f>
        <v>#NAME?</v>
      </c>
      <c r="F567" s="28" t="e">
        <f ca="1">[1]!BexGetData("DP_1","003N8EMH8GTFRCSWKMPXRRRFI","GSON1112031440")</f>
        <v>#NAME?</v>
      </c>
      <c r="G567" s="23" t="e">
        <f ca="1">[1]!BexGetData("DP_1","003N8EMH8GTFRCSWKMPXRRXR2","GSON1112031440")</f>
        <v>#NAME?</v>
      </c>
      <c r="H567" s="23" t="e">
        <f ca="1">[1]!BexGetData("DP_1","003N8EMH8GTFRCSWKMPXRS42M","GSON1112031440")</f>
        <v>#NAME?</v>
      </c>
      <c r="I567" s="28" t="e">
        <f ca="1">[1]!BexGetData("DP_1","003N8EMH8GTFRCSWKMPXRSAE6","GSON1112031440")</f>
        <v>#NAME?</v>
      </c>
      <c r="J567" s="24" t="e">
        <f ca="1">[1]!BexGetData("DP_1","003N8EMH8GTFRCSWKMPXRSGPQ","GSON1112031440")</f>
        <v>#NAME?</v>
      </c>
      <c r="K567" s="28" t="e">
        <f ca="1">[1]!BexGetData("DP_1","003N8EMH8GTFRIVNUPY288VJH","GSON1112031440")</f>
        <v>#NAME?</v>
      </c>
      <c r="L567" s="28" t="e">
        <f ca="1">[1]!BexGetData("DP_1","003N8EMH8GTFRIVNUPY2891V1","GSON1112031440")</f>
        <v>#NAME?</v>
      </c>
      <c r="M567" s="28" t="e">
        <f ca="1">[1]!BexGetData("DP_1","003N8EMH8GTFRIVOG7KG9IQXA","GSON1112031440")</f>
        <v>#NAME?</v>
      </c>
      <c r="N567" s="28" t="e">
        <f ca="1">[1]!BexGetData("DP_1","003N8EMH8GTFRIVOG7KG9IX8U","GSON1112031440")</f>
        <v>#NAME?</v>
      </c>
      <c r="O567" s="28" t="e">
        <f ca="1">[1]!BexGetData("DP_1","003N8EMH8GTFRIVOG7KG9J3KE","GSON1112031440")</f>
        <v>#NAME?</v>
      </c>
      <c r="P567" s="28" t="e">
        <f ca="1">[1]!BexGetData("DP_1","003N8EMH8GTFRIVOG7KG9J9VY","GSON1112031440")</f>
        <v>#NAME?</v>
      </c>
      <c r="Q567" s="24" t="e">
        <f ca="1">[1]!BexGetData("DP_1","00O2TNJGODT0G5Z4TTKYMM5MT","GSON1112031440")</f>
        <v>#NAME?</v>
      </c>
      <c r="R567" s="28" t="e">
        <f ca="1">[1]!BexGetData("DP_1","00O2TNJGODT0G5Z4TTKYMMBYD","GSON1112031440")</f>
        <v>#NAME?</v>
      </c>
      <c r="S567" s="28" t="e">
        <f ca="1">[1]!BexGetData("DP_1","00O2TNJGODT0G5Z4TTKYMMI9X","GSON1112031440")</f>
        <v>#NAME?</v>
      </c>
      <c r="T567" s="28" t="e">
        <f ca="1">[1]!BexGetData("DP_1","00O2TNJGODT0G5Z4TTKYMMOLH","GSON1112031440")</f>
        <v>#NAME?</v>
      </c>
      <c r="U567" s="28" t="e">
        <f ca="1">[1]!BexGetData("DP_1","00O2TNJGODT0G5Z4TTKYMMUX1","GSON1112031440")</f>
        <v>#NAME?</v>
      </c>
      <c r="V567" s="28" t="e">
        <f ca="1">[1]!BexGetData("DP_1","00O2TNJGODT0G5Z4TTKYMN18L","GSON1112031440")</f>
        <v>#NAME?</v>
      </c>
      <c r="W567" s="28" t="e">
        <f ca="1">[1]!BexGetData("DP_1","00O2TNJGODT0G5Z4TTKYMN7K5","GSON1112031440")</f>
        <v>#NAME?</v>
      </c>
    </row>
    <row r="568" spans="1:23" x14ac:dyDescent="0.2">
      <c r="A568" s="36" t="s">
        <v>2566</v>
      </c>
      <c r="B568" s="27" t="s">
        <v>2567</v>
      </c>
      <c r="C568" s="28" t="e">
        <f ca="1">[1]!BexGetData("DP_1","003N8EMH8GTFRCSWKMPXRR8GU","GSON1112031441")</f>
        <v>#NAME?</v>
      </c>
      <c r="D568" s="28" t="e">
        <f ca="1">[1]!BexGetData("DP_1","003N8EMH8GTFRCSWKMPXRRESE","GSON1112031441")</f>
        <v>#NAME?</v>
      </c>
      <c r="E568" s="28" t="e">
        <f ca="1">[1]!BexGetData("DP_1","003N8EMH8GTFRCSWKMPXRRL3Y","GSON1112031441")</f>
        <v>#NAME?</v>
      </c>
      <c r="F568" s="28" t="e">
        <f ca="1">[1]!BexGetData("DP_1","003N8EMH8GTFRCSWKMPXRRRFI","GSON1112031441")</f>
        <v>#NAME?</v>
      </c>
      <c r="G568" s="23" t="e">
        <f ca="1">[1]!BexGetData("DP_1","003N8EMH8GTFRCSWKMPXRRXR2","GSON1112031441")</f>
        <v>#NAME?</v>
      </c>
      <c r="H568" s="23" t="e">
        <f ca="1">[1]!BexGetData("DP_1","003N8EMH8GTFRCSWKMPXRS42M","GSON1112031441")</f>
        <v>#NAME?</v>
      </c>
      <c r="I568" s="28" t="e">
        <f ca="1">[1]!BexGetData("DP_1","003N8EMH8GTFRCSWKMPXRSAE6","GSON1112031441")</f>
        <v>#NAME?</v>
      </c>
      <c r="J568" s="24" t="e">
        <f ca="1">[1]!BexGetData("DP_1","003N8EMH8GTFRCSWKMPXRSGPQ","GSON1112031441")</f>
        <v>#NAME?</v>
      </c>
      <c r="K568" s="28" t="e">
        <f ca="1">[1]!BexGetData("DP_1","003N8EMH8GTFRIVNUPY288VJH","GSON1112031441")</f>
        <v>#NAME?</v>
      </c>
      <c r="L568" s="28" t="e">
        <f ca="1">[1]!BexGetData("DP_1","003N8EMH8GTFRIVNUPY2891V1","GSON1112031441")</f>
        <v>#NAME?</v>
      </c>
      <c r="M568" s="28" t="e">
        <f ca="1">[1]!BexGetData("DP_1","003N8EMH8GTFRIVOG7KG9IQXA","GSON1112031441")</f>
        <v>#NAME?</v>
      </c>
      <c r="N568" s="28" t="e">
        <f ca="1">[1]!BexGetData("DP_1","003N8EMH8GTFRIVOG7KG9IX8U","GSON1112031441")</f>
        <v>#NAME?</v>
      </c>
      <c r="O568" s="28" t="e">
        <f ca="1">[1]!BexGetData("DP_1","003N8EMH8GTFRIVOG7KG9J3KE","GSON1112031441")</f>
        <v>#NAME?</v>
      </c>
      <c r="P568" s="28" t="e">
        <f ca="1">[1]!BexGetData("DP_1","003N8EMH8GTFRIVOG7KG9J9VY","GSON1112031441")</f>
        <v>#NAME?</v>
      </c>
      <c r="Q568" s="24" t="e">
        <f ca="1">[1]!BexGetData("DP_1","00O2TNJGODT0G5Z4TTKYMM5MT","GSON1112031441")</f>
        <v>#NAME?</v>
      </c>
      <c r="R568" s="28" t="e">
        <f ca="1">[1]!BexGetData("DP_1","00O2TNJGODT0G5Z4TTKYMMBYD","GSON1112031441")</f>
        <v>#NAME?</v>
      </c>
      <c r="S568" s="28" t="e">
        <f ca="1">[1]!BexGetData("DP_1","00O2TNJGODT0G5Z4TTKYMMI9X","GSON1112031441")</f>
        <v>#NAME?</v>
      </c>
      <c r="T568" s="28" t="e">
        <f ca="1">[1]!BexGetData("DP_1","00O2TNJGODT0G5Z4TTKYMMOLH","GSON1112031441")</f>
        <v>#NAME?</v>
      </c>
      <c r="U568" s="28" t="e">
        <f ca="1">[1]!BexGetData("DP_1","00O2TNJGODT0G5Z4TTKYMMUX1","GSON1112031441")</f>
        <v>#NAME?</v>
      </c>
      <c r="V568" s="28" t="e">
        <f ca="1">[1]!BexGetData("DP_1","00O2TNJGODT0G5Z4TTKYMN18L","GSON1112031441")</f>
        <v>#NAME?</v>
      </c>
      <c r="W568" s="28" t="e">
        <f ca="1">[1]!BexGetData("DP_1","00O2TNJGODT0G5Z4TTKYMN7K5","GSON1112031441")</f>
        <v>#NAME?</v>
      </c>
    </row>
    <row r="569" spans="1:23" x14ac:dyDescent="0.2">
      <c r="A569" s="36" t="s">
        <v>2568</v>
      </c>
      <c r="B569" s="27" t="s">
        <v>2569</v>
      </c>
      <c r="C569" s="23" t="e">
        <f ca="1">[1]!BexGetData("DP_1","003N8EMH8GTFRCSWKMPXRR8GU","GSON1112031443")</f>
        <v>#NAME?</v>
      </c>
      <c r="D569" s="23" t="e">
        <f ca="1">[1]!BexGetData("DP_1","003N8EMH8GTFRCSWKMPXRRESE","GSON1112031443")</f>
        <v>#NAME?</v>
      </c>
      <c r="E569" s="28" t="e">
        <f ca="1">[1]!BexGetData("DP_1","003N8EMH8GTFRCSWKMPXRRL3Y","GSON1112031443")</f>
        <v>#NAME?</v>
      </c>
      <c r="F569" s="28" t="e">
        <f ca="1">[1]!BexGetData("DP_1","003N8EMH8GTFRCSWKMPXRRRFI","GSON1112031443")</f>
        <v>#NAME?</v>
      </c>
      <c r="G569" s="23" t="e">
        <f ca="1">[1]!BexGetData("DP_1","003N8EMH8GTFRCSWKMPXRRXR2","GSON1112031443")</f>
        <v>#NAME?</v>
      </c>
      <c r="H569" s="23" t="e">
        <f ca="1">[1]!BexGetData("DP_1","003N8EMH8GTFRCSWKMPXRS42M","GSON1112031443")</f>
        <v>#NAME?</v>
      </c>
      <c r="I569" s="28" t="e">
        <f ca="1">[1]!BexGetData("DP_1","003N8EMH8GTFRCSWKMPXRSAE6","GSON1112031443")</f>
        <v>#NAME?</v>
      </c>
      <c r="J569" s="24" t="e">
        <f ca="1">[1]!BexGetData("DP_1","003N8EMH8GTFRCSWKMPXRSGPQ","GSON1112031443")</f>
        <v>#NAME?</v>
      </c>
      <c r="K569" s="28" t="e">
        <f ca="1">[1]!BexGetData("DP_1","003N8EMH8GTFRIVNUPY288VJH","GSON1112031443")</f>
        <v>#NAME?</v>
      </c>
      <c r="L569" s="28" t="e">
        <f ca="1">[1]!BexGetData("DP_1","003N8EMH8GTFRIVNUPY2891V1","GSON1112031443")</f>
        <v>#NAME?</v>
      </c>
      <c r="M569" s="28" t="e">
        <f ca="1">[1]!BexGetData("DP_1","003N8EMH8GTFRIVOG7KG9IQXA","GSON1112031443")</f>
        <v>#NAME?</v>
      </c>
      <c r="N569" s="28" t="e">
        <f ca="1">[1]!BexGetData("DP_1","003N8EMH8GTFRIVOG7KG9IX8U","GSON1112031443")</f>
        <v>#NAME?</v>
      </c>
      <c r="O569" s="28" t="e">
        <f ca="1">[1]!BexGetData("DP_1","003N8EMH8GTFRIVOG7KG9J3KE","GSON1112031443")</f>
        <v>#NAME?</v>
      </c>
      <c r="P569" s="28" t="e">
        <f ca="1">[1]!BexGetData("DP_1","003N8EMH8GTFRIVOG7KG9J9VY","GSON1112031443")</f>
        <v>#NAME?</v>
      </c>
      <c r="Q569" s="24" t="e">
        <f ca="1">[1]!BexGetData("DP_1","00O2TNJGODT0G5Z4TTKYMM5MT","GSON1112031443")</f>
        <v>#NAME?</v>
      </c>
      <c r="R569" s="28" t="e">
        <f ca="1">[1]!BexGetData("DP_1","00O2TNJGODT0G5Z4TTKYMMBYD","GSON1112031443")</f>
        <v>#NAME?</v>
      </c>
      <c r="S569" s="28" t="e">
        <f ca="1">[1]!BexGetData("DP_1","00O2TNJGODT0G5Z4TTKYMMI9X","GSON1112031443")</f>
        <v>#NAME?</v>
      </c>
      <c r="T569" s="28" t="e">
        <f ca="1">[1]!BexGetData("DP_1","00O2TNJGODT0G5Z4TTKYMMOLH","GSON1112031443")</f>
        <v>#NAME?</v>
      </c>
      <c r="U569" s="28" t="e">
        <f ca="1">[1]!BexGetData("DP_1","00O2TNJGODT0G5Z4TTKYMMUX1","GSON1112031443")</f>
        <v>#NAME?</v>
      </c>
      <c r="V569" s="28" t="e">
        <f ca="1">[1]!BexGetData("DP_1","00O2TNJGODT0G5Z4TTKYMN18L","GSON1112031443")</f>
        <v>#NAME?</v>
      </c>
      <c r="W569" s="28" t="e">
        <f ca="1">[1]!BexGetData("DP_1","00O2TNJGODT0G5Z4TTKYMN7K5","GSON1112031443")</f>
        <v>#NAME?</v>
      </c>
    </row>
    <row r="570" spans="1:23" x14ac:dyDescent="0.2">
      <c r="A570" s="36" t="s">
        <v>2570</v>
      </c>
      <c r="B570" s="27" t="s">
        <v>2571</v>
      </c>
      <c r="C570" s="23" t="e">
        <f ca="1">[1]!BexGetData("DP_1","003N8EMH8GTFRCSWKMPXRR8GU","GSON1112031445")</f>
        <v>#NAME?</v>
      </c>
      <c r="D570" s="23" t="e">
        <f ca="1">[1]!BexGetData("DP_1","003N8EMH8GTFRCSWKMPXRRESE","GSON1112031445")</f>
        <v>#NAME?</v>
      </c>
      <c r="E570" s="28" t="e">
        <f ca="1">[1]!BexGetData("DP_1","003N8EMH8GTFRCSWKMPXRRL3Y","GSON1112031445")</f>
        <v>#NAME?</v>
      </c>
      <c r="F570" s="24" t="e">
        <f ca="1">[1]!BexGetData("DP_1","003N8EMH8GTFRCSWKMPXRRRFI","GSON1112031445")</f>
        <v>#NAME?</v>
      </c>
      <c r="G570" s="24" t="e">
        <f ca="1">[1]!BexGetData("DP_1","003N8EMH8GTFRCSWKMPXRRXR2","GSON1112031445")</f>
        <v>#NAME?</v>
      </c>
      <c r="H570" s="24" t="e">
        <f ca="1">[1]!BexGetData("DP_1","003N8EMH8GTFRCSWKMPXRS42M","GSON1112031445")</f>
        <v>#NAME?</v>
      </c>
      <c r="I570" s="24" t="e">
        <f ca="1">[1]!BexGetData("DP_1","003N8EMH8GTFRCSWKMPXRSAE6","GSON1112031445")</f>
        <v>#NAME?</v>
      </c>
      <c r="J570" s="24" t="e">
        <f ca="1">[1]!BexGetData("DP_1","003N8EMH8GTFRCSWKMPXRSGPQ","GSON1112031445")</f>
        <v>#NAME?</v>
      </c>
      <c r="K570" s="28" t="e">
        <f ca="1">[1]!BexGetData("DP_1","003N8EMH8GTFRIVNUPY288VJH","GSON1112031445")</f>
        <v>#NAME?</v>
      </c>
      <c r="L570" s="28" t="e">
        <f ca="1">[1]!BexGetData("DP_1","003N8EMH8GTFRIVNUPY2891V1","GSON1112031445")</f>
        <v>#NAME?</v>
      </c>
      <c r="M570" s="28" t="e">
        <f ca="1">[1]!BexGetData("DP_1","003N8EMH8GTFRIVOG7KG9IQXA","GSON1112031445")</f>
        <v>#NAME?</v>
      </c>
      <c r="N570" s="28" t="e">
        <f ca="1">[1]!BexGetData("DP_1","003N8EMH8GTFRIVOG7KG9IX8U","GSON1112031445")</f>
        <v>#NAME?</v>
      </c>
      <c r="O570" s="28" t="e">
        <f ca="1">[1]!BexGetData("DP_1","003N8EMH8GTFRIVOG7KG9J3KE","GSON1112031445")</f>
        <v>#NAME?</v>
      </c>
      <c r="P570" s="28" t="e">
        <f ca="1">[1]!BexGetData("DP_1","003N8EMH8GTFRIVOG7KG9J9VY","GSON1112031445")</f>
        <v>#NAME?</v>
      </c>
      <c r="Q570" s="24" t="e">
        <f ca="1">[1]!BexGetData("DP_1","00O2TNJGODT0G5Z4TTKYMM5MT","GSON1112031445")</f>
        <v>#NAME?</v>
      </c>
      <c r="R570" s="24" t="e">
        <f ca="1">[1]!BexGetData("DP_1","00O2TNJGODT0G5Z4TTKYMMBYD","GSON1112031445")</f>
        <v>#NAME?</v>
      </c>
      <c r="S570" s="24" t="e">
        <f ca="1">[1]!BexGetData("DP_1","00O2TNJGODT0G5Z4TTKYMMI9X","GSON1112031445")</f>
        <v>#NAME?</v>
      </c>
      <c r="T570" s="24" t="e">
        <f ca="1">[1]!BexGetData("DP_1","00O2TNJGODT0G5Z4TTKYMMOLH","GSON1112031445")</f>
        <v>#NAME?</v>
      </c>
      <c r="U570" s="24" t="e">
        <f ca="1">[1]!BexGetData("DP_1","00O2TNJGODT0G5Z4TTKYMMUX1","GSON1112031445")</f>
        <v>#NAME?</v>
      </c>
      <c r="V570" s="24" t="e">
        <f ca="1">[1]!BexGetData("DP_1","00O2TNJGODT0G5Z4TTKYMN18L","GSON1112031445")</f>
        <v>#NAME?</v>
      </c>
      <c r="W570" s="24" t="e">
        <f ca="1">[1]!BexGetData("DP_1","00O2TNJGODT0G5Z4TTKYMN7K5","GSON1112031445")</f>
        <v>#NAME?</v>
      </c>
    </row>
    <row r="571" spans="1:23" x14ac:dyDescent="0.2">
      <c r="A571" s="36" t="s">
        <v>2572</v>
      </c>
      <c r="B571" s="27" t="s">
        <v>2573</v>
      </c>
      <c r="C571" s="23" t="e">
        <f ca="1">[1]!BexGetData("DP_1","003N8EMH8GTFRCSWKMPXRR8GU","GSON1112031461")</f>
        <v>#NAME?</v>
      </c>
      <c r="D571" s="23" t="e">
        <f ca="1">[1]!BexGetData("DP_1","003N8EMH8GTFRCSWKMPXRRESE","GSON1112031461")</f>
        <v>#NAME?</v>
      </c>
      <c r="E571" s="28" t="e">
        <f ca="1">[1]!BexGetData("DP_1","003N8EMH8GTFRCSWKMPXRRL3Y","GSON1112031461")</f>
        <v>#NAME?</v>
      </c>
      <c r="F571" s="24" t="e">
        <f ca="1">[1]!BexGetData("DP_1","003N8EMH8GTFRCSWKMPXRRRFI","GSON1112031461")</f>
        <v>#NAME?</v>
      </c>
      <c r="G571" s="24" t="e">
        <f ca="1">[1]!BexGetData("DP_1","003N8EMH8GTFRCSWKMPXRRXR2","GSON1112031461")</f>
        <v>#NAME?</v>
      </c>
      <c r="H571" s="24" t="e">
        <f ca="1">[1]!BexGetData("DP_1","003N8EMH8GTFRCSWKMPXRS42M","GSON1112031461")</f>
        <v>#NAME?</v>
      </c>
      <c r="I571" s="24" t="e">
        <f ca="1">[1]!BexGetData("DP_1","003N8EMH8GTFRCSWKMPXRSAE6","GSON1112031461")</f>
        <v>#NAME?</v>
      </c>
      <c r="J571" s="24" t="e">
        <f ca="1">[1]!BexGetData("DP_1","003N8EMH8GTFRCSWKMPXRSGPQ","GSON1112031461")</f>
        <v>#NAME?</v>
      </c>
      <c r="K571" s="28" t="e">
        <f ca="1">[1]!BexGetData("DP_1","003N8EMH8GTFRIVNUPY288VJH","GSON1112031461")</f>
        <v>#NAME?</v>
      </c>
      <c r="L571" s="28" t="e">
        <f ca="1">[1]!BexGetData("DP_1","003N8EMH8GTFRIVNUPY2891V1","GSON1112031461")</f>
        <v>#NAME?</v>
      </c>
      <c r="M571" s="28" t="e">
        <f ca="1">[1]!BexGetData("DP_1","003N8EMH8GTFRIVOG7KG9IQXA","GSON1112031461")</f>
        <v>#NAME?</v>
      </c>
      <c r="N571" s="28" t="e">
        <f ca="1">[1]!BexGetData("DP_1","003N8EMH8GTFRIVOG7KG9IX8U","GSON1112031461")</f>
        <v>#NAME?</v>
      </c>
      <c r="O571" s="28" t="e">
        <f ca="1">[1]!BexGetData("DP_1","003N8EMH8GTFRIVOG7KG9J3KE","GSON1112031461")</f>
        <v>#NAME?</v>
      </c>
      <c r="P571" s="28" t="e">
        <f ca="1">[1]!BexGetData("DP_1","003N8EMH8GTFRIVOG7KG9J9VY","GSON1112031461")</f>
        <v>#NAME?</v>
      </c>
      <c r="Q571" s="24" t="e">
        <f ca="1">[1]!BexGetData("DP_1","00O2TNJGODT0G5Z4TTKYMM5MT","GSON1112031461")</f>
        <v>#NAME?</v>
      </c>
      <c r="R571" s="24" t="e">
        <f ca="1">[1]!BexGetData("DP_1","00O2TNJGODT0G5Z4TTKYMMBYD","GSON1112031461")</f>
        <v>#NAME?</v>
      </c>
      <c r="S571" s="24" t="e">
        <f ca="1">[1]!BexGetData("DP_1","00O2TNJGODT0G5Z4TTKYMMI9X","GSON1112031461")</f>
        <v>#NAME?</v>
      </c>
      <c r="T571" s="24" t="e">
        <f ca="1">[1]!BexGetData("DP_1","00O2TNJGODT0G5Z4TTKYMMOLH","GSON1112031461")</f>
        <v>#NAME?</v>
      </c>
      <c r="U571" s="24" t="e">
        <f ca="1">[1]!BexGetData("DP_1","00O2TNJGODT0G5Z4TTKYMMUX1","GSON1112031461")</f>
        <v>#NAME?</v>
      </c>
      <c r="V571" s="24" t="e">
        <f ca="1">[1]!BexGetData("DP_1","00O2TNJGODT0G5Z4TTKYMN18L","GSON1112031461")</f>
        <v>#NAME?</v>
      </c>
      <c r="W571" s="24" t="e">
        <f ca="1">[1]!BexGetData("DP_1","00O2TNJGODT0G5Z4TTKYMN7K5","GSON1112031461")</f>
        <v>#NAME?</v>
      </c>
    </row>
    <row r="572" spans="1:23" x14ac:dyDescent="0.2">
      <c r="A572" s="36" t="s">
        <v>2574</v>
      </c>
      <c r="B572" s="27" t="s">
        <v>2575</v>
      </c>
      <c r="C572" s="23" t="e">
        <f ca="1">[1]!BexGetData("DP_1","003N8EMH8GTFRCSWKMPXRR8GU","GSON1112031470")</f>
        <v>#NAME?</v>
      </c>
      <c r="D572" s="23" t="e">
        <f ca="1">[1]!BexGetData("DP_1","003N8EMH8GTFRCSWKMPXRRESE","GSON1112031470")</f>
        <v>#NAME?</v>
      </c>
      <c r="E572" s="23" t="e">
        <f ca="1">[1]!BexGetData("DP_1","003N8EMH8GTFRCSWKMPXRRL3Y","GSON1112031470")</f>
        <v>#NAME?</v>
      </c>
      <c r="F572" s="24" t="e">
        <f ca="1">[1]!BexGetData("DP_1","003N8EMH8GTFRCSWKMPXRRRFI","GSON1112031470")</f>
        <v>#NAME?</v>
      </c>
      <c r="G572" s="24" t="e">
        <f ca="1">[1]!BexGetData("DP_1","003N8EMH8GTFRCSWKMPXRRXR2","GSON1112031470")</f>
        <v>#NAME?</v>
      </c>
      <c r="H572" s="24" t="e">
        <f ca="1">[1]!BexGetData("DP_1","003N8EMH8GTFRCSWKMPXRS42M","GSON1112031470")</f>
        <v>#NAME?</v>
      </c>
      <c r="I572" s="24" t="e">
        <f ca="1">[1]!BexGetData("DP_1","003N8EMH8GTFRCSWKMPXRSAE6","GSON1112031470")</f>
        <v>#NAME?</v>
      </c>
      <c r="J572" s="24" t="e">
        <f ca="1">[1]!BexGetData("DP_1","003N8EMH8GTFRCSWKMPXRSGPQ","GSON1112031470")</f>
        <v>#NAME?</v>
      </c>
      <c r="K572" s="23" t="e">
        <f ca="1">[1]!BexGetData("DP_1","003N8EMH8GTFRIVNUPY288VJH","GSON1112031470")</f>
        <v>#NAME?</v>
      </c>
      <c r="L572" s="23" t="e">
        <f ca="1">[1]!BexGetData("DP_1","003N8EMH8GTFRIVNUPY2891V1","GSON1112031470")</f>
        <v>#NAME?</v>
      </c>
      <c r="M572" s="28" t="e">
        <f ca="1">[1]!BexGetData("DP_1","003N8EMH8GTFRIVOG7KG9IQXA","GSON1112031470")</f>
        <v>#NAME?</v>
      </c>
      <c r="N572" s="23" t="e">
        <f ca="1">[1]!BexGetData("DP_1","003N8EMH8GTFRIVOG7KG9IX8U","GSON1112031470")</f>
        <v>#NAME?</v>
      </c>
      <c r="O572" s="28" t="e">
        <f ca="1">[1]!BexGetData("DP_1","003N8EMH8GTFRIVOG7KG9J3KE","GSON1112031470")</f>
        <v>#NAME?</v>
      </c>
      <c r="P572" s="23" t="e">
        <f ca="1">[1]!BexGetData("DP_1","003N8EMH8GTFRIVOG7KG9J9VY","GSON1112031470")</f>
        <v>#NAME?</v>
      </c>
      <c r="Q572" s="24" t="e">
        <f ca="1">[1]!BexGetData("DP_1","00O2TNJGODT0G5Z4TTKYMM5MT","GSON1112031470")</f>
        <v>#NAME?</v>
      </c>
      <c r="R572" s="24" t="e">
        <f ca="1">[1]!BexGetData("DP_1","00O2TNJGODT0G5Z4TTKYMMBYD","GSON1112031470")</f>
        <v>#NAME?</v>
      </c>
      <c r="S572" s="24" t="e">
        <f ca="1">[1]!BexGetData("DP_1","00O2TNJGODT0G5Z4TTKYMMI9X","GSON1112031470")</f>
        <v>#NAME?</v>
      </c>
      <c r="T572" s="24" t="e">
        <f ca="1">[1]!BexGetData("DP_1","00O2TNJGODT0G5Z4TTKYMMOLH","GSON1112031470")</f>
        <v>#NAME?</v>
      </c>
      <c r="U572" s="24" t="e">
        <f ca="1">[1]!BexGetData("DP_1","00O2TNJGODT0G5Z4TTKYMMUX1","GSON1112031470")</f>
        <v>#NAME?</v>
      </c>
      <c r="V572" s="24" t="e">
        <f ca="1">[1]!BexGetData("DP_1","00O2TNJGODT0G5Z4TTKYMN18L","GSON1112031470")</f>
        <v>#NAME?</v>
      </c>
      <c r="W572" s="24" t="e">
        <f ca="1">[1]!BexGetData("DP_1","00O2TNJGODT0G5Z4TTKYMN7K5","GSON1112031470")</f>
        <v>#NAME?</v>
      </c>
    </row>
    <row r="573" spans="1:23" x14ac:dyDescent="0.2">
      <c r="A573" s="36" t="s">
        <v>2576</v>
      </c>
      <c r="B573" s="27" t="s">
        <v>2577</v>
      </c>
      <c r="C573" s="23" t="e">
        <f ca="1">[1]!BexGetData("DP_1","003N8EMH8GTFRCSWKMPXRR8GU","GSON1112031471")</f>
        <v>#NAME?</v>
      </c>
      <c r="D573" s="23" t="e">
        <f ca="1">[1]!BexGetData("DP_1","003N8EMH8GTFRCSWKMPXRRESE","GSON1112031471")</f>
        <v>#NAME?</v>
      </c>
      <c r="E573" s="28" t="e">
        <f ca="1">[1]!BexGetData("DP_1","003N8EMH8GTFRCSWKMPXRRL3Y","GSON1112031471")</f>
        <v>#NAME?</v>
      </c>
      <c r="F573" s="24" t="e">
        <f ca="1">[1]!BexGetData("DP_1","003N8EMH8GTFRCSWKMPXRRRFI","GSON1112031471")</f>
        <v>#NAME?</v>
      </c>
      <c r="G573" s="24" t="e">
        <f ca="1">[1]!BexGetData("DP_1","003N8EMH8GTFRCSWKMPXRRXR2","GSON1112031471")</f>
        <v>#NAME?</v>
      </c>
      <c r="H573" s="24" t="e">
        <f ca="1">[1]!BexGetData("DP_1","003N8EMH8GTFRCSWKMPXRS42M","GSON1112031471")</f>
        <v>#NAME?</v>
      </c>
      <c r="I573" s="24" t="e">
        <f ca="1">[1]!BexGetData("DP_1","003N8EMH8GTFRCSWKMPXRSAE6","GSON1112031471")</f>
        <v>#NAME?</v>
      </c>
      <c r="J573" s="24" t="e">
        <f ca="1">[1]!BexGetData("DP_1","003N8EMH8GTFRCSWKMPXRSGPQ","GSON1112031471")</f>
        <v>#NAME?</v>
      </c>
      <c r="K573" s="28" t="e">
        <f ca="1">[1]!BexGetData("DP_1","003N8EMH8GTFRIVNUPY288VJH","GSON1112031471")</f>
        <v>#NAME?</v>
      </c>
      <c r="L573" s="28" t="e">
        <f ca="1">[1]!BexGetData("DP_1","003N8EMH8GTFRIVNUPY2891V1","GSON1112031471")</f>
        <v>#NAME?</v>
      </c>
      <c r="M573" s="28" t="e">
        <f ca="1">[1]!BexGetData("DP_1","003N8EMH8GTFRIVOG7KG9IQXA","GSON1112031471")</f>
        <v>#NAME?</v>
      </c>
      <c r="N573" s="28" t="e">
        <f ca="1">[1]!BexGetData("DP_1","003N8EMH8GTFRIVOG7KG9IX8U","GSON1112031471")</f>
        <v>#NAME?</v>
      </c>
      <c r="O573" s="28" t="e">
        <f ca="1">[1]!BexGetData("DP_1","003N8EMH8GTFRIVOG7KG9J3KE","GSON1112031471")</f>
        <v>#NAME?</v>
      </c>
      <c r="P573" s="28" t="e">
        <f ca="1">[1]!BexGetData("DP_1","003N8EMH8GTFRIVOG7KG9J9VY","GSON1112031471")</f>
        <v>#NAME?</v>
      </c>
      <c r="Q573" s="24" t="e">
        <f ca="1">[1]!BexGetData("DP_1","00O2TNJGODT0G5Z4TTKYMM5MT","GSON1112031471")</f>
        <v>#NAME?</v>
      </c>
      <c r="R573" s="24" t="e">
        <f ca="1">[1]!BexGetData("DP_1","00O2TNJGODT0G5Z4TTKYMMBYD","GSON1112031471")</f>
        <v>#NAME?</v>
      </c>
      <c r="S573" s="24" t="e">
        <f ca="1">[1]!BexGetData("DP_1","00O2TNJGODT0G5Z4TTKYMMI9X","GSON1112031471")</f>
        <v>#NAME?</v>
      </c>
      <c r="T573" s="24" t="e">
        <f ca="1">[1]!BexGetData("DP_1","00O2TNJGODT0G5Z4TTKYMMOLH","GSON1112031471")</f>
        <v>#NAME?</v>
      </c>
      <c r="U573" s="24" t="e">
        <f ca="1">[1]!BexGetData("DP_1","00O2TNJGODT0G5Z4TTKYMMUX1","GSON1112031471")</f>
        <v>#NAME?</v>
      </c>
      <c r="V573" s="24" t="e">
        <f ca="1">[1]!BexGetData("DP_1","00O2TNJGODT0G5Z4TTKYMN18L","GSON1112031471")</f>
        <v>#NAME?</v>
      </c>
      <c r="W573" s="24" t="e">
        <f ca="1">[1]!BexGetData("DP_1","00O2TNJGODT0G5Z4TTKYMN7K5","GSON1112031471")</f>
        <v>#NAME?</v>
      </c>
    </row>
    <row r="574" spans="1:23" x14ac:dyDescent="0.2">
      <c r="A574" s="36" t="s">
        <v>2578</v>
      </c>
      <c r="B574" s="27" t="s">
        <v>2579</v>
      </c>
      <c r="C574" s="23" t="e">
        <f ca="1">[1]!BexGetData("DP_1","003N8EMH8GTFRCSWKMPXRR8GU","GSON1112031472")</f>
        <v>#NAME?</v>
      </c>
      <c r="D574" s="23" t="e">
        <f ca="1">[1]!BexGetData("DP_1","003N8EMH8GTFRCSWKMPXRRESE","GSON1112031472")</f>
        <v>#NAME?</v>
      </c>
      <c r="E574" s="23" t="e">
        <f ca="1">[1]!BexGetData("DP_1","003N8EMH8GTFRCSWKMPXRRL3Y","GSON1112031472")</f>
        <v>#NAME?</v>
      </c>
      <c r="F574" s="24" t="e">
        <f ca="1">[1]!BexGetData("DP_1","003N8EMH8GTFRCSWKMPXRRRFI","GSON1112031472")</f>
        <v>#NAME?</v>
      </c>
      <c r="G574" s="24" t="e">
        <f ca="1">[1]!BexGetData("DP_1","003N8EMH8GTFRCSWKMPXRRXR2","GSON1112031472")</f>
        <v>#NAME?</v>
      </c>
      <c r="H574" s="24" t="e">
        <f ca="1">[1]!BexGetData("DP_1","003N8EMH8GTFRCSWKMPXRS42M","GSON1112031472")</f>
        <v>#NAME?</v>
      </c>
      <c r="I574" s="24" t="e">
        <f ca="1">[1]!BexGetData("DP_1","003N8EMH8GTFRCSWKMPXRSAE6","GSON1112031472")</f>
        <v>#NAME?</v>
      </c>
      <c r="J574" s="24" t="e">
        <f ca="1">[1]!BexGetData("DP_1","003N8EMH8GTFRCSWKMPXRSGPQ","GSON1112031472")</f>
        <v>#NAME?</v>
      </c>
      <c r="K574" s="23" t="e">
        <f ca="1">[1]!BexGetData("DP_1","003N8EMH8GTFRIVNUPY288VJH","GSON1112031472")</f>
        <v>#NAME?</v>
      </c>
      <c r="L574" s="23" t="e">
        <f ca="1">[1]!BexGetData("DP_1","003N8EMH8GTFRIVNUPY2891V1","GSON1112031472")</f>
        <v>#NAME?</v>
      </c>
      <c r="M574" s="23" t="e">
        <f ca="1">[1]!BexGetData("DP_1","003N8EMH8GTFRIVOG7KG9IQXA","GSON1112031472")</f>
        <v>#NAME?</v>
      </c>
      <c r="N574" s="28" t="e">
        <f ca="1">[1]!BexGetData("DP_1","003N8EMH8GTFRIVOG7KG9IX8U","GSON1112031472")</f>
        <v>#NAME?</v>
      </c>
      <c r="O574" s="23" t="e">
        <f ca="1">[1]!BexGetData("DP_1","003N8EMH8GTFRIVOG7KG9J3KE","GSON1112031472")</f>
        <v>#NAME?</v>
      </c>
      <c r="P574" s="28" t="e">
        <f ca="1">[1]!BexGetData("DP_1","003N8EMH8GTFRIVOG7KG9J9VY","GSON1112031472")</f>
        <v>#NAME?</v>
      </c>
      <c r="Q574" s="24" t="e">
        <f ca="1">[1]!BexGetData("DP_1","00O2TNJGODT0G5Z4TTKYMM5MT","GSON1112031472")</f>
        <v>#NAME?</v>
      </c>
      <c r="R574" s="24" t="e">
        <f ca="1">[1]!BexGetData("DP_1","00O2TNJGODT0G5Z4TTKYMMBYD","GSON1112031472")</f>
        <v>#NAME?</v>
      </c>
      <c r="S574" s="24" t="e">
        <f ca="1">[1]!BexGetData("DP_1","00O2TNJGODT0G5Z4TTKYMMI9X","GSON1112031472")</f>
        <v>#NAME?</v>
      </c>
      <c r="T574" s="24" t="e">
        <f ca="1">[1]!BexGetData("DP_1","00O2TNJGODT0G5Z4TTKYMMOLH","GSON1112031472")</f>
        <v>#NAME?</v>
      </c>
      <c r="U574" s="24" t="e">
        <f ca="1">[1]!BexGetData("DP_1","00O2TNJGODT0G5Z4TTKYMMUX1","GSON1112031472")</f>
        <v>#NAME?</v>
      </c>
      <c r="V574" s="24" t="e">
        <f ca="1">[1]!BexGetData("DP_1","00O2TNJGODT0G5Z4TTKYMN18L","GSON1112031472")</f>
        <v>#NAME?</v>
      </c>
      <c r="W574" s="24" t="e">
        <f ca="1">[1]!BexGetData("DP_1","00O2TNJGODT0G5Z4TTKYMN7K5","GSON1112031472")</f>
        <v>#NAME?</v>
      </c>
    </row>
    <row r="575" spans="1:23" x14ac:dyDescent="0.2">
      <c r="A575" s="36" t="s">
        <v>2580</v>
      </c>
      <c r="B575" s="27" t="s">
        <v>2581</v>
      </c>
      <c r="C575" s="23" t="e">
        <f ca="1">[1]!BexGetData("DP_1","003N8EMH8GTFRCSWKMPXRR8GU","GSON1112031473")</f>
        <v>#NAME?</v>
      </c>
      <c r="D575" s="23" t="e">
        <f ca="1">[1]!BexGetData("DP_1","003N8EMH8GTFRCSWKMPXRRESE","GSON1112031473")</f>
        <v>#NAME?</v>
      </c>
      <c r="E575" s="28" t="e">
        <f ca="1">[1]!BexGetData("DP_1","003N8EMH8GTFRCSWKMPXRRL3Y","GSON1112031473")</f>
        <v>#NAME?</v>
      </c>
      <c r="F575" s="24" t="e">
        <f ca="1">[1]!BexGetData("DP_1","003N8EMH8GTFRCSWKMPXRRRFI","GSON1112031473")</f>
        <v>#NAME?</v>
      </c>
      <c r="G575" s="24" t="e">
        <f ca="1">[1]!BexGetData("DP_1","003N8EMH8GTFRCSWKMPXRRXR2","GSON1112031473")</f>
        <v>#NAME?</v>
      </c>
      <c r="H575" s="24" t="e">
        <f ca="1">[1]!BexGetData("DP_1","003N8EMH8GTFRCSWKMPXRS42M","GSON1112031473")</f>
        <v>#NAME?</v>
      </c>
      <c r="I575" s="24" t="e">
        <f ca="1">[1]!BexGetData("DP_1","003N8EMH8GTFRCSWKMPXRSAE6","GSON1112031473")</f>
        <v>#NAME?</v>
      </c>
      <c r="J575" s="24" t="e">
        <f ca="1">[1]!BexGetData("DP_1","003N8EMH8GTFRCSWKMPXRSGPQ","GSON1112031473")</f>
        <v>#NAME?</v>
      </c>
      <c r="K575" s="28" t="e">
        <f ca="1">[1]!BexGetData("DP_1","003N8EMH8GTFRIVNUPY288VJH","GSON1112031473")</f>
        <v>#NAME?</v>
      </c>
      <c r="L575" s="28" t="e">
        <f ca="1">[1]!BexGetData("DP_1","003N8EMH8GTFRIVNUPY2891V1","GSON1112031473")</f>
        <v>#NAME?</v>
      </c>
      <c r="M575" s="28" t="e">
        <f ca="1">[1]!BexGetData("DP_1","003N8EMH8GTFRIVOG7KG9IQXA","GSON1112031473")</f>
        <v>#NAME?</v>
      </c>
      <c r="N575" s="28" t="e">
        <f ca="1">[1]!BexGetData("DP_1","003N8EMH8GTFRIVOG7KG9IX8U","GSON1112031473")</f>
        <v>#NAME?</v>
      </c>
      <c r="O575" s="28" t="e">
        <f ca="1">[1]!BexGetData("DP_1","003N8EMH8GTFRIVOG7KG9J3KE","GSON1112031473")</f>
        <v>#NAME?</v>
      </c>
      <c r="P575" s="28" t="e">
        <f ca="1">[1]!BexGetData("DP_1","003N8EMH8GTFRIVOG7KG9J9VY","GSON1112031473")</f>
        <v>#NAME?</v>
      </c>
      <c r="Q575" s="24" t="e">
        <f ca="1">[1]!BexGetData("DP_1","00O2TNJGODT0G5Z4TTKYMM5MT","GSON1112031473")</f>
        <v>#NAME?</v>
      </c>
      <c r="R575" s="24" t="e">
        <f ca="1">[1]!BexGetData("DP_1","00O2TNJGODT0G5Z4TTKYMMBYD","GSON1112031473")</f>
        <v>#NAME?</v>
      </c>
      <c r="S575" s="24" t="e">
        <f ca="1">[1]!BexGetData("DP_1","00O2TNJGODT0G5Z4TTKYMMI9X","GSON1112031473")</f>
        <v>#NAME?</v>
      </c>
      <c r="T575" s="24" t="e">
        <f ca="1">[1]!BexGetData("DP_1","00O2TNJGODT0G5Z4TTKYMMOLH","GSON1112031473")</f>
        <v>#NAME?</v>
      </c>
      <c r="U575" s="24" t="e">
        <f ca="1">[1]!BexGetData("DP_1","00O2TNJGODT0G5Z4TTKYMMUX1","GSON1112031473")</f>
        <v>#NAME?</v>
      </c>
      <c r="V575" s="24" t="e">
        <f ca="1">[1]!BexGetData("DP_1","00O2TNJGODT0G5Z4TTKYMN18L","GSON1112031473")</f>
        <v>#NAME?</v>
      </c>
      <c r="W575" s="24" t="e">
        <f ca="1">[1]!BexGetData("DP_1","00O2TNJGODT0G5Z4TTKYMN7K5","GSON1112031473")</f>
        <v>#NAME?</v>
      </c>
    </row>
    <row r="576" spans="1:23" x14ac:dyDescent="0.2">
      <c r="A576" s="36" t="s">
        <v>2582</v>
      </c>
      <c r="B576" s="27" t="s">
        <v>2583</v>
      </c>
      <c r="C576" s="23" t="e">
        <f ca="1">[1]!BexGetData("DP_1","003N8EMH8GTFRCSWKMPXRR8GU","GSON1112031475")</f>
        <v>#NAME?</v>
      </c>
      <c r="D576" s="23" t="e">
        <f ca="1">[1]!BexGetData("DP_1","003N8EMH8GTFRCSWKMPXRRESE","GSON1112031475")</f>
        <v>#NAME?</v>
      </c>
      <c r="E576" s="28" t="e">
        <f ca="1">[1]!BexGetData("DP_1","003N8EMH8GTFRCSWKMPXRRL3Y","GSON1112031475")</f>
        <v>#NAME?</v>
      </c>
      <c r="F576" s="24" t="e">
        <f ca="1">[1]!BexGetData("DP_1","003N8EMH8GTFRCSWKMPXRRRFI","GSON1112031475")</f>
        <v>#NAME?</v>
      </c>
      <c r="G576" s="24" t="e">
        <f ca="1">[1]!BexGetData("DP_1","003N8EMH8GTFRCSWKMPXRRXR2","GSON1112031475")</f>
        <v>#NAME?</v>
      </c>
      <c r="H576" s="24" t="e">
        <f ca="1">[1]!BexGetData("DP_1","003N8EMH8GTFRCSWKMPXRS42M","GSON1112031475")</f>
        <v>#NAME?</v>
      </c>
      <c r="I576" s="24" t="e">
        <f ca="1">[1]!BexGetData("DP_1","003N8EMH8GTFRCSWKMPXRSAE6","GSON1112031475")</f>
        <v>#NAME?</v>
      </c>
      <c r="J576" s="24" t="e">
        <f ca="1">[1]!BexGetData("DP_1","003N8EMH8GTFRCSWKMPXRSGPQ","GSON1112031475")</f>
        <v>#NAME?</v>
      </c>
      <c r="K576" s="28" t="e">
        <f ca="1">[1]!BexGetData("DP_1","003N8EMH8GTFRIVNUPY288VJH","GSON1112031475")</f>
        <v>#NAME?</v>
      </c>
      <c r="L576" s="28" t="e">
        <f ca="1">[1]!BexGetData("DP_1","003N8EMH8GTFRIVNUPY2891V1","GSON1112031475")</f>
        <v>#NAME?</v>
      </c>
      <c r="M576" s="28" t="e">
        <f ca="1">[1]!BexGetData("DP_1","003N8EMH8GTFRIVOG7KG9IQXA","GSON1112031475")</f>
        <v>#NAME?</v>
      </c>
      <c r="N576" s="28" t="e">
        <f ca="1">[1]!BexGetData("DP_1","003N8EMH8GTFRIVOG7KG9IX8U","GSON1112031475")</f>
        <v>#NAME?</v>
      </c>
      <c r="O576" s="28" t="e">
        <f ca="1">[1]!BexGetData("DP_1","003N8EMH8GTFRIVOG7KG9J3KE","GSON1112031475")</f>
        <v>#NAME?</v>
      </c>
      <c r="P576" s="28" t="e">
        <f ca="1">[1]!BexGetData("DP_1","003N8EMH8GTFRIVOG7KG9J9VY","GSON1112031475")</f>
        <v>#NAME?</v>
      </c>
      <c r="Q576" s="24" t="e">
        <f ca="1">[1]!BexGetData("DP_1","00O2TNJGODT0G5Z4TTKYMM5MT","GSON1112031475")</f>
        <v>#NAME?</v>
      </c>
      <c r="R576" s="24" t="e">
        <f ca="1">[1]!BexGetData("DP_1","00O2TNJGODT0G5Z4TTKYMMBYD","GSON1112031475")</f>
        <v>#NAME?</v>
      </c>
      <c r="S576" s="24" t="e">
        <f ca="1">[1]!BexGetData("DP_1","00O2TNJGODT0G5Z4TTKYMMI9X","GSON1112031475")</f>
        <v>#NAME?</v>
      </c>
      <c r="T576" s="24" t="e">
        <f ca="1">[1]!BexGetData("DP_1","00O2TNJGODT0G5Z4TTKYMMOLH","GSON1112031475")</f>
        <v>#NAME?</v>
      </c>
      <c r="U576" s="24" t="e">
        <f ca="1">[1]!BexGetData("DP_1","00O2TNJGODT0G5Z4TTKYMMUX1","GSON1112031475")</f>
        <v>#NAME?</v>
      </c>
      <c r="V576" s="24" t="e">
        <f ca="1">[1]!BexGetData("DP_1","00O2TNJGODT0G5Z4TTKYMN18L","GSON1112031475")</f>
        <v>#NAME?</v>
      </c>
      <c r="W576" s="24" t="e">
        <f ca="1">[1]!BexGetData("DP_1","00O2TNJGODT0G5Z4TTKYMN7K5","GSON1112031475")</f>
        <v>#NAME?</v>
      </c>
    </row>
    <row r="577" spans="1:23" x14ac:dyDescent="0.2">
      <c r="A577" s="36" t="s">
        <v>2584</v>
      </c>
      <c r="B577" s="27" t="s">
        <v>2585</v>
      </c>
      <c r="C577" s="23" t="e">
        <f ca="1">[1]!BexGetData("DP_1","003N8EMH8GTFRCSWKMPXRR8GU","GSON1112031480")</f>
        <v>#NAME?</v>
      </c>
      <c r="D577" s="23" t="e">
        <f ca="1">[1]!BexGetData("DP_1","003N8EMH8GTFRCSWKMPXRRESE","GSON1112031480")</f>
        <v>#NAME?</v>
      </c>
      <c r="E577" s="23" t="e">
        <f ca="1">[1]!BexGetData("DP_1","003N8EMH8GTFRCSWKMPXRRL3Y","GSON1112031480")</f>
        <v>#NAME?</v>
      </c>
      <c r="F577" s="24" t="e">
        <f ca="1">[1]!BexGetData("DP_1","003N8EMH8GTFRCSWKMPXRRRFI","GSON1112031480")</f>
        <v>#NAME?</v>
      </c>
      <c r="G577" s="24" t="e">
        <f ca="1">[1]!BexGetData("DP_1","003N8EMH8GTFRCSWKMPXRRXR2","GSON1112031480")</f>
        <v>#NAME?</v>
      </c>
      <c r="H577" s="24" t="e">
        <f ca="1">[1]!BexGetData("DP_1","003N8EMH8GTFRCSWKMPXRS42M","GSON1112031480")</f>
        <v>#NAME?</v>
      </c>
      <c r="I577" s="24" t="e">
        <f ca="1">[1]!BexGetData("DP_1","003N8EMH8GTFRCSWKMPXRSAE6","GSON1112031480")</f>
        <v>#NAME?</v>
      </c>
      <c r="J577" s="24" t="e">
        <f ca="1">[1]!BexGetData("DP_1","003N8EMH8GTFRCSWKMPXRSGPQ","GSON1112031480")</f>
        <v>#NAME?</v>
      </c>
      <c r="K577" s="23" t="e">
        <f ca="1">[1]!BexGetData("DP_1","003N8EMH8GTFRIVNUPY288VJH","GSON1112031480")</f>
        <v>#NAME?</v>
      </c>
      <c r="L577" s="23" t="e">
        <f ca="1">[1]!BexGetData("DP_1","003N8EMH8GTFRIVNUPY2891V1","GSON1112031480")</f>
        <v>#NAME?</v>
      </c>
      <c r="M577" s="28" t="e">
        <f ca="1">[1]!BexGetData("DP_1","003N8EMH8GTFRIVOG7KG9IQXA","GSON1112031480")</f>
        <v>#NAME?</v>
      </c>
      <c r="N577" s="23" t="e">
        <f ca="1">[1]!BexGetData("DP_1","003N8EMH8GTFRIVOG7KG9IX8U","GSON1112031480")</f>
        <v>#NAME?</v>
      </c>
      <c r="O577" s="28" t="e">
        <f ca="1">[1]!BexGetData("DP_1","003N8EMH8GTFRIVOG7KG9J3KE","GSON1112031480")</f>
        <v>#NAME?</v>
      </c>
      <c r="P577" s="23" t="e">
        <f ca="1">[1]!BexGetData("DP_1","003N8EMH8GTFRIVOG7KG9J9VY","GSON1112031480")</f>
        <v>#NAME?</v>
      </c>
      <c r="Q577" s="24" t="e">
        <f ca="1">[1]!BexGetData("DP_1","00O2TNJGODT0G5Z4TTKYMM5MT","GSON1112031480")</f>
        <v>#NAME?</v>
      </c>
      <c r="R577" s="24" t="e">
        <f ca="1">[1]!BexGetData("DP_1","00O2TNJGODT0G5Z4TTKYMMBYD","GSON1112031480")</f>
        <v>#NAME?</v>
      </c>
      <c r="S577" s="24" t="e">
        <f ca="1">[1]!BexGetData("DP_1","00O2TNJGODT0G5Z4TTKYMMI9X","GSON1112031480")</f>
        <v>#NAME?</v>
      </c>
      <c r="T577" s="24" t="e">
        <f ca="1">[1]!BexGetData("DP_1","00O2TNJGODT0G5Z4TTKYMMOLH","GSON1112031480")</f>
        <v>#NAME?</v>
      </c>
      <c r="U577" s="24" t="e">
        <f ca="1">[1]!BexGetData("DP_1","00O2TNJGODT0G5Z4TTKYMMUX1","GSON1112031480")</f>
        <v>#NAME?</v>
      </c>
      <c r="V577" s="24" t="e">
        <f ca="1">[1]!BexGetData("DP_1","00O2TNJGODT0G5Z4TTKYMN18L","GSON1112031480")</f>
        <v>#NAME?</v>
      </c>
      <c r="W577" s="24" t="e">
        <f ca="1">[1]!BexGetData("DP_1","00O2TNJGODT0G5Z4TTKYMN7K5","GSON1112031480")</f>
        <v>#NAME?</v>
      </c>
    </row>
    <row r="578" spans="1:23" x14ac:dyDescent="0.2">
      <c r="A578" s="36" t="s">
        <v>2586</v>
      </c>
      <c r="B578" s="27" t="s">
        <v>2587</v>
      </c>
      <c r="C578" s="23" t="e">
        <f ca="1">[1]!BexGetData("DP_1","003N8EMH8GTFRCSWKMPXRR8GU","GSON1112031481")</f>
        <v>#NAME?</v>
      </c>
      <c r="D578" s="23" t="e">
        <f ca="1">[1]!BexGetData("DP_1","003N8EMH8GTFRCSWKMPXRRESE","GSON1112031481")</f>
        <v>#NAME?</v>
      </c>
      <c r="E578" s="28" t="e">
        <f ca="1">[1]!BexGetData("DP_1","003N8EMH8GTFRCSWKMPXRRL3Y","GSON1112031481")</f>
        <v>#NAME?</v>
      </c>
      <c r="F578" s="24" t="e">
        <f ca="1">[1]!BexGetData("DP_1","003N8EMH8GTFRCSWKMPXRRRFI","GSON1112031481")</f>
        <v>#NAME?</v>
      </c>
      <c r="G578" s="24" t="e">
        <f ca="1">[1]!BexGetData("DP_1","003N8EMH8GTFRCSWKMPXRRXR2","GSON1112031481")</f>
        <v>#NAME?</v>
      </c>
      <c r="H578" s="24" t="e">
        <f ca="1">[1]!BexGetData("DP_1","003N8EMH8GTFRCSWKMPXRS42M","GSON1112031481")</f>
        <v>#NAME?</v>
      </c>
      <c r="I578" s="24" t="e">
        <f ca="1">[1]!BexGetData("DP_1","003N8EMH8GTFRCSWKMPXRSAE6","GSON1112031481")</f>
        <v>#NAME?</v>
      </c>
      <c r="J578" s="24" t="e">
        <f ca="1">[1]!BexGetData("DP_1","003N8EMH8GTFRCSWKMPXRSGPQ","GSON1112031481")</f>
        <v>#NAME?</v>
      </c>
      <c r="K578" s="28" t="e">
        <f ca="1">[1]!BexGetData("DP_1","003N8EMH8GTFRIVNUPY288VJH","GSON1112031481")</f>
        <v>#NAME?</v>
      </c>
      <c r="L578" s="28" t="e">
        <f ca="1">[1]!BexGetData("DP_1","003N8EMH8GTFRIVNUPY2891V1","GSON1112031481")</f>
        <v>#NAME?</v>
      </c>
      <c r="M578" s="28" t="e">
        <f ca="1">[1]!BexGetData("DP_1","003N8EMH8GTFRIVOG7KG9IQXA","GSON1112031481")</f>
        <v>#NAME?</v>
      </c>
      <c r="N578" s="28" t="e">
        <f ca="1">[1]!BexGetData("DP_1","003N8EMH8GTFRIVOG7KG9IX8U","GSON1112031481")</f>
        <v>#NAME?</v>
      </c>
      <c r="O578" s="28" t="e">
        <f ca="1">[1]!BexGetData("DP_1","003N8EMH8GTFRIVOG7KG9J3KE","GSON1112031481")</f>
        <v>#NAME?</v>
      </c>
      <c r="P578" s="28" t="e">
        <f ca="1">[1]!BexGetData("DP_1","003N8EMH8GTFRIVOG7KG9J9VY","GSON1112031481")</f>
        <v>#NAME?</v>
      </c>
      <c r="Q578" s="24" t="e">
        <f ca="1">[1]!BexGetData("DP_1","00O2TNJGODT0G5Z4TTKYMM5MT","GSON1112031481")</f>
        <v>#NAME?</v>
      </c>
      <c r="R578" s="24" t="e">
        <f ca="1">[1]!BexGetData("DP_1","00O2TNJGODT0G5Z4TTKYMMBYD","GSON1112031481")</f>
        <v>#NAME?</v>
      </c>
      <c r="S578" s="24" t="e">
        <f ca="1">[1]!BexGetData("DP_1","00O2TNJGODT0G5Z4TTKYMMI9X","GSON1112031481")</f>
        <v>#NAME?</v>
      </c>
      <c r="T578" s="24" t="e">
        <f ca="1">[1]!BexGetData("DP_1","00O2TNJGODT0G5Z4TTKYMMOLH","GSON1112031481")</f>
        <v>#NAME?</v>
      </c>
      <c r="U578" s="24" t="e">
        <f ca="1">[1]!BexGetData("DP_1","00O2TNJGODT0G5Z4TTKYMMUX1","GSON1112031481")</f>
        <v>#NAME?</v>
      </c>
      <c r="V578" s="24" t="e">
        <f ca="1">[1]!BexGetData("DP_1","00O2TNJGODT0G5Z4TTKYMN18L","GSON1112031481")</f>
        <v>#NAME?</v>
      </c>
      <c r="W578" s="24" t="e">
        <f ca="1">[1]!BexGetData("DP_1","00O2TNJGODT0G5Z4TTKYMN7K5","GSON1112031481")</f>
        <v>#NAME?</v>
      </c>
    </row>
    <row r="579" spans="1:23" x14ac:dyDescent="0.2">
      <c r="A579" s="36" t="s">
        <v>2588</v>
      </c>
      <c r="B579" s="27" t="s">
        <v>2589</v>
      </c>
      <c r="C579" s="23" t="e">
        <f ca="1">[1]!BexGetData("DP_1","003N8EMH8GTFRCSWKMPXRR8GU","GSON1112031483")</f>
        <v>#NAME?</v>
      </c>
      <c r="D579" s="23" t="e">
        <f ca="1">[1]!BexGetData("DP_1","003N8EMH8GTFRCSWKMPXRRESE","GSON1112031483")</f>
        <v>#NAME?</v>
      </c>
      <c r="E579" s="28" t="e">
        <f ca="1">[1]!BexGetData("DP_1","003N8EMH8GTFRCSWKMPXRRL3Y","GSON1112031483")</f>
        <v>#NAME?</v>
      </c>
      <c r="F579" s="24" t="e">
        <f ca="1">[1]!BexGetData("DP_1","003N8EMH8GTFRCSWKMPXRRRFI","GSON1112031483")</f>
        <v>#NAME?</v>
      </c>
      <c r="G579" s="24" t="e">
        <f ca="1">[1]!BexGetData("DP_1","003N8EMH8GTFRCSWKMPXRRXR2","GSON1112031483")</f>
        <v>#NAME?</v>
      </c>
      <c r="H579" s="24" t="e">
        <f ca="1">[1]!BexGetData("DP_1","003N8EMH8GTFRCSWKMPXRS42M","GSON1112031483")</f>
        <v>#NAME?</v>
      </c>
      <c r="I579" s="24" t="e">
        <f ca="1">[1]!BexGetData("DP_1","003N8EMH8GTFRCSWKMPXRSAE6","GSON1112031483")</f>
        <v>#NAME?</v>
      </c>
      <c r="J579" s="24" t="e">
        <f ca="1">[1]!BexGetData("DP_1","003N8EMH8GTFRCSWKMPXRSGPQ","GSON1112031483")</f>
        <v>#NAME?</v>
      </c>
      <c r="K579" s="28" t="e">
        <f ca="1">[1]!BexGetData("DP_1","003N8EMH8GTFRIVNUPY288VJH","GSON1112031483")</f>
        <v>#NAME?</v>
      </c>
      <c r="L579" s="28" t="e">
        <f ca="1">[1]!BexGetData("DP_1","003N8EMH8GTFRIVNUPY2891V1","GSON1112031483")</f>
        <v>#NAME?</v>
      </c>
      <c r="M579" s="28" t="e">
        <f ca="1">[1]!BexGetData("DP_1","003N8EMH8GTFRIVOG7KG9IQXA","GSON1112031483")</f>
        <v>#NAME?</v>
      </c>
      <c r="N579" s="28" t="e">
        <f ca="1">[1]!BexGetData("DP_1","003N8EMH8GTFRIVOG7KG9IX8U","GSON1112031483")</f>
        <v>#NAME?</v>
      </c>
      <c r="O579" s="28" t="e">
        <f ca="1">[1]!BexGetData("DP_1","003N8EMH8GTFRIVOG7KG9J3KE","GSON1112031483")</f>
        <v>#NAME?</v>
      </c>
      <c r="P579" s="28" t="e">
        <f ca="1">[1]!BexGetData("DP_1","003N8EMH8GTFRIVOG7KG9J9VY","GSON1112031483")</f>
        <v>#NAME?</v>
      </c>
      <c r="Q579" s="24" t="e">
        <f ca="1">[1]!BexGetData("DP_1","00O2TNJGODT0G5Z4TTKYMM5MT","GSON1112031483")</f>
        <v>#NAME?</v>
      </c>
      <c r="R579" s="24" t="e">
        <f ca="1">[1]!BexGetData("DP_1","00O2TNJGODT0G5Z4TTKYMMBYD","GSON1112031483")</f>
        <v>#NAME?</v>
      </c>
      <c r="S579" s="24" t="e">
        <f ca="1">[1]!BexGetData("DP_1","00O2TNJGODT0G5Z4TTKYMMI9X","GSON1112031483")</f>
        <v>#NAME?</v>
      </c>
      <c r="T579" s="24" t="e">
        <f ca="1">[1]!BexGetData("DP_1","00O2TNJGODT0G5Z4TTKYMMOLH","GSON1112031483")</f>
        <v>#NAME?</v>
      </c>
      <c r="U579" s="24" t="e">
        <f ca="1">[1]!BexGetData("DP_1","00O2TNJGODT0G5Z4TTKYMMUX1","GSON1112031483")</f>
        <v>#NAME?</v>
      </c>
      <c r="V579" s="24" t="e">
        <f ca="1">[1]!BexGetData("DP_1","00O2TNJGODT0G5Z4TTKYMN18L","GSON1112031483")</f>
        <v>#NAME?</v>
      </c>
      <c r="W579" s="24" t="e">
        <f ca="1">[1]!BexGetData("DP_1","00O2TNJGODT0G5Z4TTKYMN7K5","GSON1112031483")</f>
        <v>#NAME?</v>
      </c>
    </row>
    <row r="580" spans="1:23" x14ac:dyDescent="0.2">
      <c r="A580" s="36" t="s">
        <v>2590</v>
      </c>
      <c r="B580" s="27" t="s">
        <v>2591</v>
      </c>
      <c r="C580" s="23" t="e">
        <f ca="1">[1]!BexGetData("DP_1","003N8EMH8GTFRCSWKMPXRR8GU","GSON1112031485")</f>
        <v>#NAME?</v>
      </c>
      <c r="D580" s="23" t="e">
        <f ca="1">[1]!BexGetData("DP_1","003N8EMH8GTFRCSWKMPXRRESE","GSON1112031485")</f>
        <v>#NAME?</v>
      </c>
      <c r="E580" s="28" t="e">
        <f ca="1">[1]!BexGetData("DP_1","003N8EMH8GTFRCSWKMPXRRL3Y","GSON1112031485")</f>
        <v>#NAME?</v>
      </c>
      <c r="F580" s="24" t="e">
        <f ca="1">[1]!BexGetData("DP_1","003N8EMH8GTFRCSWKMPXRRRFI","GSON1112031485")</f>
        <v>#NAME?</v>
      </c>
      <c r="G580" s="24" t="e">
        <f ca="1">[1]!BexGetData("DP_1","003N8EMH8GTFRCSWKMPXRRXR2","GSON1112031485")</f>
        <v>#NAME?</v>
      </c>
      <c r="H580" s="24" t="e">
        <f ca="1">[1]!BexGetData("DP_1","003N8EMH8GTFRCSWKMPXRS42M","GSON1112031485")</f>
        <v>#NAME?</v>
      </c>
      <c r="I580" s="24" t="e">
        <f ca="1">[1]!BexGetData("DP_1","003N8EMH8GTFRCSWKMPXRSAE6","GSON1112031485")</f>
        <v>#NAME?</v>
      </c>
      <c r="J580" s="24" t="e">
        <f ca="1">[1]!BexGetData("DP_1","003N8EMH8GTFRCSWKMPXRSGPQ","GSON1112031485")</f>
        <v>#NAME?</v>
      </c>
      <c r="K580" s="28" t="e">
        <f ca="1">[1]!BexGetData("DP_1","003N8EMH8GTFRIVNUPY288VJH","GSON1112031485")</f>
        <v>#NAME?</v>
      </c>
      <c r="L580" s="28" t="e">
        <f ca="1">[1]!BexGetData("DP_1","003N8EMH8GTFRIVNUPY2891V1","GSON1112031485")</f>
        <v>#NAME?</v>
      </c>
      <c r="M580" s="28" t="e">
        <f ca="1">[1]!BexGetData("DP_1","003N8EMH8GTFRIVOG7KG9IQXA","GSON1112031485")</f>
        <v>#NAME?</v>
      </c>
      <c r="N580" s="28" t="e">
        <f ca="1">[1]!BexGetData("DP_1","003N8EMH8GTFRIVOG7KG9IX8U","GSON1112031485")</f>
        <v>#NAME?</v>
      </c>
      <c r="O580" s="28" t="e">
        <f ca="1">[1]!BexGetData("DP_1","003N8EMH8GTFRIVOG7KG9J3KE","GSON1112031485")</f>
        <v>#NAME?</v>
      </c>
      <c r="P580" s="28" t="e">
        <f ca="1">[1]!BexGetData("DP_1","003N8EMH8GTFRIVOG7KG9J9VY","GSON1112031485")</f>
        <v>#NAME?</v>
      </c>
      <c r="Q580" s="24" t="e">
        <f ca="1">[1]!BexGetData("DP_1","00O2TNJGODT0G5Z4TTKYMM5MT","GSON1112031485")</f>
        <v>#NAME?</v>
      </c>
      <c r="R580" s="24" t="e">
        <f ca="1">[1]!BexGetData("DP_1","00O2TNJGODT0G5Z4TTKYMMBYD","GSON1112031485")</f>
        <v>#NAME?</v>
      </c>
      <c r="S580" s="24" t="e">
        <f ca="1">[1]!BexGetData("DP_1","00O2TNJGODT0G5Z4TTKYMMI9X","GSON1112031485")</f>
        <v>#NAME?</v>
      </c>
      <c r="T580" s="24" t="e">
        <f ca="1">[1]!BexGetData("DP_1","00O2TNJGODT0G5Z4TTKYMMOLH","GSON1112031485")</f>
        <v>#NAME?</v>
      </c>
      <c r="U580" s="24" t="e">
        <f ca="1">[1]!BexGetData("DP_1","00O2TNJGODT0G5Z4TTKYMMUX1","GSON1112031485")</f>
        <v>#NAME?</v>
      </c>
      <c r="V580" s="24" t="e">
        <f ca="1">[1]!BexGetData("DP_1","00O2TNJGODT0G5Z4TTKYMN18L","GSON1112031485")</f>
        <v>#NAME?</v>
      </c>
      <c r="W580" s="24" t="e">
        <f ca="1">[1]!BexGetData("DP_1","00O2TNJGODT0G5Z4TTKYMN7K5","GSON1112031485")</f>
        <v>#NAME?</v>
      </c>
    </row>
    <row r="581" spans="1:23" x14ac:dyDescent="0.2">
      <c r="A581" s="36" t="s">
        <v>2592</v>
      </c>
      <c r="B581" s="27" t="s">
        <v>2593</v>
      </c>
      <c r="C581" s="23" t="e">
        <f ca="1">[1]!BexGetData("DP_1","003N8EMH8GTFRCSWKMPXRR8GU","GSON1112031490")</f>
        <v>#NAME?</v>
      </c>
      <c r="D581" s="23" t="e">
        <f ca="1">[1]!BexGetData("DP_1","003N8EMH8GTFRCSWKMPXRRESE","GSON1112031490")</f>
        <v>#NAME?</v>
      </c>
      <c r="E581" s="28" t="e">
        <f ca="1">[1]!BexGetData("DP_1","003N8EMH8GTFRCSWKMPXRRL3Y","GSON1112031490")</f>
        <v>#NAME?</v>
      </c>
      <c r="F581" s="24" t="e">
        <f ca="1">[1]!BexGetData("DP_1","003N8EMH8GTFRCSWKMPXRRRFI","GSON1112031490")</f>
        <v>#NAME?</v>
      </c>
      <c r="G581" s="24" t="e">
        <f ca="1">[1]!BexGetData("DP_1","003N8EMH8GTFRCSWKMPXRRXR2","GSON1112031490")</f>
        <v>#NAME?</v>
      </c>
      <c r="H581" s="24" t="e">
        <f ca="1">[1]!BexGetData("DP_1","003N8EMH8GTFRCSWKMPXRS42M","GSON1112031490")</f>
        <v>#NAME?</v>
      </c>
      <c r="I581" s="24" t="e">
        <f ca="1">[1]!BexGetData("DP_1","003N8EMH8GTFRCSWKMPXRSAE6","GSON1112031490")</f>
        <v>#NAME?</v>
      </c>
      <c r="J581" s="24" t="e">
        <f ca="1">[1]!BexGetData("DP_1","003N8EMH8GTFRCSWKMPXRSGPQ","GSON1112031490")</f>
        <v>#NAME?</v>
      </c>
      <c r="K581" s="28" t="e">
        <f ca="1">[1]!BexGetData("DP_1","003N8EMH8GTFRIVNUPY288VJH","GSON1112031490")</f>
        <v>#NAME?</v>
      </c>
      <c r="L581" s="28" t="e">
        <f ca="1">[1]!BexGetData("DP_1","003N8EMH8GTFRIVNUPY2891V1","GSON1112031490")</f>
        <v>#NAME?</v>
      </c>
      <c r="M581" s="28" t="e">
        <f ca="1">[1]!BexGetData("DP_1","003N8EMH8GTFRIVOG7KG9IQXA","GSON1112031490")</f>
        <v>#NAME?</v>
      </c>
      <c r="N581" s="28" t="e">
        <f ca="1">[1]!BexGetData("DP_1","003N8EMH8GTFRIVOG7KG9IX8U","GSON1112031490")</f>
        <v>#NAME?</v>
      </c>
      <c r="O581" s="28" t="e">
        <f ca="1">[1]!BexGetData("DP_1","003N8EMH8GTFRIVOG7KG9J3KE","GSON1112031490")</f>
        <v>#NAME?</v>
      </c>
      <c r="P581" s="28" t="e">
        <f ca="1">[1]!BexGetData("DP_1","003N8EMH8GTFRIVOG7KG9J9VY","GSON1112031490")</f>
        <v>#NAME?</v>
      </c>
      <c r="Q581" s="24" t="e">
        <f ca="1">[1]!BexGetData("DP_1","00O2TNJGODT0G5Z4TTKYMM5MT","GSON1112031490")</f>
        <v>#NAME?</v>
      </c>
      <c r="R581" s="24" t="e">
        <f ca="1">[1]!BexGetData("DP_1","00O2TNJGODT0G5Z4TTKYMMBYD","GSON1112031490")</f>
        <v>#NAME?</v>
      </c>
      <c r="S581" s="24" t="e">
        <f ca="1">[1]!BexGetData("DP_1","00O2TNJGODT0G5Z4TTKYMMI9X","GSON1112031490")</f>
        <v>#NAME?</v>
      </c>
      <c r="T581" s="24" t="e">
        <f ca="1">[1]!BexGetData("DP_1","00O2TNJGODT0G5Z4TTKYMMOLH","GSON1112031490")</f>
        <v>#NAME?</v>
      </c>
      <c r="U581" s="24" t="e">
        <f ca="1">[1]!BexGetData("DP_1","00O2TNJGODT0G5Z4TTKYMMUX1","GSON1112031490")</f>
        <v>#NAME?</v>
      </c>
      <c r="V581" s="24" t="e">
        <f ca="1">[1]!BexGetData("DP_1","00O2TNJGODT0G5Z4TTKYMN18L","GSON1112031490")</f>
        <v>#NAME?</v>
      </c>
      <c r="W581" s="24" t="e">
        <f ca="1">[1]!BexGetData("DP_1","00O2TNJGODT0G5Z4TTKYMN7K5","GSON1112031490")</f>
        <v>#NAME?</v>
      </c>
    </row>
    <row r="582" spans="1:23" x14ac:dyDescent="0.2">
      <c r="A582" s="36" t="s">
        <v>2594</v>
      </c>
      <c r="B582" s="27" t="s">
        <v>2595</v>
      </c>
      <c r="C582" s="23" t="e">
        <f ca="1">[1]!BexGetData("DP_1","003N8EMH8GTFRCSWKMPXRR8GU","GSON1112031491")</f>
        <v>#NAME?</v>
      </c>
      <c r="D582" s="23" t="e">
        <f ca="1">[1]!BexGetData("DP_1","003N8EMH8GTFRCSWKMPXRRESE","GSON1112031491")</f>
        <v>#NAME?</v>
      </c>
      <c r="E582" s="28" t="e">
        <f ca="1">[1]!BexGetData("DP_1","003N8EMH8GTFRCSWKMPXRRL3Y","GSON1112031491")</f>
        <v>#NAME?</v>
      </c>
      <c r="F582" s="24" t="e">
        <f ca="1">[1]!BexGetData("DP_1","003N8EMH8GTFRCSWKMPXRRRFI","GSON1112031491")</f>
        <v>#NAME?</v>
      </c>
      <c r="G582" s="24" t="e">
        <f ca="1">[1]!BexGetData("DP_1","003N8EMH8GTFRCSWKMPXRRXR2","GSON1112031491")</f>
        <v>#NAME?</v>
      </c>
      <c r="H582" s="24" t="e">
        <f ca="1">[1]!BexGetData("DP_1","003N8EMH8GTFRCSWKMPXRS42M","GSON1112031491")</f>
        <v>#NAME?</v>
      </c>
      <c r="I582" s="24" t="e">
        <f ca="1">[1]!BexGetData("DP_1","003N8EMH8GTFRCSWKMPXRSAE6","GSON1112031491")</f>
        <v>#NAME?</v>
      </c>
      <c r="J582" s="24" t="e">
        <f ca="1">[1]!BexGetData("DP_1","003N8EMH8GTFRCSWKMPXRSGPQ","GSON1112031491")</f>
        <v>#NAME?</v>
      </c>
      <c r="K582" s="28" t="e">
        <f ca="1">[1]!BexGetData("DP_1","003N8EMH8GTFRIVNUPY288VJH","GSON1112031491")</f>
        <v>#NAME?</v>
      </c>
      <c r="L582" s="28" t="e">
        <f ca="1">[1]!BexGetData("DP_1","003N8EMH8GTFRIVNUPY2891V1","GSON1112031491")</f>
        <v>#NAME?</v>
      </c>
      <c r="M582" s="28" t="e">
        <f ca="1">[1]!BexGetData("DP_1","003N8EMH8GTFRIVOG7KG9IQXA","GSON1112031491")</f>
        <v>#NAME?</v>
      </c>
      <c r="N582" s="28" t="e">
        <f ca="1">[1]!BexGetData("DP_1","003N8EMH8GTFRIVOG7KG9IX8U","GSON1112031491")</f>
        <v>#NAME?</v>
      </c>
      <c r="O582" s="28" t="e">
        <f ca="1">[1]!BexGetData("DP_1","003N8EMH8GTFRIVOG7KG9J3KE","GSON1112031491")</f>
        <v>#NAME?</v>
      </c>
      <c r="P582" s="28" t="e">
        <f ca="1">[1]!BexGetData("DP_1","003N8EMH8GTFRIVOG7KG9J9VY","GSON1112031491")</f>
        <v>#NAME?</v>
      </c>
      <c r="Q582" s="24" t="e">
        <f ca="1">[1]!BexGetData("DP_1","00O2TNJGODT0G5Z4TTKYMM5MT","GSON1112031491")</f>
        <v>#NAME?</v>
      </c>
      <c r="R582" s="24" t="e">
        <f ca="1">[1]!BexGetData("DP_1","00O2TNJGODT0G5Z4TTKYMMBYD","GSON1112031491")</f>
        <v>#NAME?</v>
      </c>
      <c r="S582" s="24" t="e">
        <f ca="1">[1]!BexGetData("DP_1","00O2TNJGODT0G5Z4TTKYMMI9X","GSON1112031491")</f>
        <v>#NAME?</v>
      </c>
      <c r="T582" s="24" t="e">
        <f ca="1">[1]!BexGetData("DP_1","00O2TNJGODT0G5Z4TTKYMMOLH","GSON1112031491")</f>
        <v>#NAME?</v>
      </c>
      <c r="U582" s="24" t="e">
        <f ca="1">[1]!BexGetData("DP_1","00O2TNJGODT0G5Z4TTKYMMUX1","GSON1112031491")</f>
        <v>#NAME?</v>
      </c>
      <c r="V582" s="24" t="e">
        <f ca="1">[1]!BexGetData("DP_1","00O2TNJGODT0G5Z4TTKYMN18L","GSON1112031491")</f>
        <v>#NAME?</v>
      </c>
      <c r="W582" s="24" t="e">
        <f ca="1">[1]!BexGetData("DP_1","00O2TNJGODT0G5Z4TTKYMN7K5","GSON1112031491")</f>
        <v>#NAME?</v>
      </c>
    </row>
    <row r="583" spans="1:23" x14ac:dyDescent="0.2">
      <c r="A583" s="36" t="s">
        <v>2596</v>
      </c>
      <c r="B583" s="27" t="s">
        <v>2597</v>
      </c>
      <c r="C583" s="23" t="e">
        <f ca="1">[1]!BexGetData("DP_1","003N8EMH8GTFRCSWKMPXRR8GU","GSON1112031493")</f>
        <v>#NAME?</v>
      </c>
      <c r="D583" s="23" t="e">
        <f ca="1">[1]!BexGetData("DP_1","003N8EMH8GTFRCSWKMPXRRESE","GSON1112031493")</f>
        <v>#NAME?</v>
      </c>
      <c r="E583" s="28" t="e">
        <f ca="1">[1]!BexGetData("DP_1","003N8EMH8GTFRCSWKMPXRRL3Y","GSON1112031493")</f>
        <v>#NAME?</v>
      </c>
      <c r="F583" s="24" t="e">
        <f ca="1">[1]!BexGetData("DP_1","003N8EMH8GTFRCSWKMPXRRRFI","GSON1112031493")</f>
        <v>#NAME?</v>
      </c>
      <c r="G583" s="24" t="e">
        <f ca="1">[1]!BexGetData("DP_1","003N8EMH8GTFRCSWKMPXRRXR2","GSON1112031493")</f>
        <v>#NAME?</v>
      </c>
      <c r="H583" s="24" t="e">
        <f ca="1">[1]!BexGetData("DP_1","003N8EMH8GTFRCSWKMPXRS42M","GSON1112031493")</f>
        <v>#NAME?</v>
      </c>
      <c r="I583" s="24" t="e">
        <f ca="1">[1]!BexGetData("DP_1","003N8EMH8GTFRCSWKMPXRSAE6","GSON1112031493")</f>
        <v>#NAME?</v>
      </c>
      <c r="J583" s="24" t="e">
        <f ca="1">[1]!BexGetData("DP_1","003N8EMH8GTFRCSWKMPXRSGPQ","GSON1112031493")</f>
        <v>#NAME?</v>
      </c>
      <c r="K583" s="28" t="e">
        <f ca="1">[1]!BexGetData("DP_1","003N8EMH8GTFRIVNUPY288VJH","GSON1112031493")</f>
        <v>#NAME?</v>
      </c>
      <c r="L583" s="28" t="e">
        <f ca="1">[1]!BexGetData("DP_1","003N8EMH8GTFRIVNUPY2891V1","GSON1112031493")</f>
        <v>#NAME?</v>
      </c>
      <c r="M583" s="28" t="e">
        <f ca="1">[1]!BexGetData("DP_1","003N8EMH8GTFRIVOG7KG9IQXA","GSON1112031493")</f>
        <v>#NAME?</v>
      </c>
      <c r="N583" s="28" t="e">
        <f ca="1">[1]!BexGetData("DP_1","003N8EMH8GTFRIVOG7KG9IX8U","GSON1112031493")</f>
        <v>#NAME?</v>
      </c>
      <c r="O583" s="28" t="e">
        <f ca="1">[1]!BexGetData("DP_1","003N8EMH8GTFRIVOG7KG9J3KE","GSON1112031493")</f>
        <v>#NAME?</v>
      </c>
      <c r="P583" s="28" t="e">
        <f ca="1">[1]!BexGetData("DP_1","003N8EMH8GTFRIVOG7KG9J9VY","GSON1112031493")</f>
        <v>#NAME?</v>
      </c>
      <c r="Q583" s="24" t="e">
        <f ca="1">[1]!BexGetData("DP_1","00O2TNJGODT0G5Z4TTKYMM5MT","GSON1112031493")</f>
        <v>#NAME?</v>
      </c>
      <c r="R583" s="24" t="e">
        <f ca="1">[1]!BexGetData("DP_1","00O2TNJGODT0G5Z4TTKYMMBYD","GSON1112031493")</f>
        <v>#NAME?</v>
      </c>
      <c r="S583" s="24" t="e">
        <f ca="1">[1]!BexGetData("DP_1","00O2TNJGODT0G5Z4TTKYMMI9X","GSON1112031493")</f>
        <v>#NAME?</v>
      </c>
      <c r="T583" s="24" t="e">
        <f ca="1">[1]!BexGetData("DP_1","00O2TNJGODT0G5Z4TTKYMMOLH","GSON1112031493")</f>
        <v>#NAME?</v>
      </c>
      <c r="U583" s="24" t="e">
        <f ca="1">[1]!BexGetData("DP_1","00O2TNJGODT0G5Z4TTKYMMUX1","GSON1112031493")</f>
        <v>#NAME?</v>
      </c>
      <c r="V583" s="24" t="e">
        <f ca="1">[1]!BexGetData("DP_1","00O2TNJGODT0G5Z4TTKYMN18L","GSON1112031493")</f>
        <v>#NAME?</v>
      </c>
      <c r="W583" s="24" t="e">
        <f ca="1">[1]!BexGetData("DP_1","00O2TNJGODT0G5Z4TTKYMN7K5","GSON1112031493")</f>
        <v>#NAME?</v>
      </c>
    </row>
    <row r="584" spans="1:23" x14ac:dyDescent="0.2">
      <c r="A584" s="36" t="s">
        <v>2598</v>
      </c>
      <c r="B584" s="27" t="s">
        <v>2599</v>
      </c>
      <c r="C584" s="23" t="e">
        <f ca="1">[1]!BexGetData("DP_1","003N8EMH8GTFRCSWKMPXRR8GU","GSON1112031495")</f>
        <v>#NAME?</v>
      </c>
      <c r="D584" s="23" t="e">
        <f ca="1">[1]!BexGetData("DP_1","003N8EMH8GTFRCSWKMPXRRESE","GSON1112031495")</f>
        <v>#NAME?</v>
      </c>
      <c r="E584" s="28" t="e">
        <f ca="1">[1]!BexGetData("DP_1","003N8EMH8GTFRCSWKMPXRRL3Y","GSON1112031495")</f>
        <v>#NAME?</v>
      </c>
      <c r="F584" s="24" t="e">
        <f ca="1">[1]!BexGetData("DP_1","003N8EMH8GTFRCSWKMPXRRRFI","GSON1112031495")</f>
        <v>#NAME?</v>
      </c>
      <c r="G584" s="24" t="e">
        <f ca="1">[1]!BexGetData("DP_1","003N8EMH8GTFRCSWKMPXRRXR2","GSON1112031495")</f>
        <v>#NAME?</v>
      </c>
      <c r="H584" s="24" t="e">
        <f ca="1">[1]!BexGetData("DP_1","003N8EMH8GTFRCSWKMPXRS42M","GSON1112031495")</f>
        <v>#NAME?</v>
      </c>
      <c r="I584" s="24" t="e">
        <f ca="1">[1]!BexGetData("DP_1","003N8EMH8GTFRCSWKMPXRSAE6","GSON1112031495")</f>
        <v>#NAME?</v>
      </c>
      <c r="J584" s="24" t="e">
        <f ca="1">[1]!BexGetData("DP_1","003N8EMH8GTFRCSWKMPXRSGPQ","GSON1112031495")</f>
        <v>#NAME?</v>
      </c>
      <c r="K584" s="28" t="e">
        <f ca="1">[1]!BexGetData("DP_1","003N8EMH8GTFRIVNUPY288VJH","GSON1112031495")</f>
        <v>#NAME?</v>
      </c>
      <c r="L584" s="28" t="e">
        <f ca="1">[1]!BexGetData("DP_1","003N8EMH8GTFRIVNUPY2891V1","GSON1112031495")</f>
        <v>#NAME?</v>
      </c>
      <c r="M584" s="28" t="e">
        <f ca="1">[1]!BexGetData("DP_1","003N8EMH8GTFRIVOG7KG9IQXA","GSON1112031495")</f>
        <v>#NAME?</v>
      </c>
      <c r="N584" s="28" t="e">
        <f ca="1">[1]!BexGetData("DP_1","003N8EMH8GTFRIVOG7KG9IX8U","GSON1112031495")</f>
        <v>#NAME?</v>
      </c>
      <c r="O584" s="28" t="e">
        <f ca="1">[1]!BexGetData("DP_1","003N8EMH8GTFRIVOG7KG9J3KE","GSON1112031495")</f>
        <v>#NAME?</v>
      </c>
      <c r="P584" s="28" t="e">
        <f ca="1">[1]!BexGetData("DP_1","003N8EMH8GTFRIVOG7KG9J9VY","GSON1112031495")</f>
        <v>#NAME?</v>
      </c>
      <c r="Q584" s="24" t="e">
        <f ca="1">[1]!BexGetData("DP_1","00O2TNJGODT0G5Z4TTKYMM5MT","GSON1112031495")</f>
        <v>#NAME?</v>
      </c>
      <c r="R584" s="24" t="e">
        <f ca="1">[1]!BexGetData("DP_1","00O2TNJGODT0G5Z4TTKYMMBYD","GSON1112031495")</f>
        <v>#NAME?</v>
      </c>
      <c r="S584" s="24" t="e">
        <f ca="1">[1]!BexGetData("DP_1","00O2TNJGODT0G5Z4TTKYMMI9X","GSON1112031495")</f>
        <v>#NAME?</v>
      </c>
      <c r="T584" s="24" t="e">
        <f ca="1">[1]!BexGetData("DP_1","00O2TNJGODT0G5Z4TTKYMMOLH","GSON1112031495")</f>
        <v>#NAME?</v>
      </c>
      <c r="U584" s="24" t="e">
        <f ca="1">[1]!BexGetData("DP_1","00O2TNJGODT0G5Z4TTKYMMUX1","GSON1112031495")</f>
        <v>#NAME?</v>
      </c>
      <c r="V584" s="24" t="e">
        <f ca="1">[1]!BexGetData("DP_1","00O2TNJGODT0G5Z4TTKYMN18L","GSON1112031495")</f>
        <v>#NAME?</v>
      </c>
      <c r="W584" s="24" t="e">
        <f ca="1">[1]!BexGetData("DP_1","00O2TNJGODT0G5Z4TTKYMN7K5","GSON1112031495")</f>
        <v>#NAME?</v>
      </c>
    </row>
    <row r="585" spans="1:23" x14ac:dyDescent="0.2">
      <c r="A585" s="36" t="s">
        <v>2600</v>
      </c>
      <c r="B585" s="27" t="s">
        <v>2601</v>
      </c>
      <c r="C585" s="23" t="e">
        <f ca="1">[1]!BexGetData("DP_1","003N8EMH8GTFRCSWKMPXRR8GU","GSON1112031500")</f>
        <v>#NAME?</v>
      </c>
      <c r="D585" s="23" t="e">
        <f ca="1">[1]!BexGetData("DP_1","003N8EMH8GTFRCSWKMPXRRESE","GSON1112031500")</f>
        <v>#NAME?</v>
      </c>
      <c r="E585" s="23" t="e">
        <f ca="1">[1]!BexGetData("DP_1","003N8EMH8GTFRCSWKMPXRRL3Y","GSON1112031500")</f>
        <v>#NAME?</v>
      </c>
      <c r="F585" s="24" t="e">
        <f ca="1">[1]!BexGetData("DP_1","003N8EMH8GTFRCSWKMPXRRRFI","GSON1112031500")</f>
        <v>#NAME?</v>
      </c>
      <c r="G585" s="24" t="e">
        <f ca="1">[1]!BexGetData("DP_1","003N8EMH8GTFRCSWKMPXRRXR2","GSON1112031500")</f>
        <v>#NAME?</v>
      </c>
      <c r="H585" s="24" t="e">
        <f ca="1">[1]!BexGetData("DP_1","003N8EMH8GTFRCSWKMPXRS42M","GSON1112031500")</f>
        <v>#NAME?</v>
      </c>
      <c r="I585" s="24" t="e">
        <f ca="1">[1]!BexGetData("DP_1","003N8EMH8GTFRCSWKMPXRSAE6","GSON1112031500")</f>
        <v>#NAME?</v>
      </c>
      <c r="J585" s="24" t="e">
        <f ca="1">[1]!BexGetData("DP_1","003N8EMH8GTFRCSWKMPXRSGPQ","GSON1112031500")</f>
        <v>#NAME?</v>
      </c>
      <c r="K585" s="23" t="e">
        <f ca="1">[1]!BexGetData("DP_1","003N8EMH8GTFRIVNUPY288VJH","GSON1112031500")</f>
        <v>#NAME?</v>
      </c>
      <c r="L585" s="23" t="e">
        <f ca="1">[1]!BexGetData("DP_1","003N8EMH8GTFRIVNUPY2891V1","GSON1112031500")</f>
        <v>#NAME?</v>
      </c>
      <c r="M585" s="28" t="e">
        <f ca="1">[1]!BexGetData("DP_1","003N8EMH8GTFRIVOG7KG9IQXA","GSON1112031500")</f>
        <v>#NAME?</v>
      </c>
      <c r="N585" s="23" t="e">
        <f ca="1">[1]!BexGetData("DP_1","003N8EMH8GTFRIVOG7KG9IX8U","GSON1112031500")</f>
        <v>#NAME?</v>
      </c>
      <c r="O585" s="28" t="e">
        <f ca="1">[1]!BexGetData("DP_1","003N8EMH8GTFRIVOG7KG9J3KE","GSON1112031500")</f>
        <v>#NAME?</v>
      </c>
      <c r="P585" s="23" t="e">
        <f ca="1">[1]!BexGetData("DP_1","003N8EMH8GTFRIVOG7KG9J9VY","GSON1112031500")</f>
        <v>#NAME?</v>
      </c>
      <c r="Q585" s="24" t="e">
        <f ca="1">[1]!BexGetData("DP_1","00O2TNJGODT0G5Z4TTKYMM5MT","GSON1112031500")</f>
        <v>#NAME?</v>
      </c>
      <c r="R585" s="24" t="e">
        <f ca="1">[1]!BexGetData("DP_1","00O2TNJGODT0G5Z4TTKYMMBYD","GSON1112031500")</f>
        <v>#NAME?</v>
      </c>
      <c r="S585" s="24" t="e">
        <f ca="1">[1]!BexGetData("DP_1","00O2TNJGODT0G5Z4TTKYMMI9X","GSON1112031500")</f>
        <v>#NAME?</v>
      </c>
      <c r="T585" s="24" t="e">
        <f ca="1">[1]!BexGetData("DP_1","00O2TNJGODT0G5Z4TTKYMMOLH","GSON1112031500")</f>
        <v>#NAME?</v>
      </c>
      <c r="U585" s="24" t="e">
        <f ca="1">[1]!BexGetData("DP_1","00O2TNJGODT0G5Z4TTKYMMUX1","GSON1112031500")</f>
        <v>#NAME?</v>
      </c>
      <c r="V585" s="24" t="e">
        <f ca="1">[1]!BexGetData("DP_1","00O2TNJGODT0G5Z4TTKYMN18L","GSON1112031500")</f>
        <v>#NAME?</v>
      </c>
      <c r="W585" s="24" t="e">
        <f ca="1">[1]!BexGetData("DP_1","00O2TNJGODT0G5Z4TTKYMN7K5","GSON1112031500")</f>
        <v>#NAME?</v>
      </c>
    </row>
    <row r="586" spans="1:23" x14ac:dyDescent="0.2">
      <c r="A586" s="36" t="s">
        <v>2602</v>
      </c>
      <c r="B586" s="27" t="s">
        <v>2603</v>
      </c>
      <c r="C586" s="23" t="e">
        <f ca="1">[1]!BexGetData("DP_1","003N8EMH8GTFRCSWKMPXRR8GU","GSON1112031501")</f>
        <v>#NAME?</v>
      </c>
      <c r="D586" s="23" t="e">
        <f ca="1">[1]!BexGetData("DP_1","003N8EMH8GTFRCSWKMPXRRESE","GSON1112031501")</f>
        <v>#NAME?</v>
      </c>
      <c r="E586" s="28" t="e">
        <f ca="1">[1]!BexGetData("DP_1","003N8EMH8GTFRCSWKMPXRRL3Y","GSON1112031501")</f>
        <v>#NAME?</v>
      </c>
      <c r="F586" s="24" t="e">
        <f ca="1">[1]!BexGetData("DP_1","003N8EMH8GTFRCSWKMPXRRRFI","GSON1112031501")</f>
        <v>#NAME?</v>
      </c>
      <c r="G586" s="24" t="e">
        <f ca="1">[1]!BexGetData("DP_1","003N8EMH8GTFRCSWKMPXRRXR2","GSON1112031501")</f>
        <v>#NAME?</v>
      </c>
      <c r="H586" s="24" t="e">
        <f ca="1">[1]!BexGetData("DP_1","003N8EMH8GTFRCSWKMPXRS42M","GSON1112031501")</f>
        <v>#NAME?</v>
      </c>
      <c r="I586" s="24" t="e">
        <f ca="1">[1]!BexGetData("DP_1","003N8EMH8GTFRCSWKMPXRSAE6","GSON1112031501")</f>
        <v>#NAME?</v>
      </c>
      <c r="J586" s="24" t="e">
        <f ca="1">[1]!BexGetData("DP_1","003N8EMH8GTFRCSWKMPXRSGPQ","GSON1112031501")</f>
        <v>#NAME?</v>
      </c>
      <c r="K586" s="28" t="e">
        <f ca="1">[1]!BexGetData("DP_1","003N8EMH8GTFRIVNUPY288VJH","GSON1112031501")</f>
        <v>#NAME?</v>
      </c>
      <c r="L586" s="28" t="e">
        <f ca="1">[1]!BexGetData("DP_1","003N8EMH8GTFRIVNUPY2891V1","GSON1112031501")</f>
        <v>#NAME?</v>
      </c>
      <c r="M586" s="28" t="e">
        <f ca="1">[1]!BexGetData("DP_1","003N8EMH8GTFRIVOG7KG9IQXA","GSON1112031501")</f>
        <v>#NAME?</v>
      </c>
      <c r="N586" s="28" t="e">
        <f ca="1">[1]!BexGetData("DP_1","003N8EMH8GTFRIVOG7KG9IX8U","GSON1112031501")</f>
        <v>#NAME?</v>
      </c>
      <c r="O586" s="28" t="e">
        <f ca="1">[1]!BexGetData("DP_1","003N8EMH8GTFRIVOG7KG9J3KE","GSON1112031501")</f>
        <v>#NAME?</v>
      </c>
      <c r="P586" s="28" t="e">
        <f ca="1">[1]!BexGetData("DP_1","003N8EMH8GTFRIVOG7KG9J9VY","GSON1112031501")</f>
        <v>#NAME?</v>
      </c>
      <c r="Q586" s="24" t="e">
        <f ca="1">[1]!BexGetData("DP_1","00O2TNJGODT0G5Z4TTKYMM5MT","GSON1112031501")</f>
        <v>#NAME?</v>
      </c>
      <c r="R586" s="24" t="e">
        <f ca="1">[1]!BexGetData("DP_1","00O2TNJGODT0G5Z4TTKYMMBYD","GSON1112031501")</f>
        <v>#NAME?</v>
      </c>
      <c r="S586" s="24" t="e">
        <f ca="1">[1]!BexGetData("DP_1","00O2TNJGODT0G5Z4TTKYMMI9X","GSON1112031501")</f>
        <v>#NAME?</v>
      </c>
      <c r="T586" s="24" t="e">
        <f ca="1">[1]!BexGetData("DP_1","00O2TNJGODT0G5Z4TTKYMMOLH","GSON1112031501")</f>
        <v>#NAME?</v>
      </c>
      <c r="U586" s="24" t="e">
        <f ca="1">[1]!BexGetData("DP_1","00O2TNJGODT0G5Z4TTKYMMUX1","GSON1112031501")</f>
        <v>#NAME?</v>
      </c>
      <c r="V586" s="24" t="e">
        <f ca="1">[1]!BexGetData("DP_1","00O2TNJGODT0G5Z4TTKYMN18L","GSON1112031501")</f>
        <v>#NAME?</v>
      </c>
      <c r="W586" s="24" t="e">
        <f ca="1">[1]!BexGetData("DP_1","00O2TNJGODT0G5Z4TTKYMN7K5","GSON1112031501")</f>
        <v>#NAME?</v>
      </c>
    </row>
    <row r="587" spans="1:23" x14ac:dyDescent="0.2">
      <c r="A587" s="36" t="s">
        <v>2604</v>
      </c>
      <c r="B587" s="27" t="s">
        <v>2605</v>
      </c>
      <c r="C587" s="28" t="e">
        <f ca="1">[1]!BexGetData("DP_1","003N8EMH8GTFRCSWKMPXRR8GU","GSON1112031502")</f>
        <v>#NAME?</v>
      </c>
      <c r="D587" s="23" t="e">
        <f ca="1">[1]!BexGetData("DP_1","003N8EMH8GTFRCSWKMPXRRESE","GSON1112031502")</f>
        <v>#NAME?</v>
      </c>
      <c r="E587" s="23" t="e">
        <f ca="1">[1]!BexGetData("DP_1","003N8EMH8GTFRCSWKMPXRRL3Y","GSON1112031502")</f>
        <v>#NAME?</v>
      </c>
      <c r="F587" s="24" t="e">
        <f ca="1">[1]!BexGetData("DP_1","003N8EMH8GTFRCSWKMPXRRRFI","GSON1112031502")</f>
        <v>#NAME?</v>
      </c>
      <c r="G587" s="24" t="e">
        <f ca="1">[1]!BexGetData("DP_1","003N8EMH8GTFRCSWKMPXRRXR2","GSON1112031502")</f>
        <v>#NAME?</v>
      </c>
      <c r="H587" s="24" t="e">
        <f ca="1">[1]!BexGetData("DP_1","003N8EMH8GTFRCSWKMPXRS42M","GSON1112031502")</f>
        <v>#NAME?</v>
      </c>
      <c r="I587" s="24" t="e">
        <f ca="1">[1]!BexGetData("DP_1","003N8EMH8GTFRCSWKMPXRSAE6","GSON1112031502")</f>
        <v>#NAME?</v>
      </c>
      <c r="J587" s="24" t="e">
        <f ca="1">[1]!BexGetData("DP_1","003N8EMH8GTFRCSWKMPXRSGPQ","GSON1112031502")</f>
        <v>#NAME?</v>
      </c>
      <c r="K587" s="23" t="e">
        <f ca="1">[1]!BexGetData("DP_1","003N8EMH8GTFRIVNUPY288VJH","GSON1112031502")</f>
        <v>#NAME?</v>
      </c>
      <c r="L587" s="23" t="e">
        <f ca="1">[1]!BexGetData("DP_1","003N8EMH8GTFRIVNUPY2891V1","GSON1112031502")</f>
        <v>#NAME?</v>
      </c>
      <c r="M587" s="23" t="e">
        <f ca="1">[1]!BexGetData("DP_1","003N8EMH8GTFRIVOG7KG9IQXA","GSON1112031502")</f>
        <v>#NAME?</v>
      </c>
      <c r="N587" s="28" t="e">
        <f ca="1">[1]!BexGetData("DP_1","003N8EMH8GTFRIVOG7KG9IX8U","GSON1112031502")</f>
        <v>#NAME?</v>
      </c>
      <c r="O587" s="23" t="e">
        <f ca="1">[1]!BexGetData("DP_1","003N8EMH8GTFRIVOG7KG9J3KE","GSON1112031502")</f>
        <v>#NAME?</v>
      </c>
      <c r="P587" s="28" t="e">
        <f ca="1">[1]!BexGetData("DP_1","003N8EMH8GTFRIVOG7KG9J9VY","GSON1112031502")</f>
        <v>#NAME?</v>
      </c>
      <c r="Q587" s="24" t="e">
        <f ca="1">[1]!BexGetData("DP_1","00O2TNJGODT0G5Z4TTKYMM5MT","GSON1112031502")</f>
        <v>#NAME?</v>
      </c>
      <c r="R587" s="24" t="e">
        <f ca="1">[1]!BexGetData("DP_1","00O2TNJGODT0G5Z4TTKYMMBYD","GSON1112031502")</f>
        <v>#NAME?</v>
      </c>
      <c r="S587" s="24" t="e">
        <f ca="1">[1]!BexGetData("DP_1","00O2TNJGODT0G5Z4TTKYMMI9X","GSON1112031502")</f>
        <v>#NAME?</v>
      </c>
      <c r="T587" s="24" t="e">
        <f ca="1">[1]!BexGetData("DP_1","00O2TNJGODT0G5Z4TTKYMMOLH","GSON1112031502")</f>
        <v>#NAME?</v>
      </c>
      <c r="U587" s="24" t="e">
        <f ca="1">[1]!BexGetData("DP_1","00O2TNJGODT0G5Z4TTKYMMUX1","GSON1112031502")</f>
        <v>#NAME?</v>
      </c>
      <c r="V587" s="24" t="e">
        <f ca="1">[1]!BexGetData("DP_1","00O2TNJGODT0G5Z4TTKYMN18L","GSON1112031502")</f>
        <v>#NAME?</v>
      </c>
      <c r="W587" s="24" t="e">
        <f ca="1">[1]!BexGetData("DP_1","00O2TNJGODT0G5Z4TTKYMN7K5","GSON1112031502")</f>
        <v>#NAME?</v>
      </c>
    </row>
    <row r="588" spans="1:23" x14ac:dyDescent="0.2">
      <c r="A588" s="36" t="s">
        <v>2606</v>
      </c>
      <c r="B588" s="27" t="s">
        <v>2607</v>
      </c>
      <c r="C588" s="23" t="e">
        <f ca="1">[1]!BexGetData("DP_1","003N8EMH8GTFRCSWKMPXRR8GU","GSON1112031503")</f>
        <v>#NAME?</v>
      </c>
      <c r="D588" s="23" t="e">
        <f ca="1">[1]!BexGetData("DP_1","003N8EMH8GTFRCSWKMPXRRESE","GSON1112031503")</f>
        <v>#NAME?</v>
      </c>
      <c r="E588" s="28" t="e">
        <f ca="1">[1]!BexGetData("DP_1","003N8EMH8GTFRCSWKMPXRRL3Y","GSON1112031503")</f>
        <v>#NAME?</v>
      </c>
      <c r="F588" s="24" t="e">
        <f ca="1">[1]!BexGetData("DP_1","003N8EMH8GTFRCSWKMPXRRRFI","GSON1112031503")</f>
        <v>#NAME?</v>
      </c>
      <c r="G588" s="24" t="e">
        <f ca="1">[1]!BexGetData("DP_1","003N8EMH8GTFRCSWKMPXRRXR2","GSON1112031503")</f>
        <v>#NAME?</v>
      </c>
      <c r="H588" s="24" t="e">
        <f ca="1">[1]!BexGetData("DP_1","003N8EMH8GTFRCSWKMPXRS42M","GSON1112031503")</f>
        <v>#NAME?</v>
      </c>
      <c r="I588" s="24" t="e">
        <f ca="1">[1]!BexGetData("DP_1","003N8EMH8GTFRCSWKMPXRSAE6","GSON1112031503")</f>
        <v>#NAME?</v>
      </c>
      <c r="J588" s="24" t="e">
        <f ca="1">[1]!BexGetData("DP_1","003N8EMH8GTFRCSWKMPXRSGPQ","GSON1112031503")</f>
        <v>#NAME?</v>
      </c>
      <c r="K588" s="28" t="e">
        <f ca="1">[1]!BexGetData("DP_1","003N8EMH8GTFRIVNUPY288VJH","GSON1112031503")</f>
        <v>#NAME?</v>
      </c>
      <c r="L588" s="28" t="e">
        <f ca="1">[1]!BexGetData("DP_1","003N8EMH8GTFRIVNUPY2891V1","GSON1112031503")</f>
        <v>#NAME?</v>
      </c>
      <c r="M588" s="28" t="e">
        <f ca="1">[1]!BexGetData("DP_1","003N8EMH8GTFRIVOG7KG9IQXA","GSON1112031503")</f>
        <v>#NAME?</v>
      </c>
      <c r="N588" s="28" t="e">
        <f ca="1">[1]!BexGetData("DP_1","003N8EMH8GTFRIVOG7KG9IX8U","GSON1112031503")</f>
        <v>#NAME?</v>
      </c>
      <c r="O588" s="28" t="e">
        <f ca="1">[1]!BexGetData("DP_1","003N8EMH8GTFRIVOG7KG9J3KE","GSON1112031503")</f>
        <v>#NAME?</v>
      </c>
      <c r="P588" s="28" t="e">
        <f ca="1">[1]!BexGetData("DP_1","003N8EMH8GTFRIVOG7KG9J9VY","GSON1112031503")</f>
        <v>#NAME?</v>
      </c>
      <c r="Q588" s="24" t="e">
        <f ca="1">[1]!BexGetData("DP_1","00O2TNJGODT0G5Z4TTKYMM5MT","GSON1112031503")</f>
        <v>#NAME?</v>
      </c>
      <c r="R588" s="24" t="e">
        <f ca="1">[1]!BexGetData("DP_1","00O2TNJGODT0G5Z4TTKYMMBYD","GSON1112031503")</f>
        <v>#NAME?</v>
      </c>
      <c r="S588" s="24" t="e">
        <f ca="1">[1]!BexGetData("DP_1","00O2TNJGODT0G5Z4TTKYMMI9X","GSON1112031503")</f>
        <v>#NAME?</v>
      </c>
      <c r="T588" s="24" t="e">
        <f ca="1">[1]!BexGetData("DP_1","00O2TNJGODT0G5Z4TTKYMMOLH","GSON1112031503")</f>
        <v>#NAME?</v>
      </c>
      <c r="U588" s="24" t="e">
        <f ca="1">[1]!BexGetData("DP_1","00O2TNJGODT0G5Z4TTKYMMUX1","GSON1112031503")</f>
        <v>#NAME?</v>
      </c>
      <c r="V588" s="24" t="e">
        <f ca="1">[1]!BexGetData("DP_1","00O2TNJGODT0G5Z4TTKYMN18L","GSON1112031503")</f>
        <v>#NAME?</v>
      </c>
      <c r="W588" s="24" t="e">
        <f ca="1">[1]!BexGetData("DP_1","00O2TNJGODT0G5Z4TTKYMN7K5","GSON1112031503")</f>
        <v>#NAME?</v>
      </c>
    </row>
    <row r="589" spans="1:23" x14ac:dyDescent="0.2">
      <c r="A589" s="36" t="s">
        <v>2608</v>
      </c>
      <c r="B589" s="27" t="s">
        <v>2609</v>
      </c>
      <c r="C589" s="23" t="e">
        <f ca="1">[1]!BexGetData("DP_1","003N8EMH8GTFRCSWKMPXRR8GU","GSON1112031505")</f>
        <v>#NAME?</v>
      </c>
      <c r="D589" s="23" t="e">
        <f ca="1">[1]!BexGetData("DP_1","003N8EMH8GTFRCSWKMPXRRESE","GSON1112031505")</f>
        <v>#NAME?</v>
      </c>
      <c r="E589" s="28" t="e">
        <f ca="1">[1]!BexGetData("DP_1","003N8EMH8GTFRCSWKMPXRRL3Y","GSON1112031505")</f>
        <v>#NAME?</v>
      </c>
      <c r="F589" s="24" t="e">
        <f ca="1">[1]!BexGetData("DP_1","003N8EMH8GTFRCSWKMPXRRRFI","GSON1112031505")</f>
        <v>#NAME?</v>
      </c>
      <c r="G589" s="24" t="e">
        <f ca="1">[1]!BexGetData("DP_1","003N8EMH8GTFRCSWKMPXRRXR2","GSON1112031505")</f>
        <v>#NAME?</v>
      </c>
      <c r="H589" s="24" t="e">
        <f ca="1">[1]!BexGetData("DP_1","003N8EMH8GTFRCSWKMPXRS42M","GSON1112031505")</f>
        <v>#NAME?</v>
      </c>
      <c r="I589" s="24" t="e">
        <f ca="1">[1]!BexGetData("DP_1","003N8EMH8GTFRCSWKMPXRSAE6","GSON1112031505")</f>
        <v>#NAME?</v>
      </c>
      <c r="J589" s="24" t="e">
        <f ca="1">[1]!BexGetData("DP_1","003N8EMH8GTFRCSWKMPXRSGPQ","GSON1112031505")</f>
        <v>#NAME?</v>
      </c>
      <c r="K589" s="28" t="e">
        <f ca="1">[1]!BexGetData("DP_1","003N8EMH8GTFRIVNUPY288VJH","GSON1112031505")</f>
        <v>#NAME?</v>
      </c>
      <c r="L589" s="28" t="e">
        <f ca="1">[1]!BexGetData("DP_1","003N8EMH8GTFRIVNUPY2891V1","GSON1112031505")</f>
        <v>#NAME?</v>
      </c>
      <c r="M589" s="28" t="e">
        <f ca="1">[1]!BexGetData("DP_1","003N8EMH8GTFRIVOG7KG9IQXA","GSON1112031505")</f>
        <v>#NAME?</v>
      </c>
      <c r="N589" s="28" t="e">
        <f ca="1">[1]!BexGetData("DP_1","003N8EMH8GTFRIVOG7KG9IX8U","GSON1112031505")</f>
        <v>#NAME?</v>
      </c>
      <c r="O589" s="28" t="e">
        <f ca="1">[1]!BexGetData("DP_1","003N8EMH8GTFRIVOG7KG9J3KE","GSON1112031505")</f>
        <v>#NAME?</v>
      </c>
      <c r="P589" s="28" t="e">
        <f ca="1">[1]!BexGetData("DP_1","003N8EMH8GTFRIVOG7KG9J9VY","GSON1112031505")</f>
        <v>#NAME?</v>
      </c>
      <c r="Q589" s="24" t="e">
        <f ca="1">[1]!BexGetData("DP_1","00O2TNJGODT0G5Z4TTKYMM5MT","GSON1112031505")</f>
        <v>#NAME?</v>
      </c>
      <c r="R589" s="24" t="e">
        <f ca="1">[1]!BexGetData("DP_1","00O2TNJGODT0G5Z4TTKYMMBYD","GSON1112031505")</f>
        <v>#NAME?</v>
      </c>
      <c r="S589" s="24" t="e">
        <f ca="1">[1]!BexGetData("DP_1","00O2TNJGODT0G5Z4TTKYMMI9X","GSON1112031505")</f>
        <v>#NAME?</v>
      </c>
      <c r="T589" s="24" t="e">
        <f ca="1">[1]!BexGetData("DP_1","00O2TNJGODT0G5Z4TTKYMMOLH","GSON1112031505")</f>
        <v>#NAME?</v>
      </c>
      <c r="U589" s="24" t="e">
        <f ca="1">[1]!BexGetData("DP_1","00O2TNJGODT0G5Z4TTKYMMUX1","GSON1112031505")</f>
        <v>#NAME?</v>
      </c>
      <c r="V589" s="24" t="e">
        <f ca="1">[1]!BexGetData("DP_1","00O2TNJGODT0G5Z4TTKYMN18L","GSON1112031505")</f>
        <v>#NAME?</v>
      </c>
      <c r="W589" s="24" t="e">
        <f ca="1">[1]!BexGetData("DP_1","00O2TNJGODT0G5Z4TTKYMN7K5","GSON1112031505")</f>
        <v>#NAME?</v>
      </c>
    </row>
    <row r="590" spans="1:23" x14ac:dyDescent="0.2">
      <c r="A590" s="36" t="s">
        <v>2610</v>
      </c>
      <c r="B590" s="27" t="s">
        <v>2611</v>
      </c>
      <c r="C590" s="23" t="e">
        <f ca="1">[1]!BexGetData("DP_1","003N8EMH8GTFRCSWKMPXRR8GU","GSON1112031510")</f>
        <v>#NAME?</v>
      </c>
      <c r="D590" s="23" t="e">
        <f ca="1">[1]!BexGetData("DP_1","003N8EMH8GTFRCSWKMPXRRESE","GSON1112031510")</f>
        <v>#NAME?</v>
      </c>
      <c r="E590" s="23" t="e">
        <f ca="1">[1]!BexGetData("DP_1","003N8EMH8GTFRCSWKMPXRRL3Y","GSON1112031510")</f>
        <v>#NAME?</v>
      </c>
      <c r="F590" s="24" t="e">
        <f ca="1">[1]!BexGetData("DP_1","003N8EMH8GTFRCSWKMPXRRRFI","GSON1112031510")</f>
        <v>#NAME?</v>
      </c>
      <c r="G590" s="24" t="e">
        <f ca="1">[1]!BexGetData("DP_1","003N8EMH8GTFRCSWKMPXRRXR2","GSON1112031510")</f>
        <v>#NAME?</v>
      </c>
      <c r="H590" s="24" t="e">
        <f ca="1">[1]!BexGetData("DP_1","003N8EMH8GTFRCSWKMPXRS42M","GSON1112031510")</f>
        <v>#NAME?</v>
      </c>
      <c r="I590" s="24" t="e">
        <f ca="1">[1]!BexGetData("DP_1","003N8EMH8GTFRCSWKMPXRSAE6","GSON1112031510")</f>
        <v>#NAME?</v>
      </c>
      <c r="J590" s="24" t="e">
        <f ca="1">[1]!BexGetData("DP_1","003N8EMH8GTFRCSWKMPXRSGPQ","GSON1112031510")</f>
        <v>#NAME?</v>
      </c>
      <c r="K590" s="23" t="e">
        <f ca="1">[1]!BexGetData("DP_1","003N8EMH8GTFRIVNUPY288VJH","GSON1112031510")</f>
        <v>#NAME?</v>
      </c>
      <c r="L590" s="23" t="e">
        <f ca="1">[1]!BexGetData("DP_1","003N8EMH8GTFRIVNUPY2891V1","GSON1112031510")</f>
        <v>#NAME?</v>
      </c>
      <c r="M590" s="28" t="e">
        <f ca="1">[1]!BexGetData("DP_1","003N8EMH8GTFRIVOG7KG9IQXA","GSON1112031510")</f>
        <v>#NAME?</v>
      </c>
      <c r="N590" s="23" t="e">
        <f ca="1">[1]!BexGetData("DP_1","003N8EMH8GTFRIVOG7KG9IX8U","GSON1112031510")</f>
        <v>#NAME?</v>
      </c>
      <c r="O590" s="28" t="e">
        <f ca="1">[1]!BexGetData("DP_1","003N8EMH8GTFRIVOG7KG9J3KE","GSON1112031510")</f>
        <v>#NAME?</v>
      </c>
      <c r="P590" s="23" t="e">
        <f ca="1">[1]!BexGetData("DP_1","003N8EMH8GTFRIVOG7KG9J9VY","GSON1112031510")</f>
        <v>#NAME?</v>
      </c>
      <c r="Q590" s="24" t="e">
        <f ca="1">[1]!BexGetData("DP_1","00O2TNJGODT0G5Z4TTKYMM5MT","GSON1112031510")</f>
        <v>#NAME?</v>
      </c>
      <c r="R590" s="24" t="e">
        <f ca="1">[1]!BexGetData("DP_1","00O2TNJGODT0G5Z4TTKYMMBYD","GSON1112031510")</f>
        <v>#NAME?</v>
      </c>
      <c r="S590" s="24" t="e">
        <f ca="1">[1]!BexGetData("DP_1","00O2TNJGODT0G5Z4TTKYMMI9X","GSON1112031510")</f>
        <v>#NAME?</v>
      </c>
      <c r="T590" s="24" t="e">
        <f ca="1">[1]!BexGetData("DP_1","00O2TNJGODT0G5Z4TTKYMMOLH","GSON1112031510")</f>
        <v>#NAME?</v>
      </c>
      <c r="U590" s="24" t="e">
        <f ca="1">[1]!BexGetData("DP_1","00O2TNJGODT0G5Z4TTKYMMUX1","GSON1112031510")</f>
        <v>#NAME?</v>
      </c>
      <c r="V590" s="24" t="e">
        <f ca="1">[1]!BexGetData("DP_1","00O2TNJGODT0G5Z4TTKYMN18L","GSON1112031510")</f>
        <v>#NAME?</v>
      </c>
      <c r="W590" s="24" t="e">
        <f ca="1">[1]!BexGetData("DP_1","00O2TNJGODT0G5Z4TTKYMN7K5","GSON1112031510")</f>
        <v>#NAME?</v>
      </c>
    </row>
    <row r="591" spans="1:23" x14ac:dyDescent="0.2">
      <c r="A591" s="36" t="s">
        <v>2612</v>
      </c>
      <c r="B591" s="27" t="s">
        <v>2613</v>
      </c>
      <c r="C591" s="23" t="e">
        <f ca="1">[1]!BexGetData("DP_1","003N8EMH8GTFRCSWKMPXRR8GU","GSON1112031511")</f>
        <v>#NAME?</v>
      </c>
      <c r="D591" s="23" t="e">
        <f ca="1">[1]!BexGetData("DP_1","003N8EMH8GTFRCSWKMPXRRESE","GSON1112031511")</f>
        <v>#NAME?</v>
      </c>
      <c r="E591" s="28" t="e">
        <f ca="1">[1]!BexGetData("DP_1","003N8EMH8GTFRCSWKMPXRRL3Y","GSON1112031511")</f>
        <v>#NAME?</v>
      </c>
      <c r="F591" s="24" t="e">
        <f ca="1">[1]!BexGetData("DP_1","003N8EMH8GTFRCSWKMPXRRRFI","GSON1112031511")</f>
        <v>#NAME?</v>
      </c>
      <c r="G591" s="24" t="e">
        <f ca="1">[1]!BexGetData("DP_1","003N8EMH8GTFRCSWKMPXRRXR2","GSON1112031511")</f>
        <v>#NAME?</v>
      </c>
      <c r="H591" s="24" t="e">
        <f ca="1">[1]!BexGetData("DP_1","003N8EMH8GTFRCSWKMPXRS42M","GSON1112031511")</f>
        <v>#NAME?</v>
      </c>
      <c r="I591" s="24" t="e">
        <f ca="1">[1]!BexGetData("DP_1","003N8EMH8GTFRCSWKMPXRSAE6","GSON1112031511")</f>
        <v>#NAME?</v>
      </c>
      <c r="J591" s="24" t="e">
        <f ca="1">[1]!BexGetData("DP_1","003N8EMH8GTFRCSWKMPXRSGPQ","GSON1112031511")</f>
        <v>#NAME?</v>
      </c>
      <c r="K591" s="28" t="e">
        <f ca="1">[1]!BexGetData("DP_1","003N8EMH8GTFRIVNUPY288VJH","GSON1112031511")</f>
        <v>#NAME?</v>
      </c>
      <c r="L591" s="28" t="e">
        <f ca="1">[1]!BexGetData("DP_1","003N8EMH8GTFRIVNUPY2891V1","GSON1112031511")</f>
        <v>#NAME?</v>
      </c>
      <c r="M591" s="28" t="e">
        <f ca="1">[1]!BexGetData("DP_1","003N8EMH8GTFRIVOG7KG9IQXA","GSON1112031511")</f>
        <v>#NAME?</v>
      </c>
      <c r="N591" s="28" t="e">
        <f ca="1">[1]!BexGetData("DP_1","003N8EMH8GTFRIVOG7KG9IX8U","GSON1112031511")</f>
        <v>#NAME?</v>
      </c>
      <c r="O591" s="28" t="e">
        <f ca="1">[1]!BexGetData("DP_1","003N8EMH8GTFRIVOG7KG9J3KE","GSON1112031511")</f>
        <v>#NAME?</v>
      </c>
      <c r="P591" s="28" t="e">
        <f ca="1">[1]!BexGetData("DP_1","003N8EMH8GTFRIVOG7KG9J9VY","GSON1112031511")</f>
        <v>#NAME?</v>
      </c>
      <c r="Q591" s="24" t="e">
        <f ca="1">[1]!BexGetData("DP_1","00O2TNJGODT0G5Z4TTKYMM5MT","GSON1112031511")</f>
        <v>#NAME?</v>
      </c>
      <c r="R591" s="24" t="e">
        <f ca="1">[1]!BexGetData("DP_1","00O2TNJGODT0G5Z4TTKYMMBYD","GSON1112031511")</f>
        <v>#NAME?</v>
      </c>
      <c r="S591" s="24" t="e">
        <f ca="1">[1]!BexGetData("DP_1","00O2TNJGODT0G5Z4TTKYMMI9X","GSON1112031511")</f>
        <v>#NAME?</v>
      </c>
      <c r="T591" s="24" t="e">
        <f ca="1">[1]!BexGetData("DP_1","00O2TNJGODT0G5Z4TTKYMMOLH","GSON1112031511")</f>
        <v>#NAME?</v>
      </c>
      <c r="U591" s="24" t="e">
        <f ca="1">[1]!BexGetData("DP_1","00O2TNJGODT0G5Z4TTKYMMUX1","GSON1112031511")</f>
        <v>#NAME?</v>
      </c>
      <c r="V591" s="24" t="e">
        <f ca="1">[1]!BexGetData("DP_1","00O2TNJGODT0G5Z4TTKYMN18L","GSON1112031511")</f>
        <v>#NAME?</v>
      </c>
      <c r="W591" s="24" t="e">
        <f ca="1">[1]!BexGetData("DP_1","00O2TNJGODT0G5Z4TTKYMN7K5","GSON1112031511")</f>
        <v>#NAME?</v>
      </c>
    </row>
    <row r="592" spans="1:23" x14ac:dyDescent="0.2">
      <c r="A592" s="36" t="s">
        <v>2614</v>
      </c>
      <c r="B592" s="27" t="s">
        <v>2615</v>
      </c>
      <c r="C592" s="23" t="e">
        <f ca="1">[1]!BexGetData("DP_1","003N8EMH8GTFRCSWKMPXRR8GU","GSON1112031513")</f>
        <v>#NAME?</v>
      </c>
      <c r="D592" s="23" t="e">
        <f ca="1">[1]!BexGetData("DP_1","003N8EMH8GTFRCSWKMPXRRESE","GSON1112031513")</f>
        <v>#NAME?</v>
      </c>
      <c r="E592" s="28" t="e">
        <f ca="1">[1]!BexGetData("DP_1","003N8EMH8GTFRCSWKMPXRRL3Y","GSON1112031513")</f>
        <v>#NAME?</v>
      </c>
      <c r="F592" s="24" t="e">
        <f ca="1">[1]!BexGetData("DP_1","003N8EMH8GTFRCSWKMPXRRRFI","GSON1112031513")</f>
        <v>#NAME?</v>
      </c>
      <c r="G592" s="24" t="e">
        <f ca="1">[1]!BexGetData("DP_1","003N8EMH8GTFRCSWKMPXRRXR2","GSON1112031513")</f>
        <v>#NAME?</v>
      </c>
      <c r="H592" s="24" t="e">
        <f ca="1">[1]!BexGetData("DP_1","003N8EMH8GTFRCSWKMPXRS42M","GSON1112031513")</f>
        <v>#NAME?</v>
      </c>
      <c r="I592" s="24" t="e">
        <f ca="1">[1]!BexGetData("DP_1","003N8EMH8GTFRCSWKMPXRSAE6","GSON1112031513")</f>
        <v>#NAME?</v>
      </c>
      <c r="J592" s="24" t="e">
        <f ca="1">[1]!BexGetData("DP_1","003N8EMH8GTFRCSWKMPXRSGPQ","GSON1112031513")</f>
        <v>#NAME?</v>
      </c>
      <c r="K592" s="28" t="e">
        <f ca="1">[1]!BexGetData("DP_1","003N8EMH8GTFRIVNUPY288VJH","GSON1112031513")</f>
        <v>#NAME?</v>
      </c>
      <c r="L592" s="28" t="e">
        <f ca="1">[1]!BexGetData("DP_1","003N8EMH8GTFRIVNUPY2891V1","GSON1112031513")</f>
        <v>#NAME?</v>
      </c>
      <c r="M592" s="28" t="e">
        <f ca="1">[1]!BexGetData("DP_1","003N8EMH8GTFRIVOG7KG9IQXA","GSON1112031513")</f>
        <v>#NAME?</v>
      </c>
      <c r="N592" s="28" t="e">
        <f ca="1">[1]!BexGetData("DP_1","003N8EMH8GTFRIVOG7KG9IX8U","GSON1112031513")</f>
        <v>#NAME?</v>
      </c>
      <c r="O592" s="28" t="e">
        <f ca="1">[1]!BexGetData("DP_1","003N8EMH8GTFRIVOG7KG9J3KE","GSON1112031513")</f>
        <v>#NAME?</v>
      </c>
      <c r="P592" s="28" t="e">
        <f ca="1">[1]!BexGetData("DP_1","003N8EMH8GTFRIVOG7KG9J9VY","GSON1112031513")</f>
        <v>#NAME?</v>
      </c>
      <c r="Q592" s="24" t="e">
        <f ca="1">[1]!BexGetData("DP_1","00O2TNJGODT0G5Z4TTKYMM5MT","GSON1112031513")</f>
        <v>#NAME?</v>
      </c>
      <c r="R592" s="24" t="e">
        <f ca="1">[1]!BexGetData("DP_1","00O2TNJGODT0G5Z4TTKYMMBYD","GSON1112031513")</f>
        <v>#NAME?</v>
      </c>
      <c r="S592" s="24" t="e">
        <f ca="1">[1]!BexGetData("DP_1","00O2TNJGODT0G5Z4TTKYMMI9X","GSON1112031513")</f>
        <v>#NAME?</v>
      </c>
      <c r="T592" s="24" t="e">
        <f ca="1">[1]!BexGetData("DP_1","00O2TNJGODT0G5Z4TTKYMMOLH","GSON1112031513")</f>
        <v>#NAME?</v>
      </c>
      <c r="U592" s="24" t="e">
        <f ca="1">[1]!BexGetData("DP_1","00O2TNJGODT0G5Z4TTKYMMUX1","GSON1112031513")</f>
        <v>#NAME?</v>
      </c>
      <c r="V592" s="24" t="e">
        <f ca="1">[1]!BexGetData("DP_1","00O2TNJGODT0G5Z4TTKYMN18L","GSON1112031513")</f>
        <v>#NAME?</v>
      </c>
      <c r="W592" s="24" t="e">
        <f ca="1">[1]!BexGetData("DP_1","00O2TNJGODT0G5Z4TTKYMN7K5","GSON1112031513")</f>
        <v>#NAME?</v>
      </c>
    </row>
    <row r="593" spans="1:23" x14ac:dyDescent="0.2">
      <c r="A593" s="36" t="s">
        <v>2616</v>
      </c>
      <c r="B593" s="27" t="s">
        <v>2617</v>
      </c>
      <c r="C593" s="23" t="e">
        <f ca="1">[1]!BexGetData("DP_1","003N8EMH8GTFRCSWKMPXRR8GU","GSON1112031515")</f>
        <v>#NAME?</v>
      </c>
      <c r="D593" s="23" t="e">
        <f ca="1">[1]!BexGetData("DP_1","003N8EMH8GTFRCSWKMPXRRESE","GSON1112031515")</f>
        <v>#NAME?</v>
      </c>
      <c r="E593" s="28" t="e">
        <f ca="1">[1]!BexGetData("DP_1","003N8EMH8GTFRCSWKMPXRRL3Y","GSON1112031515")</f>
        <v>#NAME?</v>
      </c>
      <c r="F593" s="24" t="e">
        <f ca="1">[1]!BexGetData("DP_1","003N8EMH8GTFRCSWKMPXRRRFI","GSON1112031515")</f>
        <v>#NAME?</v>
      </c>
      <c r="G593" s="24" t="e">
        <f ca="1">[1]!BexGetData("DP_1","003N8EMH8GTFRCSWKMPXRRXR2","GSON1112031515")</f>
        <v>#NAME?</v>
      </c>
      <c r="H593" s="24" t="e">
        <f ca="1">[1]!BexGetData("DP_1","003N8EMH8GTFRCSWKMPXRS42M","GSON1112031515")</f>
        <v>#NAME?</v>
      </c>
      <c r="I593" s="24" t="e">
        <f ca="1">[1]!BexGetData("DP_1","003N8EMH8GTFRCSWKMPXRSAE6","GSON1112031515")</f>
        <v>#NAME?</v>
      </c>
      <c r="J593" s="24" t="e">
        <f ca="1">[1]!BexGetData("DP_1","003N8EMH8GTFRCSWKMPXRSGPQ","GSON1112031515")</f>
        <v>#NAME?</v>
      </c>
      <c r="K593" s="28" t="e">
        <f ca="1">[1]!BexGetData("DP_1","003N8EMH8GTFRIVNUPY288VJH","GSON1112031515")</f>
        <v>#NAME?</v>
      </c>
      <c r="L593" s="28" t="e">
        <f ca="1">[1]!BexGetData("DP_1","003N8EMH8GTFRIVNUPY2891V1","GSON1112031515")</f>
        <v>#NAME?</v>
      </c>
      <c r="M593" s="28" t="e">
        <f ca="1">[1]!BexGetData("DP_1","003N8EMH8GTFRIVOG7KG9IQXA","GSON1112031515")</f>
        <v>#NAME?</v>
      </c>
      <c r="N593" s="28" t="e">
        <f ca="1">[1]!BexGetData("DP_1","003N8EMH8GTFRIVOG7KG9IX8U","GSON1112031515")</f>
        <v>#NAME?</v>
      </c>
      <c r="O593" s="28" t="e">
        <f ca="1">[1]!BexGetData("DP_1","003N8EMH8GTFRIVOG7KG9J3KE","GSON1112031515")</f>
        <v>#NAME?</v>
      </c>
      <c r="P593" s="28" t="e">
        <f ca="1">[1]!BexGetData("DP_1","003N8EMH8GTFRIVOG7KG9J9VY","GSON1112031515")</f>
        <v>#NAME?</v>
      </c>
      <c r="Q593" s="24" t="e">
        <f ca="1">[1]!BexGetData("DP_1","00O2TNJGODT0G5Z4TTKYMM5MT","GSON1112031515")</f>
        <v>#NAME?</v>
      </c>
      <c r="R593" s="24" t="e">
        <f ca="1">[1]!BexGetData("DP_1","00O2TNJGODT0G5Z4TTKYMMBYD","GSON1112031515")</f>
        <v>#NAME?</v>
      </c>
      <c r="S593" s="24" t="e">
        <f ca="1">[1]!BexGetData("DP_1","00O2TNJGODT0G5Z4TTKYMMI9X","GSON1112031515")</f>
        <v>#NAME?</v>
      </c>
      <c r="T593" s="24" t="e">
        <f ca="1">[1]!BexGetData("DP_1","00O2TNJGODT0G5Z4TTKYMMOLH","GSON1112031515")</f>
        <v>#NAME?</v>
      </c>
      <c r="U593" s="24" t="e">
        <f ca="1">[1]!BexGetData("DP_1","00O2TNJGODT0G5Z4TTKYMMUX1","GSON1112031515")</f>
        <v>#NAME?</v>
      </c>
      <c r="V593" s="24" t="e">
        <f ca="1">[1]!BexGetData("DP_1","00O2TNJGODT0G5Z4TTKYMN18L","GSON1112031515")</f>
        <v>#NAME?</v>
      </c>
      <c r="W593" s="24" t="e">
        <f ca="1">[1]!BexGetData("DP_1","00O2TNJGODT0G5Z4TTKYMN7K5","GSON1112031515")</f>
        <v>#NAME?</v>
      </c>
    </row>
    <row r="594" spans="1:23" x14ac:dyDescent="0.2">
      <c r="A594" s="36" t="s">
        <v>2618</v>
      </c>
      <c r="B594" s="27" t="s">
        <v>2619</v>
      </c>
      <c r="C594" s="23" t="e">
        <f ca="1">[1]!BexGetData("DP_1","003N8EMH8GTFRCSWKMPXRR8GU","GSON1112031520")</f>
        <v>#NAME?</v>
      </c>
      <c r="D594" s="23" t="e">
        <f ca="1">[1]!BexGetData("DP_1","003N8EMH8GTFRCSWKMPXRRESE","GSON1112031520")</f>
        <v>#NAME?</v>
      </c>
      <c r="E594" s="23" t="e">
        <f ca="1">[1]!BexGetData("DP_1","003N8EMH8GTFRCSWKMPXRRL3Y","GSON1112031520")</f>
        <v>#NAME?</v>
      </c>
      <c r="F594" s="24" t="e">
        <f ca="1">[1]!BexGetData("DP_1","003N8EMH8GTFRCSWKMPXRRRFI","GSON1112031520")</f>
        <v>#NAME?</v>
      </c>
      <c r="G594" s="24" t="e">
        <f ca="1">[1]!BexGetData("DP_1","003N8EMH8GTFRCSWKMPXRRXR2","GSON1112031520")</f>
        <v>#NAME?</v>
      </c>
      <c r="H594" s="24" t="e">
        <f ca="1">[1]!BexGetData("DP_1","003N8EMH8GTFRCSWKMPXRS42M","GSON1112031520")</f>
        <v>#NAME?</v>
      </c>
      <c r="I594" s="24" t="e">
        <f ca="1">[1]!BexGetData("DP_1","003N8EMH8GTFRCSWKMPXRSAE6","GSON1112031520")</f>
        <v>#NAME?</v>
      </c>
      <c r="J594" s="24" t="e">
        <f ca="1">[1]!BexGetData("DP_1","003N8EMH8GTFRCSWKMPXRSGPQ","GSON1112031520")</f>
        <v>#NAME?</v>
      </c>
      <c r="K594" s="23" t="e">
        <f ca="1">[1]!BexGetData("DP_1","003N8EMH8GTFRIVNUPY288VJH","GSON1112031520")</f>
        <v>#NAME?</v>
      </c>
      <c r="L594" s="23" t="e">
        <f ca="1">[1]!BexGetData("DP_1","003N8EMH8GTFRIVNUPY2891V1","GSON1112031520")</f>
        <v>#NAME?</v>
      </c>
      <c r="M594" s="28" t="e">
        <f ca="1">[1]!BexGetData("DP_1","003N8EMH8GTFRIVOG7KG9IQXA","GSON1112031520")</f>
        <v>#NAME?</v>
      </c>
      <c r="N594" s="23" t="e">
        <f ca="1">[1]!BexGetData("DP_1","003N8EMH8GTFRIVOG7KG9IX8U","GSON1112031520")</f>
        <v>#NAME?</v>
      </c>
      <c r="O594" s="28" t="e">
        <f ca="1">[1]!BexGetData("DP_1","003N8EMH8GTFRIVOG7KG9J3KE","GSON1112031520")</f>
        <v>#NAME?</v>
      </c>
      <c r="P594" s="23" t="e">
        <f ca="1">[1]!BexGetData("DP_1","003N8EMH8GTFRIVOG7KG9J9VY","GSON1112031520")</f>
        <v>#NAME?</v>
      </c>
      <c r="Q594" s="24" t="e">
        <f ca="1">[1]!BexGetData("DP_1","00O2TNJGODT0G5Z4TTKYMM5MT","GSON1112031520")</f>
        <v>#NAME?</v>
      </c>
      <c r="R594" s="24" t="e">
        <f ca="1">[1]!BexGetData("DP_1","00O2TNJGODT0G5Z4TTKYMMBYD","GSON1112031520")</f>
        <v>#NAME?</v>
      </c>
      <c r="S594" s="24" t="e">
        <f ca="1">[1]!BexGetData("DP_1","00O2TNJGODT0G5Z4TTKYMMI9X","GSON1112031520")</f>
        <v>#NAME?</v>
      </c>
      <c r="T594" s="24" t="e">
        <f ca="1">[1]!BexGetData("DP_1","00O2TNJGODT0G5Z4TTKYMMOLH","GSON1112031520")</f>
        <v>#NAME?</v>
      </c>
      <c r="U594" s="24" t="e">
        <f ca="1">[1]!BexGetData("DP_1","00O2TNJGODT0G5Z4TTKYMMUX1","GSON1112031520")</f>
        <v>#NAME?</v>
      </c>
      <c r="V594" s="24" t="e">
        <f ca="1">[1]!BexGetData("DP_1","00O2TNJGODT0G5Z4TTKYMN18L","GSON1112031520")</f>
        <v>#NAME?</v>
      </c>
      <c r="W594" s="24" t="e">
        <f ca="1">[1]!BexGetData("DP_1","00O2TNJGODT0G5Z4TTKYMN7K5","GSON1112031520")</f>
        <v>#NAME?</v>
      </c>
    </row>
    <row r="595" spans="1:23" x14ac:dyDescent="0.2">
      <c r="A595" s="36" t="s">
        <v>2620</v>
      </c>
      <c r="B595" s="27" t="s">
        <v>2621</v>
      </c>
      <c r="C595" s="23" t="e">
        <f ca="1">[1]!BexGetData("DP_1","003N8EMH8GTFRCSWKMPXRR8GU","GSON1112031521")</f>
        <v>#NAME?</v>
      </c>
      <c r="D595" s="23" t="e">
        <f ca="1">[1]!BexGetData("DP_1","003N8EMH8GTFRCSWKMPXRRESE","GSON1112031521")</f>
        <v>#NAME?</v>
      </c>
      <c r="E595" s="28" t="e">
        <f ca="1">[1]!BexGetData("DP_1","003N8EMH8GTFRCSWKMPXRRL3Y","GSON1112031521")</f>
        <v>#NAME?</v>
      </c>
      <c r="F595" s="24" t="e">
        <f ca="1">[1]!BexGetData("DP_1","003N8EMH8GTFRCSWKMPXRRRFI","GSON1112031521")</f>
        <v>#NAME?</v>
      </c>
      <c r="G595" s="24" t="e">
        <f ca="1">[1]!BexGetData("DP_1","003N8EMH8GTFRCSWKMPXRRXR2","GSON1112031521")</f>
        <v>#NAME?</v>
      </c>
      <c r="H595" s="24" t="e">
        <f ca="1">[1]!BexGetData("DP_1","003N8EMH8GTFRCSWKMPXRS42M","GSON1112031521")</f>
        <v>#NAME?</v>
      </c>
      <c r="I595" s="24" t="e">
        <f ca="1">[1]!BexGetData("DP_1","003N8EMH8GTFRCSWKMPXRSAE6","GSON1112031521")</f>
        <v>#NAME?</v>
      </c>
      <c r="J595" s="24" t="e">
        <f ca="1">[1]!BexGetData("DP_1","003N8EMH8GTFRCSWKMPXRSGPQ","GSON1112031521")</f>
        <v>#NAME?</v>
      </c>
      <c r="K595" s="28" t="e">
        <f ca="1">[1]!BexGetData("DP_1","003N8EMH8GTFRIVNUPY288VJH","GSON1112031521")</f>
        <v>#NAME?</v>
      </c>
      <c r="L595" s="28" t="e">
        <f ca="1">[1]!BexGetData("DP_1","003N8EMH8GTFRIVNUPY2891V1","GSON1112031521")</f>
        <v>#NAME?</v>
      </c>
      <c r="M595" s="28" t="e">
        <f ca="1">[1]!BexGetData("DP_1","003N8EMH8GTFRIVOG7KG9IQXA","GSON1112031521")</f>
        <v>#NAME?</v>
      </c>
      <c r="N595" s="28" t="e">
        <f ca="1">[1]!BexGetData("DP_1","003N8EMH8GTFRIVOG7KG9IX8U","GSON1112031521")</f>
        <v>#NAME?</v>
      </c>
      <c r="O595" s="28" t="e">
        <f ca="1">[1]!BexGetData("DP_1","003N8EMH8GTFRIVOG7KG9J3KE","GSON1112031521")</f>
        <v>#NAME?</v>
      </c>
      <c r="P595" s="28" t="e">
        <f ca="1">[1]!BexGetData("DP_1","003N8EMH8GTFRIVOG7KG9J9VY","GSON1112031521")</f>
        <v>#NAME?</v>
      </c>
      <c r="Q595" s="24" t="e">
        <f ca="1">[1]!BexGetData("DP_1","00O2TNJGODT0G5Z4TTKYMM5MT","GSON1112031521")</f>
        <v>#NAME?</v>
      </c>
      <c r="R595" s="24" t="e">
        <f ca="1">[1]!BexGetData("DP_1","00O2TNJGODT0G5Z4TTKYMMBYD","GSON1112031521")</f>
        <v>#NAME?</v>
      </c>
      <c r="S595" s="24" t="e">
        <f ca="1">[1]!BexGetData("DP_1","00O2TNJGODT0G5Z4TTKYMMI9X","GSON1112031521")</f>
        <v>#NAME?</v>
      </c>
      <c r="T595" s="24" t="e">
        <f ca="1">[1]!BexGetData("DP_1","00O2TNJGODT0G5Z4TTKYMMOLH","GSON1112031521")</f>
        <v>#NAME?</v>
      </c>
      <c r="U595" s="24" t="e">
        <f ca="1">[1]!BexGetData("DP_1","00O2TNJGODT0G5Z4TTKYMMUX1","GSON1112031521")</f>
        <v>#NAME?</v>
      </c>
      <c r="V595" s="24" t="e">
        <f ca="1">[1]!BexGetData("DP_1","00O2TNJGODT0G5Z4TTKYMN18L","GSON1112031521")</f>
        <v>#NAME?</v>
      </c>
      <c r="W595" s="24" t="e">
        <f ca="1">[1]!BexGetData("DP_1","00O2TNJGODT0G5Z4TTKYMN7K5","GSON1112031521")</f>
        <v>#NAME?</v>
      </c>
    </row>
    <row r="596" spans="1:23" x14ac:dyDescent="0.2">
      <c r="A596" s="36" t="s">
        <v>2622</v>
      </c>
      <c r="B596" s="27" t="s">
        <v>2623</v>
      </c>
      <c r="C596" s="23" t="e">
        <f ca="1">[1]!BexGetData("DP_1","003N8EMH8GTFRCSWKMPXRR8GU","GSON1112031523")</f>
        <v>#NAME?</v>
      </c>
      <c r="D596" s="23" t="e">
        <f ca="1">[1]!BexGetData("DP_1","003N8EMH8GTFRCSWKMPXRRESE","GSON1112031523")</f>
        <v>#NAME?</v>
      </c>
      <c r="E596" s="28" t="e">
        <f ca="1">[1]!BexGetData("DP_1","003N8EMH8GTFRCSWKMPXRRL3Y","GSON1112031523")</f>
        <v>#NAME?</v>
      </c>
      <c r="F596" s="24" t="e">
        <f ca="1">[1]!BexGetData("DP_1","003N8EMH8GTFRCSWKMPXRRRFI","GSON1112031523")</f>
        <v>#NAME?</v>
      </c>
      <c r="G596" s="24" t="e">
        <f ca="1">[1]!BexGetData("DP_1","003N8EMH8GTFRCSWKMPXRRXR2","GSON1112031523")</f>
        <v>#NAME?</v>
      </c>
      <c r="H596" s="24" t="e">
        <f ca="1">[1]!BexGetData("DP_1","003N8EMH8GTFRCSWKMPXRS42M","GSON1112031523")</f>
        <v>#NAME?</v>
      </c>
      <c r="I596" s="24" t="e">
        <f ca="1">[1]!BexGetData("DP_1","003N8EMH8GTFRCSWKMPXRSAE6","GSON1112031523")</f>
        <v>#NAME?</v>
      </c>
      <c r="J596" s="24" t="e">
        <f ca="1">[1]!BexGetData("DP_1","003N8EMH8GTFRCSWKMPXRSGPQ","GSON1112031523")</f>
        <v>#NAME?</v>
      </c>
      <c r="K596" s="28" t="e">
        <f ca="1">[1]!BexGetData("DP_1","003N8EMH8GTFRIVNUPY288VJH","GSON1112031523")</f>
        <v>#NAME?</v>
      </c>
      <c r="L596" s="28" t="e">
        <f ca="1">[1]!BexGetData("DP_1","003N8EMH8GTFRIVNUPY2891V1","GSON1112031523")</f>
        <v>#NAME?</v>
      </c>
      <c r="M596" s="28" t="e">
        <f ca="1">[1]!BexGetData("DP_1","003N8EMH8GTFRIVOG7KG9IQXA","GSON1112031523")</f>
        <v>#NAME?</v>
      </c>
      <c r="N596" s="28" t="e">
        <f ca="1">[1]!BexGetData("DP_1","003N8EMH8GTFRIVOG7KG9IX8U","GSON1112031523")</f>
        <v>#NAME?</v>
      </c>
      <c r="O596" s="28" t="e">
        <f ca="1">[1]!BexGetData("DP_1","003N8EMH8GTFRIVOG7KG9J3KE","GSON1112031523")</f>
        <v>#NAME?</v>
      </c>
      <c r="P596" s="28" t="e">
        <f ca="1">[1]!BexGetData("DP_1","003N8EMH8GTFRIVOG7KG9J9VY","GSON1112031523")</f>
        <v>#NAME?</v>
      </c>
      <c r="Q596" s="24" t="e">
        <f ca="1">[1]!BexGetData("DP_1","00O2TNJGODT0G5Z4TTKYMM5MT","GSON1112031523")</f>
        <v>#NAME?</v>
      </c>
      <c r="R596" s="24" t="e">
        <f ca="1">[1]!BexGetData("DP_1","00O2TNJGODT0G5Z4TTKYMMBYD","GSON1112031523")</f>
        <v>#NAME?</v>
      </c>
      <c r="S596" s="24" t="e">
        <f ca="1">[1]!BexGetData("DP_1","00O2TNJGODT0G5Z4TTKYMMI9X","GSON1112031523")</f>
        <v>#NAME?</v>
      </c>
      <c r="T596" s="24" t="e">
        <f ca="1">[1]!BexGetData("DP_1","00O2TNJGODT0G5Z4TTKYMMOLH","GSON1112031523")</f>
        <v>#NAME?</v>
      </c>
      <c r="U596" s="24" t="e">
        <f ca="1">[1]!BexGetData("DP_1","00O2TNJGODT0G5Z4TTKYMMUX1","GSON1112031523")</f>
        <v>#NAME?</v>
      </c>
      <c r="V596" s="24" t="e">
        <f ca="1">[1]!BexGetData("DP_1","00O2TNJGODT0G5Z4TTKYMN18L","GSON1112031523")</f>
        <v>#NAME?</v>
      </c>
      <c r="W596" s="24" t="e">
        <f ca="1">[1]!BexGetData("DP_1","00O2TNJGODT0G5Z4TTKYMN7K5","GSON1112031523")</f>
        <v>#NAME?</v>
      </c>
    </row>
    <row r="597" spans="1:23" x14ac:dyDescent="0.2">
      <c r="A597" s="36" t="s">
        <v>2624</v>
      </c>
      <c r="B597" s="27" t="s">
        <v>2625</v>
      </c>
      <c r="C597" s="23" t="e">
        <f ca="1">[1]!BexGetData("DP_1","003N8EMH8GTFRCSWKMPXRR8GU","GSON1112031525")</f>
        <v>#NAME?</v>
      </c>
      <c r="D597" s="23" t="e">
        <f ca="1">[1]!BexGetData("DP_1","003N8EMH8GTFRCSWKMPXRRESE","GSON1112031525")</f>
        <v>#NAME?</v>
      </c>
      <c r="E597" s="28" t="e">
        <f ca="1">[1]!BexGetData("DP_1","003N8EMH8GTFRCSWKMPXRRL3Y","GSON1112031525")</f>
        <v>#NAME?</v>
      </c>
      <c r="F597" s="24" t="e">
        <f ca="1">[1]!BexGetData("DP_1","003N8EMH8GTFRCSWKMPXRRRFI","GSON1112031525")</f>
        <v>#NAME?</v>
      </c>
      <c r="G597" s="24" t="e">
        <f ca="1">[1]!BexGetData("DP_1","003N8EMH8GTFRCSWKMPXRRXR2","GSON1112031525")</f>
        <v>#NAME?</v>
      </c>
      <c r="H597" s="24" t="e">
        <f ca="1">[1]!BexGetData("DP_1","003N8EMH8GTFRCSWKMPXRS42M","GSON1112031525")</f>
        <v>#NAME?</v>
      </c>
      <c r="I597" s="24" t="e">
        <f ca="1">[1]!BexGetData("DP_1","003N8EMH8GTFRCSWKMPXRSAE6","GSON1112031525")</f>
        <v>#NAME?</v>
      </c>
      <c r="J597" s="24" t="e">
        <f ca="1">[1]!BexGetData("DP_1","003N8EMH8GTFRCSWKMPXRSGPQ","GSON1112031525")</f>
        <v>#NAME?</v>
      </c>
      <c r="K597" s="28" t="e">
        <f ca="1">[1]!BexGetData("DP_1","003N8EMH8GTFRIVNUPY288VJH","GSON1112031525")</f>
        <v>#NAME?</v>
      </c>
      <c r="L597" s="28" t="e">
        <f ca="1">[1]!BexGetData("DP_1","003N8EMH8GTFRIVNUPY2891V1","GSON1112031525")</f>
        <v>#NAME?</v>
      </c>
      <c r="M597" s="28" t="e">
        <f ca="1">[1]!BexGetData("DP_1","003N8EMH8GTFRIVOG7KG9IQXA","GSON1112031525")</f>
        <v>#NAME?</v>
      </c>
      <c r="N597" s="28" t="e">
        <f ca="1">[1]!BexGetData("DP_1","003N8EMH8GTFRIVOG7KG9IX8U","GSON1112031525")</f>
        <v>#NAME?</v>
      </c>
      <c r="O597" s="28" t="e">
        <f ca="1">[1]!BexGetData("DP_1","003N8EMH8GTFRIVOG7KG9J3KE","GSON1112031525")</f>
        <v>#NAME?</v>
      </c>
      <c r="P597" s="28" t="e">
        <f ca="1">[1]!BexGetData("DP_1","003N8EMH8GTFRIVOG7KG9J9VY","GSON1112031525")</f>
        <v>#NAME?</v>
      </c>
      <c r="Q597" s="24" t="e">
        <f ca="1">[1]!BexGetData("DP_1","00O2TNJGODT0G5Z4TTKYMM5MT","GSON1112031525")</f>
        <v>#NAME?</v>
      </c>
      <c r="R597" s="24" t="e">
        <f ca="1">[1]!BexGetData("DP_1","00O2TNJGODT0G5Z4TTKYMMBYD","GSON1112031525")</f>
        <v>#NAME?</v>
      </c>
      <c r="S597" s="24" t="e">
        <f ca="1">[1]!BexGetData("DP_1","00O2TNJGODT0G5Z4TTKYMMI9X","GSON1112031525")</f>
        <v>#NAME?</v>
      </c>
      <c r="T597" s="24" t="e">
        <f ca="1">[1]!BexGetData("DP_1","00O2TNJGODT0G5Z4TTKYMMOLH","GSON1112031525")</f>
        <v>#NAME?</v>
      </c>
      <c r="U597" s="24" t="e">
        <f ca="1">[1]!BexGetData("DP_1","00O2TNJGODT0G5Z4TTKYMMUX1","GSON1112031525")</f>
        <v>#NAME?</v>
      </c>
      <c r="V597" s="24" t="e">
        <f ca="1">[1]!BexGetData("DP_1","00O2TNJGODT0G5Z4TTKYMN18L","GSON1112031525")</f>
        <v>#NAME?</v>
      </c>
      <c r="W597" s="24" t="e">
        <f ca="1">[1]!BexGetData("DP_1","00O2TNJGODT0G5Z4TTKYMN7K5","GSON1112031525")</f>
        <v>#NAME?</v>
      </c>
    </row>
    <row r="598" spans="1:23" x14ac:dyDescent="0.2">
      <c r="A598" s="36" t="s">
        <v>2626</v>
      </c>
      <c r="B598" s="27" t="s">
        <v>2627</v>
      </c>
      <c r="C598" s="23" t="e">
        <f ca="1">[1]!BexGetData("DP_1","003N8EMH8GTFRCSWKMPXRR8GU","GSON1112031530")</f>
        <v>#NAME?</v>
      </c>
      <c r="D598" s="23" t="e">
        <f ca="1">[1]!BexGetData("DP_1","003N8EMH8GTFRCSWKMPXRRESE","GSON1112031530")</f>
        <v>#NAME?</v>
      </c>
      <c r="E598" s="28" t="e">
        <f ca="1">[1]!BexGetData("DP_1","003N8EMH8GTFRCSWKMPXRRL3Y","GSON1112031530")</f>
        <v>#NAME?</v>
      </c>
      <c r="F598" s="24" t="e">
        <f ca="1">[1]!BexGetData("DP_1","003N8EMH8GTFRCSWKMPXRRRFI","GSON1112031530")</f>
        <v>#NAME?</v>
      </c>
      <c r="G598" s="24" t="e">
        <f ca="1">[1]!BexGetData("DP_1","003N8EMH8GTFRCSWKMPXRRXR2","GSON1112031530")</f>
        <v>#NAME?</v>
      </c>
      <c r="H598" s="24" t="e">
        <f ca="1">[1]!BexGetData("DP_1","003N8EMH8GTFRCSWKMPXRS42M","GSON1112031530")</f>
        <v>#NAME?</v>
      </c>
      <c r="I598" s="24" t="e">
        <f ca="1">[1]!BexGetData("DP_1","003N8EMH8GTFRCSWKMPXRSAE6","GSON1112031530")</f>
        <v>#NAME?</v>
      </c>
      <c r="J598" s="24" t="e">
        <f ca="1">[1]!BexGetData("DP_1","003N8EMH8GTFRCSWKMPXRSGPQ","GSON1112031530")</f>
        <v>#NAME?</v>
      </c>
      <c r="K598" s="28" t="e">
        <f ca="1">[1]!BexGetData("DP_1","003N8EMH8GTFRIVNUPY288VJH","GSON1112031530")</f>
        <v>#NAME?</v>
      </c>
      <c r="L598" s="28" t="e">
        <f ca="1">[1]!BexGetData("DP_1","003N8EMH8GTFRIVNUPY2891V1","GSON1112031530")</f>
        <v>#NAME?</v>
      </c>
      <c r="M598" s="28" t="e">
        <f ca="1">[1]!BexGetData("DP_1","003N8EMH8GTFRIVOG7KG9IQXA","GSON1112031530")</f>
        <v>#NAME?</v>
      </c>
      <c r="N598" s="28" t="e">
        <f ca="1">[1]!BexGetData("DP_1","003N8EMH8GTFRIVOG7KG9IX8U","GSON1112031530")</f>
        <v>#NAME?</v>
      </c>
      <c r="O598" s="28" t="e">
        <f ca="1">[1]!BexGetData("DP_1","003N8EMH8GTFRIVOG7KG9J3KE","GSON1112031530")</f>
        <v>#NAME?</v>
      </c>
      <c r="P598" s="28" t="e">
        <f ca="1">[1]!BexGetData("DP_1","003N8EMH8GTFRIVOG7KG9J9VY","GSON1112031530")</f>
        <v>#NAME?</v>
      </c>
      <c r="Q598" s="24" t="e">
        <f ca="1">[1]!BexGetData("DP_1","00O2TNJGODT0G5Z4TTKYMM5MT","GSON1112031530")</f>
        <v>#NAME?</v>
      </c>
      <c r="R598" s="24" t="e">
        <f ca="1">[1]!BexGetData("DP_1","00O2TNJGODT0G5Z4TTKYMMBYD","GSON1112031530")</f>
        <v>#NAME?</v>
      </c>
      <c r="S598" s="24" t="e">
        <f ca="1">[1]!BexGetData("DP_1","00O2TNJGODT0G5Z4TTKYMMI9X","GSON1112031530")</f>
        <v>#NAME?</v>
      </c>
      <c r="T598" s="24" t="e">
        <f ca="1">[1]!BexGetData("DP_1","00O2TNJGODT0G5Z4TTKYMMOLH","GSON1112031530")</f>
        <v>#NAME?</v>
      </c>
      <c r="U598" s="24" t="e">
        <f ca="1">[1]!BexGetData("DP_1","00O2TNJGODT0G5Z4TTKYMMUX1","GSON1112031530")</f>
        <v>#NAME?</v>
      </c>
      <c r="V598" s="24" t="e">
        <f ca="1">[1]!BexGetData("DP_1","00O2TNJGODT0G5Z4TTKYMN18L","GSON1112031530")</f>
        <v>#NAME?</v>
      </c>
      <c r="W598" s="24" t="e">
        <f ca="1">[1]!BexGetData("DP_1","00O2TNJGODT0G5Z4TTKYMN7K5","GSON1112031530")</f>
        <v>#NAME?</v>
      </c>
    </row>
    <row r="599" spans="1:23" x14ac:dyDescent="0.2">
      <c r="A599" s="36" t="s">
        <v>2628</v>
      </c>
      <c r="B599" s="27" t="s">
        <v>2629</v>
      </c>
      <c r="C599" s="23" t="e">
        <f ca="1">[1]!BexGetData("DP_1","003N8EMH8GTFRCSWKMPXRR8GU","GSON1112031531")</f>
        <v>#NAME?</v>
      </c>
      <c r="D599" s="23" t="e">
        <f ca="1">[1]!BexGetData("DP_1","003N8EMH8GTFRCSWKMPXRRESE","GSON1112031531")</f>
        <v>#NAME?</v>
      </c>
      <c r="E599" s="28" t="e">
        <f ca="1">[1]!BexGetData("DP_1","003N8EMH8GTFRCSWKMPXRRL3Y","GSON1112031531")</f>
        <v>#NAME?</v>
      </c>
      <c r="F599" s="24" t="e">
        <f ca="1">[1]!BexGetData("DP_1","003N8EMH8GTFRCSWKMPXRRRFI","GSON1112031531")</f>
        <v>#NAME?</v>
      </c>
      <c r="G599" s="24" t="e">
        <f ca="1">[1]!BexGetData("DP_1","003N8EMH8GTFRCSWKMPXRRXR2","GSON1112031531")</f>
        <v>#NAME?</v>
      </c>
      <c r="H599" s="24" t="e">
        <f ca="1">[1]!BexGetData("DP_1","003N8EMH8GTFRCSWKMPXRS42M","GSON1112031531")</f>
        <v>#NAME?</v>
      </c>
      <c r="I599" s="24" t="e">
        <f ca="1">[1]!BexGetData("DP_1","003N8EMH8GTFRCSWKMPXRSAE6","GSON1112031531")</f>
        <v>#NAME?</v>
      </c>
      <c r="J599" s="24" t="e">
        <f ca="1">[1]!BexGetData("DP_1","003N8EMH8GTFRCSWKMPXRSGPQ","GSON1112031531")</f>
        <v>#NAME?</v>
      </c>
      <c r="K599" s="28" t="e">
        <f ca="1">[1]!BexGetData("DP_1","003N8EMH8GTFRIVNUPY288VJH","GSON1112031531")</f>
        <v>#NAME?</v>
      </c>
      <c r="L599" s="28" t="e">
        <f ca="1">[1]!BexGetData("DP_1","003N8EMH8GTFRIVNUPY2891V1","GSON1112031531")</f>
        <v>#NAME?</v>
      </c>
      <c r="M599" s="28" t="e">
        <f ca="1">[1]!BexGetData("DP_1","003N8EMH8GTFRIVOG7KG9IQXA","GSON1112031531")</f>
        <v>#NAME?</v>
      </c>
      <c r="N599" s="28" t="e">
        <f ca="1">[1]!BexGetData("DP_1","003N8EMH8GTFRIVOG7KG9IX8U","GSON1112031531")</f>
        <v>#NAME?</v>
      </c>
      <c r="O599" s="28" t="e">
        <f ca="1">[1]!BexGetData("DP_1","003N8EMH8GTFRIVOG7KG9J3KE","GSON1112031531")</f>
        <v>#NAME?</v>
      </c>
      <c r="P599" s="28" t="e">
        <f ca="1">[1]!BexGetData("DP_1","003N8EMH8GTFRIVOG7KG9J9VY","GSON1112031531")</f>
        <v>#NAME?</v>
      </c>
      <c r="Q599" s="24" t="e">
        <f ca="1">[1]!BexGetData("DP_1","00O2TNJGODT0G5Z4TTKYMM5MT","GSON1112031531")</f>
        <v>#NAME?</v>
      </c>
      <c r="R599" s="24" t="e">
        <f ca="1">[1]!BexGetData("DP_1","00O2TNJGODT0G5Z4TTKYMMBYD","GSON1112031531")</f>
        <v>#NAME?</v>
      </c>
      <c r="S599" s="24" t="e">
        <f ca="1">[1]!BexGetData("DP_1","00O2TNJGODT0G5Z4TTKYMMI9X","GSON1112031531")</f>
        <v>#NAME?</v>
      </c>
      <c r="T599" s="24" t="e">
        <f ca="1">[1]!BexGetData("DP_1","00O2TNJGODT0G5Z4TTKYMMOLH","GSON1112031531")</f>
        <v>#NAME?</v>
      </c>
      <c r="U599" s="24" t="e">
        <f ca="1">[1]!BexGetData("DP_1","00O2TNJGODT0G5Z4TTKYMMUX1","GSON1112031531")</f>
        <v>#NAME?</v>
      </c>
      <c r="V599" s="24" t="e">
        <f ca="1">[1]!BexGetData("DP_1","00O2TNJGODT0G5Z4TTKYMN18L","GSON1112031531")</f>
        <v>#NAME?</v>
      </c>
      <c r="W599" s="24" t="e">
        <f ca="1">[1]!BexGetData("DP_1","00O2TNJGODT0G5Z4TTKYMN7K5","GSON1112031531")</f>
        <v>#NAME?</v>
      </c>
    </row>
    <row r="600" spans="1:23" x14ac:dyDescent="0.2">
      <c r="A600" s="36" t="s">
        <v>2614</v>
      </c>
      <c r="B600" s="27" t="s">
        <v>2630</v>
      </c>
      <c r="C600" s="23" t="e">
        <f ca="1">[1]!BexGetData("DP_1","003N8EMH8GTFRCSWKMPXRR8GU","GSON1112031533")</f>
        <v>#NAME?</v>
      </c>
      <c r="D600" s="23" t="e">
        <f ca="1">[1]!BexGetData("DP_1","003N8EMH8GTFRCSWKMPXRRESE","GSON1112031533")</f>
        <v>#NAME?</v>
      </c>
      <c r="E600" s="28" t="e">
        <f ca="1">[1]!BexGetData("DP_1","003N8EMH8GTFRCSWKMPXRRL3Y","GSON1112031533")</f>
        <v>#NAME?</v>
      </c>
      <c r="F600" s="24" t="e">
        <f ca="1">[1]!BexGetData("DP_1","003N8EMH8GTFRCSWKMPXRRRFI","GSON1112031533")</f>
        <v>#NAME?</v>
      </c>
      <c r="G600" s="24" t="e">
        <f ca="1">[1]!BexGetData("DP_1","003N8EMH8GTFRCSWKMPXRRXR2","GSON1112031533")</f>
        <v>#NAME?</v>
      </c>
      <c r="H600" s="24" t="e">
        <f ca="1">[1]!BexGetData("DP_1","003N8EMH8GTFRCSWKMPXRS42M","GSON1112031533")</f>
        <v>#NAME?</v>
      </c>
      <c r="I600" s="24" t="e">
        <f ca="1">[1]!BexGetData("DP_1","003N8EMH8GTFRCSWKMPXRSAE6","GSON1112031533")</f>
        <v>#NAME?</v>
      </c>
      <c r="J600" s="24" t="e">
        <f ca="1">[1]!BexGetData("DP_1","003N8EMH8GTFRCSWKMPXRSGPQ","GSON1112031533")</f>
        <v>#NAME?</v>
      </c>
      <c r="K600" s="28" t="e">
        <f ca="1">[1]!BexGetData("DP_1","003N8EMH8GTFRIVNUPY288VJH","GSON1112031533")</f>
        <v>#NAME?</v>
      </c>
      <c r="L600" s="28" t="e">
        <f ca="1">[1]!BexGetData("DP_1","003N8EMH8GTFRIVNUPY2891V1","GSON1112031533")</f>
        <v>#NAME?</v>
      </c>
      <c r="M600" s="28" t="e">
        <f ca="1">[1]!BexGetData("DP_1","003N8EMH8GTFRIVOG7KG9IQXA","GSON1112031533")</f>
        <v>#NAME?</v>
      </c>
      <c r="N600" s="28" t="e">
        <f ca="1">[1]!BexGetData("DP_1","003N8EMH8GTFRIVOG7KG9IX8U","GSON1112031533")</f>
        <v>#NAME?</v>
      </c>
      <c r="O600" s="28" t="e">
        <f ca="1">[1]!BexGetData("DP_1","003N8EMH8GTFRIVOG7KG9J3KE","GSON1112031533")</f>
        <v>#NAME?</v>
      </c>
      <c r="P600" s="28" t="e">
        <f ca="1">[1]!BexGetData("DP_1","003N8EMH8GTFRIVOG7KG9J9VY","GSON1112031533")</f>
        <v>#NAME?</v>
      </c>
      <c r="Q600" s="24" t="e">
        <f ca="1">[1]!BexGetData("DP_1","00O2TNJGODT0G5Z4TTKYMM5MT","GSON1112031533")</f>
        <v>#NAME?</v>
      </c>
      <c r="R600" s="24" t="e">
        <f ca="1">[1]!BexGetData("DP_1","00O2TNJGODT0G5Z4TTKYMMBYD","GSON1112031533")</f>
        <v>#NAME?</v>
      </c>
      <c r="S600" s="24" t="e">
        <f ca="1">[1]!BexGetData("DP_1","00O2TNJGODT0G5Z4TTKYMMI9X","GSON1112031533")</f>
        <v>#NAME?</v>
      </c>
      <c r="T600" s="24" t="e">
        <f ca="1">[1]!BexGetData("DP_1","00O2TNJGODT0G5Z4TTKYMMOLH","GSON1112031533")</f>
        <v>#NAME?</v>
      </c>
      <c r="U600" s="24" t="e">
        <f ca="1">[1]!BexGetData("DP_1","00O2TNJGODT0G5Z4TTKYMMUX1","GSON1112031533")</f>
        <v>#NAME?</v>
      </c>
      <c r="V600" s="24" t="e">
        <f ca="1">[1]!BexGetData("DP_1","00O2TNJGODT0G5Z4TTKYMN18L","GSON1112031533")</f>
        <v>#NAME?</v>
      </c>
      <c r="W600" s="24" t="e">
        <f ca="1">[1]!BexGetData("DP_1","00O2TNJGODT0G5Z4TTKYMN7K5","GSON1112031533")</f>
        <v>#NAME?</v>
      </c>
    </row>
    <row r="601" spans="1:23" x14ac:dyDescent="0.2">
      <c r="A601" s="36" t="s">
        <v>2631</v>
      </c>
      <c r="B601" s="27" t="s">
        <v>2632</v>
      </c>
      <c r="C601" s="23" t="e">
        <f ca="1">[1]!BexGetData("DP_1","003N8EMH8GTFRCSWKMPXRR8GU","GSON1112031535")</f>
        <v>#NAME?</v>
      </c>
      <c r="D601" s="23" t="e">
        <f ca="1">[1]!BexGetData("DP_1","003N8EMH8GTFRCSWKMPXRRESE","GSON1112031535")</f>
        <v>#NAME?</v>
      </c>
      <c r="E601" s="28" t="e">
        <f ca="1">[1]!BexGetData("DP_1","003N8EMH8GTFRCSWKMPXRRL3Y","GSON1112031535")</f>
        <v>#NAME?</v>
      </c>
      <c r="F601" s="24" t="e">
        <f ca="1">[1]!BexGetData("DP_1","003N8EMH8GTFRCSWKMPXRRRFI","GSON1112031535")</f>
        <v>#NAME?</v>
      </c>
      <c r="G601" s="24" t="e">
        <f ca="1">[1]!BexGetData("DP_1","003N8EMH8GTFRCSWKMPXRRXR2","GSON1112031535")</f>
        <v>#NAME?</v>
      </c>
      <c r="H601" s="24" t="e">
        <f ca="1">[1]!BexGetData("DP_1","003N8EMH8GTFRCSWKMPXRS42M","GSON1112031535")</f>
        <v>#NAME?</v>
      </c>
      <c r="I601" s="24" t="e">
        <f ca="1">[1]!BexGetData("DP_1","003N8EMH8GTFRCSWKMPXRSAE6","GSON1112031535")</f>
        <v>#NAME?</v>
      </c>
      <c r="J601" s="24" t="e">
        <f ca="1">[1]!BexGetData("DP_1","003N8EMH8GTFRCSWKMPXRSGPQ","GSON1112031535")</f>
        <v>#NAME?</v>
      </c>
      <c r="K601" s="28" t="e">
        <f ca="1">[1]!BexGetData("DP_1","003N8EMH8GTFRIVNUPY288VJH","GSON1112031535")</f>
        <v>#NAME?</v>
      </c>
      <c r="L601" s="28" t="e">
        <f ca="1">[1]!BexGetData("DP_1","003N8EMH8GTFRIVNUPY2891V1","GSON1112031535")</f>
        <v>#NAME?</v>
      </c>
      <c r="M601" s="28" t="e">
        <f ca="1">[1]!BexGetData("DP_1","003N8EMH8GTFRIVOG7KG9IQXA","GSON1112031535")</f>
        <v>#NAME?</v>
      </c>
      <c r="N601" s="28" t="e">
        <f ca="1">[1]!BexGetData("DP_1","003N8EMH8GTFRIVOG7KG9IX8U","GSON1112031535")</f>
        <v>#NAME?</v>
      </c>
      <c r="O601" s="28" t="e">
        <f ca="1">[1]!BexGetData("DP_1","003N8EMH8GTFRIVOG7KG9J3KE","GSON1112031535")</f>
        <v>#NAME?</v>
      </c>
      <c r="P601" s="28" t="e">
        <f ca="1">[1]!BexGetData("DP_1","003N8EMH8GTFRIVOG7KG9J9VY","GSON1112031535")</f>
        <v>#NAME?</v>
      </c>
      <c r="Q601" s="24" t="e">
        <f ca="1">[1]!BexGetData("DP_1","00O2TNJGODT0G5Z4TTKYMM5MT","GSON1112031535")</f>
        <v>#NAME?</v>
      </c>
      <c r="R601" s="24" t="e">
        <f ca="1">[1]!BexGetData("DP_1","00O2TNJGODT0G5Z4TTKYMMBYD","GSON1112031535")</f>
        <v>#NAME?</v>
      </c>
      <c r="S601" s="24" t="e">
        <f ca="1">[1]!BexGetData("DP_1","00O2TNJGODT0G5Z4TTKYMMI9X","GSON1112031535")</f>
        <v>#NAME?</v>
      </c>
      <c r="T601" s="24" t="e">
        <f ca="1">[1]!BexGetData("DP_1","00O2TNJGODT0G5Z4TTKYMMOLH","GSON1112031535")</f>
        <v>#NAME?</v>
      </c>
      <c r="U601" s="24" t="e">
        <f ca="1">[1]!BexGetData("DP_1","00O2TNJGODT0G5Z4TTKYMMUX1","GSON1112031535")</f>
        <v>#NAME?</v>
      </c>
      <c r="V601" s="24" t="e">
        <f ca="1">[1]!BexGetData("DP_1","00O2TNJGODT0G5Z4TTKYMN18L","GSON1112031535")</f>
        <v>#NAME?</v>
      </c>
      <c r="W601" s="24" t="e">
        <f ca="1">[1]!BexGetData("DP_1","00O2TNJGODT0G5Z4TTKYMN7K5","GSON1112031535")</f>
        <v>#NAME?</v>
      </c>
    </row>
    <row r="602" spans="1:23" x14ac:dyDescent="0.2">
      <c r="A602" s="36" t="s">
        <v>2633</v>
      </c>
      <c r="B602" s="27" t="s">
        <v>2634</v>
      </c>
      <c r="C602" s="23" t="e">
        <f ca="1">[1]!BexGetData("DP_1","003N8EMH8GTFRCSWKMPXRR8GU","GSON1112031540")</f>
        <v>#NAME?</v>
      </c>
      <c r="D602" s="23" t="e">
        <f ca="1">[1]!BexGetData("DP_1","003N8EMH8GTFRCSWKMPXRRESE","GSON1112031540")</f>
        <v>#NAME?</v>
      </c>
      <c r="E602" s="23" t="e">
        <f ca="1">[1]!BexGetData("DP_1","003N8EMH8GTFRCSWKMPXRRL3Y","GSON1112031540")</f>
        <v>#NAME?</v>
      </c>
      <c r="F602" s="24" t="e">
        <f ca="1">[1]!BexGetData("DP_1","003N8EMH8GTFRCSWKMPXRRRFI","GSON1112031540")</f>
        <v>#NAME?</v>
      </c>
      <c r="G602" s="24" t="e">
        <f ca="1">[1]!BexGetData("DP_1","003N8EMH8GTFRCSWKMPXRRXR2","GSON1112031540")</f>
        <v>#NAME?</v>
      </c>
      <c r="H602" s="24" t="e">
        <f ca="1">[1]!BexGetData("DP_1","003N8EMH8GTFRCSWKMPXRS42M","GSON1112031540")</f>
        <v>#NAME?</v>
      </c>
      <c r="I602" s="24" t="e">
        <f ca="1">[1]!BexGetData("DP_1","003N8EMH8GTFRCSWKMPXRSAE6","GSON1112031540")</f>
        <v>#NAME?</v>
      </c>
      <c r="J602" s="24" t="e">
        <f ca="1">[1]!BexGetData("DP_1","003N8EMH8GTFRCSWKMPXRSGPQ","GSON1112031540")</f>
        <v>#NAME?</v>
      </c>
      <c r="K602" s="23" t="e">
        <f ca="1">[1]!BexGetData("DP_1","003N8EMH8GTFRIVNUPY288VJH","GSON1112031540")</f>
        <v>#NAME?</v>
      </c>
      <c r="L602" s="23" t="e">
        <f ca="1">[1]!BexGetData("DP_1","003N8EMH8GTFRIVNUPY2891V1","GSON1112031540")</f>
        <v>#NAME?</v>
      </c>
      <c r="M602" s="28" t="e">
        <f ca="1">[1]!BexGetData("DP_1","003N8EMH8GTFRIVOG7KG9IQXA","GSON1112031540")</f>
        <v>#NAME?</v>
      </c>
      <c r="N602" s="23" t="e">
        <f ca="1">[1]!BexGetData("DP_1","003N8EMH8GTFRIVOG7KG9IX8U","GSON1112031540")</f>
        <v>#NAME?</v>
      </c>
      <c r="O602" s="28" t="e">
        <f ca="1">[1]!BexGetData("DP_1","003N8EMH8GTFRIVOG7KG9J3KE","GSON1112031540")</f>
        <v>#NAME?</v>
      </c>
      <c r="P602" s="23" t="e">
        <f ca="1">[1]!BexGetData("DP_1","003N8EMH8GTFRIVOG7KG9J9VY","GSON1112031540")</f>
        <v>#NAME?</v>
      </c>
      <c r="Q602" s="24" t="e">
        <f ca="1">[1]!BexGetData("DP_1","00O2TNJGODT0G5Z4TTKYMM5MT","GSON1112031540")</f>
        <v>#NAME?</v>
      </c>
      <c r="R602" s="24" t="e">
        <f ca="1">[1]!BexGetData("DP_1","00O2TNJGODT0G5Z4TTKYMMBYD","GSON1112031540")</f>
        <v>#NAME?</v>
      </c>
      <c r="S602" s="24" t="e">
        <f ca="1">[1]!BexGetData("DP_1","00O2TNJGODT0G5Z4TTKYMMI9X","GSON1112031540")</f>
        <v>#NAME?</v>
      </c>
      <c r="T602" s="24" t="e">
        <f ca="1">[1]!BexGetData("DP_1","00O2TNJGODT0G5Z4TTKYMMOLH","GSON1112031540")</f>
        <v>#NAME?</v>
      </c>
      <c r="U602" s="24" t="e">
        <f ca="1">[1]!BexGetData("DP_1","00O2TNJGODT0G5Z4TTKYMMUX1","GSON1112031540")</f>
        <v>#NAME?</v>
      </c>
      <c r="V602" s="24" t="e">
        <f ca="1">[1]!BexGetData("DP_1","00O2TNJGODT0G5Z4TTKYMN18L","GSON1112031540")</f>
        <v>#NAME?</v>
      </c>
      <c r="W602" s="24" t="e">
        <f ca="1">[1]!BexGetData("DP_1","00O2TNJGODT0G5Z4TTKYMN7K5","GSON1112031540")</f>
        <v>#NAME?</v>
      </c>
    </row>
    <row r="603" spans="1:23" x14ac:dyDescent="0.2">
      <c r="A603" s="36" t="s">
        <v>2635</v>
      </c>
      <c r="B603" s="27" t="s">
        <v>2636</v>
      </c>
      <c r="C603" s="23" t="e">
        <f ca="1">[1]!BexGetData("DP_1","003N8EMH8GTFRCSWKMPXRR8GU","GSON1112031541")</f>
        <v>#NAME?</v>
      </c>
      <c r="D603" s="23" t="e">
        <f ca="1">[1]!BexGetData("DP_1","003N8EMH8GTFRCSWKMPXRRESE","GSON1112031541")</f>
        <v>#NAME?</v>
      </c>
      <c r="E603" s="28" t="e">
        <f ca="1">[1]!BexGetData("DP_1","003N8EMH8GTFRCSWKMPXRRL3Y","GSON1112031541")</f>
        <v>#NAME?</v>
      </c>
      <c r="F603" s="24" t="e">
        <f ca="1">[1]!BexGetData("DP_1","003N8EMH8GTFRCSWKMPXRRRFI","GSON1112031541")</f>
        <v>#NAME?</v>
      </c>
      <c r="G603" s="24" t="e">
        <f ca="1">[1]!BexGetData("DP_1","003N8EMH8GTFRCSWKMPXRRXR2","GSON1112031541")</f>
        <v>#NAME?</v>
      </c>
      <c r="H603" s="24" t="e">
        <f ca="1">[1]!BexGetData("DP_1","003N8EMH8GTFRCSWKMPXRS42M","GSON1112031541")</f>
        <v>#NAME?</v>
      </c>
      <c r="I603" s="24" t="e">
        <f ca="1">[1]!BexGetData("DP_1","003N8EMH8GTFRCSWKMPXRSAE6","GSON1112031541")</f>
        <v>#NAME?</v>
      </c>
      <c r="J603" s="24" t="e">
        <f ca="1">[1]!BexGetData("DP_1","003N8EMH8GTFRCSWKMPXRSGPQ","GSON1112031541")</f>
        <v>#NAME?</v>
      </c>
      <c r="K603" s="28" t="e">
        <f ca="1">[1]!BexGetData("DP_1","003N8EMH8GTFRIVNUPY288VJH","GSON1112031541")</f>
        <v>#NAME?</v>
      </c>
      <c r="L603" s="28" t="e">
        <f ca="1">[1]!BexGetData("DP_1","003N8EMH8GTFRIVNUPY2891V1","GSON1112031541")</f>
        <v>#NAME?</v>
      </c>
      <c r="M603" s="28" t="e">
        <f ca="1">[1]!BexGetData("DP_1","003N8EMH8GTFRIVOG7KG9IQXA","GSON1112031541")</f>
        <v>#NAME?</v>
      </c>
      <c r="N603" s="28" t="e">
        <f ca="1">[1]!BexGetData("DP_1","003N8EMH8GTFRIVOG7KG9IX8U","GSON1112031541")</f>
        <v>#NAME?</v>
      </c>
      <c r="O603" s="28" t="e">
        <f ca="1">[1]!BexGetData("DP_1","003N8EMH8GTFRIVOG7KG9J3KE","GSON1112031541")</f>
        <v>#NAME?</v>
      </c>
      <c r="P603" s="28" t="e">
        <f ca="1">[1]!BexGetData("DP_1","003N8EMH8GTFRIVOG7KG9J9VY","GSON1112031541")</f>
        <v>#NAME?</v>
      </c>
      <c r="Q603" s="24" t="e">
        <f ca="1">[1]!BexGetData("DP_1","00O2TNJGODT0G5Z4TTKYMM5MT","GSON1112031541")</f>
        <v>#NAME?</v>
      </c>
      <c r="R603" s="24" t="e">
        <f ca="1">[1]!BexGetData("DP_1","00O2TNJGODT0G5Z4TTKYMMBYD","GSON1112031541")</f>
        <v>#NAME?</v>
      </c>
      <c r="S603" s="24" t="e">
        <f ca="1">[1]!BexGetData("DP_1","00O2TNJGODT0G5Z4TTKYMMI9X","GSON1112031541")</f>
        <v>#NAME?</v>
      </c>
      <c r="T603" s="24" t="e">
        <f ca="1">[1]!BexGetData("DP_1","00O2TNJGODT0G5Z4TTKYMMOLH","GSON1112031541")</f>
        <v>#NAME?</v>
      </c>
      <c r="U603" s="24" t="e">
        <f ca="1">[1]!BexGetData("DP_1","00O2TNJGODT0G5Z4TTKYMMUX1","GSON1112031541")</f>
        <v>#NAME?</v>
      </c>
      <c r="V603" s="24" t="e">
        <f ca="1">[1]!BexGetData("DP_1","00O2TNJGODT0G5Z4TTKYMN18L","GSON1112031541")</f>
        <v>#NAME?</v>
      </c>
      <c r="W603" s="24" t="e">
        <f ca="1">[1]!BexGetData("DP_1","00O2TNJGODT0G5Z4TTKYMN7K5","GSON1112031541")</f>
        <v>#NAME?</v>
      </c>
    </row>
    <row r="604" spans="1:23" x14ac:dyDescent="0.2">
      <c r="A604" s="36" t="s">
        <v>2637</v>
      </c>
      <c r="B604" s="27" t="s">
        <v>2638</v>
      </c>
      <c r="C604" s="23" t="e">
        <f ca="1">[1]!BexGetData("DP_1","003N8EMH8GTFRCSWKMPXRR8GU","GSON1112031543")</f>
        <v>#NAME?</v>
      </c>
      <c r="D604" s="23" t="e">
        <f ca="1">[1]!BexGetData("DP_1","003N8EMH8GTFRCSWKMPXRRESE","GSON1112031543")</f>
        <v>#NAME?</v>
      </c>
      <c r="E604" s="28" t="e">
        <f ca="1">[1]!BexGetData("DP_1","003N8EMH8GTFRCSWKMPXRRL3Y","GSON1112031543")</f>
        <v>#NAME?</v>
      </c>
      <c r="F604" s="24" t="e">
        <f ca="1">[1]!BexGetData("DP_1","003N8EMH8GTFRCSWKMPXRRRFI","GSON1112031543")</f>
        <v>#NAME?</v>
      </c>
      <c r="G604" s="24" t="e">
        <f ca="1">[1]!BexGetData("DP_1","003N8EMH8GTFRCSWKMPXRRXR2","GSON1112031543")</f>
        <v>#NAME?</v>
      </c>
      <c r="H604" s="24" t="e">
        <f ca="1">[1]!BexGetData("DP_1","003N8EMH8GTFRCSWKMPXRS42M","GSON1112031543")</f>
        <v>#NAME?</v>
      </c>
      <c r="I604" s="24" t="e">
        <f ca="1">[1]!BexGetData("DP_1","003N8EMH8GTFRCSWKMPXRSAE6","GSON1112031543")</f>
        <v>#NAME?</v>
      </c>
      <c r="J604" s="24" t="e">
        <f ca="1">[1]!BexGetData("DP_1","003N8EMH8GTFRCSWKMPXRSGPQ","GSON1112031543")</f>
        <v>#NAME?</v>
      </c>
      <c r="K604" s="28" t="e">
        <f ca="1">[1]!BexGetData("DP_1","003N8EMH8GTFRIVNUPY288VJH","GSON1112031543")</f>
        <v>#NAME?</v>
      </c>
      <c r="L604" s="28" t="e">
        <f ca="1">[1]!BexGetData("DP_1","003N8EMH8GTFRIVNUPY2891V1","GSON1112031543")</f>
        <v>#NAME?</v>
      </c>
      <c r="M604" s="28" t="e">
        <f ca="1">[1]!BexGetData("DP_1","003N8EMH8GTFRIVOG7KG9IQXA","GSON1112031543")</f>
        <v>#NAME?</v>
      </c>
      <c r="N604" s="28" t="e">
        <f ca="1">[1]!BexGetData("DP_1","003N8EMH8GTFRIVOG7KG9IX8U","GSON1112031543")</f>
        <v>#NAME?</v>
      </c>
      <c r="O604" s="28" t="e">
        <f ca="1">[1]!BexGetData("DP_1","003N8EMH8GTFRIVOG7KG9J3KE","GSON1112031543")</f>
        <v>#NAME?</v>
      </c>
      <c r="P604" s="28" t="e">
        <f ca="1">[1]!BexGetData("DP_1","003N8EMH8GTFRIVOG7KG9J9VY","GSON1112031543")</f>
        <v>#NAME?</v>
      </c>
      <c r="Q604" s="24" t="e">
        <f ca="1">[1]!BexGetData("DP_1","00O2TNJGODT0G5Z4TTKYMM5MT","GSON1112031543")</f>
        <v>#NAME?</v>
      </c>
      <c r="R604" s="24" t="e">
        <f ca="1">[1]!BexGetData("DP_1","00O2TNJGODT0G5Z4TTKYMMBYD","GSON1112031543")</f>
        <v>#NAME?</v>
      </c>
      <c r="S604" s="24" t="e">
        <f ca="1">[1]!BexGetData("DP_1","00O2TNJGODT0G5Z4TTKYMMI9X","GSON1112031543")</f>
        <v>#NAME?</v>
      </c>
      <c r="T604" s="24" t="e">
        <f ca="1">[1]!BexGetData("DP_1","00O2TNJGODT0G5Z4TTKYMMOLH","GSON1112031543")</f>
        <v>#NAME?</v>
      </c>
      <c r="U604" s="24" t="e">
        <f ca="1">[1]!BexGetData("DP_1","00O2TNJGODT0G5Z4TTKYMMUX1","GSON1112031543")</f>
        <v>#NAME?</v>
      </c>
      <c r="V604" s="24" t="e">
        <f ca="1">[1]!BexGetData("DP_1","00O2TNJGODT0G5Z4TTKYMN18L","GSON1112031543")</f>
        <v>#NAME?</v>
      </c>
      <c r="W604" s="24" t="e">
        <f ca="1">[1]!BexGetData("DP_1","00O2TNJGODT0G5Z4TTKYMN7K5","GSON1112031543")</f>
        <v>#NAME?</v>
      </c>
    </row>
    <row r="605" spans="1:23" x14ac:dyDescent="0.2">
      <c r="A605" s="36" t="s">
        <v>2639</v>
      </c>
      <c r="B605" s="27" t="s">
        <v>2640</v>
      </c>
      <c r="C605" s="23" t="e">
        <f ca="1">[1]!BexGetData("DP_1","003N8EMH8GTFRCSWKMPXRR8GU","GSON1112031545")</f>
        <v>#NAME?</v>
      </c>
      <c r="D605" s="23" t="e">
        <f ca="1">[1]!BexGetData("DP_1","003N8EMH8GTFRCSWKMPXRRESE","GSON1112031545")</f>
        <v>#NAME?</v>
      </c>
      <c r="E605" s="28" t="e">
        <f ca="1">[1]!BexGetData("DP_1","003N8EMH8GTFRCSWKMPXRRL3Y","GSON1112031545")</f>
        <v>#NAME?</v>
      </c>
      <c r="F605" s="24" t="e">
        <f ca="1">[1]!BexGetData("DP_1","003N8EMH8GTFRCSWKMPXRRRFI","GSON1112031545")</f>
        <v>#NAME?</v>
      </c>
      <c r="G605" s="24" t="e">
        <f ca="1">[1]!BexGetData("DP_1","003N8EMH8GTFRCSWKMPXRRXR2","GSON1112031545")</f>
        <v>#NAME?</v>
      </c>
      <c r="H605" s="24" t="e">
        <f ca="1">[1]!BexGetData("DP_1","003N8EMH8GTFRCSWKMPXRS42M","GSON1112031545")</f>
        <v>#NAME?</v>
      </c>
      <c r="I605" s="24" t="e">
        <f ca="1">[1]!BexGetData("DP_1","003N8EMH8GTFRCSWKMPXRSAE6","GSON1112031545")</f>
        <v>#NAME?</v>
      </c>
      <c r="J605" s="24" t="e">
        <f ca="1">[1]!BexGetData("DP_1","003N8EMH8GTFRCSWKMPXRSGPQ","GSON1112031545")</f>
        <v>#NAME?</v>
      </c>
      <c r="K605" s="28" t="e">
        <f ca="1">[1]!BexGetData("DP_1","003N8EMH8GTFRIVNUPY288VJH","GSON1112031545")</f>
        <v>#NAME?</v>
      </c>
      <c r="L605" s="28" t="e">
        <f ca="1">[1]!BexGetData("DP_1","003N8EMH8GTFRIVNUPY2891V1","GSON1112031545")</f>
        <v>#NAME?</v>
      </c>
      <c r="M605" s="28" t="e">
        <f ca="1">[1]!BexGetData("DP_1","003N8EMH8GTFRIVOG7KG9IQXA","GSON1112031545")</f>
        <v>#NAME?</v>
      </c>
      <c r="N605" s="28" t="e">
        <f ca="1">[1]!BexGetData("DP_1","003N8EMH8GTFRIVOG7KG9IX8U","GSON1112031545")</f>
        <v>#NAME?</v>
      </c>
      <c r="O605" s="28" t="e">
        <f ca="1">[1]!BexGetData("DP_1","003N8EMH8GTFRIVOG7KG9J3KE","GSON1112031545")</f>
        <v>#NAME?</v>
      </c>
      <c r="P605" s="28" t="e">
        <f ca="1">[1]!BexGetData("DP_1","003N8EMH8GTFRIVOG7KG9J9VY","GSON1112031545")</f>
        <v>#NAME?</v>
      </c>
      <c r="Q605" s="24" t="e">
        <f ca="1">[1]!BexGetData("DP_1","00O2TNJGODT0G5Z4TTKYMM5MT","GSON1112031545")</f>
        <v>#NAME?</v>
      </c>
      <c r="R605" s="24" t="e">
        <f ca="1">[1]!BexGetData("DP_1","00O2TNJGODT0G5Z4TTKYMMBYD","GSON1112031545")</f>
        <v>#NAME?</v>
      </c>
      <c r="S605" s="24" t="e">
        <f ca="1">[1]!BexGetData("DP_1","00O2TNJGODT0G5Z4TTKYMMI9X","GSON1112031545")</f>
        <v>#NAME?</v>
      </c>
      <c r="T605" s="24" t="e">
        <f ca="1">[1]!BexGetData("DP_1","00O2TNJGODT0G5Z4TTKYMMOLH","GSON1112031545")</f>
        <v>#NAME?</v>
      </c>
      <c r="U605" s="24" t="e">
        <f ca="1">[1]!BexGetData("DP_1","00O2TNJGODT0G5Z4TTKYMMUX1","GSON1112031545")</f>
        <v>#NAME?</v>
      </c>
      <c r="V605" s="24" t="e">
        <f ca="1">[1]!BexGetData("DP_1","00O2TNJGODT0G5Z4TTKYMN18L","GSON1112031545")</f>
        <v>#NAME?</v>
      </c>
      <c r="W605" s="24" t="e">
        <f ca="1">[1]!BexGetData("DP_1","00O2TNJGODT0G5Z4TTKYMN7K5","GSON1112031545")</f>
        <v>#NAME?</v>
      </c>
    </row>
    <row r="606" spans="1:23" x14ac:dyDescent="0.2">
      <c r="A606" s="36" t="s">
        <v>2641</v>
      </c>
      <c r="B606" s="27" t="s">
        <v>2642</v>
      </c>
      <c r="C606" s="23" t="e">
        <f ca="1">[1]!BexGetData("DP_1","003N8EMH8GTFRCSWKMPXRR8GU","GSON1112031550")</f>
        <v>#NAME?</v>
      </c>
      <c r="D606" s="23" t="e">
        <f ca="1">[1]!BexGetData("DP_1","003N8EMH8GTFRCSWKMPXRRESE","GSON1112031550")</f>
        <v>#NAME?</v>
      </c>
      <c r="E606" s="23" t="e">
        <f ca="1">[1]!BexGetData("DP_1","003N8EMH8GTFRCSWKMPXRRL3Y","GSON1112031550")</f>
        <v>#NAME?</v>
      </c>
      <c r="F606" s="24" t="e">
        <f ca="1">[1]!BexGetData("DP_1","003N8EMH8GTFRCSWKMPXRRRFI","GSON1112031550")</f>
        <v>#NAME?</v>
      </c>
      <c r="G606" s="24" t="e">
        <f ca="1">[1]!BexGetData("DP_1","003N8EMH8GTFRCSWKMPXRRXR2","GSON1112031550")</f>
        <v>#NAME?</v>
      </c>
      <c r="H606" s="24" t="e">
        <f ca="1">[1]!BexGetData("DP_1","003N8EMH8GTFRCSWKMPXRS42M","GSON1112031550")</f>
        <v>#NAME?</v>
      </c>
      <c r="I606" s="24" t="e">
        <f ca="1">[1]!BexGetData("DP_1","003N8EMH8GTFRCSWKMPXRSAE6","GSON1112031550")</f>
        <v>#NAME?</v>
      </c>
      <c r="J606" s="24" t="e">
        <f ca="1">[1]!BexGetData("DP_1","003N8EMH8GTFRCSWKMPXRSGPQ","GSON1112031550")</f>
        <v>#NAME?</v>
      </c>
      <c r="K606" s="23" t="e">
        <f ca="1">[1]!BexGetData("DP_1","003N8EMH8GTFRIVNUPY288VJH","GSON1112031550")</f>
        <v>#NAME?</v>
      </c>
      <c r="L606" s="23" t="e">
        <f ca="1">[1]!BexGetData("DP_1","003N8EMH8GTFRIVNUPY2891V1","GSON1112031550")</f>
        <v>#NAME?</v>
      </c>
      <c r="M606" s="28" t="e">
        <f ca="1">[1]!BexGetData("DP_1","003N8EMH8GTFRIVOG7KG9IQXA","GSON1112031550")</f>
        <v>#NAME?</v>
      </c>
      <c r="N606" s="23" t="e">
        <f ca="1">[1]!BexGetData("DP_1","003N8EMH8GTFRIVOG7KG9IX8U","GSON1112031550")</f>
        <v>#NAME?</v>
      </c>
      <c r="O606" s="28" t="e">
        <f ca="1">[1]!BexGetData("DP_1","003N8EMH8GTFRIVOG7KG9J3KE","GSON1112031550")</f>
        <v>#NAME?</v>
      </c>
      <c r="P606" s="23" t="e">
        <f ca="1">[1]!BexGetData("DP_1","003N8EMH8GTFRIVOG7KG9J9VY","GSON1112031550")</f>
        <v>#NAME?</v>
      </c>
      <c r="Q606" s="24" t="e">
        <f ca="1">[1]!BexGetData("DP_1","00O2TNJGODT0G5Z4TTKYMM5MT","GSON1112031550")</f>
        <v>#NAME?</v>
      </c>
      <c r="R606" s="24" t="e">
        <f ca="1">[1]!BexGetData("DP_1","00O2TNJGODT0G5Z4TTKYMMBYD","GSON1112031550")</f>
        <v>#NAME?</v>
      </c>
      <c r="S606" s="24" t="e">
        <f ca="1">[1]!BexGetData("DP_1","00O2TNJGODT0G5Z4TTKYMMI9X","GSON1112031550")</f>
        <v>#NAME?</v>
      </c>
      <c r="T606" s="24" t="e">
        <f ca="1">[1]!BexGetData("DP_1","00O2TNJGODT0G5Z4TTKYMMOLH","GSON1112031550")</f>
        <v>#NAME?</v>
      </c>
      <c r="U606" s="24" t="e">
        <f ca="1">[1]!BexGetData("DP_1","00O2TNJGODT0G5Z4TTKYMMUX1","GSON1112031550")</f>
        <v>#NAME?</v>
      </c>
      <c r="V606" s="24" t="e">
        <f ca="1">[1]!BexGetData("DP_1","00O2TNJGODT0G5Z4TTKYMN18L","GSON1112031550")</f>
        <v>#NAME?</v>
      </c>
      <c r="W606" s="24" t="e">
        <f ca="1">[1]!BexGetData("DP_1","00O2TNJGODT0G5Z4TTKYMN7K5","GSON1112031550")</f>
        <v>#NAME?</v>
      </c>
    </row>
    <row r="607" spans="1:23" x14ac:dyDescent="0.2">
      <c r="A607" s="36" t="s">
        <v>2643</v>
      </c>
      <c r="B607" s="27" t="s">
        <v>2644</v>
      </c>
      <c r="C607" s="23" t="e">
        <f ca="1">[1]!BexGetData("DP_1","003N8EMH8GTFRCSWKMPXRR8GU","GSON1112031551")</f>
        <v>#NAME?</v>
      </c>
      <c r="D607" s="23" t="e">
        <f ca="1">[1]!BexGetData("DP_1","003N8EMH8GTFRCSWKMPXRRESE","GSON1112031551")</f>
        <v>#NAME?</v>
      </c>
      <c r="E607" s="28" t="e">
        <f ca="1">[1]!BexGetData("DP_1","003N8EMH8GTFRCSWKMPXRRL3Y","GSON1112031551")</f>
        <v>#NAME?</v>
      </c>
      <c r="F607" s="24" t="e">
        <f ca="1">[1]!BexGetData("DP_1","003N8EMH8GTFRCSWKMPXRRRFI","GSON1112031551")</f>
        <v>#NAME?</v>
      </c>
      <c r="G607" s="24" t="e">
        <f ca="1">[1]!BexGetData("DP_1","003N8EMH8GTFRCSWKMPXRRXR2","GSON1112031551")</f>
        <v>#NAME?</v>
      </c>
      <c r="H607" s="24" t="e">
        <f ca="1">[1]!BexGetData("DP_1","003N8EMH8GTFRCSWKMPXRS42M","GSON1112031551")</f>
        <v>#NAME?</v>
      </c>
      <c r="I607" s="24" t="e">
        <f ca="1">[1]!BexGetData("DP_1","003N8EMH8GTFRCSWKMPXRSAE6","GSON1112031551")</f>
        <v>#NAME?</v>
      </c>
      <c r="J607" s="24" t="e">
        <f ca="1">[1]!BexGetData("DP_1","003N8EMH8GTFRCSWKMPXRSGPQ","GSON1112031551")</f>
        <v>#NAME?</v>
      </c>
      <c r="K607" s="28" t="e">
        <f ca="1">[1]!BexGetData("DP_1","003N8EMH8GTFRIVNUPY288VJH","GSON1112031551")</f>
        <v>#NAME?</v>
      </c>
      <c r="L607" s="28" t="e">
        <f ca="1">[1]!BexGetData("DP_1","003N8EMH8GTFRIVNUPY2891V1","GSON1112031551")</f>
        <v>#NAME?</v>
      </c>
      <c r="M607" s="28" t="e">
        <f ca="1">[1]!BexGetData("DP_1","003N8EMH8GTFRIVOG7KG9IQXA","GSON1112031551")</f>
        <v>#NAME?</v>
      </c>
      <c r="N607" s="28" t="e">
        <f ca="1">[1]!BexGetData("DP_1","003N8EMH8GTFRIVOG7KG9IX8U","GSON1112031551")</f>
        <v>#NAME?</v>
      </c>
      <c r="O607" s="28" t="e">
        <f ca="1">[1]!BexGetData("DP_1","003N8EMH8GTFRIVOG7KG9J3KE","GSON1112031551")</f>
        <v>#NAME?</v>
      </c>
      <c r="P607" s="28" t="e">
        <f ca="1">[1]!BexGetData("DP_1","003N8EMH8GTFRIVOG7KG9J9VY","GSON1112031551")</f>
        <v>#NAME?</v>
      </c>
      <c r="Q607" s="24" t="e">
        <f ca="1">[1]!BexGetData("DP_1","00O2TNJGODT0G5Z4TTKYMM5MT","GSON1112031551")</f>
        <v>#NAME?</v>
      </c>
      <c r="R607" s="24" t="e">
        <f ca="1">[1]!BexGetData("DP_1","00O2TNJGODT0G5Z4TTKYMMBYD","GSON1112031551")</f>
        <v>#NAME?</v>
      </c>
      <c r="S607" s="24" t="e">
        <f ca="1">[1]!BexGetData("DP_1","00O2TNJGODT0G5Z4TTKYMMI9X","GSON1112031551")</f>
        <v>#NAME?</v>
      </c>
      <c r="T607" s="24" t="e">
        <f ca="1">[1]!BexGetData("DP_1","00O2TNJGODT0G5Z4TTKYMMOLH","GSON1112031551")</f>
        <v>#NAME?</v>
      </c>
      <c r="U607" s="24" t="e">
        <f ca="1">[1]!BexGetData("DP_1","00O2TNJGODT0G5Z4TTKYMMUX1","GSON1112031551")</f>
        <v>#NAME?</v>
      </c>
      <c r="V607" s="24" t="e">
        <f ca="1">[1]!BexGetData("DP_1","00O2TNJGODT0G5Z4TTKYMN18L","GSON1112031551")</f>
        <v>#NAME?</v>
      </c>
      <c r="W607" s="24" t="e">
        <f ca="1">[1]!BexGetData("DP_1","00O2TNJGODT0G5Z4TTKYMN7K5","GSON1112031551")</f>
        <v>#NAME?</v>
      </c>
    </row>
    <row r="608" spans="1:23" x14ac:dyDescent="0.2">
      <c r="A608" s="36" t="s">
        <v>2645</v>
      </c>
      <c r="B608" s="27" t="s">
        <v>2646</v>
      </c>
      <c r="C608" s="23" t="e">
        <f ca="1">[1]!BexGetData("DP_1","003N8EMH8GTFRCSWKMPXRR8GU","GSON1112031553")</f>
        <v>#NAME?</v>
      </c>
      <c r="D608" s="23" t="e">
        <f ca="1">[1]!BexGetData("DP_1","003N8EMH8GTFRCSWKMPXRRESE","GSON1112031553")</f>
        <v>#NAME?</v>
      </c>
      <c r="E608" s="28" t="e">
        <f ca="1">[1]!BexGetData("DP_1","003N8EMH8GTFRCSWKMPXRRL3Y","GSON1112031553")</f>
        <v>#NAME?</v>
      </c>
      <c r="F608" s="24" t="e">
        <f ca="1">[1]!BexGetData("DP_1","003N8EMH8GTFRCSWKMPXRRRFI","GSON1112031553")</f>
        <v>#NAME?</v>
      </c>
      <c r="G608" s="24" t="e">
        <f ca="1">[1]!BexGetData("DP_1","003N8EMH8GTFRCSWKMPXRRXR2","GSON1112031553")</f>
        <v>#NAME?</v>
      </c>
      <c r="H608" s="24" t="e">
        <f ca="1">[1]!BexGetData("DP_1","003N8EMH8GTFRCSWKMPXRS42M","GSON1112031553")</f>
        <v>#NAME?</v>
      </c>
      <c r="I608" s="24" t="e">
        <f ca="1">[1]!BexGetData("DP_1","003N8EMH8GTFRCSWKMPXRSAE6","GSON1112031553")</f>
        <v>#NAME?</v>
      </c>
      <c r="J608" s="24" t="e">
        <f ca="1">[1]!BexGetData("DP_1","003N8EMH8GTFRCSWKMPXRSGPQ","GSON1112031553")</f>
        <v>#NAME?</v>
      </c>
      <c r="K608" s="28" t="e">
        <f ca="1">[1]!BexGetData("DP_1","003N8EMH8GTFRIVNUPY288VJH","GSON1112031553")</f>
        <v>#NAME?</v>
      </c>
      <c r="L608" s="28" t="e">
        <f ca="1">[1]!BexGetData("DP_1","003N8EMH8GTFRIVNUPY2891V1","GSON1112031553")</f>
        <v>#NAME?</v>
      </c>
      <c r="M608" s="28" t="e">
        <f ca="1">[1]!BexGetData("DP_1","003N8EMH8GTFRIVOG7KG9IQXA","GSON1112031553")</f>
        <v>#NAME?</v>
      </c>
      <c r="N608" s="28" t="e">
        <f ca="1">[1]!BexGetData("DP_1","003N8EMH8GTFRIVOG7KG9IX8U","GSON1112031553")</f>
        <v>#NAME?</v>
      </c>
      <c r="O608" s="28" t="e">
        <f ca="1">[1]!BexGetData("DP_1","003N8EMH8GTFRIVOG7KG9J3KE","GSON1112031553")</f>
        <v>#NAME?</v>
      </c>
      <c r="P608" s="28" t="e">
        <f ca="1">[1]!BexGetData("DP_1","003N8EMH8GTFRIVOG7KG9J9VY","GSON1112031553")</f>
        <v>#NAME?</v>
      </c>
      <c r="Q608" s="24" t="e">
        <f ca="1">[1]!BexGetData("DP_1","00O2TNJGODT0G5Z4TTKYMM5MT","GSON1112031553")</f>
        <v>#NAME?</v>
      </c>
      <c r="R608" s="24" t="e">
        <f ca="1">[1]!BexGetData("DP_1","00O2TNJGODT0G5Z4TTKYMMBYD","GSON1112031553")</f>
        <v>#NAME?</v>
      </c>
      <c r="S608" s="24" t="e">
        <f ca="1">[1]!BexGetData("DP_1","00O2TNJGODT0G5Z4TTKYMMI9X","GSON1112031553")</f>
        <v>#NAME?</v>
      </c>
      <c r="T608" s="24" t="e">
        <f ca="1">[1]!BexGetData("DP_1","00O2TNJGODT0G5Z4TTKYMMOLH","GSON1112031553")</f>
        <v>#NAME?</v>
      </c>
      <c r="U608" s="24" t="e">
        <f ca="1">[1]!BexGetData("DP_1","00O2TNJGODT0G5Z4TTKYMMUX1","GSON1112031553")</f>
        <v>#NAME?</v>
      </c>
      <c r="V608" s="24" t="e">
        <f ca="1">[1]!BexGetData("DP_1","00O2TNJGODT0G5Z4TTKYMN18L","GSON1112031553")</f>
        <v>#NAME?</v>
      </c>
      <c r="W608" s="24" t="e">
        <f ca="1">[1]!BexGetData("DP_1","00O2TNJGODT0G5Z4TTKYMN7K5","GSON1112031553")</f>
        <v>#NAME?</v>
      </c>
    </row>
    <row r="609" spans="1:23" x14ac:dyDescent="0.2">
      <c r="A609" s="36" t="s">
        <v>2647</v>
      </c>
      <c r="B609" s="27" t="s">
        <v>2648</v>
      </c>
      <c r="C609" s="23" t="e">
        <f ca="1">[1]!BexGetData("DP_1","003N8EMH8GTFRCSWKMPXRR8GU","GSON1112031555")</f>
        <v>#NAME?</v>
      </c>
      <c r="D609" s="23" t="e">
        <f ca="1">[1]!BexGetData("DP_1","003N8EMH8GTFRCSWKMPXRRESE","GSON1112031555")</f>
        <v>#NAME?</v>
      </c>
      <c r="E609" s="28" t="e">
        <f ca="1">[1]!BexGetData("DP_1","003N8EMH8GTFRCSWKMPXRRL3Y","GSON1112031555")</f>
        <v>#NAME?</v>
      </c>
      <c r="F609" s="24" t="e">
        <f ca="1">[1]!BexGetData("DP_1","003N8EMH8GTFRCSWKMPXRRRFI","GSON1112031555")</f>
        <v>#NAME?</v>
      </c>
      <c r="G609" s="24" t="e">
        <f ca="1">[1]!BexGetData("DP_1","003N8EMH8GTFRCSWKMPXRRXR2","GSON1112031555")</f>
        <v>#NAME?</v>
      </c>
      <c r="H609" s="24" t="e">
        <f ca="1">[1]!BexGetData("DP_1","003N8EMH8GTFRCSWKMPXRS42M","GSON1112031555")</f>
        <v>#NAME?</v>
      </c>
      <c r="I609" s="24" t="e">
        <f ca="1">[1]!BexGetData("DP_1","003N8EMH8GTFRCSWKMPXRSAE6","GSON1112031555")</f>
        <v>#NAME?</v>
      </c>
      <c r="J609" s="24" t="e">
        <f ca="1">[1]!BexGetData("DP_1","003N8EMH8GTFRCSWKMPXRSGPQ","GSON1112031555")</f>
        <v>#NAME?</v>
      </c>
      <c r="K609" s="28" t="e">
        <f ca="1">[1]!BexGetData("DP_1","003N8EMH8GTFRIVNUPY288VJH","GSON1112031555")</f>
        <v>#NAME?</v>
      </c>
      <c r="L609" s="28" t="e">
        <f ca="1">[1]!BexGetData("DP_1","003N8EMH8GTFRIVNUPY2891V1","GSON1112031555")</f>
        <v>#NAME?</v>
      </c>
      <c r="M609" s="28" t="e">
        <f ca="1">[1]!BexGetData("DP_1","003N8EMH8GTFRIVOG7KG9IQXA","GSON1112031555")</f>
        <v>#NAME?</v>
      </c>
      <c r="N609" s="28" t="e">
        <f ca="1">[1]!BexGetData("DP_1","003N8EMH8GTFRIVOG7KG9IX8U","GSON1112031555")</f>
        <v>#NAME?</v>
      </c>
      <c r="O609" s="28" t="e">
        <f ca="1">[1]!BexGetData("DP_1","003N8EMH8GTFRIVOG7KG9J3KE","GSON1112031555")</f>
        <v>#NAME?</v>
      </c>
      <c r="P609" s="28" t="e">
        <f ca="1">[1]!BexGetData("DP_1","003N8EMH8GTFRIVOG7KG9J9VY","GSON1112031555")</f>
        <v>#NAME?</v>
      </c>
      <c r="Q609" s="24" t="e">
        <f ca="1">[1]!BexGetData("DP_1","00O2TNJGODT0G5Z4TTKYMM5MT","GSON1112031555")</f>
        <v>#NAME?</v>
      </c>
      <c r="R609" s="24" t="e">
        <f ca="1">[1]!BexGetData("DP_1","00O2TNJGODT0G5Z4TTKYMMBYD","GSON1112031555")</f>
        <v>#NAME?</v>
      </c>
      <c r="S609" s="24" t="e">
        <f ca="1">[1]!BexGetData("DP_1","00O2TNJGODT0G5Z4TTKYMMI9X","GSON1112031555")</f>
        <v>#NAME?</v>
      </c>
      <c r="T609" s="24" t="e">
        <f ca="1">[1]!BexGetData("DP_1","00O2TNJGODT0G5Z4TTKYMMOLH","GSON1112031555")</f>
        <v>#NAME?</v>
      </c>
      <c r="U609" s="24" t="e">
        <f ca="1">[1]!BexGetData("DP_1","00O2TNJGODT0G5Z4TTKYMMUX1","GSON1112031555")</f>
        <v>#NAME?</v>
      </c>
      <c r="V609" s="24" t="e">
        <f ca="1">[1]!BexGetData("DP_1","00O2TNJGODT0G5Z4TTKYMN18L","GSON1112031555")</f>
        <v>#NAME?</v>
      </c>
      <c r="W609" s="24" t="e">
        <f ca="1">[1]!BexGetData("DP_1","00O2TNJGODT0G5Z4TTKYMN7K5","GSON1112031555")</f>
        <v>#NAME?</v>
      </c>
    </row>
    <row r="610" spans="1:23" x14ac:dyDescent="0.2">
      <c r="A610" s="36" t="s">
        <v>2649</v>
      </c>
      <c r="B610" s="27" t="s">
        <v>2650</v>
      </c>
      <c r="C610" s="23" t="e">
        <f ca="1">[1]!BexGetData("DP_1","003N8EMH8GTFRCSWKMPXRR8GU","GSON1112031560")</f>
        <v>#NAME?</v>
      </c>
      <c r="D610" s="23" t="e">
        <f ca="1">[1]!BexGetData("DP_1","003N8EMH8GTFRCSWKMPXRRESE","GSON1112031560")</f>
        <v>#NAME?</v>
      </c>
      <c r="E610" s="23" t="e">
        <f ca="1">[1]!BexGetData("DP_1","003N8EMH8GTFRCSWKMPXRRL3Y","GSON1112031560")</f>
        <v>#NAME?</v>
      </c>
      <c r="F610" s="24" t="e">
        <f ca="1">[1]!BexGetData("DP_1","003N8EMH8GTFRCSWKMPXRRRFI","GSON1112031560")</f>
        <v>#NAME?</v>
      </c>
      <c r="G610" s="24" t="e">
        <f ca="1">[1]!BexGetData("DP_1","003N8EMH8GTFRCSWKMPXRRXR2","GSON1112031560")</f>
        <v>#NAME?</v>
      </c>
      <c r="H610" s="24" t="e">
        <f ca="1">[1]!BexGetData("DP_1","003N8EMH8GTFRCSWKMPXRS42M","GSON1112031560")</f>
        <v>#NAME?</v>
      </c>
      <c r="I610" s="24" t="e">
        <f ca="1">[1]!BexGetData("DP_1","003N8EMH8GTFRCSWKMPXRSAE6","GSON1112031560")</f>
        <v>#NAME?</v>
      </c>
      <c r="J610" s="24" t="e">
        <f ca="1">[1]!BexGetData("DP_1","003N8EMH8GTFRCSWKMPXRSGPQ","GSON1112031560")</f>
        <v>#NAME?</v>
      </c>
      <c r="K610" s="23" t="e">
        <f ca="1">[1]!BexGetData("DP_1","003N8EMH8GTFRIVNUPY288VJH","GSON1112031560")</f>
        <v>#NAME?</v>
      </c>
      <c r="L610" s="23" t="e">
        <f ca="1">[1]!BexGetData("DP_1","003N8EMH8GTFRIVNUPY2891V1","GSON1112031560")</f>
        <v>#NAME?</v>
      </c>
      <c r="M610" s="28" t="e">
        <f ca="1">[1]!BexGetData("DP_1","003N8EMH8GTFRIVOG7KG9IQXA","GSON1112031560")</f>
        <v>#NAME?</v>
      </c>
      <c r="N610" s="23" t="e">
        <f ca="1">[1]!BexGetData("DP_1","003N8EMH8GTFRIVOG7KG9IX8U","GSON1112031560")</f>
        <v>#NAME?</v>
      </c>
      <c r="O610" s="28" t="e">
        <f ca="1">[1]!BexGetData("DP_1","003N8EMH8GTFRIVOG7KG9J3KE","GSON1112031560")</f>
        <v>#NAME?</v>
      </c>
      <c r="P610" s="23" t="e">
        <f ca="1">[1]!BexGetData("DP_1","003N8EMH8GTFRIVOG7KG9J9VY","GSON1112031560")</f>
        <v>#NAME?</v>
      </c>
      <c r="Q610" s="24" t="e">
        <f ca="1">[1]!BexGetData("DP_1","00O2TNJGODT0G5Z4TTKYMM5MT","GSON1112031560")</f>
        <v>#NAME?</v>
      </c>
      <c r="R610" s="24" t="e">
        <f ca="1">[1]!BexGetData("DP_1","00O2TNJGODT0G5Z4TTKYMMBYD","GSON1112031560")</f>
        <v>#NAME?</v>
      </c>
      <c r="S610" s="24" t="e">
        <f ca="1">[1]!BexGetData("DP_1","00O2TNJGODT0G5Z4TTKYMMI9X","GSON1112031560")</f>
        <v>#NAME?</v>
      </c>
      <c r="T610" s="24" t="e">
        <f ca="1">[1]!BexGetData("DP_1","00O2TNJGODT0G5Z4TTKYMMOLH","GSON1112031560")</f>
        <v>#NAME?</v>
      </c>
      <c r="U610" s="24" t="e">
        <f ca="1">[1]!BexGetData("DP_1","00O2TNJGODT0G5Z4TTKYMMUX1","GSON1112031560")</f>
        <v>#NAME?</v>
      </c>
      <c r="V610" s="24" t="e">
        <f ca="1">[1]!BexGetData("DP_1","00O2TNJGODT0G5Z4TTKYMN18L","GSON1112031560")</f>
        <v>#NAME?</v>
      </c>
      <c r="W610" s="24" t="e">
        <f ca="1">[1]!BexGetData("DP_1","00O2TNJGODT0G5Z4TTKYMN7K5","GSON1112031560")</f>
        <v>#NAME?</v>
      </c>
    </row>
    <row r="611" spans="1:23" x14ac:dyDescent="0.2">
      <c r="A611" s="36" t="s">
        <v>2628</v>
      </c>
      <c r="B611" s="27" t="s">
        <v>2651</v>
      </c>
      <c r="C611" s="23" t="e">
        <f ca="1">[1]!BexGetData("DP_1","003N8EMH8GTFRCSWKMPXRR8GU","GSON1112031561")</f>
        <v>#NAME?</v>
      </c>
      <c r="D611" s="23" t="e">
        <f ca="1">[1]!BexGetData("DP_1","003N8EMH8GTFRCSWKMPXRRESE","GSON1112031561")</f>
        <v>#NAME?</v>
      </c>
      <c r="E611" s="28" t="e">
        <f ca="1">[1]!BexGetData("DP_1","003N8EMH8GTFRCSWKMPXRRL3Y","GSON1112031561")</f>
        <v>#NAME?</v>
      </c>
      <c r="F611" s="24" t="e">
        <f ca="1">[1]!BexGetData("DP_1","003N8EMH8GTFRCSWKMPXRRRFI","GSON1112031561")</f>
        <v>#NAME?</v>
      </c>
      <c r="G611" s="24" t="e">
        <f ca="1">[1]!BexGetData("DP_1","003N8EMH8GTFRCSWKMPXRRXR2","GSON1112031561")</f>
        <v>#NAME?</v>
      </c>
      <c r="H611" s="24" t="e">
        <f ca="1">[1]!BexGetData("DP_1","003N8EMH8GTFRCSWKMPXRS42M","GSON1112031561")</f>
        <v>#NAME?</v>
      </c>
      <c r="I611" s="24" t="e">
        <f ca="1">[1]!BexGetData("DP_1","003N8EMH8GTFRCSWKMPXRSAE6","GSON1112031561")</f>
        <v>#NAME?</v>
      </c>
      <c r="J611" s="24" t="e">
        <f ca="1">[1]!BexGetData("DP_1","003N8EMH8GTFRCSWKMPXRSGPQ","GSON1112031561")</f>
        <v>#NAME?</v>
      </c>
      <c r="K611" s="28" t="e">
        <f ca="1">[1]!BexGetData("DP_1","003N8EMH8GTFRIVNUPY288VJH","GSON1112031561")</f>
        <v>#NAME?</v>
      </c>
      <c r="L611" s="28" t="e">
        <f ca="1">[1]!BexGetData("DP_1","003N8EMH8GTFRIVNUPY2891V1","GSON1112031561")</f>
        <v>#NAME?</v>
      </c>
      <c r="M611" s="28" t="e">
        <f ca="1">[1]!BexGetData("DP_1","003N8EMH8GTFRIVOG7KG9IQXA","GSON1112031561")</f>
        <v>#NAME?</v>
      </c>
      <c r="N611" s="28" t="e">
        <f ca="1">[1]!BexGetData("DP_1","003N8EMH8GTFRIVOG7KG9IX8U","GSON1112031561")</f>
        <v>#NAME?</v>
      </c>
      <c r="O611" s="28" t="e">
        <f ca="1">[1]!BexGetData("DP_1","003N8EMH8GTFRIVOG7KG9J3KE","GSON1112031561")</f>
        <v>#NAME?</v>
      </c>
      <c r="P611" s="28" t="e">
        <f ca="1">[1]!BexGetData("DP_1","003N8EMH8GTFRIVOG7KG9J9VY","GSON1112031561")</f>
        <v>#NAME?</v>
      </c>
      <c r="Q611" s="24" t="e">
        <f ca="1">[1]!BexGetData("DP_1","00O2TNJGODT0G5Z4TTKYMM5MT","GSON1112031561")</f>
        <v>#NAME?</v>
      </c>
      <c r="R611" s="24" t="e">
        <f ca="1">[1]!BexGetData("DP_1","00O2TNJGODT0G5Z4TTKYMMBYD","GSON1112031561")</f>
        <v>#NAME?</v>
      </c>
      <c r="S611" s="24" t="e">
        <f ca="1">[1]!BexGetData("DP_1","00O2TNJGODT0G5Z4TTKYMMI9X","GSON1112031561")</f>
        <v>#NAME?</v>
      </c>
      <c r="T611" s="24" t="e">
        <f ca="1">[1]!BexGetData("DP_1","00O2TNJGODT0G5Z4TTKYMMOLH","GSON1112031561")</f>
        <v>#NAME?</v>
      </c>
      <c r="U611" s="24" t="e">
        <f ca="1">[1]!BexGetData("DP_1","00O2TNJGODT0G5Z4TTKYMMUX1","GSON1112031561")</f>
        <v>#NAME?</v>
      </c>
      <c r="V611" s="24" t="e">
        <f ca="1">[1]!BexGetData("DP_1","00O2TNJGODT0G5Z4TTKYMN18L","GSON1112031561")</f>
        <v>#NAME?</v>
      </c>
      <c r="W611" s="24" t="e">
        <f ca="1">[1]!BexGetData("DP_1","00O2TNJGODT0G5Z4TTKYMN7K5","GSON1112031561")</f>
        <v>#NAME?</v>
      </c>
    </row>
    <row r="612" spans="1:23" x14ac:dyDescent="0.2">
      <c r="A612" s="36" t="s">
        <v>2652</v>
      </c>
      <c r="B612" s="27" t="s">
        <v>2653</v>
      </c>
      <c r="C612" s="23" t="e">
        <f ca="1">[1]!BexGetData("DP_1","003N8EMH8GTFRCSWKMPXRR8GU","GSON1112031563")</f>
        <v>#NAME?</v>
      </c>
      <c r="D612" s="23" t="e">
        <f ca="1">[1]!BexGetData("DP_1","003N8EMH8GTFRCSWKMPXRRESE","GSON1112031563")</f>
        <v>#NAME?</v>
      </c>
      <c r="E612" s="28" t="e">
        <f ca="1">[1]!BexGetData("DP_1","003N8EMH8GTFRCSWKMPXRRL3Y","GSON1112031563")</f>
        <v>#NAME?</v>
      </c>
      <c r="F612" s="24" t="e">
        <f ca="1">[1]!BexGetData("DP_1","003N8EMH8GTFRCSWKMPXRRRFI","GSON1112031563")</f>
        <v>#NAME?</v>
      </c>
      <c r="G612" s="24" t="e">
        <f ca="1">[1]!BexGetData("DP_1","003N8EMH8GTFRCSWKMPXRRXR2","GSON1112031563")</f>
        <v>#NAME?</v>
      </c>
      <c r="H612" s="24" t="e">
        <f ca="1">[1]!BexGetData("DP_1","003N8EMH8GTFRCSWKMPXRS42M","GSON1112031563")</f>
        <v>#NAME?</v>
      </c>
      <c r="I612" s="24" t="e">
        <f ca="1">[1]!BexGetData("DP_1","003N8EMH8GTFRCSWKMPXRSAE6","GSON1112031563")</f>
        <v>#NAME?</v>
      </c>
      <c r="J612" s="24" t="e">
        <f ca="1">[1]!BexGetData("DP_1","003N8EMH8GTFRCSWKMPXRSGPQ","GSON1112031563")</f>
        <v>#NAME?</v>
      </c>
      <c r="K612" s="28" t="e">
        <f ca="1">[1]!BexGetData("DP_1","003N8EMH8GTFRIVNUPY288VJH","GSON1112031563")</f>
        <v>#NAME?</v>
      </c>
      <c r="L612" s="28" t="e">
        <f ca="1">[1]!BexGetData("DP_1","003N8EMH8GTFRIVNUPY2891V1","GSON1112031563")</f>
        <v>#NAME?</v>
      </c>
      <c r="M612" s="28" t="e">
        <f ca="1">[1]!BexGetData("DP_1","003N8EMH8GTFRIVOG7KG9IQXA","GSON1112031563")</f>
        <v>#NAME?</v>
      </c>
      <c r="N612" s="28" t="e">
        <f ca="1">[1]!BexGetData("DP_1","003N8EMH8GTFRIVOG7KG9IX8U","GSON1112031563")</f>
        <v>#NAME?</v>
      </c>
      <c r="O612" s="28" t="e">
        <f ca="1">[1]!BexGetData("DP_1","003N8EMH8GTFRIVOG7KG9J3KE","GSON1112031563")</f>
        <v>#NAME?</v>
      </c>
      <c r="P612" s="28" t="e">
        <f ca="1">[1]!BexGetData("DP_1","003N8EMH8GTFRIVOG7KG9J9VY","GSON1112031563")</f>
        <v>#NAME?</v>
      </c>
      <c r="Q612" s="24" t="e">
        <f ca="1">[1]!BexGetData("DP_1","00O2TNJGODT0G5Z4TTKYMM5MT","GSON1112031563")</f>
        <v>#NAME?</v>
      </c>
      <c r="R612" s="24" t="e">
        <f ca="1">[1]!BexGetData("DP_1","00O2TNJGODT0G5Z4TTKYMMBYD","GSON1112031563")</f>
        <v>#NAME?</v>
      </c>
      <c r="S612" s="24" t="e">
        <f ca="1">[1]!BexGetData("DP_1","00O2TNJGODT0G5Z4TTKYMMI9X","GSON1112031563")</f>
        <v>#NAME?</v>
      </c>
      <c r="T612" s="24" t="e">
        <f ca="1">[1]!BexGetData("DP_1","00O2TNJGODT0G5Z4TTKYMMOLH","GSON1112031563")</f>
        <v>#NAME?</v>
      </c>
      <c r="U612" s="24" t="e">
        <f ca="1">[1]!BexGetData("DP_1","00O2TNJGODT0G5Z4TTKYMMUX1","GSON1112031563")</f>
        <v>#NAME?</v>
      </c>
      <c r="V612" s="24" t="e">
        <f ca="1">[1]!BexGetData("DP_1","00O2TNJGODT0G5Z4TTKYMN18L","GSON1112031563")</f>
        <v>#NAME?</v>
      </c>
      <c r="W612" s="24" t="e">
        <f ca="1">[1]!BexGetData("DP_1","00O2TNJGODT0G5Z4TTKYMN7K5","GSON1112031563")</f>
        <v>#NAME?</v>
      </c>
    </row>
    <row r="613" spans="1:23" x14ac:dyDescent="0.2">
      <c r="A613" s="36" t="s">
        <v>2654</v>
      </c>
      <c r="B613" s="27" t="s">
        <v>2655</v>
      </c>
      <c r="C613" s="23" t="e">
        <f ca="1">[1]!BexGetData("DP_1","003N8EMH8GTFRCSWKMPXRR8GU","GSON1112031565")</f>
        <v>#NAME?</v>
      </c>
      <c r="D613" s="23" t="e">
        <f ca="1">[1]!BexGetData("DP_1","003N8EMH8GTFRCSWKMPXRRESE","GSON1112031565")</f>
        <v>#NAME?</v>
      </c>
      <c r="E613" s="28" t="e">
        <f ca="1">[1]!BexGetData("DP_1","003N8EMH8GTFRCSWKMPXRRL3Y","GSON1112031565")</f>
        <v>#NAME?</v>
      </c>
      <c r="F613" s="24" t="e">
        <f ca="1">[1]!BexGetData("DP_1","003N8EMH8GTFRCSWKMPXRRRFI","GSON1112031565")</f>
        <v>#NAME?</v>
      </c>
      <c r="G613" s="24" t="e">
        <f ca="1">[1]!BexGetData("DP_1","003N8EMH8GTFRCSWKMPXRRXR2","GSON1112031565")</f>
        <v>#NAME?</v>
      </c>
      <c r="H613" s="24" t="e">
        <f ca="1">[1]!BexGetData("DP_1","003N8EMH8GTFRCSWKMPXRS42M","GSON1112031565")</f>
        <v>#NAME?</v>
      </c>
      <c r="I613" s="24" t="e">
        <f ca="1">[1]!BexGetData("DP_1","003N8EMH8GTFRCSWKMPXRSAE6","GSON1112031565")</f>
        <v>#NAME?</v>
      </c>
      <c r="J613" s="24" t="e">
        <f ca="1">[1]!BexGetData("DP_1","003N8EMH8GTFRCSWKMPXRSGPQ","GSON1112031565")</f>
        <v>#NAME?</v>
      </c>
      <c r="K613" s="28" t="e">
        <f ca="1">[1]!BexGetData("DP_1","003N8EMH8GTFRIVNUPY288VJH","GSON1112031565")</f>
        <v>#NAME?</v>
      </c>
      <c r="L613" s="28" t="e">
        <f ca="1">[1]!BexGetData("DP_1","003N8EMH8GTFRIVNUPY2891V1","GSON1112031565")</f>
        <v>#NAME?</v>
      </c>
      <c r="M613" s="28" t="e">
        <f ca="1">[1]!BexGetData("DP_1","003N8EMH8GTFRIVOG7KG9IQXA","GSON1112031565")</f>
        <v>#NAME?</v>
      </c>
      <c r="N613" s="28" t="e">
        <f ca="1">[1]!BexGetData("DP_1","003N8EMH8GTFRIVOG7KG9IX8U","GSON1112031565")</f>
        <v>#NAME?</v>
      </c>
      <c r="O613" s="28" t="e">
        <f ca="1">[1]!BexGetData("DP_1","003N8EMH8GTFRIVOG7KG9J3KE","GSON1112031565")</f>
        <v>#NAME?</v>
      </c>
      <c r="P613" s="28" t="e">
        <f ca="1">[1]!BexGetData("DP_1","003N8EMH8GTFRIVOG7KG9J9VY","GSON1112031565")</f>
        <v>#NAME?</v>
      </c>
      <c r="Q613" s="24" t="e">
        <f ca="1">[1]!BexGetData("DP_1","00O2TNJGODT0G5Z4TTKYMM5MT","GSON1112031565")</f>
        <v>#NAME?</v>
      </c>
      <c r="R613" s="24" t="e">
        <f ca="1">[1]!BexGetData("DP_1","00O2TNJGODT0G5Z4TTKYMMBYD","GSON1112031565")</f>
        <v>#NAME?</v>
      </c>
      <c r="S613" s="24" t="e">
        <f ca="1">[1]!BexGetData("DP_1","00O2TNJGODT0G5Z4TTKYMMI9X","GSON1112031565")</f>
        <v>#NAME?</v>
      </c>
      <c r="T613" s="24" t="e">
        <f ca="1">[1]!BexGetData("DP_1","00O2TNJGODT0G5Z4TTKYMMOLH","GSON1112031565")</f>
        <v>#NAME?</v>
      </c>
      <c r="U613" s="24" t="e">
        <f ca="1">[1]!BexGetData("DP_1","00O2TNJGODT0G5Z4TTKYMMUX1","GSON1112031565")</f>
        <v>#NAME?</v>
      </c>
      <c r="V613" s="24" t="e">
        <f ca="1">[1]!BexGetData("DP_1","00O2TNJGODT0G5Z4TTKYMN18L","GSON1112031565")</f>
        <v>#NAME?</v>
      </c>
      <c r="W613" s="24" t="e">
        <f ca="1">[1]!BexGetData("DP_1","00O2TNJGODT0G5Z4TTKYMN7K5","GSON1112031565")</f>
        <v>#NAME?</v>
      </c>
    </row>
    <row r="614" spans="1:23" x14ac:dyDescent="0.2">
      <c r="A614" s="36" t="s">
        <v>2656</v>
      </c>
      <c r="B614" s="27" t="s">
        <v>2657</v>
      </c>
      <c r="C614" s="23" t="e">
        <f ca="1">[1]!BexGetData("DP_1","003N8EMH8GTFRCSWKMPXRR8GU","GSON1112031570")</f>
        <v>#NAME?</v>
      </c>
      <c r="D614" s="23" t="e">
        <f ca="1">[1]!BexGetData("DP_1","003N8EMH8GTFRCSWKMPXRRESE","GSON1112031570")</f>
        <v>#NAME?</v>
      </c>
      <c r="E614" s="23" t="e">
        <f ca="1">[1]!BexGetData("DP_1","003N8EMH8GTFRCSWKMPXRRL3Y","GSON1112031570")</f>
        <v>#NAME?</v>
      </c>
      <c r="F614" s="24" t="e">
        <f ca="1">[1]!BexGetData("DP_1","003N8EMH8GTFRCSWKMPXRRRFI","GSON1112031570")</f>
        <v>#NAME?</v>
      </c>
      <c r="G614" s="24" t="e">
        <f ca="1">[1]!BexGetData("DP_1","003N8EMH8GTFRCSWKMPXRRXR2","GSON1112031570")</f>
        <v>#NAME?</v>
      </c>
      <c r="H614" s="24" t="e">
        <f ca="1">[1]!BexGetData("DP_1","003N8EMH8GTFRCSWKMPXRS42M","GSON1112031570")</f>
        <v>#NAME?</v>
      </c>
      <c r="I614" s="24" t="e">
        <f ca="1">[1]!BexGetData("DP_1","003N8EMH8GTFRCSWKMPXRSAE6","GSON1112031570")</f>
        <v>#NAME?</v>
      </c>
      <c r="J614" s="24" t="e">
        <f ca="1">[1]!BexGetData("DP_1","003N8EMH8GTFRCSWKMPXRSGPQ","GSON1112031570")</f>
        <v>#NAME?</v>
      </c>
      <c r="K614" s="23" t="e">
        <f ca="1">[1]!BexGetData("DP_1","003N8EMH8GTFRIVNUPY288VJH","GSON1112031570")</f>
        <v>#NAME?</v>
      </c>
      <c r="L614" s="23" t="e">
        <f ca="1">[1]!BexGetData("DP_1","003N8EMH8GTFRIVNUPY2891V1","GSON1112031570")</f>
        <v>#NAME?</v>
      </c>
      <c r="M614" s="28" t="e">
        <f ca="1">[1]!BexGetData("DP_1","003N8EMH8GTFRIVOG7KG9IQXA","GSON1112031570")</f>
        <v>#NAME?</v>
      </c>
      <c r="N614" s="23" t="e">
        <f ca="1">[1]!BexGetData("DP_1","003N8EMH8GTFRIVOG7KG9IX8U","GSON1112031570")</f>
        <v>#NAME?</v>
      </c>
      <c r="O614" s="28" t="e">
        <f ca="1">[1]!BexGetData("DP_1","003N8EMH8GTFRIVOG7KG9J3KE","GSON1112031570")</f>
        <v>#NAME?</v>
      </c>
      <c r="P614" s="23" t="e">
        <f ca="1">[1]!BexGetData("DP_1","003N8EMH8GTFRIVOG7KG9J9VY","GSON1112031570")</f>
        <v>#NAME?</v>
      </c>
      <c r="Q614" s="24" t="e">
        <f ca="1">[1]!BexGetData("DP_1","00O2TNJGODT0G5Z4TTKYMM5MT","GSON1112031570")</f>
        <v>#NAME?</v>
      </c>
      <c r="R614" s="24" t="e">
        <f ca="1">[1]!BexGetData("DP_1","00O2TNJGODT0G5Z4TTKYMMBYD","GSON1112031570")</f>
        <v>#NAME?</v>
      </c>
      <c r="S614" s="24" t="e">
        <f ca="1">[1]!BexGetData("DP_1","00O2TNJGODT0G5Z4TTKYMMI9X","GSON1112031570")</f>
        <v>#NAME?</v>
      </c>
      <c r="T614" s="24" t="e">
        <f ca="1">[1]!BexGetData("DP_1","00O2TNJGODT0G5Z4TTKYMMOLH","GSON1112031570")</f>
        <v>#NAME?</v>
      </c>
      <c r="U614" s="24" t="e">
        <f ca="1">[1]!BexGetData("DP_1","00O2TNJGODT0G5Z4TTKYMMUX1","GSON1112031570")</f>
        <v>#NAME?</v>
      </c>
      <c r="V614" s="24" t="e">
        <f ca="1">[1]!BexGetData("DP_1","00O2TNJGODT0G5Z4TTKYMN18L","GSON1112031570")</f>
        <v>#NAME?</v>
      </c>
      <c r="W614" s="24" t="e">
        <f ca="1">[1]!BexGetData("DP_1","00O2TNJGODT0G5Z4TTKYMN7K5","GSON1112031570")</f>
        <v>#NAME?</v>
      </c>
    </row>
    <row r="615" spans="1:23" x14ac:dyDescent="0.2">
      <c r="A615" s="36" t="s">
        <v>2658</v>
      </c>
      <c r="B615" s="27" t="s">
        <v>2659</v>
      </c>
      <c r="C615" s="23" t="e">
        <f ca="1">[1]!BexGetData("DP_1","003N8EMH8GTFRCSWKMPXRR8GU","GSON1112031571")</f>
        <v>#NAME?</v>
      </c>
      <c r="D615" s="23" t="e">
        <f ca="1">[1]!BexGetData("DP_1","003N8EMH8GTFRCSWKMPXRRESE","GSON1112031571")</f>
        <v>#NAME?</v>
      </c>
      <c r="E615" s="28" t="e">
        <f ca="1">[1]!BexGetData("DP_1","003N8EMH8GTFRCSWKMPXRRL3Y","GSON1112031571")</f>
        <v>#NAME?</v>
      </c>
      <c r="F615" s="24" t="e">
        <f ca="1">[1]!BexGetData("DP_1","003N8EMH8GTFRCSWKMPXRRRFI","GSON1112031571")</f>
        <v>#NAME?</v>
      </c>
      <c r="G615" s="24" t="e">
        <f ca="1">[1]!BexGetData("DP_1","003N8EMH8GTFRCSWKMPXRRXR2","GSON1112031571")</f>
        <v>#NAME?</v>
      </c>
      <c r="H615" s="24" t="e">
        <f ca="1">[1]!BexGetData("DP_1","003N8EMH8GTFRCSWKMPXRS42M","GSON1112031571")</f>
        <v>#NAME?</v>
      </c>
      <c r="I615" s="24" t="e">
        <f ca="1">[1]!BexGetData("DP_1","003N8EMH8GTFRCSWKMPXRSAE6","GSON1112031571")</f>
        <v>#NAME?</v>
      </c>
      <c r="J615" s="24" t="e">
        <f ca="1">[1]!BexGetData("DP_1","003N8EMH8GTFRCSWKMPXRSGPQ","GSON1112031571")</f>
        <v>#NAME?</v>
      </c>
      <c r="K615" s="28" t="e">
        <f ca="1">[1]!BexGetData("DP_1","003N8EMH8GTFRIVNUPY288VJH","GSON1112031571")</f>
        <v>#NAME?</v>
      </c>
      <c r="L615" s="28" t="e">
        <f ca="1">[1]!BexGetData("DP_1","003N8EMH8GTFRIVNUPY2891V1","GSON1112031571")</f>
        <v>#NAME?</v>
      </c>
      <c r="M615" s="28" t="e">
        <f ca="1">[1]!BexGetData("DP_1","003N8EMH8GTFRIVOG7KG9IQXA","GSON1112031571")</f>
        <v>#NAME?</v>
      </c>
      <c r="N615" s="28" t="e">
        <f ca="1">[1]!BexGetData("DP_1","003N8EMH8GTFRIVOG7KG9IX8U","GSON1112031571")</f>
        <v>#NAME?</v>
      </c>
      <c r="O615" s="28" t="e">
        <f ca="1">[1]!BexGetData("DP_1","003N8EMH8GTFRIVOG7KG9J3KE","GSON1112031571")</f>
        <v>#NAME?</v>
      </c>
      <c r="P615" s="28" t="e">
        <f ca="1">[1]!BexGetData("DP_1","003N8EMH8GTFRIVOG7KG9J9VY","GSON1112031571")</f>
        <v>#NAME?</v>
      </c>
      <c r="Q615" s="24" t="e">
        <f ca="1">[1]!BexGetData("DP_1","00O2TNJGODT0G5Z4TTKYMM5MT","GSON1112031571")</f>
        <v>#NAME?</v>
      </c>
      <c r="R615" s="24" t="e">
        <f ca="1">[1]!BexGetData("DP_1","00O2TNJGODT0G5Z4TTKYMMBYD","GSON1112031571")</f>
        <v>#NAME?</v>
      </c>
      <c r="S615" s="24" t="e">
        <f ca="1">[1]!BexGetData("DP_1","00O2TNJGODT0G5Z4TTKYMMI9X","GSON1112031571")</f>
        <v>#NAME?</v>
      </c>
      <c r="T615" s="24" t="e">
        <f ca="1">[1]!BexGetData("DP_1","00O2TNJGODT0G5Z4TTKYMMOLH","GSON1112031571")</f>
        <v>#NAME?</v>
      </c>
      <c r="U615" s="24" t="e">
        <f ca="1">[1]!BexGetData("DP_1","00O2TNJGODT0G5Z4TTKYMMUX1","GSON1112031571")</f>
        <v>#NAME?</v>
      </c>
      <c r="V615" s="24" t="e">
        <f ca="1">[1]!BexGetData("DP_1","00O2TNJGODT0G5Z4TTKYMN18L","GSON1112031571")</f>
        <v>#NAME?</v>
      </c>
      <c r="W615" s="24" t="e">
        <f ca="1">[1]!BexGetData("DP_1","00O2TNJGODT0G5Z4TTKYMN7K5","GSON1112031571")</f>
        <v>#NAME?</v>
      </c>
    </row>
    <row r="616" spans="1:23" x14ac:dyDescent="0.2">
      <c r="A616" s="36" t="s">
        <v>2660</v>
      </c>
      <c r="B616" s="27" t="s">
        <v>2661</v>
      </c>
      <c r="C616" s="23" t="e">
        <f ca="1">[1]!BexGetData("DP_1","003N8EMH8GTFRCSWKMPXRR8GU","GSON1112031573")</f>
        <v>#NAME?</v>
      </c>
      <c r="D616" s="23" t="e">
        <f ca="1">[1]!BexGetData("DP_1","003N8EMH8GTFRCSWKMPXRRESE","GSON1112031573")</f>
        <v>#NAME?</v>
      </c>
      <c r="E616" s="28" t="e">
        <f ca="1">[1]!BexGetData("DP_1","003N8EMH8GTFRCSWKMPXRRL3Y","GSON1112031573")</f>
        <v>#NAME?</v>
      </c>
      <c r="F616" s="24" t="e">
        <f ca="1">[1]!BexGetData("DP_1","003N8EMH8GTFRCSWKMPXRRRFI","GSON1112031573")</f>
        <v>#NAME?</v>
      </c>
      <c r="G616" s="24" t="e">
        <f ca="1">[1]!BexGetData("DP_1","003N8EMH8GTFRCSWKMPXRRXR2","GSON1112031573")</f>
        <v>#NAME?</v>
      </c>
      <c r="H616" s="24" t="e">
        <f ca="1">[1]!BexGetData("DP_1","003N8EMH8GTFRCSWKMPXRS42M","GSON1112031573")</f>
        <v>#NAME?</v>
      </c>
      <c r="I616" s="24" t="e">
        <f ca="1">[1]!BexGetData("DP_1","003N8EMH8GTFRCSWKMPXRSAE6","GSON1112031573")</f>
        <v>#NAME?</v>
      </c>
      <c r="J616" s="24" t="e">
        <f ca="1">[1]!BexGetData("DP_1","003N8EMH8GTFRCSWKMPXRSGPQ","GSON1112031573")</f>
        <v>#NAME?</v>
      </c>
      <c r="K616" s="28" t="e">
        <f ca="1">[1]!BexGetData("DP_1","003N8EMH8GTFRIVNUPY288VJH","GSON1112031573")</f>
        <v>#NAME?</v>
      </c>
      <c r="L616" s="28" t="e">
        <f ca="1">[1]!BexGetData("DP_1","003N8EMH8GTFRIVNUPY2891V1","GSON1112031573")</f>
        <v>#NAME?</v>
      </c>
      <c r="M616" s="28" t="e">
        <f ca="1">[1]!BexGetData("DP_1","003N8EMH8GTFRIVOG7KG9IQXA","GSON1112031573")</f>
        <v>#NAME?</v>
      </c>
      <c r="N616" s="28" t="e">
        <f ca="1">[1]!BexGetData("DP_1","003N8EMH8GTFRIVOG7KG9IX8U","GSON1112031573")</f>
        <v>#NAME?</v>
      </c>
      <c r="O616" s="28" t="e">
        <f ca="1">[1]!BexGetData("DP_1","003N8EMH8GTFRIVOG7KG9J3KE","GSON1112031573")</f>
        <v>#NAME?</v>
      </c>
      <c r="P616" s="28" t="e">
        <f ca="1">[1]!BexGetData("DP_1","003N8EMH8GTFRIVOG7KG9J9VY","GSON1112031573")</f>
        <v>#NAME?</v>
      </c>
      <c r="Q616" s="24" t="e">
        <f ca="1">[1]!BexGetData("DP_1","00O2TNJGODT0G5Z4TTKYMM5MT","GSON1112031573")</f>
        <v>#NAME?</v>
      </c>
      <c r="R616" s="24" t="e">
        <f ca="1">[1]!BexGetData("DP_1","00O2TNJGODT0G5Z4TTKYMMBYD","GSON1112031573")</f>
        <v>#NAME?</v>
      </c>
      <c r="S616" s="24" t="e">
        <f ca="1">[1]!BexGetData("DP_1","00O2TNJGODT0G5Z4TTKYMMI9X","GSON1112031573")</f>
        <v>#NAME?</v>
      </c>
      <c r="T616" s="24" t="e">
        <f ca="1">[1]!BexGetData("DP_1","00O2TNJGODT0G5Z4TTKYMMOLH","GSON1112031573")</f>
        <v>#NAME?</v>
      </c>
      <c r="U616" s="24" t="e">
        <f ca="1">[1]!BexGetData("DP_1","00O2TNJGODT0G5Z4TTKYMMUX1","GSON1112031573")</f>
        <v>#NAME?</v>
      </c>
      <c r="V616" s="24" t="e">
        <f ca="1">[1]!BexGetData("DP_1","00O2TNJGODT0G5Z4TTKYMN18L","GSON1112031573")</f>
        <v>#NAME?</v>
      </c>
      <c r="W616" s="24" t="e">
        <f ca="1">[1]!BexGetData("DP_1","00O2TNJGODT0G5Z4TTKYMN7K5","GSON1112031573")</f>
        <v>#NAME?</v>
      </c>
    </row>
    <row r="617" spans="1:23" x14ac:dyDescent="0.2">
      <c r="A617" s="36" t="s">
        <v>2662</v>
      </c>
      <c r="B617" s="27" t="s">
        <v>2663</v>
      </c>
      <c r="C617" s="23" t="e">
        <f ca="1">[1]!BexGetData("DP_1","003N8EMH8GTFRCSWKMPXRR8GU","GSON1112031575")</f>
        <v>#NAME?</v>
      </c>
      <c r="D617" s="23" t="e">
        <f ca="1">[1]!BexGetData("DP_1","003N8EMH8GTFRCSWKMPXRRESE","GSON1112031575")</f>
        <v>#NAME?</v>
      </c>
      <c r="E617" s="28" t="e">
        <f ca="1">[1]!BexGetData("DP_1","003N8EMH8GTFRCSWKMPXRRL3Y","GSON1112031575")</f>
        <v>#NAME?</v>
      </c>
      <c r="F617" s="24" t="e">
        <f ca="1">[1]!BexGetData("DP_1","003N8EMH8GTFRCSWKMPXRRRFI","GSON1112031575")</f>
        <v>#NAME?</v>
      </c>
      <c r="G617" s="24" t="e">
        <f ca="1">[1]!BexGetData("DP_1","003N8EMH8GTFRCSWKMPXRRXR2","GSON1112031575")</f>
        <v>#NAME?</v>
      </c>
      <c r="H617" s="24" t="e">
        <f ca="1">[1]!BexGetData("DP_1","003N8EMH8GTFRCSWKMPXRS42M","GSON1112031575")</f>
        <v>#NAME?</v>
      </c>
      <c r="I617" s="24" t="e">
        <f ca="1">[1]!BexGetData("DP_1","003N8EMH8GTFRCSWKMPXRSAE6","GSON1112031575")</f>
        <v>#NAME?</v>
      </c>
      <c r="J617" s="24" t="e">
        <f ca="1">[1]!BexGetData("DP_1","003N8EMH8GTFRCSWKMPXRSGPQ","GSON1112031575")</f>
        <v>#NAME?</v>
      </c>
      <c r="K617" s="28" t="e">
        <f ca="1">[1]!BexGetData("DP_1","003N8EMH8GTFRIVNUPY288VJH","GSON1112031575")</f>
        <v>#NAME?</v>
      </c>
      <c r="L617" s="28" t="e">
        <f ca="1">[1]!BexGetData("DP_1","003N8EMH8GTFRIVNUPY2891V1","GSON1112031575")</f>
        <v>#NAME?</v>
      </c>
      <c r="M617" s="28" t="e">
        <f ca="1">[1]!BexGetData("DP_1","003N8EMH8GTFRIVOG7KG9IQXA","GSON1112031575")</f>
        <v>#NAME?</v>
      </c>
      <c r="N617" s="28" t="e">
        <f ca="1">[1]!BexGetData("DP_1","003N8EMH8GTFRIVOG7KG9IX8U","GSON1112031575")</f>
        <v>#NAME?</v>
      </c>
      <c r="O617" s="28" t="e">
        <f ca="1">[1]!BexGetData("DP_1","003N8EMH8GTFRIVOG7KG9J3KE","GSON1112031575")</f>
        <v>#NAME?</v>
      </c>
      <c r="P617" s="28" t="e">
        <f ca="1">[1]!BexGetData("DP_1","003N8EMH8GTFRIVOG7KG9J9VY","GSON1112031575")</f>
        <v>#NAME?</v>
      </c>
      <c r="Q617" s="24" t="e">
        <f ca="1">[1]!BexGetData("DP_1","00O2TNJGODT0G5Z4TTKYMM5MT","GSON1112031575")</f>
        <v>#NAME?</v>
      </c>
      <c r="R617" s="24" t="e">
        <f ca="1">[1]!BexGetData("DP_1","00O2TNJGODT0G5Z4TTKYMMBYD","GSON1112031575")</f>
        <v>#NAME?</v>
      </c>
      <c r="S617" s="24" t="e">
        <f ca="1">[1]!BexGetData("DP_1","00O2TNJGODT0G5Z4TTKYMMI9X","GSON1112031575")</f>
        <v>#NAME?</v>
      </c>
      <c r="T617" s="24" t="e">
        <f ca="1">[1]!BexGetData("DP_1","00O2TNJGODT0G5Z4TTKYMMOLH","GSON1112031575")</f>
        <v>#NAME?</v>
      </c>
      <c r="U617" s="24" t="e">
        <f ca="1">[1]!BexGetData("DP_1","00O2TNJGODT0G5Z4TTKYMMUX1","GSON1112031575")</f>
        <v>#NAME?</v>
      </c>
      <c r="V617" s="24" t="e">
        <f ca="1">[1]!BexGetData("DP_1","00O2TNJGODT0G5Z4TTKYMN18L","GSON1112031575")</f>
        <v>#NAME?</v>
      </c>
      <c r="W617" s="24" t="e">
        <f ca="1">[1]!BexGetData("DP_1","00O2TNJGODT0G5Z4TTKYMN7K5","GSON1112031575")</f>
        <v>#NAME?</v>
      </c>
    </row>
    <row r="618" spans="1:23" x14ac:dyDescent="0.2">
      <c r="A618" s="36" t="s">
        <v>2664</v>
      </c>
      <c r="B618" s="27" t="s">
        <v>2665</v>
      </c>
      <c r="C618" s="23" t="e">
        <f ca="1">[1]!BexGetData("DP_1","003N8EMH8GTFRCSWKMPXRR8GU","GSON1112031580")</f>
        <v>#NAME?</v>
      </c>
      <c r="D618" s="23" t="e">
        <f ca="1">[1]!BexGetData("DP_1","003N8EMH8GTFRCSWKMPXRRESE","GSON1112031580")</f>
        <v>#NAME?</v>
      </c>
      <c r="E618" s="23" t="e">
        <f ca="1">[1]!BexGetData("DP_1","003N8EMH8GTFRCSWKMPXRRL3Y","GSON1112031580")</f>
        <v>#NAME?</v>
      </c>
      <c r="F618" s="24" t="e">
        <f ca="1">[1]!BexGetData("DP_1","003N8EMH8GTFRCSWKMPXRRRFI","GSON1112031580")</f>
        <v>#NAME?</v>
      </c>
      <c r="G618" s="24" t="e">
        <f ca="1">[1]!BexGetData("DP_1","003N8EMH8GTFRCSWKMPXRRXR2","GSON1112031580")</f>
        <v>#NAME?</v>
      </c>
      <c r="H618" s="24" t="e">
        <f ca="1">[1]!BexGetData("DP_1","003N8EMH8GTFRCSWKMPXRS42M","GSON1112031580")</f>
        <v>#NAME?</v>
      </c>
      <c r="I618" s="24" t="e">
        <f ca="1">[1]!BexGetData("DP_1","003N8EMH8GTFRCSWKMPXRSAE6","GSON1112031580")</f>
        <v>#NAME?</v>
      </c>
      <c r="J618" s="24" t="e">
        <f ca="1">[1]!BexGetData("DP_1","003N8EMH8GTFRCSWKMPXRSGPQ","GSON1112031580")</f>
        <v>#NAME?</v>
      </c>
      <c r="K618" s="23" t="e">
        <f ca="1">[1]!BexGetData("DP_1","003N8EMH8GTFRIVNUPY288VJH","GSON1112031580")</f>
        <v>#NAME?</v>
      </c>
      <c r="L618" s="23" t="e">
        <f ca="1">[1]!BexGetData("DP_1","003N8EMH8GTFRIVNUPY2891V1","GSON1112031580")</f>
        <v>#NAME?</v>
      </c>
      <c r="M618" s="28" t="e">
        <f ca="1">[1]!BexGetData("DP_1","003N8EMH8GTFRIVOG7KG9IQXA","GSON1112031580")</f>
        <v>#NAME?</v>
      </c>
      <c r="N618" s="23" t="e">
        <f ca="1">[1]!BexGetData("DP_1","003N8EMH8GTFRIVOG7KG9IX8U","GSON1112031580")</f>
        <v>#NAME?</v>
      </c>
      <c r="O618" s="28" t="e">
        <f ca="1">[1]!BexGetData("DP_1","003N8EMH8GTFRIVOG7KG9J3KE","GSON1112031580")</f>
        <v>#NAME?</v>
      </c>
      <c r="P618" s="23" t="e">
        <f ca="1">[1]!BexGetData("DP_1","003N8EMH8GTFRIVOG7KG9J9VY","GSON1112031580")</f>
        <v>#NAME?</v>
      </c>
      <c r="Q618" s="24" t="e">
        <f ca="1">[1]!BexGetData("DP_1","00O2TNJGODT0G5Z4TTKYMM5MT","GSON1112031580")</f>
        <v>#NAME?</v>
      </c>
      <c r="R618" s="24" t="e">
        <f ca="1">[1]!BexGetData("DP_1","00O2TNJGODT0G5Z4TTKYMMBYD","GSON1112031580")</f>
        <v>#NAME?</v>
      </c>
      <c r="S618" s="24" t="e">
        <f ca="1">[1]!BexGetData("DP_1","00O2TNJGODT0G5Z4TTKYMMI9X","GSON1112031580")</f>
        <v>#NAME?</v>
      </c>
      <c r="T618" s="24" t="e">
        <f ca="1">[1]!BexGetData("DP_1","00O2TNJGODT0G5Z4TTKYMMOLH","GSON1112031580")</f>
        <v>#NAME?</v>
      </c>
      <c r="U618" s="24" t="e">
        <f ca="1">[1]!BexGetData("DP_1","00O2TNJGODT0G5Z4TTKYMMUX1","GSON1112031580")</f>
        <v>#NAME?</v>
      </c>
      <c r="V618" s="24" t="e">
        <f ca="1">[1]!BexGetData("DP_1","00O2TNJGODT0G5Z4TTKYMN18L","GSON1112031580")</f>
        <v>#NAME?</v>
      </c>
      <c r="W618" s="24" t="e">
        <f ca="1">[1]!BexGetData("DP_1","00O2TNJGODT0G5Z4TTKYMN7K5","GSON1112031580")</f>
        <v>#NAME?</v>
      </c>
    </row>
    <row r="619" spans="1:23" x14ac:dyDescent="0.2">
      <c r="A619" s="36" t="s">
        <v>2666</v>
      </c>
      <c r="B619" s="27" t="s">
        <v>2667</v>
      </c>
      <c r="C619" s="23" t="e">
        <f ca="1">[1]!BexGetData("DP_1","003N8EMH8GTFRCSWKMPXRR8GU","GSON1112031581")</f>
        <v>#NAME?</v>
      </c>
      <c r="D619" s="23" t="e">
        <f ca="1">[1]!BexGetData("DP_1","003N8EMH8GTFRCSWKMPXRRESE","GSON1112031581")</f>
        <v>#NAME?</v>
      </c>
      <c r="E619" s="28" t="e">
        <f ca="1">[1]!BexGetData("DP_1","003N8EMH8GTFRCSWKMPXRRL3Y","GSON1112031581")</f>
        <v>#NAME?</v>
      </c>
      <c r="F619" s="24" t="e">
        <f ca="1">[1]!BexGetData("DP_1","003N8EMH8GTFRCSWKMPXRRRFI","GSON1112031581")</f>
        <v>#NAME?</v>
      </c>
      <c r="G619" s="24" t="e">
        <f ca="1">[1]!BexGetData("DP_1","003N8EMH8GTFRCSWKMPXRRXR2","GSON1112031581")</f>
        <v>#NAME?</v>
      </c>
      <c r="H619" s="24" t="e">
        <f ca="1">[1]!BexGetData("DP_1","003N8EMH8GTFRCSWKMPXRS42M","GSON1112031581")</f>
        <v>#NAME?</v>
      </c>
      <c r="I619" s="24" t="e">
        <f ca="1">[1]!BexGetData("DP_1","003N8EMH8GTFRCSWKMPXRSAE6","GSON1112031581")</f>
        <v>#NAME?</v>
      </c>
      <c r="J619" s="24" t="e">
        <f ca="1">[1]!BexGetData("DP_1","003N8EMH8GTFRCSWKMPXRSGPQ","GSON1112031581")</f>
        <v>#NAME?</v>
      </c>
      <c r="K619" s="28" t="e">
        <f ca="1">[1]!BexGetData("DP_1","003N8EMH8GTFRIVNUPY288VJH","GSON1112031581")</f>
        <v>#NAME?</v>
      </c>
      <c r="L619" s="28" t="e">
        <f ca="1">[1]!BexGetData("DP_1","003N8EMH8GTFRIVNUPY2891V1","GSON1112031581")</f>
        <v>#NAME?</v>
      </c>
      <c r="M619" s="28" t="e">
        <f ca="1">[1]!BexGetData("DP_1","003N8EMH8GTFRIVOG7KG9IQXA","GSON1112031581")</f>
        <v>#NAME?</v>
      </c>
      <c r="N619" s="28" t="e">
        <f ca="1">[1]!BexGetData("DP_1","003N8EMH8GTFRIVOG7KG9IX8U","GSON1112031581")</f>
        <v>#NAME?</v>
      </c>
      <c r="O619" s="28" t="e">
        <f ca="1">[1]!BexGetData("DP_1","003N8EMH8GTFRIVOG7KG9J3KE","GSON1112031581")</f>
        <v>#NAME?</v>
      </c>
      <c r="P619" s="28" t="e">
        <f ca="1">[1]!BexGetData("DP_1","003N8EMH8GTFRIVOG7KG9J9VY","GSON1112031581")</f>
        <v>#NAME?</v>
      </c>
      <c r="Q619" s="24" t="e">
        <f ca="1">[1]!BexGetData("DP_1","00O2TNJGODT0G5Z4TTKYMM5MT","GSON1112031581")</f>
        <v>#NAME?</v>
      </c>
      <c r="R619" s="24" t="e">
        <f ca="1">[1]!BexGetData("DP_1","00O2TNJGODT0G5Z4TTKYMMBYD","GSON1112031581")</f>
        <v>#NAME?</v>
      </c>
      <c r="S619" s="24" t="e">
        <f ca="1">[1]!BexGetData("DP_1","00O2TNJGODT0G5Z4TTKYMMI9X","GSON1112031581")</f>
        <v>#NAME?</v>
      </c>
      <c r="T619" s="24" t="e">
        <f ca="1">[1]!BexGetData("DP_1","00O2TNJGODT0G5Z4TTKYMMOLH","GSON1112031581")</f>
        <v>#NAME?</v>
      </c>
      <c r="U619" s="24" t="e">
        <f ca="1">[1]!BexGetData("DP_1","00O2TNJGODT0G5Z4TTKYMMUX1","GSON1112031581")</f>
        <v>#NAME?</v>
      </c>
      <c r="V619" s="24" t="e">
        <f ca="1">[1]!BexGetData("DP_1","00O2TNJGODT0G5Z4TTKYMN18L","GSON1112031581")</f>
        <v>#NAME?</v>
      </c>
      <c r="W619" s="24" t="e">
        <f ca="1">[1]!BexGetData("DP_1","00O2TNJGODT0G5Z4TTKYMN7K5","GSON1112031581")</f>
        <v>#NAME?</v>
      </c>
    </row>
    <row r="620" spans="1:23" x14ac:dyDescent="0.2">
      <c r="A620" s="36" t="s">
        <v>2668</v>
      </c>
      <c r="B620" s="27" t="s">
        <v>2669</v>
      </c>
      <c r="C620" s="23" t="e">
        <f ca="1">[1]!BexGetData("DP_1","003N8EMH8GTFRCSWKMPXRR8GU","GSON1112031583")</f>
        <v>#NAME?</v>
      </c>
      <c r="D620" s="23" t="e">
        <f ca="1">[1]!BexGetData("DP_1","003N8EMH8GTFRCSWKMPXRRESE","GSON1112031583")</f>
        <v>#NAME?</v>
      </c>
      <c r="E620" s="28" t="e">
        <f ca="1">[1]!BexGetData("DP_1","003N8EMH8GTFRCSWKMPXRRL3Y","GSON1112031583")</f>
        <v>#NAME?</v>
      </c>
      <c r="F620" s="24" t="e">
        <f ca="1">[1]!BexGetData("DP_1","003N8EMH8GTFRCSWKMPXRRRFI","GSON1112031583")</f>
        <v>#NAME?</v>
      </c>
      <c r="G620" s="24" t="e">
        <f ca="1">[1]!BexGetData("DP_1","003N8EMH8GTFRCSWKMPXRRXR2","GSON1112031583")</f>
        <v>#NAME?</v>
      </c>
      <c r="H620" s="24" t="e">
        <f ca="1">[1]!BexGetData("DP_1","003N8EMH8GTFRCSWKMPXRS42M","GSON1112031583")</f>
        <v>#NAME?</v>
      </c>
      <c r="I620" s="24" t="e">
        <f ca="1">[1]!BexGetData("DP_1","003N8EMH8GTFRCSWKMPXRSAE6","GSON1112031583")</f>
        <v>#NAME?</v>
      </c>
      <c r="J620" s="24" t="e">
        <f ca="1">[1]!BexGetData("DP_1","003N8EMH8GTFRCSWKMPXRSGPQ","GSON1112031583")</f>
        <v>#NAME?</v>
      </c>
      <c r="K620" s="28" t="e">
        <f ca="1">[1]!BexGetData("DP_1","003N8EMH8GTFRIVNUPY288VJH","GSON1112031583")</f>
        <v>#NAME?</v>
      </c>
      <c r="L620" s="28" t="e">
        <f ca="1">[1]!BexGetData("DP_1","003N8EMH8GTFRIVNUPY2891V1","GSON1112031583")</f>
        <v>#NAME?</v>
      </c>
      <c r="M620" s="28" t="e">
        <f ca="1">[1]!BexGetData("DP_1","003N8EMH8GTFRIVOG7KG9IQXA","GSON1112031583")</f>
        <v>#NAME?</v>
      </c>
      <c r="N620" s="28" t="e">
        <f ca="1">[1]!BexGetData("DP_1","003N8EMH8GTFRIVOG7KG9IX8U","GSON1112031583")</f>
        <v>#NAME?</v>
      </c>
      <c r="O620" s="28" t="e">
        <f ca="1">[1]!BexGetData("DP_1","003N8EMH8GTFRIVOG7KG9J3KE","GSON1112031583")</f>
        <v>#NAME?</v>
      </c>
      <c r="P620" s="28" t="e">
        <f ca="1">[1]!BexGetData("DP_1","003N8EMH8GTFRIVOG7KG9J9VY","GSON1112031583")</f>
        <v>#NAME?</v>
      </c>
      <c r="Q620" s="24" t="e">
        <f ca="1">[1]!BexGetData("DP_1","00O2TNJGODT0G5Z4TTKYMM5MT","GSON1112031583")</f>
        <v>#NAME?</v>
      </c>
      <c r="R620" s="24" t="e">
        <f ca="1">[1]!BexGetData("DP_1","00O2TNJGODT0G5Z4TTKYMMBYD","GSON1112031583")</f>
        <v>#NAME?</v>
      </c>
      <c r="S620" s="24" t="e">
        <f ca="1">[1]!BexGetData("DP_1","00O2TNJGODT0G5Z4TTKYMMI9X","GSON1112031583")</f>
        <v>#NAME?</v>
      </c>
      <c r="T620" s="24" t="e">
        <f ca="1">[1]!BexGetData("DP_1","00O2TNJGODT0G5Z4TTKYMMOLH","GSON1112031583")</f>
        <v>#NAME?</v>
      </c>
      <c r="U620" s="24" t="e">
        <f ca="1">[1]!BexGetData("DP_1","00O2TNJGODT0G5Z4TTKYMMUX1","GSON1112031583")</f>
        <v>#NAME?</v>
      </c>
      <c r="V620" s="24" t="e">
        <f ca="1">[1]!BexGetData("DP_1","00O2TNJGODT0G5Z4TTKYMN18L","GSON1112031583")</f>
        <v>#NAME?</v>
      </c>
      <c r="W620" s="24" t="e">
        <f ca="1">[1]!BexGetData("DP_1","00O2TNJGODT0G5Z4TTKYMN7K5","GSON1112031583")</f>
        <v>#NAME?</v>
      </c>
    </row>
    <row r="621" spans="1:23" x14ac:dyDescent="0.2">
      <c r="A621" s="36" t="s">
        <v>2670</v>
      </c>
      <c r="B621" s="27" t="s">
        <v>2671</v>
      </c>
      <c r="C621" s="23" t="e">
        <f ca="1">[1]!BexGetData("DP_1","003N8EMH8GTFRCSWKMPXRR8GU","GSON1112031585")</f>
        <v>#NAME?</v>
      </c>
      <c r="D621" s="23" t="e">
        <f ca="1">[1]!BexGetData("DP_1","003N8EMH8GTFRCSWKMPXRRESE","GSON1112031585")</f>
        <v>#NAME?</v>
      </c>
      <c r="E621" s="28" t="e">
        <f ca="1">[1]!BexGetData("DP_1","003N8EMH8GTFRCSWKMPXRRL3Y","GSON1112031585")</f>
        <v>#NAME?</v>
      </c>
      <c r="F621" s="24" t="e">
        <f ca="1">[1]!BexGetData("DP_1","003N8EMH8GTFRCSWKMPXRRRFI","GSON1112031585")</f>
        <v>#NAME?</v>
      </c>
      <c r="G621" s="24" t="e">
        <f ca="1">[1]!BexGetData("DP_1","003N8EMH8GTFRCSWKMPXRRXR2","GSON1112031585")</f>
        <v>#NAME?</v>
      </c>
      <c r="H621" s="24" t="e">
        <f ca="1">[1]!BexGetData("DP_1","003N8EMH8GTFRCSWKMPXRS42M","GSON1112031585")</f>
        <v>#NAME?</v>
      </c>
      <c r="I621" s="24" t="e">
        <f ca="1">[1]!BexGetData("DP_1","003N8EMH8GTFRCSWKMPXRSAE6","GSON1112031585")</f>
        <v>#NAME?</v>
      </c>
      <c r="J621" s="24" t="e">
        <f ca="1">[1]!BexGetData("DP_1","003N8EMH8GTFRCSWKMPXRSGPQ","GSON1112031585")</f>
        <v>#NAME?</v>
      </c>
      <c r="K621" s="28" t="e">
        <f ca="1">[1]!BexGetData("DP_1","003N8EMH8GTFRIVNUPY288VJH","GSON1112031585")</f>
        <v>#NAME?</v>
      </c>
      <c r="L621" s="28" t="e">
        <f ca="1">[1]!BexGetData("DP_1","003N8EMH8GTFRIVNUPY2891V1","GSON1112031585")</f>
        <v>#NAME?</v>
      </c>
      <c r="M621" s="28" t="e">
        <f ca="1">[1]!BexGetData("DP_1","003N8EMH8GTFRIVOG7KG9IQXA","GSON1112031585")</f>
        <v>#NAME?</v>
      </c>
      <c r="N621" s="28" t="e">
        <f ca="1">[1]!BexGetData("DP_1","003N8EMH8GTFRIVOG7KG9IX8U","GSON1112031585")</f>
        <v>#NAME?</v>
      </c>
      <c r="O621" s="28" t="e">
        <f ca="1">[1]!BexGetData("DP_1","003N8EMH8GTFRIVOG7KG9J3KE","GSON1112031585")</f>
        <v>#NAME?</v>
      </c>
      <c r="P621" s="28" t="e">
        <f ca="1">[1]!BexGetData("DP_1","003N8EMH8GTFRIVOG7KG9J9VY","GSON1112031585")</f>
        <v>#NAME?</v>
      </c>
      <c r="Q621" s="24" t="e">
        <f ca="1">[1]!BexGetData("DP_1","00O2TNJGODT0G5Z4TTKYMM5MT","GSON1112031585")</f>
        <v>#NAME?</v>
      </c>
      <c r="R621" s="24" t="e">
        <f ca="1">[1]!BexGetData("DP_1","00O2TNJGODT0G5Z4TTKYMMBYD","GSON1112031585")</f>
        <v>#NAME?</v>
      </c>
      <c r="S621" s="24" t="e">
        <f ca="1">[1]!BexGetData("DP_1","00O2TNJGODT0G5Z4TTKYMMI9X","GSON1112031585")</f>
        <v>#NAME?</v>
      </c>
      <c r="T621" s="24" t="e">
        <f ca="1">[1]!BexGetData("DP_1","00O2TNJGODT0G5Z4TTKYMMOLH","GSON1112031585")</f>
        <v>#NAME?</v>
      </c>
      <c r="U621" s="24" t="e">
        <f ca="1">[1]!BexGetData("DP_1","00O2TNJGODT0G5Z4TTKYMMUX1","GSON1112031585")</f>
        <v>#NAME?</v>
      </c>
      <c r="V621" s="24" t="e">
        <f ca="1">[1]!BexGetData("DP_1","00O2TNJGODT0G5Z4TTKYMN18L","GSON1112031585")</f>
        <v>#NAME?</v>
      </c>
      <c r="W621" s="24" t="e">
        <f ca="1">[1]!BexGetData("DP_1","00O2TNJGODT0G5Z4TTKYMN7K5","GSON1112031585")</f>
        <v>#NAME?</v>
      </c>
    </row>
    <row r="622" spans="1:23" x14ac:dyDescent="0.2">
      <c r="A622" s="36" t="s">
        <v>2672</v>
      </c>
      <c r="B622" s="27" t="s">
        <v>2673</v>
      </c>
      <c r="C622" s="23" t="e">
        <f ca="1">[1]!BexGetData("DP_1","003N8EMH8GTFRCSWKMPXRR8GU","GSON1112031590")</f>
        <v>#NAME?</v>
      </c>
      <c r="D622" s="23" t="e">
        <f ca="1">[1]!BexGetData("DP_1","003N8EMH8GTFRCSWKMPXRRESE","GSON1112031590")</f>
        <v>#NAME?</v>
      </c>
      <c r="E622" s="23" t="e">
        <f ca="1">[1]!BexGetData("DP_1","003N8EMH8GTFRCSWKMPXRRL3Y","GSON1112031590")</f>
        <v>#NAME?</v>
      </c>
      <c r="F622" s="24" t="e">
        <f ca="1">[1]!BexGetData("DP_1","003N8EMH8GTFRCSWKMPXRRRFI","GSON1112031590")</f>
        <v>#NAME?</v>
      </c>
      <c r="G622" s="24" t="e">
        <f ca="1">[1]!BexGetData("DP_1","003N8EMH8GTFRCSWKMPXRRXR2","GSON1112031590")</f>
        <v>#NAME?</v>
      </c>
      <c r="H622" s="24" t="e">
        <f ca="1">[1]!BexGetData("DP_1","003N8EMH8GTFRCSWKMPXRS42M","GSON1112031590")</f>
        <v>#NAME?</v>
      </c>
      <c r="I622" s="24" t="e">
        <f ca="1">[1]!BexGetData("DP_1","003N8EMH8GTFRCSWKMPXRSAE6","GSON1112031590")</f>
        <v>#NAME?</v>
      </c>
      <c r="J622" s="24" t="e">
        <f ca="1">[1]!BexGetData("DP_1","003N8EMH8GTFRCSWKMPXRSGPQ","GSON1112031590")</f>
        <v>#NAME?</v>
      </c>
      <c r="K622" s="23" t="e">
        <f ca="1">[1]!BexGetData("DP_1","003N8EMH8GTFRIVNUPY288VJH","GSON1112031590")</f>
        <v>#NAME?</v>
      </c>
      <c r="L622" s="23" t="e">
        <f ca="1">[1]!BexGetData("DP_1","003N8EMH8GTFRIVNUPY2891V1","GSON1112031590")</f>
        <v>#NAME?</v>
      </c>
      <c r="M622" s="28" t="e">
        <f ca="1">[1]!BexGetData("DP_1","003N8EMH8GTFRIVOG7KG9IQXA","GSON1112031590")</f>
        <v>#NAME?</v>
      </c>
      <c r="N622" s="23" t="e">
        <f ca="1">[1]!BexGetData("DP_1","003N8EMH8GTFRIVOG7KG9IX8U","GSON1112031590")</f>
        <v>#NAME?</v>
      </c>
      <c r="O622" s="28" t="e">
        <f ca="1">[1]!BexGetData("DP_1","003N8EMH8GTFRIVOG7KG9J3KE","GSON1112031590")</f>
        <v>#NAME?</v>
      </c>
      <c r="P622" s="23" t="e">
        <f ca="1">[1]!BexGetData("DP_1","003N8EMH8GTFRIVOG7KG9J9VY","GSON1112031590")</f>
        <v>#NAME?</v>
      </c>
      <c r="Q622" s="24" t="e">
        <f ca="1">[1]!BexGetData("DP_1","00O2TNJGODT0G5Z4TTKYMM5MT","GSON1112031590")</f>
        <v>#NAME?</v>
      </c>
      <c r="R622" s="24" t="e">
        <f ca="1">[1]!BexGetData("DP_1","00O2TNJGODT0G5Z4TTKYMMBYD","GSON1112031590")</f>
        <v>#NAME?</v>
      </c>
      <c r="S622" s="24" t="e">
        <f ca="1">[1]!BexGetData("DP_1","00O2TNJGODT0G5Z4TTKYMMI9X","GSON1112031590")</f>
        <v>#NAME?</v>
      </c>
      <c r="T622" s="24" t="e">
        <f ca="1">[1]!BexGetData("DP_1","00O2TNJGODT0G5Z4TTKYMMOLH","GSON1112031590")</f>
        <v>#NAME?</v>
      </c>
      <c r="U622" s="24" t="e">
        <f ca="1">[1]!BexGetData("DP_1","00O2TNJGODT0G5Z4TTKYMMUX1","GSON1112031590")</f>
        <v>#NAME?</v>
      </c>
      <c r="V622" s="24" t="e">
        <f ca="1">[1]!BexGetData("DP_1","00O2TNJGODT0G5Z4TTKYMN18L","GSON1112031590")</f>
        <v>#NAME?</v>
      </c>
      <c r="W622" s="24" t="e">
        <f ca="1">[1]!BexGetData("DP_1","00O2TNJGODT0G5Z4TTKYMN7K5","GSON1112031590")</f>
        <v>#NAME?</v>
      </c>
    </row>
    <row r="623" spans="1:23" x14ac:dyDescent="0.2">
      <c r="A623" s="36" t="s">
        <v>2674</v>
      </c>
      <c r="B623" s="27" t="s">
        <v>2675</v>
      </c>
      <c r="C623" s="23" t="e">
        <f ca="1">[1]!BexGetData("DP_1","003N8EMH8GTFRCSWKMPXRR8GU","GSON1112031591")</f>
        <v>#NAME?</v>
      </c>
      <c r="D623" s="23" t="e">
        <f ca="1">[1]!BexGetData("DP_1","003N8EMH8GTFRCSWKMPXRRESE","GSON1112031591")</f>
        <v>#NAME?</v>
      </c>
      <c r="E623" s="28" t="e">
        <f ca="1">[1]!BexGetData("DP_1","003N8EMH8GTFRCSWKMPXRRL3Y","GSON1112031591")</f>
        <v>#NAME?</v>
      </c>
      <c r="F623" s="24" t="e">
        <f ca="1">[1]!BexGetData("DP_1","003N8EMH8GTFRCSWKMPXRRRFI","GSON1112031591")</f>
        <v>#NAME?</v>
      </c>
      <c r="G623" s="24" t="e">
        <f ca="1">[1]!BexGetData("DP_1","003N8EMH8GTFRCSWKMPXRRXR2","GSON1112031591")</f>
        <v>#NAME?</v>
      </c>
      <c r="H623" s="24" t="e">
        <f ca="1">[1]!BexGetData("DP_1","003N8EMH8GTFRCSWKMPXRS42M","GSON1112031591")</f>
        <v>#NAME?</v>
      </c>
      <c r="I623" s="24" t="e">
        <f ca="1">[1]!BexGetData("DP_1","003N8EMH8GTFRCSWKMPXRSAE6","GSON1112031591")</f>
        <v>#NAME?</v>
      </c>
      <c r="J623" s="24" t="e">
        <f ca="1">[1]!BexGetData("DP_1","003N8EMH8GTFRCSWKMPXRSGPQ","GSON1112031591")</f>
        <v>#NAME?</v>
      </c>
      <c r="K623" s="28" t="e">
        <f ca="1">[1]!BexGetData("DP_1","003N8EMH8GTFRIVNUPY288VJH","GSON1112031591")</f>
        <v>#NAME?</v>
      </c>
      <c r="L623" s="28" t="e">
        <f ca="1">[1]!BexGetData("DP_1","003N8EMH8GTFRIVNUPY2891V1","GSON1112031591")</f>
        <v>#NAME?</v>
      </c>
      <c r="M623" s="28" t="e">
        <f ca="1">[1]!BexGetData("DP_1","003N8EMH8GTFRIVOG7KG9IQXA","GSON1112031591")</f>
        <v>#NAME?</v>
      </c>
      <c r="N623" s="28" t="e">
        <f ca="1">[1]!BexGetData("DP_1","003N8EMH8GTFRIVOG7KG9IX8U","GSON1112031591")</f>
        <v>#NAME?</v>
      </c>
      <c r="O623" s="28" t="e">
        <f ca="1">[1]!BexGetData("DP_1","003N8EMH8GTFRIVOG7KG9J3KE","GSON1112031591")</f>
        <v>#NAME?</v>
      </c>
      <c r="P623" s="28" t="e">
        <f ca="1">[1]!BexGetData("DP_1","003N8EMH8GTFRIVOG7KG9J9VY","GSON1112031591")</f>
        <v>#NAME?</v>
      </c>
      <c r="Q623" s="24" t="e">
        <f ca="1">[1]!BexGetData("DP_1","00O2TNJGODT0G5Z4TTKYMM5MT","GSON1112031591")</f>
        <v>#NAME?</v>
      </c>
      <c r="R623" s="24" t="e">
        <f ca="1">[1]!BexGetData("DP_1","00O2TNJGODT0G5Z4TTKYMMBYD","GSON1112031591")</f>
        <v>#NAME?</v>
      </c>
      <c r="S623" s="24" t="e">
        <f ca="1">[1]!BexGetData("DP_1","00O2TNJGODT0G5Z4TTKYMMI9X","GSON1112031591")</f>
        <v>#NAME?</v>
      </c>
      <c r="T623" s="24" t="e">
        <f ca="1">[1]!BexGetData("DP_1","00O2TNJGODT0G5Z4TTKYMMOLH","GSON1112031591")</f>
        <v>#NAME?</v>
      </c>
      <c r="U623" s="24" t="e">
        <f ca="1">[1]!BexGetData("DP_1","00O2TNJGODT0G5Z4TTKYMMUX1","GSON1112031591")</f>
        <v>#NAME?</v>
      </c>
      <c r="V623" s="24" t="e">
        <f ca="1">[1]!BexGetData("DP_1","00O2TNJGODT0G5Z4TTKYMN18L","GSON1112031591")</f>
        <v>#NAME?</v>
      </c>
      <c r="W623" s="24" t="e">
        <f ca="1">[1]!BexGetData("DP_1","00O2TNJGODT0G5Z4TTKYMN7K5","GSON1112031591")</f>
        <v>#NAME?</v>
      </c>
    </row>
    <row r="624" spans="1:23" x14ac:dyDescent="0.2">
      <c r="A624" s="36" t="s">
        <v>2676</v>
      </c>
      <c r="B624" s="27" t="s">
        <v>2677</v>
      </c>
      <c r="C624" s="23" t="e">
        <f ca="1">[1]!BexGetData("DP_1","003N8EMH8GTFRCSWKMPXRR8GU","GSON1112031593")</f>
        <v>#NAME?</v>
      </c>
      <c r="D624" s="23" t="e">
        <f ca="1">[1]!BexGetData("DP_1","003N8EMH8GTFRCSWKMPXRRESE","GSON1112031593")</f>
        <v>#NAME?</v>
      </c>
      <c r="E624" s="28" t="e">
        <f ca="1">[1]!BexGetData("DP_1","003N8EMH8GTFRCSWKMPXRRL3Y","GSON1112031593")</f>
        <v>#NAME?</v>
      </c>
      <c r="F624" s="24" t="e">
        <f ca="1">[1]!BexGetData("DP_1","003N8EMH8GTFRCSWKMPXRRRFI","GSON1112031593")</f>
        <v>#NAME?</v>
      </c>
      <c r="G624" s="24" t="e">
        <f ca="1">[1]!BexGetData("DP_1","003N8EMH8GTFRCSWKMPXRRXR2","GSON1112031593")</f>
        <v>#NAME?</v>
      </c>
      <c r="H624" s="24" t="e">
        <f ca="1">[1]!BexGetData("DP_1","003N8EMH8GTFRCSWKMPXRS42M","GSON1112031593")</f>
        <v>#NAME?</v>
      </c>
      <c r="I624" s="24" t="e">
        <f ca="1">[1]!BexGetData("DP_1","003N8EMH8GTFRCSWKMPXRSAE6","GSON1112031593")</f>
        <v>#NAME?</v>
      </c>
      <c r="J624" s="24" t="e">
        <f ca="1">[1]!BexGetData("DP_1","003N8EMH8GTFRCSWKMPXRSGPQ","GSON1112031593")</f>
        <v>#NAME?</v>
      </c>
      <c r="K624" s="28" t="e">
        <f ca="1">[1]!BexGetData("DP_1","003N8EMH8GTFRIVNUPY288VJH","GSON1112031593")</f>
        <v>#NAME?</v>
      </c>
      <c r="L624" s="28" t="e">
        <f ca="1">[1]!BexGetData("DP_1","003N8EMH8GTFRIVNUPY2891V1","GSON1112031593")</f>
        <v>#NAME?</v>
      </c>
      <c r="M624" s="28" t="e">
        <f ca="1">[1]!BexGetData("DP_1","003N8EMH8GTFRIVOG7KG9IQXA","GSON1112031593")</f>
        <v>#NAME?</v>
      </c>
      <c r="N624" s="28" t="e">
        <f ca="1">[1]!BexGetData("DP_1","003N8EMH8GTFRIVOG7KG9IX8U","GSON1112031593")</f>
        <v>#NAME?</v>
      </c>
      <c r="O624" s="28" t="e">
        <f ca="1">[1]!BexGetData("DP_1","003N8EMH8GTFRIVOG7KG9J3KE","GSON1112031593")</f>
        <v>#NAME?</v>
      </c>
      <c r="P624" s="28" t="e">
        <f ca="1">[1]!BexGetData("DP_1","003N8EMH8GTFRIVOG7KG9J9VY","GSON1112031593")</f>
        <v>#NAME?</v>
      </c>
      <c r="Q624" s="24" t="e">
        <f ca="1">[1]!BexGetData("DP_1","00O2TNJGODT0G5Z4TTKYMM5MT","GSON1112031593")</f>
        <v>#NAME?</v>
      </c>
      <c r="R624" s="24" t="e">
        <f ca="1">[1]!BexGetData("DP_1","00O2TNJGODT0G5Z4TTKYMMBYD","GSON1112031593")</f>
        <v>#NAME?</v>
      </c>
      <c r="S624" s="24" t="e">
        <f ca="1">[1]!BexGetData("DP_1","00O2TNJGODT0G5Z4TTKYMMI9X","GSON1112031593")</f>
        <v>#NAME?</v>
      </c>
      <c r="T624" s="24" t="e">
        <f ca="1">[1]!BexGetData("DP_1","00O2TNJGODT0G5Z4TTKYMMOLH","GSON1112031593")</f>
        <v>#NAME?</v>
      </c>
      <c r="U624" s="24" t="e">
        <f ca="1">[1]!BexGetData("DP_1","00O2TNJGODT0G5Z4TTKYMMUX1","GSON1112031593")</f>
        <v>#NAME?</v>
      </c>
      <c r="V624" s="24" t="e">
        <f ca="1">[1]!BexGetData("DP_1","00O2TNJGODT0G5Z4TTKYMN18L","GSON1112031593")</f>
        <v>#NAME?</v>
      </c>
      <c r="W624" s="24" t="e">
        <f ca="1">[1]!BexGetData("DP_1","00O2TNJGODT0G5Z4TTKYMN7K5","GSON1112031593")</f>
        <v>#NAME?</v>
      </c>
    </row>
    <row r="625" spans="1:23" x14ac:dyDescent="0.2">
      <c r="A625" s="36" t="s">
        <v>2678</v>
      </c>
      <c r="B625" s="27" t="s">
        <v>2679</v>
      </c>
      <c r="C625" s="23" t="e">
        <f ca="1">[1]!BexGetData("DP_1","003N8EMH8GTFRCSWKMPXRR8GU","GSON1112031595")</f>
        <v>#NAME?</v>
      </c>
      <c r="D625" s="23" t="e">
        <f ca="1">[1]!BexGetData("DP_1","003N8EMH8GTFRCSWKMPXRRESE","GSON1112031595")</f>
        <v>#NAME?</v>
      </c>
      <c r="E625" s="28" t="e">
        <f ca="1">[1]!BexGetData("DP_1","003N8EMH8GTFRCSWKMPXRRL3Y","GSON1112031595")</f>
        <v>#NAME?</v>
      </c>
      <c r="F625" s="24" t="e">
        <f ca="1">[1]!BexGetData("DP_1","003N8EMH8GTFRCSWKMPXRRRFI","GSON1112031595")</f>
        <v>#NAME?</v>
      </c>
      <c r="G625" s="24" t="e">
        <f ca="1">[1]!BexGetData("DP_1","003N8EMH8GTFRCSWKMPXRRXR2","GSON1112031595")</f>
        <v>#NAME?</v>
      </c>
      <c r="H625" s="24" t="e">
        <f ca="1">[1]!BexGetData("DP_1","003N8EMH8GTFRCSWKMPXRS42M","GSON1112031595")</f>
        <v>#NAME?</v>
      </c>
      <c r="I625" s="24" t="e">
        <f ca="1">[1]!BexGetData("DP_1","003N8EMH8GTFRCSWKMPXRSAE6","GSON1112031595")</f>
        <v>#NAME?</v>
      </c>
      <c r="J625" s="24" t="e">
        <f ca="1">[1]!BexGetData("DP_1","003N8EMH8GTFRCSWKMPXRSGPQ","GSON1112031595")</f>
        <v>#NAME?</v>
      </c>
      <c r="K625" s="28" t="e">
        <f ca="1">[1]!BexGetData("DP_1","003N8EMH8GTFRIVNUPY288VJH","GSON1112031595")</f>
        <v>#NAME?</v>
      </c>
      <c r="L625" s="28" t="e">
        <f ca="1">[1]!BexGetData("DP_1","003N8EMH8GTFRIVNUPY2891V1","GSON1112031595")</f>
        <v>#NAME?</v>
      </c>
      <c r="M625" s="28" t="e">
        <f ca="1">[1]!BexGetData("DP_1","003N8EMH8GTFRIVOG7KG9IQXA","GSON1112031595")</f>
        <v>#NAME?</v>
      </c>
      <c r="N625" s="28" t="e">
        <f ca="1">[1]!BexGetData("DP_1","003N8EMH8GTFRIVOG7KG9IX8U","GSON1112031595")</f>
        <v>#NAME?</v>
      </c>
      <c r="O625" s="28" t="e">
        <f ca="1">[1]!BexGetData("DP_1","003N8EMH8GTFRIVOG7KG9J3KE","GSON1112031595")</f>
        <v>#NAME?</v>
      </c>
      <c r="P625" s="28" t="e">
        <f ca="1">[1]!BexGetData("DP_1","003N8EMH8GTFRIVOG7KG9J9VY","GSON1112031595")</f>
        <v>#NAME?</v>
      </c>
      <c r="Q625" s="24" t="e">
        <f ca="1">[1]!BexGetData("DP_1","00O2TNJGODT0G5Z4TTKYMM5MT","GSON1112031595")</f>
        <v>#NAME?</v>
      </c>
      <c r="R625" s="24" t="e">
        <f ca="1">[1]!BexGetData("DP_1","00O2TNJGODT0G5Z4TTKYMMBYD","GSON1112031595")</f>
        <v>#NAME?</v>
      </c>
      <c r="S625" s="24" t="e">
        <f ca="1">[1]!BexGetData("DP_1","00O2TNJGODT0G5Z4TTKYMMI9X","GSON1112031595")</f>
        <v>#NAME?</v>
      </c>
      <c r="T625" s="24" t="e">
        <f ca="1">[1]!BexGetData("DP_1","00O2TNJGODT0G5Z4TTKYMMOLH","GSON1112031595")</f>
        <v>#NAME?</v>
      </c>
      <c r="U625" s="24" t="e">
        <f ca="1">[1]!BexGetData("DP_1","00O2TNJGODT0G5Z4TTKYMMUX1","GSON1112031595")</f>
        <v>#NAME?</v>
      </c>
      <c r="V625" s="24" t="e">
        <f ca="1">[1]!BexGetData("DP_1","00O2TNJGODT0G5Z4TTKYMN18L","GSON1112031595")</f>
        <v>#NAME?</v>
      </c>
      <c r="W625" s="24" t="e">
        <f ca="1">[1]!BexGetData("DP_1","00O2TNJGODT0G5Z4TTKYMN7K5","GSON1112031595")</f>
        <v>#NAME?</v>
      </c>
    </row>
    <row r="626" spans="1:23" x14ac:dyDescent="0.2">
      <c r="A626" s="36" t="s">
        <v>2680</v>
      </c>
      <c r="B626" s="27" t="s">
        <v>2681</v>
      </c>
      <c r="C626" s="23" t="e">
        <f ca="1">[1]!BexGetData("DP_1","003N8EMH8GTFRCSWKMPXRR8GU","GSON1112031600")</f>
        <v>#NAME?</v>
      </c>
      <c r="D626" s="23" t="e">
        <f ca="1">[1]!BexGetData("DP_1","003N8EMH8GTFRCSWKMPXRRESE","GSON1112031600")</f>
        <v>#NAME?</v>
      </c>
      <c r="E626" s="23" t="e">
        <f ca="1">[1]!BexGetData("DP_1","003N8EMH8GTFRCSWKMPXRRL3Y","GSON1112031600")</f>
        <v>#NAME?</v>
      </c>
      <c r="F626" s="24" t="e">
        <f ca="1">[1]!BexGetData("DP_1","003N8EMH8GTFRCSWKMPXRRRFI","GSON1112031600")</f>
        <v>#NAME?</v>
      </c>
      <c r="G626" s="24" t="e">
        <f ca="1">[1]!BexGetData("DP_1","003N8EMH8GTFRCSWKMPXRRXR2","GSON1112031600")</f>
        <v>#NAME?</v>
      </c>
      <c r="H626" s="24" t="e">
        <f ca="1">[1]!BexGetData("DP_1","003N8EMH8GTFRCSWKMPXRS42M","GSON1112031600")</f>
        <v>#NAME?</v>
      </c>
      <c r="I626" s="24" t="e">
        <f ca="1">[1]!BexGetData("DP_1","003N8EMH8GTFRCSWKMPXRSAE6","GSON1112031600")</f>
        <v>#NAME?</v>
      </c>
      <c r="J626" s="24" t="e">
        <f ca="1">[1]!BexGetData("DP_1","003N8EMH8GTFRCSWKMPXRSGPQ","GSON1112031600")</f>
        <v>#NAME?</v>
      </c>
      <c r="K626" s="23" t="e">
        <f ca="1">[1]!BexGetData("DP_1","003N8EMH8GTFRIVNUPY288VJH","GSON1112031600")</f>
        <v>#NAME?</v>
      </c>
      <c r="L626" s="23" t="e">
        <f ca="1">[1]!BexGetData("DP_1","003N8EMH8GTFRIVNUPY2891V1","GSON1112031600")</f>
        <v>#NAME?</v>
      </c>
      <c r="M626" s="28" t="e">
        <f ca="1">[1]!BexGetData("DP_1","003N8EMH8GTFRIVOG7KG9IQXA","GSON1112031600")</f>
        <v>#NAME?</v>
      </c>
      <c r="N626" s="23" t="e">
        <f ca="1">[1]!BexGetData("DP_1","003N8EMH8GTFRIVOG7KG9IX8U","GSON1112031600")</f>
        <v>#NAME?</v>
      </c>
      <c r="O626" s="28" t="e">
        <f ca="1">[1]!BexGetData("DP_1","003N8EMH8GTFRIVOG7KG9J3KE","GSON1112031600")</f>
        <v>#NAME?</v>
      </c>
      <c r="P626" s="23" t="e">
        <f ca="1">[1]!BexGetData("DP_1","003N8EMH8GTFRIVOG7KG9J9VY","GSON1112031600")</f>
        <v>#NAME?</v>
      </c>
      <c r="Q626" s="24" t="e">
        <f ca="1">[1]!BexGetData("DP_1","00O2TNJGODT0G5Z4TTKYMM5MT","GSON1112031600")</f>
        <v>#NAME?</v>
      </c>
      <c r="R626" s="24" t="e">
        <f ca="1">[1]!BexGetData("DP_1","00O2TNJGODT0G5Z4TTKYMMBYD","GSON1112031600")</f>
        <v>#NAME?</v>
      </c>
      <c r="S626" s="24" t="e">
        <f ca="1">[1]!BexGetData("DP_1","00O2TNJGODT0G5Z4TTKYMMI9X","GSON1112031600")</f>
        <v>#NAME?</v>
      </c>
      <c r="T626" s="24" t="e">
        <f ca="1">[1]!BexGetData("DP_1","00O2TNJGODT0G5Z4TTKYMMOLH","GSON1112031600")</f>
        <v>#NAME?</v>
      </c>
      <c r="U626" s="24" t="e">
        <f ca="1">[1]!BexGetData("DP_1","00O2TNJGODT0G5Z4TTKYMMUX1","GSON1112031600")</f>
        <v>#NAME?</v>
      </c>
      <c r="V626" s="24" t="e">
        <f ca="1">[1]!BexGetData("DP_1","00O2TNJGODT0G5Z4TTKYMN18L","GSON1112031600")</f>
        <v>#NAME?</v>
      </c>
      <c r="W626" s="24" t="e">
        <f ca="1">[1]!BexGetData("DP_1","00O2TNJGODT0G5Z4TTKYMN7K5","GSON1112031600")</f>
        <v>#NAME?</v>
      </c>
    </row>
    <row r="627" spans="1:23" x14ac:dyDescent="0.2">
      <c r="A627" s="36" t="s">
        <v>2682</v>
      </c>
      <c r="B627" s="27" t="s">
        <v>2683</v>
      </c>
      <c r="C627" s="23" t="e">
        <f ca="1">[1]!BexGetData("DP_1","003N8EMH8GTFRCSWKMPXRR8GU","GSON1112031601")</f>
        <v>#NAME?</v>
      </c>
      <c r="D627" s="23" t="e">
        <f ca="1">[1]!BexGetData("DP_1","003N8EMH8GTFRCSWKMPXRRESE","GSON1112031601")</f>
        <v>#NAME?</v>
      </c>
      <c r="E627" s="28" t="e">
        <f ca="1">[1]!BexGetData("DP_1","003N8EMH8GTFRCSWKMPXRRL3Y","GSON1112031601")</f>
        <v>#NAME?</v>
      </c>
      <c r="F627" s="24" t="e">
        <f ca="1">[1]!BexGetData("DP_1","003N8EMH8GTFRCSWKMPXRRRFI","GSON1112031601")</f>
        <v>#NAME?</v>
      </c>
      <c r="G627" s="24" t="e">
        <f ca="1">[1]!BexGetData("DP_1","003N8EMH8GTFRCSWKMPXRRXR2","GSON1112031601")</f>
        <v>#NAME?</v>
      </c>
      <c r="H627" s="24" t="e">
        <f ca="1">[1]!BexGetData("DP_1","003N8EMH8GTFRCSWKMPXRS42M","GSON1112031601")</f>
        <v>#NAME?</v>
      </c>
      <c r="I627" s="24" t="e">
        <f ca="1">[1]!BexGetData("DP_1","003N8EMH8GTFRCSWKMPXRSAE6","GSON1112031601")</f>
        <v>#NAME?</v>
      </c>
      <c r="J627" s="24" t="e">
        <f ca="1">[1]!BexGetData("DP_1","003N8EMH8GTFRCSWKMPXRSGPQ","GSON1112031601")</f>
        <v>#NAME?</v>
      </c>
      <c r="K627" s="28" t="e">
        <f ca="1">[1]!BexGetData("DP_1","003N8EMH8GTFRIVNUPY288VJH","GSON1112031601")</f>
        <v>#NAME?</v>
      </c>
      <c r="L627" s="28" t="e">
        <f ca="1">[1]!BexGetData("DP_1","003N8EMH8GTFRIVNUPY2891V1","GSON1112031601")</f>
        <v>#NAME?</v>
      </c>
      <c r="M627" s="28" t="e">
        <f ca="1">[1]!BexGetData("DP_1","003N8EMH8GTFRIVOG7KG9IQXA","GSON1112031601")</f>
        <v>#NAME?</v>
      </c>
      <c r="N627" s="28" t="e">
        <f ca="1">[1]!BexGetData("DP_1","003N8EMH8GTFRIVOG7KG9IX8U","GSON1112031601")</f>
        <v>#NAME?</v>
      </c>
      <c r="O627" s="28" t="e">
        <f ca="1">[1]!BexGetData("DP_1","003N8EMH8GTFRIVOG7KG9J3KE","GSON1112031601")</f>
        <v>#NAME?</v>
      </c>
      <c r="P627" s="28" t="e">
        <f ca="1">[1]!BexGetData("DP_1","003N8EMH8GTFRIVOG7KG9J9VY","GSON1112031601")</f>
        <v>#NAME?</v>
      </c>
      <c r="Q627" s="24" t="e">
        <f ca="1">[1]!BexGetData("DP_1","00O2TNJGODT0G5Z4TTKYMM5MT","GSON1112031601")</f>
        <v>#NAME?</v>
      </c>
      <c r="R627" s="24" t="e">
        <f ca="1">[1]!BexGetData("DP_1","00O2TNJGODT0G5Z4TTKYMMBYD","GSON1112031601")</f>
        <v>#NAME?</v>
      </c>
      <c r="S627" s="24" t="e">
        <f ca="1">[1]!BexGetData("DP_1","00O2TNJGODT0G5Z4TTKYMMI9X","GSON1112031601")</f>
        <v>#NAME?</v>
      </c>
      <c r="T627" s="24" t="e">
        <f ca="1">[1]!BexGetData("DP_1","00O2TNJGODT0G5Z4TTKYMMOLH","GSON1112031601")</f>
        <v>#NAME?</v>
      </c>
      <c r="U627" s="24" t="e">
        <f ca="1">[1]!BexGetData("DP_1","00O2TNJGODT0G5Z4TTKYMMUX1","GSON1112031601")</f>
        <v>#NAME?</v>
      </c>
      <c r="V627" s="24" t="e">
        <f ca="1">[1]!BexGetData("DP_1","00O2TNJGODT0G5Z4TTKYMN18L","GSON1112031601")</f>
        <v>#NAME?</v>
      </c>
      <c r="W627" s="24" t="e">
        <f ca="1">[1]!BexGetData("DP_1","00O2TNJGODT0G5Z4TTKYMN7K5","GSON1112031601")</f>
        <v>#NAME?</v>
      </c>
    </row>
    <row r="628" spans="1:23" x14ac:dyDescent="0.2">
      <c r="A628" s="36" t="s">
        <v>2684</v>
      </c>
      <c r="B628" s="27" t="s">
        <v>2685</v>
      </c>
      <c r="C628" s="28" t="e">
        <f ca="1">[1]!BexGetData("DP_1","003N8EMH8GTFRCSWKMPXRR8GU","GSON1112031602")</f>
        <v>#NAME?</v>
      </c>
      <c r="D628" s="23" t="e">
        <f ca="1">[1]!BexGetData("DP_1","003N8EMH8GTFRCSWKMPXRRESE","GSON1112031602")</f>
        <v>#NAME?</v>
      </c>
      <c r="E628" s="23" t="e">
        <f ca="1">[1]!BexGetData("DP_1","003N8EMH8GTFRCSWKMPXRRL3Y","GSON1112031602")</f>
        <v>#NAME?</v>
      </c>
      <c r="F628" s="24" t="e">
        <f ca="1">[1]!BexGetData("DP_1","003N8EMH8GTFRCSWKMPXRRRFI","GSON1112031602")</f>
        <v>#NAME?</v>
      </c>
      <c r="G628" s="24" t="e">
        <f ca="1">[1]!BexGetData("DP_1","003N8EMH8GTFRCSWKMPXRRXR2","GSON1112031602")</f>
        <v>#NAME?</v>
      </c>
      <c r="H628" s="24" t="e">
        <f ca="1">[1]!BexGetData("DP_1","003N8EMH8GTFRCSWKMPXRS42M","GSON1112031602")</f>
        <v>#NAME?</v>
      </c>
      <c r="I628" s="24" t="e">
        <f ca="1">[1]!BexGetData("DP_1","003N8EMH8GTFRCSWKMPXRSAE6","GSON1112031602")</f>
        <v>#NAME?</v>
      </c>
      <c r="J628" s="24" t="e">
        <f ca="1">[1]!BexGetData("DP_1","003N8EMH8GTFRCSWKMPXRSGPQ","GSON1112031602")</f>
        <v>#NAME?</v>
      </c>
      <c r="K628" s="23" t="e">
        <f ca="1">[1]!BexGetData("DP_1","003N8EMH8GTFRIVNUPY288VJH","GSON1112031602")</f>
        <v>#NAME?</v>
      </c>
      <c r="L628" s="23" t="e">
        <f ca="1">[1]!BexGetData("DP_1","003N8EMH8GTFRIVNUPY2891V1","GSON1112031602")</f>
        <v>#NAME?</v>
      </c>
      <c r="M628" s="23" t="e">
        <f ca="1">[1]!BexGetData("DP_1","003N8EMH8GTFRIVOG7KG9IQXA","GSON1112031602")</f>
        <v>#NAME?</v>
      </c>
      <c r="N628" s="28" t="e">
        <f ca="1">[1]!BexGetData("DP_1","003N8EMH8GTFRIVOG7KG9IX8U","GSON1112031602")</f>
        <v>#NAME?</v>
      </c>
      <c r="O628" s="23" t="e">
        <f ca="1">[1]!BexGetData("DP_1","003N8EMH8GTFRIVOG7KG9J3KE","GSON1112031602")</f>
        <v>#NAME?</v>
      </c>
      <c r="P628" s="28" t="e">
        <f ca="1">[1]!BexGetData("DP_1","003N8EMH8GTFRIVOG7KG9J9VY","GSON1112031602")</f>
        <v>#NAME?</v>
      </c>
      <c r="Q628" s="24" t="e">
        <f ca="1">[1]!BexGetData("DP_1","00O2TNJGODT0G5Z4TTKYMM5MT","GSON1112031602")</f>
        <v>#NAME?</v>
      </c>
      <c r="R628" s="24" t="e">
        <f ca="1">[1]!BexGetData("DP_1","00O2TNJGODT0G5Z4TTKYMMBYD","GSON1112031602")</f>
        <v>#NAME?</v>
      </c>
      <c r="S628" s="24" t="e">
        <f ca="1">[1]!BexGetData("DP_1","00O2TNJGODT0G5Z4TTKYMMI9X","GSON1112031602")</f>
        <v>#NAME?</v>
      </c>
      <c r="T628" s="24" t="e">
        <f ca="1">[1]!BexGetData("DP_1","00O2TNJGODT0G5Z4TTKYMMOLH","GSON1112031602")</f>
        <v>#NAME?</v>
      </c>
      <c r="U628" s="24" t="e">
        <f ca="1">[1]!BexGetData("DP_1","00O2TNJGODT0G5Z4TTKYMMUX1","GSON1112031602")</f>
        <v>#NAME?</v>
      </c>
      <c r="V628" s="24" t="e">
        <f ca="1">[1]!BexGetData("DP_1","00O2TNJGODT0G5Z4TTKYMN18L","GSON1112031602")</f>
        <v>#NAME?</v>
      </c>
      <c r="W628" s="24" t="e">
        <f ca="1">[1]!BexGetData("DP_1","00O2TNJGODT0G5Z4TTKYMN7K5","GSON1112031602")</f>
        <v>#NAME?</v>
      </c>
    </row>
    <row r="629" spans="1:23" x14ac:dyDescent="0.2">
      <c r="A629" s="36" t="s">
        <v>2686</v>
      </c>
      <c r="B629" s="27" t="s">
        <v>2687</v>
      </c>
      <c r="C629" s="23" t="e">
        <f ca="1">[1]!BexGetData("DP_1","003N8EMH8GTFRCSWKMPXRR8GU","GSON1112031603")</f>
        <v>#NAME?</v>
      </c>
      <c r="D629" s="23" t="e">
        <f ca="1">[1]!BexGetData("DP_1","003N8EMH8GTFRCSWKMPXRRESE","GSON1112031603")</f>
        <v>#NAME?</v>
      </c>
      <c r="E629" s="28" t="e">
        <f ca="1">[1]!BexGetData("DP_1","003N8EMH8GTFRCSWKMPXRRL3Y","GSON1112031603")</f>
        <v>#NAME?</v>
      </c>
      <c r="F629" s="24" t="e">
        <f ca="1">[1]!BexGetData("DP_1","003N8EMH8GTFRCSWKMPXRRRFI","GSON1112031603")</f>
        <v>#NAME?</v>
      </c>
      <c r="G629" s="24" t="e">
        <f ca="1">[1]!BexGetData("DP_1","003N8EMH8GTFRCSWKMPXRRXR2","GSON1112031603")</f>
        <v>#NAME?</v>
      </c>
      <c r="H629" s="24" t="e">
        <f ca="1">[1]!BexGetData("DP_1","003N8EMH8GTFRCSWKMPXRS42M","GSON1112031603")</f>
        <v>#NAME?</v>
      </c>
      <c r="I629" s="24" t="e">
        <f ca="1">[1]!BexGetData("DP_1","003N8EMH8GTFRCSWKMPXRSAE6","GSON1112031603")</f>
        <v>#NAME?</v>
      </c>
      <c r="J629" s="24" t="e">
        <f ca="1">[1]!BexGetData("DP_1","003N8EMH8GTFRCSWKMPXRSGPQ","GSON1112031603")</f>
        <v>#NAME?</v>
      </c>
      <c r="K629" s="28" t="e">
        <f ca="1">[1]!BexGetData("DP_1","003N8EMH8GTFRIVNUPY288VJH","GSON1112031603")</f>
        <v>#NAME?</v>
      </c>
      <c r="L629" s="28" t="e">
        <f ca="1">[1]!BexGetData("DP_1","003N8EMH8GTFRIVNUPY2891V1","GSON1112031603")</f>
        <v>#NAME?</v>
      </c>
      <c r="M629" s="28" t="e">
        <f ca="1">[1]!BexGetData("DP_1","003N8EMH8GTFRIVOG7KG9IQXA","GSON1112031603")</f>
        <v>#NAME?</v>
      </c>
      <c r="N629" s="28" t="e">
        <f ca="1">[1]!BexGetData("DP_1","003N8EMH8GTFRIVOG7KG9IX8U","GSON1112031603")</f>
        <v>#NAME?</v>
      </c>
      <c r="O629" s="28" t="e">
        <f ca="1">[1]!BexGetData("DP_1","003N8EMH8GTFRIVOG7KG9J3KE","GSON1112031603")</f>
        <v>#NAME?</v>
      </c>
      <c r="P629" s="28" t="e">
        <f ca="1">[1]!BexGetData("DP_1","003N8EMH8GTFRIVOG7KG9J9VY","GSON1112031603")</f>
        <v>#NAME?</v>
      </c>
      <c r="Q629" s="24" t="e">
        <f ca="1">[1]!BexGetData("DP_1","00O2TNJGODT0G5Z4TTKYMM5MT","GSON1112031603")</f>
        <v>#NAME?</v>
      </c>
      <c r="R629" s="24" t="e">
        <f ca="1">[1]!BexGetData("DP_1","00O2TNJGODT0G5Z4TTKYMMBYD","GSON1112031603")</f>
        <v>#NAME?</v>
      </c>
      <c r="S629" s="24" t="e">
        <f ca="1">[1]!BexGetData("DP_1","00O2TNJGODT0G5Z4TTKYMMI9X","GSON1112031603")</f>
        <v>#NAME?</v>
      </c>
      <c r="T629" s="24" t="e">
        <f ca="1">[1]!BexGetData("DP_1","00O2TNJGODT0G5Z4TTKYMMOLH","GSON1112031603")</f>
        <v>#NAME?</v>
      </c>
      <c r="U629" s="24" t="e">
        <f ca="1">[1]!BexGetData("DP_1","00O2TNJGODT0G5Z4TTKYMMUX1","GSON1112031603")</f>
        <v>#NAME?</v>
      </c>
      <c r="V629" s="24" t="e">
        <f ca="1">[1]!BexGetData("DP_1","00O2TNJGODT0G5Z4TTKYMN18L","GSON1112031603")</f>
        <v>#NAME?</v>
      </c>
      <c r="W629" s="24" t="e">
        <f ca="1">[1]!BexGetData("DP_1","00O2TNJGODT0G5Z4TTKYMN7K5","GSON1112031603")</f>
        <v>#NAME?</v>
      </c>
    </row>
    <row r="630" spans="1:23" x14ac:dyDescent="0.2">
      <c r="A630" s="36" t="s">
        <v>2688</v>
      </c>
      <c r="B630" s="27" t="s">
        <v>2689</v>
      </c>
      <c r="C630" s="23" t="e">
        <f ca="1">[1]!BexGetData("DP_1","003N8EMH8GTFRCSWKMPXRR8GU","GSON1112031605")</f>
        <v>#NAME?</v>
      </c>
      <c r="D630" s="23" t="e">
        <f ca="1">[1]!BexGetData("DP_1","003N8EMH8GTFRCSWKMPXRRESE","GSON1112031605")</f>
        <v>#NAME?</v>
      </c>
      <c r="E630" s="28" t="e">
        <f ca="1">[1]!BexGetData("DP_1","003N8EMH8GTFRCSWKMPXRRL3Y","GSON1112031605")</f>
        <v>#NAME?</v>
      </c>
      <c r="F630" s="24" t="e">
        <f ca="1">[1]!BexGetData("DP_1","003N8EMH8GTFRCSWKMPXRRRFI","GSON1112031605")</f>
        <v>#NAME?</v>
      </c>
      <c r="G630" s="24" t="e">
        <f ca="1">[1]!BexGetData("DP_1","003N8EMH8GTFRCSWKMPXRRXR2","GSON1112031605")</f>
        <v>#NAME?</v>
      </c>
      <c r="H630" s="24" t="e">
        <f ca="1">[1]!BexGetData("DP_1","003N8EMH8GTFRCSWKMPXRS42M","GSON1112031605")</f>
        <v>#NAME?</v>
      </c>
      <c r="I630" s="24" t="e">
        <f ca="1">[1]!BexGetData("DP_1","003N8EMH8GTFRCSWKMPXRSAE6","GSON1112031605")</f>
        <v>#NAME?</v>
      </c>
      <c r="J630" s="24" t="e">
        <f ca="1">[1]!BexGetData("DP_1","003N8EMH8GTFRCSWKMPXRSGPQ","GSON1112031605")</f>
        <v>#NAME?</v>
      </c>
      <c r="K630" s="28" t="e">
        <f ca="1">[1]!BexGetData("DP_1","003N8EMH8GTFRIVNUPY288VJH","GSON1112031605")</f>
        <v>#NAME?</v>
      </c>
      <c r="L630" s="28" t="e">
        <f ca="1">[1]!BexGetData("DP_1","003N8EMH8GTFRIVNUPY2891V1","GSON1112031605")</f>
        <v>#NAME?</v>
      </c>
      <c r="M630" s="28" t="e">
        <f ca="1">[1]!BexGetData("DP_1","003N8EMH8GTFRIVOG7KG9IQXA","GSON1112031605")</f>
        <v>#NAME?</v>
      </c>
      <c r="N630" s="28" t="e">
        <f ca="1">[1]!BexGetData("DP_1","003N8EMH8GTFRIVOG7KG9IX8U","GSON1112031605")</f>
        <v>#NAME?</v>
      </c>
      <c r="O630" s="28" t="e">
        <f ca="1">[1]!BexGetData("DP_1","003N8EMH8GTFRIVOG7KG9J3KE","GSON1112031605")</f>
        <v>#NAME?</v>
      </c>
      <c r="P630" s="28" t="e">
        <f ca="1">[1]!BexGetData("DP_1","003N8EMH8GTFRIVOG7KG9J9VY","GSON1112031605")</f>
        <v>#NAME?</v>
      </c>
      <c r="Q630" s="24" t="e">
        <f ca="1">[1]!BexGetData("DP_1","00O2TNJGODT0G5Z4TTKYMM5MT","GSON1112031605")</f>
        <v>#NAME?</v>
      </c>
      <c r="R630" s="24" t="e">
        <f ca="1">[1]!BexGetData("DP_1","00O2TNJGODT0G5Z4TTKYMMBYD","GSON1112031605")</f>
        <v>#NAME?</v>
      </c>
      <c r="S630" s="24" t="e">
        <f ca="1">[1]!BexGetData("DP_1","00O2TNJGODT0G5Z4TTKYMMI9X","GSON1112031605")</f>
        <v>#NAME?</v>
      </c>
      <c r="T630" s="24" t="e">
        <f ca="1">[1]!BexGetData("DP_1","00O2TNJGODT0G5Z4TTKYMMOLH","GSON1112031605")</f>
        <v>#NAME?</v>
      </c>
      <c r="U630" s="24" t="e">
        <f ca="1">[1]!BexGetData("DP_1","00O2TNJGODT0G5Z4TTKYMMUX1","GSON1112031605")</f>
        <v>#NAME?</v>
      </c>
      <c r="V630" s="24" t="e">
        <f ca="1">[1]!BexGetData("DP_1","00O2TNJGODT0G5Z4TTKYMN18L","GSON1112031605")</f>
        <v>#NAME?</v>
      </c>
      <c r="W630" s="24" t="e">
        <f ca="1">[1]!BexGetData("DP_1","00O2TNJGODT0G5Z4TTKYMN7K5","GSON1112031605")</f>
        <v>#NAME?</v>
      </c>
    </row>
    <row r="631" spans="1:23" x14ac:dyDescent="0.2">
      <c r="A631" s="36" t="s">
        <v>2690</v>
      </c>
      <c r="B631" s="27" t="s">
        <v>2691</v>
      </c>
      <c r="C631" s="23" t="e">
        <f ca="1">[1]!BexGetData("DP_1","003N8EMH8GTFRCSWKMPXRR8GU","GSON1112031610")</f>
        <v>#NAME?</v>
      </c>
      <c r="D631" s="23" t="e">
        <f ca="1">[1]!BexGetData("DP_1","003N8EMH8GTFRCSWKMPXRRESE","GSON1112031610")</f>
        <v>#NAME?</v>
      </c>
      <c r="E631" s="23" t="e">
        <f ca="1">[1]!BexGetData("DP_1","003N8EMH8GTFRCSWKMPXRRL3Y","GSON1112031610")</f>
        <v>#NAME?</v>
      </c>
      <c r="F631" s="24" t="e">
        <f ca="1">[1]!BexGetData("DP_1","003N8EMH8GTFRCSWKMPXRRRFI","GSON1112031610")</f>
        <v>#NAME?</v>
      </c>
      <c r="G631" s="24" t="e">
        <f ca="1">[1]!BexGetData("DP_1","003N8EMH8GTFRCSWKMPXRRXR2","GSON1112031610")</f>
        <v>#NAME?</v>
      </c>
      <c r="H631" s="24" t="e">
        <f ca="1">[1]!BexGetData("DP_1","003N8EMH8GTFRCSWKMPXRS42M","GSON1112031610")</f>
        <v>#NAME?</v>
      </c>
      <c r="I631" s="24" t="e">
        <f ca="1">[1]!BexGetData("DP_1","003N8EMH8GTFRCSWKMPXRSAE6","GSON1112031610")</f>
        <v>#NAME?</v>
      </c>
      <c r="J631" s="24" t="e">
        <f ca="1">[1]!BexGetData("DP_1","003N8EMH8GTFRCSWKMPXRSGPQ","GSON1112031610")</f>
        <v>#NAME?</v>
      </c>
      <c r="K631" s="23" t="e">
        <f ca="1">[1]!BexGetData("DP_1","003N8EMH8GTFRIVNUPY288VJH","GSON1112031610")</f>
        <v>#NAME?</v>
      </c>
      <c r="L631" s="23" t="e">
        <f ca="1">[1]!BexGetData("DP_1","003N8EMH8GTFRIVNUPY2891V1","GSON1112031610")</f>
        <v>#NAME?</v>
      </c>
      <c r="M631" s="28" t="e">
        <f ca="1">[1]!BexGetData("DP_1","003N8EMH8GTFRIVOG7KG9IQXA","GSON1112031610")</f>
        <v>#NAME?</v>
      </c>
      <c r="N631" s="23" t="e">
        <f ca="1">[1]!BexGetData("DP_1","003N8EMH8GTFRIVOG7KG9IX8U","GSON1112031610")</f>
        <v>#NAME?</v>
      </c>
      <c r="O631" s="28" t="e">
        <f ca="1">[1]!BexGetData("DP_1","003N8EMH8GTFRIVOG7KG9J3KE","GSON1112031610")</f>
        <v>#NAME?</v>
      </c>
      <c r="P631" s="23" t="e">
        <f ca="1">[1]!BexGetData("DP_1","003N8EMH8GTFRIVOG7KG9J9VY","GSON1112031610")</f>
        <v>#NAME?</v>
      </c>
      <c r="Q631" s="24" t="e">
        <f ca="1">[1]!BexGetData("DP_1","00O2TNJGODT0G5Z4TTKYMM5MT","GSON1112031610")</f>
        <v>#NAME?</v>
      </c>
      <c r="R631" s="24" t="e">
        <f ca="1">[1]!BexGetData("DP_1","00O2TNJGODT0G5Z4TTKYMMBYD","GSON1112031610")</f>
        <v>#NAME?</v>
      </c>
      <c r="S631" s="24" t="e">
        <f ca="1">[1]!BexGetData("DP_1","00O2TNJGODT0G5Z4TTKYMMI9X","GSON1112031610")</f>
        <v>#NAME?</v>
      </c>
      <c r="T631" s="24" t="e">
        <f ca="1">[1]!BexGetData("DP_1","00O2TNJGODT0G5Z4TTKYMMOLH","GSON1112031610")</f>
        <v>#NAME?</v>
      </c>
      <c r="U631" s="24" t="e">
        <f ca="1">[1]!BexGetData("DP_1","00O2TNJGODT0G5Z4TTKYMMUX1","GSON1112031610")</f>
        <v>#NAME?</v>
      </c>
      <c r="V631" s="24" t="e">
        <f ca="1">[1]!BexGetData("DP_1","00O2TNJGODT0G5Z4TTKYMN18L","GSON1112031610")</f>
        <v>#NAME?</v>
      </c>
      <c r="W631" s="24" t="e">
        <f ca="1">[1]!BexGetData("DP_1","00O2TNJGODT0G5Z4TTKYMN7K5","GSON1112031610")</f>
        <v>#NAME?</v>
      </c>
    </row>
    <row r="632" spans="1:23" x14ac:dyDescent="0.2">
      <c r="A632" s="36" t="s">
        <v>2692</v>
      </c>
      <c r="B632" s="27" t="s">
        <v>2693</v>
      </c>
      <c r="C632" s="23" t="e">
        <f ca="1">[1]!BexGetData("DP_1","003N8EMH8GTFRCSWKMPXRR8GU","GSON1112031611")</f>
        <v>#NAME?</v>
      </c>
      <c r="D632" s="23" t="e">
        <f ca="1">[1]!BexGetData("DP_1","003N8EMH8GTFRCSWKMPXRRESE","GSON1112031611")</f>
        <v>#NAME?</v>
      </c>
      <c r="E632" s="28" t="e">
        <f ca="1">[1]!BexGetData("DP_1","003N8EMH8GTFRCSWKMPXRRL3Y","GSON1112031611")</f>
        <v>#NAME?</v>
      </c>
      <c r="F632" s="24" t="e">
        <f ca="1">[1]!BexGetData("DP_1","003N8EMH8GTFRCSWKMPXRRRFI","GSON1112031611")</f>
        <v>#NAME?</v>
      </c>
      <c r="G632" s="24" t="e">
        <f ca="1">[1]!BexGetData("DP_1","003N8EMH8GTFRCSWKMPXRRXR2","GSON1112031611")</f>
        <v>#NAME?</v>
      </c>
      <c r="H632" s="24" t="e">
        <f ca="1">[1]!BexGetData("DP_1","003N8EMH8GTFRCSWKMPXRS42M","GSON1112031611")</f>
        <v>#NAME?</v>
      </c>
      <c r="I632" s="24" t="e">
        <f ca="1">[1]!BexGetData("DP_1","003N8EMH8GTFRCSWKMPXRSAE6","GSON1112031611")</f>
        <v>#NAME?</v>
      </c>
      <c r="J632" s="24" t="e">
        <f ca="1">[1]!BexGetData("DP_1","003N8EMH8GTFRCSWKMPXRSGPQ","GSON1112031611")</f>
        <v>#NAME?</v>
      </c>
      <c r="K632" s="28" t="e">
        <f ca="1">[1]!BexGetData("DP_1","003N8EMH8GTFRIVNUPY288VJH","GSON1112031611")</f>
        <v>#NAME?</v>
      </c>
      <c r="L632" s="28" t="e">
        <f ca="1">[1]!BexGetData("DP_1","003N8EMH8GTFRIVNUPY2891V1","GSON1112031611")</f>
        <v>#NAME?</v>
      </c>
      <c r="M632" s="28" t="e">
        <f ca="1">[1]!BexGetData("DP_1","003N8EMH8GTFRIVOG7KG9IQXA","GSON1112031611")</f>
        <v>#NAME?</v>
      </c>
      <c r="N632" s="28" t="e">
        <f ca="1">[1]!BexGetData("DP_1","003N8EMH8GTFRIVOG7KG9IX8U","GSON1112031611")</f>
        <v>#NAME?</v>
      </c>
      <c r="O632" s="28" t="e">
        <f ca="1">[1]!BexGetData("DP_1","003N8EMH8GTFRIVOG7KG9J3KE","GSON1112031611")</f>
        <v>#NAME?</v>
      </c>
      <c r="P632" s="28" t="e">
        <f ca="1">[1]!BexGetData("DP_1","003N8EMH8GTFRIVOG7KG9J9VY","GSON1112031611")</f>
        <v>#NAME?</v>
      </c>
      <c r="Q632" s="24" t="e">
        <f ca="1">[1]!BexGetData("DP_1","00O2TNJGODT0G5Z4TTKYMM5MT","GSON1112031611")</f>
        <v>#NAME?</v>
      </c>
      <c r="R632" s="24" t="e">
        <f ca="1">[1]!BexGetData("DP_1","00O2TNJGODT0G5Z4TTKYMMBYD","GSON1112031611")</f>
        <v>#NAME?</v>
      </c>
      <c r="S632" s="24" t="e">
        <f ca="1">[1]!BexGetData("DP_1","00O2TNJGODT0G5Z4TTKYMMI9X","GSON1112031611")</f>
        <v>#NAME?</v>
      </c>
      <c r="T632" s="24" t="e">
        <f ca="1">[1]!BexGetData("DP_1","00O2TNJGODT0G5Z4TTKYMMOLH","GSON1112031611")</f>
        <v>#NAME?</v>
      </c>
      <c r="U632" s="24" t="e">
        <f ca="1">[1]!BexGetData("DP_1","00O2TNJGODT0G5Z4TTKYMMUX1","GSON1112031611")</f>
        <v>#NAME?</v>
      </c>
      <c r="V632" s="24" t="e">
        <f ca="1">[1]!BexGetData("DP_1","00O2TNJGODT0G5Z4TTKYMN18L","GSON1112031611")</f>
        <v>#NAME?</v>
      </c>
      <c r="W632" s="24" t="e">
        <f ca="1">[1]!BexGetData("DP_1","00O2TNJGODT0G5Z4TTKYMN7K5","GSON1112031611")</f>
        <v>#NAME?</v>
      </c>
    </row>
    <row r="633" spans="1:23" x14ac:dyDescent="0.2">
      <c r="A633" s="36" t="s">
        <v>2694</v>
      </c>
      <c r="B633" s="27" t="s">
        <v>2695</v>
      </c>
      <c r="C633" s="23" t="e">
        <f ca="1">[1]!BexGetData("DP_1","003N8EMH8GTFRCSWKMPXRR8GU","GSON1112031612")</f>
        <v>#NAME?</v>
      </c>
      <c r="D633" s="23" t="e">
        <f ca="1">[1]!BexGetData("DP_1","003N8EMH8GTFRCSWKMPXRRESE","GSON1112031612")</f>
        <v>#NAME?</v>
      </c>
      <c r="E633" s="28" t="e">
        <f ca="1">[1]!BexGetData("DP_1","003N8EMH8GTFRCSWKMPXRRL3Y","GSON1112031612")</f>
        <v>#NAME?</v>
      </c>
      <c r="F633" s="24" t="e">
        <f ca="1">[1]!BexGetData("DP_1","003N8EMH8GTFRCSWKMPXRRRFI","GSON1112031612")</f>
        <v>#NAME?</v>
      </c>
      <c r="G633" s="24" t="e">
        <f ca="1">[1]!BexGetData("DP_1","003N8EMH8GTFRCSWKMPXRRXR2","GSON1112031612")</f>
        <v>#NAME?</v>
      </c>
      <c r="H633" s="24" t="e">
        <f ca="1">[1]!BexGetData("DP_1","003N8EMH8GTFRCSWKMPXRS42M","GSON1112031612")</f>
        <v>#NAME?</v>
      </c>
      <c r="I633" s="24" t="e">
        <f ca="1">[1]!BexGetData("DP_1","003N8EMH8GTFRCSWKMPXRSAE6","GSON1112031612")</f>
        <v>#NAME?</v>
      </c>
      <c r="J633" s="24" t="e">
        <f ca="1">[1]!BexGetData("DP_1","003N8EMH8GTFRCSWKMPXRSGPQ","GSON1112031612")</f>
        <v>#NAME?</v>
      </c>
      <c r="K633" s="28" t="e">
        <f ca="1">[1]!BexGetData("DP_1","003N8EMH8GTFRIVNUPY288VJH","GSON1112031612")</f>
        <v>#NAME?</v>
      </c>
      <c r="L633" s="28" t="e">
        <f ca="1">[1]!BexGetData("DP_1","003N8EMH8GTFRIVNUPY2891V1","GSON1112031612")</f>
        <v>#NAME?</v>
      </c>
      <c r="M633" s="28" t="e">
        <f ca="1">[1]!BexGetData("DP_1","003N8EMH8GTFRIVOG7KG9IQXA","GSON1112031612")</f>
        <v>#NAME?</v>
      </c>
      <c r="N633" s="28" t="e">
        <f ca="1">[1]!BexGetData("DP_1","003N8EMH8GTFRIVOG7KG9IX8U","GSON1112031612")</f>
        <v>#NAME?</v>
      </c>
      <c r="O633" s="28" t="e">
        <f ca="1">[1]!BexGetData("DP_1","003N8EMH8GTFRIVOG7KG9J3KE","GSON1112031612")</f>
        <v>#NAME?</v>
      </c>
      <c r="P633" s="28" t="e">
        <f ca="1">[1]!BexGetData("DP_1","003N8EMH8GTFRIVOG7KG9J9VY","GSON1112031612")</f>
        <v>#NAME?</v>
      </c>
      <c r="Q633" s="24" t="e">
        <f ca="1">[1]!BexGetData("DP_1","00O2TNJGODT0G5Z4TTKYMM5MT","GSON1112031612")</f>
        <v>#NAME?</v>
      </c>
      <c r="R633" s="24" t="e">
        <f ca="1">[1]!BexGetData("DP_1","00O2TNJGODT0G5Z4TTKYMMBYD","GSON1112031612")</f>
        <v>#NAME?</v>
      </c>
      <c r="S633" s="24" t="e">
        <f ca="1">[1]!BexGetData("DP_1","00O2TNJGODT0G5Z4TTKYMMI9X","GSON1112031612")</f>
        <v>#NAME?</v>
      </c>
      <c r="T633" s="24" t="e">
        <f ca="1">[1]!BexGetData("DP_1","00O2TNJGODT0G5Z4TTKYMMOLH","GSON1112031612")</f>
        <v>#NAME?</v>
      </c>
      <c r="U633" s="24" t="e">
        <f ca="1">[1]!BexGetData("DP_1","00O2TNJGODT0G5Z4TTKYMMUX1","GSON1112031612")</f>
        <v>#NAME?</v>
      </c>
      <c r="V633" s="24" t="e">
        <f ca="1">[1]!BexGetData("DP_1","00O2TNJGODT0G5Z4TTKYMN18L","GSON1112031612")</f>
        <v>#NAME?</v>
      </c>
      <c r="W633" s="24" t="e">
        <f ca="1">[1]!BexGetData("DP_1","00O2TNJGODT0G5Z4TTKYMN7K5","GSON1112031612")</f>
        <v>#NAME?</v>
      </c>
    </row>
    <row r="634" spans="1:23" x14ac:dyDescent="0.2">
      <c r="A634" s="36" t="s">
        <v>2696</v>
      </c>
      <c r="B634" s="27" t="s">
        <v>2697</v>
      </c>
      <c r="C634" s="23" t="e">
        <f ca="1">[1]!BexGetData("DP_1","003N8EMH8GTFRCSWKMPXRR8GU","GSON1112031613")</f>
        <v>#NAME?</v>
      </c>
      <c r="D634" s="23" t="e">
        <f ca="1">[1]!BexGetData("DP_1","003N8EMH8GTFRCSWKMPXRRESE","GSON1112031613")</f>
        <v>#NAME?</v>
      </c>
      <c r="E634" s="28" t="e">
        <f ca="1">[1]!BexGetData("DP_1","003N8EMH8GTFRCSWKMPXRRL3Y","GSON1112031613")</f>
        <v>#NAME?</v>
      </c>
      <c r="F634" s="24" t="e">
        <f ca="1">[1]!BexGetData("DP_1","003N8EMH8GTFRCSWKMPXRRRFI","GSON1112031613")</f>
        <v>#NAME?</v>
      </c>
      <c r="G634" s="24" t="e">
        <f ca="1">[1]!BexGetData("DP_1","003N8EMH8GTFRCSWKMPXRRXR2","GSON1112031613")</f>
        <v>#NAME?</v>
      </c>
      <c r="H634" s="24" t="e">
        <f ca="1">[1]!BexGetData("DP_1","003N8EMH8GTFRCSWKMPXRS42M","GSON1112031613")</f>
        <v>#NAME?</v>
      </c>
      <c r="I634" s="24" t="e">
        <f ca="1">[1]!BexGetData("DP_1","003N8EMH8GTFRCSWKMPXRSAE6","GSON1112031613")</f>
        <v>#NAME?</v>
      </c>
      <c r="J634" s="24" t="e">
        <f ca="1">[1]!BexGetData("DP_1","003N8EMH8GTFRCSWKMPXRSGPQ","GSON1112031613")</f>
        <v>#NAME?</v>
      </c>
      <c r="K634" s="28" t="e">
        <f ca="1">[1]!BexGetData("DP_1","003N8EMH8GTFRIVNUPY288VJH","GSON1112031613")</f>
        <v>#NAME?</v>
      </c>
      <c r="L634" s="28" t="e">
        <f ca="1">[1]!BexGetData("DP_1","003N8EMH8GTFRIVNUPY2891V1","GSON1112031613")</f>
        <v>#NAME?</v>
      </c>
      <c r="M634" s="28" t="e">
        <f ca="1">[1]!BexGetData("DP_1","003N8EMH8GTFRIVOG7KG9IQXA","GSON1112031613")</f>
        <v>#NAME?</v>
      </c>
      <c r="N634" s="28" t="e">
        <f ca="1">[1]!BexGetData("DP_1","003N8EMH8GTFRIVOG7KG9IX8U","GSON1112031613")</f>
        <v>#NAME?</v>
      </c>
      <c r="O634" s="28" t="e">
        <f ca="1">[1]!BexGetData("DP_1","003N8EMH8GTFRIVOG7KG9J3KE","GSON1112031613")</f>
        <v>#NAME?</v>
      </c>
      <c r="P634" s="28" t="e">
        <f ca="1">[1]!BexGetData("DP_1","003N8EMH8GTFRIVOG7KG9J9VY","GSON1112031613")</f>
        <v>#NAME?</v>
      </c>
      <c r="Q634" s="24" t="e">
        <f ca="1">[1]!BexGetData("DP_1","00O2TNJGODT0G5Z4TTKYMM5MT","GSON1112031613")</f>
        <v>#NAME?</v>
      </c>
      <c r="R634" s="24" t="e">
        <f ca="1">[1]!BexGetData("DP_1","00O2TNJGODT0G5Z4TTKYMMBYD","GSON1112031613")</f>
        <v>#NAME?</v>
      </c>
      <c r="S634" s="24" t="e">
        <f ca="1">[1]!BexGetData("DP_1","00O2TNJGODT0G5Z4TTKYMMI9X","GSON1112031613")</f>
        <v>#NAME?</v>
      </c>
      <c r="T634" s="24" t="e">
        <f ca="1">[1]!BexGetData("DP_1","00O2TNJGODT0G5Z4TTKYMMOLH","GSON1112031613")</f>
        <v>#NAME?</v>
      </c>
      <c r="U634" s="24" t="e">
        <f ca="1">[1]!BexGetData("DP_1","00O2TNJGODT0G5Z4TTKYMMUX1","GSON1112031613")</f>
        <v>#NAME?</v>
      </c>
      <c r="V634" s="24" t="e">
        <f ca="1">[1]!BexGetData("DP_1","00O2TNJGODT0G5Z4TTKYMN18L","GSON1112031613")</f>
        <v>#NAME?</v>
      </c>
      <c r="W634" s="24" t="e">
        <f ca="1">[1]!BexGetData("DP_1","00O2TNJGODT0G5Z4TTKYMN7K5","GSON1112031613")</f>
        <v>#NAME?</v>
      </c>
    </row>
    <row r="635" spans="1:23" x14ac:dyDescent="0.2">
      <c r="A635" s="36" t="s">
        <v>2698</v>
      </c>
      <c r="B635" s="27" t="s">
        <v>2699</v>
      </c>
      <c r="C635" s="23" t="e">
        <f ca="1">[1]!BexGetData("DP_1","003N8EMH8GTFRCSWKMPXRR8GU","GSON1112031614")</f>
        <v>#NAME?</v>
      </c>
      <c r="D635" s="23" t="e">
        <f ca="1">[1]!BexGetData("DP_1","003N8EMH8GTFRCSWKMPXRRESE","GSON1112031614")</f>
        <v>#NAME?</v>
      </c>
      <c r="E635" s="28" t="e">
        <f ca="1">[1]!BexGetData("DP_1","003N8EMH8GTFRCSWKMPXRRL3Y","GSON1112031614")</f>
        <v>#NAME?</v>
      </c>
      <c r="F635" s="24" t="e">
        <f ca="1">[1]!BexGetData("DP_1","003N8EMH8GTFRCSWKMPXRRRFI","GSON1112031614")</f>
        <v>#NAME?</v>
      </c>
      <c r="G635" s="24" t="e">
        <f ca="1">[1]!BexGetData("DP_1","003N8EMH8GTFRCSWKMPXRRXR2","GSON1112031614")</f>
        <v>#NAME?</v>
      </c>
      <c r="H635" s="24" t="e">
        <f ca="1">[1]!BexGetData("DP_1","003N8EMH8GTFRCSWKMPXRS42M","GSON1112031614")</f>
        <v>#NAME?</v>
      </c>
      <c r="I635" s="24" t="e">
        <f ca="1">[1]!BexGetData("DP_1","003N8EMH8GTFRCSWKMPXRSAE6","GSON1112031614")</f>
        <v>#NAME?</v>
      </c>
      <c r="J635" s="24" t="e">
        <f ca="1">[1]!BexGetData("DP_1","003N8EMH8GTFRCSWKMPXRSGPQ","GSON1112031614")</f>
        <v>#NAME?</v>
      </c>
      <c r="K635" s="28" t="e">
        <f ca="1">[1]!BexGetData("DP_1","003N8EMH8GTFRIVNUPY288VJH","GSON1112031614")</f>
        <v>#NAME?</v>
      </c>
      <c r="L635" s="28" t="e">
        <f ca="1">[1]!BexGetData("DP_1","003N8EMH8GTFRIVNUPY2891V1","GSON1112031614")</f>
        <v>#NAME?</v>
      </c>
      <c r="M635" s="28" t="e">
        <f ca="1">[1]!BexGetData("DP_1","003N8EMH8GTFRIVOG7KG9IQXA","GSON1112031614")</f>
        <v>#NAME?</v>
      </c>
      <c r="N635" s="28" t="e">
        <f ca="1">[1]!BexGetData("DP_1","003N8EMH8GTFRIVOG7KG9IX8U","GSON1112031614")</f>
        <v>#NAME?</v>
      </c>
      <c r="O635" s="28" t="e">
        <f ca="1">[1]!BexGetData("DP_1","003N8EMH8GTFRIVOG7KG9J3KE","GSON1112031614")</f>
        <v>#NAME?</v>
      </c>
      <c r="P635" s="28" t="e">
        <f ca="1">[1]!BexGetData("DP_1","003N8EMH8GTFRIVOG7KG9J9VY","GSON1112031614")</f>
        <v>#NAME?</v>
      </c>
      <c r="Q635" s="24" t="e">
        <f ca="1">[1]!BexGetData("DP_1","00O2TNJGODT0G5Z4TTKYMM5MT","GSON1112031614")</f>
        <v>#NAME?</v>
      </c>
      <c r="R635" s="24" t="e">
        <f ca="1">[1]!BexGetData("DP_1","00O2TNJGODT0G5Z4TTKYMMBYD","GSON1112031614")</f>
        <v>#NAME?</v>
      </c>
      <c r="S635" s="24" t="e">
        <f ca="1">[1]!BexGetData("DP_1","00O2TNJGODT0G5Z4TTKYMMI9X","GSON1112031614")</f>
        <v>#NAME?</v>
      </c>
      <c r="T635" s="24" t="e">
        <f ca="1">[1]!BexGetData("DP_1","00O2TNJGODT0G5Z4TTKYMMOLH","GSON1112031614")</f>
        <v>#NAME?</v>
      </c>
      <c r="U635" s="24" t="e">
        <f ca="1">[1]!BexGetData("DP_1","00O2TNJGODT0G5Z4TTKYMMUX1","GSON1112031614")</f>
        <v>#NAME?</v>
      </c>
      <c r="V635" s="24" t="e">
        <f ca="1">[1]!BexGetData("DP_1","00O2TNJGODT0G5Z4TTKYMN18L","GSON1112031614")</f>
        <v>#NAME?</v>
      </c>
      <c r="W635" s="24" t="e">
        <f ca="1">[1]!BexGetData("DP_1","00O2TNJGODT0G5Z4TTKYMN7K5","GSON1112031614")</f>
        <v>#NAME?</v>
      </c>
    </row>
    <row r="636" spans="1:23" x14ac:dyDescent="0.2">
      <c r="A636" s="36" t="s">
        <v>2700</v>
      </c>
      <c r="B636" s="27" t="s">
        <v>2701</v>
      </c>
      <c r="C636" s="23" t="e">
        <f ca="1">[1]!BexGetData("DP_1","003N8EMH8GTFRCSWKMPXRR8GU","GSON1112031615")</f>
        <v>#NAME?</v>
      </c>
      <c r="D636" s="23" t="e">
        <f ca="1">[1]!BexGetData("DP_1","003N8EMH8GTFRCSWKMPXRRESE","GSON1112031615")</f>
        <v>#NAME?</v>
      </c>
      <c r="E636" s="28" t="e">
        <f ca="1">[1]!BexGetData("DP_1","003N8EMH8GTFRCSWKMPXRRL3Y","GSON1112031615")</f>
        <v>#NAME?</v>
      </c>
      <c r="F636" s="24" t="e">
        <f ca="1">[1]!BexGetData("DP_1","003N8EMH8GTFRCSWKMPXRRRFI","GSON1112031615")</f>
        <v>#NAME?</v>
      </c>
      <c r="G636" s="24" t="e">
        <f ca="1">[1]!BexGetData("DP_1","003N8EMH8GTFRCSWKMPXRRXR2","GSON1112031615")</f>
        <v>#NAME?</v>
      </c>
      <c r="H636" s="24" t="e">
        <f ca="1">[1]!BexGetData("DP_1","003N8EMH8GTFRCSWKMPXRS42M","GSON1112031615")</f>
        <v>#NAME?</v>
      </c>
      <c r="I636" s="24" t="e">
        <f ca="1">[1]!BexGetData("DP_1","003N8EMH8GTFRCSWKMPXRSAE6","GSON1112031615")</f>
        <v>#NAME?</v>
      </c>
      <c r="J636" s="24" t="e">
        <f ca="1">[1]!BexGetData("DP_1","003N8EMH8GTFRCSWKMPXRSGPQ","GSON1112031615")</f>
        <v>#NAME?</v>
      </c>
      <c r="K636" s="28" t="e">
        <f ca="1">[1]!BexGetData("DP_1","003N8EMH8GTFRIVNUPY288VJH","GSON1112031615")</f>
        <v>#NAME?</v>
      </c>
      <c r="L636" s="28" t="e">
        <f ca="1">[1]!BexGetData("DP_1","003N8EMH8GTFRIVNUPY2891V1","GSON1112031615")</f>
        <v>#NAME?</v>
      </c>
      <c r="M636" s="28" t="e">
        <f ca="1">[1]!BexGetData("DP_1","003N8EMH8GTFRIVOG7KG9IQXA","GSON1112031615")</f>
        <v>#NAME?</v>
      </c>
      <c r="N636" s="28" t="e">
        <f ca="1">[1]!BexGetData("DP_1","003N8EMH8GTFRIVOG7KG9IX8U","GSON1112031615")</f>
        <v>#NAME?</v>
      </c>
      <c r="O636" s="28" t="e">
        <f ca="1">[1]!BexGetData("DP_1","003N8EMH8GTFRIVOG7KG9J3KE","GSON1112031615")</f>
        <v>#NAME?</v>
      </c>
      <c r="P636" s="28" t="e">
        <f ca="1">[1]!BexGetData("DP_1","003N8EMH8GTFRIVOG7KG9J9VY","GSON1112031615")</f>
        <v>#NAME?</v>
      </c>
      <c r="Q636" s="24" t="e">
        <f ca="1">[1]!BexGetData("DP_1","00O2TNJGODT0G5Z4TTKYMM5MT","GSON1112031615")</f>
        <v>#NAME?</v>
      </c>
      <c r="R636" s="24" t="e">
        <f ca="1">[1]!BexGetData("DP_1","00O2TNJGODT0G5Z4TTKYMMBYD","GSON1112031615")</f>
        <v>#NAME?</v>
      </c>
      <c r="S636" s="24" t="e">
        <f ca="1">[1]!BexGetData("DP_1","00O2TNJGODT0G5Z4TTKYMMI9X","GSON1112031615")</f>
        <v>#NAME?</v>
      </c>
      <c r="T636" s="24" t="e">
        <f ca="1">[1]!BexGetData("DP_1","00O2TNJGODT0G5Z4TTKYMMOLH","GSON1112031615")</f>
        <v>#NAME?</v>
      </c>
      <c r="U636" s="24" t="e">
        <f ca="1">[1]!BexGetData("DP_1","00O2TNJGODT0G5Z4TTKYMMUX1","GSON1112031615")</f>
        <v>#NAME?</v>
      </c>
      <c r="V636" s="24" t="e">
        <f ca="1">[1]!BexGetData("DP_1","00O2TNJGODT0G5Z4TTKYMN18L","GSON1112031615")</f>
        <v>#NAME?</v>
      </c>
      <c r="W636" s="24" t="e">
        <f ca="1">[1]!BexGetData("DP_1","00O2TNJGODT0G5Z4TTKYMN7K5","GSON1112031615")</f>
        <v>#NAME?</v>
      </c>
    </row>
    <row r="637" spans="1:23" x14ac:dyDescent="0.2">
      <c r="A637" s="36" t="s">
        <v>2702</v>
      </c>
      <c r="B637" s="27" t="s">
        <v>2703</v>
      </c>
      <c r="C637" s="23" t="e">
        <f ca="1">[1]!BexGetData("DP_1","003N8EMH8GTFRCSWKMPXRR8GU","GSON1112031620")</f>
        <v>#NAME?</v>
      </c>
      <c r="D637" s="23" t="e">
        <f ca="1">[1]!BexGetData("DP_1","003N8EMH8GTFRCSWKMPXRRESE","GSON1112031620")</f>
        <v>#NAME?</v>
      </c>
      <c r="E637" s="23" t="e">
        <f ca="1">[1]!BexGetData("DP_1","003N8EMH8GTFRCSWKMPXRRL3Y","GSON1112031620")</f>
        <v>#NAME?</v>
      </c>
      <c r="F637" s="24" t="e">
        <f ca="1">[1]!BexGetData("DP_1","003N8EMH8GTFRCSWKMPXRRRFI","GSON1112031620")</f>
        <v>#NAME?</v>
      </c>
      <c r="G637" s="24" t="e">
        <f ca="1">[1]!BexGetData("DP_1","003N8EMH8GTFRCSWKMPXRRXR2","GSON1112031620")</f>
        <v>#NAME?</v>
      </c>
      <c r="H637" s="24" t="e">
        <f ca="1">[1]!BexGetData("DP_1","003N8EMH8GTFRCSWKMPXRS42M","GSON1112031620")</f>
        <v>#NAME?</v>
      </c>
      <c r="I637" s="24" t="e">
        <f ca="1">[1]!BexGetData("DP_1","003N8EMH8GTFRCSWKMPXRSAE6","GSON1112031620")</f>
        <v>#NAME?</v>
      </c>
      <c r="J637" s="24" t="e">
        <f ca="1">[1]!BexGetData("DP_1","003N8EMH8GTFRCSWKMPXRSGPQ","GSON1112031620")</f>
        <v>#NAME?</v>
      </c>
      <c r="K637" s="23" t="e">
        <f ca="1">[1]!BexGetData("DP_1","003N8EMH8GTFRIVNUPY288VJH","GSON1112031620")</f>
        <v>#NAME?</v>
      </c>
      <c r="L637" s="23" t="e">
        <f ca="1">[1]!BexGetData("DP_1","003N8EMH8GTFRIVNUPY2891V1","GSON1112031620")</f>
        <v>#NAME?</v>
      </c>
      <c r="M637" s="28" t="e">
        <f ca="1">[1]!BexGetData("DP_1","003N8EMH8GTFRIVOG7KG9IQXA","GSON1112031620")</f>
        <v>#NAME?</v>
      </c>
      <c r="N637" s="23" t="e">
        <f ca="1">[1]!BexGetData("DP_1","003N8EMH8GTFRIVOG7KG9IX8U","GSON1112031620")</f>
        <v>#NAME?</v>
      </c>
      <c r="O637" s="28" t="e">
        <f ca="1">[1]!BexGetData("DP_1","003N8EMH8GTFRIVOG7KG9J3KE","GSON1112031620")</f>
        <v>#NAME?</v>
      </c>
      <c r="P637" s="23" t="e">
        <f ca="1">[1]!BexGetData("DP_1","003N8EMH8GTFRIVOG7KG9J9VY","GSON1112031620")</f>
        <v>#NAME?</v>
      </c>
      <c r="Q637" s="24" t="e">
        <f ca="1">[1]!BexGetData("DP_1","00O2TNJGODT0G5Z4TTKYMM5MT","GSON1112031620")</f>
        <v>#NAME?</v>
      </c>
      <c r="R637" s="24" t="e">
        <f ca="1">[1]!BexGetData("DP_1","00O2TNJGODT0G5Z4TTKYMMBYD","GSON1112031620")</f>
        <v>#NAME?</v>
      </c>
      <c r="S637" s="24" t="e">
        <f ca="1">[1]!BexGetData("DP_1","00O2TNJGODT0G5Z4TTKYMMI9X","GSON1112031620")</f>
        <v>#NAME?</v>
      </c>
      <c r="T637" s="24" t="e">
        <f ca="1">[1]!BexGetData("DP_1","00O2TNJGODT0G5Z4TTKYMMOLH","GSON1112031620")</f>
        <v>#NAME?</v>
      </c>
      <c r="U637" s="24" t="e">
        <f ca="1">[1]!BexGetData("DP_1","00O2TNJGODT0G5Z4TTKYMMUX1","GSON1112031620")</f>
        <v>#NAME?</v>
      </c>
      <c r="V637" s="24" t="e">
        <f ca="1">[1]!BexGetData("DP_1","00O2TNJGODT0G5Z4TTKYMN18L","GSON1112031620")</f>
        <v>#NAME?</v>
      </c>
      <c r="W637" s="24" t="e">
        <f ca="1">[1]!BexGetData("DP_1","00O2TNJGODT0G5Z4TTKYMN7K5","GSON1112031620")</f>
        <v>#NAME?</v>
      </c>
    </row>
    <row r="638" spans="1:23" x14ac:dyDescent="0.2">
      <c r="A638" s="36" t="s">
        <v>2704</v>
      </c>
      <c r="B638" s="27" t="s">
        <v>2705</v>
      </c>
      <c r="C638" s="23" t="e">
        <f ca="1">[1]!BexGetData("DP_1","003N8EMH8GTFRCSWKMPXRR8GU","GSON1112031621")</f>
        <v>#NAME?</v>
      </c>
      <c r="D638" s="23" t="e">
        <f ca="1">[1]!BexGetData("DP_1","003N8EMH8GTFRCSWKMPXRRESE","GSON1112031621")</f>
        <v>#NAME?</v>
      </c>
      <c r="E638" s="28" t="e">
        <f ca="1">[1]!BexGetData("DP_1","003N8EMH8GTFRCSWKMPXRRL3Y","GSON1112031621")</f>
        <v>#NAME?</v>
      </c>
      <c r="F638" s="24" t="e">
        <f ca="1">[1]!BexGetData("DP_1","003N8EMH8GTFRCSWKMPXRRRFI","GSON1112031621")</f>
        <v>#NAME?</v>
      </c>
      <c r="G638" s="24" t="e">
        <f ca="1">[1]!BexGetData("DP_1","003N8EMH8GTFRCSWKMPXRRXR2","GSON1112031621")</f>
        <v>#NAME?</v>
      </c>
      <c r="H638" s="24" t="e">
        <f ca="1">[1]!BexGetData("DP_1","003N8EMH8GTFRCSWKMPXRS42M","GSON1112031621")</f>
        <v>#NAME?</v>
      </c>
      <c r="I638" s="24" t="e">
        <f ca="1">[1]!BexGetData("DP_1","003N8EMH8GTFRCSWKMPXRSAE6","GSON1112031621")</f>
        <v>#NAME?</v>
      </c>
      <c r="J638" s="24" t="e">
        <f ca="1">[1]!BexGetData("DP_1","003N8EMH8GTFRCSWKMPXRSGPQ","GSON1112031621")</f>
        <v>#NAME?</v>
      </c>
      <c r="K638" s="28" t="e">
        <f ca="1">[1]!BexGetData("DP_1","003N8EMH8GTFRIVNUPY288VJH","GSON1112031621")</f>
        <v>#NAME?</v>
      </c>
      <c r="L638" s="28" t="e">
        <f ca="1">[1]!BexGetData("DP_1","003N8EMH8GTFRIVNUPY2891V1","GSON1112031621")</f>
        <v>#NAME?</v>
      </c>
      <c r="M638" s="28" t="e">
        <f ca="1">[1]!BexGetData("DP_1","003N8EMH8GTFRIVOG7KG9IQXA","GSON1112031621")</f>
        <v>#NAME?</v>
      </c>
      <c r="N638" s="28" t="e">
        <f ca="1">[1]!BexGetData("DP_1","003N8EMH8GTFRIVOG7KG9IX8U","GSON1112031621")</f>
        <v>#NAME?</v>
      </c>
      <c r="O638" s="28" t="e">
        <f ca="1">[1]!BexGetData("DP_1","003N8EMH8GTFRIVOG7KG9J3KE","GSON1112031621")</f>
        <v>#NAME?</v>
      </c>
      <c r="P638" s="28" t="e">
        <f ca="1">[1]!BexGetData("DP_1","003N8EMH8GTFRIVOG7KG9J9VY","GSON1112031621")</f>
        <v>#NAME?</v>
      </c>
      <c r="Q638" s="24" t="e">
        <f ca="1">[1]!BexGetData("DP_1","00O2TNJGODT0G5Z4TTKYMM5MT","GSON1112031621")</f>
        <v>#NAME?</v>
      </c>
      <c r="R638" s="24" t="e">
        <f ca="1">[1]!BexGetData("DP_1","00O2TNJGODT0G5Z4TTKYMMBYD","GSON1112031621")</f>
        <v>#NAME?</v>
      </c>
      <c r="S638" s="24" t="e">
        <f ca="1">[1]!BexGetData("DP_1","00O2TNJGODT0G5Z4TTKYMMI9X","GSON1112031621")</f>
        <v>#NAME?</v>
      </c>
      <c r="T638" s="24" t="e">
        <f ca="1">[1]!BexGetData("DP_1","00O2TNJGODT0G5Z4TTKYMMOLH","GSON1112031621")</f>
        <v>#NAME?</v>
      </c>
      <c r="U638" s="24" t="e">
        <f ca="1">[1]!BexGetData("DP_1","00O2TNJGODT0G5Z4TTKYMMUX1","GSON1112031621")</f>
        <v>#NAME?</v>
      </c>
      <c r="V638" s="24" t="e">
        <f ca="1">[1]!BexGetData("DP_1","00O2TNJGODT0G5Z4TTKYMN18L","GSON1112031621")</f>
        <v>#NAME?</v>
      </c>
      <c r="W638" s="24" t="e">
        <f ca="1">[1]!BexGetData("DP_1","00O2TNJGODT0G5Z4TTKYMN7K5","GSON1112031621")</f>
        <v>#NAME?</v>
      </c>
    </row>
    <row r="639" spans="1:23" x14ac:dyDescent="0.2">
      <c r="A639" s="36" t="s">
        <v>2706</v>
      </c>
      <c r="B639" s="27" t="s">
        <v>2707</v>
      </c>
      <c r="C639" s="23" t="e">
        <f ca="1">[1]!BexGetData("DP_1","003N8EMH8GTFRCSWKMPXRR8GU","GSON1112031623")</f>
        <v>#NAME?</v>
      </c>
      <c r="D639" s="23" t="e">
        <f ca="1">[1]!BexGetData("DP_1","003N8EMH8GTFRCSWKMPXRRESE","GSON1112031623")</f>
        <v>#NAME?</v>
      </c>
      <c r="E639" s="28" t="e">
        <f ca="1">[1]!BexGetData("DP_1","003N8EMH8GTFRCSWKMPXRRL3Y","GSON1112031623")</f>
        <v>#NAME?</v>
      </c>
      <c r="F639" s="24" t="e">
        <f ca="1">[1]!BexGetData("DP_1","003N8EMH8GTFRCSWKMPXRRRFI","GSON1112031623")</f>
        <v>#NAME?</v>
      </c>
      <c r="G639" s="24" t="e">
        <f ca="1">[1]!BexGetData("DP_1","003N8EMH8GTFRCSWKMPXRRXR2","GSON1112031623")</f>
        <v>#NAME?</v>
      </c>
      <c r="H639" s="24" t="e">
        <f ca="1">[1]!BexGetData("DP_1","003N8EMH8GTFRCSWKMPXRS42M","GSON1112031623")</f>
        <v>#NAME?</v>
      </c>
      <c r="I639" s="24" t="e">
        <f ca="1">[1]!BexGetData("DP_1","003N8EMH8GTFRCSWKMPXRSAE6","GSON1112031623")</f>
        <v>#NAME?</v>
      </c>
      <c r="J639" s="24" t="e">
        <f ca="1">[1]!BexGetData("DP_1","003N8EMH8GTFRCSWKMPXRSGPQ","GSON1112031623")</f>
        <v>#NAME?</v>
      </c>
      <c r="K639" s="28" t="e">
        <f ca="1">[1]!BexGetData("DP_1","003N8EMH8GTFRIVNUPY288VJH","GSON1112031623")</f>
        <v>#NAME?</v>
      </c>
      <c r="L639" s="28" t="e">
        <f ca="1">[1]!BexGetData("DP_1","003N8EMH8GTFRIVNUPY2891V1","GSON1112031623")</f>
        <v>#NAME?</v>
      </c>
      <c r="M639" s="28" t="e">
        <f ca="1">[1]!BexGetData("DP_1","003N8EMH8GTFRIVOG7KG9IQXA","GSON1112031623")</f>
        <v>#NAME?</v>
      </c>
      <c r="N639" s="28" t="e">
        <f ca="1">[1]!BexGetData("DP_1","003N8EMH8GTFRIVOG7KG9IX8U","GSON1112031623")</f>
        <v>#NAME?</v>
      </c>
      <c r="O639" s="28" t="e">
        <f ca="1">[1]!BexGetData("DP_1","003N8EMH8GTFRIVOG7KG9J3KE","GSON1112031623")</f>
        <v>#NAME?</v>
      </c>
      <c r="P639" s="28" t="e">
        <f ca="1">[1]!BexGetData("DP_1","003N8EMH8GTFRIVOG7KG9J9VY","GSON1112031623")</f>
        <v>#NAME?</v>
      </c>
      <c r="Q639" s="24" t="e">
        <f ca="1">[1]!BexGetData("DP_1","00O2TNJGODT0G5Z4TTKYMM5MT","GSON1112031623")</f>
        <v>#NAME?</v>
      </c>
      <c r="R639" s="24" t="e">
        <f ca="1">[1]!BexGetData("DP_1","00O2TNJGODT0G5Z4TTKYMMBYD","GSON1112031623")</f>
        <v>#NAME?</v>
      </c>
      <c r="S639" s="24" t="e">
        <f ca="1">[1]!BexGetData("DP_1","00O2TNJGODT0G5Z4TTKYMMI9X","GSON1112031623")</f>
        <v>#NAME?</v>
      </c>
      <c r="T639" s="24" t="e">
        <f ca="1">[1]!BexGetData("DP_1","00O2TNJGODT0G5Z4TTKYMMOLH","GSON1112031623")</f>
        <v>#NAME?</v>
      </c>
      <c r="U639" s="24" t="e">
        <f ca="1">[1]!BexGetData("DP_1","00O2TNJGODT0G5Z4TTKYMMUX1","GSON1112031623")</f>
        <v>#NAME?</v>
      </c>
      <c r="V639" s="24" t="e">
        <f ca="1">[1]!BexGetData("DP_1","00O2TNJGODT0G5Z4TTKYMN18L","GSON1112031623")</f>
        <v>#NAME?</v>
      </c>
      <c r="W639" s="24" t="e">
        <f ca="1">[1]!BexGetData("DP_1","00O2TNJGODT0G5Z4TTKYMN7K5","GSON1112031623")</f>
        <v>#NAME?</v>
      </c>
    </row>
    <row r="640" spans="1:23" x14ac:dyDescent="0.2">
      <c r="A640" s="36" t="s">
        <v>2708</v>
      </c>
      <c r="B640" s="27" t="s">
        <v>2709</v>
      </c>
      <c r="C640" s="23" t="e">
        <f ca="1">[1]!BexGetData("DP_1","003N8EMH8GTFRCSWKMPXRR8GU","GSON1112031625")</f>
        <v>#NAME?</v>
      </c>
      <c r="D640" s="23" t="e">
        <f ca="1">[1]!BexGetData("DP_1","003N8EMH8GTFRCSWKMPXRRESE","GSON1112031625")</f>
        <v>#NAME?</v>
      </c>
      <c r="E640" s="28" t="e">
        <f ca="1">[1]!BexGetData("DP_1","003N8EMH8GTFRCSWKMPXRRL3Y","GSON1112031625")</f>
        <v>#NAME?</v>
      </c>
      <c r="F640" s="24" t="e">
        <f ca="1">[1]!BexGetData("DP_1","003N8EMH8GTFRCSWKMPXRRRFI","GSON1112031625")</f>
        <v>#NAME?</v>
      </c>
      <c r="G640" s="24" t="e">
        <f ca="1">[1]!BexGetData("DP_1","003N8EMH8GTFRCSWKMPXRRXR2","GSON1112031625")</f>
        <v>#NAME?</v>
      </c>
      <c r="H640" s="24" t="e">
        <f ca="1">[1]!BexGetData("DP_1","003N8EMH8GTFRCSWKMPXRS42M","GSON1112031625")</f>
        <v>#NAME?</v>
      </c>
      <c r="I640" s="24" t="e">
        <f ca="1">[1]!BexGetData("DP_1","003N8EMH8GTFRCSWKMPXRSAE6","GSON1112031625")</f>
        <v>#NAME?</v>
      </c>
      <c r="J640" s="24" t="e">
        <f ca="1">[1]!BexGetData("DP_1","003N8EMH8GTFRCSWKMPXRSGPQ","GSON1112031625")</f>
        <v>#NAME?</v>
      </c>
      <c r="K640" s="28" t="e">
        <f ca="1">[1]!BexGetData("DP_1","003N8EMH8GTFRIVNUPY288VJH","GSON1112031625")</f>
        <v>#NAME?</v>
      </c>
      <c r="L640" s="28" t="e">
        <f ca="1">[1]!BexGetData("DP_1","003N8EMH8GTFRIVNUPY2891V1","GSON1112031625")</f>
        <v>#NAME?</v>
      </c>
      <c r="M640" s="28" t="e">
        <f ca="1">[1]!BexGetData("DP_1","003N8EMH8GTFRIVOG7KG9IQXA","GSON1112031625")</f>
        <v>#NAME?</v>
      </c>
      <c r="N640" s="28" t="e">
        <f ca="1">[1]!BexGetData("DP_1","003N8EMH8GTFRIVOG7KG9IX8U","GSON1112031625")</f>
        <v>#NAME?</v>
      </c>
      <c r="O640" s="28" t="e">
        <f ca="1">[1]!BexGetData("DP_1","003N8EMH8GTFRIVOG7KG9J3KE","GSON1112031625")</f>
        <v>#NAME?</v>
      </c>
      <c r="P640" s="28" t="e">
        <f ca="1">[1]!BexGetData("DP_1","003N8EMH8GTFRIVOG7KG9J9VY","GSON1112031625")</f>
        <v>#NAME?</v>
      </c>
      <c r="Q640" s="24" t="e">
        <f ca="1">[1]!BexGetData("DP_1","00O2TNJGODT0G5Z4TTKYMM5MT","GSON1112031625")</f>
        <v>#NAME?</v>
      </c>
      <c r="R640" s="24" t="e">
        <f ca="1">[1]!BexGetData("DP_1","00O2TNJGODT0G5Z4TTKYMMBYD","GSON1112031625")</f>
        <v>#NAME?</v>
      </c>
      <c r="S640" s="24" t="e">
        <f ca="1">[1]!BexGetData("DP_1","00O2TNJGODT0G5Z4TTKYMMI9X","GSON1112031625")</f>
        <v>#NAME?</v>
      </c>
      <c r="T640" s="24" t="e">
        <f ca="1">[1]!BexGetData("DP_1","00O2TNJGODT0G5Z4TTKYMMOLH","GSON1112031625")</f>
        <v>#NAME?</v>
      </c>
      <c r="U640" s="24" t="e">
        <f ca="1">[1]!BexGetData("DP_1","00O2TNJGODT0G5Z4TTKYMMUX1","GSON1112031625")</f>
        <v>#NAME?</v>
      </c>
      <c r="V640" s="24" t="e">
        <f ca="1">[1]!BexGetData("DP_1","00O2TNJGODT0G5Z4TTKYMN18L","GSON1112031625")</f>
        <v>#NAME?</v>
      </c>
      <c r="W640" s="24" t="e">
        <f ca="1">[1]!BexGetData("DP_1","00O2TNJGODT0G5Z4TTKYMN7K5","GSON1112031625")</f>
        <v>#NAME?</v>
      </c>
    </row>
    <row r="641" spans="1:23" x14ac:dyDescent="0.2">
      <c r="A641" s="36" t="s">
        <v>2710</v>
      </c>
      <c r="B641" s="27" t="s">
        <v>2711</v>
      </c>
      <c r="C641" s="23" t="e">
        <f ca="1">[1]!BexGetData("DP_1","003N8EMH8GTFRCSWKMPXRR8GU","GSON1112031630")</f>
        <v>#NAME?</v>
      </c>
      <c r="D641" s="23" t="e">
        <f ca="1">[1]!BexGetData("DP_1","003N8EMH8GTFRCSWKMPXRRESE","GSON1112031630")</f>
        <v>#NAME?</v>
      </c>
      <c r="E641" s="23" t="e">
        <f ca="1">[1]!BexGetData("DP_1","003N8EMH8GTFRCSWKMPXRRL3Y","GSON1112031630")</f>
        <v>#NAME?</v>
      </c>
      <c r="F641" s="24" t="e">
        <f ca="1">[1]!BexGetData("DP_1","003N8EMH8GTFRCSWKMPXRRRFI","GSON1112031630")</f>
        <v>#NAME?</v>
      </c>
      <c r="G641" s="24" t="e">
        <f ca="1">[1]!BexGetData("DP_1","003N8EMH8GTFRCSWKMPXRRXR2","GSON1112031630")</f>
        <v>#NAME?</v>
      </c>
      <c r="H641" s="24" t="e">
        <f ca="1">[1]!BexGetData("DP_1","003N8EMH8GTFRCSWKMPXRS42M","GSON1112031630")</f>
        <v>#NAME?</v>
      </c>
      <c r="I641" s="24" t="e">
        <f ca="1">[1]!BexGetData("DP_1","003N8EMH8GTFRCSWKMPXRSAE6","GSON1112031630")</f>
        <v>#NAME?</v>
      </c>
      <c r="J641" s="24" t="e">
        <f ca="1">[1]!BexGetData("DP_1","003N8EMH8GTFRCSWKMPXRSGPQ","GSON1112031630")</f>
        <v>#NAME?</v>
      </c>
      <c r="K641" s="23" t="e">
        <f ca="1">[1]!BexGetData("DP_1","003N8EMH8GTFRIVNUPY288VJH","GSON1112031630")</f>
        <v>#NAME?</v>
      </c>
      <c r="L641" s="23" t="e">
        <f ca="1">[1]!BexGetData("DP_1","003N8EMH8GTFRIVNUPY2891V1","GSON1112031630")</f>
        <v>#NAME?</v>
      </c>
      <c r="M641" s="28" t="e">
        <f ca="1">[1]!BexGetData("DP_1","003N8EMH8GTFRIVOG7KG9IQXA","GSON1112031630")</f>
        <v>#NAME?</v>
      </c>
      <c r="N641" s="23" t="e">
        <f ca="1">[1]!BexGetData("DP_1","003N8EMH8GTFRIVOG7KG9IX8U","GSON1112031630")</f>
        <v>#NAME?</v>
      </c>
      <c r="O641" s="28" t="e">
        <f ca="1">[1]!BexGetData("DP_1","003N8EMH8GTFRIVOG7KG9J3KE","GSON1112031630")</f>
        <v>#NAME?</v>
      </c>
      <c r="P641" s="23" t="e">
        <f ca="1">[1]!BexGetData("DP_1","003N8EMH8GTFRIVOG7KG9J9VY","GSON1112031630")</f>
        <v>#NAME?</v>
      </c>
      <c r="Q641" s="24" t="e">
        <f ca="1">[1]!BexGetData("DP_1","00O2TNJGODT0G5Z4TTKYMM5MT","GSON1112031630")</f>
        <v>#NAME?</v>
      </c>
      <c r="R641" s="24" t="e">
        <f ca="1">[1]!BexGetData("DP_1","00O2TNJGODT0G5Z4TTKYMMBYD","GSON1112031630")</f>
        <v>#NAME?</v>
      </c>
      <c r="S641" s="24" t="e">
        <f ca="1">[1]!BexGetData("DP_1","00O2TNJGODT0G5Z4TTKYMMI9X","GSON1112031630")</f>
        <v>#NAME?</v>
      </c>
      <c r="T641" s="24" t="e">
        <f ca="1">[1]!BexGetData("DP_1","00O2TNJGODT0G5Z4TTKYMMOLH","GSON1112031630")</f>
        <v>#NAME?</v>
      </c>
      <c r="U641" s="24" t="e">
        <f ca="1">[1]!BexGetData("DP_1","00O2TNJGODT0G5Z4TTKYMMUX1","GSON1112031630")</f>
        <v>#NAME?</v>
      </c>
      <c r="V641" s="24" t="e">
        <f ca="1">[1]!BexGetData("DP_1","00O2TNJGODT0G5Z4TTKYMN18L","GSON1112031630")</f>
        <v>#NAME?</v>
      </c>
      <c r="W641" s="24" t="e">
        <f ca="1">[1]!BexGetData("DP_1","00O2TNJGODT0G5Z4TTKYMN7K5","GSON1112031630")</f>
        <v>#NAME?</v>
      </c>
    </row>
    <row r="642" spans="1:23" x14ac:dyDescent="0.2">
      <c r="A642" s="36" t="s">
        <v>2712</v>
      </c>
      <c r="B642" s="27" t="s">
        <v>2713</v>
      </c>
      <c r="C642" s="23" t="e">
        <f ca="1">[1]!BexGetData("DP_1","003N8EMH8GTFRCSWKMPXRR8GU","GSON1112031631")</f>
        <v>#NAME?</v>
      </c>
      <c r="D642" s="23" t="e">
        <f ca="1">[1]!BexGetData("DP_1","003N8EMH8GTFRCSWKMPXRRESE","GSON1112031631")</f>
        <v>#NAME?</v>
      </c>
      <c r="E642" s="28" t="e">
        <f ca="1">[1]!BexGetData("DP_1","003N8EMH8GTFRCSWKMPXRRL3Y","GSON1112031631")</f>
        <v>#NAME?</v>
      </c>
      <c r="F642" s="24" t="e">
        <f ca="1">[1]!BexGetData("DP_1","003N8EMH8GTFRCSWKMPXRRRFI","GSON1112031631")</f>
        <v>#NAME?</v>
      </c>
      <c r="G642" s="24" t="e">
        <f ca="1">[1]!BexGetData("DP_1","003N8EMH8GTFRCSWKMPXRRXR2","GSON1112031631")</f>
        <v>#NAME?</v>
      </c>
      <c r="H642" s="24" t="e">
        <f ca="1">[1]!BexGetData("DP_1","003N8EMH8GTFRCSWKMPXRS42M","GSON1112031631")</f>
        <v>#NAME?</v>
      </c>
      <c r="I642" s="24" t="e">
        <f ca="1">[1]!BexGetData("DP_1","003N8EMH8GTFRCSWKMPXRSAE6","GSON1112031631")</f>
        <v>#NAME?</v>
      </c>
      <c r="J642" s="24" t="e">
        <f ca="1">[1]!BexGetData("DP_1","003N8EMH8GTFRCSWKMPXRSGPQ","GSON1112031631")</f>
        <v>#NAME?</v>
      </c>
      <c r="K642" s="28" t="e">
        <f ca="1">[1]!BexGetData("DP_1","003N8EMH8GTFRIVNUPY288VJH","GSON1112031631")</f>
        <v>#NAME?</v>
      </c>
      <c r="L642" s="28" t="e">
        <f ca="1">[1]!BexGetData("DP_1","003N8EMH8GTFRIVNUPY2891V1","GSON1112031631")</f>
        <v>#NAME?</v>
      </c>
      <c r="M642" s="28" t="e">
        <f ca="1">[1]!BexGetData("DP_1","003N8EMH8GTFRIVOG7KG9IQXA","GSON1112031631")</f>
        <v>#NAME?</v>
      </c>
      <c r="N642" s="28" t="e">
        <f ca="1">[1]!BexGetData("DP_1","003N8EMH8GTFRIVOG7KG9IX8U","GSON1112031631")</f>
        <v>#NAME?</v>
      </c>
      <c r="O642" s="28" t="e">
        <f ca="1">[1]!BexGetData("DP_1","003N8EMH8GTFRIVOG7KG9J3KE","GSON1112031631")</f>
        <v>#NAME?</v>
      </c>
      <c r="P642" s="28" t="e">
        <f ca="1">[1]!BexGetData("DP_1","003N8EMH8GTFRIVOG7KG9J9VY","GSON1112031631")</f>
        <v>#NAME?</v>
      </c>
      <c r="Q642" s="24" t="e">
        <f ca="1">[1]!BexGetData("DP_1","00O2TNJGODT0G5Z4TTKYMM5MT","GSON1112031631")</f>
        <v>#NAME?</v>
      </c>
      <c r="R642" s="24" t="e">
        <f ca="1">[1]!BexGetData("DP_1","00O2TNJGODT0G5Z4TTKYMMBYD","GSON1112031631")</f>
        <v>#NAME?</v>
      </c>
      <c r="S642" s="24" t="e">
        <f ca="1">[1]!BexGetData("DP_1","00O2TNJGODT0G5Z4TTKYMMI9X","GSON1112031631")</f>
        <v>#NAME?</v>
      </c>
      <c r="T642" s="24" t="e">
        <f ca="1">[1]!BexGetData("DP_1","00O2TNJGODT0G5Z4TTKYMMOLH","GSON1112031631")</f>
        <v>#NAME?</v>
      </c>
      <c r="U642" s="24" t="e">
        <f ca="1">[1]!BexGetData("DP_1","00O2TNJGODT0G5Z4TTKYMMUX1","GSON1112031631")</f>
        <v>#NAME?</v>
      </c>
      <c r="V642" s="24" t="e">
        <f ca="1">[1]!BexGetData("DP_1","00O2TNJGODT0G5Z4TTKYMN18L","GSON1112031631")</f>
        <v>#NAME?</v>
      </c>
      <c r="W642" s="24" t="e">
        <f ca="1">[1]!BexGetData("DP_1","00O2TNJGODT0G5Z4TTKYMN7K5","GSON1112031631")</f>
        <v>#NAME?</v>
      </c>
    </row>
    <row r="643" spans="1:23" x14ac:dyDescent="0.2">
      <c r="A643" s="36" t="s">
        <v>2714</v>
      </c>
      <c r="B643" s="27" t="s">
        <v>2715</v>
      </c>
      <c r="C643" s="23" t="e">
        <f ca="1">[1]!BexGetData("DP_1","003N8EMH8GTFRCSWKMPXRR8GU","GSON1112031633")</f>
        <v>#NAME?</v>
      </c>
      <c r="D643" s="23" t="e">
        <f ca="1">[1]!BexGetData("DP_1","003N8EMH8GTFRCSWKMPXRRESE","GSON1112031633")</f>
        <v>#NAME?</v>
      </c>
      <c r="E643" s="28" t="e">
        <f ca="1">[1]!BexGetData("DP_1","003N8EMH8GTFRCSWKMPXRRL3Y","GSON1112031633")</f>
        <v>#NAME?</v>
      </c>
      <c r="F643" s="24" t="e">
        <f ca="1">[1]!BexGetData("DP_1","003N8EMH8GTFRCSWKMPXRRRFI","GSON1112031633")</f>
        <v>#NAME?</v>
      </c>
      <c r="G643" s="24" t="e">
        <f ca="1">[1]!BexGetData("DP_1","003N8EMH8GTFRCSWKMPXRRXR2","GSON1112031633")</f>
        <v>#NAME?</v>
      </c>
      <c r="H643" s="24" t="e">
        <f ca="1">[1]!BexGetData("DP_1","003N8EMH8GTFRCSWKMPXRS42M","GSON1112031633")</f>
        <v>#NAME?</v>
      </c>
      <c r="I643" s="24" t="e">
        <f ca="1">[1]!BexGetData("DP_1","003N8EMH8GTFRCSWKMPXRSAE6","GSON1112031633")</f>
        <v>#NAME?</v>
      </c>
      <c r="J643" s="24" t="e">
        <f ca="1">[1]!BexGetData("DP_1","003N8EMH8GTFRCSWKMPXRSGPQ","GSON1112031633")</f>
        <v>#NAME?</v>
      </c>
      <c r="K643" s="28" t="e">
        <f ca="1">[1]!BexGetData("DP_1","003N8EMH8GTFRIVNUPY288VJH","GSON1112031633")</f>
        <v>#NAME?</v>
      </c>
      <c r="L643" s="28" t="e">
        <f ca="1">[1]!BexGetData("DP_1","003N8EMH8GTFRIVNUPY2891V1","GSON1112031633")</f>
        <v>#NAME?</v>
      </c>
      <c r="M643" s="28" t="e">
        <f ca="1">[1]!BexGetData("DP_1","003N8EMH8GTFRIVOG7KG9IQXA","GSON1112031633")</f>
        <v>#NAME?</v>
      </c>
      <c r="N643" s="28" t="e">
        <f ca="1">[1]!BexGetData("DP_1","003N8EMH8GTFRIVOG7KG9IX8U","GSON1112031633")</f>
        <v>#NAME?</v>
      </c>
      <c r="O643" s="28" t="e">
        <f ca="1">[1]!BexGetData("DP_1","003N8EMH8GTFRIVOG7KG9J3KE","GSON1112031633")</f>
        <v>#NAME?</v>
      </c>
      <c r="P643" s="28" t="e">
        <f ca="1">[1]!BexGetData("DP_1","003N8EMH8GTFRIVOG7KG9J9VY","GSON1112031633")</f>
        <v>#NAME?</v>
      </c>
      <c r="Q643" s="24" t="e">
        <f ca="1">[1]!BexGetData("DP_1","00O2TNJGODT0G5Z4TTKYMM5MT","GSON1112031633")</f>
        <v>#NAME?</v>
      </c>
      <c r="R643" s="24" t="e">
        <f ca="1">[1]!BexGetData("DP_1","00O2TNJGODT0G5Z4TTKYMMBYD","GSON1112031633")</f>
        <v>#NAME?</v>
      </c>
      <c r="S643" s="24" t="e">
        <f ca="1">[1]!BexGetData("DP_1","00O2TNJGODT0G5Z4TTKYMMI9X","GSON1112031633")</f>
        <v>#NAME?</v>
      </c>
      <c r="T643" s="24" t="e">
        <f ca="1">[1]!BexGetData("DP_1","00O2TNJGODT0G5Z4TTKYMMOLH","GSON1112031633")</f>
        <v>#NAME?</v>
      </c>
      <c r="U643" s="24" t="e">
        <f ca="1">[1]!BexGetData("DP_1","00O2TNJGODT0G5Z4TTKYMMUX1","GSON1112031633")</f>
        <v>#NAME?</v>
      </c>
      <c r="V643" s="24" t="e">
        <f ca="1">[1]!BexGetData("DP_1","00O2TNJGODT0G5Z4TTKYMN18L","GSON1112031633")</f>
        <v>#NAME?</v>
      </c>
      <c r="W643" s="24" t="e">
        <f ca="1">[1]!BexGetData("DP_1","00O2TNJGODT0G5Z4TTKYMN7K5","GSON1112031633")</f>
        <v>#NAME?</v>
      </c>
    </row>
    <row r="644" spans="1:23" x14ac:dyDescent="0.2">
      <c r="A644" s="36" t="s">
        <v>2716</v>
      </c>
      <c r="B644" s="27" t="s">
        <v>2717</v>
      </c>
      <c r="C644" s="23" t="e">
        <f ca="1">[1]!BexGetData("DP_1","003N8EMH8GTFRCSWKMPXRR8GU","GSON1112031635")</f>
        <v>#NAME?</v>
      </c>
      <c r="D644" s="23" t="e">
        <f ca="1">[1]!BexGetData("DP_1","003N8EMH8GTFRCSWKMPXRRESE","GSON1112031635")</f>
        <v>#NAME?</v>
      </c>
      <c r="E644" s="28" t="e">
        <f ca="1">[1]!BexGetData("DP_1","003N8EMH8GTFRCSWKMPXRRL3Y","GSON1112031635")</f>
        <v>#NAME?</v>
      </c>
      <c r="F644" s="24" t="e">
        <f ca="1">[1]!BexGetData("DP_1","003N8EMH8GTFRCSWKMPXRRRFI","GSON1112031635")</f>
        <v>#NAME?</v>
      </c>
      <c r="G644" s="24" t="e">
        <f ca="1">[1]!BexGetData("DP_1","003N8EMH8GTFRCSWKMPXRRXR2","GSON1112031635")</f>
        <v>#NAME?</v>
      </c>
      <c r="H644" s="24" t="e">
        <f ca="1">[1]!BexGetData("DP_1","003N8EMH8GTFRCSWKMPXRS42M","GSON1112031635")</f>
        <v>#NAME?</v>
      </c>
      <c r="I644" s="24" t="e">
        <f ca="1">[1]!BexGetData("DP_1","003N8EMH8GTFRCSWKMPXRSAE6","GSON1112031635")</f>
        <v>#NAME?</v>
      </c>
      <c r="J644" s="24" t="e">
        <f ca="1">[1]!BexGetData("DP_1","003N8EMH8GTFRCSWKMPXRSGPQ","GSON1112031635")</f>
        <v>#NAME?</v>
      </c>
      <c r="K644" s="28" t="e">
        <f ca="1">[1]!BexGetData("DP_1","003N8EMH8GTFRIVNUPY288VJH","GSON1112031635")</f>
        <v>#NAME?</v>
      </c>
      <c r="L644" s="28" t="e">
        <f ca="1">[1]!BexGetData("DP_1","003N8EMH8GTFRIVNUPY2891V1","GSON1112031635")</f>
        <v>#NAME?</v>
      </c>
      <c r="M644" s="28" t="e">
        <f ca="1">[1]!BexGetData("DP_1","003N8EMH8GTFRIVOG7KG9IQXA","GSON1112031635")</f>
        <v>#NAME?</v>
      </c>
      <c r="N644" s="28" t="e">
        <f ca="1">[1]!BexGetData("DP_1","003N8EMH8GTFRIVOG7KG9IX8U","GSON1112031635")</f>
        <v>#NAME?</v>
      </c>
      <c r="O644" s="28" t="e">
        <f ca="1">[1]!BexGetData("DP_1","003N8EMH8GTFRIVOG7KG9J3KE","GSON1112031635")</f>
        <v>#NAME?</v>
      </c>
      <c r="P644" s="28" t="e">
        <f ca="1">[1]!BexGetData("DP_1","003N8EMH8GTFRIVOG7KG9J9VY","GSON1112031635")</f>
        <v>#NAME?</v>
      </c>
      <c r="Q644" s="24" t="e">
        <f ca="1">[1]!BexGetData("DP_1","00O2TNJGODT0G5Z4TTKYMM5MT","GSON1112031635")</f>
        <v>#NAME?</v>
      </c>
      <c r="R644" s="24" t="e">
        <f ca="1">[1]!BexGetData("DP_1","00O2TNJGODT0G5Z4TTKYMMBYD","GSON1112031635")</f>
        <v>#NAME?</v>
      </c>
      <c r="S644" s="24" t="e">
        <f ca="1">[1]!BexGetData("DP_1","00O2TNJGODT0G5Z4TTKYMMI9X","GSON1112031635")</f>
        <v>#NAME?</v>
      </c>
      <c r="T644" s="24" t="e">
        <f ca="1">[1]!BexGetData("DP_1","00O2TNJGODT0G5Z4TTKYMMOLH","GSON1112031635")</f>
        <v>#NAME?</v>
      </c>
      <c r="U644" s="24" t="e">
        <f ca="1">[1]!BexGetData("DP_1","00O2TNJGODT0G5Z4TTKYMMUX1","GSON1112031635")</f>
        <v>#NAME?</v>
      </c>
      <c r="V644" s="24" t="e">
        <f ca="1">[1]!BexGetData("DP_1","00O2TNJGODT0G5Z4TTKYMN18L","GSON1112031635")</f>
        <v>#NAME?</v>
      </c>
      <c r="W644" s="24" t="e">
        <f ca="1">[1]!BexGetData("DP_1","00O2TNJGODT0G5Z4TTKYMN7K5","GSON1112031635")</f>
        <v>#NAME?</v>
      </c>
    </row>
    <row r="645" spans="1:23" x14ac:dyDescent="0.2">
      <c r="A645" s="36" t="s">
        <v>2718</v>
      </c>
      <c r="B645" s="27" t="s">
        <v>2719</v>
      </c>
      <c r="C645" s="23" t="e">
        <f ca="1">[1]!BexGetData("DP_1","003N8EMH8GTFRCSWKMPXRR8GU","GSON1112031640")</f>
        <v>#NAME?</v>
      </c>
      <c r="D645" s="28" t="e">
        <f ca="1">[1]!BexGetData("DP_1","003N8EMH8GTFRCSWKMPXRRESE","GSON1112031640")</f>
        <v>#NAME?</v>
      </c>
      <c r="E645" s="23" t="e">
        <f ca="1">[1]!BexGetData("DP_1","003N8EMH8GTFRCSWKMPXRRL3Y","GSON1112031640")</f>
        <v>#NAME?</v>
      </c>
      <c r="F645" s="24" t="e">
        <f ca="1">[1]!BexGetData("DP_1","003N8EMH8GTFRCSWKMPXRRRFI","GSON1112031640")</f>
        <v>#NAME?</v>
      </c>
      <c r="G645" s="24" t="e">
        <f ca="1">[1]!BexGetData("DP_1","003N8EMH8GTFRCSWKMPXRRXR2","GSON1112031640")</f>
        <v>#NAME?</v>
      </c>
      <c r="H645" s="24" t="e">
        <f ca="1">[1]!BexGetData("DP_1","003N8EMH8GTFRCSWKMPXRS42M","GSON1112031640")</f>
        <v>#NAME?</v>
      </c>
      <c r="I645" s="24" t="e">
        <f ca="1">[1]!BexGetData("DP_1","003N8EMH8GTFRCSWKMPXRSAE6","GSON1112031640")</f>
        <v>#NAME?</v>
      </c>
      <c r="J645" s="24" t="e">
        <f ca="1">[1]!BexGetData("DP_1","003N8EMH8GTFRCSWKMPXRSGPQ","GSON1112031640")</f>
        <v>#NAME?</v>
      </c>
      <c r="K645" s="23" t="e">
        <f ca="1">[1]!BexGetData("DP_1","003N8EMH8GTFRIVNUPY288VJH","GSON1112031640")</f>
        <v>#NAME?</v>
      </c>
      <c r="L645" s="23" t="e">
        <f ca="1">[1]!BexGetData("DP_1","003N8EMH8GTFRIVNUPY2891V1","GSON1112031640")</f>
        <v>#NAME?</v>
      </c>
      <c r="M645" s="28" t="e">
        <f ca="1">[1]!BexGetData("DP_1","003N8EMH8GTFRIVOG7KG9IQXA","GSON1112031640")</f>
        <v>#NAME?</v>
      </c>
      <c r="N645" s="23" t="e">
        <f ca="1">[1]!BexGetData("DP_1","003N8EMH8GTFRIVOG7KG9IX8U","GSON1112031640")</f>
        <v>#NAME?</v>
      </c>
      <c r="O645" s="28" t="e">
        <f ca="1">[1]!BexGetData("DP_1","003N8EMH8GTFRIVOG7KG9J3KE","GSON1112031640")</f>
        <v>#NAME?</v>
      </c>
      <c r="P645" s="23" t="e">
        <f ca="1">[1]!BexGetData("DP_1","003N8EMH8GTFRIVOG7KG9J9VY","GSON1112031640")</f>
        <v>#NAME?</v>
      </c>
      <c r="Q645" s="24" t="e">
        <f ca="1">[1]!BexGetData("DP_1","00O2TNJGODT0G5Z4TTKYMM5MT","GSON1112031640")</f>
        <v>#NAME?</v>
      </c>
      <c r="R645" s="24" t="e">
        <f ca="1">[1]!BexGetData("DP_1","00O2TNJGODT0G5Z4TTKYMMBYD","GSON1112031640")</f>
        <v>#NAME?</v>
      </c>
      <c r="S645" s="24" t="e">
        <f ca="1">[1]!BexGetData("DP_1","00O2TNJGODT0G5Z4TTKYMMI9X","GSON1112031640")</f>
        <v>#NAME?</v>
      </c>
      <c r="T645" s="24" t="e">
        <f ca="1">[1]!BexGetData("DP_1","00O2TNJGODT0G5Z4TTKYMMOLH","GSON1112031640")</f>
        <v>#NAME?</v>
      </c>
      <c r="U645" s="24" t="e">
        <f ca="1">[1]!BexGetData("DP_1","00O2TNJGODT0G5Z4TTKYMMUX1","GSON1112031640")</f>
        <v>#NAME?</v>
      </c>
      <c r="V645" s="24" t="e">
        <f ca="1">[1]!BexGetData("DP_1","00O2TNJGODT0G5Z4TTKYMN18L","GSON1112031640")</f>
        <v>#NAME?</v>
      </c>
      <c r="W645" s="24" t="e">
        <f ca="1">[1]!BexGetData("DP_1","00O2TNJGODT0G5Z4TTKYMN7K5","GSON1112031640")</f>
        <v>#NAME?</v>
      </c>
    </row>
    <row r="646" spans="1:23" x14ac:dyDescent="0.2">
      <c r="A646" s="36" t="s">
        <v>2720</v>
      </c>
      <c r="B646" s="27" t="s">
        <v>2721</v>
      </c>
      <c r="C646" s="23" t="e">
        <f ca="1">[1]!BexGetData("DP_1","003N8EMH8GTFRCSWKMPXRR8GU","GSON1112031641")</f>
        <v>#NAME?</v>
      </c>
      <c r="D646" s="23" t="e">
        <f ca="1">[1]!BexGetData("DP_1","003N8EMH8GTFRCSWKMPXRRESE","GSON1112031641")</f>
        <v>#NAME?</v>
      </c>
      <c r="E646" s="28" t="e">
        <f ca="1">[1]!BexGetData("DP_1","003N8EMH8GTFRCSWKMPXRRL3Y","GSON1112031641")</f>
        <v>#NAME?</v>
      </c>
      <c r="F646" s="24" t="e">
        <f ca="1">[1]!BexGetData("DP_1","003N8EMH8GTFRCSWKMPXRRRFI","GSON1112031641")</f>
        <v>#NAME?</v>
      </c>
      <c r="G646" s="24" t="e">
        <f ca="1">[1]!BexGetData("DP_1","003N8EMH8GTFRCSWKMPXRRXR2","GSON1112031641")</f>
        <v>#NAME?</v>
      </c>
      <c r="H646" s="24" t="e">
        <f ca="1">[1]!BexGetData("DP_1","003N8EMH8GTFRCSWKMPXRS42M","GSON1112031641")</f>
        <v>#NAME?</v>
      </c>
      <c r="I646" s="24" t="e">
        <f ca="1">[1]!BexGetData("DP_1","003N8EMH8GTFRCSWKMPXRSAE6","GSON1112031641")</f>
        <v>#NAME?</v>
      </c>
      <c r="J646" s="24" t="e">
        <f ca="1">[1]!BexGetData("DP_1","003N8EMH8GTFRCSWKMPXRSGPQ","GSON1112031641")</f>
        <v>#NAME?</v>
      </c>
      <c r="K646" s="28" t="e">
        <f ca="1">[1]!BexGetData("DP_1","003N8EMH8GTFRIVNUPY288VJH","GSON1112031641")</f>
        <v>#NAME?</v>
      </c>
      <c r="L646" s="28" t="e">
        <f ca="1">[1]!BexGetData("DP_1","003N8EMH8GTFRIVNUPY2891V1","GSON1112031641")</f>
        <v>#NAME?</v>
      </c>
      <c r="M646" s="28" t="e">
        <f ca="1">[1]!BexGetData("DP_1","003N8EMH8GTFRIVOG7KG9IQXA","GSON1112031641")</f>
        <v>#NAME?</v>
      </c>
      <c r="N646" s="28" t="e">
        <f ca="1">[1]!BexGetData("DP_1","003N8EMH8GTFRIVOG7KG9IX8U","GSON1112031641")</f>
        <v>#NAME?</v>
      </c>
      <c r="O646" s="28" t="e">
        <f ca="1">[1]!BexGetData("DP_1","003N8EMH8GTFRIVOG7KG9J3KE","GSON1112031641")</f>
        <v>#NAME?</v>
      </c>
      <c r="P646" s="28" t="e">
        <f ca="1">[1]!BexGetData("DP_1","003N8EMH8GTFRIVOG7KG9J9VY","GSON1112031641")</f>
        <v>#NAME?</v>
      </c>
      <c r="Q646" s="24" t="e">
        <f ca="1">[1]!BexGetData("DP_1","00O2TNJGODT0G5Z4TTKYMM5MT","GSON1112031641")</f>
        <v>#NAME?</v>
      </c>
      <c r="R646" s="24" t="e">
        <f ca="1">[1]!BexGetData("DP_1","00O2TNJGODT0G5Z4TTKYMMBYD","GSON1112031641")</f>
        <v>#NAME?</v>
      </c>
      <c r="S646" s="24" t="e">
        <f ca="1">[1]!BexGetData("DP_1","00O2TNJGODT0G5Z4TTKYMMI9X","GSON1112031641")</f>
        <v>#NAME?</v>
      </c>
      <c r="T646" s="24" t="e">
        <f ca="1">[1]!BexGetData("DP_1","00O2TNJGODT0G5Z4TTKYMMOLH","GSON1112031641")</f>
        <v>#NAME?</v>
      </c>
      <c r="U646" s="24" t="e">
        <f ca="1">[1]!BexGetData("DP_1","00O2TNJGODT0G5Z4TTKYMMUX1","GSON1112031641")</f>
        <v>#NAME?</v>
      </c>
      <c r="V646" s="24" t="e">
        <f ca="1">[1]!BexGetData("DP_1","00O2TNJGODT0G5Z4TTKYMN18L","GSON1112031641")</f>
        <v>#NAME?</v>
      </c>
      <c r="W646" s="24" t="e">
        <f ca="1">[1]!BexGetData("DP_1","00O2TNJGODT0G5Z4TTKYMN7K5","GSON1112031641")</f>
        <v>#NAME?</v>
      </c>
    </row>
    <row r="647" spans="1:23" x14ac:dyDescent="0.2">
      <c r="A647" s="36" t="s">
        <v>2722</v>
      </c>
      <c r="B647" s="27" t="s">
        <v>2723</v>
      </c>
      <c r="C647" s="28" t="e">
        <f ca="1">[1]!BexGetData("DP_1","003N8EMH8GTFRCSWKMPXRR8GU","GSON1112031643")</f>
        <v>#NAME?</v>
      </c>
      <c r="D647" s="23" t="e">
        <f ca="1">[1]!BexGetData("DP_1","003N8EMH8GTFRCSWKMPXRRESE","GSON1112031643")</f>
        <v>#NAME?</v>
      </c>
      <c r="E647" s="23" t="e">
        <f ca="1">[1]!BexGetData("DP_1","003N8EMH8GTFRCSWKMPXRRL3Y","GSON1112031643")</f>
        <v>#NAME?</v>
      </c>
      <c r="F647" s="24" t="e">
        <f ca="1">[1]!BexGetData("DP_1","003N8EMH8GTFRCSWKMPXRRRFI","GSON1112031643")</f>
        <v>#NAME?</v>
      </c>
      <c r="G647" s="24" t="e">
        <f ca="1">[1]!BexGetData("DP_1","003N8EMH8GTFRCSWKMPXRRXR2","GSON1112031643")</f>
        <v>#NAME?</v>
      </c>
      <c r="H647" s="24" t="e">
        <f ca="1">[1]!BexGetData("DP_1","003N8EMH8GTFRCSWKMPXRS42M","GSON1112031643")</f>
        <v>#NAME?</v>
      </c>
      <c r="I647" s="24" t="e">
        <f ca="1">[1]!BexGetData("DP_1","003N8EMH8GTFRCSWKMPXRSAE6","GSON1112031643")</f>
        <v>#NAME?</v>
      </c>
      <c r="J647" s="24" t="e">
        <f ca="1">[1]!BexGetData("DP_1","003N8EMH8GTFRCSWKMPXRSGPQ","GSON1112031643")</f>
        <v>#NAME?</v>
      </c>
      <c r="K647" s="23" t="e">
        <f ca="1">[1]!BexGetData("DP_1","003N8EMH8GTFRIVNUPY288VJH","GSON1112031643")</f>
        <v>#NAME?</v>
      </c>
      <c r="L647" s="23" t="e">
        <f ca="1">[1]!BexGetData("DP_1","003N8EMH8GTFRIVNUPY2891V1","GSON1112031643")</f>
        <v>#NAME?</v>
      </c>
      <c r="M647" s="23" t="e">
        <f ca="1">[1]!BexGetData("DP_1","003N8EMH8GTFRIVOG7KG9IQXA","GSON1112031643")</f>
        <v>#NAME?</v>
      </c>
      <c r="N647" s="28" t="e">
        <f ca="1">[1]!BexGetData("DP_1","003N8EMH8GTFRIVOG7KG9IX8U","GSON1112031643")</f>
        <v>#NAME?</v>
      </c>
      <c r="O647" s="23" t="e">
        <f ca="1">[1]!BexGetData("DP_1","003N8EMH8GTFRIVOG7KG9J3KE","GSON1112031643")</f>
        <v>#NAME?</v>
      </c>
      <c r="P647" s="28" t="e">
        <f ca="1">[1]!BexGetData("DP_1","003N8EMH8GTFRIVOG7KG9J9VY","GSON1112031643")</f>
        <v>#NAME?</v>
      </c>
      <c r="Q647" s="24" t="e">
        <f ca="1">[1]!BexGetData("DP_1","00O2TNJGODT0G5Z4TTKYMM5MT","GSON1112031643")</f>
        <v>#NAME?</v>
      </c>
      <c r="R647" s="24" t="e">
        <f ca="1">[1]!BexGetData("DP_1","00O2TNJGODT0G5Z4TTKYMMBYD","GSON1112031643")</f>
        <v>#NAME?</v>
      </c>
      <c r="S647" s="24" t="e">
        <f ca="1">[1]!BexGetData("DP_1","00O2TNJGODT0G5Z4TTKYMMI9X","GSON1112031643")</f>
        <v>#NAME?</v>
      </c>
      <c r="T647" s="24" t="e">
        <f ca="1">[1]!BexGetData("DP_1","00O2TNJGODT0G5Z4TTKYMMOLH","GSON1112031643")</f>
        <v>#NAME?</v>
      </c>
      <c r="U647" s="24" t="e">
        <f ca="1">[1]!BexGetData("DP_1","00O2TNJGODT0G5Z4TTKYMMUX1","GSON1112031643")</f>
        <v>#NAME?</v>
      </c>
      <c r="V647" s="24" t="e">
        <f ca="1">[1]!BexGetData("DP_1","00O2TNJGODT0G5Z4TTKYMN18L","GSON1112031643")</f>
        <v>#NAME?</v>
      </c>
      <c r="W647" s="24" t="e">
        <f ca="1">[1]!BexGetData("DP_1","00O2TNJGODT0G5Z4TTKYMN7K5","GSON1112031643")</f>
        <v>#NAME?</v>
      </c>
    </row>
    <row r="648" spans="1:23" x14ac:dyDescent="0.2">
      <c r="A648" s="36" t="s">
        <v>2724</v>
      </c>
      <c r="B648" s="27" t="s">
        <v>2725</v>
      </c>
      <c r="C648" s="23" t="e">
        <f ca="1">[1]!BexGetData("DP_1","003N8EMH8GTFRCSWKMPXRR8GU","GSON1112031645")</f>
        <v>#NAME?</v>
      </c>
      <c r="D648" s="23" t="e">
        <f ca="1">[1]!BexGetData("DP_1","003N8EMH8GTFRCSWKMPXRRESE","GSON1112031645")</f>
        <v>#NAME?</v>
      </c>
      <c r="E648" s="28" t="e">
        <f ca="1">[1]!BexGetData("DP_1","003N8EMH8GTFRCSWKMPXRRL3Y","GSON1112031645")</f>
        <v>#NAME?</v>
      </c>
      <c r="F648" s="24" t="e">
        <f ca="1">[1]!BexGetData("DP_1","003N8EMH8GTFRCSWKMPXRRRFI","GSON1112031645")</f>
        <v>#NAME?</v>
      </c>
      <c r="G648" s="24" t="e">
        <f ca="1">[1]!BexGetData("DP_1","003N8EMH8GTFRCSWKMPXRRXR2","GSON1112031645")</f>
        <v>#NAME?</v>
      </c>
      <c r="H648" s="24" t="e">
        <f ca="1">[1]!BexGetData("DP_1","003N8EMH8GTFRCSWKMPXRS42M","GSON1112031645")</f>
        <v>#NAME?</v>
      </c>
      <c r="I648" s="24" t="e">
        <f ca="1">[1]!BexGetData("DP_1","003N8EMH8GTFRCSWKMPXRSAE6","GSON1112031645")</f>
        <v>#NAME?</v>
      </c>
      <c r="J648" s="24" t="e">
        <f ca="1">[1]!BexGetData("DP_1","003N8EMH8GTFRCSWKMPXRSGPQ","GSON1112031645")</f>
        <v>#NAME?</v>
      </c>
      <c r="K648" s="28" t="e">
        <f ca="1">[1]!BexGetData("DP_1","003N8EMH8GTFRIVNUPY288VJH","GSON1112031645")</f>
        <v>#NAME?</v>
      </c>
      <c r="L648" s="28" t="e">
        <f ca="1">[1]!BexGetData("DP_1","003N8EMH8GTFRIVNUPY2891V1","GSON1112031645")</f>
        <v>#NAME?</v>
      </c>
      <c r="M648" s="28" t="e">
        <f ca="1">[1]!BexGetData("DP_1","003N8EMH8GTFRIVOG7KG9IQXA","GSON1112031645")</f>
        <v>#NAME?</v>
      </c>
      <c r="N648" s="28" t="e">
        <f ca="1">[1]!BexGetData("DP_1","003N8EMH8GTFRIVOG7KG9IX8U","GSON1112031645")</f>
        <v>#NAME?</v>
      </c>
      <c r="O648" s="28" t="e">
        <f ca="1">[1]!BexGetData("DP_1","003N8EMH8GTFRIVOG7KG9J3KE","GSON1112031645")</f>
        <v>#NAME?</v>
      </c>
      <c r="P648" s="28" t="e">
        <f ca="1">[1]!BexGetData("DP_1","003N8EMH8GTFRIVOG7KG9J9VY","GSON1112031645")</f>
        <v>#NAME?</v>
      </c>
      <c r="Q648" s="24" t="e">
        <f ca="1">[1]!BexGetData("DP_1","00O2TNJGODT0G5Z4TTKYMM5MT","GSON1112031645")</f>
        <v>#NAME?</v>
      </c>
      <c r="R648" s="24" t="e">
        <f ca="1">[1]!BexGetData("DP_1","00O2TNJGODT0G5Z4TTKYMMBYD","GSON1112031645")</f>
        <v>#NAME?</v>
      </c>
      <c r="S648" s="24" t="e">
        <f ca="1">[1]!BexGetData("DP_1","00O2TNJGODT0G5Z4TTKYMMI9X","GSON1112031645")</f>
        <v>#NAME?</v>
      </c>
      <c r="T648" s="24" t="e">
        <f ca="1">[1]!BexGetData("DP_1","00O2TNJGODT0G5Z4TTKYMMOLH","GSON1112031645")</f>
        <v>#NAME?</v>
      </c>
      <c r="U648" s="24" t="e">
        <f ca="1">[1]!BexGetData("DP_1","00O2TNJGODT0G5Z4TTKYMMUX1","GSON1112031645")</f>
        <v>#NAME?</v>
      </c>
      <c r="V648" s="24" t="e">
        <f ca="1">[1]!BexGetData("DP_1","00O2TNJGODT0G5Z4TTKYMN18L","GSON1112031645")</f>
        <v>#NAME?</v>
      </c>
      <c r="W648" s="24" t="e">
        <f ca="1">[1]!BexGetData("DP_1","00O2TNJGODT0G5Z4TTKYMN7K5","GSON1112031645")</f>
        <v>#NAME?</v>
      </c>
    </row>
    <row r="649" spans="1:23" x14ac:dyDescent="0.2">
      <c r="A649" s="36" t="s">
        <v>2726</v>
      </c>
      <c r="B649" s="27" t="s">
        <v>2727</v>
      </c>
      <c r="C649" s="23" t="e">
        <f ca="1">[1]!BexGetData("DP_1","003N8EMH8GTFRCSWKMPXRR8GU","GSON1112031650")</f>
        <v>#NAME?</v>
      </c>
      <c r="D649" s="23" t="e">
        <f ca="1">[1]!BexGetData("DP_1","003N8EMH8GTFRCSWKMPXRRESE","GSON1112031650")</f>
        <v>#NAME?</v>
      </c>
      <c r="E649" s="23" t="e">
        <f ca="1">[1]!BexGetData("DP_1","003N8EMH8GTFRCSWKMPXRRL3Y","GSON1112031650")</f>
        <v>#NAME?</v>
      </c>
      <c r="F649" s="24" t="e">
        <f ca="1">[1]!BexGetData("DP_1","003N8EMH8GTFRCSWKMPXRRRFI","GSON1112031650")</f>
        <v>#NAME?</v>
      </c>
      <c r="G649" s="24" t="e">
        <f ca="1">[1]!BexGetData("DP_1","003N8EMH8GTFRCSWKMPXRRXR2","GSON1112031650")</f>
        <v>#NAME?</v>
      </c>
      <c r="H649" s="24" t="e">
        <f ca="1">[1]!BexGetData("DP_1","003N8EMH8GTFRCSWKMPXRS42M","GSON1112031650")</f>
        <v>#NAME?</v>
      </c>
      <c r="I649" s="24" t="e">
        <f ca="1">[1]!BexGetData("DP_1","003N8EMH8GTFRCSWKMPXRSAE6","GSON1112031650")</f>
        <v>#NAME?</v>
      </c>
      <c r="J649" s="24" t="e">
        <f ca="1">[1]!BexGetData("DP_1","003N8EMH8GTFRCSWKMPXRSGPQ","GSON1112031650")</f>
        <v>#NAME?</v>
      </c>
      <c r="K649" s="23" t="e">
        <f ca="1">[1]!BexGetData("DP_1","003N8EMH8GTFRIVNUPY288VJH","GSON1112031650")</f>
        <v>#NAME?</v>
      </c>
      <c r="L649" s="23" t="e">
        <f ca="1">[1]!BexGetData("DP_1","003N8EMH8GTFRIVNUPY2891V1","GSON1112031650")</f>
        <v>#NAME?</v>
      </c>
      <c r="M649" s="28" t="e">
        <f ca="1">[1]!BexGetData("DP_1","003N8EMH8GTFRIVOG7KG9IQXA","GSON1112031650")</f>
        <v>#NAME?</v>
      </c>
      <c r="N649" s="23" t="e">
        <f ca="1">[1]!BexGetData("DP_1","003N8EMH8GTFRIVOG7KG9IX8U","GSON1112031650")</f>
        <v>#NAME?</v>
      </c>
      <c r="O649" s="28" t="e">
        <f ca="1">[1]!BexGetData("DP_1","003N8EMH8GTFRIVOG7KG9J3KE","GSON1112031650")</f>
        <v>#NAME?</v>
      </c>
      <c r="P649" s="23" t="e">
        <f ca="1">[1]!BexGetData("DP_1","003N8EMH8GTFRIVOG7KG9J9VY","GSON1112031650")</f>
        <v>#NAME?</v>
      </c>
      <c r="Q649" s="24" t="e">
        <f ca="1">[1]!BexGetData("DP_1","00O2TNJGODT0G5Z4TTKYMM5MT","GSON1112031650")</f>
        <v>#NAME?</v>
      </c>
      <c r="R649" s="24" t="e">
        <f ca="1">[1]!BexGetData("DP_1","00O2TNJGODT0G5Z4TTKYMMBYD","GSON1112031650")</f>
        <v>#NAME?</v>
      </c>
      <c r="S649" s="24" t="e">
        <f ca="1">[1]!BexGetData("DP_1","00O2TNJGODT0G5Z4TTKYMMI9X","GSON1112031650")</f>
        <v>#NAME?</v>
      </c>
      <c r="T649" s="24" t="e">
        <f ca="1">[1]!BexGetData("DP_1","00O2TNJGODT0G5Z4TTKYMMOLH","GSON1112031650")</f>
        <v>#NAME?</v>
      </c>
      <c r="U649" s="24" t="e">
        <f ca="1">[1]!BexGetData("DP_1","00O2TNJGODT0G5Z4TTKYMMUX1","GSON1112031650")</f>
        <v>#NAME?</v>
      </c>
      <c r="V649" s="24" t="e">
        <f ca="1">[1]!BexGetData("DP_1","00O2TNJGODT0G5Z4TTKYMN18L","GSON1112031650")</f>
        <v>#NAME?</v>
      </c>
      <c r="W649" s="24" t="e">
        <f ca="1">[1]!BexGetData("DP_1","00O2TNJGODT0G5Z4TTKYMN7K5","GSON1112031650")</f>
        <v>#NAME?</v>
      </c>
    </row>
    <row r="650" spans="1:23" x14ac:dyDescent="0.2">
      <c r="A650" s="36" t="s">
        <v>2728</v>
      </c>
      <c r="B650" s="27" t="s">
        <v>2729</v>
      </c>
      <c r="C650" s="23" t="e">
        <f ca="1">[1]!BexGetData("DP_1","003N8EMH8GTFRCSWKMPXRR8GU","GSON1112031651")</f>
        <v>#NAME?</v>
      </c>
      <c r="D650" s="23" t="e">
        <f ca="1">[1]!BexGetData("DP_1","003N8EMH8GTFRCSWKMPXRRESE","GSON1112031651")</f>
        <v>#NAME?</v>
      </c>
      <c r="E650" s="28" t="e">
        <f ca="1">[1]!BexGetData("DP_1","003N8EMH8GTFRCSWKMPXRRL3Y","GSON1112031651")</f>
        <v>#NAME?</v>
      </c>
      <c r="F650" s="24" t="e">
        <f ca="1">[1]!BexGetData("DP_1","003N8EMH8GTFRCSWKMPXRRRFI","GSON1112031651")</f>
        <v>#NAME?</v>
      </c>
      <c r="G650" s="24" t="e">
        <f ca="1">[1]!BexGetData("DP_1","003N8EMH8GTFRCSWKMPXRRXR2","GSON1112031651")</f>
        <v>#NAME?</v>
      </c>
      <c r="H650" s="24" t="e">
        <f ca="1">[1]!BexGetData("DP_1","003N8EMH8GTFRCSWKMPXRS42M","GSON1112031651")</f>
        <v>#NAME?</v>
      </c>
      <c r="I650" s="24" t="e">
        <f ca="1">[1]!BexGetData("DP_1","003N8EMH8GTFRCSWKMPXRSAE6","GSON1112031651")</f>
        <v>#NAME?</v>
      </c>
      <c r="J650" s="24" t="e">
        <f ca="1">[1]!BexGetData("DP_1","003N8EMH8GTFRCSWKMPXRSGPQ","GSON1112031651")</f>
        <v>#NAME?</v>
      </c>
      <c r="K650" s="28" t="e">
        <f ca="1">[1]!BexGetData("DP_1","003N8EMH8GTFRIVNUPY288VJH","GSON1112031651")</f>
        <v>#NAME?</v>
      </c>
      <c r="L650" s="28" t="e">
        <f ca="1">[1]!BexGetData("DP_1","003N8EMH8GTFRIVNUPY2891V1","GSON1112031651")</f>
        <v>#NAME?</v>
      </c>
      <c r="M650" s="28" t="e">
        <f ca="1">[1]!BexGetData("DP_1","003N8EMH8GTFRIVOG7KG9IQXA","GSON1112031651")</f>
        <v>#NAME?</v>
      </c>
      <c r="N650" s="28" t="e">
        <f ca="1">[1]!BexGetData("DP_1","003N8EMH8GTFRIVOG7KG9IX8U","GSON1112031651")</f>
        <v>#NAME?</v>
      </c>
      <c r="O650" s="28" t="e">
        <f ca="1">[1]!BexGetData("DP_1","003N8EMH8GTFRIVOG7KG9J3KE","GSON1112031651")</f>
        <v>#NAME?</v>
      </c>
      <c r="P650" s="28" t="e">
        <f ca="1">[1]!BexGetData("DP_1","003N8EMH8GTFRIVOG7KG9J9VY","GSON1112031651")</f>
        <v>#NAME?</v>
      </c>
      <c r="Q650" s="24" t="e">
        <f ca="1">[1]!BexGetData("DP_1","00O2TNJGODT0G5Z4TTKYMM5MT","GSON1112031651")</f>
        <v>#NAME?</v>
      </c>
      <c r="R650" s="24" t="e">
        <f ca="1">[1]!BexGetData("DP_1","00O2TNJGODT0G5Z4TTKYMMBYD","GSON1112031651")</f>
        <v>#NAME?</v>
      </c>
      <c r="S650" s="24" t="e">
        <f ca="1">[1]!BexGetData("DP_1","00O2TNJGODT0G5Z4TTKYMMI9X","GSON1112031651")</f>
        <v>#NAME?</v>
      </c>
      <c r="T650" s="24" t="e">
        <f ca="1">[1]!BexGetData("DP_1","00O2TNJGODT0G5Z4TTKYMMOLH","GSON1112031651")</f>
        <v>#NAME?</v>
      </c>
      <c r="U650" s="24" t="e">
        <f ca="1">[1]!BexGetData("DP_1","00O2TNJGODT0G5Z4TTKYMMUX1","GSON1112031651")</f>
        <v>#NAME?</v>
      </c>
      <c r="V650" s="24" t="e">
        <f ca="1">[1]!BexGetData("DP_1","00O2TNJGODT0G5Z4TTKYMN18L","GSON1112031651")</f>
        <v>#NAME?</v>
      </c>
      <c r="W650" s="24" t="e">
        <f ca="1">[1]!BexGetData("DP_1","00O2TNJGODT0G5Z4TTKYMN7K5","GSON1112031651")</f>
        <v>#NAME?</v>
      </c>
    </row>
    <row r="651" spans="1:23" x14ac:dyDescent="0.2">
      <c r="A651" s="36" t="s">
        <v>2730</v>
      </c>
      <c r="B651" s="27" t="s">
        <v>2731</v>
      </c>
      <c r="C651" s="23" t="e">
        <f ca="1">[1]!BexGetData("DP_1","003N8EMH8GTFRCSWKMPXRR8GU","GSON1112031652")</f>
        <v>#NAME?</v>
      </c>
      <c r="D651" s="23" t="e">
        <f ca="1">[1]!BexGetData("DP_1","003N8EMH8GTFRCSWKMPXRRESE","GSON1112031652")</f>
        <v>#NAME?</v>
      </c>
      <c r="E651" s="28" t="e">
        <f ca="1">[1]!BexGetData("DP_1","003N8EMH8GTFRCSWKMPXRRL3Y","GSON1112031652")</f>
        <v>#NAME?</v>
      </c>
      <c r="F651" s="24" t="e">
        <f ca="1">[1]!BexGetData("DP_1","003N8EMH8GTFRCSWKMPXRRRFI","GSON1112031652")</f>
        <v>#NAME?</v>
      </c>
      <c r="G651" s="24" t="e">
        <f ca="1">[1]!BexGetData("DP_1","003N8EMH8GTFRCSWKMPXRRXR2","GSON1112031652")</f>
        <v>#NAME?</v>
      </c>
      <c r="H651" s="24" t="e">
        <f ca="1">[1]!BexGetData("DP_1","003N8EMH8GTFRCSWKMPXRS42M","GSON1112031652")</f>
        <v>#NAME?</v>
      </c>
      <c r="I651" s="24" t="e">
        <f ca="1">[1]!BexGetData("DP_1","003N8EMH8GTFRCSWKMPXRSAE6","GSON1112031652")</f>
        <v>#NAME?</v>
      </c>
      <c r="J651" s="24" t="e">
        <f ca="1">[1]!BexGetData("DP_1","003N8EMH8GTFRCSWKMPXRSGPQ","GSON1112031652")</f>
        <v>#NAME?</v>
      </c>
      <c r="K651" s="28" t="e">
        <f ca="1">[1]!BexGetData("DP_1","003N8EMH8GTFRIVNUPY288VJH","GSON1112031652")</f>
        <v>#NAME?</v>
      </c>
      <c r="L651" s="28" t="e">
        <f ca="1">[1]!BexGetData("DP_1","003N8EMH8GTFRIVNUPY2891V1","GSON1112031652")</f>
        <v>#NAME?</v>
      </c>
      <c r="M651" s="28" t="e">
        <f ca="1">[1]!BexGetData("DP_1","003N8EMH8GTFRIVOG7KG9IQXA","GSON1112031652")</f>
        <v>#NAME?</v>
      </c>
      <c r="N651" s="28" t="e">
        <f ca="1">[1]!BexGetData("DP_1","003N8EMH8GTFRIVOG7KG9IX8U","GSON1112031652")</f>
        <v>#NAME?</v>
      </c>
      <c r="O651" s="28" t="e">
        <f ca="1">[1]!BexGetData("DP_1","003N8EMH8GTFRIVOG7KG9J3KE","GSON1112031652")</f>
        <v>#NAME?</v>
      </c>
      <c r="P651" s="28" t="e">
        <f ca="1">[1]!BexGetData("DP_1","003N8EMH8GTFRIVOG7KG9J9VY","GSON1112031652")</f>
        <v>#NAME?</v>
      </c>
      <c r="Q651" s="24" t="e">
        <f ca="1">[1]!BexGetData("DP_1","00O2TNJGODT0G5Z4TTKYMM5MT","GSON1112031652")</f>
        <v>#NAME?</v>
      </c>
      <c r="R651" s="24" t="e">
        <f ca="1">[1]!BexGetData("DP_1","00O2TNJGODT0G5Z4TTKYMMBYD","GSON1112031652")</f>
        <v>#NAME?</v>
      </c>
      <c r="S651" s="24" t="e">
        <f ca="1">[1]!BexGetData("DP_1","00O2TNJGODT0G5Z4TTKYMMI9X","GSON1112031652")</f>
        <v>#NAME?</v>
      </c>
      <c r="T651" s="24" t="e">
        <f ca="1">[1]!BexGetData("DP_1","00O2TNJGODT0G5Z4TTKYMMOLH","GSON1112031652")</f>
        <v>#NAME?</v>
      </c>
      <c r="U651" s="24" t="e">
        <f ca="1">[1]!BexGetData("DP_1","00O2TNJGODT0G5Z4TTKYMMUX1","GSON1112031652")</f>
        <v>#NAME?</v>
      </c>
      <c r="V651" s="24" t="e">
        <f ca="1">[1]!BexGetData("DP_1","00O2TNJGODT0G5Z4TTKYMN18L","GSON1112031652")</f>
        <v>#NAME?</v>
      </c>
      <c r="W651" s="24" t="e">
        <f ca="1">[1]!BexGetData("DP_1","00O2TNJGODT0G5Z4TTKYMN7K5","GSON1112031652")</f>
        <v>#NAME?</v>
      </c>
    </row>
    <row r="652" spans="1:23" x14ac:dyDescent="0.2">
      <c r="A652" s="36" t="s">
        <v>2732</v>
      </c>
      <c r="B652" s="27" t="s">
        <v>2733</v>
      </c>
      <c r="C652" s="23" t="e">
        <f ca="1">[1]!BexGetData("DP_1","003N8EMH8GTFRCSWKMPXRR8GU","GSON1112031653")</f>
        <v>#NAME?</v>
      </c>
      <c r="D652" s="23" t="e">
        <f ca="1">[1]!BexGetData("DP_1","003N8EMH8GTFRCSWKMPXRRESE","GSON1112031653")</f>
        <v>#NAME?</v>
      </c>
      <c r="E652" s="28" t="e">
        <f ca="1">[1]!BexGetData("DP_1","003N8EMH8GTFRCSWKMPXRRL3Y","GSON1112031653")</f>
        <v>#NAME?</v>
      </c>
      <c r="F652" s="24" t="e">
        <f ca="1">[1]!BexGetData("DP_1","003N8EMH8GTFRCSWKMPXRRRFI","GSON1112031653")</f>
        <v>#NAME?</v>
      </c>
      <c r="G652" s="24" t="e">
        <f ca="1">[1]!BexGetData("DP_1","003N8EMH8GTFRCSWKMPXRRXR2","GSON1112031653")</f>
        <v>#NAME?</v>
      </c>
      <c r="H652" s="24" t="e">
        <f ca="1">[1]!BexGetData("DP_1","003N8EMH8GTFRCSWKMPXRS42M","GSON1112031653")</f>
        <v>#NAME?</v>
      </c>
      <c r="I652" s="24" t="e">
        <f ca="1">[1]!BexGetData("DP_1","003N8EMH8GTFRCSWKMPXRSAE6","GSON1112031653")</f>
        <v>#NAME?</v>
      </c>
      <c r="J652" s="24" t="e">
        <f ca="1">[1]!BexGetData("DP_1","003N8EMH8GTFRCSWKMPXRSGPQ","GSON1112031653")</f>
        <v>#NAME?</v>
      </c>
      <c r="K652" s="28" t="e">
        <f ca="1">[1]!BexGetData("DP_1","003N8EMH8GTFRIVNUPY288VJH","GSON1112031653")</f>
        <v>#NAME?</v>
      </c>
      <c r="L652" s="28" t="e">
        <f ca="1">[1]!BexGetData("DP_1","003N8EMH8GTFRIVNUPY2891V1","GSON1112031653")</f>
        <v>#NAME?</v>
      </c>
      <c r="M652" s="28" t="e">
        <f ca="1">[1]!BexGetData("DP_1","003N8EMH8GTFRIVOG7KG9IQXA","GSON1112031653")</f>
        <v>#NAME?</v>
      </c>
      <c r="N652" s="28" t="e">
        <f ca="1">[1]!BexGetData("DP_1","003N8EMH8GTFRIVOG7KG9IX8U","GSON1112031653")</f>
        <v>#NAME?</v>
      </c>
      <c r="O652" s="28" t="e">
        <f ca="1">[1]!BexGetData("DP_1","003N8EMH8GTFRIVOG7KG9J3KE","GSON1112031653")</f>
        <v>#NAME?</v>
      </c>
      <c r="P652" s="28" t="e">
        <f ca="1">[1]!BexGetData("DP_1","003N8EMH8GTFRIVOG7KG9J9VY","GSON1112031653")</f>
        <v>#NAME?</v>
      </c>
      <c r="Q652" s="24" t="e">
        <f ca="1">[1]!BexGetData("DP_1","00O2TNJGODT0G5Z4TTKYMM5MT","GSON1112031653")</f>
        <v>#NAME?</v>
      </c>
      <c r="R652" s="24" t="e">
        <f ca="1">[1]!BexGetData("DP_1","00O2TNJGODT0G5Z4TTKYMMBYD","GSON1112031653")</f>
        <v>#NAME?</v>
      </c>
      <c r="S652" s="24" t="e">
        <f ca="1">[1]!BexGetData("DP_1","00O2TNJGODT0G5Z4TTKYMMI9X","GSON1112031653")</f>
        <v>#NAME?</v>
      </c>
      <c r="T652" s="24" t="e">
        <f ca="1">[1]!BexGetData("DP_1","00O2TNJGODT0G5Z4TTKYMMOLH","GSON1112031653")</f>
        <v>#NAME?</v>
      </c>
      <c r="U652" s="24" t="e">
        <f ca="1">[1]!BexGetData("DP_1","00O2TNJGODT0G5Z4TTKYMMUX1","GSON1112031653")</f>
        <v>#NAME?</v>
      </c>
      <c r="V652" s="24" t="e">
        <f ca="1">[1]!BexGetData("DP_1","00O2TNJGODT0G5Z4TTKYMN18L","GSON1112031653")</f>
        <v>#NAME?</v>
      </c>
      <c r="W652" s="24" t="e">
        <f ca="1">[1]!BexGetData("DP_1","00O2TNJGODT0G5Z4TTKYMN7K5","GSON1112031653")</f>
        <v>#NAME?</v>
      </c>
    </row>
    <row r="653" spans="1:23" x14ac:dyDescent="0.2">
      <c r="A653" s="36" t="s">
        <v>2734</v>
      </c>
      <c r="B653" s="27" t="s">
        <v>2735</v>
      </c>
      <c r="C653" s="23" t="e">
        <f ca="1">[1]!BexGetData("DP_1","003N8EMH8GTFRCSWKMPXRR8GU","GSON1112031660")</f>
        <v>#NAME?</v>
      </c>
      <c r="D653" s="28" t="e">
        <f ca="1">[1]!BexGetData("DP_1","003N8EMH8GTFRCSWKMPXRRESE","GSON1112031660")</f>
        <v>#NAME?</v>
      </c>
      <c r="E653" s="23" t="e">
        <f ca="1">[1]!BexGetData("DP_1","003N8EMH8GTFRCSWKMPXRRL3Y","GSON1112031660")</f>
        <v>#NAME?</v>
      </c>
      <c r="F653" s="24" t="e">
        <f ca="1">[1]!BexGetData("DP_1","003N8EMH8GTFRCSWKMPXRRRFI","GSON1112031660")</f>
        <v>#NAME?</v>
      </c>
      <c r="G653" s="24" t="e">
        <f ca="1">[1]!BexGetData("DP_1","003N8EMH8GTFRCSWKMPXRRXR2","GSON1112031660")</f>
        <v>#NAME?</v>
      </c>
      <c r="H653" s="24" t="e">
        <f ca="1">[1]!BexGetData("DP_1","003N8EMH8GTFRCSWKMPXRS42M","GSON1112031660")</f>
        <v>#NAME?</v>
      </c>
      <c r="I653" s="24" t="e">
        <f ca="1">[1]!BexGetData("DP_1","003N8EMH8GTFRCSWKMPXRSAE6","GSON1112031660")</f>
        <v>#NAME?</v>
      </c>
      <c r="J653" s="24" t="e">
        <f ca="1">[1]!BexGetData("DP_1","003N8EMH8GTFRCSWKMPXRSGPQ","GSON1112031660")</f>
        <v>#NAME?</v>
      </c>
      <c r="K653" s="23" t="e">
        <f ca="1">[1]!BexGetData("DP_1","003N8EMH8GTFRIVNUPY288VJH","GSON1112031660")</f>
        <v>#NAME?</v>
      </c>
      <c r="L653" s="23" t="e">
        <f ca="1">[1]!BexGetData("DP_1","003N8EMH8GTFRIVNUPY2891V1","GSON1112031660")</f>
        <v>#NAME?</v>
      </c>
      <c r="M653" s="28" t="e">
        <f ca="1">[1]!BexGetData("DP_1","003N8EMH8GTFRIVOG7KG9IQXA","GSON1112031660")</f>
        <v>#NAME?</v>
      </c>
      <c r="N653" s="23" t="e">
        <f ca="1">[1]!BexGetData("DP_1","003N8EMH8GTFRIVOG7KG9IX8U","GSON1112031660")</f>
        <v>#NAME?</v>
      </c>
      <c r="O653" s="28" t="e">
        <f ca="1">[1]!BexGetData("DP_1","003N8EMH8GTFRIVOG7KG9J3KE","GSON1112031660")</f>
        <v>#NAME?</v>
      </c>
      <c r="P653" s="23" t="e">
        <f ca="1">[1]!BexGetData("DP_1","003N8EMH8GTFRIVOG7KG9J9VY","GSON1112031660")</f>
        <v>#NAME?</v>
      </c>
      <c r="Q653" s="24" t="e">
        <f ca="1">[1]!BexGetData("DP_1","00O2TNJGODT0G5Z4TTKYMM5MT","GSON1112031660")</f>
        <v>#NAME?</v>
      </c>
      <c r="R653" s="24" t="e">
        <f ca="1">[1]!BexGetData("DP_1","00O2TNJGODT0G5Z4TTKYMMBYD","GSON1112031660")</f>
        <v>#NAME?</v>
      </c>
      <c r="S653" s="24" t="e">
        <f ca="1">[1]!BexGetData("DP_1","00O2TNJGODT0G5Z4TTKYMMI9X","GSON1112031660")</f>
        <v>#NAME?</v>
      </c>
      <c r="T653" s="24" t="e">
        <f ca="1">[1]!BexGetData("DP_1","00O2TNJGODT0G5Z4TTKYMMOLH","GSON1112031660")</f>
        <v>#NAME?</v>
      </c>
      <c r="U653" s="24" t="e">
        <f ca="1">[1]!BexGetData("DP_1","00O2TNJGODT0G5Z4TTKYMMUX1","GSON1112031660")</f>
        <v>#NAME?</v>
      </c>
      <c r="V653" s="24" t="e">
        <f ca="1">[1]!BexGetData("DP_1","00O2TNJGODT0G5Z4TTKYMN18L","GSON1112031660")</f>
        <v>#NAME?</v>
      </c>
      <c r="W653" s="24" t="e">
        <f ca="1">[1]!BexGetData("DP_1","00O2TNJGODT0G5Z4TTKYMN7K5","GSON1112031660")</f>
        <v>#NAME?</v>
      </c>
    </row>
    <row r="654" spans="1:23" x14ac:dyDescent="0.2">
      <c r="A654" s="36" t="s">
        <v>2736</v>
      </c>
      <c r="B654" s="27" t="s">
        <v>2737</v>
      </c>
      <c r="C654" s="23" t="e">
        <f ca="1">[1]!BexGetData("DP_1","003N8EMH8GTFRCSWKMPXRR8GU","GSON1112031661")</f>
        <v>#NAME?</v>
      </c>
      <c r="D654" s="23" t="e">
        <f ca="1">[1]!BexGetData("DP_1","003N8EMH8GTFRCSWKMPXRRESE","GSON1112031661")</f>
        <v>#NAME?</v>
      </c>
      <c r="E654" s="28" t="e">
        <f ca="1">[1]!BexGetData("DP_1","003N8EMH8GTFRCSWKMPXRRL3Y","GSON1112031661")</f>
        <v>#NAME?</v>
      </c>
      <c r="F654" s="24" t="e">
        <f ca="1">[1]!BexGetData("DP_1","003N8EMH8GTFRCSWKMPXRRRFI","GSON1112031661")</f>
        <v>#NAME?</v>
      </c>
      <c r="G654" s="24" t="e">
        <f ca="1">[1]!BexGetData("DP_1","003N8EMH8GTFRCSWKMPXRRXR2","GSON1112031661")</f>
        <v>#NAME?</v>
      </c>
      <c r="H654" s="24" t="e">
        <f ca="1">[1]!BexGetData("DP_1","003N8EMH8GTFRCSWKMPXRS42M","GSON1112031661")</f>
        <v>#NAME?</v>
      </c>
      <c r="I654" s="24" t="e">
        <f ca="1">[1]!BexGetData("DP_1","003N8EMH8GTFRCSWKMPXRSAE6","GSON1112031661")</f>
        <v>#NAME?</v>
      </c>
      <c r="J654" s="24" t="e">
        <f ca="1">[1]!BexGetData("DP_1","003N8EMH8GTFRCSWKMPXRSGPQ","GSON1112031661")</f>
        <v>#NAME?</v>
      </c>
      <c r="K654" s="28" t="e">
        <f ca="1">[1]!BexGetData("DP_1","003N8EMH8GTFRIVNUPY288VJH","GSON1112031661")</f>
        <v>#NAME?</v>
      </c>
      <c r="L654" s="28" t="e">
        <f ca="1">[1]!BexGetData("DP_1","003N8EMH8GTFRIVNUPY2891V1","GSON1112031661")</f>
        <v>#NAME?</v>
      </c>
      <c r="M654" s="28" t="e">
        <f ca="1">[1]!BexGetData("DP_1","003N8EMH8GTFRIVOG7KG9IQXA","GSON1112031661")</f>
        <v>#NAME?</v>
      </c>
      <c r="N654" s="28" t="e">
        <f ca="1">[1]!BexGetData("DP_1","003N8EMH8GTFRIVOG7KG9IX8U","GSON1112031661")</f>
        <v>#NAME?</v>
      </c>
      <c r="O654" s="28" t="e">
        <f ca="1">[1]!BexGetData("DP_1","003N8EMH8GTFRIVOG7KG9J3KE","GSON1112031661")</f>
        <v>#NAME?</v>
      </c>
      <c r="P654" s="28" t="e">
        <f ca="1">[1]!BexGetData("DP_1","003N8EMH8GTFRIVOG7KG9J9VY","GSON1112031661")</f>
        <v>#NAME?</v>
      </c>
      <c r="Q654" s="24" t="e">
        <f ca="1">[1]!BexGetData("DP_1","00O2TNJGODT0G5Z4TTKYMM5MT","GSON1112031661")</f>
        <v>#NAME?</v>
      </c>
      <c r="R654" s="24" t="e">
        <f ca="1">[1]!BexGetData("DP_1","00O2TNJGODT0G5Z4TTKYMMBYD","GSON1112031661")</f>
        <v>#NAME?</v>
      </c>
      <c r="S654" s="24" t="e">
        <f ca="1">[1]!BexGetData("DP_1","00O2TNJGODT0G5Z4TTKYMMI9X","GSON1112031661")</f>
        <v>#NAME?</v>
      </c>
      <c r="T654" s="24" t="e">
        <f ca="1">[1]!BexGetData("DP_1","00O2TNJGODT0G5Z4TTKYMMOLH","GSON1112031661")</f>
        <v>#NAME?</v>
      </c>
      <c r="U654" s="24" t="e">
        <f ca="1">[1]!BexGetData("DP_1","00O2TNJGODT0G5Z4TTKYMMUX1","GSON1112031661")</f>
        <v>#NAME?</v>
      </c>
      <c r="V654" s="24" t="e">
        <f ca="1">[1]!BexGetData("DP_1","00O2TNJGODT0G5Z4TTKYMN18L","GSON1112031661")</f>
        <v>#NAME?</v>
      </c>
      <c r="W654" s="24" t="e">
        <f ca="1">[1]!BexGetData("DP_1","00O2TNJGODT0G5Z4TTKYMN7K5","GSON1112031661")</f>
        <v>#NAME?</v>
      </c>
    </row>
    <row r="655" spans="1:23" x14ac:dyDescent="0.2">
      <c r="A655" s="36" t="s">
        <v>2738</v>
      </c>
      <c r="B655" s="27" t="s">
        <v>2739</v>
      </c>
      <c r="C655" s="23" t="e">
        <f ca="1">[1]!BexGetData("DP_1","003N8EMH8GTFRCSWKMPXRR8GU","GSON1112031665")</f>
        <v>#NAME?</v>
      </c>
      <c r="D655" s="23" t="e">
        <f ca="1">[1]!BexGetData("DP_1","003N8EMH8GTFRCSWKMPXRRESE","GSON1112031665")</f>
        <v>#NAME?</v>
      </c>
      <c r="E655" s="28" t="e">
        <f ca="1">[1]!BexGetData("DP_1","003N8EMH8GTFRCSWKMPXRRL3Y","GSON1112031665")</f>
        <v>#NAME?</v>
      </c>
      <c r="F655" s="24" t="e">
        <f ca="1">[1]!BexGetData("DP_1","003N8EMH8GTFRCSWKMPXRRRFI","GSON1112031665")</f>
        <v>#NAME?</v>
      </c>
      <c r="G655" s="24" t="e">
        <f ca="1">[1]!BexGetData("DP_1","003N8EMH8GTFRCSWKMPXRRXR2","GSON1112031665")</f>
        <v>#NAME?</v>
      </c>
      <c r="H655" s="24" t="e">
        <f ca="1">[1]!BexGetData("DP_1","003N8EMH8GTFRCSWKMPXRS42M","GSON1112031665")</f>
        <v>#NAME?</v>
      </c>
      <c r="I655" s="24" t="e">
        <f ca="1">[1]!BexGetData("DP_1","003N8EMH8GTFRCSWKMPXRSAE6","GSON1112031665")</f>
        <v>#NAME?</v>
      </c>
      <c r="J655" s="24" t="e">
        <f ca="1">[1]!BexGetData("DP_1","003N8EMH8GTFRCSWKMPXRSGPQ","GSON1112031665")</f>
        <v>#NAME?</v>
      </c>
      <c r="K655" s="28" t="e">
        <f ca="1">[1]!BexGetData("DP_1","003N8EMH8GTFRIVNUPY288VJH","GSON1112031665")</f>
        <v>#NAME?</v>
      </c>
      <c r="L655" s="28" t="e">
        <f ca="1">[1]!BexGetData("DP_1","003N8EMH8GTFRIVNUPY2891V1","GSON1112031665")</f>
        <v>#NAME?</v>
      </c>
      <c r="M655" s="28" t="e">
        <f ca="1">[1]!BexGetData("DP_1","003N8EMH8GTFRIVOG7KG9IQXA","GSON1112031665")</f>
        <v>#NAME?</v>
      </c>
      <c r="N655" s="28" t="e">
        <f ca="1">[1]!BexGetData("DP_1","003N8EMH8GTFRIVOG7KG9IX8U","GSON1112031665")</f>
        <v>#NAME?</v>
      </c>
      <c r="O655" s="28" t="e">
        <f ca="1">[1]!BexGetData("DP_1","003N8EMH8GTFRIVOG7KG9J3KE","GSON1112031665")</f>
        <v>#NAME?</v>
      </c>
      <c r="P655" s="28" t="e">
        <f ca="1">[1]!BexGetData("DP_1","003N8EMH8GTFRIVOG7KG9J9VY","GSON1112031665")</f>
        <v>#NAME?</v>
      </c>
      <c r="Q655" s="24" t="e">
        <f ca="1">[1]!BexGetData("DP_1","00O2TNJGODT0G5Z4TTKYMM5MT","GSON1112031665")</f>
        <v>#NAME?</v>
      </c>
      <c r="R655" s="24" t="e">
        <f ca="1">[1]!BexGetData("DP_1","00O2TNJGODT0G5Z4TTKYMMBYD","GSON1112031665")</f>
        <v>#NAME?</v>
      </c>
      <c r="S655" s="24" t="e">
        <f ca="1">[1]!BexGetData("DP_1","00O2TNJGODT0G5Z4TTKYMMI9X","GSON1112031665")</f>
        <v>#NAME?</v>
      </c>
      <c r="T655" s="24" t="e">
        <f ca="1">[1]!BexGetData("DP_1","00O2TNJGODT0G5Z4TTKYMMOLH","GSON1112031665")</f>
        <v>#NAME?</v>
      </c>
      <c r="U655" s="24" t="e">
        <f ca="1">[1]!BexGetData("DP_1","00O2TNJGODT0G5Z4TTKYMMUX1","GSON1112031665")</f>
        <v>#NAME?</v>
      </c>
      <c r="V655" s="24" t="e">
        <f ca="1">[1]!BexGetData("DP_1","00O2TNJGODT0G5Z4TTKYMN18L","GSON1112031665")</f>
        <v>#NAME?</v>
      </c>
      <c r="W655" s="24" t="e">
        <f ca="1">[1]!BexGetData("DP_1","00O2TNJGODT0G5Z4TTKYMN7K5","GSON1112031665")</f>
        <v>#NAME?</v>
      </c>
    </row>
    <row r="656" spans="1:23" x14ac:dyDescent="0.2">
      <c r="A656" s="36" t="s">
        <v>2740</v>
      </c>
      <c r="B656" s="27" t="s">
        <v>2741</v>
      </c>
      <c r="C656" s="23" t="e">
        <f ca="1">[1]!BexGetData("DP_1","003N8EMH8GTFRCSWKMPXRR8GU","GSON1112031670")</f>
        <v>#NAME?</v>
      </c>
      <c r="D656" s="23" t="e">
        <f ca="1">[1]!BexGetData("DP_1","003N8EMH8GTFRCSWKMPXRRESE","GSON1112031670")</f>
        <v>#NAME?</v>
      </c>
      <c r="E656" s="23" t="e">
        <f ca="1">[1]!BexGetData("DP_1","003N8EMH8GTFRCSWKMPXRRL3Y","GSON1112031670")</f>
        <v>#NAME?</v>
      </c>
      <c r="F656" s="24" t="e">
        <f ca="1">[1]!BexGetData("DP_1","003N8EMH8GTFRCSWKMPXRRRFI","GSON1112031670")</f>
        <v>#NAME?</v>
      </c>
      <c r="G656" s="24" t="e">
        <f ca="1">[1]!BexGetData("DP_1","003N8EMH8GTFRCSWKMPXRRXR2","GSON1112031670")</f>
        <v>#NAME?</v>
      </c>
      <c r="H656" s="24" t="e">
        <f ca="1">[1]!BexGetData("DP_1","003N8EMH8GTFRCSWKMPXRS42M","GSON1112031670")</f>
        <v>#NAME?</v>
      </c>
      <c r="I656" s="24" t="e">
        <f ca="1">[1]!BexGetData("DP_1","003N8EMH8GTFRCSWKMPXRSAE6","GSON1112031670")</f>
        <v>#NAME?</v>
      </c>
      <c r="J656" s="24" t="e">
        <f ca="1">[1]!BexGetData("DP_1","003N8EMH8GTFRCSWKMPXRSGPQ","GSON1112031670")</f>
        <v>#NAME?</v>
      </c>
      <c r="K656" s="23" t="e">
        <f ca="1">[1]!BexGetData("DP_1","003N8EMH8GTFRIVNUPY288VJH","GSON1112031670")</f>
        <v>#NAME?</v>
      </c>
      <c r="L656" s="23" t="e">
        <f ca="1">[1]!BexGetData("DP_1","003N8EMH8GTFRIVNUPY2891V1","GSON1112031670")</f>
        <v>#NAME?</v>
      </c>
      <c r="M656" s="28" t="e">
        <f ca="1">[1]!BexGetData("DP_1","003N8EMH8GTFRIVOG7KG9IQXA","GSON1112031670")</f>
        <v>#NAME?</v>
      </c>
      <c r="N656" s="23" t="e">
        <f ca="1">[1]!BexGetData("DP_1","003N8EMH8GTFRIVOG7KG9IX8U","GSON1112031670")</f>
        <v>#NAME?</v>
      </c>
      <c r="O656" s="28" t="e">
        <f ca="1">[1]!BexGetData("DP_1","003N8EMH8GTFRIVOG7KG9J3KE","GSON1112031670")</f>
        <v>#NAME?</v>
      </c>
      <c r="P656" s="23" t="e">
        <f ca="1">[1]!BexGetData("DP_1","003N8EMH8GTFRIVOG7KG9J9VY","GSON1112031670")</f>
        <v>#NAME?</v>
      </c>
      <c r="Q656" s="24" t="e">
        <f ca="1">[1]!BexGetData("DP_1","00O2TNJGODT0G5Z4TTKYMM5MT","GSON1112031670")</f>
        <v>#NAME?</v>
      </c>
      <c r="R656" s="24" t="e">
        <f ca="1">[1]!BexGetData("DP_1","00O2TNJGODT0G5Z4TTKYMMBYD","GSON1112031670")</f>
        <v>#NAME?</v>
      </c>
      <c r="S656" s="24" t="e">
        <f ca="1">[1]!BexGetData("DP_1","00O2TNJGODT0G5Z4TTKYMMI9X","GSON1112031670")</f>
        <v>#NAME?</v>
      </c>
      <c r="T656" s="24" t="e">
        <f ca="1">[1]!BexGetData("DP_1","00O2TNJGODT0G5Z4TTKYMMOLH","GSON1112031670")</f>
        <v>#NAME?</v>
      </c>
      <c r="U656" s="24" t="e">
        <f ca="1">[1]!BexGetData("DP_1","00O2TNJGODT0G5Z4TTKYMMUX1","GSON1112031670")</f>
        <v>#NAME?</v>
      </c>
      <c r="V656" s="24" t="e">
        <f ca="1">[1]!BexGetData("DP_1","00O2TNJGODT0G5Z4TTKYMN18L","GSON1112031670")</f>
        <v>#NAME?</v>
      </c>
      <c r="W656" s="24" t="e">
        <f ca="1">[1]!BexGetData("DP_1","00O2TNJGODT0G5Z4TTKYMN7K5","GSON1112031670")</f>
        <v>#NAME?</v>
      </c>
    </row>
    <row r="657" spans="1:23" x14ac:dyDescent="0.2">
      <c r="A657" s="36" t="s">
        <v>2742</v>
      </c>
      <c r="B657" s="27" t="s">
        <v>2743</v>
      </c>
      <c r="C657" s="23" t="e">
        <f ca="1">[1]!BexGetData("DP_1","003N8EMH8GTFRCSWKMPXRR8GU","GSON1112031671")</f>
        <v>#NAME?</v>
      </c>
      <c r="D657" s="23" t="e">
        <f ca="1">[1]!BexGetData("DP_1","003N8EMH8GTFRCSWKMPXRRESE","GSON1112031671")</f>
        <v>#NAME?</v>
      </c>
      <c r="E657" s="28" t="e">
        <f ca="1">[1]!BexGetData("DP_1","003N8EMH8GTFRCSWKMPXRRL3Y","GSON1112031671")</f>
        <v>#NAME?</v>
      </c>
      <c r="F657" s="24" t="e">
        <f ca="1">[1]!BexGetData("DP_1","003N8EMH8GTFRCSWKMPXRRRFI","GSON1112031671")</f>
        <v>#NAME?</v>
      </c>
      <c r="G657" s="24" t="e">
        <f ca="1">[1]!BexGetData("DP_1","003N8EMH8GTFRCSWKMPXRRXR2","GSON1112031671")</f>
        <v>#NAME?</v>
      </c>
      <c r="H657" s="24" t="e">
        <f ca="1">[1]!BexGetData("DP_1","003N8EMH8GTFRCSWKMPXRS42M","GSON1112031671")</f>
        <v>#NAME?</v>
      </c>
      <c r="I657" s="24" t="e">
        <f ca="1">[1]!BexGetData("DP_1","003N8EMH8GTFRCSWKMPXRSAE6","GSON1112031671")</f>
        <v>#NAME?</v>
      </c>
      <c r="J657" s="24" t="e">
        <f ca="1">[1]!BexGetData("DP_1","003N8EMH8GTFRCSWKMPXRSGPQ","GSON1112031671")</f>
        <v>#NAME?</v>
      </c>
      <c r="K657" s="28" t="e">
        <f ca="1">[1]!BexGetData("DP_1","003N8EMH8GTFRIVNUPY288VJH","GSON1112031671")</f>
        <v>#NAME?</v>
      </c>
      <c r="L657" s="28" t="e">
        <f ca="1">[1]!BexGetData("DP_1","003N8EMH8GTFRIVNUPY2891V1","GSON1112031671")</f>
        <v>#NAME?</v>
      </c>
      <c r="M657" s="28" t="e">
        <f ca="1">[1]!BexGetData("DP_1","003N8EMH8GTFRIVOG7KG9IQXA","GSON1112031671")</f>
        <v>#NAME?</v>
      </c>
      <c r="N657" s="28" t="e">
        <f ca="1">[1]!BexGetData("DP_1","003N8EMH8GTFRIVOG7KG9IX8U","GSON1112031671")</f>
        <v>#NAME?</v>
      </c>
      <c r="O657" s="28" t="e">
        <f ca="1">[1]!BexGetData("DP_1","003N8EMH8GTFRIVOG7KG9J3KE","GSON1112031671")</f>
        <v>#NAME?</v>
      </c>
      <c r="P657" s="28" t="e">
        <f ca="1">[1]!BexGetData("DP_1","003N8EMH8GTFRIVOG7KG9J9VY","GSON1112031671")</f>
        <v>#NAME?</v>
      </c>
      <c r="Q657" s="24" t="e">
        <f ca="1">[1]!BexGetData("DP_1","00O2TNJGODT0G5Z4TTKYMM5MT","GSON1112031671")</f>
        <v>#NAME?</v>
      </c>
      <c r="R657" s="24" t="e">
        <f ca="1">[1]!BexGetData("DP_1","00O2TNJGODT0G5Z4TTKYMMBYD","GSON1112031671")</f>
        <v>#NAME?</v>
      </c>
      <c r="S657" s="24" t="e">
        <f ca="1">[1]!BexGetData("DP_1","00O2TNJGODT0G5Z4TTKYMMI9X","GSON1112031671")</f>
        <v>#NAME?</v>
      </c>
      <c r="T657" s="24" t="e">
        <f ca="1">[1]!BexGetData("DP_1","00O2TNJGODT0G5Z4TTKYMMOLH","GSON1112031671")</f>
        <v>#NAME?</v>
      </c>
      <c r="U657" s="24" t="e">
        <f ca="1">[1]!BexGetData("DP_1","00O2TNJGODT0G5Z4TTKYMMUX1","GSON1112031671")</f>
        <v>#NAME?</v>
      </c>
      <c r="V657" s="24" t="e">
        <f ca="1">[1]!BexGetData("DP_1","00O2TNJGODT0G5Z4TTKYMN18L","GSON1112031671")</f>
        <v>#NAME?</v>
      </c>
      <c r="W657" s="24" t="e">
        <f ca="1">[1]!BexGetData("DP_1","00O2TNJGODT0G5Z4TTKYMN7K5","GSON1112031671")</f>
        <v>#NAME?</v>
      </c>
    </row>
    <row r="658" spans="1:23" x14ac:dyDescent="0.2">
      <c r="A658" s="36" t="s">
        <v>2744</v>
      </c>
      <c r="B658" s="27" t="s">
        <v>2745</v>
      </c>
      <c r="C658" s="23" t="e">
        <f ca="1">[1]!BexGetData("DP_1","003N8EMH8GTFRCSWKMPXRR8GU","GSON1112031672")</f>
        <v>#NAME?</v>
      </c>
      <c r="D658" s="23" t="e">
        <f ca="1">[1]!BexGetData("DP_1","003N8EMH8GTFRCSWKMPXRRESE","GSON1112031672")</f>
        <v>#NAME?</v>
      </c>
      <c r="E658" s="23" t="e">
        <f ca="1">[1]!BexGetData("DP_1","003N8EMH8GTFRCSWKMPXRRL3Y","GSON1112031672")</f>
        <v>#NAME?</v>
      </c>
      <c r="F658" s="24" t="e">
        <f ca="1">[1]!BexGetData("DP_1","003N8EMH8GTFRCSWKMPXRRRFI","GSON1112031672")</f>
        <v>#NAME?</v>
      </c>
      <c r="G658" s="24" t="e">
        <f ca="1">[1]!BexGetData("DP_1","003N8EMH8GTFRCSWKMPXRRXR2","GSON1112031672")</f>
        <v>#NAME?</v>
      </c>
      <c r="H658" s="24" t="e">
        <f ca="1">[1]!BexGetData("DP_1","003N8EMH8GTFRCSWKMPXRS42M","GSON1112031672")</f>
        <v>#NAME?</v>
      </c>
      <c r="I658" s="24" t="e">
        <f ca="1">[1]!BexGetData("DP_1","003N8EMH8GTFRCSWKMPXRSAE6","GSON1112031672")</f>
        <v>#NAME?</v>
      </c>
      <c r="J658" s="24" t="e">
        <f ca="1">[1]!BexGetData("DP_1","003N8EMH8GTFRCSWKMPXRSGPQ","GSON1112031672")</f>
        <v>#NAME?</v>
      </c>
      <c r="K658" s="23" t="e">
        <f ca="1">[1]!BexGetData("DP_1","003N8EMH8GTFRIVNUPY288VJH","GSON1112031672")</f>
        <v>#NAME?</v>
      </c>
      <c r="L658" s="23" t="e">
        <f ca="1">[1]!BexGetData("DP_1","003N8EMH8GTFRIVNUPY2891V1","GSON1112031672")</f>
        <v>#NAME?</v>
      </c>
      <c r="M658" s="23" t="e">
        <f ca="1">[1]!BexGetData("DP_1","003N8EMH8GTFRIVOG7KG9IQXA","GSON1112031672")</f>
        <v>#NAME?</v>
      </c>
      <c r="N658" s="28" t="e">
        <f ca="1">[1]!BexGetData("DP_1","003N8EMH8GTFRIVOG7KG9IX8U","GSON1112031672")</f>
        <v>#NAME?</v>
      </c>
      <c r="O658" s="23" t="e">
        <f ca="1">[1]!BexGetData("DP_1","003N8EMH8GTFRIVOG7KG9J3KE","GSON1112031672")</f>
        <v>#NAME?</v>
      </c>
      <c r="P658" s="28" t="e">
        <f ca="1">[1]!BexGetData("DP_1","003N8EMH8GTFRIVOG7KG9J9VY","GSON1112031672")</f>
        <v>#NAME?</v>
      </c>
      <c r="Q658" s="24" t="e">
        <f ca="1">[1]!BexGetData("DP_1","00O2TNJGODT0G5Z4TTKYMM5MT","GSON1112031672")</f>
        <v>#NAME?</v>
      </c>
      <c r="R658" s="24" t="e">
        <f ca="1">[1]!BexGetData("DP_1","00O2TNJGODT0G5Z4TTKYMMBYD","GSON1112031672")</f>
        <v>#NAME?</v>
      </c>
      <c r="S658" s="24" t="e">
        <f ca="1">[1]!BexGetData("DP_1","00O2TNJGODT0G5Z4TTKYMMI9X","GSON1112031672")</f>
        <v>#NAME?</v>
      </c>
      <c r="T658" s="24" t="e">
        <f ca="1">[1]!BexGetData("DP_1","00O2TNJGODT0G5Z4TTKYMMOLH","GSON1112031672")</f>
        <v>#NAME?</v>
      </c>
      <c r="U658" s="24" t="e">
        <f ca="1">[1]!BexGetData("DP_1","00O2TNJGODT0G5Z4TTKYMMUX1","GSON1112031672")</f>
        <v>#NAME?</v>
      </c>
      <c r="V658" s="24" t="e">
        <f ca="1">[1]!BexGetData("DP_1","00O2TNJGODT0G5Z4TTKYMN18L","GSON1112031672")</f>
        <v>#NAME?</v>
      </c>
      <c r="W658" s="24" t="e">
        <f ca="1">[1]!BexGetData("DP_1","00O2TNJGODT0G5Z4TTKYMN7K5","GSON1112031672")</f>
        <v>#NAME?</v>
      </c>
    </row>
    <row r="659" spans="1:23" x14ac:dyDescent="0.2">
      <c r="A659" s="36" t="s">
        <v>2746</v>
      </c>
      <c r="B659" s="27" t="s">
        <v>2747</v>
      </c>
      <c r="C659" s="23" t="e">
        <f ca="1">[1]!BexGetData("DP_1","003N8EMH8GTFRCSWKMPXRR8GU","GSON1112031673")</f>
        <v>#NAME?</v>
      </c>
      <c r="D659" s="23" t="e">
        <f ca="1">[1]!BexGetData("DP_1","003N8EMH8GTFRCSWKMPXRRESE","GSON1112031673")</f>
        <v>#NAME?</v>
      </c>
      <c r="E659" s="28" t="e">
        <f ca="1">[1]!BexGetData("DP_1","003N8EMH8GTFRCSWKMPXRRL3Y","GSON1112031673")</f>
        <v>#NAME?</v>
      </c>
      <c r="F659" s="24" t="e">
        <f ca="1">[1]!BexGetData("DP_1","003N8EMH8GTFRCSWKMPXRRRFI","GSON1112031673")</f>
        <v>#NAME?</v>
      </c>
      <c r="G659" s="24" t="e">
        <f ca="1">[1]!BexGetData("DP_1","003N8EMH8GTFRCSWKMPXRRXR2","GSON1112031673")</f>
        <v>#NAME?</v>
      </c>
      <c r="H659" s="24" t="e">
        <f ca="1">[1]!BexGetData("DP_1","003N8EMH8GTFRCSWKMPXRS42M","GSON1112031673")</f>
        <v>#NAME?</v>
      </c>
      <c r="I659" s="24" t="e">
        <f ca="1">[1]!BexGetData("DP_1","003N8EMH8GTFRCSWKMPXRSAE6","GSON1112031673")</f>
        <v>#NAME?</v>
      </c>
      <c r="J659" s="24" t="e">
        <f ca="1">[1]!BexGetData("DP_1","003N8EMH8GTFRCSWKMPXRSGPQ","GSON1112031673")</f>
        <v>#NAME?</v>
      </c>
      <c r="K659" s="28" t="e">
        <f ca="1">[1]!BexGetData("DP_1","003N8EMH8GTFRIVNUPY288VJH","GSON1112031673")</f>
        <v>#NAME?</v>
      </c>
      <c r="L659" s="28" t="e">
        <f ca="1">[1]!BexGetData("DP_1","003N8EMH8GTFRIVNUPY2891V1","GSON1112031673")</f>
        <v>#NAME?</v>
      </c>
      <c r="M659" s="28" t="e">
        <f ca="1">[1]!BexGetData("DP_1","003N8EMH8GTFRIVOG7KG9IQXA","GSON1112031673")</f>
        <v>#NAME?</v>
      </c>
      <c r="N659" s="28" t="e">
        <f ca="1">[1]!BexGetData("DP_1","003N8EMH8GTFRIVOG7KG9IX8U","GSON1112031673")</f>
        <v>#NAME?</v>
      </c>
      <c r="O659" s="28" t="e">
        <f ca="1">[1]!BexGetData("DP_1","003N8EMH8GTFRIVOG7KG9J3KE","GSON1112031673")</f>
        <v>#NAME?</v>
      </c>
      <c r="P659" s="28" t="e">
        <f ca="1">[1]!BexGetData("DP_1","003N8EMH8GTFRIVOG7KG9J9VY","GSON1112031673")</f>
        <v>#NAME?</v>
      </c>
      <c r="Q659" s="24" t="e">
        <f ca="1">[1]!BexGetData("DP_1","00O2TNJGODT0G5Z4TTKYMM5MT","GSON1112031673")</f>
        <v>#NAME?</v>
      </c>
      <c r="R659" s="24" t="e">
        <f ca="1">[1]!BexGetData("DP_1","00O2TNJGODT0G5Z4TTKYMMBYD","GSON1112031673")</f>
        <v>#NAME?</v>
      </c>
      <c r="S659" s="24" t="e">
        <f ca="1">[1]!BexGetData("DP_1","00O2TNJGODT0G5Z4TTKYMMI9X","GSON1112031673")</f>
        <v>#NAME?</v>
      </c>
      <c r="T659" s="24" t="e">
        <f ca="1">[1]!BexGetData("DP_1","00O2TNJGODT0G5Z4TTKYMMOLH","GSON1112031673")</f>
        <v>#NAME?</v>
      </c>
      <c r="U659" s="24" t="e">
        <f ca="1">[1]!BexGetData("DP_1","00O2TNJGODT0G5Z4TTKYMMUX1","GSON1112031673")</f>
        <v>#NAME?</v>
      </c>
      <c r="V659" s="24" t="e">
        <f ca="1">[1]!BexGetData("DP_1","00O2TNJGODT0G5Z4TTKYMN18L","GSON1112031673")</f>
        <v>#NAME?</v>
      </c>
      <c r="W659" s="24" t="e">
        <f ca="1">[1]!BexGetData("DP_1","00O2TNJGODT0G5Z4TTKYMN7K5","GSON1112031673")</f>
        <v>#NAME?</v>
      </c>
    </row>
    <row r="660" spans="1:23" x14ac:dyDescent="0.2">
      <c r="A660" s="36" t="s">
        <v>2748</v>
      </c>
      <c r="B660" s="27" t="s">
        <v>2749</v>
      </c>
      <c r="C660" s="23" t="e">
        <f ca="1">[1]!BexGetData("DP_1","003N8EMH8GTFRCSWKMPXRR8GU","GSON1112031674")</f>
        <v>#NAME?</v>
      </c>
      <c r="D660" s="23" t="e">
        <f ca="1">[1]!BexGetData("DP_1","003N8EMH8GTFRCSWKMPXRRESE","GSON1112031674")</f>
        <v>#NAME?</v>
      </c>
      <c r="E660" s="28" t="e">
        <f ca="1">[1]!BexGetData("DP_1","003N8EMH8GTFRCSWKMPXRRL3Y","GSON1112031674")</f>
        <v>#NAME?</v>
      </c>
      <c r="F660" s="24" t="e">
        <f ca="1">[1]!BexGetData("DP_1","003N8EMH8GTFRCSWKMPXRRRFI","GSON1112031674")</f>
        <v>#NAME?</v>
      </c>
      <c r="G660" s="24" t="e">
        <f ca="1">[1]!BexGetData("DP_1","003N8EMH8GTFRCSWKMPXRRXR2","GSON1112031674")</f>
        <v>#NAME?</v>
      </c>
      <c r="H660" s="24" t="e">
        <f ca="1">[1]!BexGetData("DP_1","003N8EMH8GTFRCSWKMPXRS42M","GSON1112031674")</f>
        <v>#NAME?</v>
      </c>
      <c r="I660" s="24" t="e">
        <f ca="1">[1]!BexGetData("DP_1","003N8EMH8GTFRCSWKMPXRSAE6","GSON1112031674")</f>
        <v>#NAME?</v>
      </c>
      <c r="J660" s="24" t="e">
        <f ca="1">[1]!BexGetData("DP_1","003N8EMH8GTFRCSWKMPXRSGPQ","GSON1112031674")</f>
        <v>#NAME?</v>
      </c>
      <c r="K660" s="28" t="e">
        <f ca="1">[1]!BexGetData("DP_1","003N8EMH8GTFRIVNUPY288VJH","GSON1112031674")</f>
        <v>#NAME?</v>
      </c>
      <c r="L660" s="28" t="e">
        <f ca="1">[1]!BexGetData("DP_1","003N8EMH8GTFRIVNUPY2891V1","GSON1112031674")</f>
        <v>#NAME?</v>
      </c>
      <c r="M660" s="28" t="e">
        <f ca="1">[1]!BexGetData("DP_1","003N8EMH8GTFRIVOG7KG9IQXA","GSON1112031674")</f>
        <v>#NAME?</v>
      </c>
      <c r="N660" s="28" t="e">
        <f ca="1">[1]!BexGetData("DP_1","003N8EMH8GTFRIVOG7KG9IX8U","GSON1112031674")</f>
        <v>#NAME?</v>
      </c>
      <c r="O660" s="28" t="e">
        <f ca="1">[1]!BexGetData("DP_1","003N8EMH8GTFRIVOG7KG9J3KE","GSON1112031674")</f>
        <v>#NAME?</v>
      </c>
      <c r="P660" s="28" t="e">
        <f ca="1">[1]!BexGetData("DP_1","003N8EMH8GTFRIVOG7KG9J9VY","GSON1112031674")</f>
        <v>#NAME?</v>
      </c>
      <c r="Q660" s="24" t="e">
        <f ca="1">[1]!BexGetData("DP_1","00O2TNJGODT0G5Z4TTKYMM5MT","GSON1112031674")</f>
        <v>#NAME?</v>
      </c>
      <c r="R660" s="24" t="e">
        <f ca="1">[1]!BexGetData("DP_1","00O2TNJGODT0G5Z4TTKYMMBYD","GSON1112031674")</f>
        <v>#NAME?</v>
      </c>
      <c r="S660" s="24" t="e">
        <f ca="1">[1]!BexGetData("DP_1","00O2TNJGODT0G5Z4TTKYMMI9X","GSON1112031674")</f>
        <v>#NAME?</v>
      </c>
      <c r="T660" s="24" t="e">
        <f ca="1">[1]!BexGetData("DP_1","00O2TNJGODT0G5Z4TTKYMMOLH","GSON1112031674")</f>
        <v>#NAME?</v>
      </c>
      <c r="U660" s="24" t="e">
        <f ca="1">[1]!BexGetData("DP_1","00O2TNJGODT0G5Z4TTKYMMUX1","GSON1112031674")</f>
        <v>#NAME?</v>
      </c>
      <c r="V660" s="24" t="e">
        <f ca="1">[1]!BexGetData("DP_1","00O2TNJGODT0G5Z4TTKYMN18L","GSON1112031674")</f>
        <v>#NAME?</v>
      </c>
      <c r="W660" s="24" t="e">
        <f ca="1">[1]!BexGetData("DP_1","00O2TNJGODT0G5Z4TTKYMN7K5","GSON1112031674")</f>
        <v>#NAME?</v>
      </c>
    </row>
    <row r="661" spans="1:23" x14ac:dyDescent="0.2">
      <c r="A661" s="36" t="s">
        <v>743</v>
      </c>
      <c r="B661" s="27" t="s">
        <v>2750</v>
      </c>
      <c r="C661" s="23" t="e">
        <f ca="1">[1]!BexGetData("DP_1","003N8EMH8GTFRCSWKMPXRR8GU","GSON1112040010")</f>
        <v>#NAME?</v>
      </c>
      <c r="D661" s="28" t="e">
        <f ca="1">[1]!BexGetData("DP_1","003N8EMH8GTFRCSWKMPXRRESE","GSON1112040010")</f>
        <v>#NAME?</v>
      </c>
      <c r="E661" s="23" t="e">
        <f ca="1">[1]!BexGetData("DP_1","003N8EMH8GTFRCSWKMPXRRL3Y","GSON1112040010")</f>
        <v>#NAME?</v>
      </c>
      <c r="F661" s="23" t="e">
        <f ca="1">[1]!BexGetData("DP_1","003N8EMH8GTFRCSWKMPXRRRFI","GSON1112040010")</f>
        <v>#NAME?</v>
      </c>
      <c r="G661" s="23" t="e">
        <f ca="1">[1]!BexGetData("DP_1","003N8EMH8GTFRCSWKMPXRRXR2","GSON1112040010")</f>
        <v>#NAME?</v>
      </c>
      <c r="H661" s="28" t="e">
        <f ca="1">[1]!BexGetData("DP_1","003N8EMH8GTFRCSWKMPXRS42M","GSON1112040010")</f>
        <v>#NAME?</v>
      </c>
      <c r="I661" s="23" t="e">
        <f ca="1">[1]!BexGetData("DP_1","003N8EMH8GTFRCSWKMPXRSAE6","GSON1112040010")</f>
        <v>#NAME?</v>
      </c>
      <c r="J661" s="23" t="e">
        <f ca="1">[1]!BexGetData("DP_1","003N8EMH8GTFRCSWKMPXRSGPQ","GSON1112040010")</f>
        <v>#NAME?</v>
      </c>
      <c r="K661" s="23" t="e">
        <f ca="1">[1]!BexGetData("DP_1","003N8EMH8GTFRIVNUPY288VJH","GSON1112040010")</f>
        <v>#NAME?</v>
      </c>
      <c r="L661" s="23" t="e">
        <f ca="1">[1]!BexGetData("DP_1","003N8EMH8GTFRIVNUPY2891V1","GSON1112040010")</f>
        <v>#NAME?</v>
      </c>
      <c r="M661" s="28" t="e">
        <f ca="1">[1]!BexGetData("DP_1","003N8EMH8GTFRIVOG7KG9IQXA","GSON1112040010")</f>
        <v>#NAME?</v>
      </c>
      <c r="N661" s="23" t="e">
        <f ca="1">[1]!BexGetData("DP_1","003N8EMH8GTFRIVOG7KG9IX8U","GSON1112040010")</f>
        <v>#NAME?</v>
      </c>
      <c r="O661" s="28" t="e">
        <f ca="1">[1]!BexGetData("DP_1","003N8EMH8GTFRIVOG7KG9J3KE","GSON1112040010")</f>
        <v>#NAME?</v>
      </c>
      <c r="P661" s="23" t="e">
        <f ca="1">[1]!BexGetData("DP_1","003N8EMH8GTFRIVOG7KG9J9VY","GSON1112040010")</f>
        <v>#NAME?</v>
      </c>
      <c r="Q661" s="23" t="e">
        <f ca="1">[1]!BexGetData("DP_1","00O2TNJGODT0G5Z4TTKYMM5MT","GSON1112040010")</f>
        <v>#NAME?</v>
      </c>
      <c r="R661" s="23" t="e">
        <f ca="1">[1]!BexGetData("DP_1","00O2TNJGODT0G5Z4TTKYMMBYD","GSON1112040010")</f>
        <v>#NAME?</v>
      </c>
      <c r="S661" s="23" t="e">
        <f ca="1">[1]!BexGetData("DP_1","00O2TNJGODT0G5Z4TTKYMMI9X","GSON1112040010")</f>
        <v>#NAME?</v>
      </c>
      <c r="T661" s="28" t="e">
        <f ca="1">[1]!BexGetData("DP_1","00O2TNJGODT0G5Z4TTKYMMOLH","GSON1112040010")</f>
        <v>#NAME?</v>
      </c>
      <c r="U661" s="23" t="e">
        <f ca="1">[1]!BexGetData("DP_1","00O2TNJGODT0G5Z4TTKYMMUX1","GSON1112040010")</f>
        <v>#NAME?</v>
      </c>
      <c r="V661" s="28" t="e">
        <f ca="1">[1]!BexGetData("DP_1","00O2TNJGODT0G5Z4TTKYMN18L","GSON1112040010")</f>
        <v>#NAME?</v>
      </c>
      <c r="W661" s="23" t="e">
        <f ca="1">[1]!BexGetData("DP_1","00O2TNJGODT0G5Z4TTKYMN7K5","GSON1112040010")</f>
        <v>#NAME?</v>
      </c>
    </row>
    <row r="662" spans="1:23" x14ac:dyDescent="0.2">
      <c r="A662" s="36" t="s">
        <v>946</v>
      </c>
      <c r="B662" s="27" t="s">
        <v>2751</v>
      </c>
      <c r="C662" s="23" t="e">
        <f ca="1">[1]!BexGetData("DP_1","003N8EMH8GTFRCSWKMPXRR8GU","GSON1112040011")</f>
        <v>#NAME?</v>
      </c>
      <c r="D662" s="23" t="e">
        <f ca="1">[1]!BexGetData("DP_1","003N8EMH8GTFRCSWKMPXRRESE","GSON1112040011")</f>
        <v>#NAME?</v>
      </c>
      <c r="E662" s="28" t="e">
        <f ca="1">[1]!BexGetData("DP_1","003N8EMH8GTFRCSWKMPXRRL3Y","GSON1112040011")</f>
        <v>#NAME?</v>
      </c>
      <c r="F662" s="28" t="e">
        <f ca="1">[1]!BexGetData("DP_1","003N8EMH8GTFRCSWKMPXRRRFI","GSON1112040011")</f>
        <v>#NAME?</v>
      </c>
      <c r="G662" s="23" t="e">
        <f ca="1">[1]!BexGetData("DP_1","003N8EMH8GTFRCSWKMPXRRXR2","GSON1112040011")</f>
        <v>#NAME?</v>
      </c>
      <c r="H662" s="23" t="e">
        <f ca="1">[1]!BexGetData("DP_1","003N8EMH8GTFRCSWKMPXRS42M","GSON1112040011")</f>
        <v>#NAME?</v>
      </c>
      <c r="I662" s="28" t="e">
        <f ca="1">[1]!BexGetData("DP_1","003N8EMH8GTFRCSWKMPXRSAE6","GSON1112040011")</f>
        <v>#NAME?</v>
      </c>
      <c r="J662" s="24" t="e">
        <f ca="1">[1]!BexGetData("DP_1","003N8EMH8GTFRCSWKMPXRSGPQ","GSON1112040011")</f>
        <v>#NAME?</v>
      </c>
      <c r="K662" s="28" t="e">
        <f ca="1">[1]!BexGetData("DP_1","003N8EMH8GTFRIVNUPY288VJH","GSON1112040011")</f>
        <v>#NAME?</v>
      </c>
      <c r="L662" s="28" t="e">
        <f ca="1">[1]!BexGetData("DP_1","003N8EMH8GTFRIVNUPY2891V1","GSON1112040011")</f>
        <v>#NAME?</v>
      </c>
      <c r="M662" s="28" t="e">
        <f ca="1">[1]!BexGetData("DP_1","003N8EMH8GTFRIVOG7KG9IQXA","GSON1112040011")</f>
        <v>#NAME?</v>
      </c>
      <c r="N662" s="28" t="e">
        <f ca="1">[1]!BexGetData("DP_1","003N8EMH8GTFRIVOG7KG9IX8U","GSON1112040011")</f>
        <v>#NAME?</v>
      </c>
      <c r="O662" s="28" t="e">
        <f ca="1">[1]!BexGetData("DP_1","003N8EMH8GTFRIVOG7KG9J3KE","GSON1112040011")</f>
        <v>#NAME?</v>
      </c>
      <c r="P662" s="28" t="e">
        <f ca="1">[1]!BexGetData("DP_1","003N8EMH8GTFRIVOG7KG9J9VY","GSON1112040011")</f>
        <v>#NAME?</v>
      </c>
      <c r="Q662" s="24" t="e">
        <f ca="1">[1]!BexGetData("DP_1","00O2TNJGODT0G5Z4TTKYMM5MT","GSON1112040011")</f>
        <v>#NAME?</v>
      </c>
      <c r="R662" s="28" t="e">
        <f ca="1">[1]!BexGetData("DP_1","00O2TNJGODT0G5Z4TTKYMMBYD","GSON1112040011")</f>
        <v>#NAME?</v>
      </c>
      <c r="S662" s="28" t="e">
        <f ca="1">[1]!BexGetData("DP_1","00O2TNJGODT0G5Z4TTKYMMI9X","GSON1112040011")</f>
        <v>#NAME?</v>
      </c>
      <c r="T662" s="28" t="e">
        <f ca="1">[1]!BexGetData("DP_1","00O2TNJGODT0G5Z4TTKYMMOLH","GSON1112040011")</f>
        <v>#NAME?</v>
      </c>
      <c r="U662" s="28" t="e">
        <f ca="1">[1]!BexGetData("DP_1","00O2TNJGODT0G5Z4TTKYMMUX1","GSON1112040011")</f>
        <v>#NAME?</v>
      </c>
      <c r="V662" s="28" t="e">
        <f ca="1">[1]!BexGetData("DP_1","00O2TNJGODT0G5Z4TTKYMN18L","GSON1112040011")</f>
        <v>#NAME?</v>
      </c>
      <c r="W662" s="28" t="e">
        <f ca="1">[1]!BexGetData("DP_1","00O2TNJGODT0G5Z4TTKYMN7K5","GSON1112040011")</f>
        <v>#NAME?</v>
      </c>
    </row>
    <row r="663" spans="1:23" x14ac:dyDescent="0.2">
      <c r="A663" s="36" t="s">
        <v>2752</v>
      </c>
      <c r="B663" s="27" t="s">
        <v>2753</v>
      </c>
      <c r="C663" s="23" t="e">
        <f ca="1">[1]!BexGetData("DP_1","003N8EMH8GTFRCSWKMPXRR8GU","GSON1112040015")</f>
        <v>#NAME?</v>
      </c>
      <c r="D663" s="23" t="e">
        <f ca="1">[1]!BexGetData("DP_1","003N8EMH8GTFRCSWKMPXRRESE","GSON1112040015")</f>
        <v>#NAME?</v>
      </c>
      <c r="E663" s="28" t="e">
        <f ca="1">[1]!BexGetData("DP_1","003N8EMH8GTFRCSWKMPXRRL3Y","GSON1112040015")</f>
        <v>#NAME?</v>
      </c>
      <c r="F663" s="28" t="e">
        <f ca="1">[1]!BexGetData("DP_1","003N8EMH8GTFRCSWKMPXRRRFI","GSON1112040015")</f>
        <v>#NAME?</v>
      </c>
      <c r="G663" s="23" t="e">
        <f ca="1">[1]!BexGetData("DP_1","003N8EMH8GTFRCSWKMPXRRXR2","GSON1112040015")</f>
        <v>#NAME?</v>
      </c>
      <c r="H663" s="23" t="e">
        <f ca="1">[1]!BexGetData("DP_1","003N8EMH8GTFRCSWKMPXRS42M","GSON1112040015")</f>
        <v>#NAME?</v>
      </c>
      <c r="I663" s="28" t="e">
        <f ca="1">[1]!BexGetData("DP_1","003N8EMH8GTFRCSWKMPXRSAE6","GSON1112040015")</f>
        <v>#NAME?</v>
      </c>
      <c r="J663" s="24" t="e">
        <f ca="1">[1]!BexGetData("DP_1","003N8EMH8GTFRCSWKMPXRSGPQ","GSON1112040015")</f>
        <v>#NAME?</v>
      </c>
      <c r="K663" s="28" t="e">
        <f ca="1">[1]!BexGetData("DP_1","003N8EMH8GTFRIVNUPY288VJH","GSON1112040015")</f>
        <v>#NAME?</v>
      </c>
      <c r="L663" s="28" t="e">
        <f ca="1">[1]!BexGetData("DP_1","003N8EMH8GTFRIVNUPY2891V1","GSON1112040015")</f>
        <v>#NAME?</v>
      </c>
      <c r="M663" s="28" t="e">
        <f ca="1">[1]!BexGetData("DP_1","003N8EMH8GTFRIVOG7KG9IQXA","GSON1112040015")</f>
        <v>#NAME?</v>
      </c>
      <c r="N663" s="28" t="e">
        <f ca="1">[1]!BexGetData("DP_1","003N8EMH8GTFRIVOG7KG9IX8U","GSON1112040015")</f>
        <v>#NAME?</v>
      </c>
      <c r="O663" s="28" t="e">
        <f ca="1">[1]!BexGetData("DP_1","003N8EMH8GTFRIVOG7KG9J3KE","GSON1112040015")</f>
        <v>#NAME?</v>
      </c>
      <c r="P663" s="28" t="e">
        <f ca="1">[1]!BexGetData("DP_1","003N8EMH8GTFRIVOG7KG9J9VY","GSON1112040015")</f>
        <v>#NAME?</v>
      </c>
      <c r="Q663" s="24" t="e">
        <f ca="1">[1]!BexGetData("DP_1","00O2TNJGODT0G5Z4TTKYMM5MT","GSON1112040015")</f>
        <v>#NAME?</v>
      </c>
      <c r="R663" s="28" t="e">
        <f ca="1">[1]!BexGetData("DP_1","00O2TNJGODT0G5Z4TTKYMMBYD","GSON1112040015")</f>
        <v>#NAME?</v>
      </c>
      <c r="S663" s="28" t="e">
        <f ca="1">[1]!BexGetData("DP_1","00O2TNJGODT0G5Z4TTKYMMI9X","GSON1112040015")</f>
        <v>#NAME?</v>
      </c>
      <c r="T663" s="28" t="e">
        <f ca="1">[1]!BexGetData("DP_1","00O2TNJGODT0G5Z4TTKYMMOLH","GSON1112040015")</f>
        <v>#NAME?</v>
      </c>
      <c r="U663" s="28" t="e">
        <f ca="1">[1]!BexGetData("DP_1","00O2TNJGODT0G5Z4TTKYMMUX1","GSON1112040015")</f>
        <v>#NAME?</v>
      </c>
      <c r="V663" s="28" t="e">
        <f ca="1">[1]!BexGetData("DP_1","00O2TNJGODT0G5Z4TTKYMN18L","GSON1112040015")</f>
        <v>#NAME?</v>
      </c>
      <c r="W663" s="28" t="e">
        <f ca="1">[1]!BexGetData("DP_1","00O2TNJGODT0G5Z4TTKYMN7K5","GSON1112040015")</f>
        <v>#NAME?</v>
      </c>
    </row>
    <row r="664" spans="1:23" x14ac:dyDescent="0.2">
      <c r="A664" s="36" t="s">
        <v>2754</v>
      </c>
      <c r="B664" s="27" t="s">
        <v>2755</v>
      </c>
      <c r="C664" s="23" t="e">
        <f ca="1">[1]!BexGetData("DP_1","003N8EMH8GTFRCSWKMPXRR8GU","GSON1112050020")</f>
        <v>#NAME?</v>
      </c>
      <c r="D664" s="23" t="e">
        <f ca="1">[1]!BexGetData("DP_1","003N8EMH8GTFRCSWKMPXRRESE","GSON1112050020")</f>
        <v>#NAME?</v>
      </c>
      <c r="E664" s="23" t="e">
        <f ca="1">[1]!BexGetData("DP_1","003N8EMH8GTFRCSWKMPXRRL3Y","GSON1112050020")</f>
        <v>#NAME?</v>
      </c>
      <c r="F664" s="23" t="e">
        <f ca="1">[1]!BexGetData("DP_1","003N8EMH8GTFRCSWKMPXRRRFI","GSON1112050020")</f>
        <v>#NAME?</v>
      </c>
      <c r="G664" s="23" t="e">
        <f ca="1">[1]!BexGetData("DP_1","003N8EMH8GTFRCSWKMPXRRXR2","GSON1112050020")</f>
        <v>#NAME?</v>
      </c>
      <c r="H664" s="23" t="e">
        <f ca="1">[1]!BexGetData("DP_1","003N8EMH8GTFRCSWKMPXRS42M","GSON1112050020")</f>
        <v>#NAME?</v>
      </c>
      <c r="I664" s="23" t="e">
        <f ca="1">[1]!BexGetData("DP_1","003N8EMH8GTFRCSWKMPXRSAE6","GSON1112050020")</f>
        <v>#NAME?</v>
      </c>
      <c r="J664" s="23" t="e">
        <f ca="1">[1]!BexGetData("DP_1","003N8EMH8GTFRCSWKMPXRSGPQ","GSON1112050020")</f>
        <v>#NAME?</v>
      </c>
      <c r="K664" s="23" t="e">
        <f ca="1">[1]!BexGetData("DP_1","003N8EMH8GTFRIVNUPY288VJH","GSON1112050020")</f>
        <v>#NAME?</v>
      </c>
      <c r="L664" s="23" t="e">
        <f ca="1">[1]!BexGetData("DP_1","003N8EMH8GTFRIVNUPY2891V1","GSON1112050020")</f>
        <v>#NAME?</v>
      </c>
      <c r="M664" s="28" t="e">
        <f ca="1">[1]!BexGetData("DP_1","003N8EMH8GTFRIVOG7KG9IQXA","GSON1112050020")</f>
        <v>#NAME?</v>
      </c>
      <c r="N664" s="23" t="e">
        <f ca="1">[1]!BexGetData("DP_1","003N8EMH8GTFRIVOG7KG9IX8U","GSON1112050020")</f>
        <v>#NAME?</v>
      </c>
      <c r="O664" s="28" t="e">
        <f ca="1">[1]!BexGetData("DP_1","003N8EMH8GTFRIVOG7KG9J3KE","GSON1112050020")</f>
        <v>#NAME?</v>
      </c>
      <c r="P664" s="23" t="e">
        <f ca="1">[1]!BexGetData("DP_1","003N8EMH8GTFRIVOG7KG9J9VY","GSON1112050020")</f>
        <v>#NAME?</v>
      </c>
      <c r="Q664" s="23" t="e">
        <f ca="1">[1]!BexGetData("DP_1","00O2TNJGODT0G5Z4TTKYMM5MT","GSON1112050020")</f>
        <v>#NAME?</v>
      </c>
      <c r="R664" s="23" t="e">
        <f ca="1">[1]!BexGetData("DP_1","00O2TNJGODT0G5Z4TTKYMMBYD","GSON1112050020")</f>
        <v>#NAME?</v>
      </c>
      <c r="S664" s="23" t="e">
        <f ca="1">[1]!BexGetData("DP_1","00O2TNJGODT0G5Z4TTKYMMI9X","GSON1112050020")</f>
        <v>#NAME?</v>
      </c>
      <c r="T664" s="28" t="e">
        <f ca="1">[1]!BexGetData("DP_1","00O2TNJGODT0G5Z4TTKYMMOLH","GSON1112050020")</f>
        <v>#NAME?</v>
      </c>
      <c r="U664" s="23" t="e">
        <f ca="1">[1]!BexGetData("DP_1","00O2TNJGODT0G5Z4TTKYMMUX1","GSON1112050020")</f>
        <v>#NAME?</v>
      </c>
      <c r="V664" s="28" t="e">
        <f ca="1">[1]!BexGetData("DP_1","00O2TNJGODT0G5Z4TTKYMN18L","GSON1112050020")</f>
        <v>#NAME?</v>
      </c>
      <c r="W664" s="23" t="e">
        <f ca="1">[1]!BexGetData("DP_1","00O2TNJGODT0G5Z4TTKYMN7K5","GSON1112050020")</f>
        <v>#NAME?</v>
      </c>
    </row>
    <row r="665" spans="1:23" x14ac:dyDescent="0.2">
      <c r="A665" s="36" t="s">
        <v>1663</v>
      </c>
      <c r="B665" s="27" t="s">
        <v>1664</v>
      </c>
      <c r="C665" s="23" t="e">
        <f ca="1">[1]!BexGetData("DP_1","003N8EMH8GTFRCSWKMPXRR8GU","GSON1112050021")</f>
        <v>#NAME?</v>
      </c>
      <c r="D665" s="23" t="e">
        <f ca="1">[1]!BexGetData("DP_1","003N8EMH8GTFRCSWKMPXRRESE","GSON1112050021")</f>
        <v>#NAME?</v>
      </c>
      <c r="E665" s="28" t="e">
        <f ca="1">[1]!BexGetData("DP_1","003N8EMH8GTFRCSWKMPXRRL3Y","GSON1112050021")</f>
        <v>#NAME?</v>
      </c>
      <c r="F665" s="28" t="e">
        <f ca="1">[1]!BexGetData("DP_1","003N8EMH8GTFRCSWKMPXRRRFI","GSON1112050021")</f>
        <v>#NAME?</v>
      </c>
      <c r="G665" s="23" t="e">
        <f ca="1">[1]!BexGetData("DP_1","003N8EMH8GTFRCSWKMPXRRXR2","GSON1112050021")</f>
        <v>#NAME?</v>
      </c>
      <c r="H665" s="23" t="e">
        <f ca="1">[1]!BexGetData("DP_1","003N8EMH8GTFRCSWKMPXRS42M","GSON1112050021")</f>
        <v>#NAME?</v>
      </c>
      <c r="I665" s="28" t="e">
        <f ca="1">[1]!BexGetData("DP_1","003N8EMH8GTFRCSWKMPXRSAE6","GSON1112050021")</f>
        <v>#NAME?</v>
      </c>
      <c r="J665" s="24" t="e">
        <f ca="1">[1]!BexGetData("DP_1","003N8EMH8GTFRCSWKMPXRSGPQ","GSON1112050021")</f>
        <v>#NAME?</v>
      </c>
      <c r="K665" s="28" t="e">
        <f ca="1">[1]!BexGetData("DP_1","003N8EMH8GTFRIVNUPY288VJH","GSON1112050021")</f>
        <v>#NAME?</v>
      </c>
      <c r="L665" s="28" t="e">
        <f ca="1">[1]!BexGetData("DP_1","003N8EMH8GTFRIVNUPY2891V1","GSON1112050021")</f>
        <v>#NAME?</v>
      </c>
      <c r="M665" s="28" t="e">
        <f ca="1">[1]!BexGetData("DP_1","003N8EMH8GTFRIVOG7KG9IQXA","GSON1112050021")</f>
        <v>#NAME?</v>
      </c>
      <c r="N665" s="28" t="e">
        <f ca="1">[1]!BexGetData("DP_1","003N8EMH8GTFRIVOG7KG9IX8U","GSON1112050021")</f>
        <v>#NAME?</v>
      </c>
      <c r="O665" s="28" t="e">
        <f ca="1">[1]!BexGetData("DP_1","003N8EMH8GTFRIVOG7KG9J3KE","GSON1112050021")</f>
        <v>#NAME?</v>
      </c>
      <c r="P665" s="28" t="e">
        <f ca="1">[1]!BexGetData("DP_1","003N8EMH8GTFRIVOG7KG9J9VY","GSON1112050021")</f>
        <v>#NAME?</v>
      </c>
      <c r="Q665" s="24" t="e">
        <f ca="1">[1]!BexGetData("DP_1","00O2TNJGODT0G5Z4TTKYMM5MT","GSON1112050021")</f>
        <v>#NAME?</v>
      </c>
      <c r="R665" s="28" t="e">
        <f ca="1">[1]!BexGetData("DP_1","00O2TNJGODT0G5Z4TTKYMMBYD","GSON1112050021")</f>
        <v>#NAME?</v>
      </c>
      <c r="S665" s="28" t="e">
        <f ca="1">[1]!BexGetData("DP_1","00O2TNJGODT0G5Z4TTKYMMI9X","GSON1112050021")</f>
        <v>#NAME?</v>
      </c>
      <c r="T665" s="28" t="e">
        <f ca="1">[1]!BexGetData("DP_1","00O2TNJGODT0G5Z4TTKYMMOLH","GSON1112050021")</f>
        <v>#NAME?</v>
      </c>
      <c r="U665" s="28" t="e">
        <f ca="1">[1]!BexGetData("DP_1","00O2TNJGODT0G5Z4TTKYMMUX1","GSON1112050021")</f>
        <v>#NAME?</v>
      </c>
      <c r="V665" s="28" t="e">
        <f ca="1">[1]!BexGetData("DP_1","00O2TNJGODT0G5Z4TTKYMN18L","GSON1112050021")</f>
        <v>#NAME?</v>
      </c>
      <c r="W665" s="28" t="e">
        <f ca="1">[1]!BexGetData("DP_1","00O2TNJGODT0G5Z4TTKYMN7K5","GSON1112050021")</f>
        <v>#NAME?</v>
      </c>
    </row>
    <row r="666" spans="1:23" x14ac:dyDescent="0.2">
      <c r="A666" s="36" t="s">
        <v>2756</v>
      </c>
      <c r="B666" s="27" t="s">
        <v>2757</v>
      </c>
      <c r="C666" s="23" t="e">
        <f ca="1">[1]!BexGetData("DP_1","003N8EMH8GTFRCSWKMPXRR8GU","GSON1112050023")</f>
        <v>#NAME?</v>
      </c>
      <c r="D666" s="23" t="e">
        <f ca="1">[1]!BexGetData("DP_1","003N8EMH8GTFRCSWKMPXRRESE","GSON1112050023")</f>
        <v>#NAME?</v>
      </c>
      <c r="E666" s="23" t="e">
        <f ca="1">[1]!BexGetData("DP_1","003N8EMH8GTFRCSWKMPXRRL3Y","GSON1112050023")</f>
        <v>#NAME?</v>
      </c>
      <c r="F666" s="28" t="e">
        <f ca="1">[1]!BexGetData("DP_1","003N8EMH8GTFRCSWKMPXRRRFI","GSON1112050023")</f>
        <v>#NAME?</v>
      </c>
      <c r="G666" s="23" t="e">
        <f ca="1">[1]!BexGetData("DP_1","003N8EMH8GTFRCSWKMPXRRXR2","GSON1112050023")</f>
        <v>#NAME?</v>
      </c>
      <c r="H666" s="23" t="e">
        <f ca="1">[1]!BexGetData("DP_1","003N8EMH8GTFRCSWKMPXRS42M","GSON1112050023")</f>
        <v>#NAME?</v>
      </c>
      <c r="I666" s="28" t="e">
        <f ca="1">[1]!BexGetData("DP_1","003N8EMH8GTFRCSWKMPXRSAE6","GSON1112050023")</f>
        <v>#NAME?</v>
      </c>
      <c r="J666" s="24" t="e">
        <f ca="1">[1]!BexGetData("DP_1","003N8EMH8GTFRCSWKMPXRSGPQ","GSON1112050023")</f>
        <v>#NAME?</v>
      </c>
      <c r="K666" s="23" t="e">
        <f ca="1">[1]!BexGetData("DP_1","003N8EMH8GTFRIVNUPY288VJH","GSON1112050023")</f>
        <v>#NAME?</v>
      </c>
      <c r="L666" s="23" t="e">
        <f ca="1">[1]!BexGetData("DP_1","003N8EMH8GTFRIVNUPY2891V1","GSON1112050023")</f>
        <v>#NAME?</v>
      </c>
      <c r="M666" s="23" t="e">
        <f ca="1">[1]!BexGetData("DP_1","003N8EMH8GTFRIVOG7KG9IQXA","GSON1112050023")</f>
        <v>#NAME?</v>
      </c>
      <c r="N666" s="28" t="e">
        <f ca="1">[1]!BexGetData("DP_1","003N8EMH8GTFRIVOG7KG9IX8U","GSON1112050023")</f>
        <v>#NAME?</v>
      </c>
      <c r="O666" s="23" t="e">
        <f ca="1">[1]!BexGetData("DP_1","003N8EMH8GTFRIVOG7KG9J3KE","GSON1112050023")</f>
        <v>#NAME?</v>
      </c>
      <c r="P666" s="28" t="e">
        <f ca="1">[1]!BexGetData("DP_1","003N8EMH8GTFRIVOG7KG9J9VY","GSON1112050023")</f>
        <v>#NAME?</v>
      </c>
      <c r="Q666" s="24" t="e">
        <f ca="1">[1]!BexGetData("DP_1","00O2TNJGODT0G5Z4TTKYMM5MT","GSON1112050023")</f>
        <v>#NAME?</v>
      </c>
      <c r="R666" s="28" t="e">
        <f ca="1">[1]!BexGetData("DP_1","00O2TNJGODT0G5Z4TTKYMMBYD","GSON1112050023")</f>
        <v>#NAME?</v>
      </c>
      <c r="S666" s="28" t="e">
        <f ca="1">[1]!BexGetData("DP_1","00O2TNJGODT0G5Z4TTKYMMI9X","GSON1112050023")</f>
        <v>#NAME?</v>
      </c>
      <c r="T666" s="28" t="e">
        <f ca="1">[1]!BexGetData("DP_1","00O2TNJGODT0G5Z4TTKYMMOLH","GSON1112050023")</f>
        <v>#NAME?</v>
      </c>
      <c r="U666" s="28" t="e">
        <f ca="1">[1]!BexGetData("DP_1","00O2TNJGODT0G5Z4TTKYMMUX1","GSON1112050023")</f>
        <v>#NAME?</v>
      </c>
      <c r="V666" s="28" t="e">
        <f ca="1">[1]!BexGetData("DP_1","00O2TNJGODT0G5Z4TTKYMN18L","GSON1112050023")</f>
        <v>#NAME?</v>
      </c>
      <c r="W666" s="28" t="e">
        <f ca="1">[1]!BexGetData("DP_1","00O2TNJGODT0G5Z4TTKYMN7K5","GSON1112050023")</f>
        <v>#NAME?</v>
      </c>
    </row>
    <row r="667" spans="1:23" x14ac:dyDescent="0.2">
      <c r="A667" s="36" t="s">
        <v>2758</v>
      </c>
      <c r="B667" s="27" t="s">
        <v>2759</v>
      </c>
      <c r="C667" s="23" t="e">
        <f ca="1">[1]!BexGetData("DP_1","003N8EMH8GTFRCSWKMPXRR8GU","GSON1112050024")</f>
        <v>#NAME?</v>
      </c>
      <c r="D667" s="23" t="e">
        <f ca="1">[1]!BexGetData("DP_1","003N8EMH8GTFRCSWKMPXRRESE","GSON1112050024")</f>
        <v>#NAME?</v>
      </c>
      <c r="E667" s="28" t="e">
        <f ca="1">[1]!BexGetData("DP_1","003N8EMH8GTFRCSWKMPXRRL3Y","GSON1112050024")</f>
        <v>#NAME?</v>
      </c>
      <c r="F667" s="28" t="e">
        <f ca="1">[1]!BexGetData("DP_1","003N8EMH8GTFRCSWKMPXRRRFI","GSON1112050024")</f>
        <v>#NAME?</v>
      </c>
      <c r="G667" s="23" t="e">
        <f ca="1">[1]!BexGetData("DP_1","003N8EMH8GTFRCSWKMPXRRXR2","GSON1112050024")</f>
        <v>#NAME?</v>
      </c>
      <c r="H667" s="23" t="e">
        <f ca="1">[1]!BexGetData("DP_1","003N8EMH8GTFRCSWKMPXRS42M","GSON1112050024")</f>
        <v>#NAME?</v>
      </c>
      <c r="I667" s="28" t="e">
        <f ca="1">[1]!BexGetData("DP_1","003N8EMH8GTFRCSWKMPXRSAE6","GSON1112050024")</f>
        <v>#NAME?</v>
      </c>
      <c r="J667" s="24" t="e">
        <f ca="1">[1]!BexGetData("DP_1","003N8EMH8GTFRCSWKMPXRSGPQ","GSON1112050024")</f>
        <v>#NAME?</v>
      </c>
      <c r="K667" s="28" t="e">
        <f ca="1">[1]!BexGetData("DP_1","003N8EMH8GTFRIVNUPY288VJH","GSON1112050024")</f>
        <v>#NAME?</v>
      </c>
      <c r="L667" s="28" t="e">
        <f ca="1">[1]!BexGetData("DP_1","003N8EMH8GTFRIVNUPY2891V1","GSON1112050024")</f>
        <v>#NAME?</v>
      </c>
      <c r="M667" s="28" t="e">
        <f ca="1">[1]!BexGetData("DP_1","003N8EMH8GTFRIVOG7KG9IQXA","GSON1112050024")</f>
        <v>#NAME?</v>
      </c>
      <c r="N667" s="28" t="e">
        <f ca="1">[1]!BexGetData("DP_1","003N8EMH8GTFRIVOG7KG9IX8U","GSON1112050024")</f>
        <v>#NAME?</v>
      </c>
      <c r="O667" s="28" t="e">
        <f ca="1">[1]!BexGetData("DP_1","003N8EMH8GTFRIVOG7KG9J3KE","GSON1112050024")</f>
        <v>#NAME?</v>
      </c>
      <c r="P667" s="28" t="e">
        <f ca="1">[1]!BexGetData("DP_1","003N8EMH8GTFRIVOG7KG9J9VY","GSON1112050024")</f>
        <v>#NAME?</v>
      </c>
      <c r="Q667" s="24" t="e">
        <f ca="1">[1]!BexGetData("DP_1","00O2TNJGODT0G5Z4TTKYMM5MT","GSON1112050024")</f>
        <v>#NAME?</v>
      </c>
      <c r="R667" s="28" t="e">
        <f ca="1">[1]!BexGetData("DP_1","00O2TNJGODT0G5Z4TTKYMMBYD","GSON1112050024")</f>
        <v>#NAME?</v>
      </c>
      <c r="S667" s="28" t="e">
        <f ca="1">[1]!BexGetData("DP_1","00O2TNJGODT0G5Z4TTKYMMI9X","GSON1112050024")</f>
        <v>#NAME?</v>
      </c>
      <c r="T667" s="28" t="e">
        <f ca="1">[1]!BexGetData("DP_1","00O2TNJGODT0G5Z4TTKYMMOLH","GSON1112050024")</f>
        <v>#NAME?</v>
      </c>
      <c r="U667" s="28" t="e">
        <f ca="1">[1]!BexGetData("DP_1","00O2TNJGODT0G5Z4TTKYMMUX1","GSON1112050024")</f>
        <v>#NAME?</v>
      </c>
      <c r="V667" s="28" t="e">
        <f ca="1">[1]!BexGetData("DP_1","00O2TNJGODT0G5Z4TTKYMN18L","GSON1112050024")</f>
        <v>#NAME?</v>
      </c>
      <c r="W667" s="28" t="e">
        <f ca="1">[1]!BexGetData("DP_1","00O2TNJGODT0G5Z4TTKYMN7K5","GSON1112050024")</f>
        <v>#NAME?</v>
      </c>
    </row>
    <row r="668" spans="1:23" x14ac:dyDescent="0.2">
      <c r="A668" s="36" t="s">
        <v>2760</v>
      </c>
      <c r="B668" s="27" t="s">
        <v>2761</v>
      </c>
      <c r="C668" s="23" t="e">
        <f ca="1">[1]!BexGetData("DP_1","003N8EMH8GTFRCSWKMPXRR8GU","GSON1112050025")</f>
        <v>#NAME?</v>
      </c>
      <c r="D668" s="23" t="e">
        <f ca="1">[1]!BexGetData("DP_1","003N8EMH8GTFRCSWKMPXRRESE","GSON1112050025")</f>
        <v>#NAME?</v>
      </c>
      <c r="E668" s="28" t="e">
        <f ca="1">[1]!BexGetData("DP_1","003N8EMH8GTFRCSWKMPXRRL3Y","GSON1112050025")</f>
        <v>#NAME?</v>
      </c>
      <c r="F668" s="28" t="e">
        <f ca="1">[1]!BexGetData("DP_1","003N8EMH8GTFRCSWKMPXRRRFI","GSON1112050025")</f>
        <v>#NAME?</v>
      </c>
      <c r="G668" s="23" t="e">
        <f ca="1">[1]!BexGetData("DP_1","003N8EMH8GTFRCSWKMPXRRXR2","GSON1112050025")</f>
        <v>#NAME?</v>
      </c>
      <c r="H668" s="23" t="e">
        <f ca="1">[1]!BexGetData("DP_1","003N8EMH8GTFRCSWKMPXRS42M","GSON1112050025")</f>
        <v>#NAME?</v>
      </c>
      <c r="I668" s="28" t="e">
        <f ca="1">[1]!BexGetData("DP_1","003N8EMH8GTFRCSWKMPXRSAE6","GSON1112050025")</f>
        <v>#NAME?</v>
      </c>
      <c r="J668" s="24" t="e">
        <f ca="1">[1]!BexGetData("DP_1","003N8EMH8GTFRCSWKMPXRSGPQ","GSON1112050025")</f>
        <v>#NAME?</v>
      </c>
      <c r="K668" s="28" t="e">
        <f ca="1">[1]!BexGetData("DP_1","003N8EMH8GTFRIVNUPY288VJH","GSON1112050025")</f>
        <v>#NAME?</v>
      </c>
      <c r="L668" s="28" t="e">
        <f ca="1">[1]!BexGetData("DP_1","003N8EMH8GTFRIVNUPY2891V1","GSON1112050025")</f>
        <v>#NAME?</v>
      </c>
      <c r="M668" s="28" t="e">
        <f ca="1">[1]!BexGetData("DP_1","003N8EMH8GTFRIVOG7KG9IQXA","GSON1112050025")</f>
        <v>#NAME?</v>
      </c>
      <c r="N668" s="28" t="e">
        <f ca="1">[1]!BexGetData("DP_1","003N8EMH8GTFRIVOG7KG9IX8U","GSON1112050025")</f>
        <v>#NAME?</v>
      </c>
      <c r="O668" s="28" t="e">
        <f ca="1">[1]!BexGetData("DP_1","003N8EMH8GTFRIVOG7KG9J3KE","GSON1112050025")</f>
        <v>#NAME?</v>
      </c>
      <c r="P668" s="28" t="e">
        <f ca="1">[1]!BexGetData("DP_1","003N8EMH8GTFRIVOG7KG9J9VY","GSON1112050025")</f>
        <v>#NAME?</v>
      </c>
      <c r="Q668" s="24" t="e">
        <f ca="1">[1]!BexGetData("DP_1","00O2TNJGODT0G5Z4TTKYMM5MT","GSON1112050025")</f>
        <v>#NAME?</v>
      </c>
      <c r="R668" s="28" t="e">
        <f ca="1">[1]!BexGetData("DP_1","00O2TNJGODT0G5Z4TTKYMMBYD","GSON1112050025")</f>
        <v>#NAME?</v>
      </c>
      <c r="S668" s="28" t="e">
        <f ca="1">[1]!BexGetData("DP_1","00O2TNJGODT0G5Z4TTKYMMI9X","GSON1112050025")</f>
        <v>#NAME?</v>
      </c>
      <c r="T668" s="28" t="e">
        <f ca="1">[1]!BexGetData("DP_1","00O2TNJGODT0G5Z4TTKYMMOLH","GSON1112050025")</f>
        <v>#NAME?</v>
      </c>
      <c r="U668" s="28" t="e">
        <f ca="1">[1]!BexGetData("DP_1","00O2TNJGODT0G5Z4TTKYMMUX1","GSON1112050025")</f>
        <v>#NAME?</v>
      </c>
      <c r="V668" s="28" t="e">
        <f ca="1">[1]!BexGetData("DP_1","00O2TNJGODT0G5Z4TTKYMN18L","GSON1112050025")</f>
        <v>#NAME?</v>
      </c>
      <c r="W668" s="28" t="e">
        <f ca="1">[1]!BexGetData("DP_1","00O2TNJGODT0G5Z4TTKYMN7K5","GSON1112050025")</f>
        <v>#NAME?</v>
      </c>
    </row>
    <row r="669" spans="1:23" x14ac:dyDescent="0.2">
      <c r="A669" s="36" t="s">
        <v>2762</v>
      </c>
      <c r="B669" s="27" t="s">
        <v>2763</v>
      </c>
      <c r="C669" s="23" t="e">
        <f ca="1">[1]!BexGetData("DP_1","003N8EMH8GTFRCSWKMPXRR8GU","GSON1112050030")</f>
        <v>#NAME?</v>
      </c>
      <c r="D669" s="23" t="e">
        <f ca="1">[1]!BexGetData("DP_1","003N8EMH8GTFRCSWKMPXRRESE","GSON1112050030")</f>
        <v>#NAME?</v>
      </c>
      <c r="E669" s="23" t="e">
        <f ca="1">[1]!BexGetData("DP_1","003N8EMH8GTFRCSWKMPXRRL3Y","GSON1112050030")</f>
        <v>#NAME?</v>
      </c>
      <c r="F669" s="23" t="e">
        <f ca="1">[1]!BexGetData("DP_1","003N8EMH8GTFRCSWKMPXRRRFI","GSON1112050030")</f>
        <v>#NAME?</v>
      </c>
      <c r="G669" s="23" t="e">
        <f ca="1">[1]!BexGetData("DP_1","003N8EMH8GTFRCSWKMPXRRXR2","GSON1112050030")</f>
        <v>#NAME?</v>
      </c>
      <c r="H669" s="23" t="e">
        <f ca="1">[1]!BexGetData("DP_1","003N8EMH8GTFRCSWKMPXRS42M","GSON1112050030")</f>
        <v>#NAME?</v>
      </c>
      <c r="I669" s="23" t="e">
        <f ca="1">[1]!BexGetData("DP_1","003N8EMH8GTFRCSWKMPXRSAE6","GSON1112050030")</f>
        <v>#NAME?</v>
      </c>
      <c r="J669" s="23" t="e">
        <f ca="1">[1]!BexGetData("DP_1","003N8EMH8GTFRCSWKMPXRSGPQ","GSON1112050030")</f>
        <v>#NAME?</v>
      </c>
      <c r="K669" s="23" t="e">
        <f ca="1">[1]!BexGetData("DP_1","003N8EMH8GTFRIVNUPY288VJH","GSON1112050030")</f>
        <v>#NAME?</v>
      </c>
      <c r="L669" s="23" t="e">
        <f ca="1">[1]!BexGetData("DP_1","003N8EMH8GTFRIVNUPY2891V1","GSON1112050030")</f>
        <v>#NAME?</v>
      </c>
      <c r="M669" s="28" t="e">
        <f ca="1">[1]!BexGetData("DP_1","003N8EMH8GTFRIVOG7KG9IQXA","GSON1112050030")</f>
        <v>#NAME?</v>
      </c>
      <c r="N669" s="23" t="e">
        <f ca="1">[1]!BexGetData("DP_1","003N8EMH8GTFRIVOG7KG9IX8U","GSON1112050030")</f>
        <v>#NAME?</v>
      </c>
      <c r="O669" s="28" t="e">
        <f ca="1">[1]!BexGetData("DP_1","003N8EMH8GTFRIVOG7KG9J3KE","GSON1112050030")</f>
        <v>#NAME?</v>
      </c>
      <c r="P669" s="23" t="e">
        <f ca="1">[1]!BexGetData("DP_1","003N8EMH8GTFRIVOG7KG9J9VY","GSON1112050030")</f>
        <v>#NAME?</v>
      </c>
      <c r="Q669" s="23" t="e">
        <f ca="1">[1]!BexGetData("DP_1","00O2TNJGODT0G5Z4TTKYMM5MT","GSON1112050030")</f>
        <v>#NAME?</v>
      </c>
      <c r="R669" s="23" t="e">
        <f ca="1">[1]!BexGetData("DP_1","00O2TNJGODT0G5Z4TTKYMMBYD","GSON1112050030")</f>
        <v>#NAME?</v>
      </c>
      <c r="S669" s="23" t="e">
        <f ca="1">[1]!BexGetData("DP_1","00O2TNJGODT0G5Z4TTKYMMI9X","GSON1112050030")</f>
        <v>#NAME?</v>
      </c>
      <c r="T669" s="28" t="e">
        <f ca="1">[1]!BexGetData("DP_1","00O2TNJGODT0G5Z4TTKYMMOLH","GSON1112050030")</f>
        <v>#NAME?</v>
      </c>
      <c r="U669" s="23" t="e">
        <f ca="1">[1]!BexGetData("DP_1","00O2TNJGODT0G5Z4TTKYMMUX1","GSON1112050030")</f>
        <v>#NAME?</v>
      </c>
      <c r="V669" s="28" t="e">
        <f ca="1">[1]!BexGetData("DP_1","00O2TNJGODT0G5Z4TTKYMN18L","GSON1112050030")</f>
        <v>#NAME?</v>
      </c>
      <c r="W669" s="23" t="e">
        <f ca="1">[1]!BexGetData("DP_1","00O2TNJGODT0G5Z4TTKYMN7K5","GSON1112050030")</f>
        <v>#NAME?</v>
      </c>
    </row>
    <row r="670" spans="1:23" x14ac:dyDescent="0.2">
      <c r="A670" s="36" t="s">
        <v>2764</v>
      </c>
      <c r="B670" s="27" t="s">
        <v>2765</v>
      </c>
      <c r="C670" s="23" t="e">
        <f ca="1">[1]!BexGetData("DP_1","003N8EMH8GTFRCSWKMPXRR8GU","GSON1112050031")</f>
        <v>#NAME?</v>
      </c>
      <c r="D670" s="23" t="e">
        <f ca="1">[1]!BexGetData("DP_1","003N8EMH8GTFRCSWKMPXRRESE","GSON1112050031")</f>
        <v>#NAME?</v>
      </c>
      <c r="E670" s="28" t="e">
        <f ca="1">[1]!BexGetData("DP_1","003N8EMH8GTFRCSWKMPXRRL3Y","GSON1112050031")</f>
        <v>#NAME?</v>
      </c>
      <c r="F670" s="28" t="e">
        <f ca="1">[1]!BexGetData("DP_1","003N8EMH8GTFRCSWKMPXRRRFI","GSON1112050031")</f>
        <v>#NAME?</v>
      </c>
      <c r="G670" s="23" t="e">
        <f ca="1">[1]!BexGetData("DP_1","003N8EMH8GTFRCSWKMPXRRXR2","GSON1112050031")</f>
        <v>#NAME?</v>
      </c>
      <c r="H670" s="23" t="e">
        <f ca="1">[1]!BexGetData("DP_1","003N8EMH8GTFRCSWKMPXRS42M","GSON1112050031")</f>
        <v>#NAME?</v>
      </c>
      <c r="I670" s="28" t="e">
        <f ca="1">[1]!BexGetData("DP_1","003N8EMH8GTFRCSWKMPXRSAE6","GSON1112050031")</f>
        <v>#NAME?</v>
      </c>
      <c r="J670" s="24" t="e">
        <f ca="1">[1]!BexGetData("DP_1","003N8EMH8GTFRCSWKMPXRSGPQ","GSON1112050031")</f>
        <v>#NAME?</v>
      </c>
      <c r="K670" s="28" t="e">
        <f ca="1">[1]!BexGetData("DP_1","003N8EMH8GTFRIVNUPY288VJH","GSON1112050031")</f>
        <v>#NAME?</v>
      </c>
      <c r="L670" s="28" t="e">
        <f ca="1">[1]!BexGetData("DP_1","003N8EMH8GTFRIVNUPY2891V1","GSON1112050031")</f>
        <v>#NAME?</v>
      </c>
      <c r="M670" s="28" t="e">
        <f ca="1">[1]!BexGetData("DP_1","003N8EMH8GTFRIVOG7KG9IQXA","GSON1112050031")</f>
        <v>#NAME?</v>
      </c>
      <c r="N670" s="28" t="e">
        <f ca="1">[1]!BexGetData("DP_1","003N8EMH8GTFRIVOG7KG9IX8U","GSON1112050031")</f>
        <v>#NAME?</v>
      </c>
      <c r="O670" s="28" t="e">
        <f ca="1">[1]!BexGetData("DP_1","003N8EMH8GTFRIVOG7KG9J3KE","GSON1112050031")</f>
        <v>#NAME?</v>
      </c>
      <c r="P670" s="28" t="e">
        <f ca="1">[1]!BexGetData("DP_1","003N8EMH8GTFRIVOG7KG9J9VY","GSON1112050031")</f>
        <v>#NAME?</v>
      </c>
      <c r="Q670" s="24" t="e">
        <f ca="1">[1]!BexGetData("DP_1","00O2TNJGODT0G5Z4TTKYMM5MT","GSON1112050031")</f>
        <v>#NAME?</v>
      </c>
      <c r="R670" s="28" t="e">
        <f ca="1">[1]!BexGetData("DP_1","00O2TNJGODT0G5Z4TTKYMMBYD","GSON1112050031")</f>
        <v>#NAME?</v>
      </c>
      <c r="S670" s="28" t="e">
        <f ca="1">[1]!BexGetData("DP_1","00O2TNJGODT0G5Z4TTKYMMI9X","GSON1112050031")</f>
        <v>#NAME?</v>
      </c>
      <c r="T670" s="28" t="e">
        <f ca="1">[1]!BexGetData("DP_1","00O2TNJGODT0G5Z4TTKYMMOLH","GSON1112050031")</f>
        <v>#NAME?</v>
      </c>
      <c r="U670" s="28" t="e">
        <f ca="1">[1]!BexGetData("DP_1","00O2TNJGODT0G5Z4TTKYMMUX1","GSON1112050031")</f>
        <v>#NAME?</v>
      </c>
      <c r="V670" s="28" t="e">
        <f ca="1">[1]!BexGetData("DP_1","00O2TNJGODT0G5Z4TTKYMN18L","GSON1112050031")</f>
        <v>#NAME?</v>
      </c>
      <c r="W670" s="28" t="e">
        <f ca="1">[1]!BexGetData("DP_1","00O2TNJGODT0G5Z4TTKYMN7K5","GSON1112050031")</f>
        <v>#NAME?</v>
      </c>
    </row>
    <row r="671" spans="1:23" x14ac:dyDescent="0.2">
      <c r="A671" s="36" t="s">
        <v>2766</v>
      </c>
      <c r="B671" s="27" t="s">
        <v>2767</v>
      </c>
      <c r="C671" s="28" t="e">
        <f ca="1">[1]!BexGetData("DP_1","003N8EMH8GTFRCSWKMPXRR8GU","GSON1112050032")</f>
        <v>#NAME?</v>
      </c>
      <c r="D671" s="28" t="e">
        <f ca="1">[1]!BexGetData("DP_1","003N8EMH8GTFRCSWKMPXRRESE","GSON1112050032")</f>
        <v>#NAME?</v>
      </c>
      <c r="E671" s="28" t="e">
        <f ca="1">[1]!BexGetData("DP_1","003N8EMH8GTFRCSWKMPXRRL3Y","GSON1112050032")</f>
        <v>#NAME?</v>
      </c>
      <c r="F671" s="28" t="e">
        <f ca="1">[1]!BexGetData("DP_1","003N8EMH8GTFRCSWKMPXRRRFI","GSON1112050032")</f>
        <v>#NAME?</v>
      </c>
      <c r="G671" s="23" t="e">
        <f ca="1">[1]!BexGetData("DP_1","003N8EMH8GTFRCSWKMPXRRXR2","GSON1112050032")</f>
        <v>#NAME?</v>
      </c>
      <c r="H671" s="23" t="e">
        <f ca="1">[1]!BexGetData("DP_1","003N8EMH8GTFRCSWKMPXRS42M","GSON1112050032")</f>
        <v>#NAME?</v>
      </c>
      <c r="I671" s="28" t="e">
        <f ca="1">[1]!BexGetData("DP_1","003N8EMH8GTFRCSWKMPXRSAE6","GSON1112050032")</f>
        <v>#NAME?</v>
      </c>
      <c r="J671" s="24" t="e">
        <f ca="1">[1]!BexGetData("DP_1","003N8EMH8GTFRCSWKMPXRSGPQ","GSON1112050032")</f>
        <v>#NAME?</v>
      </c>
      <c r="K671" s="28" t="e">
        <f ca="1">[1]!BexGetData("DP_1","003N8EMH8GTFRIVNUPY288VJH","GSON1112050032")</f>
        <v>#NAME?</v>
      </c>
      <c r="L671" s="28" t="e">
        <f ca="1">[1]!BexGetData("DP_1","003N8EMH8GTFRIVNUPY2891V1","GSON1112050032")</f>
        <v>#NAME?</v>
      </c>
      <c r="M671" s="28" t="e">
        <f ca="1">[1]!BexGetData("DP_1","003N8EMH8GTFRIVOG7KG9IQXA","GSON1112050032")</f>
        <v>#NAME?</v>
      </c>
      <c r="N671" s="28" t="e">
        <f ca="1">[1]!BexGetData("DP_1","003N8EMH8GTFRIVOG7KG9IX8U","GSON1112050032")</f>
        <v>#NAME?</v>
      </c>
      <c r="O671" s="28" t="e">
        <f ca="1">[1]!BexGetData("DP_1","003N8EMH8GTFRIVOG7KG9J3KE","GSON1112050032")</f>
        <v>#NAME?</v>
      </c>
      <c r="P671" s="28" t="e">
        <f ca="1">[1]!BexGetData("DP_1","003N8EMH8GTFRIVOG7KG9J9VY","GSON1112050032")</f>
        <v>#NAME?</v>
      </c>
      <c r="Q671" s="24" t="e">
        <f ca="1">[1]!BexGetData("DP_1","00O2TNJGODT0G5Z4TTKYMM5MT","GSON1112050032")</f>
        <v>#NAME?</v>
      </c>
      <c r="R671" s="28" t="e">
        <f ca="1">[1]!BexGetData("DP_1","00O2TNJGODT0G5Z4TTKYMMBYD","GSON1112050032")</f>
        <v>#NAME?</v>
      </c>
      <c r="S671" s="28" t="e">
        <f ca="1">[1]!BexGetData("DP_1","00O2TNJGODT0G5Z4TTKYMMI9X","GSON1112050032")</f>
        <v>#NAME?</v>
      </c>
      <c r="T671" s="28" t="e">
        <f ca="1">[1]!BexGetData("DP_1","00O2TNJGODT0G5Z4TTKYMMOLH","GSON1112050032")</f>
        <v>#NAME?</v>
      </c>
      <c r="U671" s="28" t="e">
        <f ca="1">[1]!BexGetData("DP_1","00O2TNJGODT0G5Z4TTKYMMUX1","GSON1112050032")</f>
        <v>#NAME?</v>
      </c>
      <c r="V671" s="28" t="e">
        <f ca="1">[1]!BexGetData("DP_1","00O2TNJGODT0G5Z4TTKYMN18L","GSON1112050032")</f>
        <v>#NAME?</v>
      </c>
      <c r="W671" s="28" t="e">
        <f ca="1">[1]!BexGetData("DP_1","00O2TNJGODT0G5Z4TTKYMN7K5","GSON1112050032")</f>
        <v>#NAME?</v>
      </c>
    </row>
    <row r="672" spans="1:23" x14ac:dyDescent="0.2">
      <c r="A672" s="36" t="s">
        <v>2768</v>
      </c>
      <c r="B672" s="27" t="s">
        <v>2769</v>
      </c>
      <c r="C672" s="23" t="e">
        <f ca="1">[1]!BexGetData("DP_1","003N8EMH8GTFRCSWKMPXRR8GU","GSON1112050033")</f>
        <v>#NAME?</v>
      </c>
      <c r="D672" s="23" t="e">
        <f ca="1">[1]!BexGetData("DP_1","003N8EMH8GTFRCSWKMPXRRESE","GSON1112050033")</f>
        <v>#NAME?</v>
      </c>
      <c r="E672" s="23" t="e">
        <f ca="1">[1]!BexGetData("DP_1","003N8EMH8GTFRCSWKMPXRRL3Y","GSON1112050033")</f>
        <v>#NAME?</v>
      </c>
      <c r="F672" s="28" t="e">
        <f ca="1">[1]!BexGetData("DP_1","003N8EMH8GTFRCSWKMPXRRRFI","GSON1112050033")</f>
        <v>#NAME?</v>
      </c>
      <c r="G672" s="23" t="e">
        <f ca="1">[1]!BexGetData("DP_1","003N8EMH8GTFRCSWKMPXRRXR2","GSON1112050033")</f>
        <v>#NAME?</v>
      </c>
      <c r="H672" s="23" t="e">
        <f ca="1">[1]!BexGetData("DP_1","003N8EMH8GTFRCSWKMPXRS42M","GSON1112050033")</f>
        <v>#NAME?</v>
      </c>
      <c r="I672" s="28" t="e">
        <f ca="1">[1]!BexGetData("DP_1","003N8EMH8GTFRCSWKMPXRSAE6","GSON1112050033")</f>
        <v>#NAME?</v>
      </c>
      <c r="J672" s="24" t="e">
        <f ca="1">[1]!BexGetData("DP_1","003N8EMH8GTFRCSWKMPXRSGPQ","GSON1112050033")</f>
        <v>#NAME?</v>
      </c>
      <c r="K672" s="23" t="e">
        <f ca="1">[1]!BexGetData("DP_1","003N8EMH8GTFRIVNUPY288VJH","GSON1112050033")</f>
        <v>#NAME?</v>
      </c>
      <c r="L672" s="23" t="e">
        <f ca="1">[1]!BexGetData("DP_1","003N8EMH8GTFRIVNUPY2891V1","GSON1112050033")</f>
        <v>#NAME?</v>
      </c>
      <c r="M672" s="23" t="e">
        <f ca="1">[1]!BexGetData("DP_1","003N8EMH8GTFRIVOG7KG9IQXA","GSON1112050033")</f>
        <v>#NAME?</v>
      </c>
      <c r="N672" s="28" t="e">
        <f ca="1">[1]!BexGetData("DP_1","003N8EMH8GTFRIVOG7KG9IX8U","GSON1112050033")</f>
        <v>#NAME?</v>
      </c>
      <c r="O672" s="23" t="e">
        <f ca="1">[1]!BexGetData("DP_1","003N8EMH8GTFRIVOG7KG9J3KE","GSON1112050033")</f>
        <v>#NAME?</v>
      </c>
      <c r="P672" s="28" t="e">
        <f ca="1">[1]!BexGetData("DP_1","003N8EMH8GTFRIVOG7KG9J9VY","GSON1112050033")</f>
        <v>#NAME?</v>
      </c>
      <c r="Q672" s="24" t="e">
        <f ca="1">[1]!BexGetData("DP_1","00O2TNJGODT0G5Z4TTKYMM5MT","GSON1112050033")</f>
        <v>#NAME?</v>
      </c>
      <c r="R672" s="28" t="e">
        <f ca="1">[1]!BexGetData("DP_1","00O2TNJGODT0G5Z4TTKYMMBYD","GSON1112050033")</f>
        <v>#NAME?</v>
      </c>
      <c r="S672" s="28" t="e">
        <f ca="1">[1]!BexGetData("DP_1","00O2TNJGODT0G5Z4TTKYMMI9X","GSON1112050033")</f>
        <v>#NAME?</v>
      </c>
      <c r="T672" s="28" t="e">
        <f ca="1">[1]!BexGetData("DP_1","00O2TNJGODT0G5Z4TTKYMMOLH","GSON1112050033")</f>
        <v>#NAME?</v>
      </c>
      <c r="U672" s="28" t="e">
        <f ca="1">[1]!BexGetData("DP_1","00O2TNJGODT0G5Z4TTKYMMUX1","GSON1112050033")</f>
        <v>#NAME?</v>
      </c>
      <c r="V672" s="28" t="e">
        <f ca="1">[1]!BexGetData("DP_1","00O2TNJGODT0G5Z4TTKYMN18L","GSON1112050033")</f>
        <v>#NAME?</v>
      </c>
      <c r="W672" s="28" t="e">
        <f ca="1">[1]!BexGetData("DP_1","00O2TNJGODT0G5Z4TTKYMN7K5","GSON1112050033")</f>
        <v>#NAME?</v>
      </c>
    </row>
    <row r="673" spans="1:23" x14ac:dyDescent="0.2">
      <c r="A673" s="36" t="s">
        <v>2770</v>
      </c>
      <c r="B673" s="27" t="s">
        <v>2771</v>
      </c>
      <c r="C673" s="23" t="e">
        <f ca="1">[1]!BexGetData("DP_1","003N8EMH8GTFRCSWKMPXRR8GU","GSON1112050034")</f>
        <v>#NAME?</v>
      </c>
      <c r="D673" s="23" t="e">
        <f ca="1">[1]!BexGetData("DP_1","003N8EMH8GTFRCSWKMPXRRESE","GSON1112050034")</f>
        <v>#NAME?</v>
      </c>
      <c r="E673" s="28" t="e">
        <f ca="1">[1]!BexGetData("DP_1","003N8EMH8GTFRCSWKMPXRRL3Y","GSON1112050034")</f>
        <v>#NAME?</v>
      </c>
      <c r="F673" s="28" t="e">
        <f ca="1">[1]!BexGetData("DP_1","003N8EMH8GTFRCSWKMPXRRRFI","GSON1112050034")</f>
        <v>#NAME?</v>
      </c>
      <c r="G673" s="23" t="e">
        <f ca="1">[1]!BexGetData("DP_1","003N8EMH8GTFRCSWKMPXRRXR2","GSON1112050034")</f>
        <v>#NAME?</v>
      </c>
      <c r="H673" s="23" t="e">
        <f ca="1">[1]!BexGetData("DP_1","003N8EMH8GTFRCSWKMPXRS42M","GSON1112050034")</f>
        <v>#NAME?</v>
      </c>
      <c r="I673" s="28" t="e">
        <f ca="1">[1]!BexGetData("DP_1","003N8EMH8GTFRCSWKMPXRSAE6","GSON1112050034")</f>
        <v>#NAME?</v>
      </c>
      <c r="J673" s="24" t="e">
        <f ca="1">[1]!BexGetData("DP_1","003N8EMH8GTFRCSWKMPXRSGPQ","GSON1112050034")</f>
        <v>#NAME?</v>
      </c>
      <c r="K673" s="28" t="e">
        <f ca="1">[1]!BexGetData("DP_1","003N8EMH8GTFRIVNUPY288VJH","GSON1112050034")</f>
        <v>#NAME?</v>
      </c>
      <c r="L673" s="28" t="e">
        <f ca="1">[1]!BexGetData("DP_1","003N8EMH8GTFRIVNUPY2891V1","GSON1112050034")</f>
        <v>#NAME?</v>
      </c>
      <c r="M673" s="28" t="e">
        <f ca="1">[1]!BexGetData("DP_1","003N8EMH8GTFRIVOG7KG9IQXA","GSON1112050034")</f>
        <v>#NAME?</v>
      </c>
      <c r="N673" s="28" t="e">
        <f ca="1">[1]!BexGetData("DP_1","003N8EMH8GTFRIVOG7KG9IX8U","GSON1112050034")</f>
        <v>#NAME?</v>
      </c>
      <c r="O673" s="28" t="e">
        <f ca="1">[1]!BexGetData("DP_1","003N8EMH8GTFRIVOG7KG9J3KE","GSON1112050034")</f>
        <v>#NAME?</v>
      </c>
      <c r="P673" s="28" t="e">
        <f ca="1">[1]!BexGetData("DP_1","003N8EMH8GTFRIVOG7KG9J9VY","GSON1112050034")</f>
        <v>#NAME?</v>
      </c>
      <c r="Q673" s="24" t="e">
        <f ca="1">[1]!BexGetData("DP_1","00O2TNJGODT0G5Z4TTKYMM5MT","GSON1112050034")</f>
        <v>#NAME?</v>
      </c>
      <c r="R673" s="28" t="e">
        <f ca="1">[1]!BexGetData("DP_1","00O2TNJGODT0G5Z4TTKYMMBYD","GSON1112050034")</f>
        <v>#NAME?</v>
      </c>
      <c r="S673" s="28" t="e">
        <f ca="1">[1]!BexGetData("DP_1","00O2TNJGODT0G5Z4TTKYMMI9X","GSON1112050034")</f>
        <v>#NAME?</v>
      </c>
      <c r="T673" s="28" t="e">
        <f ca="1">[1]!BexGetData("DP_1","00O2TNJGODT0G5Z4TTKYMMOLH","GSON1112050034")</f>
        <v>#NAME?</v>
      </c>
      <c r="U673" s="28" t="e">
        <f ca="1">[1]!BexGetData("DP_1","00O2TNJGODT0G5Z4TTKYMMUX1","GSON1112050034")</f>
        <v>#NAME?</v>
      </c>
      <c r="V673" s="28" t="e">
        <f ca="1">[1]!BexGetData("DP_1","00O2TNJGODT0G5Z4TTKYMN18L","GSON1112050034")</f>
        <v>#NAME?</v>
      </c>
      <c r="W673" s="28" t="e">
        <f ca="1">[1]!BexGetData("DP_1","00O2TNJGODT0G5Z4TTKYMN7K5","GSON1112050034")</f>
        <v>#NAME?</v>
      </c>
    </row>
    <row r="674" spans="1:23" x14ac:dyDescent="0.2">
      <c r="A674" s="36" t="s">
        <v>2772</v>
      </c>
      <c r="B674" s="27" t="s">
        <v>2773</v>
      </c>
      <c r="C674" s="23" t="e">
        <f ca="1">[1]!BexGetData("DP_1","003N8EMH8GTFRCSWKMPXRR8GU","GSON1112050035")</f>
        <v>#NAME?</v>
      </c>
      <c r="D674" s="23" t="e">
        <f ca="1">[1]!BexGetData("DP_1","003N8EMH8GTFRCSWKMPXRRESE","GSON1112050035")</f>
        <v>#NAME?</v>
      </c>
      <c r="E674" s="28" t="e">
        <f ca="1">[1]!BexGetData("DP_1","003N8EMH8GTFRCSWKMPXRRL3Y","GSON1112050035")</f>
        <v>#NAME?</v>
      </c>
      <c r="F674" s="28" t="e">
        <f ca="1">[1]!BexGetData("DP_1","003N8EMH8GTFRCSWKMPXRRRFI","GSON1112050035")</f>
        <v>#NAME?</v>
      </c>
      <c r="G674" s="23" t="e">
        <f ca="1">[1]!BexGetData("DP_1","003N8EMH8GTFRCSWKMPXRRXR2","GSON1112050035")</f>
        <v>#NAME?</v>
      </c>
      <c r="H674" s="23" t="e">
        <f ca="1">[1]!BexGetData("DP_1","003N8EMH8GTFRCSWKMPXRS42M","GSON1112050035")</f>
        <v>#NAME?</v>
      </c>
      <c r="I674" s="28" t="e">
        <f ca="1">[1]!BexGetData("DP_1","003N8EMH8GTFRCSWKMPXRSAE6","GSON1112050035")</f>
        <v>#NAME?</v>
      </c>
      <c r="J674" s="24" t="e">
        <f ca="1">[1]!BexGetData("DP_1","003N8EMH8GTFRCSWKMPXRSGPQ","GSON1112050035")</f>
        <v>#NAME?</v>
      </c>
      <c r="K674" s="28" t="e">
        <f ca="1">[1]!BexGetData("DP_1","003N8EMH8GTFRIVNUPY288VJH","GSON1112050035")</f>
        <v>#NAME?</v>
      </c>
      <c r="L674" s="28" t="e">
        <f ca="1">[1]!BexGetData("DP_1","003N8EMH8GTFRIVNUPY2891V1","GSON1112050035")</f>
        <v>#NAME?</v>
      </c>
      <c r="M674" s="28" t="e">
        <f ca="1">[1]!BexGetData("DP_1","003N8EMH8GTFRIVOG7KG9IQXA","GSON1112050035")</f>
        <v>#NAME?</v>
      </c>
      <c r="N674" s="28" t="e">
        <f ca="1">[1]!BexGetData("DP_1","003N8EMH8GTFRIVOG7KG9IX8U","GSON1112050035")</f>
        <v>#NAME?</v>
      </c>
      <c r="O674" s="28" t="e">
        <f ca="1">[1]!BexGetData("DP_1","003N8EMH8GTFRIVOG7KG9J3KE","GSON1112050035")</f>
        <v>#NAME?</v>
      </c>
      <c r="P674" s="28" t="e">
        <f ca="1">[1]!BexGetData("DP_1","003N8EMH8GTFRIVOG7KG9J9VY","GSON1112050035")</f>
        <v>#NAME?</v>
      </c>
      <c r="Q674" s="24" t="e">
        <f ca="1">[1]!BexGetData("DP_1","00O2TNJGODT0G5Z4TTKYMM5MT","GSON1112050035")</f>
        <v>#NAME?</v>
      </c>
      <c r="R674" s="28" t="e">
        <f ca="1">[1]!BexGetData("DP_1","00O2TNJGODT0G5Z4TTKYMMBYD","GSON1112050035")</f>
        <v>#NAME?</v>
      </c>
      <c r="S674" s="28" t="e">
        <f ca="1">[1]!BexGetData("DP_1","00O2TNJGODT0G5Z4TTKYMMI9X","GSON1112050035")</f>
        <v>#NAME?</v>
      </c>
      <c r="T674" s="28" t="e">
        <f ca="1">[1]!BexGetData("DP_1","00O2TNJGODT0G5Z4TTKYMMOLH","GSON1112050035")</f>
        <v>#NAME?</v>
      </c>
      <c r="U674" s="28" t="e">
        <f ca="1">[1]!BexGetData("DP_1","00O2TNJGODT0G5Z4TTKYMMUX1","GSON1112050035")</f>
        <v>#NAME?</v>
      </c>
      <c r="V674" s="28" t="e">
        <f ca="1">[1]!BexGetData("DP_1","00O2TNJGODT0G5Z4TTKYMN18L","GSON1112050035")</f>
        <v>#NAME?</v>
      </c>
      <c r="W674" s="28" t="e">
        <f ca="1">[1]!BexGetData("DP_1","00O2TNJGODT0G5Z4TTKYMN7K5","GSON1112050035")</f>
        <v>#NAME?</v>
      </c>
    </row>
    <row r="675" spans="1:23" x14ac:dyDescent="0.2">
      <c r="A675" s="36" t="s">
        <v>2774</v>
      </c>
      <c r="B675" s="27" t="s">
        <v>947</v>
      </c>
      <c r="C675" s="23" t="e">
        <f ca="1">[1]!BexGetData("DP_1","003N8EMH8GTFRCSWKMPXRR8GU","GSON1112060010")</f>
        <v>#NAME?</v>
      </c>
      <c r="D675" s="23" t="e">
        <f ca="1">[1]!BexGetData("DP_1","003N8EMH8GTFRCSWKMPXRRESE","GSON1112060010")</f>
        <v>#NAME?</v>
      </c>
      <c r="E675" s="23" t="e">
        <f ca="1">[1]!BexGetData("DP_1","003N8EMH8GTFRCSWKMPXRRL3Y","GSON1112060010")</f>
        <v>#NAME?</v>
      </c>
      <c r="F675" s="23" t="e">
        <f ca="1">[1]!BexGetData("DP_1","003N8EMH8GTFRCSWKMPXRRRFI","GSON1112060010")</f>
        <v>#NAME?</v>
      </c>
      <c r="G675" s="23" t="e">
        <f ca="1">[1]!BexGetData("DP_1","003N8EMH8GTFRCSWKMPXRRXR2","GSON1112060010")</f>
        <v>#NAME?</v>
      </c>
      <c r="H675" s="23" t="e">
        <f ca="1">[1]!BexGetData("DP_1","003N8EMH8GTFRCSWKMPXRS42M","GSON1112060010")</f>
        <v>#NAME?</v>
      </c>
      <c r="I675" s="23" t="e">
        <f ca="1">[1]!BexGetData("DP_1","003N8EMH8GTFRCSWKMPXRSAE6","GSON1112060010")</f>
        <v>#NAME?</v>
      </c>
      <c r="J675" s="23" t="e">
        <f ca="1">[1]!BexGetData("DP_1","003N8EMH8GTFRCSWKMPXRSGPQ","GSON1112060010")</f>
        <v>#NAME?</v>
      </c>
      <c r="K675" s="23" t="e">
        <f ca="1">[1]!BexGetData("DP_1","003N8EMH8GTFRIVNUPY288VJH","GSON1112060010")</f>
        <v>#NAME?</v>
      </c>
      <c r="L675" s="23" t="e">
        <f ca="1">[1]!BexGetData("DP_1","003N8EMH8GTFRIVNUPY2891V1","GSON1112060010")</f>
        <v>#NAME?</v>
      </c>
      <c r="M675" s="23" t="e">
        <f ca="1">[1]!BexGetData("DP_1","003N8EMH8GTFRIVOG7KG9IQXA","GSON1112060010")</f>
        <v>#NAME?</v>
      </c>
      <c r="N675" s="28" t="e">
        <f ca="1">[1]!BexGetData("DP_1","003N8EMH8GTFRIVOG7KG9IX8U","GSON1112060010")</f>
        <v>#NAME?</v>
      </c>
      <c r="O675" s="23" t="e">
        <f ca="1">[1]!BexGetData("DP_1","003N8EMH8GTFRIVOG7KG9J3KE","GSON1112060010")</f>
        <v>#NAME?</v>
      </c>
      <c r="P675" s="28" t="e">
        <f ca="1">[1]!BexGetData("DP_1","003N8EMH8GTFRIVOG7KG9J9VY","GSON1112060010")</f>
        <v>#NAME?</v>
      </c>
      <c r="Q675" s="23" t="e">
        <f ca="1">[1]!BexGetData("DP_1","00O2TNJGODT0G5Z4TTKYMM5MT","GSON1112060010")</f>
        <v>#NAME?</v>
      </c>
      <c r="R675" s="23" t="e">
        <f ca="1">[1]!BexGetData("DP_1","00O2TNJGODT0G5Z4TTKYMMBYD","GSON1112060010")</f>
        <v>#NAME?</v>
      </c>
      <c r="S675" s="23" t="e">
        <f ca="1">[1]!BexGetData("DP_1","00O2TNJGODT0G5Z4TTKYMMI9X","GSON1112060010")</f>
        <v>#NAME?</v>
      </c>
      <c r="T675" s="23" t="e">
        <f ca="1">[1]!BexGetData("DP_1","00O2TNJGODT0G5Z4TTKYMMOLH","GSON1112060010")</f>
        <v>#NAME?</v>
      </c>
      <c r="U675" s="28" t="e">
        <f ca="1">[1]!BexGetData("DP_1","00O2TNJGODT0G5Z4TTKYMMUX1","GSON1112060010")</f>
        <v>#NAME?</v>
      </c>
      <c r="V675" s="23" t="e">
        <f ca="1">[1]!BexGetData("DP_1","00O2TNJGODT0G5Z4TTKYMN18L","GSON1112060010")</f>
        <v>#NAME?</v>
      </c>
      <c r="W675" s="28" t="e">
        <f ca="1">[1]!BexGetData("DP_1","00O2TNJGODT0G5Z4TTKYMN7K5","GSON1112060010")</f>
        <v>#NAME?</v>
      </c>
    </row>
    <row r="676" spans="1:23" x14ac:dyDescent="0.2">
      <c r="A676" s="36" t="s">
        <v>2775</v>
      </c>
      <c r="B676" s="27" t="s">
        <v>627</v>
      </c>
      <c r="C676" s="23" t="e">
        <f ca="1">[1]!BexGetData("DP_1","003N8EMH8GTFRCSWKMPXRR8GU","GSON1112060011")</f>
        <v>#NAME?</v>
      </c>
      <c r="D676" s="23" t="e">
        <f ca="1">[1]!BexGetData("DP_1","003N8EMH8GTFRCSWKMPXRRESE","GSON1112060011")</f>
        <v>#NAME?</v>
      </c>
      <c r="E676" s="28" t="e">
        <f ca="1">[1]!BexGetData("DP_1","003N8EMH8GTFRCSWKMPXRRL3Y","GSON1112060011")</f>
        <v>#NAME?</v>
      </c>
      <c r="F676" s="28" t="e">
        <f ca="1">[1]!BexGetData("DP_1","003N8EMH8GTFRCSWKMPXRRRFI","GSON1112060011")</f>
        <v>#NAME?</v>
      </c>
      <c r="G676" s="23" t="e">
        <f ca="1">[1]!BexGetData("DP_1","003N8EMH8GTFRCSWKMPXRRXR2","GSON1112060011")</f>
        <v>#NAME?</v>
      </c>
      <c r="H676" s="23" t="e">
        <f ca="1">[1]!BexGetData("DP_1","003N8EMH8GTFRCSWKMPXRS42M","GSON1112060011")</f>
        <v>#NAME?</v>
      </c>
      <c r="I676" s="28" t="e">
        <f ca="1">[1]!BexGetData("DP_1","003N8EMH8GTFRCSWKMPXRSAE6","GSON1112060011")</f>
        <v>#NAME?</v>
      </c>
      <c r="J676" s="24" t="e">
        <f ca="1">[1]!BexGetData("DP_1","003N8EMH8GTFRCSWKMPXRSGPQ","GSON1112060011")</f>
        <v>#NAME?</v>
      </c>
      <c r="K676" s="28" t="e">
        <f ca="1">[1]!BexGetData("DP_1","003N8EMH8GTFRIVNUPY288VJH","GSON1112060011")</f>
        <v>#NAME?</v>
      </c>
      <c r="L676" s="28" t="e">
        <f ca="1">[1]!BexGetData("DP_1","003N8EMH8GTFRIVNUPY2891V1","GSON1112060011")</f>
        <v>#NAME?</v>
      </c>
      <c r="M676" s="28" t="e">
        <f ca="1">[1]!BexGetData("DP_1","003N8EMH8GTFRIVOG7KG9IQXA","GSON1112060011")</f>
        <v>#NAME?</v>
      </c>
      <c r="N676" s="28" t="e">
        <f ca="1">[1]!BexGetData("DP_1","003N8EMH8GTFRIVOG7KG9IX8U","GSON1112060011")</f>
        <v>#NAME?</v>
      </c>
      <c r="O676" s="28" t="e">
        <f ca="1">[1]!BexGetData("DP_1","003N8EMH8GTFRIVOG7KG9J3KE","GSON1112060011")</f>
        <v>#NAME?</v>
      </c>
      <c r="P676" s="28" t="e">
        <f ca="1">[1]!BexGetData("DP_1","003N8EMH8GTFRIVOG7KG9J9VY","GSON1112060011")</f>
        <v>#NAME?</v>
      </c>
      <c r="Q676" s="24" t="e">
        <f ca="1">[1]!BexGetData("DP_1","00O2TNJGODT0G5Z4TTKYMM5MT","GSON1112060011")</f>
        <v>#NAME?</v>
      </c>
      <c r="R676" s="28" t="e">
        <f ca="1">[1]!BexGetData("DP_1","00O2TNJGODT0G5Z4TTKYMMBYD","GSON1112060011")</f>
        <v>#NAME?</v>
      </c>
      <c r="S676" s="28" t="e">
        <f ca="1">[1]!BexGetData("DP_1","00O2TNJGODT0G5Z4TTKYMMI9X","GSON1112060011")</f>
        <v>#NAME?</v>
      </c>
      <c r="T676" s="28" t="e">
        <f ca="1">[1]!BexGetData("DP_1","00O2TNJGODT0G5Z4TTKYMMOLH","GSON1112060011")</f>
        <v>#NAME?</v>
      </c>
      <c r="U676" s="28" t="e">
        <f ca="1">[1]!BexGetData("DP_1","00O2TNJGODT0G5Z4TTKYMMUX1","GSON1112060011")</f>
        <v>#NAME?</v>
      </c>
      <c r="V676" s="28" t="e">
        <f ca="1">[1]!BexGetData("DP_1","00O2TNJGODT0G5Z4TTKYMN18L","GSON1112060011")</f>
        <v>#NAME?</v>
      </c>
      <c r="W676" s="28" t="e">
        <f ca="1">[1]!BexGetData("DP_1","00O2TNJGODT0G5Z4TTKYMN7K5","GSON1112060011")</f>
        <v>#NAME?</v>
      </c>
    </row>
    <row r="677" spans="1:23" x14ac:dyDescent="0.2">
      <c r="A677" s="36" t="s">
        <v>2776</v>
      </c>
      <c r="B677" s="27" t="s">
        <v>948</v>
      </c>
      <c r="C677" s="23" t="e">
        <f ca="1">[1]!BexGetData("DP_1","003N8EMH8GTFRCSWKMPXRR8GU","GSON1112060013")</f>
        <v>#NAME?</v>
      </c>
      <c r="D677" s="23" t="e">
        <f ca="1">[1]!BexGetData("DP_1","003N8EMH8GTFRCSWKMPXRRESE","GSON1112060013")</f>
        <v>#NAME?</v>
      </c>
      <c r="E677" s="28" t="e">
        <f ca="1">[1]!BexGetData("DP_1","003N8EMH8GTFRCSWKMPXRRL3Y","GSON1112060013")</f>
        <v>#NAME?</v>
      </c>
      <c r="F677" s="28" t="e">
        <f ca="1">[1]!BexGetData("DP_1","003N8EMH8GTFRCSWKMPXRRRFI","GSON1112060013")</f>
        <v>#NAME?</v>
      </c>
      <c r="G677" s="23" t="e">
        <f ca="1">[1]!BexGetData("DP_1","003N8EMH8GTFRCSWKMPXRRXR2","GSON1112060013")</f>
        <v>#NAME?</v>
      </c>
      <c r="H677" s="23" t="e">
        <f ca="1">[1]!BexGetData("DP_1","003N8EMH8GTFRCSWKMPXRS42M","GSON1112060013")</f>
        <v>#NAME?</v>
      </c>
      <c r="I677" s="28" t="e">
        <f ca="1">[1]!BexGetData("DP_1","003N8EMH8GTFRCSWKMPXRSAE6","GSON1112060013")</f>
        <v>#NAME?</v>
      </c>
      <c r="J677" s="24" t="e">
        <f ca="1">[1]!BexGetData("DP_1","003N8EMH8GTFRCSWKMPXRSGPQ","GSON1112060013")</f>
        <v>#NAME?</v>
      </c>
      <c r="K677" s="28" t="e">
        <f ca="1">[1]!BexGetData("DP_1","003N8EMH8GTFRIVNUPY288VJH","GSON1112060013")</f>
        <v>#NAME?</v>
      </c>
      <c r="L677" s="28" t="e">
        <f ca="1">[1]!BexGetData("DP_1","003N8EMH8GTFRIVNUPY2891V1","GSON1112060013")</f>
        <v>#NAME?</v>
      </c>
      <c r="M677" s="28" t="e">
        <f ca="1">[1]!BexGetData("DP_1","003N8EMH8GTFRIVOG7KG9IQXA","GSON1112060013")</f>
        <v>#NAME?</v>
      </c>
      <c r="N677" s="28" t="e">
        <f ca="1">[1]!BexGetData("DP_1","003N8EMH8GTFRIVOG7KG9IX8U","GSON1112060013")</f>
        <v>#NAME?</v>
      </c>
      <c r="O677" s="28" t="e">
        <f ca="1">[1]!BexGetData("DP_1","003N8EMH8GTFRIVOG7KG9J3KE","GSON1112060013")</f>
        <v>#NAME?</v>
      </c>
      <c r="P677" s="28" t="e">
        <f ca="1">[1]!BexGetData("DP_1","003N8EMH8GTFRIVOG7KG9J9VY","GSON1112060013")</f>
        <v>#NAME?</v>
      </c>
      <c r="Q677" s="24" t="e">
        <f ca="1">[1]!BexGetData("DP_1","00O2TNJGODT0G5Z4TTKYMM5MT","GSON1112060013")</f>
        <v>#NAME?</v>
      </c>
      <c r="R677" s="28" t="e">
        <f ca="1">[1]!BexGetData("DP_1","00O2TNJGODT0G5Z4TTKYMMBYD","GSON1112060013")</f>
        <v>#NAME?</v>
      </c>
      <c r="S677" s="28" t="e">
        <f ca="1">[1]!BexGetData("DP_1","00O2TNJGODT0G5Z4TTKYMMI9X","GSON1112060013")</f>
        <v>#NAME?</v>
      </c>
      <c r="T677" s="28" t="e">
        <f ca="1">[1]!BexGetData("DP_1","00O2TNJGODT0G5Z4TTKYMMOLH","GSON1112060013")</f>
        <v>#NAME?</v>
      </c>
      <c r="U677" s="28" t="e">
        <f ca="1">[1]!BexGetData("DP_1","00O2TNJGODT0G5Z4TTKYMMUX1","GSON1112060013")</f>
        <v>#NAME?</v>
      </c>
      <c r="V677" s="28" t="e">
        <f ca="1">[1]!BexGetData("DP_1","00O2TNJGODT0G5Z4TTKYMN18L","GSON1112060013")</f>
        <v>#NAME?</v>
      </c>
      <c r="W677" s="28" t="e">
        <f ca="1">[1]!BexGetData("DP_1","00O2TNJGODT0G5Z4TTKYMN7K5","GSON1112060013")</f>
        <v>#NAME?</v>
      </c>
    </row>
    <row r="678" spans="1:23" x14ac:dyDescent="0.2">
      <c r="A678" s="36" t="s">
        <v>2777</v>
      </c>
      <c r="B678" s="27" t="s">
        <v>949</v>
      </c>
      <c r="C678" s="23" t="e">
        <f ca="1">[1]!BexGetData("DP_1","003N8EMH8GTFRCSWKMPXRR8GU","GSON1112060014")</f>
        <v>#NAME?</v>
      </c>
      <c r="D678" s="23" t="e">
        <f ca="1">[1]!BexGetData("DP_1","003N8EMH8GTFRCSWKMPXRRESE","GSON1112060014")</f>
        <v>#NAME?</v>
      </c>
      <c r="E678" s="28" t="e">
        <f ca="1">[1]!BexGetData("DP_1","003N8EMH8GTFRCSWKMPXRRL3Y","GSON1112060014")</f>
        <v>#NAME?</v>
      </c>
      <c r="F678" s="28" t="e">
        <f ca="1">[1]!BexGetData("DP_1","003N8EMH8GTFRCSWKMPXRRRFI","GSON1112060014")</f>
        <v>#NAME?</v>
      </c>
      <c r="G678" s="23" t="e">
        <f ca="1">[1]!BexGetData("DP_1","003N8EMH8GTFRCSWKMPXRRXR2","GSON1112060014")</f>
        <v>#NAME?</v>
      </c>
      <c r="H678" s="23" t="e">
        <f ca="1">[1]!BexGetData("DP_1","003N8EMH8GTFRCSWKMPXRS42M","GSON1112060014")</f>
        <v>#NAME?</v>
      </c>
      <c r="I678" s="28" t="e">
        <f ca="1">[1]!BexGetData("DP_1","003N8EMH8GTFRCSWKMPXRSAE6","GSON1112060014")</f>
        <v>#NAME?</v>
      </c>
      <c r="J678" s="24" t="e">
        <f ca="1">[1]!BexGetData("DP_1","003N8EMH8GTFRCSWKMPXRSGPQ","GSON1112060014")</f>
        <v>#NAME?</v>
      </c>
      <c r="K678" s="28" t="e">
        <f ca="1">[1]!BexGetData("DP_1","003N8EMH8GTFRIVNUPY288VJH","GSON1112060014")</f>
        <v>#NAME?</v>
      </c>
      <c r="L678" s="28" t="e">
        <f ca="1">[1]!BexGetData("DP_1","003N8EMH8GTFRIVNUPY2891V1","GSON1112060014")</f>
        <v>#NAME?</v>
      </c>
      <c r="M678" s="28" t="e">
        <f ca="1">[1]!BexGetData("DP_1","003N8EMH8GTFRIVOG7KG9IQXA","GSON1112060014")</f>
        <v>#NAME?</v>
      </c>
      <c r="N678" s="28" t="e">
        <f ca="1">[1]!BexGetData("DP_1","003N8EMH8GTFRIVOG7KG9IX8U","GSON1112060014")</f>
        <v>#NAME?</v>
      </c>
      <c r="O678" s="28" t="e">
        <f ca="1">[1]!BexGetData("DP_1","003N8EMH8GTFRIVOG7KG9J3KE","GSON1112060014")</f>
        <v>#NAME?</v>
      </c>
      <c r="P678" s="28" t="e">
        <f ca="1">[1]!BexGetData("DP_1","003N8EMH8GTFRIVOG7KG9J9VY","GSON1112060014")</f>
        <v>#NAME?</v>
      </c>
      <c r="Q678" s="24" t="e">
        <f ca="1">[1]!BexGetData("DP_1","00O2TNJGODT0G5Z4TTKYMM5MT","GSON1112060014")</f>
        <v>#NAME?</v>
      </c>
      <c r="R678" s="28" t="e">
        <f ca="1">[1]!BexGetData("DP_1","00O2TNJGODT0G5Z4TTKYMMBYD","GSON1112060014")</f>
        <v>#NAME?</v>
      </c>
      <c r="S678" s="28" t="e">
        <f ca="1">[1]!BexGetData("DP_1","00O2TNJGODT0G5Z4TTKYMMI9X","GSON1112060014")</f>
        <v>#NAME?</v>
      </c>
      <c r="T678" s="28" t="e">
        <f ca="1">[1]!BexGetData("DP_1","00O2TNJGODT0G5Z4TTKYMMOLH","GSON1112060014")</f>
        <v>#NAME?</v>
      </c>
      <c r="U678" s="28" t="e">
        <f ca="1">[1]!BexGetData("DP_1","00O2TNJGODT0G5Z4TTKYMMUX1","GSON1112060014")</f>
        <v>#NAME?</v>
      </c>
      <c r="V678" s="28" t="e">
        <f ca="1">[1]!BexGetData("DP_1","00O2TNJGODT0G5Z4TTKYMN18L","GSON1112060014")</f>
        <v>#NAME?</v>
      </c>
      <c r="W678" s="28" t="e">
        <f ca="1">[1]!BexGetData("DP_1","00O2TNJGODT0G5Z4TTKYMN7K5","GSON1112060014")</f>
        <v>#NAME?</v>
      </c>
    </row>
    <row r="679" spans="1:23" x14ac:dyDescent="0.2">
      <c r="A679" s="36" t="s">
        <v>2778</v>
      </c>
      <c r="B679" s="27" t="s">
        <v>950</v>
      </c>
      <c r="C679" s="23" t="e">
        <f ca="1">[1]!BexGetData("DP_1","003N8EMH8GTFRCSWKMPXRR8GU","GSON1112060015")</f>
        <v>#NAME?</v>
      </c>
      <c r="D679" s="23" t="e">
        <f ca="1">[1]!BexGetData("DP_1","003N8EMH8GTFRCSWKMPXRRESE","GSON1112060015")</f>
        <v>#NAME?</v>
      </c>
      <c r="E679" s="28" t="e">
        <f ca="1">[1]!BexGetData("DP_1","003N8EMH8GTFRCSWKMPXRRL3Y","GSON1112060015")</f>
        <v>#NAME?</v>
      </c>
      <c r="F679" s="28" t="e">
        <f ca="1">[1]!BexGetData("DP_1","003N8EMH8GTFRCSWKMPXRRRFI","GSON1112060015")</f>
        <v>#NAME?</v>
      </c>
      <c r="G679" s="23" t="e">
        <f ca="1">[1]!BexGetData("DP_1","003N8EMH8GTFRCSWKMPXRRXR2","GSON1112060015")</f>
        <v>#NAME?</v>
      </c>
      <c r="H679" s="23" t="e">
        <f ca="1">[1]!BexGetData("DP_1","003N8EMH8GTFRCSWKMPXRS42M","GSON1112060015")</f>
        <v>#NAME?</v>
      </c>
      <c r="I679" s="28" t="e">
        <f ca="1">[1]!BexGetData("DP_1","003N8EMH8GTFRCSWKMPXRSAE6","GSON1112060015")</f>
        <v>#NAME?</v>
      </c>
      <c r="J679" s="24" t="e">
        <f ca="1">[1]!BexGetData("DP_1","003N8EMH8GTFRCSWKMPXRSGPQ","GSON1112060015")</f>
        <v>#NAME?</v>
      </c>
      <c r="K679" s="28" t="e">
        <f ca="1">[1]!BexGetData("DP_1","003N8EMH8GTFRIVNUPY288VJH","GSON1112060015")</f>
        <v>#NAME?</v>
      </c>
      <c r="L679" s="28" t="e">
        <f ca="1">[1]!BexGetData("DP_1","003N8EMH8GTFRIVNUPY2891V1","GSON1112060015")</f>
        <v>#NAME?</v>
      </c>
      <c r="M679" s="28" t="e">
        <f ca="1">[1]!BexGetData("DP_1","003N8EMH8GTFRIVOG7KG9IQXA","GSON1112060015")</f>
        <v>#NAME?</v>
      </c>
      <c r="N679" s="28" t="e">
        <f ca="1">[1]!BexGetData("DP_1","003N8EMH8GTFRIVOG7KG9IX8U","GSON1112060015")</f>
        <v>#NAME?</v>
      </c>
      <c r="O679" s="28" t="e">
        <f ca="1">[1]!BexGetData("DP_1","003N8EMH8GTFRIVOG7KG9J3KE","GSON1112060015")</f>
        <v>#NAME?</v>
      </c>
      <c r="P679" s="28" t="e">
        <f ca="1">[1]!BexGetData("DP_1","003N8EMH8GTFRIVOG7KG9J9VY","GSON1112060015")</f>
        <v>#NAME?</v>
      </c>
      <c r="Q679" s="24" t="e">
        <f ca="1">[1]!BexGetData("DP_1","00O2TNJGODT0G5Z4TTKYMM5MT","GSON1112060015")</f>
        <v>#NAME?</v>
      </c>
      <c r="R679" s="28" t="e">
        <f ca="1">[1]!BexGetData("DP_1","00O2TNJGODT0G5Z4TTKYMMBYD","GSON1112060015")</f>
        <v>#NAME?</v>
      </c>
      <c r="S679" s="28" t="e">
        <f ca="1">[1]!BexGetData("DP_1","00O2TNJGODT0G5Z4TTKYMMI9X","GSON1112060015")</f>
        <v>#NAME?</v>
      </c>
      <c r="T679" s="28" t="e">
        <f ca="1">[1]!BexGetData("DP_1","00O2TNJGODT0G5Z4TTKYMMOLH","GSON1112060015")</f>
        <v>#NAME?</v>
      </c>
      <c r="U679" s="28" t="e">
        <f ca="1">[1]!BexGetData("DP_1","00O2TNJGODT0G5Z4TTKYMMUX1","GSON1112060015")</f>
        <v>#NAME?</v>
      </c>
      <c r="V679" s="28" t="e">
        <f ca="1">[1]!BexGetData("DP_1","00O2TNJGODT0G5Z4TTKYMN18L","GSON1112060015")</f>
        <v>#NAME?</v>
      </c>
      <c r="W679" s="28" t="e">
        <f ca="1">[1]!BexGetData("DP_1","00O2TNJGODT0G5Z4TTKYMN7K5","GSON1112060015")</f>
        <v>#NAME?</v>
      </c>
    </row>
    <row r="680" spans="1:23" x14ac:dyDescent="0.2">
      <c r="A680" s="36" t="s">
        <v>2779</v>
      </c>
      <c r="B680" s="27" t="s">
        <v>2780</v>
      </c>
      <c r="C680" s="23" t="e">
        <f ca="1">[1]!BexGetData("DP_1","003N8EMH8GTFRCSWKMPXRR8GU","GSON1112060020")</f>
        <v>#NAME?</v>
      </c>
      <c r="D680" s="23" t="e">
        <f ca="1">[1]!BexGetData("DP_1","003N8EMH8GTFRCSWKMPXRRESE","GSON1112060020")</f>
        <v>#NAME?</v>
      </c>
      <c r="E680" s="23" t="e">
        <f ca="1">[1]!BexGetData("DP_1","003N8EMH8GTFRCSWKMPXRRL3Y","GSON1112060020")</f>
        <v>#NAME?</v>
      </c>
      <c r="F680" s="23" t="e">
        <f ca="1">[1]!BexGetData("DP_1","003N8EMH8GTFRCSWKMPXRRRFI","GSON1112060020")</f>
        <v>#NAME?</v>
      </c>
      <c r="G680" s="23" t="e">
        <f ca="1">[1]!BexGetData("DP_1","003N8EMH8GTFRCSWKMPXRRXR2","GSON1112060020")</f>
        <v>#NAME?</v>
      </c>
      <c r="H680" s="23" t="e">
        <f ca="1">[1]!BexGetData("DP_1","003N8EMH8GTFRCSWKMPXRS42M","GSON1112060020")</f>
        <v>#NAME?</v>
      </c>
      <c r="I680" s="23" t="e">
        <f ca="1">[1]!BexGetData("DP_1","003N8EMH8GTFRCSWKMPXRSAE6","GSON1112060020")</f>
        <v>#NAME?</v>
      </c>
      <c r="J680" s="23" t="e">
        <f ca="1">[1]!BexGetData("DP_1","003N8EMH8GTFRCSWKMPXRSGPQ","GSON1112060020")</f>
        <v>#NAME?</v>
      </c>
      <c r="K680" s="23" t="e">
        <f ca="1">[1]!BexGetData("DP_1","003N8EMH8GTFRIVNUPY288VJH","GSON1112060020")</f>
        <v>#NAME?</v>
      </c>
      <c r="L680" s="23" t="e">
        <f ca="1">[1]!BexGetData("DP_1","003N8EMH8GTFRIVNUPY2891V1","GSON1112060020")</f>
        <v>#NAME?</v>
      </c>
      <c r="M680" s="28" t="e">
        <f ca="1">[1]!BexGetData("DP_1","003N8EMH8GTFRIVOG7KG9IQXA","GSON1112060020")</f>
        <v>#NAME?</v>
      </c>
      <c r="N680" s="23" t="e">
        <f ca="1">[1]!BexGetData("DP_1","003N8EMH8GTFRIVOG7KG9IX8U","GSON1112060020")</f>
        <v>#NAME?</v>
      </c>
      <c r="O680" s="28" t="e">
        <f ca="1">[1]!BexGetData("DP_1","003N8EMH8GTFRIVOG7KG9J3KE","GSON1112060020")</f>
        <v>#NAME?</v>
      </c>
      <c r="P680" s="23" t="e">
        <f ca="1">[1]!BexGetData("DP_1","003N8EMH8GTFRIVOG7KG9J9VY","GSON1112060020")</f>
        <v>#NAME?</v>
      </c>
      <c r="Q680" s="23" t="e">
        <f ca="1">[1]!BexGetData("DP_1","00O2TNJGODT0G5Z4TTKYMM5MT","GSON1112060020")</f>
        <v>#NAME?</v>
      </c>
      <c r="R680" s="23" t="e">
        <f ca="1">[1]!BexGetData("DP_1","00O2TNJGODT0G5Z4TTKYMMBYD","GSON1112060020")</f>
        <v>#NAME?</v>
      </c>
      <c r="S680" s="23" t="e">
        <f ca="1">[1]!BexGetData("DP_1","00O2TNJGODT0G5Z4TTKYMMI9X","GSON1112060020")</f>
        <v>#NAME?</v>
      </c>
      <c r="T680" s="23" t="e">
        <f ca="1">[1]!BexGetData("DP_1","00O2TNJGODT0G5Z4TTKYMMOLH","GSON1112060020")</f>
        <v>#NAME?</v>
      </c>
      <c r="U680" s="28" t="e">
        <f ca="1">[1]!BexGetData("DP_1","00O2TNJGODT0G5Z4TTKYMMUX1","GSON1112060020")</f>
        <v>#NAME?</v>
      </c>
      <c r="V680" s="23" t="e">
        <f ca="1">[1]!BexGetData("DP_1","00O2TNJGODT0G5Z4TTKYMN18L","GSON1112060020")</f>
        <v>#NAME?</v>
      </c>
      <c r="W680" s="28" t="e">
        <f ca="1">[1]!BexGetData("DP_1","00O2TNJGODT0G5Z4TTKYMN7K5","GSON1112060020")</f>
        <v>#NAME?</v>
      </c>
    </row>
    <row r="681" spans="1:23" x14ac:dyDescent="0.2">
      <c r="A681" s="36" t="s">
        <v>951</v>
      </c>
      <c r="B681" s="27" t="s">
        <v>952</v>
      </c>
      <c r="C681" s="23" t="e">
        <f ca="1">[1]!BexGetData("DP_1","003N8EMH8GTFRCSWKMPXRR8GU","GSON1112060021")</f>
        <v>#NAME?</v>
      </c>
      <c r="D681" s="23" t="e">
        <f ca="1">[1]!BexGetData("DP_1","003N8EMH8GTFRCSWKMPXRRESE","GSON1112060021")</f>
        <v>#NAME?</v>
      </c>
      <c r="E681" s="28" t="e">
        <f ca="1">[1]!BexGetData("DP_1","003N8EMH8GTFRCSWKMPXRRL3Y","GSON1112060021")</f>
        <v>#NAME?</v>
      </c>
      <c r="F681" s="28" t="e">
        <f ca="1">[1]!BexGetData("DP_1","003N8EMH8GTFRCSWKMPXRRRFI","GSON1112060021")</f>
        <v>#NAME?</v>
      </c>
      <c r="G681" s="23" t="e">
        <f ca="1">[1]!BexGetData("DP_1","003N8EMH8GTFRCSWKMPXRRXR2","GSON1112060021")</f>
        <v>#NAME?</v>
      </c>
      <c r="H681" s="23" t="e">
        <f ca="1">[1]!BexGetData("DP_1","003N8EMH8GTFRCSWKMPXRS42M","GSON1112060021")</f>
        <v>#NAME?</v>
      </c>
      <c r="I681" s="28" t="e">
        <f ca="1">[1]!BexGetData("DP_1","003N8EMH8GTFRCSWKMPXRSAE6","GSON1112060021")</f>
        <v>#NAME?</v>
      </c>
      <c r="J681" s="24" t="e">
        <f ca="1">[1]!BexGetData("DP_1","003N8EMH8GTFRCSWKMPXRSGPQ","GSON1112060021")</f>
        <v>#NAME?</v>
      </c>
      <c r="K681" s="28" t="e">
        <f ca="1">[1]!BexGetData("DP_1","003N8EMH8GTFRIVNUPY288VJH","GSON1112060021")</f>
        <v>#NAME?</v>
      </c>
      <c r="L681" s="28" t="e">
        <f ca="1">[1]!BexGetData("DP_1","003N8EMH8GTFRIVNUPY2891V1","GSON1112060021")</f>
        <v>#NAME?</v>
      </c>
      <c r="M681" s="28" t="e">
        <f ca="1">[1]!BexGetData("DP_1","003N8EMH8GTFRIVOG7KG9IQXA","GSON1112060021")</f>
        <v>#NAME?</v>
      </c>
      <c r="N681" s="28" t="e">
        <f ca="1">[1]!BexGetData("DP_1","003N8EMH8GTFRIVOG7KG9IX8U","GSON1112060021")</f>
        <v>#NAME?</v>
      </c>
      <c r="O681" s="28" t="e">
        <f ca="1">[1]!BexGetData("DP_1","003N8EMH8GTFRIVOG7KG9J3KE","GSON1112060021")</f>
        <v>#NAME?</v>
      </c>
      <c r="P681" s="28" t="e">
        <f ca="1">[1]!BexGetData("DP_1","003N8EMH8GTFRIVOG7KG9J9VY","GSON1112060021")</f>
        <v>#NAME?</v>
      </c>
      <c r="Q681" s="24" t="e">
        <f ca="1">[1]!BexGetData("DP_1","00O2TNJGODT0G5Z4TTKYMM5MT","GSON1112060021")</f>
        <v>#NAME?</v>
      </c>
      <c r="R681" s="28" t="e">
        <f ca="1">[1]!BexGetData("DP_1","00O2TNJGODT0G5Z4TTKYMMBYD","GSON1112060021")</f>
        <v>#NAME?</v>
      </c>
      <c r="S681" s="28" t="e">
        <f ca="1">[1]!BexGetData("DP_1","00O2TNJGODT0G5Z4TTKYMMI9X","GSON1112060021")</f>
        <v>#NAME?</v>
      </c>
      <c r="T681" s="28" t="e">
        <f ca="1">[1]!BexGetData("DP_1","00O2TNJGODT0G5Z4TTKYMMOLH","GSON1112060021")</f>
        <v>#NAME?</v>
      </c>
      <c r="U681" s="28" t="e">
        <f ca="1">[1]!BexGetData("DP_1","00O2TNJGODT0G5Z4TTKYMMUX1","GSON1112060021")</f>
        <v>#NAME?</v>
      </c>
      <c r="V681" s="28" t="e">
        <f ca="1">[1]!BexGetData("DP_1","00O2TNJGODT0G5Z4TTKYMN18L","GSON1112060021")</f>
        <v>#NAME?</v>
      </c>
      <c r="W681" s="28" t="e">
        <f ca="1">[1]!BexGetData("DP_1","00O2TNJGODT0G5Z4TTKYMN7K5","GSON1112060021")</f>
        <v>#NAME?</v>
      </c>
    </row>
    <row r="682" spans="1:23" x14ac:dyDescent="0.2">
      <c r="A682" s="36" t="s">
        <v>953</v>
      </c>
      <c r="B682" s="27" t="s">
        <v>954</v>
      </c>
      <c r="C682" s="23" t="e">
        <f ca="1">[1]!BexGetData("DP_1","003N8EMH8GTFRCSWKMPXRR8GU","GSON1112060023")</f>
        <v>#NAME?</v>
      </c>
      <c r="D682" s="23" t="e">
        <f ca="1">[1]!BexGetData("DP_1","003N8EMH8GTFRCSWKMPXRRESE","GSON1112060023")</f>
        <v>#NAME?</v>
      </c>
      <c r="E682" s="23" t="e">
        <f ca="1">[1]!BexGetData("DP_1","003N8EMH8GTFRCSWKMPXRRL3Y","GSON1112060023")</f>
        <v>#NAME?</v>
      </c>
      <c r="F682" s="28" t="e">
        <f ca="1">[1]!BexGetData("DP_1","003N8EMH8GTFRCSWKMPXRRRFI","GSON1112060023")</f>
        <v>#NAME?</v>
      </c>
      <c r="G682" s="23" t="e">
        <f ca="1">[1]!BexGetData("DP_1","003N8EMH8GTFRCSWKMPXRRXR2","GSON1112060023")</f>
        <v>#NAME?</v>
      </c>
      <c r="H682" s="23" t="e">
        <f ca="1">[1]!BexGetData("DP_1","003N8EMH8GTFRCSWKMPXRS42M","GSON1112060023")</f>
        <v>#NAME?</v>
      </c>
      <c r="I682" s="28" t="e">
        <f ca="1">[1]!BexGetData("DP_1","003N8EMH8GTFRCSWKMPXRSAE6","GSON1112060023")</f>
        <v>#NAME?</v>
      </c>
      <c r="J682" s="23" t="e">
        <f ca="1">[1]!BexGetData("DP_1","003N8EMH8GTFRCSWKMPXRSGPQ","GSON1112060023")</f>
        <v>#NAME?</v>
      </c>
      <c r="K682" s="23" t="e">
        <f ca="1">[1]!BexGetData("DP_1","003N8EMH8GTFRIVNUPY288VJH","GSON1112060023")</f>
        <v>#NAME?</v>
      </c>
      <c r="L682" s="23" t="e">
        <f ca="1">[1]!BexGetData("DP_1","003N8EMH8GTFRIVNUPY2891V1","GSON1112060023")</f>
        <v>#NAME?</v>
      </c>
      <c r="M682" s="23" t="e">
        <f ca="1">[1]!BexGetData("DP_1","003N8EMH8GTFRIVOG7KG9IQXA","GSON1112060023")</f>
        <v>#NAME?</v>
      </c>
      <c r="N682" s="28" t="e">
        <f ca="1">[1]!BexGetData("DP_1","003N8EMH8GTFRIVOG7KG9IX8U","GSON1112060023")</f>
        <v>#NAME?</v>
      </c>
      <c r="O682" s="23" t="e">
        <f ca="1">[1]!BexGetData("DP_1","003N8EMH8GTFRIVOG7KG9J3KE","GSON1112060023")</f>
        <v>#NAME?</v>
      </c>
      <c r="P682" s="28" t="e">
        <f ca="1">[1]!BexGetData("DP_1","003N8EMH8GTFRIVOG7KG9J9VY","GSON1112060023")</f>
        <v>#NAME?</v>
      </c>
      <c r="Q682" s="23" t="e">
        <f ca="1">[1]!BexGetData("DP_1","00O2TNJGODT0G5Z4TTKYMM5MT","GSON1112060023")</f>
        <v>#NAME?</v>
      </c>
      <c r="R682" s="23" t="e">
        <f ca="1">[1]!BexGetData("DP_1","00O2TNJGODT0G5Z4TTKYMMBYD","GSON1112060023")</f>
        <v>#NAME?</v>
      </c>
      <c r="S682" s="23" t="e">
        <f ca="1">[1]!BexGetData("DP_1","00O2TNJGODT0G5Z4TTKYMMI9X","GSON1112060023")</f>
        <v>#NAME?</v>
      </c>
      <c r="T682" s="28" t="e">
        <f ca="1">[1]!BexGetData("DP_1","00O2TNJGODT0G5Z4TTKYMMOLH","GSON1112060023")</f>
        <v>#NAME?</v>
      </c>
      <c r="U682" s="23" t="e">
        <f ca="1">[1]!BexGetData("DP_1","00O2TNJGODT0G5Z4TTKYMMUX1","GSON1112060023")</f>
        <v>#NAME?</v>
      </c>
      <c r="V682" s="28" t="e">
        <f ca="1">[1]!BexGetData("DP_1","00O2TNJGODT0G5Z4TTKYMN18L","GSON1112060023")</f>
        <v>#NAME?</v>
      </c>
      <c r="W682" s="23" t="e">
        <f ca="1">[1]!BexGetData("DP_1","00O2TNJGODT0G5Z4TTKYMN7K5","GSON1112060023")</f>
        <v>#NAME?</v>
      </c>
    </row>
    <row r="683" spans="1:23" x14ac:dyDescent="0.2">
      <c r="A683" s="36" t="s">
        <v>2781</v>
      </c>
      <c r="B683" s="27" t="s">
        <v>2782</v>
      </c>
      <c r="C683" s="23" t="e">
        <f ca="1">[1]!BexGetData("DP_1","003N8EMH8GTFRCSWKMPXRR8GU","GSON1112060024")</f>
        <v>#NAME?</v>
      </c>
      <c r="D683" s="23" t="e">
        <f ca="1">[1]!BexGetData("DP_1","003N8EMH8GTFRCSWKMPXRRESE","GSON1112060024")</f>
        <v>#NAME?</v>
      </c>
      <c r="E683" s="28" t="e">
        <f ca="1">[1]!BexGetData("DP_1","003N8EMH8GTFRCSWKMPXRRL3Y","GSON1112060024")</f>
        <v>#NAME?</v>
      </c>
      <c r="F683" s="28" t="e">
        <f ca="1">[1]!BexGetData("DP_1","003N8EMH8GTFRCSWKMPXRRRFI","GSON1112060024")</f>
        <v>#NAME?</v>
      </c>
      <c r="G683" s="23" t="e">
        <f ca="1">[1]!BexGetData("DP_1","003N8EMH8GTFRCSWKMPXRRXR2","GSON1112060024")</f>
        <v>#NAME?</v>
      </c>
      <c r="H683" s="23" t="e">
        <f ca="1">[1]!BexGetData("DP_1","003N8EMH8GTFRCSWKMPXRS42M","GSON1112060024")</f>
        <v>#NAME?</v>
      </c>
      <c r="I683" s="28" t="e">
        <f ca="1">[1]!BexGetData("DP_1","003N8EMH8GTFRCSWKMPXRSAE6","GSON1112060024")</f>
        <v>#NAME?</v>
      </c>
      <c r="J683" s="24" t="e">
        <f ca="1">[1]!BexGetData("DP_1","003N8EMH8GTFRCSWKMPXRSGPQ","GSON1112060024")</f>
        <v>#NAME?</v>
      </c>
      <c r="K683" s="28" t="e">
        <f ca="1">[1]!BexGetData("DP_1","003N8EMH8GTFRIVNUPY288VJH","GSON1112060024")</f>
        <v>#NAME?</v>
      </c>
      <c r="L683" s="28" t="e">
        <f ca="1">[1]!BexGetData("DP_1","003N8EMH8GTFRIVNUPY2891V1","GSON1112060024")</f>
        <v>#NAME?</v>
      </c>
      <c r="M683" s="28" t="e">
        <f ca="1">[1]!BexGetData("DP_1","003N8EMH8GTFRIVOG7KG9IQXA","GSON1112060024")</f>
        <v>#NAME?</v>
      </c>
      <c r="N683" s="28" t="e">
        <f ca="1">[1]!BexGetData("DP_1","003N8EMH8GTFRIVOG7KG9IX8U","GSON1112060024")</f>
        <v>#NAME?</v>
      </c>
      <c r="O683" s="28" t="e">
        <f ca="1">[1]!BexGetData("DP_1","003N8EMH8GTFRIVOG7KG9J3KE","GSON1112060024")</f>
        <v>#NAME?</v>
      </c>
      <c r="P683" s="28" t="e">
        <f ca="1">[1]!BexGetData("DP_1","003N8EMH8GTFRIVOG7KG9J9VY","GSON1112060024")</f>
        <v>#NAME?</v>
      </c>
      <c r="Q683" s="24" t="e">
        <f ca="1">[1]!BexGetData("DP_1","00O2TNJGODT0G5Z4TTKYMM5MT","GSON1112060024")</f>
        <v>#NAME?</v>
      </c>
      <c r="R683" s="28" t="e">
        <f ca="1">[1]!BexGetData("DP_1","00O2TNJGODT0G5Z4TTKYMMBYD","GSON1112060024")</f>
        <v>#NAME?</v>
      </c>
      <c r="S683" s="28" t="e">
        <f ca="1">[1]!BexGetData("DP_1","00O2TNJGODT0G5Z4TTKYMMI9X","GSON1112060024")</f>
        <v>#NAME?</v>
      </c>
      <c r="T683" s="28" t="e">
        <f ca="1">[1]!BexGetData("DP_1","00O2TNJGODT0G5Z4TTKYMMOLH","GSON1112060024")</f>
        <v>#NAME?</v>
      </c>
      <c r="U683" s="28" t="e">
        <f ca="1">[1]!BexGetData("DP_1","00O2TNJGODT0G5Z4TTKYMMUX1","GSON1112060024")</f>
        <v>#NAME?</v>
      </c>
      <c r="V683" s="28" t="e">
        <f ca="1">[1]!BexGetData("DP_1","00O2TNJGODT0G5Z4TTKYMN18L","GSON1112060024")</f>
        <v>#NAME?</v>
      </c>
      <c r="W683" s="28" t="e">
        <f ca="1">[1]!BexGetData("DP_1","00O2TNJGODT0G5Z4TTKYMN7K5","GSON1112060024")</f>
        <v>#NAME?</v>
      </c>
    </row>
    <row r="684" spans="1:23" x14ac:dyDescent="0.2">
      <c r="A684" s="36" t="s">
        <v>2783</v>
      </c>
      <c r="B684" s="27" t="s">
        <v>2784</v>
      </c>
      <c r="C684" s="24" t="e">
        <f ca="1">[1]!BexGetData("DP_1","003N8EMH8GTFRCSWKMPXRR8GU","GSON1112060025")</f>
        <v>#NAME?</v>
      </c>
      <c r="D684" s="24" t="e">
        <f ca="1">[1]!BexGetData("DP_1","003N8EMH8GTFRCSWKMPXRRESE","GSON1112060025")</f>
        <v>#NAME?</v>
      </c>
      <c r="E684" s="24" t="e">
        <f ca="1">[1]!BexGetData("DP_1","003N8EMH8GTFRCSWKMPXRRL3Y","GSON1112060025")</f>
        <v>#NAME?</v>
      </c>
      <c r="F684" s="28" t="e">
        <f ca="1">[1]!BexGetData("DP_1","003N8EMH8GTFRCSWKMPXRRRFI","GSON1112060025")</f>
        <v>#NAME?</v>
      </c>
      <c r="G684" s="23" t="e">
        <f ca="1">[1]!BexGetData("DP_1","003N8EMH8GTFRCSWKMPXRRXR2","GSON1112060025")</f>
        <v>#NAME?</v>
      </c>
      <c r="H684" s="23" t="e">
        <f ca="1">[1]!BexGetData("DP_1","003N8EMH8GTFRCSWKMPXRS42M","GSON1112060025")</f>
        <v>#NAME?</v>
      </c>
      <c r="I684" s="28" t="e">
        <f ca="1">[1]!BexGetData("DP_1","003N8EMH8GTFRCSWKMPXRSAE6","GSON1112060025")</f>
        <v>#NAME?</v>
      </c>
      <c r="J684" s="24" t="e">
        <f ca="1">[1]!BexGetData("DP_1","003N8EMH8GTFRCSWKMPXRSGPQ","GSON1112060025")</f>
        <v>#NAME?</v>
      </c>
      <c r="K684" s="28" t="e">
        <f ca="1">[1]!BexGetData("DP_1","003N8EMH8GTFRIVNUPY288VJH","GSON1112060025")</f>
        <v>#NAME?</v>
      </c>
      <c r="L684" s="28" t="e">
        <f ca="1">[1]!BexGetData("DP_1","003N8EMH8GTFRIVNUPY2891V1","GSON1112060025")</f>
        <v>#NAME?</v>
      </c>
      <c r="M684" s="28" t="e">
        <f ca="1">[1]!BexGetData("DP_1","003N8EMH8GTFRIVOG7KG9IQXA","GSON1112060025")</f>
        <v>#NAME?</v>
      </c>
      <c r="N684" s="28" t="e">
        <f ca="1">[1]!BexGetData("DP_1","003N8EMH8GTFRIVOG7KG9IX8U","GSON1112060025")</f>
        <v>#NAME?</v>
      </c>
      <c r="O684" s="28" t="e">
        <f ca="1">[1]!BexGetData("DP_1","003N8EMH8GTFRIVOG7KG9J3KE","GSON1112060025")</f>
        <v>#NAME?</v>
      </c>
      <c r="P684" s="28" t="e">
        <f ca="1">[1]!BexGetData("DP_1","003N8EMH8GTFRIVOG7KG9J9VY","GSON1112060025")</f>
        <v>#NAME?</v>
      </c>
      <c r="Q684" s="24" t="e">
        <f ca="1">[1]!BexGetData("DP_1","00O2TNJGODT0G5Z4TTKYMM5MT","GSON1112060025")</f>
        <v>#NAME?</v>
      </c>
      <c r="R684" s="28" t="e">
        <f ca="1">[1]!BexGetData("DP_1","00O2TNJGODT0G5Z4TTKYMMBYD","GSON1112060025")</f>
        <v>#NAME?</v>
      </c>
      <c r="S684" s="28" t="e">
        <f ca="1">[1]!BexGetData("DP_1","00O2TNJGODT0G5Z4TTKYMMI9X","GSON1112060025")</f>
        <v>#NAME?</v>
      </c>
      <c r="T684" s="28" t="e">
        <f ca="1">[1]!BexGetData("DP_1","00O2TNJGODT0G5Z4TTKYMMOLH","GSON1112060025")</f>
        <v>#NAME?</v>
      </c>
      <c r="U684" s="28" t="e">
        <f ca="1">[1]!BexGetData("DP_1","00O2TNJGODT0G5Z4TTKYMMUX1","GSON1112060025")</f>
        <v>#NAME?</v>
      </c>
      <c r="V684" s="28" t="e">
        <f ca="1">[1]!BexGetData("DP_1","00O2TNJGODT0G5Z4TTKYMN18L","GSON1112060025")</f>
        <v>#NAME?</v>
      </c>
      <c r="W684" s="28" t="e">
        <f ca="1">[1]!BexGetData("DP_1","00O2TNJGODT0G5Z4TTKYMN7K5","GSON1112060025")</f>
        <v>#NAME?</v>
      </c>
    </row>
    <row r="685" spans="1:23" x14ac:dyDescent="0.2">
      <c r="A685" s="36" t="s">
        <v>2785</v>
      </c>
      <c r="B685" s="27" t="s">
        <v>2786</v>
      </c>
      <c r="C685" s="23" t="e">
        <f ca="1">[1]!BexGetData("DP_1","003N8EMH8GTFRCSWKMPXRR8GU","GSON1112060030")</f>
        <v>#NAME?</v>
      </c>
      <c r="D685" s="23" t="e">
        <f ca="1">[1]!BexGetData("DP_1","003N8EMH8GTFRCSWKMPXRRESE","GSON1112060030")</f>
        <v>#NAME?</v>
      </c>
      <c r="E685" s="28" t="e">
        <f ca="1">[1]!BexGetData("DP_1","003N8EMH8GTFRCSWKMPXRRL3Y","GSON1112060030")</f>
        <v>#NAME?</v>
      </c>
      <c r="F685" s="23" t="e">
        <f ca="1">[1]!BexGetData("DP_1","003N8EMH8GTFRCSWKMPXRRRFI","GSON1112060030")</f>
        <v>#NAME?</v>
      </c>
      <c r="G685" s="23" t="e">
        <f ca="1">[1]!BexGetData("DP_1","003N8EMH8GTFRCSWKMPXRRXR2","GSON1112060030")</f>
        <v>#NAME?</v>
      </c>
      <c r="H685" s="23" t="e">
        <f ca="1">[1]!BexGetData("DP_1","003N8EMH8GTFRCSWKMPXRS42M","GSON1112060030")</f>
        <v>#NAME?</v>
      </c>
      <c r="I685" s="23" t="e">
        <f ca="1">[1]!BexGetData("DP_1","003N8EMH8GTFRCSWKMPXRSAE6","GSON1112060030")</f>
        <v>#NAME?</v>
      </c>
      <c r="J685" s="23" t="e">
        <f ca="1">[1]!BexGetData("DP_1","003N8EMH8GTFRCSWKMPXRSGPQ","GSON1112060030")</f>
        <v>#NAME?</v>
      </c>
      <c r="K685" s="23" t="e">
        <f ca="1">[1]!BexGetData("DP_1","003N8EMH8GTFRIVNUPY288VJH","GSON1112060030")</f>
        <v>#NAME?</v>
      </c>
      <c r="L685" s="23" t="e">
        <f ca="1">[1]!BexGetData("DP_1","003N8EMH8GTFRIVNUPY2891V1","GSON1112060030")</f>
        <v>#NAME?</v>
      </c>
      <c r="M685" s="23" t="e">
        <f ca="1">[1]!BexGetData("DP_1","003N8EMH8GTFRIVOG7KG9IQXA","GSON1112060030")</f>
        <v>#NAME?</v>
      </c>
      <c r="N685" s="28" t="e">
        <f ca="1">[1]!BexGetData("DP_1","003N8EMH8GTFRIVOG7KG9IX8U","GSON1112060030")</f>
        <v>#NAME?</v>
      </c>
      <c r="O685" s="23" t="e">
        <f ca="1">[1]!BexGetData("DP_1","003N8EMH8GTFRIVOG7KG9J3KE","GSON1112060030")</f>
        <v>#NAME?</v>
      </c>
      <c r="P685" s="28" t="e">
        <f ca="1">[1]!BexGetData("DP_1","003N8EMH8GTFRIVOG7KG9J9VY","GSON1112060030")</f>
        <v>#NAME?</v>
      </c>
      <c r="Q685" s="23" t="e">
        <f ca="1">[1]!BexGetData("DP_1","00O2TNJGODT0G5Z4TTKYMM5MT","GSON1112060030")</f>
        <v>#NAME?</v>
      </c>
      <c r="R685" s="23" t="e">
        <f ca="1">[1]!BexGetData("DP_1","00O2TNJGODT0G5Z4TTKYMMBYD","GSON1112060030")</f>
        <v>#NAME?</v>
      </c>
      <c r="S685" s="23" t="e">
        <f ca="1">[1]!BexGetData("DP_1","00O2TNJGODT0G5Z4TTKYMMI9X","GSON1112060030")</f>
        <v>#NAME?</v>
      </c>
      <c r="T685" s="28" t="e">
        <f ca="1">[1]!BexGetData("DP_1","00O2TNJGODT0G5Z4TTKYMMOLH","GSON1112060030")</f>
        <v>#NAME?</v>
      </c>
      <c r="U685" s="23" t="e">
        <f ca="1">[1]!BexGetData("DP_1","00O2TNJGODT0G5Z4TTKYMMUX1","GSON1112060030")</f>
        <v>#NAME?</v>
      </c>
      <c r="V685" s="28" t="e">
        <f ca="1">[1]!BexGetData("DP_1","00O2TNJGODT0G5Z4TTKYMN18L","GSON1112060030")</f>
        <v>#NAME?</v>
      </c>
      <c r="W685" s="23" t="e">
        <f ca="1">[1]!BexGetData("DP_1","00O2TNJGODT0G5Z4TTKYMN7K5","GSON1112060030")</f>
        <v>#NAME?</v>
      </c>
    </row>
    <row r="686" spans="1:23" x14ac:dyDescent="0.2">
      <c r="A686" s="36" t="s">
        <v>2787</v>
      </c>
      <c r="B686" s="27" t="s">
        <v>2788</v>
      </c>
      <c r="C686" s="23" t="e">
        <f ca="1">[1]!BexGetData("DP_1","003N8EMH8GTFRCSWKMPXRR8GU","GSON1112060031")</f>
        <v>#NAME?</v>
      </c>
      <c r="D686" s="23" t="e">
        <f ca="1">[1]!BexGetData("DP_1","003N8EMH8GTFRCSWKMPXRRESE","GSON1112060031")</f>
        <v>#NAME?</v>
      </c>
      <c r="E686" s="28" t="e">
        <f ca="1">[1]!BexGetData("DP_1","003N8EMH8GTFRCSWKMPXRRL3Y","GSON1112060031")</f>
        <v>#NAME?</v>
      </c>
      <c r="F686" s="28" t="e">
        <f ca="1">[1]!BexGetData("DP_1","003N8EMH8GTFRCSWKMPXRRRFI","GSON1112060031")</f>
        <v>#NAME?</v>
      </c>
      <c r="G686" s="23" t="e">
        <f ca="1">[1]!BexGetData("DP_1","003N8EMH8GTFRCSWKMPXRRXR2","GSON1112060031")</f>
        <v>#NAME?</v>
      </c>
      <c r="H686" s="23" t="e">
        <f ca="1">[1]!BexGetData("DP_1","003N8EMH8GTFRCSWKMPXRS42M","GSON1112060031")</f>
        <v>#NAME?</v>
      </c>
      <c r="I686" s="28" t="e">
        <f ca="1">[1]!BexGetData("DP_1","003N8EMH8GTFRCSWKMPXRSAE6","GSON1112060031")</f>
        <v>#NAME?</v>
      </c>
      <c r="J686" s="24" t="e">
        <f ca="1">[1]!BexGetData("DP_1","003N8EMH8GTFRCSWKMPXRSGPQ","GSON1112060031")</f>
        <v>#NAME?</v>
      </c>
      <c r="K686" s="28" t="e">
        <f ca="1">[1]!BexGetData("DP_1","003N8EMH8GTFRIVNUPY288VJH","GSON1112060031")</f>
        <v>#NAME?</v>
      </c>
      <c r="L686" s="28" t="e">
        <f ca="1">[1]!BexGetData("DP_1","003N8EMH8GTFRIVNUPY2891V1","GSON1112060031")</f>
        <v>#NAME?</v>
      </c>
      <c r="M686" s="28" t="e">
        <f ca="1">[1]!BexGetData("DP_1","003N8EMH8GTFRIVOG7KG9IQXA","GSON1112060031")</f>
        <v>#NAME?</v>
      </c>
      <c r="N686" s="28" t="e">
        <f ca="1">[1]!BexGetData("DP_1","003N8EMH8GTFRIVOG7KG9IX8U","GSON1112060031")</f>
        <v>#NAME?</v>
      </c>
      <c r="O686" s="28" t="e">
        <f ca="1">[1]!BexGetData("DP_1","003N8EMH8GTFRIVOG7KG9J3KE","GSON1112060031")</f>
        <v>#NAME?</v>
      </c>
      <c r="P686" s="28" t="e">
        <f ca="1">[1]!BexGetData("DP_1","003N8EMH8GTFRIVOG7KG9J9VY","GSON1112060031")</f>
        <v>#NAME?</v>
      </c>
      <c r="Q686" s="24" t="e">
        <f ca="1">[1]!BexGetData("DP_1","00O2TNJGODT0G5Z4TTKYMM5MT","GSON1112060031")</f>
        <v>#NAME?</v>
      </c>
      <c r="R686" s="28" t="e">
        <f ca="1">[1]!BexGetData("DP_1","00O2TNJGODT0G5Z4TTKYMMBYD","GSON1112060031")</f>
        <v>#NAME?</v>
      </c>
      <c r="S686" s="28" t="e">
        <f ca="1">[1]!BexGetData("DP_1","00O2TNJGODT0G5Z4TTKYMMI9X","GSON1112060031")</f>
        <v>#NAME?</v>
      </c>
      <c r="T686" s="28" t="e">
        <f ca="1">[1]!BexGetData("DP_1","00O2TNJGODT0G5Z4TTKYMMOLH","GSON1112060031")</f>
        <v>#NAME?</v>
      </c>
      <c r="U686" s="28" t="e">
        <f ca="1">[1]!BexGetData("DP_1","00O2TNJGODT0G5Z4TTKYMMUX1","GSON1112060031")</f>
        <v>#NAME?</v>
      </c>
      <c r="V686" s="28" t="e">
        <f ca="1">[1]!BexGetData("DP_1","00O2TNJGODT0G5Z4TTKYMN18L","GSON1112060031")</f>
        <v>#NAME?</v>
      </c>
      <c r="W686" s="28" t="e">
        <f ca="1">[1]!BexGetData("DP_1","00O2TNJGODT0G5Z4TTKYMN7K5","GSON1112060031")</f>
        <v>#NAME?</v>
      </c>
    </row>
    <row r="687" spans="1:23" x14ac:dyDescent="0.2">
      <c r="A687" s="36" t="s">
        <v>2789</v>
      </c>
      <c r="B687" s="27" t="s">
        <v>2790</v>
      </c>
      <c r="C687" s="23" t="e">
        <f ca="1">[1]!BexGetData("DP_1","003N8EMH8GTFRCSWKMPXRR8GU","GSON1112060033")</f>
        <v>#NAME?</v>
      </c>
      <c r="D687" s="23" t="e">
        <f ca="1">[1]!BexGetData("DP_1","003N8EMH8GTFRCSWKMPXRRESE","GSON1112060033")</f>
        <v>#NAME?</v>
      </c>
      <c r="E687" s="28" t="e">
        <f ca="1">[1]!BexGetData("DP_1","003N8EMH8GTFRCSWKMPXRRL3Y","GSON1112060033")</f>
        <v>#NAME?</v>
      </c>
      <c r="F687" s="28" t="e">
        <f ca="1">[1]!BexGetData("DP_1","003N8EMH8GTFRCSWKMPXRRRFI","GSON1112060033")</f>
        <v>#NAME?</v>
      </c>
      <c r="G687" s="23" t="e">
        <f ca="1">[1]!BexGetData("DP_1","003N8EMH8GTFRCSWKMPXRRXR2","GSON1112060033")</f>
        <v>#NAME?</v>
      </c>
      <c r="H687" s="23" t="e">
        <f ca="1">[1]!BexGetData("DP_1","003N8EMH8GTFRCSWKMPXRS42M","GSON1112060033")</f>
        <v>#NAME?</v>
      </c>
      <c r="I687" s="28" t="e">
        <f ca="1">[1]!BexGetData("DP_1","003N8EMH8GTFRCSWKMPXRSAE6","GSON1112060033")</f>
        <v>#NAME?</v>
      </c>
      <c r="J687" s="24" t="e">
        <f ca="1">[1]!BexGetData("DP_1","003N8EMH8GTFRCSWKMPXRSGPQ","GSON1112060033")</f>
        <v>#NAME?</v>
      </c>
      <c r="K687" s="28" t="e">
        <f ca="1">[1]!BexGetData("DP_1","003N8EMH8GTFRIVNUPY288VJH","GSON1112060033")</f>
        <v>#NAME?</v>
      </c>
      <c r="L687" s="28" t="e">
        <f ca="1">[1]!BexGetData("DP_1","003N8EMH8GTFRIVNUPY2891V1","GSON1112060033")</f>
        <v>#NAME?</v>
      </c>
      <c r="M687" s="28" t="e">
        <f ca="1">[1]!BexGetData("DP_1","003N8EMH8GTFRIVOG7KG9IQXA","GSON1112060033")</f>
        <v>#NAME?</v>
      </c>
      <c r="N687" s="28" t="e">
        <f ca="1">[1]!BexGetData("DP_1","003N8EMH8GTFRIVOG7KG9IX8U","GSON1112060033")</f>
        <v>#NAME?</v>
      </c>
      <c r="O687" s="28" t="e">
        <f ca="1">[1]!BexGetData("DP_1","003N8EMH8GTFRIVOG7KG9J3KE","GSON1112060033")</f>
        <v>#NAME?</v>
      </c>
      <c r="P687" s="28" t="e">
        <f ca="1">[1]!BexGetData("DP_1","003N8EMH8GTFRIVOG7KG9J9VY","GSON1112060033")</f>
        <v>#NAME?</v>
      </c>
      <c r="Q687" s="24" t="e">
        <f ca="1">[1]!BexGetData("DP_1","00O2TNJGODT0G5Z4TTKYMM5MT","GSON1112060033")</f>
        <v>#NAME?</v>
      </c>
      <c r="R687" s="28" t="e">
        <f ca="1">[1]!BexGetData("DP_1","00O2TNJGODT0G5Z4TTKYMMBYD","GSON1112060033")</f>
        <v>#NAME?</v>
      </c>
      <c r="S687" s="28" t="e">
        <f ca="1">[1]!BexGetData("DP_1","00O2TNJGODT0G5Z4TTKYMMI9X","GSON1112060033")</f>
        <v>#NAME?</v>
      </c>
      <c r="T687" s="28" t="e">
        <f ca="1">[1]!BexGetData("DP_1","00O2TNJGODT0G5Z4TTKYMMOLH","GSON1112060033")</f>
        <v>#NAME?</v>
      </c>
      <c r="U687" s="28" t="e">
        <f ca="1">[1]!BexGetData("DP_1","00O2TNJGODT0G5Z4TTKYMMUX1","GSON1112060033")</f>
        <v>#NAME?</v>
      </c>
      <c r="V687" s="28" t="e">
        <f ca="1">[1]!BexGetData("DP_1","00O2TNJGODT0G5Z4TTKYMN18L","GSON1112060033")</f>
        <v>#NAME?</v>
      </c>
      <c r="W687" s="28" t="e">
        <f ca="1">[1]!BexGetData("DP_1","00O2TNJGODT0G5Z4TTKYMN7K5","GSON1112060033")</f>
        <v>#NAME?</v>
      </c>
    </row>
    <row r="688" spans="1:23" x14ac:dyDescent="0.2">
      <c r="A688" s="36" t="s">
        <v>2791</v>
      </c>
      <c r="B688" s="27" t="s">
        <v>2792</v>
      </c>
      <c r="C688" s="23" t="e">
        <f ca="1">[1]!BexGetData("DP_1","003N8EMH8GTFRCSWKMPXRR8GU","GSON1112060034")</f>
        <v>#NAME?</v>
      </c>
      <c r="D688" s="23" t="e">
        <f ca="1">[1]!BexGetData("DP_1","003N8EMH8GTFRCSWKMPXRRESE","GSON1112060034")</f>
        <v>#NAME?</v>
      </c>
      <c r="E688" s="28" t="e">
        <f ca="1">[1]!BexGetData("DP_1","003N8EMH8GTFRCSWKMPXRRL3Y","GSON1112060034")</f>
        <v>#NAME?</v>
      </c>
      <c r="F688" s="28" t="e">
        <f ca="1">[1]!BexGetData("DP_1","003N8EMH8GTFRCSWKMPXRRRFI","GSON1112060034")</f>
        <v>#NAME?</v>
      </c>
      <c r="G688" s="23" t="e">
        <f ca="1">[1]!BexGetData("DP_1","003N8EMH8GTFRCSWKMPXRRXR2","GSON1112060034")</f>
        <v>#NAME?</v>
      </c>
      <c r="H688" s="23" t="e">
        <f ca="1">[1]!BexGetData("DP_1","003N8EMH8GTFRCSWKMPXRS42M","GSON1112060034")</f>
        <v>#NAME?</v>
      </c>
      <c r="I688" s="28" t="e">
        <f ca="1">[1]!BexGetData("DP_1","003N8EMH8GTFRCSWKMPXRSAE6","GSON1112060034")</f>
        <v>#NAME?</v>
      </c>
      <c r="J688" s="24" t="e">
        <f ca="1">[1]!BexGetData("DP_1","003N8EMH8GTFRCSWKMPXRSGPQ","GSON1112060034")</f>
        <v>#NAME?</v>
      </c>
      <c r="K688" s="28" t="e">
        <f ca="1">[1]!BexGetData("DP_1","003N8EMH8GTFRIVNUPY288VJH","GSON1112060034")</f>
        <v>#NAME?</v>
      </c>
      <c r="L688" s="28" t="e">
        <f ca="1">[1]!BexGetData("DP_1","003N8EMH8GTFRIVNUPY2891V1","GSON1112060034")</f>
        <v>#NAME?</v>
      </c>
      <c r="M688" s="28" t="e">
        <f ca="1">[1]!BexGetData("DP_1","003N8EMH8GTFRIVOG7KG9IQXA","GSON1112060034")</f>
        <v>#NAME?</v>
      </c>
      <c r="N688" s="28" t="e">
        <f ca="1">[1]!BexGetData("DP_1","003N8EMH8GTFRIVOG7KG9IX8U","GSON1112060034")</f>
        <v>#NAME?</v>
      </c>
      <c r="O688" s="28" t="e">
        <f ca="1">[1]!BexGetData("DP_1","003N8EMH8GTFRIVOG7KG9J3KE","GSON1112060034")</f>
        <v>#NAME?</v>
      </c>
      <c r="P688" s="28" t="e">
        <f ca="1">[1]!BexGetData("DP_1","003N8EMH8GTFRIVOG7KG9J9VY","GSON1112060034")</f>
        <v>#NAME?</v>
      </c>
      <c r="Q688" s="24" t="e">
        <f ca="1">[1]!BexGetData("DP_1","00O2TNJGODT0G5Z4TTKYMM5MT","GSON1112060034")</f>
        <v>#NAME?</v>
      </c>
      <c r="R688" s="28" t="e">
        <f ca="1">[1]!BexGetData("DP_1","00O2TNJGODT0G5Z4TTKYMMBYD","GSON1112060034")</f>
        <v>#NAME?</v>
      </c>
      <c r="S688" s="28" t="e">
        <f ca="1">[1]!BexGetData("DP_1","00O2TNJGODT0G5Z4TTKYMMI9X","GSON1112060034")</f>
        <v>#NAME?</v>
      </c>
      <c r="T688" s="28" t="e">
        <f ca="1">[1]!BexGetData("DP_1","00O2TNJGODT0G5Z4TTKYMMOLH","GSON1112060034")</f>
        <v>#NAME?</v>
      </c>
      <c r="U688" s="28" t="e">
        <f ca="1">[1]!BexGetData("DP_1","00O2TNJGODT0G5Z4TTKYMMUX1","GSON1112060034")</f>
        <v>#NAME?</v>
      </c>
      <c r="V688" s="28" t="e">
        <f ca="1">[1]!BexGetData("DP_1","00O2TNJGODT0G5Z4TTKYMN18L","GSON1112060034")</f>
        <v>#NAME?</v>
      </c>
      <c r="W688" s="28" t="e">
        <f ca="1">[1]!BexGetData("DP_1","00O2TNJGODT0G5Z4TTKYMN7K5","GSON1112060034")</f>
        <v>#NAME?</v>
      </c>
    </row>
    <row r="689" spans="1:23" x14ac:dyDescent="0.2">
      <c r="A689" s="36" t="s">
        <v>2793</v>
      </c>
      <c r="B689" s="27" t="s">
        <v>2794</v>
      </c>
      <c r="C689" s="23" t="e">
        <f ca="1">[1]!BexGetData("DP_1","003N8EMH8GTFRCSWKMPXRR8GU","GSON1112060040")</f>
        <v>#NAME?</v>
      </c>
      <c r="D689" s="23" t="e">
        <f ca="1">[1]!BexGetData("DP_1","003N8EMH8GTFRCSWKMPXRRESE","GSON1112060040")</f>
        <v>#NAME?</v>
      </c>
      <c r="E689" s="28" t="e">
        <f ca="1">[1]!BexGetData("DP_1","003N8EMH8GTFRCSWKMPXRRL3Y","GSON1112060040")</f>
        <v>#NAME?</v>
      </c>
      <c r="F689" s="23" t="e">
        <f ca="1">[1]!BexGetData("DP_1","003N8EMH8GTFRCSWKMPXRRRFI","GSON1112060040")</f>
        <v>#NAME?</v>
      </c>
      <c r="G689" s="23" t="e">
        <f ca="1">[1]!BexGetData("DP_1","003N8EMH8GTFRCSWKMPXRRXR2","GSON1112060040")</f>
        <v>#NAME?</v>
      </c>
      <c r="H689" s="23" t="e">
        <f ca="1">[1]!BexGetData("DP_1","003N8EMH8GTFRCSWKMPXRS42M","GSON1112060040")</f>
        <v>#NAME?</v>
      </c>
      <c r="I689" s="23" t="e">
        <f ca="1">[1]!BexGetData("DP_1","003N8EMH8GTFRCSWKMPXRSAE6","GSON1112060040")</f>
        <v>#NAME?</v>
      </c>
      <c r="J689" s="24" t="e">
        <f ca="1">[1]!BexGetData("DP_1","003N8EMH8GTFRCSWKMPXRSGPQ","GSON1112060040")</f>
        <v>#NAME?</v>
      </c>
      <c r="K689" s="23" t="e">
        <f ca="1">[1]!BexGetData("DP_1","003N8EMH8GTFRIVNUPY288VJH","GSON1112060040")</f>
        <v>#NAME?</v>
      </c>
      <c r="L689" s="23" t="e">
        <f ca="1">[1]!BexGetData("DP_1","003N8EMH8GTFRIVNUPY2891V1","GSON1112060040")</f>
        <v>#NAME?</v>
      </c>
      <c r="M689" s="23" t="e">
        <f ca="1">[1]!BexGetData("DP_1","003N8EMH8GTFRIVOG7KG9IQXA","GSON1112060040")</f>
        <v>#NAME?</v>
      </c>
      <c r="N689" s="28" t="e">
        <f ca="1">[1]!BexGetData("DP_1","003N8EMH8GTFRIVOG7KG9IX8U","GSON1112060040")</f>
        <v>#NAME?</v>
      </c>
      <c r="O689" s="23" t="e">
        <f ca="1">[1]!BexGetData("DP_1","003N8EMH8GTFRIVOG7KG9J3KE","GSON1112060040")</f>
        <v>#NAME?</v>
      </c>
      <c r="P689" s="28" t="e">
        <f ca="1">[1]!BexGetData("DP_1","003N8EMH8GTFRIVOG7KG9J9VY","GSON1112060040")</f>
        <v>#NAME?</v>
      </c>
      <c r="Q689" s="24" t="e">
        <f ca="1">[1]!BexGetData("DP_1","00O2TNJGODT0G5Z4TTKYMM5MT","GSON1112060040")</f>
        <v>#NAME?</v>
      </c>
      <c r="R689" s="23" t="e">
        <f ca="1">[1]!BexGetData("DP_1","00O2TNJGODT0G5Z4TTKYMMBYD","GSON1112060040")</f>
        <v>#NAME?</v>
      </c>
      <c r="S689" s="23" t="e">
        <f ca="1">[1]!BexGetData("DP_1","00O2TNJGODT0G5Z4TTKYMMI9X","GSON1112060040")</f>
        <v>#NAME?</v>
      </c>
      <c r="T689" s="28" t="e">
        <f ca="1">[1]!BexGetData("DP_1","00O2TNJGODT0G5Z4TTKYMMOLH","GSON1112060040")</f>
        <v>#NAME?</v>
      </c>
      <c r="U689" s="23" t="e">
        <f ca="1">[1]!BexGetData("DP_1","00O2TNJGODT0G5Z4TTKYMMUX1","GSON1112060040")</f>
        <v>#NAME?</v>
      </c>
      <c r="V689" s="28" t="e">
        <f ca="1">[1]!BexGetData("DP_1","00O2TNJGODT0G5Z4TTKYMN18L","GSON1112060040")</f>
        <v>#NAME?</v>
      </c>
      <c r="W689" s="23" t="e">
        <f ca="1">[1]!BexGetData("DP_1","00O2TNJGODT0G5Z4TTKYMN7K5","GSON1112060040")</f>
        <v>#NAME?</v>
      </c>
    </row>
    <row r="690" spans="1:23" x14ac:dyDescent="0.2">
      <c r="A690" s="36" t="s">
        <v>2795</v>
      </c>
      <c r="B690" s="27" t="s">
        <v>2796</v>
      </c>
      <c r="C690" s="28" t="e">
        <f ca="1">[1]!BexGetData("DP_1","003N8EMH8GTFRCSWKMPXRR8GU","GSON1112060041")</f>
        <v>#NAME?</v>
      </c>
      <c r="D690" s="28" t="e">
        <f ca="1">[1]!BexGetData("DP_1","003N8EMH8GTFRCSWKMPXRRESE","GSON1112060041")</f>
        <v>#NAME?</v>
      </c>
      <c r="E690" s="28" t="e">
        <f ca="1">[1]!BexGetData("DP_1","003N8EMH8GTFRCSWKMPXRRL3Y","GSON1112060041")</f>
        <v>#NAME?</v>
      </c>
      <c r="F690" s="28" t="e">
        <f ca="1">[1]!BexGetData("DP_1","003N8EMH8GTFRCSWKMPXRRRFI","GSON1112060041")</f>
        <v>#NAME?</v>
      </c>
      <c r="G690" s="23" t="e">
        <f ca="1">[1]!BexGetData("DP_1","003N8EMH8GTFRCSWKMPXRRXR2","GSON1112060041")</f>
        <v>#NAME?</v>
      </c>
      <c r="H690" s="23" t="e">
        <f ca="1">[1]!BexGetData("DP_1","003N8EMH8GTFRCSWKMPXRS42M","GSON1112060041")</f>
        <v>#NAME?</v>
      </c>
      <c r="I690" s="28" t="e">
        <f ca="1">[1]!BexGetData("DP_1","003N8EMH8GTFRCSWKMPXRSAE6","GSON1112060041")</f>
        <v>#NAME?</v>
      </c>
      <c r="J690" s="24" t="e">
        <f ca="1">[1]!BexGetData("DP_1","003N8EMH8GTFRCSWKMPXRSGPQ","GSON1112060041")</f>
        <v>#NAME?</v>
      </c>
      <c r="K690" s="28" t="e">
        <f ca="1">[1]!BexGetData("DP_1","003N8EMH8GTFRIVNUPY288VJH","GSON1112060041")</f>
        <v>#NAME?</v>
      </c>
      <c r="L690" s="28" t="e">
        <f ca="1">[1]!BexGetData("DP_1","003N8EMH8GTFRIVNUPY2891V1","GSON1112060041")</f>
        <v>#NAME?</v>
      </c>
      <c r="M690" s="28" t="e">
        <f ca="1">[1]!BexGetData("DP_1","003N8EMH8GTFRIVOG7KG9IQXA","GSON1112060041")</f>
        <v>#NAME?</v>
      </c>
      <c r="N690" s="28" t="e">
        <f ca="1">[1]!BexGetData("DP_1","003N8EMH8GTFRIVOG7KG9IX8U","GSON1112060041")</f>
        <v>#NAME?</v>
      </c>
      <c r="O690" s="28" t="e">
        <f ca="1">[1]!BexGetData("DP_1","003N8EMH8GTFRIVOG7KG9J3KE","GSON1112060041")</f>
        <v>#NAME?</v>
      </c>
      <c r="P690" s="28" t="e">
        <f ca="1">[1]!BexGetData("DP_1","003N8EMH8GTFRIVOG7KG9J9VY","GSON1112060041")</f>
        <v>#NAME?</v>
      </c>
      <c r="Q690" s="24" t="e">
        <f ca="1">[1]!BexGetData("DP_1","00O2TNJGODT0G5Z4TTKYMM5MT","GSON1112060041")</f>
        <v>#NAME?</v>
      </c>
      <c r="R690" s="28" t="e">
        <f ca="1">[1]!BexGetData("DP_1","00O2TNJGODT0G5Z4TTKYMMBYD","GSON1112060041")</f>
        <v>#NAME?</v>
      </c>
      <c r="S690" s="28" t="e">
        <f ca="1">[1]!BexGetData("DP_1","00O2TNJGODT0G5Z4TTKYMMI9X","GSON1112060041")</f>
        <v>#NAME?</v>
      </c>
      <c r="T690" s="28" t="e">
        <f ca="1">[1]!BexGetData("DP_1","00O2TNJGODT0G5Z4TTKYMMOLH","GSON1112060041")</f>
        <v>#NAME?</v>
      </c>
      <c r="U690" s="28" t="e">
        <f ca="1">[1]!BexGetData("DP_1","00O2TNJGODT0G5Z4TTKYMMUX1","GSON1112060041")</f>
        <v>#NAME?</v>
      </c>
      <c r="V690" s="28" t="e">
        <f ca="1">[1]!BexGetData("DP_1","00O2TNJGODT0G5Z4TTKYMN18L","GSON1112060041")</f>
        <v>#NAME?</v>
      </c>
      <c r="W690" s="28" t="e">
        <f ca="1">[1]!BexGetData("DP_1","00O2TNJGODT0G5Z4TTKYMN7K5","GSON1112060041")</f>
        <v>#NAME?</v>
      </c>
    </row>
    <row r="691" spans="1:23" x14ac:dyDescent="0.2">
      <c r="A691" s="36" t="s">
        <v>2797</v>
      </c>
      <c r="B691" s="27" t="s">
        <v>2798</v>
      </c>
      <c r="C691" s="23" t="e">
        <f ca="1">[1]!BexGetData("DP_1","003N8EMH8GTFRCSWKMPXRR8GU","GSON1112060043")</f>
        <v>#NAME?</v>
      </c>
      <c r="D691" s="23" t="e">
        <f ca="1">[1]!BexGetData("DP_1","003N8EMH8GTFRCSWKMPXRRESE","GSON1112060043")</f>
        <v>#NAME?</v>
      </c>
      <c r="E691" s="28" t="e">
        <f ca="1">[1]!BexGetData("DP_1","003N8EMH8GTFRCSWKMPXRRL3Y","GSON1112060043")</f>
        <v>#NAME?</v>
      </c>
      <c r="F691" s="28" t="e">
        <f ca="1">[1]!BexGetData("DP_1","003N8EMH8GTFRCSWKMPXRRRFI","GSON1112060043")</f>
        <v>#NAME?</v>
      </c>
      <c r="G691" s="23" t="e">
        <f ca="1">[1]!BexGetData("DP_1","003N8EMH8GTFRCSWKMPXRRXR2","GSON1112060043")</f>
        <v>#NAME?</v>
      </c>
      <c r="H691" s="23" t="e">
        <f ca="1">[1]!BexGetData("DP_1","003N8EMH8GTFRCSWKMPXRS42M","GSON1112060043")</f>
        <v>#NAME?</v>
      </c>
      <c r="I691" s="28" t="e">
        <f ca="1">[1]!BexGetData("DP_1","003N8EMH8GTFRCSWKMPXRSAE6","GSON1112060043")</f>
        <v>#NAME?</v>
      </c>
      <c r="J691" s="24" t="e">
        <f ca="1">[1]!BexGetData("DP_1","003N8EMH8GTFRCSWKMPXRSGPQ","GSON1112060043")</f>
        <v>#NAME?</v>
      </c>
      <c r="K691" s="28" t="e">
        <f ca="1">[1]!BexGetData("DP_1","003N8EMH8GTFRIVNUPY288VJH","GSON1112060043")</f>
        <v>#NAME?</v>
      </c>
      <c r="L691" s="28" t="e">
        <f ca="1">[1]!BexGetData("DP_1","003N8EMH8GTFRIVNUPY2891V1","GSON1112060043")</f>
        <v>#NAME?</v>
      </c>
      <c r="M691" s="28" t="e">
        <f ca="1">[1]!BexGetData("DP_1","003N8EMH8GTFRIVOG7KG9IQXA","GSON1112060043")</f>
        <v>#NAME?</v>
      </c>
      <c r="N691" s="28" t="e">
        <f ca="1">[1]!BexGetData("DP_1","003N8EMH8GTFRIVOG7KG9IX8U","GSON1112060043")</f>
        <v>#NAME?</v>
      </c>
      <c r="O691" s="28" t="e">
        <f ca="1">[1]!BexGetData("DP_1","003N8EMH8GTFRIVOG7KG9J3KE","GSON1112060043")</f>
        <v>#NAME?</v>
      </c>
      <c r="P691" s="28" t="e">
        <f ca="1">[1]!BexGetData("DP_1","003N8EMH8GTFRIVOG7KG9J9VY","GSON1112060043")</f>
        <v>#NAME?</v>
      </c>
      <c r="Q691" s="24" t="e">
        <f ca="1">[1]!BexGetData("DP_1","00O2TNJGODT0G5Z4TTKYMM5MT","GSON1112060043")</f>
        <v>#NAME?</v>
      </c>
      <c r="R691" s="28" t="e">
        <f ca="1">[1]!BexGetData("DP_1","00O2TNJGODT0G5Z4TTKYMMBYD","GSON1112060043")</f>
        <v>#NAME?</v>
      </c>
      <c r="S691" s="28" t="e">
        <f ca="1">[1]!BexGetData("DP_1","00O2TNJGODT0G5Z4TTKYMMI9X","GSON1112060043")</f>
        <v>#NAME?</v>
      </c>
      <c r="T691" s="28" t="e">
        <f ca="1">[1]!BexGetData("DP_1","00O2TNJGODT0G5Z4TTKYMMOLH","GSON1112060043")</f>
        <v>#NAME?</v>
      </c>
      <c r="U691" s="28" t="e">
        <f ca="1">[1]!BexGetData("DP_1","00O2TNJGODT0G5Z4TTKYMMUX1","GSON1112060043")</f>
        <v>#NAME?</v>
      </c>
      <c r="V691" s="28" t="e">
        <f ca="1">[1]!BexGetData("DP_1","00O2TNJGODT0G5Z4TTKYMN18L","GSON1112060043")</f>
        <v>#NAME?</v>
      </c>
      <c r="W691" s="28" t="e">
        <f ca="1">[1]!BexGetData("DP_1","00O2TNJGODT0G5Z4TTKYMN7K5","GSON1112060043")</f>
        <v>#NAME?</v>
      </c>
    </row>
    <row r="692" spans="1:23" x14ac:dyDescent="0.2">
      <c r="A692" s="36" t="s">
        <v>2799</v>
      </c>
      <c r="B692" s="27" t="s">
        <v>2800</v>
      </c>
      <c r="C692" s="23" t="e">
        <f ca="1">[1]!BexGetData("DP_1","003N8EMH8GTFRCSWKMPXRR8GU","GSON1112060044")</f>
        <v>#NAME?</v>
      </c>
      <c r="D692" s="23" t="e">
        <f ca="1">[1]!BexGetData("DP_1","003N8EMH8GTFRCSWKMPXRRESE","GSON1112060044")</f>
        <v>#NAME?</v>
      </c>
      <c r="E692" s="28" t="e">
        <f ca="1">[1]!BexGetData("DP_1","003N8EMH8GTFRCSWKMPXRRL3Y","GSON1112060044")</f>
        <v>#NAME?</v>
      </c>
      <c r="F692" s="28" t="e">
        <f ca="1">[1]!BexGetData("DP_1","003N8EMH8GTFRCSWKMPXRRRFI","GSON1112060044")</f>
        <v>#NAME?</v>
      </c>
      <c r="G692" s="23" t="e">
        <f ca="1">[1]!BexGetData("DP_1","003N8EMH8GTFRCSWKMPXRRXR2","GSON1112060044")</f>
        <v>#NAME?</v>
      </c>
      <c r="H692" s="23" t="e">
        <f ca="1">[1]!BexGetData("DP_1","003N8EMH8GTFRCSWKMPXRS42M","GSON1112060044")</f>
        <v>#NAME?</v>
      </c>
      <c r="I692" s="28" t="e">
        <f ca="1">[1]!BexGetData("DP_1","003N8EMH8GTFRCSWKMPXRSAE6","GSON1112060044")</f>
        <v>#NAME?</v>
      </c>
      <c r="J692" s="24" t="e">
        <f ca="1">[1]!BexGetData("DP_1","003N8EMH8GTFRCSWKMPXRSGPQ","GSON1112060044")</f>
        <v>#NAME?</v>
      </c>
      <c r="K692" s="28" t="e">
        <f ca="1">[1]!BexGetData("DP_1","003N8EMH8GTFRIVNUPY288VJH","GSON1112060044")</f>
        <v>#NAME?</v>
      </c>
      <c r="L692" s="28" t="e">
        <f ca="1">[1]!BexGetData("DP_1","003N8EMH8GTFRIVNUPY2891V1","GSON1112060044")</f>
        <v>#NAME?</v>
      </c>
      <c r="M692" s="28" t="e">
        <f ca="1">[1]!BexGetData("DP_1","003N8EMH8GTFRIVOG7KG9IQXA","GSON1112060044")</f>
        <v>#NAME?</v>
      </c>
      <c r="N692" s="28" t="e">
        <f ca="1">[1]!BexGetData("DP_1","003N8EMH8GTFRIVOG7KG9IX8U","GSON1112060044")</f>
        <v>#NAME?</v>
      </c>
      <c r="O692" s="28" t="e">
        <f ca="1">[1]!BexGetData("DP_1","003N8EMH8GTFRIVOG7KG9J3KE","GSON1112060044")</f>
        <v>#NAME?</v>
      </c>
      <c r="P692" s="28" t="e">
        <f ca="1">[1]!BexGetData("DP_1","003N8EMH8GTFRIVOG7KG9J9VY","GSON1112060044")</f>
        <v>#NAME?</v>
      </c>
      <c r="Q692" s="24" t="e">
        <f ca="1">[1]!BexGetData("DP_1","00O2TNJGODT0G5Z4TTKYMM5MT","GSON1112060044")</f>
        <v>#NAME?</v>
      </c>
      <c r="R692" s="28" t="e">
        <f ca="1">[1]!BexGetData("DP_1","00O2TNJGODT0G5Z4TTKYMMBYD","GSON1112060044")</f>
        <v>#NAME?</v>
      </c>
      <c r="S692" s="28" t="e">
        <f ca="1">[1]!BexGetData("DP_1","00O2TNJGODT0G5Z4TTKYMMI9X","GSON1112060044")</f>
        <v>#NAME?</v>
      </c>
      <c r="T692" s="28" t="e">
        <f ca="1">[1]!BexGetData("DP_1","00O2TNJGODT0G5Z4TTKYMMOLH","GSON1112060044")</f>
        <v>#NAME?</v>
      </c>
      <c r="U692" s="28" t="e">
        <f ca="1">[1]!BexGetData("DP_1","00O2TNJGODT0G5Z4TTKYMMUX1","GSON1112060044")</f>
        <v>#NAME?</v>
      </c>
      <c r="V692" s="28" t="e">
        <f ca="1">[1]!BexGetData("DP_1","00O2TNJGODT0G5Z4TTKYMN18L","GSON1112060044")</f>
        <v>#NAME?</v>
      </c>
      <c r="W692" s="28" t="e">
        <f ca="1">[1]!BexGetData("DP_1","00O2TNJGODT0G5Z4TTKYMN7K5","GSON1112060044")</f>
        <v>#NAME?</v>
      </c>
    </row>
    <row r="693" spans="1:23" x14ac:dyDescent="0.2">
      <c r="A693" s="36" t="s">
        <v>651</v>
      </c>
      <c r="B693" s="27" t="s">
        <v>652</v>
      </c>
      <c r="C693" s="23" t="e">
        <f ca="1">[1]!BexGetData("DP_1","003N8EMH8GTFRCSWKMPXRR8GU","GSON1112060050")</f>
        <v>#NAME?</v>
      </c>
      <c r="D693" s="23" t="e">
        <f ca="1">[1]!BexGetData("DP_1","003N8EMH8GTFRCSWKMPXRRESE","GSON1112060050")</f>
        <v>#NAME?</v>
      </c>
      <c r="E693" s="23" t="e">
        <f ca="1">[1]!BexGetData("DP_1","003N8EMH8GTFRCSWKMPXRRL3Y","GSON1112060050")</f>
        <v>#NAME?</v>
      </c>
      <c r="F693" s="23" t="e">
        <f ca="1">[1]!BexGetData("DP_1","003N8EMH8GTFRCSWKMPXRRRFI","GSON1112060050")</f>
        <v>#NAME?</v>
      </c>
      <c r="G693" s="23" t="e">
        <f ca="1">[1]!BexGetData("DP_1","003N8EMH8GTFRCSWKMPXRRXR2","GSON1112060050")</f>
        <v>#NAME?</v>
      </c>
      <c r="H693" s="23" t="e">
        <f ca="1">[1]!BexGetData("DP_1","003N8EMH8GTFRCSWKMPXRS42M","GSON1112060050")</f>
        <v>#NAME?</v>
      </c>
      <c r="I693" s="23" t="e">
        <f ca="1">[1]!BexGetData("DP_1","003N8EMH8GTFRCSWKMPXRSAE6","GSON1112060050")</f>
        <v>#NAME?</v>
      </c>
      <c r="J693" s="23" t="e">
        <f ca="1">[1]!BexGetData("DP_1","003N8EMH8GTFRCSWKMPXRSGPQ","GSON1112060050")</f>
        <v>#NAME?</v>
      </c>
      <c r="K693" s="23" t="e">
        <f ca="1">[1]!BexGetData("DP_1","003N8EMH8GTFRIVNUPY288VJH","GSON1112060050")</f>
        <v>#NAME?</v>
      </c>
      <c r="L693" s="23" t="e">
        <f ca="1">[1]!BexGetData("DP_1","003N8EMH8GTFRIVNUPY2891V1","GSON1112060050")</f>
        <v>#NAME?</v>
      </c>
      <c r="M693" s="23" t="e">
        <f ca="1">[1]!BexGetData("DP_1","003N8EMH8GTFRIVOG7KG9IQXA","GSON1112060050")</f>
        <v>#NAME?</v>
      </c>
      <c r="N693" s="28" t="e">
        <f ca="1">[1]!BexGetData("DP_1","003N8EMH8GTFRIVOG7KG9IX8U","GSON1112060050")</f>
        <v>#NAME?</v>
      </c>
      <c r="O693" s="23" t="e">
        <f ca="1">[1]!BexGetData("DP_1","003N8EMH8GTFRIVOG7KG9J3KE","GSON1112060050")</f>
        <v>#NAME?</v>
      </c>
      <c r="P693" s="28" t="e">
        <f ca="1">[1]!BexGetData("DP_1","003N8EMH8GTFRIVOG7KG9J9VY","GSON1112060050")</f>
        <v>#NAME?</v>
      </c>
      <c r="Q693" s="23" t="e">
        <f ca="1">[1]!BexGetData("DP_1","00O2TNJGODT0G5Z4TTKYMM5MT","GSON1112060050")</f>
        <v>#NAME?</v>
      </c>
      <c r="R693" s="23" t="e">
        <f ca="1">[1]!BexGetData("DP_1","00O2TNJGODT0G5Z4TTKYMMBYD","GSON1112060050")</f>
        <v>#NAME?</v>
      </c>
      <c r="S693" s="23" t="e">
        <f ca="1">[1]!BexGetData("DP_1","00O2TNJGODT0G5Z4TTKYMMI9X","GSON1112060050")</f>
        <v>#NAME?</v>
      </c>
      <c r="T693" s="23" t="e">
        <f ca="1">[1]!BexGetData("DP_1","00O2TNJGODT0G5Z4TTKYMMOLH","GSON1112060050")</f>
        <v>#NAME?</v>
      </c>
      <c r="U693" s="28" t="e">
        <f ca="1">[1]!BexGetData("DP_1","00O2TNJGODT0G5Z4TTKYMMUX1","GSON1112060050")</f>
        <v>#NAME?</v>
      </c>
      <c r="V693" s="23" t="e">
        <f ca="1">[1]!BexGetData("DP_1","00O2TNJGODT0G5Z4TTKYMN18L","GSON1112060050")</f>
        <v>#NAME?</v>
      </c>
      <c r="W693" s="28" t="e">
        <f ca="1">[1]!BexGetData("DP_1","00O2TNJGODT0G5Z4TTKYMN7K5","GSON1112060050")</f>
        <v>#NAME?</v>
      </c>
    </row>
    <row r="694" spans="1:23" x14ac:dyDescent="0.2">
      <c r="A694" s="36" t="s">
        <v>653</v>
      </c>
      <c r="B694" s="27" t="s">
        <v>654</v>
      </c>
      <c r="C694" s="23" t="e">
        <f ca="1">[1]!BexGetData("DP_1","003N8EMH8GTFRCSWKMPXRR8GU","GSON1112060051")</f>
        <v>#NAME?</v>
      </c>
      <c r="D694" s="23" t="e">
        <f ca="1">[1]!BexGetData("DP_1","003N8EMH8GTFRCSWKMPXRRESE","GSON1112060051")</f>
        <v>#NAME?</v>
      </c>
      <c r="E694" s="28" t="e">
        <f ca="1">[1]!BexGetData("DP_1","003N8EMH8GTFRCSWKMPXRRL3Y","GSON1112060051")</f>
        <v>#NAME?</v>
      </c>
      <c r="F694" s="28" t="e">
        <f ca="1">[1]!BexGetData("DP_1","003N8EMH8GTFRCSWKMPXRRRFI","GSON1112060051")</f>
        <v>#NAME?</v>
      </c>
      <c r="G694" s="23" t="e">
        <f ca="1">[1]!BexGetData("DP_1","003N8EMH8GTFRCSWKMPXRRXR2","GSON1112060051")</f>
        <v>#NAME?</v>
      </c>
      <c r="H694" s="23" t="e">
        <f ca="1">[1]!BexGetData("DP_1","003N8EMH8GTFRCSWKMPXRS42M","GSON1112060051")</f>
        <v>#NAME?</v>
      </c>
      <c r="I694" s="28" t="e">
        <f ca="1">[1]!BexGetData("DP_1","003N8EMH8GTFRCSWKMPXRSAE6","GSON1112060051")</f>
        <v>#NAME?</v>
      </c>
      <c r="J694" s="24" t="e">
        <f ca="1">[1]!BexGetData("DP_1","003N8EMH8GTFRCSWKMPXRSGPQ","GSON1112060051")</f>
        <v>#NAME?</v>
      </c>
      <c r="K694" s="28" t="e">
        <f ca="1">[1]!BexGetData("DP_1","003N8EMH8GTFRIVNUPY288VJH","GSON1112060051")</f>
        <v>#NAME?</v>
      </c>
      <c r="L694" s="28" t="e">
        <f ca="1">[1]!BexGetData("DP_1","003N8EMH8GTFRIVNUPY2891V1","GSON1112060051")</f>
        <v>#NAME?</v>
      </c>
      <c r="M694" s="28" t="e">
        <f ca="1">[1]!BexGetData("DP_1","003N8EMH8GTFRIVOG7KG9IQXA","GSON1112060051")</f>
        <v>#NAME?</v>
      </c>
      <c r="N694" s="28" t="e">
        <f ca="1">[1]!BexGetData("DP_1","003N8EMH8GTFRIVOG7KG9IX8U","GSON1112060051")</f>
        <v>#NAME?</v>
      </c>
      <c r="O694" s="28" t="e">
        <f ca="1">[1]!BexGetData("DP_1","003N8EMH8GTFRIVOG7KG9J3KE","GSON1112060051")</f>
        <v>#NAME?</v>
      </c>
      <c r="P694" s="28" t="e">
        <f ca="1">[1]!BexGetData("DP_1","003N8EMH8GTFRIVOG7KG9J9VY","GSON1112060051")</f>
        <v>#NAME?</v>
      </c>
      <c r="Q694" s="24" t="e">
        <f ca="1">[1]!BexGetData("DP_1","00O2TNJGODT0G5Z4TTKYMM5MT","GSON1112060051")</f>
        <v>#NAME?</v>
      </c>
      <c r="R694" s="28" t="e">
        <f ca="1">[1]!BexGetData("DP_1","00O2TNJGODT0G5Z4TTKYMMBYD","GSON1112060051")</f>
        <v>#NAME?</v>
      </c>
      <c r="S694" s="28" t="e">
        <f ca="1">[1]!BexGetData("DP_1","00O2TNJGODT0G5Z4TTKYMMI9X","GSON1112060051")</f>
        <v>#NAME?</v>
      </c>
      <c r="T694" s="28" t="e">
        <f ca="1">[1]!BexGetData("DP_1","00O2TNJGODT0G5Z4TTKYMMOLH","GSON1112060051")</f>
        <v>#NAME?</v>
      </c>
      <c r="U694" s="28" t="e">
        <f ca="1">[1]!BexGetData("DP_1","00O2TNJGODT0G5Z4TTKYMMUX1","GSON1112060051")</f>
        <v>#NAME?</v>
      </c>
      <c r="V694" s="28" t="e">
        <f ca="1">[1]!BexGetData("DP_1","00O2TNJGODT0G5Z4TTKYMN18L","GSON1112060051")</f>
        <v>#NAME?</v>
      </c>
      <c r="W694" s="28" t="e">
        <f ca="1">[1]!BexGetData("DP_1","00O2TNJGODT0G5Z4TTKYMN7K5","GSON1112060051")</f>
        <v>#NAME?</v>
      </c>
    </row>
    <row r="695" spans="1:23" x14ac:dyDescent="0.2">
      <c r="A695" s="36" t="s">
        <v>2801</v>
      </c>
      <c r="B695" s="27" t="s">
        <v>2802</v>
      </c>
      <c r="C695" s="23" t="e">
        <f ca="1">[1]!BexGetData("DP_1","003N8EMH8GTFRCSWKMPXRR8GU","GSON1112060052")</f>
        <v>#NAME?</v>
      </c>
      <c r="D695" s="23" t="e">
        <f ca="1">[1]!BexGetData("DP_1","003N8EMH8GTFRCSWKMPXRRESE","GSON1112060052")</f>
        <v>#NAME?</v>
      </c>
      <c r="E695" s="28" t="e">
        <f ca="1">[1]!BexGetData("DP_1","003N8EMH8GTFRCSWKMPXRRL3Y","GSON1112060052")</f>
        <v>#NAME?</v>
      </c>
      <c r="F695" s="28" t="e">
        <f ca="1">[1]!BexGetData("DP_1","003N8EMH8GTFRCSWKMPXRRRFI","GSON1112060052")</f>
        <v>#NAME?</v>
      </c>
      <c r="G695" s="23" t="e">
        <f ca="1">[1]!BexGetData("DP_1","003N8EMH8GTFRCSWKMPXRRXR2","GSON1112060052")</f>
        <v>#NAME?</v>
      </c>
      <c r="H695" s="23" t="e">
        <f ca="1">[1]!BexGetData("DP_1","003N8EMH8GTFRCSWKMPXRS42M","GSON1112060052")</f>
        <v>#NAME?</v>
      </c>
      <c r="I695" s="28" t="e">
        <f ca="1">[1]!BexGetData("DP_1","003N8EMH8GTFRCSWKMPXRSAE6","GSON1112060052")</f>
        <v>#NAME?</v>
      </c>
      <c r="J695" s="24" t="e">
        <f ca="1">[1]!BexGetData("DP_1","003N8EMH8GTFRCSWKMPXRSGPQ","GSON1112060052")</f>
        <v>#NAME?</v>
      </c>
      <c r="K695" s="28" t="e">
        <f ca="1">[1]!BexGetData("DP_1","003N8EMH8GTFRIVNUPY288VJH","GSON1112060052")</f>
        <v>#NAME?</v>
      </c>
      <c r="L695" s="28" t="e">
        <f ca="1">[1]!BexGetData("DP_1","003N8EMH8GTFRIVNUPY2891V1","GSON1112060052")</f>
        <v>#NAME?</v>
      </c>
      <c r="M695" s="28" t="e">
        <f ca="1">[1]!BexGetData("DP_1","003N8EMH8GTFRIVOG7KG9IQXA","GSON1112060052")</f>
        <v>#NAME?</v>
      </c>
      <c r="N695" s="28" t="e">
        <f ca="1">[1]!BexGetData("DP_1","003N8EMH8GTFRIVOG7KG9IX8U","GSON1112060052")</f>
        <v>#NAME?</v>
      </c>
      <c r="O695" s="28" t="e">
        <f ca="1">[1]!BexGetData("DP_1","003N8EMH8GTFRIVOG7KG9J3KE","GSON1112060052")</f>
        <v>#NAME?</v>
      </c>
      <c r="P695" s="28" t="e">
        <f ca="1">[1]!BexGetData("DP_1","003N8EMH8GTFRIVOG7KG9J9VY","GSON1112060052")</f>
        <v>#NAME?</v>
      </c>
      <c r="Q695" s="24" t="e">
        <f ca="1">[1]!BexGetData("DP_1","00O2TNJGODT0G5Z4TTKYMM5MT","GSON1112060052")</f>
        <v>#NAME?</v>
      </c>
      <c r="R695" s="28" t="e">
        <f ca="1">[1]!BexGetData("DP_1","00O2TNJGODT0G5Z4TTKYMMBYD","GSON1112060052")</f>
        <v>#NAME?</v>
      </c>
      <c r="S695" s="28" t="e">
        <f ca="1">[1]!BexGetData("DP_1","00O2TNJGODT0G5Z4TTKYMMI9X","GSON1112060052")</f>
        <v>#NAME?</v>
      </c>
      <c r="T695" s="28" t="e">
        <f ca="1">[1]!BexGetData("DP_1","00O2TNJGODT0G5Z4TTKYMMOLH","GSON1112060052")</f>
        <v>#NAME?</v>
      </c>
      <c r="U695" s="28" t="e">
        <f ca="1">[1]!BexGetData("DP_1","00O2TNJGODT0G5Z4TTKYMMUX1","GSON1112060052")</f>
        <v>#NAME?</v>
      </c>
      <c r="V695" s="28" t="e">
        <f ca="1">[1]!BexGetData("DP_1","00O2TNJGODT0G5Z4TTKYMN18L","GSON1112060052")</f>
        <v>#NAME?</v>
      </c>
      <c r="W695" s="28" t="e">
        <f ca="1">[1]!BexGetData("DP_1","00O2TNJGODT0G5Z4TTKYMN7K5","GSON1112060052")</f>
        <v>#NAME?</v>
      </c>
    </row>
    <row r="696" spans="1:23" x14ac:dyDescent="0.2">
      <c r="A696" s="36" t="s">
        <v>655</v>
      </c>
      <c r="B696" s="27" t="s">
        <v>656</v>
      </c>
      <c r="C696" s="23" t="e">
        <f ca="1">[1]!BexGetData("DP_1","003N8EMH8GTFRCSWKMPXRR8GU","GSON1112060053")</f>
        <v>#NAME?</v>
      </c>
      <c r="D696" s="23" t="e">
        <f ca="1">[1]!BexGetData("DP_1","003N8EMH8GTFRCSWKMPXRRESE","GSON1112060053")</f>
        <v>#NAME?</v>
      </c>
      <c r="E696" s="23" t="e">
        <f ca="1">[1]!BexGetData("DP_1","003N8EMH8GTFRCSWKMPXRRL3Y","GSON1112060053")</f>
        <v>#NAME?</v>
      </c>
      <c r="F696" s="23" t="e">
        <f ca="1">[1]!BexGetData("DP_1","003N8EMH8GTFRCSWKMPXRRRFI","GSON1112060053")</f>
        <v>#NAME?</v>
      </c>
      <c r="G696" s="23" t="e">
        <f ca="1">[1]!BexGetData("DP_1","003N8EMH8GTFRCSWKMPXRRXR2","GSON1112060053")</f>
        <v>#NAME?</v>
      </c>
      <c r="H696" s="23" t="e">
        <f ca="1">[1]!BexGetData("DP_1","003N8EMH8GTFRCSWKMPXRS42M","GSON1112060053")</f>
        <v>#NAME?</v>
      </c>
      <c r="I696" s="23" t="e">
        <f ca="1">[1]!BexGetData("DP_1","003N8EMH8GTFRCSWKMPXRSAE6","GSON1112060053")</f>
        <v>#NAME?</v>
      </c>
      <c r="J696" s="24" t="e">
        <f ca="1">[1]!BexGetData("DP_1","003N8EMH8GTFRCSWKMPXRSGPQ","GSON1112060053")</f>
        <v>#NAME?</v>
      </c>
      <c r="K696" s="28" t="e">
        <f ca="1">[1]!BexGetData("DP_1","003N8EMH8GTFRIVNUPY288VJH","GSON1112060053")</f>
        <v>#NAME?</v>
      </c>
      <c r="L696" s="28" t="e">
        <f ca="1">[1]!BexGetData("DP_1","003N8EMH8GTFRIVNUPY2891V1","GSON1112060053")</f>
        <v>#NAME?</v>
      </c>
      <c r="M696" s="28" t="e">
        <f ca="1">[1]!BexGetData("DP_1","003N8EMH8GTFRIVOG7KG9IQXA","GSON1112060053")</f>
        <v>#NAME?</v>
      </c>
      <c r="N696" s="28" t="e">
        <f ca="1">[1]!BexGetData("DP_1","003N8EMH8GTFRIVOG7KG9IX8U","GSON1112060053")</f>
        <v>#NAME?</v>
      </c>
      <c r="O696" s="28" t="e">
        <f ca="1">[1]!BexGetData("DP_1","003N8EMH8GTFRIVOG7KG9J3KE","GSON1112060053")</f>
        <v>#NAME?</v>
      </c>
      <c r="P696" s="28" t="e">
        <f ca="1">[1]!BexGetData("DP_1","003N8EMH8GTFRIVOG7KG9J9VY","GSON1112060053")</f>
        <v>#NAME?</v>
      </c>
      <c r="Q696" s="24" t="e">
        <f ca="1">[1]!BexGetData("DP_1","00O2TNJGODT0G5Z4TTKYMM5MT","GSON1112060053")</f>
        <v>#NAME?</v>
      </c>
      <c r="R696" s="23" t="e">
        <f ca="1">[1]!BexGetData("DP_1","00O2TNJGODT0G5Z4TTKYMMBYD","GSON1112060053")</f>
        <v>#NAME?</v>
      </c>
      <c r="S696" s="23" t="e">
        <f ca="1">[1]!BexGetData("DP_1","00O2TNJGODT0G5Z4TTKYMMI9X","GSON1112060053")</f>
        <v>#NAME?</v>
      </c>
      <c r="T696" s="28" t="e">
        <f ca="1">[1]!BexGetData("DP_1","00O2TNJGODT0G5Z4TTKYMMOLH","GSON1112060053")</f>
        <v>#NAME?</v>
      </c>
      <c r="U696" s="23" t="e">
        <f ca="1">[1]!BexGetData("DP_1","00O2TNJGODT0G5Z4TTKYMMUX1","GSON1112060053")</f>
        <v>#NAME?</v>
      </c>
      <c r="V696" s="28" t="e">
        <f ca="1">[1]!BexGetData("DP_1","00O2TNJGODT0G5Z4TTKYMN18L","GSON1112060053")</f>
        <v>#NAME?</v>
      </c>
      <c r="W696" s="23" t="e">
        <f ca="1">[1]!BexGetData("DP_1","00O2TNJGODT0G5Z4TTKYMN7K5","GSON1112060053")</f>
        <v>#NAME?</v>
      </c>
    </row>
    <row r="697" spans="1:23" x14ac:dyDescent="0.2">
      <c r="A697" s="36" t="s">
        <v>2803</v>
      </c>
      <c r="B697" s="27" t="s">
        <v>657</v>
      </c>
      <c r="C697" s="23" t="e">
        <f ca="1">[1]!BexGetData("DP_1","003N8EMH8GTFRCSWKMPXRR8GU","GSON1112060054")</f>
        <v>#NAME?</v>
      </c>
      <c r="D697" s="23" t="e">
        <f ca="1">[1]!BexGetData("DP_1","003N8EMH8GTFRCSWKMPXRRESE","GSON1112060054")</f>
        <v>#NAME?</v>
      </c>
      <c r="E697" s="28" t="e">
        <f ca="1">[1]!BexGetData("DP_1","003N8EMH8GTFRCSWKMPXRRL3Y","GSON1112060054")</f>
        <v>#NAME?</v>
      </c>
      <c r="F697" s="28" t="e">
        <f ca="1">[1]!BexGetData("DP_1","003N8EMH8GTFRCSWKMPXRRRFI","GSON1112060054")</f>
        <v>#NAME?</v>
      </c>
      <c r="G697" s="23" t="e">
        <f ca="1">[1]!BexGetData("DP_1","003N8EMH8GTFRCSWKMPXRRXR2","GSON1112060054")</f>
        <v>#NAME?</v>
      </c>
      <c r="H697" s="23" t="e">
        <f ca="1">[1]!BexGetData("DP_1","003N8EMH8GTFRCSWKMPXRS42M","GSON1112060054")</f>
        <v>#NAME?</v>
      </c>
      <c r="I697" s="28" t="e">
        <f ca="1">[1]!BexGetData("DP_1","003N8EMH8GTFRCSWKMPXRSAE6","GSON1112060054")</f>
        <v>#NAME?</v>
      </c>
      <c r="J697" s="24" t="e">
        <f ca="1">[1]!BexGetData("DP_1","003N8EMH8GTFRCSWKMPXRSGPQ","GSON1112060054")</f>
        <v>#NAME?</v>
      </c>
      <c r="K697" s="28" t="e">
        <f ca="1">[1]!BexGetData("DP_1","003N8EMH8GTFRIVNUPY288VJH","GSON1112060054")</f>
        <v>#NAME?</v>
      </c>
      <c r="L697" s="28" t="e">
        <f ca="1">[1]!BexGetData("DP_1","003N8EMH8GTFRIVNUPY2891V1","GSON1112060054")</f>
        <v>#NAME?</v>
      </c>
      <c r="M697" s="28" t="e">
        <f ca="1">[1]!BexGetData("DP_1","003N8EMH8GTFRIVOG7KG9IQXA","GSON1112060054")</f>
        <v>#NAME?</v>
      </c>
      <c r="N697" s="28" t="e">
        <f ca="1">[1]!BexGetData("DP_1","003N8EMH8GTFRIVOG7KG9IX8U","GSON1112060054")</f>
        <v>#NAME?</v>
      </c>
      <c r="O697" s="28" t="e">
        <f ca="1">[1]!BexGetData("DP_1","003N8EMH8GTFRIVOG7KG9J3KE","GSON1112060054")</f>
        <v>#NAME?</v>
      </c>
      <c r="P697" s="28" t="e">
        <f ca="1">[1]!BexGetData("DP_1","003N8EMH8GTFRIVOG7KG9J9VY","GSON1112060054")</f>
        <v>#NAME?</v>
      </c>
      <c r="Q697" s="24" t="e">
        <f ca="1">[1]!BexGetData("DP_1","00O2TNJGODT0G5Z4TTKYMM5MT","GSON1112060054")</f>
        <v>#NAME?</v>
      </c>
      <c r="R697" s="28" t="e">
        <f ca="1">[1]!BexGetData("DP_1","00O2TNJGODT0G5Z4TTKYMMBYD","GSON1112060054")</f>
        <v>#NAME?</v>
      </c>
      <c r="S697" s="28" t="e">
        <f ca="1">[1]!BexGetData("DP_1","00O2TNJGODT0G5Z4TTKYMMI9X","GSON1112060054")</f>
        <v>#NAME?</v>
      </c>
      <c r="T697" s="28" t="e">
        <f ca="1">[1]!BexGetData("DP_1","00O2TNJGODT0G5Z4TTKYMMOLH","GSON1112060054")</f>
        <v>#NAME?</v>
      </c>
      <c r="U697" s="28" t="e">
        <f ca="1">[1]!BexGetData("DP_1","00O2TNJGODT0G5Z4TTKYMMUX1","GSON1112060054")</f>
        <v>#NAME?</v>
      </c>
      <c r="V697" s="28" t="e">
        <f ca="1">[1]!BexGetData("DP_1","00O2TNJGODT0G5Z4TTKYMN18L","GSON1112060054")</f>
        <v>#NAME?</v>
      </c>
      <c r="W697" s="28" t="e">
        <f ca="1">[1]!BexGetData("DP_1","00O2TNJGODT0G5Z4TTKYMN7K5","GSON1112060054")</f>
        <v>#NAME?</v>
      </c>
    </row>
    <row r="698" spans="1:23" x14ac:dyDescent="0.2">
      <c r="A698" s="36" t="s">
        <v>658</v>
      </c>
      <c r="B698" s="27" t="s">
        <v>659</v>
      </c>
      <c r="C698" s="23" t="e">
        <f ca="1">[1]!BexGetData("DP_1","003N8EMH8GTFRCSWKMPXRR8GU","GSON1112060055")</f>
        <v>#NAME?</v>
      </c>
      <c r="D698" s="23" t="e">
        <f ca="1">[1]!BexGetData("DP_1","003N8EMH8GTFRCSWKMPXRRESE","GSON1112060055")</f>
        <v>#NAME?</v>
      </c>
      <c r="E698" s="28" t="e">
        <f ca="1">[1]!BexGetData("DP_1","003N8EMH8GTFRCSWKMPXRRL3Y","GSON1112060055")</f>
        <v>#NAME?</v>
      </c>
      <c r="F698" s="28" t="e">
        <f ca="1">[1]!BexGetData("DP_1","003N8EMH8GTFRCSWKMPXRRRFI","GSON1112060055")</f>
        <v>#NAME?</v>
      </c>
      <c r="G698" s="23" t="e">
        <f ca="1">[1]!BexGetData("DP_1","003N8EMH8GTFRCSWKMPXRRXR2","GSON1112060055")</f>
        <v>#NAME?</v>
      </c>
      <c r="H698" s="23" t="e">
        <f ca="1">[1]!BexGetData("DP_1","003N8EMH8GTFRCSWKMPXRS42M","GSON1112060055")</f>
        <v>#NAME?</v>
      </c>
      <c r="I698" s="28" t="e">
        <f ca="1">[1]!BexGetData("DP_1","003N8EMH8GTFRCSWKMPXRSAE6","GSON1112060055")</f>
        <v>#NAME?</v>
      </c>
      <c r="J698" s="24" t="e">
        <f ca="1">[1]!BexGetData("DP_1","003N8EMH8GTFRCSWKMPXRSGPQ","GSON1112060055")</f>
        <v>#NAME?</v>
      </c>
      <c r="K698" s="28" t="e">
        <f ca="1">[1]!BexGetData("DP_1","003N8EMH8GTFRIVNUPY288VJH","GSON1112060055")</f>
        <v>#NAME?</v>
      </c>
      <c r="L698" s="28" t="e">
        <f ca="1">[1]!BexGetData("DP_1","003N8EMH8GTFRIVNUPY2891V1","GSON1112060055")</f>
        <v>#NAME?</v>
      </c>
      <c r="M698" s="28" t="e">
        <f ca="1">[1]!BexGetData("DP_1","003N8EMH8GTFRIVOG7KG9IQXA","GSON1112060055")</f>
        <v>#NAME?</v>
      </c>
      <c r="N698" s="28" t="e">
        <f ca="1">[1]!BexGetData("DP_1","003N8EMH8GTFRIVOG7KG9IX8U","GSON1112060055")</f>
        <v>#NAME?</v>
      </c>
      <c r="O698" s="28" t="e">
        <f ca="1">[1]!BexGetData("DP_1","003N8EMH8GTFRIVOG7KG9J3KE","GSON1112060055")</f>
        <v>#NAME?</v>
      </c>
      <c r="P698" s="28" t="e">
        <f ca="1">[1]!BexGetData("DP_1","003N8EMH8GTFRIVOG7KG9J9VY","GSON1112060055")</f>
        <v>#NAME?</v>
      </c>
      <c r="Q698" s="24" t="e">
        <f ca="1">[1]!BexGetData("DP_1","00O2TNJGODT0G5Z4TTKYMM5MT","GSON1112060055")</f>
        <v>#NAME?</v>
      </c>
      <c r="R698" s="28" t="e">
        <f ca="1">[1]!BexGetData("DP_1","00O2TNJGODT0G5Z4TTKYMMBYD","GSON1112060055")</f>
        <v>#NAME?</v>
      </c>
      <c r="S698" s="28" t="e">
        <f ca="1">[1]!BexGetData("DP_1","00O2TNJGODT0G5Z4TTKYMMI9X","GSON1112060055")</f>
        <v>#NAME?</v>
      </c>
      <c r="T698" s="28" t="e">
        <f ca="1">[1]!BexGetData("DP_1","00O2TNJGODT0G5Z4TTKYMMOLH","GSON1112060055")</f>
        <v>#NAME?</v>
      </c>
      <c r="U698" s="28" t="e">
        <f ca="1">[1]!BexGetData("DP_1","00O2TNJGODT0G5Z4TTKYMMUX1","GSON1112060055")</f>
        <v>#NAME?</v>
      </c>
      <c r="V698" s="28" t="e">
        <f ca="1">[1]!BexGetData("DP_1","00O2TNJGODT0G5Z4TTKYMN18L","GSON1112060055")</f>
        <v>#NAME?</v>
      </c>
      <c r="W698" s="28" t="e">
        <f ca="1">[1]!BexGetData("DP_1","00O2TNJGODT0G5Z4TTKYMN7K5","GSON1112060055")</f>
        <v>#NAME?</v>
      </c>
    </row>
    <row r="699" spans="1:23" x14ac:dyDescent="0.2">
      <c r="A699" s="36" t="s">
        <v>2804</v>
      </c>
      <c r="B699" s="27" t="s">
        <v>2805</v>
      </c>
      <c r="C699" s="23" t="e">
        <f ca="1">[1]!BexGetData("DP_1","003N8EMH8GTFRCSWKMPXRR8GU","GSON1112060060")</f>
        <v>#NAME?</v>
      </c>
      <c r="D699" s="23" t="e">
        <f ca="1">[1]!BexGetData("DP_1","003N8EMH8GTFRCSWKMPXRRESE","GSON1112060060")</f>
        <v>#NAME?</v>
      </c>
      <c r="E699" s="23" t="e">
        <f ca="1">[1]!BexGetData("DP_1","003N8EMH8GTFRCSWKMPXRRL3Y","GSON1112060060")</f>
        <v>#NAME?</v>
      </c>
      <c r="F699" s="23" t="e">
        <f ca="1">[1]!BexGetData("DP_1","003N8EMH8GTFRCSWKMPXRRRFI","GSON1112060060")</f>
        <v>#NAME?</v>
      </c>
      <c r="G699" s="23" t="e">
        <f ca="1">[1]!BexGetData("DP_1","003N8EMH8GTFRCSWKMPXRRXR2","GSON1112060060")</f>
        <v>#NAME?</v>
      </c>
      <c r="H699" s="23" t="e">
        <f ca="1">[1]!BexGetData("DP_1","003N8EMH8GTFRCSWKMPXRS42M","GSON1112060060")</f>
        <v>#NAME?</v>
      </c>
      <c r="I699" s="23" t="e">
        <f ca="1">[1]!BexGetData("DP_1","003N8EMH8GTFRCSWKMPXRSAE6","GSON1112060060")</f>
        <v>#NAME?</v>
      </c>
      <c r="J699" s="23" t="e">
        <f ca="1">[1]!BexGetData("DP_1","003N8EMH8GTFRCSWKMPXRSGPQ","GSON1112060060")</f>
        <v>#NAME?</v>
      </c>
      <c r="K699" s="23" t="e">
        <f ca="1">[1]!BexGetData("DP_1","003N8EMH8GTFRIVNUPY288VJH","GSON1112060060")</f>
        <v>#NAME?</v>
      </c>
      <c r="L699" s="23" t="e">
        <f ca="1">[1]!BexGetData("DP_1","003N8EMH8GTFRIVNUPY2891V1","GSON1112060060")</f>
        <v>#NAME?</v>
      </c>
      <c r="M699" s="23" t="e">
        <f ca="1">[1]!BexGetData("DP_1","003N8EMH8GTFRIVOG7KG9IQXA","GSON1112060060")</f>
        <v>#NAME?</v>
      </c>
      <c r="N699" s="28" t="e">
        <f ca="1">[1]!BexGetData("DP_1","003N8EMH8GTFRIVOG7KG9IX8U","GSON1112060060")</f>
        <v>#NAME?</v>
      </c>
      <c r="O699" s="23" t="e">
        <f ca="1">[1]!BexGetData("DP_1","003N8EMH8GTFRIVOG7KG9J3KE","GSON1112060060")</f>
        <v>#NAME?</v>
      </c>
      <c r="P699" s="28" t="e">
        <f ca="1">[1]!BexGetData("DP_1","003N8EMH8GTFRIVOG7KG9J9VY","GSON1112060060")</f>
        <v>#NAME?</v>
      </c>
      <c r="Q699" s="23" t="e">
        <f ca="1">[1]!BexGetData("DP_1","00O2TNJGODT0G5Z4TTKYMM5MT","GSON1112060060")</f>
        <v>#NAME?</v>
      </c>
      <c r="R699" s="23" t="e">
        <f ca="1">[1]!BexGetData("DP_1","00O2TNJGODT0G5Z4TTKYMMBYD","GSON1112060060")</f>
        <v>#NAME?</v>
      </c>
      <c r="S699" s="23" t="e">
        <f ca="1">[1]!BexGetData("DP_1","00O2TNJGODT0G5Z4TTKYMMI9X","GSON1112060060")</f>
        <v>#NAME?</v>
      </c>
      <c r="T699" s="28" t="e">
        <f ca="1">[1]!BexGetData("DP_1","00O2TNJGODT0G5Z4TTKYMMOLH","GSON1112060060")</f>
        <v>#NAME?</v>
      </c>
      <c r="U699" s="23" t="e">
        <f ca="1">[1]!BexGetData("DP_1","00O2TNJGODT0G5Z4TTKYMMUX1","GSON1112060060")</f>
        <v>#NAME?</v>
      </c>
      <c r="V699" s="28" t="e">
        <f ca="1">[1]!BexGetData("DP_1","00O2TNJGODT0G5Z4TTKYMN18L","GSON1112060060")</f>
        <v>#NAME?</v>
      </c>
      <c r="W699" s="23" t="e">
        <f ca="1">[1]!BexGetData("DP_1","00O2TNJGODT0G5Z4TTKYMN7K5","GSON1112060060")</f>
        <v>#NAME?</v>
      </c>
    </row>
    <row r="700" spans="1:23" x14ac:dyDescent="0.2">
      <c r="A700" s="36" t="s">
        <v>2806</v>
      </c>
      <c r="B700" s="27" t="s">
        <v>2807</v>
      </c>
      <c r="C700" s="23" t="e">
        <f ca="1">[1]!BexGetData("DP_1","003N8EMH8GTFRCSWKMPXRR8GU","GSON1112060061")</f>
        <v>#NAME?</v>
      </c>
      <c r="D700" s="23" t="e">
        <f ca="1">[1]!BexGetData("DP_1","003N8EMH8GTFRCSWKMPXRRESE","GSON1112060061")</f>
        <v>#NAME?</v>
      </c>
      <c r="E700" s="28" t="e">
        <f ca="1">[1]!BexGetData("DP_1","003N8EMH8GTFRCSWKMPXRRL3Y","GSON1112060061")</f>
        <v>#NAME?</v>
      </c>
      <c r="F700" s="28" t="e">
        <f ca="1">[1]!BexGetData("DP_1","003N8EMH8GTFRCSWKMPXRRRFI","GSON1112060061")</f>
        <v>#NAME?</v>
      </c>
      <c r="G700" s="23" t="e">
        <f ca="1">[1]!BexGetData("DP_1","003N8EMH8GTFRCSWKMPXRRXR2","GSON1112060061")</f>
        <v>#NAME?</v>
      </c>
      <c r="H700" s="23" t="e">
        <f ca="1">[1]!BexGetData("DP_1","003N8EMH8GTFRCSWKMPXRS42M","GSON1112060061")</f>
        <v>#NAME?</v>
      </c>
      <c r="I700" s="28" t="e">
        <f ca="1">[1]!BexGetData("DP_1","003N8EMH8GTFRCSWKMPXRSAE6","GSON1112060061")</f>
        <v>#NAME?</v>
      </c>
      <c r="J700" s="24" t="e">
        <f ca="1">[1]!BexGetData("DP_1","003N8EMH8GTFRCSWKMPXRSGPQ","GSON1112060061")</f>
        <v>#NAME?</v>
      </c>
      <c r="K700" s="28" t="e">
        <f ca="1">[1]!BexGetData("DP_1","003N8EMH8GTFRIVNUPY288VJH","GSON1112060061")</f>
        <v>#NAME?</v>
      </c>
      <c r="L700" s="28" t="e">
        <f ca="1">[1]!BexGetData("DP_1","003N8EMH8GTFRIVNUPY2891V1","GSON1112060061")</f>
        <v>#NAME?</v>
      </c>
      <c r="M700" s="28" t="e">
        <f ca="1">[1]!BexGetData("DP_1","003N8EMH8GTFRIVOG7KG9IQXA","GSON1112060061")</f>
        <v>#NAME?</v>
      </c>
      <c r="N700" s="28" t="e">
        <f ca="1">[1]!BexGetData("DP_1","003N8EMH8GTFRIVOG7KG9IX8U","GSON1112060061")</f>
        <v>#NAME?</v>
      </c>
      <c r="O700" s="28" t="e">
        <f ca="1">[1]!BexGetData("DP_1","003N8EMH8GTFRIVOG7KG9J3KE","GSON1112060061")</f>
        <v>#NAME?</v>
      </c>
      <c r="P700" s="28" t="e">
        <f ca="1">[1]!BexGetData("DP_1","003N8EMH8GTFRIVOG7KG9J9VY","GSON1112060061")</f>
        <v>#NAME?</v>
      </c>
      <c r="Q700" s="24" t="e">
        <f ca="1">[1]!BexGetData("DP_1","00O2TNJGODT0G5Z4TTKYMM5MT","GSON1112060061")</f>
        <v>#NAME?</v>
      </c>
      <c r="R700" s="28" t="e">
        <f ca="1">[1]!BexGetData("DP_1","00O2TNJGODT0G5Z4TTKYMMBYD","GSON1112060061")</f>
        <v>#NAME?</v>
      </c>
      <c r="S700" s="28" t="e">
        <f ca="1">[1]!BexGetData("DP_1","00O2TNJGODT0G5Z4TTKYMMI9X","GSON1112060061")</f>
        <v>#NAME?</v>
      </c>
      <c r="T700" s="28" t="e">
        <f ca="1">[1]!BexGetData("DP_1","00O2TNJGODT0G5Z4TTKYMMOLH","GSON1112060061")</f>
        <v>#NAME?</v>
      </c>
      <c r="U700" s="28" t="e">
        <f ca="1">[1]!BexGetData("DP_1","00O2TNJGODT0G5Z4TTKYMMUX1","GSON1112060061")</f>
        <v>#NAME?</v>
      </c>
      <c r="V700" s="28" t="e">
        <f ca="1">[1]!BexGetData("DP_1","00O2TNJGODT0G5Z4TTKYMN18L","GSON1112060061")</f>
        <v>#NAME?</v>
      </c>
      <c r="W700" s="28" t="e">
        <f ca="1">[1]!BexGetData("DP_1","00O2TNJGODT0G5Z4TTKYMN7K5","GSON1112060061")</f>
        <v>#NAME?</v>
      </c>
    </row>
    <row r="701" spans="1:23" x14ac:dyDescent="0.2">
      <c r="A701" s="36" t="s">
        <v>2808</v>
      </c>
      <c r="B701" s="27" t="s">
        <v>2809</v>
      </c>
      <c r="C701" s="23" t="e">
        <f ca="1">[1]!BexGetData("DP_1","003N8EMH8GTFRCSWKMPXRR8GU","GSON1112060064")</f>
        <v>#NAME?</v>
      </c>
      <c r="D701" s="23" t="e">
        <f ca="1">[1]!BexGetData("DP_1","003N8EMH8GTFRCSWKMPXRRESE","GSON1112060064")</f>
        <v>#NAME?</v>
      </c>
      <c r="E701" s="28" t="e">
        <f ca="1">[1]!BexGetData("DP_1","003N8EMH8GTFRCSWKMPXRRL3Y","GSON1112060064")</f>
        <v>#NAME?</v>
      </c>
      <c r="F701" s="28" t="e">
        <f ca="1">[1]!BexGetData("DP_1","003N8EMH8GTFRCSWKMPXRRRFI","GSON1112060064")</f>
        <v>#NAME?</v>
      </c>
      <c r="G701" s="23" t="e">
        <f ca="1">[1]!BexGetData("DP_1","003N8EMH8GTFRCSWKMPXRRXR2","GSON1112060064")</f>
        <v>#NAME?</v>
      </c>
      <c r="H701" s="23" t="e">
        <f ca="1">[1]!BexGetData("DP_1","003N8EMH8GTFRCSWKMPXRS42M","GSON1112060064")</f>
        <v>#NAME?</v>
      </c>
      <c r="I701" s="28" t="e">
        <f ca="1">[1]!BexGetData("DP_1","003N8EMH8GTFRCSWKMPXRSAE6","GSON1112060064")</f>
        <v>#NAME?</v>
      </c>
      <c r="J701" s="24" t="e">
        <f ca="1">[1]!BexGetData("DP_1","003N8EMH8GTFRCSWKMPXRSGPQ","GSON1112060064")</f>
        <v>#NAME?</v>
      </c>
      <c r="K701" s="28" t="e">
        <f ca="1">[1]!BexGetData("DP_1","003N8EMH8GTFRIVNUPY288VJH","GSON1112060064")</f>
        <v>#NAME?</v>
      </c>
      <c r="L701" s="28" t="e">
        <f ca="1">[1]!BexGetData("DP_1","003N8EMH8GTFRIVNUPY2891V1","GSON1112060064")</f>
        <v>#NAME?</v>
      </c>
      <c r="M701" s="28" t="e">
        <f ca="1">[1]!BexGetData("DP_1","003N8EMH8GTFRIVOG7KG9IQXA","GSON1112060064")</f>
        <v>#NAME?</v>
      </c>
      <c r="N701" s="28" t="e">
        <f ca="1">[1]!BexGetData("DP_1","003N8EMH8GTFRIVOG7KG9IX8U","GSON1112060064")</f>
        <v>#NAME?</v>
      </c>
      <c r="O701" s="28" t="e">
        <f ca="1">[1]!BexGetData("DP_1","003N8EMH8GTFRIVOG7KG9J3KE","GSON1112060064")</f>
        <v>#NAME?</v>
      </c>
      <c r="P701" s="28" t="e">
        <f ca="1">[1]!BexGetData("DP_1","003N8EMH8GTFRIVOG7KG9J9VY","GSON1112060064")</f>
        <v>#NAME?</v>
      </c>
      <c r="Q701" s="24" t="e">
        <f ca="1">[1]!BexGetData("DP_1","00O2TNJGODT0G5Z4TTKYMM5MT","GSON1112060064")</f>
        <v>#NAME?</v>
      </c>
      <c r="R701" s="28" t="e">
        <f ca="1">[1]!BexGetData("DP_1","00O2TNJGODT0G5Z4TTKYMMBYD","GSON1112060064")</f>
        <v>#NAME?</v>
      </c>
      <c r="S701" s="28" t="e">
        <f ca="1">[1]!BexGetData("DP_1","00O2TNJGODT0G5Z4TTKYMMI9X","GSON1112060064")</f>
        <v>#NAME?</v>
      </c>
      <c r="T701" s="28" t="e">
        <f ca="1">[1]!BexGetData("DP_1","00O2TNJGODT0G5Z4TTKYMMOLH","GSON1112060064")</f>
        <v>#NAME?</v>
      </c>
      <c r="U701" s="28" t="e">
        <f ca="1">[1]!BexGetData("DP_1","00O2TNJGODT0G5Z4TTKYMMUX1","GSON1112060064")</f>
        <v>#NAME?</v>
      </c>
      <c r="V701" s="28" t="e">
        <f ca="1">[1]!BexGetData("DP_1","00O2TNJGODT0G5Z4TTKYMN18L","GSON1112060064")</f>
        <v>#NAME?</v>
      </c>
      <c r="W701" s="28" t="e">
        <f ca="1">[1]!BexGetData("DP_1","00O2TNJGODT0G5Z4TTKYMN7K5","GSON1112060064")</f>
        <v>#NAME?</v>
      </c>
    </row>
    <row r="702" spans="1:23" x14ac:dyDescent="0.2">
      <c r="A702" s="36" t="s">
        <v>2810</v>
      </c>
      <c r="B702" s="27" t="s">
        <v>2811</v>
      </c>
      <c r="C702" s="23" t="e">
        <f ca="1">[1]!BexGetData("DP_1","003N8EMH8GTFRCSWKMPXRR8GU","GSON1112060065")</f>
        <v>#NAME?</v>
      </c>
      <c r="D702" s="23" t="e">
        <f ca="1">[1]!BexGetData("DP_1","003N8EMH8GTFRCSWKMPXRRESE","GSON1112060065")</f>
        <v>#NAME?</v>
      </c>
      <c r="E702" s="28" t="e">
        <f ca="1">[1]!BexGetData("DP_1","003N8EMH8GTFRCSWKMPXRRL3Y","GSON1112060065")</f>
        <v>#NAME?</v>
      </c>
      <c r="F702" s="28" t="e">
        <f ca="1">[1]!BexGetData("DP_1","003N8EMH8GTFRCSWKMPXRRRFI","GSON1112060065")</f>
        <v>#NAME?</v>
      </c>
      <c r="G702" s="23" t="e">
        <f ca="1">[1]!BexGetData("DP_1","003N8EMH8GTFRCSWKMPXRRXR2","GSON1112060065")</f>
        <v>#NAME?</v>
      </c>
      <c r="H702" s="23" t="e">
        <f ca="1">[1]!BexGetData("DP_1","003N8EMH8GTFRCSWKMPXRS42M","GSON1112060065")</f>
        <v>#NAME?</v>
      </c>
      <c r="I702" s="28" t="e">
        <f ca="1">[1]!BexGetData("DP_1","003N8EMH8GTFRCSWKMPXRSAE6","GSON1112060065")</f>
        <v>#NAME?</v>
      </c>
      <c r="J702" s="24" t="e">
        <f ca="1">[1]!BexGetData("DP_1","003N8EMH8GTFRCSWKMPXRSGPQ","GSON1112060065")</f>
        <v>#NAME?</v>
      </c>
      <c r="K702" s="28" t="e">
        <f ca="1">[1]!BexGetData("DP_1","003N8EMH8GTFRIVNUPY288VJH","GSON1112060065")</f>
        <v>#NAME?</v>
      </c>
      <c r="L702" s="28" t="e">
        <f ca="1">[1]!BexGetData("DP_1","003N8EMH8GTFRIVNUPY2891V1","GSON1112060065")</f>
        <v>#NAME?</v>
      </c>
      <c r="M702" s="28" t="e">
        <f ca="1">[1]!BexGetData("DP_1","003N8EMH8GTFRIVOG7KG9IQXA","GSON1112060065")</f>
        <v>#NAME?</v>
      </c>
      <c r="N702" s="28" t="e">
        <f ca="1">[1]!BexGetData("DP_1","003N8EMH8GTFRIVOG7KG9IX8U","GSON1112060065")</f>
        <v>#NAME?</v>
      </c>
      <c r="O702" s="28" t="e">
        <f ca="1">[1]!BexGetData("DP_1","003N8EMH8GTFRIVOG7KG9J3KE","GSON1112060065")</f>
        <v>#NAME?</v>
      </c>
      <c r="P702" s="28" t="e">
        <f ca="1">[1]!BexGetData("DP_1","003N8EMH8GTFRIVOG7KG9J9VY","GSON1112060065")</f>
        <v>#NAME?</v>
      </c>
      <c r="Q702" s="24" t="e">
        <f ca="1">[1]!BexGetData("DP_1","00O2TNJGODT0G5Z4TTKYMM5MT","GSON1112060065")</f>
        <v>#NAME?</v>
      </c>
      <c r="R702" s="28" t="e">
        <f ca="1">[1]!BexGetData("DP_1","00O2TNJGODT0G5Z4TTKYMMBYD","GSON1112060065")</f>
        <v>#NAME?</v>
      </c>
      <c r="S702" s="28" t="e">
        <f ca="1">[1]!BexGetData("DP_1","00O2TNJGODT0G5Z4TTKYMMI9X","GSON1112060065")</f>
        <v>#NAME?</v>
      </c>
      <c r="T702" s="28" t="e">
        <f ca="1">[1]!BexGetData("DP_1","00O2TNJGODT0G5Z4TTKYMMOLH","GSON1112060065")</f>
        <v>#NAME?</v>
      </c>
      <c r="U702" s="28" t="e">
        <f ca="1">[1]!BexGetData("DP_1","00O2TNJGODT0G5Z4TTKYMMUX1","GSON1112060065")</f>
        <v>#NAME?</v>
      </c>
      <c r="V702" s="28" t="e">
        <f ca="1">[1]!BexGetData("DP_1","00O2TNJGODT0G5Z4TTKYMN18L","GSON1112060065")</f>
        <v>#NAME?</v>
      </c>
      <c r="W702" s="28" t="e">
        <f ca="1">[1]!BexGetData("DP_1","00O2TNJGODT0G5Z4TTKYMN7K5","GSON1112060065")</f>
        <v>#NAME?</v>
      </c>
    </row>
    <row r="703" spans="1:23" x14ac:dyDescent="0.2">
      <c r="A703" s="36" t="s">
        <v>2812</v>
      </c>
      <c r="B703" s="27" t="s">
        <v>2813</v>
      </c>
      <c r="C703" s="23" t="e">
        <f ca="1">[1]!BexGetData("DP_1","003N8EMH8GTFRCSWKMPXRR8GU","GSON1112060070")</f>
        <v>#NAME?</v>
      </c>
      <c r="D703" s="23" t="e">
        <f ca="1">[1]!BexGetData("DP_1","003N8EMH8GTFRCSWKMPXRRESE","GSON1112060070")</f>
        <v>#NAME?</v>
      </c>
      <c r="E703" s="23" t="e">
        <f ca="1">[1]!BexGetData("DP_1","003N8EMH8GTFRCSWKMPXRRL3Y","GSON1112060070")</f>
        <v>#NAME?</v>
      </c>
      <c r="F703" s="23" t="e">
        <f ca="1">[1]!BexGetData("DP_1","003N8EMH8GTFRCSWKMPXRRRFI","GSON1112060070")</f>
        <v>#NAME?</v>
      </c>
      <c r="G703" s="23" t="e">
        <f ca="1">[1]!BexGetData("DP_1","003N8EMH8GTFRCSWKMPXRRXR2","GSON1112060070")</f>
        <v>#NAME?</v>
      </c>
      <c r="H703" s="23" t="e">
        <f ca="1">[1]!BexGetData("DP_1","003N8EMH8GTFRCSWKMPXRS42M","GSON1112060070")</f>
        <v>#NAME?</v>
      </c>
      <c r="I703" s="23" t="e">
        <f ca="1">[1]!BexGetData("DP_1","003N8EMH8GTFRCSWKMPXRSAE6","GSON1112060070")</f>
        <v>#NAME?</v>
      </c>
      <c r="J703" s="23" t="e">
        <f ca="1">[1]!BexGetData("DP_1","003N8EMH8GTFRCSWKMPXRSGPQ","GSON1112060070")</f>
        <v>#NAME?</v>
      </c>
      <c r="K703" s="23" t="e">
        <f ca="1">[1]!BexGetData("DP_1","003N8EMH8GTFRIVNUPY288VJH","GSON1112060070")</f>
        <v>#NAME?</v>
      </c>
      <c r="L703" s="23" t="e">
        <f ca="1">[1]!BexGetData("DP_1","003N8EMH8GTFRIVNUPY2891V1","GSON1112060070")</f>
        <v>#NAME?</v>
      </c>
      <c r="M703" s="23" t="e">
        <f ca="1">[1]!BexGetData("DP_1","003N8EMH8GTFRIVOG7KG9IQXA","GSON1112060070")</f>
        <v>#NAME?</v>
      </c>
      <c r="N703" s="28" t="e">
        <f ca="1">[1]!BexGetData("DP_1","003N8EMH8GTFRIVOG7KG9IX8U","GSON1112060070")</f>
        <v>#NAME?</v>
      </c>
      <c r="O703" s="23" t="e">
        <f ca="1">[1]!BexGetData("DP_1","003N8EMH8GTFRIVOG7KG9J3KE","GSON1112060070")</f>
        <v>#NAME?</v>
      </c>
      <c r="P703" s="28" t="e">
        <f ca="1">[1]!BexGetData("DP_1","003N8EMH8GTFRIVOG7KG9J9VY","GSON1112060070")</f>
        <v>#NAME?</v>
      </c>
      <c r="Q703" s="23" t="e">
        <f ca="1">[1]!BexGetData("DP_1","00O2TNJGODT0G5Z4TTKYMM5MT","GSON1112060070")</f>
        <v>#NAME?</v>
      </c>
      <c r="R703" s="23" t="e">
        <f ca="1">[1]!BexGetData("DP_1","00O2TNJGODT0G5Z4TTKYMMBYD","GSON1112060070")</f>
        <v>#NAME?</v>
      </c>
      <c r="S703" s="23" t="e">
        <f ca="1">[1]!BexGetData("DP_1","00O2TNJGODT0G5Z4TTKYMMI9X","GSON1112060070")</f>
        <v>#NAME?</v>
      </c>
      <c r="T703" s="28" t="e">
        <f ca="1">[1]!BexGetData("DP_1","00O2TNJGODT0G5Z4TTKYMMOLH","GSON1112060070")</f>
        <v>#NAME?</v>
      </c>
      <c r="U703" s="23" t="e">
        <f ca="1">[1]!BexGetData("DP_1","00O2TNJGODT0G5Z4TTKYMMUX1","GSON1112060070")</f>
        <v>#NAME?</v>
      </c>
      <c r="V703" s="28" t="e">
        <f ca="1">[1]!BexGetData("DP_1","00O2TNJGODT0G5Z4TTKYMN18L","GSON1112060070")</f>
        <v>#NAME?</v>
      </c>
      <c r="W703" s="23" t="e">
        <f ca="1">[1]!BexGetData("DP_1","00O2TNJGODT0G5Z4TTKYMN7K5","GSON1112060070")</f>
        <v>#NAME?</v>
      </c>
    </row>
    <row r="704" spans="1:23" x14ac:dyDescent="0.2">
      <c r="A704" s="36" t="s">
        <v>2814</v>
      </c>
      <c r="B704" s="27" t="s">
        <v>2815</v>
      </c>
      <c r="C704" s="23" t="e">
        <f ca="1">[1]!BexGetData("DP_1","003N8EMH8GTFRCSWKMPXRR8GU","GSON1112060071")</f>
        <v>#NAME?</v>
      </c>
      <c r="D704" s="23" t="e">
        <f ca="1">[1]!BexGetData("DP_1","003N8EMH8GTFRCSWKMPXRRESE","GSON1112060071")</f>
        <v>#NAME?</v>
      </c>
      <c r="E704" s="28" t="e">
        <f ca="1">[1]!BexGetData("DP_1","003N8EMH8GTFRCSWKMPXRRL3Y","GSON1112060071")</f>
        <v>#NAME?</v>
      </c>
      <c r="F704" s="28" t="e">
        <f ca="1">[1]!BexGetData("DP_1","003N8EMH8GTFRCSWKMPXRRRFI","GSON1112060071")</f>
        <v>#NAME?</v>
      </c>
      <c r="G704" s="23" t="e">
        <f ca="1">[1]!BexGetData("DP_1","003N8EMH8GTFRCSWKMPXRRXR2","GSON1112060071")</f>
        <v>#NAME?</v>
      </c>
      <c r="H704" s="23" t="e">
        <f ca="1">[1]!BexGetData("DP_1","003N8EMH8GTFRCSWKMPXRS42M","GSON1112060071")</f>
        <v>#NAME?</v>
      </c>
      <c r="I704" s="28" t="e">
        <f ca="1">[1]!BexGetData("DP_1","003N8EMH8GTFRCSWKMPXRSAE6","GSON1112060071")</f>
        <v>#NAME?</v>
      </c>
      <c r="J704" s="24" t="e">
        <f ca="1">[1]!BexGetData("DP_1","003N8EMH8GTFRCSWKMPXRSGPQ","GSON1112060071")</f>
        <v>#NAME?</v>
      </c>
      <c r="K704" s="28" t="e">
        <f ca="1">[1]!BexGetData("DP_1","003N8EMH8GTFRIVNUPY288VJH","GSON1112060071")</f>
        <v>#NAME?</v>
      </c>
      <c r="L704" s="28" t="e">
        <f ca="1">[1]!BexGetData("DP_1","003N8EMH8GTFRIVNUPY2891V1","GSON1112060071")</f>
        <v>#NAME?</v>
      </c>
      <c r="M704" s="28" t="e">
        <f ca="1">[1]!BexGetData("DP_1","003N8EMH8GTFRIVOG7KG9IQXA","GSON1112060071")</f>
        <v>#NAME?</v>
      </c>
      <c r="N704" s="28" t="e">
        <f ca="1">[1]!BexGetData("DP_1","003N8EMH8GTFRIVOG7KG9IX8U","GSON1112060071")</f>
        <v>#NAME?</v>
      </c>
      <c r="O704" s="28" t="e">
        <f ca="1">[1]!BexGetData("DP_1","003N8EMH8GTFRIVOG7KG9J3KE","GSON1112060071")</f>
        <v>#NAME?</v>
      </c>
      <c r="P704" s="28" t="e">
        <f ca="1">[1]!BexGetData("DP_1","003N8EMH8GTFRIVOG7KG9J9VY","GSON1112060071")</f>
        <v>#NAME?</v>
      </c>
      <c r="Q704" s="24" t="e">
        <f ca="1">[1]!BexGetData("DP_1","00O2TNJGODT0G5Z4TTKYMM5MT","GSON1112060071")</f>
        <v>#NAME?</v>
      </c>
      <c r="R704" s="28" t="e">
        <f ca="1">[1]!BexGetData("DP_1","00O2TNJGODT0G5Z4TTKYMMBYD","GSON1112060071")</f>
        <v>#NAME?</v>
      </c>
      <c r="S704" s="28" t="e">
        <f ca="1">[1]!BexGetData("DP_1","00O2TNJGODT0G5Z4TTKYMMI9X","GSON1112060071")</f>
        <v>#NAME?</v>
      </c>
      <c r="T704" s="28" t="e">
        <f ca="1">[1]!BexGetData("DP_1","00O2TNJGODT0G5Z4TTKYMMOLH","GSON1112060071")</f>
        <v>#NAME?</v>
      </c>
      <c r="U704" s="28" t="e">
        <f ca="1">[1]!BexGetData("DP_1","00O2TNJGODT0G5Z4TTKYMMUX1","GSON1112060071")</f>
        <v>#NAME?</v>
      </c>
      <c r="V704" s="28" t="e">
        <f ca="1">[1]!BexGetData("DP_1","00O2TNJGODT0G5Z4TTKYMN18L","GSON1112060071")</f>
        <v>#NAME?</v>
      </c>
      <c r="W704" s="28" t="e">
        <f ca="1">[1]!BexGetData("DP_1","00O2TNJGODT0G5Z4TTKYMN7K5","GSON1112060071")</f>
        <v>#NAME?</v>
      </c>
    </row>
    <row r="705" spans="1:23" x14ac:dyDescent="0.2">
      <c r="A705" s="36" t="s">
        <v>2816</v>
      </c>
      <c r="B705" s="27" t="s">
        <v>2817</v>
      </c>
      <c r="C705" s="23" t="e">
        <f ca="1">[1]!BexGetData("DP_1","003N8EMH8GTFRCSWKMPXRR8GU","GSON1112060074")</f>
        <v>#NAME?</v>
      </c>
      <c r="D705" s="23" t="e">
        <f ca="1">[1]!BexGetData("DP_1","003N8EMH8GTFRCSWKMPXRRESE","GSON1112060074")</f>
        <v>#NAME?</v>
      </c>
      <c r="E705" s="28" t="e">
        <f ca="1">[1]!BexGetData("DP_1","003N8EMH8GTFRCSWKMPXRRL3Y","GSON1112060074")</f>
        <v>#NAME?</v>
      </c>
      <c r="F705" s="28" t="e">
        <f ca="1">[1]!BexGetData("DP_1","003N8EMH8GTFRCSWKMPXRRRFI","GSON1112060074")</f>
        <v>#NAME?</v>
      </c>
      <c r="G705" s="23" t="e">
        <f ca="1">[1]!BexGetData("DP_1","003N8EMH8GTFRCSWKMPXRRXR2","GSON1112060074")</f>
        <v>#NAME?</v>
      </c>
      <c r="H705" s="23" t="e">
        <f ca="1">[1]!BexGetData("DP_1","003N8EMH8GTFRCSWKMPXRS42M","GSON1112060074")</f>
        <v>#NAME?</v>
      </c>
      <c r="I705" s="28" t="e">
        <f ca="1">[1]!BexGetData("DP_1","003N8EMH8GTFRCSWKMPXRSAE6","GSON1112060074")</f>
        <v>#NAME?</v>
      </c>
      <c r="J705" s="24" t="e">
        <f ca="1">[1]!BexGetData("DP_1","003N8EMH8GTFRCSWKMPXRSGPQ","GSON1112060074")</f>
        <v>#NAME?</v>
      </c>
      <c r="K705" s="28" t="e">
        <f ca="1">[1]!BexGetData("DP_1","003N8EMH8GTFRIVNUPY288VJH","GSON1112060074")</f>
        <v>#NAME?</v>
      </c>
      <c r="L705" s="28" t="e">
        <f ca="1">[1]!BexGetData("DP_1","003N8EMH8GTFRIVNUPY2891V1","GSON1112060074")</f>
        <v>#NAME?</v>
      </c>
      <c r="M705" s="28" t="e">
        <f ca="1">[1]!BexGetData("DP_1","003N8EMH8GTFRIVOG7KG9IQXA","GSON1112060074")</f>
        <v>#NAME?</v>
      </c>
      <c r="N705" s="28" t="e">
        <f ca="1">[1]!BexGetData("DP_1","003N8EMH8GTFRIVOG7KG9IX8U","GSON1112060074")</f>
        <v>#NAME?</v>
      </c>
      <c r="O705" s="28" t="e">
        <f ca="1">[1]!BexGetData("DP_1","003N8EMH8GTFRIVOG7KG9J3KE","GSON1112060074")</f>
        <v>#NAME?</v>
      </c>
      <c r="P705" s="28" t="e">
        <f ca="1">[1]!BexGetData("DP_1","003N8EMH8GTFRIVOG7KG9J9VY","GSON1112060074")</f>
        <v>#NAME?</v>
      </c>
      <c r="Q705" s="24" t="e">
        <f ca="1">[1]!BexGetData("DP_1","00O2TNJGODT0G5Z4TTKYMM5MT","GSON1112060074")</f>
        <v>#NAME?</v>
      </c>
      <c r="R705" s="28" t="e">
        <f ca="1">[1]!BexGetData("DP_1","00O2TNJGODT0G5Z4TTKYMMBYD","GSON1112060074")</f>
        <v>#NAME?</v>
      </c>
      <c r="S705" s="28" t="e">
        <f ca="1">[1]!BexGetData("DP_1","00O2TNJGODT0G5Z4TTKYMMI9X","GSON1112060074")</f>
        <v>#NAME?</v>
      </c>
      <c r="T705" s="28" t="e">
        <f ca="1">[1]!BexGetData("DP_1","00O2TNJGODT0G5Z4TTKYMMOLH","GSON1112060074")</f>
        <v>#NAME?</v>
      </c>
      <c r="U705" s="28" t="e">
        <f ca="1">[1]!BexGetData("DP_1","00O2TNJGODT0G5Z4TTKYMMUX1","GSON1112060074")</f>
        <v>#NAME?</v>
      </c>
      <c r="V705" s="28" t="e">
        <f ca="1">[1]!BexGetData("DP_1","00O2TNJGODT0G5Z4TTKYMN18L","GSON1112060074")</f>
        <v>#NAME?</v>
      </c>
      <c r="W705" s="28" t="e">
        <f ca="1">[1]!BexGetData("DP_1","00O2TNJGODT0G5Z4TTKYMN7K5","GSON1112060074")</f>
        <v>#NAME?</v>
      </c>
    </row>
    <row r="706" spans="1:23" x14ac:dyDescent="0.2">
      <c r="A706" s="36" t="s">
        <v>2818</v>
      </c>
      <c r="B706" s="27" t="s">
        <v>2819</v>
      </c>
      <c r="C706" s="23" t="e">
        <f ca="1">[1]!BexGetData("DP_1","003N8EMH8GTFRCSWKMPXRR8GU","GSON1112060075")</f>
        <v>#NAME?</v>
      </c>
      <c r="D706" s="23" t="e">
        <f ca="1">[1]!BexGetData("DP_1","003N8EMH8GTFRCSWKMPXRRESE","GSON1112060075")</f>
        <v>#NAME?</v>
      </c>
      <c r="E706" s="28" t="e">
        <f ca="1">[1]!BexGetData("DP_1","003N8EMH8GTFRCSWKMPXRRL3Y","GSON1112060075")</f>
        <v>#NAME?</v>
      </c>
      <c r="F706" s="28" t="e">
        <f ca="1">[1]!BexGetData("DP_1","003N8EMH8GTFRCSWKMPXRRRFI","GSON1112060075")</f>
        <v>#NAME?</v>
      </c>
      <c r="G706" s="23" t="e">
        <f ca="1">[1]!BexGetData("DP_1","003N8EMH8GTFRCSWKMPXRRXR2","GSON1112060075")</f>
        <v>#NAME?</v>
      </c>
      <c r="H706" s="23" t="e">
        <f ca="1">[1]!BexGetData("DP_1","003N8EMH8GTFRCSWKMPXRS42M","GSON1112060075")</f>
        <v>#NAME?</v>
      </c>
      <c r="I706" s="28" t="e">
        <f ca="1">[1]!BexGetData("DP_1","003N8EMH8GTFRCSWKMPXRSAE6","GSON1112060075")</f>
        <v>#NAME?</v>
      </c>
      <c r="J706" s="24" t="e">
        <f ca="1">[1]!BexGetData("DP_1","003N8EMH8GTFRCSWKMPXRSGPQ","GSON1112060075")</f>
        <v>#NAME?</v>
      </c>
      <c r="K706" s="28" t="e">
        <f ca="1">[1]!BexGetData("DP_1","003N8EMH8GTFRIVNUPY288VJH","GSON1112060075")</f>
        <v>#NAME?</v>
      </c>
      <c r="L706" s="28" t="e">
        <f ca="1">[1]!BexGetData("DP_1","003N8EMH8GTFRIVNUPY2891V1","GSON1112060075")</f>
        <v>#NAME?</v>
      </c>
      <c r="M706" s="28" t="e">
        <f ca="1">[1]!BexGetData("DP_1","003N8EMH8GTFRIVOG7KG9IQXA","GSON1112060075")</f>
        <v>#NAME?</v>
      </c>
      <c r="N706" s="28" t="e">
        <f ca="1">[1]!BexGetData("DP_1","003N8EMH8GTFRIVOG7KG9IX8U","GSON1112060075")</f>
        <v>#NAME?</v>
      </c>
      <c r="O706" s="28" t="e">
        <f ca="1">[1]!BexGetData("DP_1","003N8EMH8GTFRIVOG7KG9J3KE","GSON1112060075")</f>
        <v>#NAME?</v>
      </c>
      <c r="P706" s="28" t="e">
        <f ca="1">[1]!BexGetData("DP_1","003N8EMH8GTFRIVOG7KG9J9VY","GSON1112060075")</f>
        <v>#NAME?</v>
      </c>
      <c r="Q706" s="24" t="e">
        <f ca="1">[1]!BexGetData("DP_1","00O2TNJGODT0G5Z4TTKYMM5MT","GSON1112060075")</f>
        <v>#NAME?</v>
      </c>
      <c r="R706" s="28" t="e">
        <f ca="1">[1]!BexGetData("DP_1","00O2TNJGODT0G5Z4TTKYMMBYD","GSON1112060075")</f>
        <v>#NAME?</v>
      </c>
      <c r="S706" s="28" t="e">
        <f ca="1">[1]!BexGetData("DP_1","00O2TNJGODT0G5Z4TTKYMMI9X","GSON1112060075")</f>
        <v>#NAME?</v>
      </c>
      <c r="T706" s="28" t="e">
        <f ca="1">[1]!BexGetData("DP_1","00O2TNJGODT0G5Z4TTKYMMOLH","GSON1112060075")</f>
        <v>#NAME?</v>
      </c>
      <c r="U706" s="28" t="e">
        <f ca="1">[1]!BexGetData("DP_1","00O2TNJGODT0G5Z4TTKYMMUX1","GSON1112060075")</f>
        <v>#NAME?</v>
      </c>
      <c r="V706" s="28" t="e">
        <f ca="1">[1]!BexGetData("DP_1","00O2TNJGODT0G5Z4TTKYMN18L","GSON1112060075")</f>
        <v>#NAME?</v>
      </c>
      <c r="W706" s="28" t="e">
        <f ca="1">[1]!BexGetData("DP_1","00O2TNJGODT0G5Z4TTKYMN7K5","GSON1112060075")</f>
        <v>#NAME?</v>
      </c>
    </row>
    <row r="707" spans="1:23" x14ac:dyDescent="0.2">
      <c r="A707" s="36" t="s">
        <v>2820</v>
      </c>
      <c r="B707" s="27" t="s">
        <v>2821</v>
      </c>
      <c r="C707" s="23" t="e">
        <f ca="1">[1]!BexGetData("DP_1","003N8EMH8GTFRCSWKMPXRR8GU","GSON1112060080")</f>
        <v>#NAME?</v>
      </c>
      <c r="D707" s="23" t="e">
        <f ca="1">[1]!BexGetData("DP_1","003N8EMH8GTFRCSWKMPXRRESE","GSON1112060080")</f>
        <v>#NAME?</v>
      </c>
      <c r="E707" s="23" t="e">
        <f ca="1">[1]!BexGetData("DP_1","003N8EMH8GTFRCSWKMPXRRL3Y","GSON1112060080")</f>
        <v>#NAME?</v>
      </c>
      <c r="F707" s="23" t="e">
        <f ca="1">[1]!BexGetData("DP_1","003N8EMH8GTFRCSWKMPXRRRFI","GSON1112060080")</f>
        <v>#NAME?</v>
      </c>
      <c r="G707" s="23" t="e">
        <f ca="1">[1]!BexGetData("DP_1","003N8EMH8GTFRCSWKMPXRRXR2","GSON1112060080")</f>
        <v>#NAME?</v>
      </c>
      <c r="H707" s="23" t="e">
        <f ca="1">[1]!BexGetData("DP_1","003N8EMH8GTFRCSWKMPXRS42M","GSON1112060080")</f>
        <v>#NAME?</v>
      </c>
      <c r="I707" s="23" t="e">
        <f ca="1">[1]!BexGetData("DP_1","003N8EMH8GTFRCSWKMPXRSAE6","GSON1112060080")</f>
        <v>#NAME?</v>
      </c>
      <c r="J707" s="23" t="e">
        <f ca="1">[1]!BexGetData("DP_1","003N8EMH8GTFRCSWKMPXRSGPQ","GSON1112060080")</f>
        <v>#NAME?</v>
      </c>
      <c r="K707" s="23" t="e">
        <f ca="1">[1]!BexGetData("DP_1","003N8EMH8GTFRIVNUPY288VJH","GSON1112060080")</f>
        <v>#NAME?</v>
      </c>
      <c r="L707" s="23" t="e">
        <f ca="1">[1]!BexGetData("DP_1","003N8EMH8GTFRIVNUPY2891V1","GSON1112060080")</f>
        <v>#NAME?</v>
      </c>
      <c r="M707" s="23" t="e">
        <f ca="1">[1]!BexGetData("DP_1","003N8EMH8GTFRIVOG7KG9IQXA","GSON1112060080")</f>
        <v>#NAME?</v>
      </c>
      <c r="N707" s="28" t="e">
        <f ca="1">[1]!BexGetData("DP_1","003N8EMH8GTFRIVOG7KG9IX8U","GSON1112060080")</f>
        <v>#NAME?</v>
      </c>
      <c r="O707" s="23" t="e">
        <f ca="1">[1]!BexGetData("DP_1","003N8EMH8GTFRIVOG7KG9J3KE","GSON1112060080")</f>
        <v>#NAME?</v>
      </c>
      <c r="P707" s="28" t="e">
        <f ca="1">[1]!BexGetData("DP_1","003N8EMH8GTFRIVOG7KG9J9VY","GSON1112060080")</f>
        <v>#NAME?</v>
      </c>
      <c r="Q707" s="23" t="e">
        <f ca="1">[1]!BexGetData("DP_1","00O2TNJGODT0G5Z4TTKYMM5MT","GSON1112060080")</f>
        <v>#NAME?</v>
      </c>
      <c r="R707" s="23" t="e">
        <f ca="1">[1]!BexGetData("DP_1","00O2TNJGODT0G5Z4TTKYMMBYD","GSON1112060080")</f>
        <v>#NAME?</v>
      </c>
      <c r="S707" s="23" t="e">
        <f ca="1">[1]!BexGetData("DP_1","00O2TNJGODT0G5Z4TTKYMMI9X","GSON1112060080")</f>
        <v>#NAME?</v>
      </c>
      <c r="T707" s="23" t="e">
        <f ca="1">[1]!BexGetData("DP_1","00O2TNJGODT0G5Z4TTKYMMOLH","GSON1112060080")</f>
        <v>#NAME?</v>
      </c>
      <c r="U707" s="28" t="e">
        <f ca="1">[1]!BexGetData("DP_1","00O2TNJGODT0G5Z4TTKYMMUX1","GSON1112060080")</f>
        <v>#NAME?</v>
      </c>
      <c r="V707" s="23" t="e">
        <f ca="1">[1]!BexGetData("DP_1","00O2TNJGODT0G5Z4TTKYMN18L","GSON1112060080")</f>
        <v>#NAME?</v>
      </c>
      <c r="W707" s="28" t="e">
        <f ca="1">[1]!BexGetData("DP_1","00O2TNJGODT0G5Z4TTKYMN7K5","GSON1112060080")</f>
        <v>#NAME?</v>
      </c>
    </row>
    <row r="708" spans="1:23" x14ac:dyDescent="0.2">
      <c r="A708" s="36" t="s">
        <v>2822</v>
      </c>
      <c r="B708" s="27" t="s">
        <v>2823</v>
      </c>
      <c r="C708" s="28" t="e">
        <f ca="1">[1]!BexGetData("DP_1","003N8EMH8GTFRCSWKMPXRR8GU","GSON1112060081")</f>
        <v>#NAME?</v>
      </c>
      <c r="D708" s="28" t="e">
        <f ca="1">[1]!BexGetData("DP_1","003N8EMH8GTFRCSWKMPXRRESE","GSON1112060081")</f>
        <v>#NAME?</v>
      </c>
      <c r="E708" s="28" t="e">
        <f ca="1">[1]!BexGetData("DP_1","003N8EMH8GTFRCSWKMPXRRL3Y","GSON1112060081")</f>
        <v>#NAME?</v>
      </c>
      <c r="F708" s="28" t="e">
        <f ca="1">[1]!BexGetData("DP_1","003N8EMH8GTFRCSWKMPXRRRFI","GSON1112060081")</f>
        <v>#NAME?</v>
      </c>
      <c r="G708" s="23" t="e">
        <f ca="1">[1]!BexGetData("DP_1","003N8EMH8GTFRCSWKMPXRRXR2","GSON1112060081")</f>
        <v>#NAME?</v>
      </c>
      <c r="H708" s="23" t="e">
        <f ca="1">[1]!BexGetData("DP_1","003N8EMH8GTFRCSWKMPXRS42M","GSON1112060081")</f>
        <v>#NAME?</v>
      </c>
      <c r="I708" s="28" t="e">
        <f ca="1">[1]!BexGetData("DP_1","003N8EMH8GTFRCSWKMPXRSAE6","GSON1112060081")</f>
        <v>#NAME?</v>
      </c>
      <c r="J708" s="24" t="e">
        <f ca="1">[1]!BexGetData("DP_1","003N8EMH8GTFRCSWKMPXRSGPQ","GSON1112060081")</f>
        <v>#NAME?</v>
      </c>
      <c r="K708" s="28" t="e">
        <f ca="1">[1]!BexGetData("DP_1","003N8EMH8GTFRIVNUPY288VJH","GSON1112060081")</f>
        <v>#NAME?</v>
      </c>
      <c r="L708" s="28" t="e">
        <f ca="1">[1]!BexGetData("DP_1","003N8EMH8GTFRIVNUPY2891V1","GSON1112060081")</f>
        <v>#NAME?</v>
      </c>
      <c r="M708" s="28" t="e">
        <f ca="1">[1]!BexGetData("DP_1","003N8EMH8GTFRIVOG7KG9IQXA","GSON1112060081")</f>
        <v>#NAME?</v>
      </c>
      <c r="N708" s="28" t="e">
        <f ca="1">[1]!BexGetData("DP_1","003N8EMH8GTFRIVOG7KG9IX8U","GSON1112060081")</f>
        <v>#NAME?</v>
      </c>
      <c r="O708" s="28" t="e">
        <f ca="1">[1]!BexGetData("DP_1","003N8EMH8GTFRIVOG7KG9J3KE","GSON1112060081")</f>
        <v>#NAME?</v>
      </c>
      <c r="P708" s="28" t="e">
        <f ca="1">[1]!BexGetData("DP_1","003N8EMH8GTFRIVOG7KG9J9VY","GSON1112060081")</f>
        <v>#NAME?</v>
      </c>
      <c r="Q708" s="24" t="e">
        <f ca="1">[1]!BexGetData("DP_1","00O2TNJGODT0G5Z4TTKYMM5MT","GSON1112060081")</f>
        <v>#NAME?</v>
      </c>
      <c r="R708" s="28" t="e">
        <f ca="1">[1]!BexGetData("DP_1","00O2TNJGODT0G5Z4TTKYMMBYD","GSON1112060081")</f>
        <v>#NAME?</v>
      </c>
      <c r="S708" s="28" t="e">
        <f ca="1">[1]!BexGetData("DP_1","00O2TNJGODT0G5Z4TTKYMMI9X","GSON1112060081")</f>
        <v>#NAME?</v>
      </c>
      <c r="T708" s="28" t="e">
        <f ca="1">[1]!BexGetData("DP_1","00O2TNJGODT0G5Z4TTKYMMOLH","GSON1112060081")</f>
        <v>#NAME?</v>
      </c>
      <c r="U708" s="28" t="e">
        <f ca="1">[1]!BexGetData("DP_1","00O2TNJGODT0G5Z4TTKYMMUX1","GSON1112060081")</f>
        <v>#NAME?</v>
      </c>
      <c r="V708" s="28" t="e">
        <f ca="1">[1]!BexGetData("DP_1","00O2TNJGODT0G5Z4TTKYMN18L","GSON1112060081")</f>
        <v>#NAME?</v>
      </c>
      <c r="W708" s="28" t="e">
        <f ca="1">[1]!BexGetData("DP_1","00O2TNJGODT0G5Z4TTKYMN7K5","GSON1112060081")</f>
        <v>#NAME?</v>
      </c>
    </row>
    <row r="709" spans="1:23" x14ac:dyDescent="0.2">
      <c r="A709" s="36" t="s">
        <v>2824</v>
      </c>
      <c r="B709" s="27" t="s">
        <v>2825</v>
      </c>
      <c r="C709" s="24" t="e">
        <f ca="1">[1]!BexGetData("DP_1","003N8EMH8GTFRCSWKMPXRR8GU","GSON1112060083")</f>
        <v>#NAME?</v>
      </c>
      <c r="D709" s="24" t="e">
        <f ca="1">[1]!BexGetData("DP_1","003N8EMH8GTFRCSWKMPXRRESE","GSON1112060083")</f>
        <v>#NAME?</v>
      </c>
      <c r="E709" s="24" t="e">
        <f ca="1">[1]!BexGetData("DP_1","003N8EMH8GTFRCSWKMPXRRL3Y","GSON1112060083")</f>
        <v>#NAME?</v>
      </c>
      <c r="F709" s="28" t="e">
        <f ca="1">[1]!BexGetData("DP_1","003N8EMH8GTFRCSWKMPXRRRFI","GSON1112060083")</f>
        <v>#NAME?</v>
      </c>
      <c r="G709" s="23" t="e">
        <f ca="1">[1]!BexGetData("DP_1","003N8EMH8GTFRCSWKMPXRRXR2","GSON1112060083")</f>
        <v>#NAME?</v>
      </c>
      <c r="H709" s="23" t="e">
        <f ca="1">[1]!BexGetData("DP_1","003N8EMH8GTFRCSWKMPXRS42M","GSON1112060083")</f>
        <v>#NAME?</v>
      </c>
      <c r="I709" s="28" t="e">
        <f ca="1">[1]!BexGetData("DP_1","003N8EMH8GTFRCSWKMPXRSAE6","GSON1112060083")</f>
        <v>#NAME?</v>
      </c>
      <c r="J709" s="24" t="e">
        <f ca="1">[1]!BexGetData("DP_1","003N8EMH8GTFRCSWKMPXRSGPQ","GSON1112060083")</f>
        <v>#NAME?</v>
      </c>
      <c r="K709" s="28" t="e">
        <f ca="1">[1]!BexGetData("DP_1","003N8EMH8GTFRIVNUPY288VJH","GSON1112060083")</f>
        <v>#NAME?</v>
      </c>
      <c r="L709" s="28" t="e">
        <f ca="1">[1]!BexGetData("DP_1","003N8EMH8GTFRIVNUPY2891V1","GSON1112060083")</f>
        <v>#NAME?</v>
      </c>
      <c r="M709" s="28" t="e">
        <f ca="1">[1]!BexGetData("DP_1","003N8EMH8GTFRIVOG7KG9IQXA","GSON1112060083")</f>
        <v>#NAME?</v>
      </c>
      <c r="N709" s="28" t="e">
        <f ca="1">[1]!BexGetData("DP_1","003N8EMH8GTFRIVOG7KG9IX8U","GSON1112060083")</f>
        <v>#NAME?</v>
      </c>
      <c r="O709" s="28" t="e">
        <f ca="1">[1]!BexGetData("DP_1","003N8EMH8GTFRIVOG7KG9J3KE","GSON1112060083")</f>
        <v>#NAME?</v>
      </c>
      <c r="P709" s="28" t="e">
        <f ca="1">[1]!BexGetData("DP_1","003N8EMH8GTFRIVOG7KG9J9VY","GSON1112060083")</f>
        <v>#NAME?</v>
      </c>
      <c r="Q709" s="24" t="e">
        <f ca="1">[1]!BexGetData("DP_1","00O2TNJGODT0G5Z4TTKYMM5MT","GSON1112060083")</f>
        <v>#NAME?</v>
      </c>
      <c r="R709" s="28" t="e">
        <f ca="1">[1]!BexGetData("DP_1","00O2TNJGODT0G5Z4TTKYMMBYD","GSON1112060083")</f>
        <v>#NAME?</v>
      </c>
      <c r="S709" s="28" t="e">
        <f ca="1">[1]!BexGetData("DP_1","00O2TNJGODT0G5Z4TTKYMMI9X","GSON1112060083")</f>
        <v>#NAME?</v>
      </c>
      <c r="T709" s="28" t="e">
        <f ca="1">[1]!BexGetData("DP_1","00O2TNJGODT0G5Z4TTKYMMOLH","GSON1112060083")</f>
        <v>#NAME?</v>
      </c>
      <c r="U709" s="28" t="e">
        <f ca="1">[1]!BexGetData("DP_1","00O2TNJGODT0G5Z4TTKYMMUX1","GSON1112060083")</f>
        <v>#NAME?</v>
      </c>
      <c r="V709" s="28" t="e">
        <f ca="1">[1]!BexGetData("DP_1","00O2TNJGODT0G5Z4TTKYMN18L","GSON1112060083")</f>
        <v>#NAME?</v>
      </c>
      <c r="W709" s="28" t="e">
        <f ca="1">[1]!BexGetData("DP_1","00O2TNJGODT0G5Z4TTKYMN7K5","GSON1112060083")</f>
        <v>#NAME?</v>
      </c>
    </row>
    <row r="710" spans="1:23" x14ac:dyDescent="0.2">
      <c r="A710" s="36" t="s">
        <v>2826</v>
      </c>
      <c r="B710" s="27" t="s">
        <v>2827</v>
      </c>
      <c r="C710" s="23" t="e">
        <f ca="1">[1]!BexGetData("DP_1","003N8EMH8GTFRCSWKMPXRR8GU","GSON1112060084")</f>
        <v>#NAME?</v>
      </c>
      <c r="D710" s="23" t="e">
        <f ca="1">[1]!BexGetData("DP_1","003N8EMH8GTFRCSWKMPXRRESE","GSON1112060084")</f>
        <v>#NAME?</v>
      </c>
      <c r="E710" s="28" t="e">
        <f ca="1">[1]!BexGetData("DP_1","003N8EMH8GTFRCSWKMPXRRL3Y","GSON1112060084")</f>
        <v>#NAME?</v>
      </c>
      <c r="F710" s="28" t="e">
        <f ca="1">[1]!BexGetData("DP_1","003N8EMH8GTFRCSWKMPXRRRFI","GSON1112060084")</f>
        <v>#NAME?</v>
      </c>
      <c r="G710" s="23" t="e">
        <f ca="1">[1]!BexGetData("DP_1","003N8EMH8GTFRCSWKMPXRRXR2","GSON1112060084")</f>
        <v>#NAME?</v>
      </c>
      <c r="H710" s="23" t="e">
        <f ca="1">[1]!BexGetData("DP_1","003N8EMH8GTFRCSWKMPXRS42M","GSON1112060084")</f>
        <v>#NAME?</v>
      </c>
      <c r="I710" s="28" t="e">
        <f ca="1">[1]!BexGetData("DP_1","003N8EMH8GTFRCSWKMPXRSAE6","GSON1112060084")</f>
        <v>#NAME?</v>
      </c>
      <c r="J710" s="24" t="e">
        <f ca="1">[1]!BexGetData("DP_1","003N8EMH8GTFRCSWKMPXRSGPQ","GSON1112060084")</f>
        <v>#NAME?</v>
      </c>
      <c r="K710" s="28" t="e">
        <f ca="1">[1]!BexGetData("DP_1","003N8EMH8GTFRIVNUPY288VJH","GSON1112060084")</f>
        <v>#NAME?</v>
      </c>
      <c r="L710" s="28" t="e">
        <f ca="1">[1]!BexGetData("DP_1","003N8EMH8GTFRIVNUPY2891V1","GSON1112060084")</f>
        <v>#NAME?</v>
      </c>
      <c r="M710" s="28" t="e">
        <f ca="1">[1]!BexGetData("DP_1","003N8EMH8GTFRIVOG7KG9IQXA","GSON1112060084")</f>
        <v>#NAME?</v>
      </c>
      <c r="N710" s="28" t="e">
        <f ca="1">[1]!BexGetData("DP_1","003N8EMH8GTFRIVOG7KG9IX8U","GSON1112060084")</f>
        <v>#NAME?</v>
      </c>
      <c r="O710" s="28" t="e">
        <f ca="1">[1]!BexGetData("DP_1","003N8EMH8GTFRIVOG7KG9J3KE","GSON1112060084")</f>
        <v>#NAME?</v>
      </c>
      <c r="P710" s="28" t="e">
        <f ca="1">[1]!BexGetData("DP_1","003N8EMH8GTFRIVOG7KG9J9VY","GSON1112060084")</f>
        <v>#NAME?</v>
      </c>
      <c r="Q710" s="24" t="e">
        <f ca="1">[1]!BexGetData("DP_1","00O2TNJGODT0G5Z4TTKYMM5MT","GSON1112060084")</f>
        <v>#NAME?</v>
      </c>
      <c r="R710" s="28" t="e">
        <f ca="1">[1]!BexGetData("DP_1","00O2TNJGODT0G5Z4TTKYMMBYD","GSON1112060084")</f>
        <v>#NAME?</v>
      </c>
      <c r="S710" s="28" t="e">
        <f ca="1">[1]!BexGetData("DP_1","00O2TNJGODT0G5Z4TTKYMMI9X","GSON1112060084")</f>
        <v>#NAME?</v>
      </c>
      <c r="T710" s="28" t="e">
        <f ca="1">[1]!BexGetData("DP_1","00O2TNJGODT0G5Z4TTKYMMOLH","GSON1112060084")</f>
        <v>#NAME?</v>
      </c>
      <c r="U710" s="28" t="e">
        <f ca="1">[1]!BexGetData("DP_1","00O2TNJGODT0G5Z4TTKYMMUX1","GSON1112060084")</f>
        <v>#NAME?</v>
      </c>
      <c r="V710" s="28" t="e">
        <f ca="1">[1]!BexGetData("DP_1","00O2TNJGODT0G5Z4TTKYMN18L","GSON1112060084")</f>
        <v>#NAME?</v>
      </c>
      <c r="W710" s="28" t="e">
        <f ca="1">[1]!BexGetData("DP_1","00O2TNJGODT0G5Z4TTKYMN7K5","GSON1112060084")</f>
        <v>#NAME?</v>
      </c>
    </row>
    <row r="711" spans="1:23" x14ac:dyDescent="0.2">
      <c r="A711" s="36" t="s">
        <v>2828</v>
      </c>
      <c r="B711" s="27" t="s">
        <v>2829</v>
      </c>
      <c r="C711" s="23" t="e">
        <f ca="1">[1]!BexGetData("DP_1","003N8EMH8GTFRCSWKMPXRR8GU","GSON1112060085")</f>
        <v>#NAME?</v>
      </c>
      <c r="D711" s="23" t="e">
        <f ca="1">[1]!BexGetData("DP_1","003N8EMH8GTFRCSWKMPXRRESE","GSON1112060085")</f>
        <v>#NAME?</v>
      </c>
      <c r="E711" s="28" t="e">
        <f ca="1">[1]!BexGetData("DP_1","003N8EMH8GTFRCSWKMPXRRL3Y","GSON1112060085")</f>
        <v>#NAME?</v>
      </c>
      <c r="F711" s="28" t="e">
        <f ca="1">[1]!BexGetData("DP_1","003N8EMH8GTFRCSWKMPXRRRFI","GSON1112060085")</f>
        <v>#NAME?</v>
      </c>
      <c r="G711" s="23" t="e">
        <f ca="1">[1]!BexGetData("DP_1","003N8EMH8GTFRCSWKMPXRRXR2","GSON1112060085")</f>
        <v>#NAME?</v>
      </c>
      <c r="H711" s="23" t="e">
        <f ca="1">[1]!BexGetData("DP_1","003N8EMH8GTFRCSWKMPXRS42M","GSON1112060085")</f>
        <v>#NAME?</v>
      </c>
      <c r="I711" s="28" t="e">
        <f ca="1">[1]!BexGetData("DP_1","003N8EMH8GTFRCSWKMPXRSAE6","GSON1112060085")</f>
        <v>#NAME?</v>
      </c>
      <c r="J711" s="24" t="e">
        <f ca="1">[1]!BexGetData("DP_1","003N8EMH8GTFRCSWKMPXRSGPQ","GSON1112060085")</f>
        <v>#NAME?</v>
      </c>
      <c r="K711" s="28" t="e">
        <f ca="1">[1]!BexGetData("DP_1","003N8EMH8GTFRIVNUPY288VJH","GSON1112060085")</f>
        <v>#NAME?</v>
      </c>
      <c r="L711" s="28" t="e">
        <f ca="1">[1]!BexGetData("DP_1","003N8EMH8GTFRIVNUPY2891V1","GSON1112060085")</f>
        <v>#NAME?</v>
      </c>
      <c r="M711" s="28" t="e">
        <f ca="1">[1]!BexGetData("DP_1","003N8EMH8GTFRIVOG7KG9IQXA","GSON1112060085")</f>
        <v>#NAME?</v>
      </c>
      <c r="N711" s="28" t="e">
        <f ca="1">[1]!BexGetData("DP_1","003N8EMH8GTFRIVOG7KG9IX8U","GSON1112060085")</f>
        <v>#NAME?</v>
      </c>
      <c r="O711" s="28" t="e">
        <f ca="1">[1]!BexGetData("DP_1","003N8EMH8GTFRIVOG7KG9J3KE","GSON1112060085")</f>
        <v>#NAME?</v>
      </c>
      <c r="P711" s="28" t="e">
        <f ca="1">[1]!BexGetData("DP_1","003N8EMH8GTFRIVOG7KG9J9VY","GSON1112060085")</f>
        <v>#NAME?</v>
      </c>
      <c r="Q711" s="24" t="e">
        <f ca="1">[1]!BexGetData("DP_1","00O2TNJGODT0G5Z4TTKYMM5MT","GSON1112060085")</f>
        <v>#NAME?</v>
      </c>
      <c r="R711" s="28" t="e">
        <f ca="1">[1]!BexGetData("DP_1","00O2TNJGODT0G5Z4TTKYMMBYD","GSON1112060085")</f>
        <v>#NAME?</v>
      </c>
      <c r="S711" s="28" t="e">
        <f ca="1">[1]!BexGetData("DP_1","00O2TNJGODT0G5Z4TTKYMMI9X","GSON1112060085")</f>
        <v>#NAME?</v>
      </c>
      <c r="T711" s="28" t="e">
        <f ca="1">[1]!BexGetData("DP_1","00O2TNJGODT0G5Z4TTKYMMOLH","GSON1112060085")</f>
        <v>#NAME?</v>
      </c>
      <c r="U711" s="28" t="e">
        <f ca="1">[1]!BexGetData("DP_1","00O2TNJGODT0G5Z4TTKYMMUX1","GSON1112060085")</f>
        <v>#NAME?</v>
      </c>
      <c r="V711" s="28" t="e">
        <f ca="1">[1]!BexGetData("DP_1","00O2TNJGODT0G5Z4TTKYMN18L","GSON1112060085")</f>
        <v>#NAME?</v>
      </c>
      <c r="W711" s="28" t="e">
        <f ca="1">[1]!BexGetData("DP_1","00O2TNJGODT0G5Z4TTKYMN7K5","GSON1112060085")</f>
        <v>#NAME?</v>
      </c>
    </row>
    <row r="712" spans="1:23" x14ac:dyDescent="0.2">
      <c r="A712" s="36" t="s">
        <v>2830</v>
      </c>
      <c r="B712" s="27" t="s">
        <v>2831</v>
      </c>
      <c r="C712" s="23" t="e">
        <f ca="1">[1]!BexGetData("DP_1","003N8EMH8GTFRCSWKMPXRR8GU","GSON1112060090")</f>
        <v>#NAME?</v>
      </c>
      <c r="D712" s="23" t="e">
        <f ca="1">[1]!BexGetData("DP_1","003N8EMH8GTFRCSWKMPXRRESE","GSON1112060090")</f>
        <v>#NAME?</v>
      </c>
      <c r="E712" s="23" t="e">
        <f ca="1">[1]!BexGetData("DP_1","003N8EMH8GTFRCSWKMPXRRL3Y","GSON1112060090")</f>
        <v>#NAME?</v>
      </c>
      <c r="F712" s="23" t="e">
        <f ca="1">[1]!BexGetData("DP_1","003N8EMH8GTFRCSWKMPXRRRFI","GSON1112060090")</f>
        <v>#NAME?</v>
      </c>
      <c r="G712" s="23" t="e">
        <f ca="1">[1]!BexGetData("DP_1","003N8EMH8GTFRCSWKMPXRRXR2","GSON1112060090")</f>
        <v>#NAME?</v>
      </c>
      <c r="H712" s="23" t="e">
        <f ca="1">[1]!BexGetData("DP_1","003N8EMH8GTFRCSWKMPXRS42M","GSON1112060090")</f>
        <v>#NAME?</v>
      </c>
      <c r="I712" s="23" t="e">
        <f ca="1">[1]!BexGetData("DP_1","003N8EMH8GTFRCSWKMPXRSAE6","GSON1112060090")</f>
        <v>#NAME?</v>
      </c>
      <c r="J712" s="23" t="e">
        <f ca="1">[1]!BexGetData("DP_1","003N8EMH8GTFRCSWKMPXRSGPQ","GSON1112060090")</f>
        <v>#NAME?</v>
      </c>
      <c r="K712" s="23" t="e">
        <f ca="1">[1]!BexGetData("DP_1","003N8EMH8GTFRIVNUPY288VJH","GSON1112060090")</f>
        <v>#NAME?</v>
      </c>
      <c r="L712" s="23" t="e">
        <f ca="1">[1]!BexGetData("DP_1","003N8EMH8GTFRIVNUPY2891V1","GSON1112060090")</f>
        <v>#NAME?</v>
      </c>
      <c r="M712" s="23" t="e">
        <f ca="1">[1]!BexGetData("DP_1","003N8EMH8GTFRIVOG7KG9IQXA","GSON1112060090")</f>
        <v>#NAME?</v>
      </c>
      <c r="N712" s="28" t="e">
        <f ca="1">[1]!BexGetData("DP_1","003N8EMH8GTFRIVOG7KG9IX8U","GSON1112060090")</f>
        <v>#NAME?</v>
      </c>
      <c r="O712" s="23" t="e">
        <f ca="1">[1]!BexGetData("DP_1","003N8EMH8GTFRIVOG7KG9J3KE","GSON1112060090")</f>
        <v>#NAME?</v>
      </c>
      <c r="P712" s="28" t="e">
        <f ca="1">[1]!BexGetData("DP_1","003N8EMH8GTFRIVOG7KG9J9VY","GSON1112060090")</f>
        <v>#NAME?</v>
      </c>
      <c r="Q712" s="23" t="e">
        <f ca="1">[1]!BexGetData("DP_1","00O2TNJGODT0G5Z4TTKYMM5MT","GSON1112060090")</f>
        <v>#NAME?</v>
      </c>
      <c r="R712" s="23" t="e">
        <f ca="1">[1]!BexGetData("DP_1","00O2TNJGODT0G5Z4TTKYMMBYD","GSON1112060090")</f>
        <v>#NAME?</v>
      </c>
      <c r="S712" s="23" t="e">
        <f ca="1">[1]!BexGetData("DP_1","00O2TNJGODT0G5Z4TTKYMMI9X","GSON1112060090")</f>
        <v>#NAME?</v>
      </c>
      <c r="T712" s="28" t="e">
        <f ca="1">[1]!BexGetData("DP_1","00O2TNJGODT0G5Z4TTKYMMOLH","GSON1112060090")</f>
        <v>#NAME?</v>
      </c>
      <c r="U712" s="23" t="e">
        <f ca="1">[1]!BexGetData("DP_1","00O2TNJGODT0G5Z4TTKYMMUX1","GSON1112060090")</f>
        <v>#NAME?</v>
      </c>
      <c r="V712" s="28" t="e">
        <f ca="1">[1]!BexGetData("DP_1","00O2TNJGODT0G5Z4TTKYMN18L","GSON1112060090")</f>
        <v>#NAME?</v>
      </c>
      <c r="W712" s="23" t="e">
        <f ca="1">[1]!BexGetData("DP_1","00O2TNJGODT0G5Z4TTKYMN7K5","GSON1112060090")</f>
        <v>#NAME?</v>
      </c>
    </row>
    <row r="713" spans="1:23" x14ac:dyDescent="0.2">
      <c r="A713" s="36" t="s">
        <v>2832</v>
      </c>
      <c r="B713" s="27" t="s">
        <v>2833</v>
      </c>
      <c r="C713" s="28" t="e">
        <f ca="1">[1]!BexGetData("DP_1","003N8EMH8GTFRCSWKMPXRR8GU","GSON1112060091")</f>
        <v>#NAME?</v>
      </c>
      <c r="D713" s="28" t="e">
        <f ca="1">[1]!BexGetData("DP_1","003N8EMH8GTFRCSWKMPXRRESE","GSON1112060091")</f>
        <v>#NAME?</v>
      </c>
      <c r="E713" s="28" t="e">
        <f ca="1">[1]!BexGetData("DP_1","003N8EMH8GTFRCSWKMPXRRL3Y","GSON1112060091")</f>
        <v>#NAME?</v>
      </c>
      <c r="F713" s="28" t="e">
        <f ca="1">[1]!BexGetData("DP_1","003N8EMH8GTFRCSWKMPXRRRFI","GSON1112060091")</f>
        <v>#NAME?</v>
      </c>
      <c r="G713" s="23" t="e">
        <f ca="1">[1]!BexGetData("DP_1","003N8EMH8GTFRCSWKMPXRRXR2","GSON1112060091")</f>
        <v>#NAME?</v>
      </c>
      <c r="H713" s="23" t="e">
        <f ca="1">[1]!BexGetData("DP_1","003N8EMH8GTFRCSWKMPXRS42M","GSON1112060091")</f>
        <v>#NAME?</v>
      </c>
      <c r="I713" s="28" t="e">
        <f ca="1">[1]!BexGetData("DP_1","003N8EMH8GTFRCSWKMPXRSAE6","GSON1112060091")</f>
        <v>#NAME?</v>
      </c>
      <c r="J713" s="24" t="e">
        <f ca="1">[1]!BexGetData("DP_1","003N8EMH8GTFRCSWKMPXRSGPQ","GSON1112060091")</f>
        <v>#NAME?</v>
      </c>
      <c r="K713" s="28" t="e">
        <f ca="1">[1]!BexGetData("DP_1","003N8EMH8GTFRIVNUPY288VJH","GSON1112060091")</f>
        <v>#NAME?</v>
      </c>
      <c r="L713" s="28" t="e">
        <f ca="1">[1]!BexGetData("DP_1","003N8EMH8GTFRIVNUPY2891V1","GSON1112060091")</f>
        <v>#NAME?</v>
      </c>
      <c r="M713" s="28" t="e">
        <f ca="1">[1]!BexGetData("DP_1","003N8EMH8GTFRIVOG7KG9IQXA","GSON1112060091")</f>
        <v>#NAME?</v>
      </c>
      <c r="N713" s="28" t="e">
        <f ca="1">[1]!BexGetData("DP_1","003N8EMH8GTFRIVOG7KG9IX8U","GSON1112060091")</f>
        <v>#NAME?</v>
      </c>
      <c r="O713" s="28" t="e">
        <f ca="1">[1]!BexGetData("DP_1","003N8EMH8GTFRIVOG7KG9J3KE","GSON1112060091")</f>
        <v>#NAME?</v>
      </c>
      <c r="P713" s="28" t="e">
        <f ca="1">[1]!BexGetData("DP_1","003N8EMH8GTFRIVOG7KG9J9VY","GSON1112060091")</f>
        <v>#NAME?</v>
      </c>
      <c r="Q713" s="24" t="e">
        <f ca="1">[1]!BexGetData("DP_1","00O2TNJGODT0G5Z4TTKYMM5MT","GSON1112060091")</f>
        <v>#NAME?</v>
      </c>
      <c r="R713" s="28" t="e">
        <f ca="1">[1]!BexGetData("DP_1","00O2TNJGODT0G5Z4TTKYMMBYD","GSON1112060091")</f>
        <v>#NAME?</v>
      </c>
      <c r="S713" s="28" t="e">
        <f ca="1">[1]!BexGetData("DP_1","00O2TNJGODT0G5Z4TTKYMMI9X","GSON1112060091")</f>
        <v>#NAME?</v>
      </c>
      <c r="T713" s="28" t="e">
        <f ca="1">[1]!BexGetData("DP_1","00O2TNJGODT0G5Z4TTKYMMOLH","GSON1112060091")</f>
        <v>#NAME?</v>
      </c>
      <c r="U713" s="28" t="e">
        <f ca="1">[1]!BexGetData("DP_1","00O2TNJGODT0G5Z4TTKYMMUX1","GSON1112060091")</f>
        <v>#NAME?</v>
      </c>
      <c r="V713" s="28" t="e">
        <f ca="1">[1]!BexGetData("DP_1","00O2TNJGODT0G5Z4TTKYMN18L","GSON1112060091")</f>
        <v>#NAME?</v>
      </c>
      <c r="W713" s="28" t="e">
        <f ca="1">[1]!BexGetData("DP_1","00O2TNJGODT0G5Z4TTKYMN7K5","GSON1112060091")</f>
        <v>#NAME?</v>
      </c>
    </row>
    <row r="714" spans="1:23" x14ac:dyDescent="0.2">
      <c r="A714" s="36" t="s">
        <v>2834</v>
      </c>
      <c r="B714" s="27" t="s">
        <v>2835</v>
      </c>
      <c r="C714" s="23" t="e">
        <f ca="1">[1]!BexGetData("DP_1","003N8EMH8GTFRCSWKMPXRR8GU","GSON1112060094")</f>
        <v>#NAME?</v>
      </c>
      <c r="D714" s="23" t="e">
        <f ca="1">[1]!BexGetData("DP_1","003N8EMH8GTFRCSWKMPXRRESE","GSON1112060094")</f>
        <v>#NAME?</v>
      </c>
      <c r="E714" s="28" t="e">
        <f ca="1">[1]!BexGetData("DP_1","003N8EMH8GTFRCSWKMPXRRL3Y","GSON1112060094")</f>
        <v>#NAME?</v>
      </c>
      <c r="F714" s="28" t="e">
        <f ca="1">[1]!BexGetData("DP_1","003N8EMH8GTFRCSWKMPXRRRFI","GSON1112060094")</f>
        <v>#NAME?</v>
      </c>
      <c r="G714" s="23" t="e">
        <f ca="1">[1]!BexGetData("DP_1","003N8EMH8GTFRCSWKMPXRRXR2","GSON1112060094")</f>
        <v>#NAME?</v>
      </c>
      <c r="H714" s="23" t="e">
        <f ca="1">[1]!BexGetData("DP_1","003N8EMH8GTFRCSWKMPXRS42M","GSON1112060094")</f>
        <v>#NAME?</v>
      </c>
      <c r="I714" s="28" t="e">
        <f ca="1">[1]!BexGetData("DP_1","003N8EMH8GTFRCSWKMPXRSAE6","GSON1112060094")</f>
        <v>#NAME?</v>
      </c>
      <c r="J714" s="24" t="e">
        <f ca="1">[1]!BexGetData("DP_1","003N8EMH8GTFRCSWKMPXRSGPQ","GSON1112060094")</f>
        <v>#NAME?</v>
      </c>
      <c r="K714" s="28" t="e">
        <f ca="1">[1]!BexGetData("DP_1","003N8EMH8GTFRIVNUPY288VJH","GSON1112060094")</f>
        <v>#NAME?</v>
      </c>
      <c r="L714" s="28" t="e">
        <f ca="1">[1]!BexGetData("DP_1","003N8EMH8GTFRIVNUPY2891V1","GSON1112060094")</f>
        <v>#NAME?</v>
      </c>
      <c r="M714" s="28" t="e">
        <f ca="1">[1]!BexGetData("DP_1","003N8EMH8GTFRIVOG7KG9IQXA","GSON1112060094")</f>
        <v>#NAME?</v>
      </c>
      <c r="N714" s="28" t="e">
        <f ca="1">[1]!BexGetData("DP_1","003N8EMH8GTFRIVOG7KG9IX8U","GSON1112060094")</f>
        <v>#NAME?</v>
      </c>
      <c r="O714" s="28" t="e">
        <f ca="1">[1]!BexGetData("DP_1","003N8EMH8GTFRIVOG7KG9J3KE","GSON1112060094")</f>
        <v>#NAME?</v>
      </c>
      <c r="P714" s="28" t="e">
        <f ca="1">[1]!BexGetData("DP_1","003N8EMH8GTFRIVOG7KG9J9VY","GSON1112060094")</f>
        <v>#NAME?</v>
      </c>
      <c r="Q714" s="24" t="e">
        <f ca="1">[1]!BexGetData("DP_1","00O2TNJGODT0G5Z4TTKYMM5MT","GSON1112060094")</f>
        <v>#NAME?</v>
      </c>
      <c r="R714" s="28" t="e">
        <f ca="1">[1]!BexGetData("DP_1","00O2TNJGODT0G5Z4TTKYMMBYD","GSON1112060094")</f>
        <v>#NAME?</v>
      </c>
      <c r="S714" s="28" t="e">
        <f ca="1">[1]!BexGetData("DP_1","00O2TNJGODT0G5Z4TTKYMMI9X","GSON1112060094")</f>
        <v>#NAME?</v>
      </c>
      <c r="T714" s="28" t="e">
        <f ca="1">[1]!BexGetData("DP_1","00O2TNJGODT0G5Z4TTKYMMOLH","GSON1112060094")</f>
        <v>#NAME?</v>
      </c>
      <c r="U714" s="28" t="e">
        <f ca="1">[1]!BexGetData("DP_1","00O2TNJGODT0G5Z4TTKYMMUX1","GSON1112060094")</f>
        <v>#NAME?</v>
      </c>
      <c r="V714" s="28" t="e">
        <f ca="1">[1]!BexGetData("DP_1","00O2TNJGODT0G5Z4TTKYMN18L","GSON1112060094")</f>
        <v>#NAME?</v>
      </c>
      <c r="W714" s="28" t="e">
        <f ca="1">[1]!BexGetData("DP_1","00O2TNJGODT0G5Z4TTKYMN7K5","GSON1112060094")</f>
        <v>#NAME?</v>
      </c>
    </row>
    <row r="715" spans="1:23" x14ac:dyDescent="0.2">
      <c r="A715" s="36" t="s">
        <v>2836</v>
      </c>
      <c r="B715" s="27" t="s">
        <v>2837</v>
      </c>
      <c r="C715" s="23" t="e">
        <f ca="1">[1]!BexGetData("DP_1","003N8EMH8GTFRCSWKMPXRR8GU","GSON1112060095")</f>
        <v>#NAME?</v>
      </c>
      <c r="D715" s="23" t="e">
        <f ca="1">[1]!BexGetData("DP_1","003N8EMH8GTFRCSWKMPXRRESE","GSON1112060095")</f>
        <v>#NAME?</v>
      </c>
      <c r="E715" s="28" t="e">
        <f ca="1">[1]!BexGetData("DP_1","003N8EMH8GTFRCSWKMPXRRL3Y","GSON1112060095")</f>
        <v>#NAME?</v>
      </c>
      <c r="F715" s="28" t="e">
        <f ca="1">[1]!BexGetData("DP_1","003N8EMH8GTFRCSWKMPXRRRFI","GSON1112060095")</f>
        <v>#NAME?</v>
      </c>
      <c r="G715" s="23" t="e">
        <f ca="1">[1]!BexGetData("DP_1","003N8EMH8GTFRCSWKMPXRRXR2","GSON1112060095")</f>
        <v>#NAME?</v>
      </c>
      <c r="H715" s="23" t="e">
        <f ca="1">[1]!BexGetData("DP_1","003N8EMH8GTFRCSWKMPXRS42M","GSON1112060095")</f>
        <v>#NAME?</v>
      </c>
      <c r="I715" s="28" t="e">
        <f ca="1">[1]!BexGetData("DP_1","003N8EMH8GTFRCSWKMPXRSAE6","GSON1112060095")</f>
        <v>#NAME?</v>
      </c>
      <c r="J715" s="24" t="e">
        <f ca="1">[1]!BexGetData("DP_1","003N8EMH8GTFRCSWKMPXRSGPQ","GSON1112060095")</f>
        <v>#NAME?</v>
      </c>
      <c r="K715" s="28" t="e">
        <f ca="1">[1]!BexGetData("DP_1","003N8EMH8GTFRIVNUPY288VJH","GSON1112060095")</f>
        <v>#NAME?</v>
      </c>
      <c r="L715" s="28" t="e">
        <f ca="1">[1]!BexGetData("DP_1","003N8EMH8GTFRIVNUPY2891V1","GSON1112060095")</f>
        <v>#NAME?</v>
      </c>
      <c r="M715" s="28" t="e">
        <f ca="1">[1]!BexGetData("DP_1","003N8EMH8GTFRIVOG7KG9IQXA","GSON1112060095")</f>
        <v>#NAME?</v>
      </c>
      <c r="N715" s="28" t="e">
        <f ca="1">[1]!BexGetData("DP_1","003N8EMH8GTFRIVOG7KG9IX8U","GSON1112060095")</f>
        <v>#NAME?</v>
      </c>
      <c r="O715" s="28" t="e">
        <f ca="1">[1]!BexGetData("DP_1","003N8EMH8GTFRIVOG7KG9J3KE","GSON1112060095")</f>
        <v>#NAME?</v>
      </c>
      <c r="P715" s="28" t="e">
        <f ca="1">[1]!BexGetData("DP_1","003N8EMH8GTFRIVOG7KG9J9VY","GSON1112060095")</f>
        <v>#NAME?</v>
      </c>
      <c r="Q715" s="24" t="e">
        <f ca="1">[1]!BexGetData("DP_1","00O2TNJGODT0G5Z4TTKYMM5MT","GSON1112060095")</f>
        <v>#NAME?</v>
      </c>
      <c r="R715" s="28" t="e">
        <f ca="1">[1]!BexGetData("DP_1","00O2TNJGODT0G5Z4TTKYMMBYD","GSON1112060095")</f>
        <v>#NAME?</v>
      </c>
      <c r="S715" s="28" t="e">
        <f ca="1">[1]!BexGetData("DP_1","00O2TNJGODT0G5Z4TTKYMMI9X","GSON1112060095")</f>
        <v>#NAME?</v>
      </c>
      <c r="T715" s="28" t="e">
        <f ca="1">[1]!BexGetData("DP_1","00O2TNJGODT0G5Z4TTKYMMOLH","GSON1112060095")</f>
        <v>#NAME?</v>
      </c>
      <c r="U715" s="28" t="e">
        <f ca="1">[1]!BexGetData("DP_1","00O2TNJGODT0G5Z4TTKYMMUX1","GSON1112060095")</f>
        <v>#NAME?</v>
      </c>
      <c r="V715" s="28" t="e">
        <f ca="1">[1]!BexGetData("DP_1","00O2TNJGODT0G5Z4TTKYMN18L","GSON1112060095")</f>
        <v>#NAME?</v>
      </c>
      <c r="W715" s="28" t="e">
        <f ca="1">[1]!BexGetData("DP_1","00O2TNJGODT0G5Z4TTKYMN7K5","GSON1112060095")</f>
        <v>#NAME?</v>
      </c>
    </row>
    <row r="716" spans="1:23" x14ac:dyDescent="0.2">
      <c r="A716" s="36" t="s">
        <v>2838</v>
      </c>
      <c r="B716" s="27" t="s">
        <v>2839</v>
      </c>
      <c r="C716" s="23" t="e">
        <f ca="1">[1]!BexGetData("DP_1","003N8EMH8GTFRCSWKMPXRR8GU","GSON1112060100")</f>
        <v>#NAME?</v>
      </c>
      <c r="D716" s="23" t="e">
        <f ca="1">[1]!BexGetData("DP_1","003N8EMH8GTFRCSWKMPXRRESE","GSON1112060100")</f>
        <v>#NAME?</v>
      </c>
      <c r="E716" s="23" t="e">
        <f ca="1">[1]!BexGetData("DP_1","003N8EMH8GTFRCSWKMPXRRL3Y","GSON1112060100")</f>
        <v>#NAME?</v>
      </c>
      <c r="F716" s="23" t="e">
        <f ca="1">[1]!BexGetData("DP_1","003N8EMH8GTFRCSWKMPXRRRFI","GSON1112060100")</f>
        <v>#NAME?</v>
      </c>
      <c r="G716" s="23" t="e">
        <f ca="1">[1]!BexGetData("DP_1","003N8EMH8GTFRCSWKMPXRRXR2","GSON1112060100")</f>
        <v>#NAME?</v>
      </c>
      <c r="H716" s="23" t="e">
        <f ca="1">[1]!BexGetData("DP_1","003N8EMH8GTFRCSWKMPXRS42M","GSON1112060100")</f>
        <v>#NAME?</v>
      </c>
      <c r="I716" s="23" t="e">
        <f ca="1">[1]!BexGetData("DP_1","003N8EMH8GTFRCSWKMPXRSAE6","GSON1112060100")</f>
        <v>#NAME?</v>
      </c>
      <c r="J716" s="23" t="e">
        <f ca="1">[1]!BexGetData("DP_1","003N8EMH8GTFRCSWKMPXRSGPQ","GSON1112060100")</f>
        <v>#NAME?</v>
      </c>
      <c r="K716" s="23" t="e">
        <f ca="1">[1]!BexGetData("DP_1","003N8EMH8GTFRIVNUPY288VJH","GSON1112060100")</f>
        <v>#NAME?</v>
      </c>
      <c r="L716" s="23" t="e">
        <f ca="1">[1]!BexGetData("DP_1","003N8EMH8GTFRIVNUPY2891V1","GSON1112060100")</f>
        <v>#NAME?</v>
      </c>
      <c r="M716" s="23" t="e">
        <f ca="1">[1]!BexGetData("DP_1","003N8EMH8GTFRIVOG7KG9IQXA","GSON1112060100")</f>
        <v>#NAME?</v>
      </c>
      <c r="N716" s="28" t="e">
        <f ca="1">[1]!BexGetData("DP_1","003N8EMH8GTFRIVOG7KG9IX8U","GSON1112060100")</f>
        <v>#NAME?</v>
      </c>
      <c r="O716" s="23" t="e">
        <f ca="1">[1]!BexGetData("DP_1","003N8EMH8GTFRIVOG7KG9J3KE","GSON1112060100")</f>
        <v>#NAME?</v>
      </c>
      <c r="P716" s="28" t="e">
        <f ca="1">[1]!BexGetData("DP_1","003N8EMH8GTFRIVOG7KG9J9VY","GSON1112060100")</f>
        <v>#NAME?</v>
      </c>
      <c r="Q716" s="23" t="e">
        <f ca="1">[1]!BexGetData("DP_1","00O2TNJGODT0G5Z4TTKYMM5MT","GSON1112060100")</f>
        <v>#NAME?</v>
      </c>
      <c r="R716" s="23" t="e">
        <f ca="1">[1]!BexGetData("DP_1","00O2TNJGODT0G5Z4TTKYMMBYD","GSON1112060100")</f>
        <v>#NAME?</v>
      </c>
      <c r="S716" s="23" t="e">
        <f ca="1">[1]!BexGetData("DP_1","00O2TNJGODT0G5Z4TTKYMMI9X","GSON1112060100")</f>
        <v>#NAME?</v>
      </c>
      <c r="T716" s="23" t="e">
        <f ca="1">[1]!BexGetData("DP_1","00O2TNJGODT0G5Z4TTKYMMOLH","GSON1112060100")</f>
        <v>#NAME?</v>
      </c>
      <c r="U716" s="28" t="e">
        <f ca="1">[1]!BexGetData("DP_1","00O2TNJGODT0G5Z4TTKYMMUX1","GSON1112060100")</f>
        <v>#NAME?</v>
      </c>
      <c r="V716" s="23" t="e">
        <f ca="1">[1]!BexGetData("DP_1","00O2TNJGODT0G5Z4TTKYMN18L","GSON1112060100")</f>
        <v>#NAME?</v>
      </c>
      <c r="W716" s="28" t="e">
        <f ca="1">[1]!BexGetData("DP_1","00O2TNJGODT0G5Z4TTKYMN7K5","GSON1112060100")</f>
        <v>#NAME?</v>
      </c>
    </row>
    <row r="717" spans="1:23" x14ac:dyDescent="0.2">
      <c r="A717" s="36" t="s">
        <v>2840</v>
      </c>
      <c r="B717" s="27" t="s">
        <v>2841</v>
      </c>
      <c r="C717" s="28" t="e">
        <f ca="1">[1]!BexGetData("DP_1","003N8EMH8GTFRCSWKMPXRR8GU","GSON1112060101")</f>
        <v>#NAME?</v>
      </c>
      <c r="D717" s="28" t="e">
        <f ca="1">[1]!BexGetData("DP_1","003N8EMH8GTFRCSWKMPXRRESE","GSON1112060101")</f>
        <v>#NAME?</v>
      </c>
      <c r="E717" s="28" t="e">
        <f ca="1">[1]!BexGetData("DP_1","003N8EMH8GTFRCSWKMPXRRL3Y","GSON1112060101")</f>
        <v>#NAME?</v>
      </c>
      <c r="F717" s="28" t="e">
        <f ca="1">[1]!BexGetData("DP_1","003N8EMH8GTFRCSWKMPXRRRFI","GSON1112060101")</f>
        <v>#NAME?</v>
      </c>
      <c r="G717" s="23" t="e">
        <f ca="1">[1]!BexGetData("DP_1","003N8EMH8GTFRCSWKMPXRRXR2","GSON1112060101")</f>
        <v>#NAME?</v>
      </c>
      <c r="H717" s="23" t="e">
        <f ca="1">[1]!BexGetData("DP_1","003N8EMH8GTFRCSWKMPXRS42M","GSON1112060101")</f>
        <v>#NAME?</v>
      </c>
      <c r="I717" s="28" t="e">
        <f ca="1">[1]!BexGetData("DP_1","003N8EMH8GTFRCSWKMPXRSAE6","GSON1112060101")</f>
        <v>#NAME?</v>
      </c>
      <c r="J717" s="24" t="e">
        <f ca="1">[1]!BexGetData("DP_1","003N8EMH8GTFRCSWKMPXRSGPQ","GSON1112060101")</f>
        <v>#NAME?</v>
      </c>
      <c r="K717" s="28" t="e">
        <f ca="1">[1]!BexGetData("DP_1","003N8EMH8GTFRIVNUPY288VJH","GSON1112060101")</f>
        <v>#NAME?</v>
      </c>
      <c r="L717" s="28" t="e">
        <f ca="1">[1]!BexGetData("DP_1","003N8EMH8GTFRIVNUPY2891V1","GSON1112060101")</f>
        <v>#NAME?</v>
      </c>
      <c r="M717" s="28" t="e">
        <f ca="1">[1]!BexGetData("DP_1","003N8EMH8GTFRIVOG7KG9IQXA","GSON1112060101")</f>
        <v>#NAME?</v>
      </c>
      <c r="N717" s="28" t="e">
        <f ca="1">[1]!BexGetData("DP_1","003N8EMH8GTFRIVOG7KG9IX8U","GSON1112060101")</f>
        <v>#NAME?</v>
      </c>
      <c r="O717" s="28" t="e">
        <f ca="1">[1]!BexGetData("DP_1","003N8EMH8GTFRIVOG7KG9J3KE","GSON1112060101")</f>
        <v>#NAME?</v>
      </c>
      <c r="P717" s="28" t="e">
        <f ca="1">[1]!BexGetData("DP_1","003N8EMH8GTFRIVOG7KG9J9VY","GSON1112060101")</f>
        <v>#NAME?</v>
      </c>
      <c r="Q717" s="24" t="e">
        <f ca="1">[1]!BexGetData("DP_1","00O2TNJGODT0G5Z4TTKYMM5MT","GSON1112060101")</f>
        <v>#NAME?</v>
      </c>
      <c r="R717" s="28" t="e">
        <f ca="1">[1]!BexGetData("DP_1","00O2TNJGODT0G5Z4TTKYMMBYD","GSON1112060101")</f>
        <v>#NAME?</v>
      </c>
      <c r="S717" s="28" t="e">
        <f ca="1">[1]!BexGetData("DP_1","00O2TNJGODT0G5Z4TTKYMMI9X","GSON1112060101")</f>
        <v>#NAME?</v>
      </c>
      <c r="T717" s="28" t="e">
        <f ca="1">[1]!BexGetData("DP_1","00O2TNJGODT0G5Z4TTKYMMOLH","GSON1112060101")</f>
        <v>#NAME?</v>
      </c>
      <c r="U717" s="28" t="e">
        <f ca="1">[1]!BexGetData("DP_1","00O2TNJGODT0G5Z4TTKYMMUX1","GSON1112060101")</f>
        <v>#NAME?</v>
      </c>
      <c r="V717" s="28" t="e">
        <f ca="1">[1]!BexGetData("DP_1","00O2TNJGODT0G5Z4TTKYMN18L","GSON1112060101")</f>
        <v>#NAME?</v>
      </c>
      <c r="W717" s="28" t="e">
        <f ca="1">[1]!BexGetData("DP_1","00O2TNJGODT0G5Z4TTKYMN7K5","GSON1112060101")</f>
        <v>#NAME?</v>
      </c>
    </row>
    <row r="718" spans="1:23" x14ac:dyDescent="0.2">
      <c r="A718" s="36" t="s">
        <v>2842</v>
      </c>
      <c r="B718" s="27" t="s">
        <v>2843</v>
      </c>
      <c r="C718" s="24" t="e">
        <f ca="1">[1]!BexGetData("DP_1","003N8EMH8GTFRCSWKMPXRR8GU","GSON1112060102")</f>
        <v>#NAME?</v>
      </c>
      <c r="D718" s="24" t="e">
        <f ca="1">[1]!BexGetData("DP_1","003N8EMH8GTFRCSWKMPXRRESE","GSON1112060102")</f>
        <v>#NAME?</v>
      </c>
      <c r="E718" s="24" t="e">
        <f ca="1">[1]!BexGetData("DP_1","003N8EMH8GTFRCSWKMPXRRL3Y","GSON1112060102")</f>
        <v>#NAME?</v>
      </c>
      <c r="F718" s="28" t="e">
        <f ca="1">[1]!BexGetData("DP_1","003N8EMH8GTFRCSWKMPXRRRFI","GSON1112060102")</f>
        <v>#NAME?</v>
      </c>
      <c r="G718" s="23" t="e">
        <f ca="1">[1]!BexGetData("DP_1","003N8EMH8GTFRCSWKMPXRRXR2","GSON1112060102")</f>
        <v>#NAME?</v>
      </c>
      <c r="H718" s="23" t="e">
        <f ca="1">[1]!BexGetData("DP_1","003N8EMH8GTFRCSWKMPXRS42M","GSON1112060102")</f>
        <v>#NAME?</v>
      </c>
      <c r="I718" s="28" t="e">
        <f ca="1">[1]!BexGetData("DP_1","003N8EMH8GTFRCSWKMPXRSAE6","GSON1112060102")</f>
        <v>#NAME?</v>
      </c>
      <c r="J718" s="24" t="e">
        <f ca="1">[1]!BexGetData("DP_1","003N8EMH8GTFRCSWKMPXRSGPQ","GSON1112060102")</f>
        <v>#NAME?</v>
      </c>
      <c r="K718" s="28" t="e">
        <f ca="1">[1]!BexGetData("DP_1","003N8EMH8GTFRIVNUPY288VJH","GSON1112060102")</f>
        <v>#NAME?</v>
      </c>
      <c r="L718" s="28" t="e">
        <f ca="1">[1]!BexGetData("DP_1","003N8EMH8GTFRIVNUPY2891V1","GSON1112060102")</f>
        <v>#NAME?</v>
      </c>
      <c r="M718" s="28" t="e">
        <f ca="1">[1]!BexGetData("DP_1","003N8EMH8GTFRIVOG7KG9IQXA","GSON1112060102")</f>
        <v>#NAME?</v>
      </c>
      <c r="N718" s="28" t="e">
        <f ca="1">[1]!BexGetData("DP_1","003N8EMH8GTFRIVOG7KG9IX8U","GSON1112060102")</f>
        <v>#NAME?</v>
      </c>
      <c r="O718" s="28" t="e">
        <f ca="1">[1]!BexGetData("DP_1","003N8EMH8GTFRIVOG7KG9J3KE","GSON1112060102")</f>
        <v>#NAME?</v>
      </c>
      <c r="P718" s="28" t="e">
        <f ca="1">[1]!BexGetData("DP_1","003N8EMH8GTFRIVOG7KG9J9VY","GSON1112060102")</f>
        <v>#NAME?</v>
      </c>
      <c r="Q718" s="24" t="e">
        <f ca="1">[1]!BexGetData("DP_1","00O2TNJGODT0G5Z4TTKYMM5MT","GSON1112060102")</f>
        <v>#NAME?</v>
      </c>
      <c r="R718" s="28" t="e">
        <f ca="1">[1]!BexGetData("DP_1","00O2TNJGODT0G5Z4TTKYMMBYD","GSON1112060102")</f>
        <v>#NAME?</v>
      </c>
      <c r="S718" s="28" t="e">
        <f ca="1">[1]!BexGetData("DP_1","00O2TNJGODT0G5Z4TTKYMMI9X","GSON1112060102")</f>
        <v>#NAME?</v>
      </c>
      <c r="T718" s="28" t="e">
        <f ca="1">[1]!BexGetData("DP_1","00O2TNJGODT0G5Z4TTKYMMOLH","GSON1112060102")</f>
        <v>#NAME?</v>
      </c>
      <c r="U718" s="28" t="e">
        <f ca="1">[1]!BexGetData("DP_1","00O2TNJGODT0G5Z4TTKYMMUX1","GSON1112060102")</f>
        <v>#NAME?</v>
      </c>
      <c r="V718" s="28" t="e">
        <f ca="1">[1]!BexGetData("DP_1","00O2TNJGODT0G5Z4TTKYMN18L","GSON1112060102")</f>
        <v>#NAME?</v>
      </c>
      <c r="W718" s="28" t="e">
        <f ca="1">[1]!BexGetData("DP_1","00O2TNJGODT0G5Z4TTKYMN7K5","GSON1112060102")</f>
        <v>#NAME?</v>
      </c>
    </row>
    <row r="719" spans="1:23" x14ac:dyDescent="0.2">
      <c r="A719" s="36" t="s">
        <v>2844</v>
      </c>
      <c r="B719" s="27" t="s">
        <v>2845</v>
      </c>
      <c r="C719" s="23" t="e">
        <f ca="1">[1]!BexGetData("DP_1","003N8EMH8GTFRCSWKMPXRR8GU","GSON1112060103")</f>
        <v>#NAME?</v>
      </c>
      <c r="D719" s="23" t="e">
        <f ca="1">[1]!BexGetData("DP_1","003N8EMH8GTFRCSWKMPXRRESE","GSON1112060103")</f>
        <v>#NAME?</v>
      </c>
      <c r="E719" s="28" t="e">
        <f ca="1">[1]!BexGetData("DP_1","003N8EMH8GTFRCSWKMPXRRL3Y","GSON1112060103")</f>
        <v>#NAME?</v>
      </c>
      <c r="F719" s="28" t="e">
        <f ca="1">[1]!BexGetData("DP_1","003N8EMH8GTFRCSWKMPXRRRFI","GSON1112060103")</f>
        <v>#NAME?</v>
      </c>
      <c r="G719" s="23" t="e">
        <f ca="1">[1]!BexGetData("DP_1","003N8EMH8GTFRCSWKMPXRRXR2","GSON1112060103")</f>
        <v>#NAME?</v>
      </c>
      <c r="H719" s="23" t="e">
        <f ca="1">[1]!BexGetData("DP_1","003N8EMH8GTFRCSWKMPXRS42M","GSON1112060103")</f>
        <v>#NAME?</v>
      </c>
      <c r="I719" s="28" t="e">
        <f ca="1">[1]!BexGetData("DP_1","003N8EMH8GTFRCSWKMPXRSAE6","GSON1112060103")</f>
        <v>#NAME?</v>
      </c>
      <c r="J719" s="24" t="e">
        <f ca="1">[1]!BexGetData("DP_1","003N8EMH8GTFRCSWKMPXRSGPQ","GSON1112060103")</f>
        <v>#NAME?</v>
      </c>
      <c r="K719" s="28" t="e">
        <f ca="1">[1]!BexGetData("DP_1","003N8EMH8GTFRIVNUPY288VJH","GSON1112060103")</f>
        <v>#NAME?</v>
      </c>
      <c r="L719" s="28" t="e">
        <f ca="1">[1]!BexGetData("DP_1","003N8EMH8GTFRIVNUPY2891V1","GSON1112060103")</f>
        <v>#NAME?</v>
      </c>
      <c r="M719" s="28" t="e">
        <f ca="1">[1]!BexGetData("DP_1","003N8EMH8GTFRIVOG7KG9IQXA","GSON1112060103")</f>
        <v>#NAME?</v>
      </c>
      <c r="N719" s="28" t="e">
        <f ca="1">[1]!BexGetData("DP_1","003N8EMH8GTFRIVOG7KG9IX8U","GSON1112060103")</f>
        <v>#NAME?</v>
      </c>
      <c r="O719" s="28" t="e">
        <f ca="1">[1]!BexGetData("DP_1","003N8EMH8GTFRIVOG7KG9J3KE","GSON1112060103")</f>
        <v>#NAME?</v>
      </c>
      <c r="P719" s="28" t="e">
        <f ca="1">[1]!BexGetData("DP_1","003N8EMH8GTFRIVOG7KG9J9VY","GSON1112060103")</f>
        <v>#NAME?</v>
      </c>
      <c r="Q719" s="24" t="e">
        <f ca="1">[1]!BexGetData("DP_1","00O2TNJGODT0G5Z4TTKYMM5MT","GSON1112060103")</f>
        <v>#NAME?</v>
      </c>
      <c r="R719" s="28" t="e">
        <f ca="1">[1]!BexGetData("DP_1","00O2TNJGODT0G5Z4TTKYMMBYD","GSON1112060103")</f>
        <v>#NAME?</v>
      </c>
      <c r="S719" s="28" t="e">
        <f ca="1">[1]!BexGetData("DP_1","00O2TNJGODT0G5Z4TTKYMMI9X","GSON1112060103")</f>
        <v>#NAME?</v>
      </c>
      <c r="T719" s="28" t="e">
        <f ca="1">[1]!BexGetData("DP_1","00O2TNJGODT0G5Z4TTKYMMOLH","GSON1112060103")</f>
        <v>#NAME?</v>
      </c>
      <c r="U719" s="28" t="e">
        <f ca="1">[1]!BexGetData("DP_1","00O2TNJGODT0G5Z4TTKYMMUX1","GSON1112060103")</f>
        <v>#NAME?</v>
      </c>
      <c r="V719" s="28" t="e">
        <f ca="1">[1]!BexGetData("DP_1","00O2TNJGODT0G5Z4TTKYMN18L","GSON1112060103")</f>
        <v>#NAME?</v>
      </c>
      <c r="W719" s="28" t="e">
        <f ca="1">[1]!BexGetData("DP_1","00O2TNJGODT0G5Z4TTKYMN7K5","GSON1112060103")</f>
        <v>#NAME?</v>
      </c>
    </row>
    <row r="720" spans="1:23" x14ac:dyDescent="0.2">
      <c r="A720" s="36" t="s">
        <v>2846</v>
      </c>
      <c r="B720" s="27" t="s">
        <v>2847</v>
      </c>
      <c r="C720" s="23" t="e">
        <f ca="1">[1]!BexGetData("DP_1","003N8EMH8GTFRCSWKMPXRR8GU","GSON1112060104")</f>
        <v>#NAME?</v>
      </c>
      <c r="D720" s="23" t="e">
        <f ca="1">[1]!BexGetData("DP_1","003N8EMH8GTFRCSWKMPXRRESE","GSON1112060104")</f>
        <v>#NAME?</v>
      </c>
      <c r="E720" s="28" t="e">
        <f ca="1">[1]!BexGetData("DP_1","003N8EMH8GTFRCSWKMPXRRL3Y","GSON1112060104")</f>
        <v>#NAME?</v>
      </c>
      <c r="F720" s="28" t="e">
        <f ca="1">[1]!BexGetData("DP_1","003N8EMH8GTFRCSWKMPXRRRFI","GSON1112060104")</f>
        <v>#NAME?</v>
      </c>
      <c r="G720" s="23" t="e">
        <f ca="1">[1]!BexGetData("DP_1","003N8EMH8GTFRCSWKMPXRRXR2","GSON1112060104")</f>
        <v>#NAME?</v>
      </c>
      <c r="H720" s="23" t="e">
        <f ca="1">[1]!BexGetData("DP_1","003N8EMH8GTFRCSWKMPXRS42M","GSON1112060104")</f>
        <v>#NAME?</v>
      </c>
      <c r="I720" s="28" t="e">
        <f ca="1">[1]!BexGetData("DP_1","003N8EMH8GTFRCSWKMPXRSAE6","GSON1112060104")</f>
        <v>#NAME?</v>
      </c>
      <c r="J720" s="24" t="e">
        <f ca="1">[1]!BexGetData("DP_1","003N8EMH8GTFRCSWKMPXRSGPQ","GSON1112060104")</f>
        <v>#NAME?</v>
      </c>
      <c r="K720" s="28" t="e">
        <f ca="1">[1]!BexGetData("DP_1","003N8EMH8GTFRIVNUPY288VJH","GSON1112060104")</f>
        <v>#NAME?</v>
      </c>
      <c r="L720" s="28" t="e">
        <f ca="1">[1]!BexGetData("DP_1","003N8EMH8GTFRIVNUPY2891V1","GSON1112060104")</f>
        <v>#NAME?</v>
      </c>
      <c r="M720" s="28" t="e">
        <f ca="1">[1]!BexGetData("DP_1","003N8EMH8GTFRIVOG7KG9IQXA","GSON1112060104")</f>
        <v>#NAME?</v>
      </c>
      <c r="N720" s="28" t="e">
        <f ca="1">[1]!BexGetData("DP_1","003N8EMH8GTFRIVOG7KG9IX8U","GSON1112060104")</f>
        <v>#NAME?</v>
      </c>
      <c r="O720" s="28" t="e">
        <f ca="1">[1]!BexGetData("DP_1","003N8EMH8GTFRIVOG7KG9J3KE","GSON1112060104")</f>
        <v>#NAME?</v>
      </c>
      <c r="P720" s="28" t="e">
        <f ca="1">[1]!BexGetData("DP_1","003N8EMH8GTFRIVOG7KG9J9VY","GSON1112060104")</f>
        <v>#NAME?</v>
      </c>
      <c r="Q720" s="24" t="e">
        <f ca="1">[1]!BexGetData("DP_1","00O2TNJGODT0G5Z4TTKYMM5MT","GSON1112060104")</f>
        <v>#NAME?</v>
      </c>
      <c r="R720" s="28" t="e">
        <f ca="1">[1]!BexGetData("DP_1","00O2TNJGODT0G5Z4TTKYMMBYD","GSON1112060104")</f>
        <v>#NAME?</v>
      </c>
      <c r="S720" s="28" t="e">
        <f ca="1">[1]!BexGetData("DP_1","00O2TNJGODT0G5Z4TTKYMMI9X","GSON1112060104")</f>
        <v>#NAME?</v>
      </c>
      <c r="T720" s="28" t="e">
        <f ca="1">[1]!BexGetData("DP_1","00O2TNJGODT0G5Z4TTKYMMOLH","GSON1112060104")</f>
        <v>#NAME?</v>
      </c>
      <c r="U720" s="28" t="e">
        <f ca="1">[1]!BexGetData("DP_1","00O2TNJGODT0G5Z4TTKYMMUX1","GSON1112060104")</f>
        <v>#NAME?</v>
      </c>
      <c r="V720" s="28" t="e">
        <f ca="1">[1]!BexGetData("DP_1","00O2TNJGODT0G5Z4TTKYMN18L","GSON1112060104")</f>
        <v>#NAME?</v>
      </c>
      <c r="W720" s="28" t="e">
        <f ca="1">[1]!BexGetData("DP_1","00O2TNJGODT0G5Z4TTKYMN7K5","GSON1112060104")</f>
        <v>#NAME?</v>
      </c>
    </row>
    <row r="721" spans="1:23" x14ac:dyDescent="0.2">
      <c r="A721" s="36" t="s">
        <v>2848</v>
      </c>
      <c r="B721" s="27" t="s">
        <v>2849</v>
      </c>
      <c r="C721" s="23" t="e">
        <f ca="1">[1]!BexGetData("DP_1","003N8EMH8GTFRCSWKMPXRR8GU","GSON1112060105")</f>
        <v>#NAME?</v>
      </c>
      <c r="D721" s="23" t="e">
        <f ca="1">[1]!BexGetData("DP_1","003N8EMH8GTFRCSWKMPXRRESE","GSON1112060105")</f>
        <v>#NAME?</v>
      </c>
      <c r="E721" s="28" t="e">
        <f ca="1">[1]!BexGetData("DP_1","003N8EMH8GTFRCSWKMPXRRL3Y","GSON1112060105")</f>
        <v>#NAME?</v>
      </c>
      <c r="F721" s="28" t="e">
        <f ca="1">[1]!BexGetData("DP_1","003N8EMH8GTFRCSWKMPXRRRFI","GSON1112060105")</f>
        <v>#NAME?</v>
      </c>
      <c r="G721" s="23" t="e">
        <f ca="1">[1]!BexGetData("DP_1","003N8EMH8GTFRCSWKMPXRRXR2","GSON1112060105")</f>
        <v>#NAME?</v>
      </c>
      <c r="H721" s="23" t="e">
        <f ca="1">[1]!BexGetData("DP_1","003N8EMH8GTFRCSWKMPXRS42M","GSON1112060105")</f>
        <v>#NAME?</v>
      </c>
      <c r="I721" s="28" t="e">
        <f ca="1">[1]!BexGetData("DP_1","003N8EMH8GTFRCSWKMPXRSAE6","GSON1112060105")</f>
        <v>#NAME?</v>
      </c>
      <c r="J721" s="24" t="e">
        <f ca="1">[1]!BexGetData("DP_1","003N8EMH8GTFRCSWKMPXRSGPQ","GSON1112060105")</f>
        <v>#NAME?</v>
      </c>
      <c r="K721" s="28" t="e">
        <f ca="1">[1]!BexGetData("DP_1","003N8EMH8GTFRIVNUPY288VJH","GSON1112060105")</f>
        <v>#NAME?</v>
      </c>
      <c r="L721" s="28" t="e">
        <f ca="1">[1]!BexGetData("DP_1","003N8EMH8GTFRIVNUPY2891V1","GSON1112060105")</f>
        <v>#NAME?</v>
      </c>
      <c r="M721" s="28" t="e">
        <f ca="1">[1]!BexGetData("DP_1","003N8EMH8GTFRIVOG7KG9IQXA","GSON1112060105")</f>
        <v>#NAME?</v>
      </c>
      <c r="N721" s="28" t="e">
        <f ca="1">[1]!BexGetData("DP_1","003N8EMH8GTFRIVOG7KG9IX8U","GSON1112060105")</f>
        <v>#NAME?</v>
      </c>
      <c r="O721" s="28" t="e">
        <f ca="1">[1]!BexGetData("DP_1","003N8EMH8GTFRIVOG7KG9J3KE","GSON1112060105")</f>
        <v>#NAME?</v>
      </c>
      <c r="P721" s="28" t="e">
        <f ca="1">[1]!BexGetData("DP_1","003N8EMH8GTFRIVOG7KG9J9VY","GSON1112060105")</f>
        <v>#NAME?</v>
      </c>
      <c r="Q721" s="24" t="e">
        <f ca="1">[1]!BexGetData("DP_1","00O2TNJGODT0G5Z4TTKYMM5MT","GSON1112060105")</f>
        <v>#NAME?</v>
      </c>
      <c r="R721" s="28" t="e">
        <f ca="1">[1]!BexGetData("DP_1","00O2TNJGODT0G5Z4TTKYMMBYD","GSON1112060105")</f>
        <v>#NAME?</v>
      </c>
      <c r="S721" s="28" t="e">
        <f ca="1">[1]!BexGetData("DP_1","00O2TNJGODT0G5Z4TTKYMMI9X","GSON1112060105")</f>
        <v>#NAME?</v>
      </c>
      <c r="T721" s="28" t="e">
        <f ca="1">[1]!BexGetData("DP_1","00O2TNJGODT0G5Z4TTKYMMOLH","GSON1112060105")</f>
        <v>#NAME?</v>
      </c>
      <c r="U721" s="28" t="e">
        <f ca="1">[1]!BexGetData("DP_1","00O2TNJGODT0G5Z4TTKYMMUX1","GSON1112060105")</f>
        <v>#NAME?</v>
      </c>
      <c r="V721" s="28" t="e">
        <f ca="1">[1]!BexGetData("DP_1","00O2TNJGODT0G5Z4TTKYMN18L","GSON1112060105")</f>
        <v>#NAME?</v>
      </c>
      <c r="W721" s="28" t="e">
        <f ca="1">[1]!BexGetData("DP_1","00O2TNJGODT0G5Z4TTKYMN7K5","GSON1112060105")</f>
        <v>#NAME?</v>
      </c>
    </row>
    <row r="722" spans="1:23" x14ac:dyDescent="0.2">
      <c r="A722" s="36" t="s">
        <v>2850</v>
      </c>
      <c r="B722" s="27" t="s">
        <v>2851</v>
      </c>
      <c r="C722" s="23" t="e">
        <f ca="1">[1]!BexGetData("DP_1","003N8EMH8GTFRCSWKMPXRR8GU","GSON1112060120")</f>
        <v>#NAME?</v>
      </c>
      <c r="D722" s="23" t="e">
        <f ca="1">[1]!BexGetData("DP_1","003N8EMH8GTFRCSWKMPXRRESE","GSON1112060120")</f>
        <v>#NAME?</v>
      </c>
      <c r="E722" s="23" t="e">
        <f ca="1">[1]!BexGetData("DP_1","003N8EMH8GTFRCSWKMPXRRL3Y","GSON1112060120")</f>
        <v>#NAME?</v>
      </c>
      <c r="F722" s="23" t="e">
        <f ca="1">[1]!BexGetData("DP_1","003N8EMH8GTFRCSWKMPXRRRFI","GSON1112060120")</f>
        <v>#NAME?</v>
      </c>
      <c r="G722" s="23" t="e">
        <f ca="1">[1]!BexGetData("DP_1","003N8EMH8GTFRCSWKMPXRRXR2","GSON1112060120")</f>
        <v>#NAME?</v>
      </c>
      <c r="H722" s="23" t="e">
        <f ca="1">[1]!BexGetData("DP_1","003N8EMH8GTFRCSWKMPXRS42M","GSON1112060120")</f>
        <v>#NAME?</v>
      </c>
      <c r="I722" s="23" t="e">
        <f ca="1">[1]!BexGetData("DP_1","003N8EMH8GTFRCSWKMPXRSAE6","GSON1112060120")</f>
        <v>#NAME?</v>
      </c>
      <c r="J722" s="23" t="e">
        <f ca="1">[1]!BexGetData("DP_1","003N8EMH8GTFRCSWKMPXRSGPQ","GSON1112060120")</f>
        <v>#NAME?</v>
      </c>
      <c r="K722" s="23" t="e">
        <f ca="1">[1]!BexGetData("DP_1","003N8EMH8GTFRIVNUPY288VJH","GSON1112060120")</f>
        <v>#NAME?</v>
      </c>
      <c r="L722" s="23" t="e">
        <f ca="1">[1]!BexGetData("DP_1","003N8EMH8GTFRIVNUPY2891V1","GSON1112060120")</f>
        <v>#NAME?</v>
      </c>
      <c r="M722" s="23" t="e">
        <f ca="1">[1]!BexGetData("DP_1","003N8EMH8GTFRIVOG7KG9IQXA","GSON1112060120")</f>
        <v>#NAME?</v>
      </c>
      <c r="N722" s="28" t="e">
        <f ca="1">[1]!BexGetData("DP_1","003N8EMH8GTFRIVOG7KG9IX8U","GSON1112060120")</f>
        <v>#NAME?</v>
      </c>
      <c r="O722" s="23" t="e">
        <f ca="1">[1]!BexGetData("DP_1","003N8EMH8GTFRIVOG7KG9J3KE","GSON1112060120")</f>
        <v>#NAME?</v>
      </c>
      <c r="P722" s="28" t="e">
        <f ca="1">[1]!BexGetData("DP_1","003N8EMH8GTFRIVOG7KG9J9VY","GSON1112060120")</f>
        <v>#NAME?</v>
      </c>
      <c r="Q722" s="23" t="e">
        <f ca="1">[1]!BexGetData("DP_1","00O2TNJGODT0G5Z4TTKYMM5MT","GSON1112060120")</f>
        <v>#NAME?</v>
      </c>
      <c r="R722" s="23" t="e">
        <f ca="1">[1]!BexGetData("DP_1","00O2TNJGODT0G5Z4TTKYMMBYD","GSON1112060120")</f>
        <v>#NAME?</v>
      </c>
      <c r="S722" s="23" t="e">
        <f ca="1">[1]!BexGetData("DP_1","00O2TNJGODT0G5Z4TTKYMMI9X","GSON1112060120")</f>
        <v>#NAME?</v>
      </c>
      <c r="T722" s="23" t="e">
        <f ca="1">[1]!BexGetData("DP_1","00O2TNJGODT0G5Z4TTKYMMOLH","GSON1112060120")</f>
        <v>#NAME?</v>
      </c>
      <c r="U722" s="28" t="e">
        <f ca="1">[1]!BexGetData("DP_1","00O2TNJGODT0G5Z4TTKYMMUX1","GSON1112060120")</f>
        <v>#NAME?</v>
      </c>
      <c r="V722" s="23" t="e">
        <f ca="1">[1]!BexGetData("DP_1","00O2TNJGODT0G5Z4TTKYMN18L","GSON1112060120")</f>
        <v>#NAME?</v>
      </c>
      <c r="W722" s="28" t="e">
        <f ca="1">[1]!BexGetData("DP_1","00O2TNJGODT0G5Z4TTKYMN7K5","GSON1112060120")</f>
        <v>#NAME?</v>
      </c>
    </row>
    <row r="723" spans="1:23" x14ac:dyDescent="0.2">
      <c r="A723" s="36" t="s">
        <v>2852</v>
      </c>
      <c r="B723" s="27" t="s">
        <v>2853</v>
      </c>
      <c r="C723" s="23" t="e">
        <f ca="1">[1]!BexGetData("DP_1","003N8EMH8GTFRCSWKMPXRR8GU","GSON1112060121")</f>
        <v>#NAME?</v>
      </c>
      <c r="D723" s="23" t="e">
        <f ca="1">[1]!BexGetData("DP_1","003N8EMH8GTFRCSWKMPXRRESE","GSON1112060121")</f>
        <v>#NAME?</v>
      </c>
      <c r="E723" s="28" t="e">
        <f ca="1">[1]!BexGetData("DP_1","003N8EMH8GTFRCSWKMPXRRL3Y","GSON1112060121")</f>
        <v>#NAME?</v>
      </c>
      <c r="F723" s="28" t="e">
        <f ca="1">[1]!BexGetData("DP_1","003N8EMH8GTFRCSWKMPXRRRFI","GSON1112060121")</f>
        <v>#NAME?</v>
      </c>
      <c r="G723" s="23" t="e">
        <f ca="1">[1]!BexGetData("DP_1","003N8EMH8GTFRCSWKMPXRRXR2","GSON1112060121")</f>
        <v>#NAME?</v>
      </c>
      <c r="H723" s="23" t="e">
        <f ca="1">[1]!BexGetData("DP_1","003N8EMH8GTFRCSWKMPXRS42M","GSON1112060121")</f>
        <v>#NAME?</v>
      </c>
      <c r="I723" s="28" t="e">
        <f ca="1">[1]!BexGetData("DP_1","003N8EMH8GTFRCSWKMPXRSAE6","GSON1112060121")</f>
        <v>#NAME?</v>
      </c>
      <c r="J723" s="24" t="e">
        <f ca="1">[1]!BexGetData("DP_1","003N8EMH8GTFRCSWKMPXRSGPQ","GSON1112060121")</f>
        <v>#NAME?</v>
      </c>
      <c r="K723" s="28" t="e">
        <f ca="1">[1]!BexGetData("DP_1","003N8EMH8GTFRIVNUPY288VJH","GSON1112060121")</f>
        <v>#NAME?</v>
      </c>
      <c r="L723" s="28" t="e">
        <f ca="1">[1]!BexGetData("DP_1","003N8EMH8GTFRIVNUPY2891V1","GSON1112060121")</f>
        <v>#NAME?</v>
      </c>
      <c r="M723" s="28" t="e">
        <f ca="1">[1]!BexGetData("DP_1","003N8EMH8GTFRIVOG7KG9IQXA","GSON1112060121")</f>
        <v>#NAME?</v>
      </c>
      <c r="N723" s="28" t="e">
        <f ca="1">[1]!BexGetData("DP_1","003N8EMH8GTFRIVOG7KG9IX8U","GSON1112060121")</f>
        <v>#NAME?</v>
      </c>
      <c r="O723" s="28" t="e">
        <f ca="1">[1]!BexGetData("DP_1","003N8EMH8GTFRIVOG7KG9J3KE","GSON1112060121")</f>
        <v>#NAME?</v>
      </c>
      <c r="P723" s="28" t="e">
        <f ca="1">[1]!BexGetData("DP_1","003N8EMH8GTFRIVOG7KG9J9VY","GSON1112060121")</f>
        <v>#NAME?</v>
      </c>
      <c r="Q723" s="24" t="e">
        <f ca="1">[1]!BexGetData("DP_1","00O2TNJGODT0G5Z4TTKYMM5MT","GSON1112060121")</f>
        <v>#NAME?</v>
      </c>
      <c r="R723" s="28" t="e">
        <f ca="1">[1]!BexGetData("DP_1","00O2TNJGODT0G5Z4TTKYMMBYD","GSON1112060121")</f>
        <v>#NAME?</v>
      </c>
      <c r="S723" s="28" t="e">
        <f ca="1">[1]!BexGetData("DP_1","00O2TNJGODT0G5Z4TTKYMMI9X","GSON1112060121")</f>
        <v>#NAME?</v>
      </c>
      <c r="T723" s="28" t="e">
        <f ca="1">[1]!BexGetData("DP_1","00O2TNJGODT0G5Z4TTKYMMOLH","GSON1112060121")</f>
        <v>#NAME?</v>
      </c>
      <c r="U723" s="28" t="e">
        <f ca="1">[1]!BexGetData("DP_1","00O2TNJGODT0G5Z4TTKYMMUX1","GSON1112060121")</f>
        <v>#NAME?</v>
      </c>
      <c r="V723" s="28" t="e">
        <f ca="1">[1]!BexGetData("DP_1","00O2TNJGODT0G5Z4TTKYMN18L","GSON1112060121")</f>
        <v>#NAME?</v>
      </c>
      <c r="W723" s="28" t="e">
        <f ca="1">[1]!BexGetData("DP_1","00O2TNJGODT0G5Z4TTKYMN7K5","GSON1112060121")</f>
        <v>#NAME?</v>
      </c>
    </row>
    <row r="724" spans="1:23" x14ac:dyDescent="0.2">
      <c r="A724" s="36" t="s">
        <v>2854</v>
      </c>
      <c r="B724" s="27" t="s">
        <v>2855</v>
      </c>
      <c r="C724" s="23" t="e">
        <f ca="1">[1]!BexGetData("DP_1","003N8EMH8GTFRCSWKMPXRR8GU","GSON1112060123")</f>
        <v>#NAME?</v>
      </c>
      <c r="D724" s="23" t="e">
        <f ca="1">[1]!BexGetData("DP_1","003N8EMH8GTFRCSWKMPXRRESE","GSON1112060123")</f>
        <v>#NAME?</v>
      </c>
      <c r="E724" s="28" t="e">
        <f ca="1">[1]!BexGetData("DP_1","003N8EMH8GTFRCSWKMPXRRL3Y","GSON1112060123")</f>
        <v>#NAME?</v>
      </c>
      <c r="F724" s="24" t="e">
        <f ca="1">[1]!BexGetData("DP_1","003N8EMH8GTFRCSWKMPXRRRFI","GSON1112060123")</f>
        <v>#NAME?</v>
      </c>
      <c r="G724" s="24" t="e">
        <f ca="1">[1]!BexGetData("DP_1","003N8EMH8GTFRCSWKMPXRRXR2","GSON1112060123")</f>
        <v>#NAME?</v>
      </c>
      <c r="H724" s="24" t="e">
        <f ca="1">[1]!BexGetData("DP_1","003N8EMH8GTFRCSWKMPXRS42M","GSON1112060123")</f>
        <v>#NAME?</v>
      </c>
      <c r="I724" s="24" t="e">
        <f ca="1">[1]!BexGetData("DP_1","003N8EMH8GTFRCSWKMPXRSAE6","GSON1112060123")</f>
        <v>#NAME?</v>
      </c>
      <c r="J724" s="24" t="e">
        <f ca="1">[1]!BexGetData("DP_1","003N8EMH8GTFRCSWKMPXRSGPQ","GSON1112060123")</f>
        <v>#NAME?</v>
      </c>
      <c r="K724" s="28" t="e">
        <f ca="1">[1]!BexGetData("DP_1","003N8EMH8GTFRIVNUPY288VJH","GSON1112060123")</f>
        <v>#NAME?</v>
      </c>
      <c r="L724" s="28" t="e">
        <f ca="1">[1]!BexGetData("DP_1","003N8EMH8GTFRIVNUPY2891V1","GSON1112060123")</f>
        <v>#NAME?</v>
      </c>
      <c r="M724" s="28" t="e">
        <f ca="1">[1]!BexGetData("DP_1","003N8EMH8GTFRIVOG7KG9IQXA","GSON1112060123")</f>
        <v>#NAME?</v>
      </c>
      <c r="N724" s="28" t="e">
        <f ca="1">[1]!BexGetData("DP_1","003N8EMH8GTFRIVOG7KG9IX8U","GSON1112060123")</f>
        <v>#NAME?</v>
      </c>
      <c r="O724" s="28" t="e">
        <f ca="1">[1]!BexGetData("DP_1","003N8EMH8GTFRIVOG7KG9J3KE","GSON1112060123")</f>
        <v>#NAME?</v>
      </c>
      <c r="P724" s="28" t="e">
        <f ca="1">[1]!BexGetData("DP_1","003N8EMH8GTFRIVOG7KG9J9VY","GSON1112060123")</f>
        <v>#NAME?</v>
      </c>
      <c r="Q724" s="24" t="e">
        <f ca="1">[1]!BexGetData("DP_1","00O2TNJGODT0G5Z4TTKYMM5MT","GSON1112060123")</f>
        <v>#NAME?</v>
      </c>
      <c r="R724" s="24" t="e">
        <f ca="1">[1]!BexGetData("DP_1","00O2TNJGODT0G5Z4TTKYMMBYD","GSON1112060123")</f>
        <v>#NAME?</v>
      </c>
      <c r="S724" s="24" t="e">
        <f ca="1">[1]!BexGetData("DP_1","00O2TNJGODT0G5Z4TTKYMMI9X","GSON1112060123")</f>
        <v>#NAME?</v>
      </c>
      <c r="T724" s="24" t="e">
        <f ca="1">[1]!BexGetData("DP_1","00O2TNJGODT0G5Z4TTKYMMOLH","GSON1112060123")</f>
        <v>#NAME?</v>
      </c>
      <c r="U724" s="24" t="e">
        <f ca="1">[1]!BexGetData("DP_1","00O2TNJGODT0G5Z4TTKYMMUX1","GSON1112060123")</f>
        <v>#NAME?</v>
      </c>
      <c r="V724" s="24" t="e">
        <f ca="1">[1]!BexGetData("DP_1","00O2TNJGODT0G5Z4TTKYMN18L","GSON1112060123")</f>
        <v>#NAME?</v>
      </c>
      <c r="W724" s="24" t="e">
        <f ca="1">[1]!BexGetData("DP_1","00O2TNJGODT0G5Z4TTKYMN7K5","GSON1112060123")</f>
        <v>#NAME?</v>
      </c>
    </row>
    <row r="725" spans="1:23" x14ac:dyDescent="0.2">
      <c r="A725" s="36" t="s">
        <v>2856</v>
      </c>
      <c r="B725" s="27" t="s">
        <v>2857</v>
      </c>
      <c r="C725" s="23" t="e">
        <f ca="1">[1]!BexGetData("DP_1","003N8EMH8GTFRCSWKMPXRR8GU","GSON1112060124")</f>
        <v>#NAME?</v>
      </c>
      <c r="D725" s="23" t="e">
        <f ca="1">[1]!BexGetData("DP_1","003N8EMH8GTFRCSWKMPXRRESE","GSON1112060124")</f>
        <v>#NAME?</v>
      </c>
      <c r="E725" s="28" t="e">
        <f ca="1">[1]!BexGetData("DP_1","003N8EMH8GTFRCSWKMPXRRL3Y","GSON1112060124")</f>
        <v>#NAME?</v>
      </c>
      <c r="F725" s="28" t="e">
        <f ca="1">[1]!BexGetData("DP_1","003N8EMH8GTFRCSWKMPXRRRFI","GSON1112060124")</f>
        <v>#NAME?</v>
      </c>
      <c r="G725" s="23" t="e">
        <f ca="1">[1]!BexGetData("DP_1","003N8EMH8GTFRCSWKMPXRRXR2","GSON1112060124")</f>
        <v>#NAME?</v>
      </c>
      <c r="H725" s="23" t="e">
        <f ca="1">[1]!BexGetData("DP_1","003N8EMH8GTFRCSWKMPXRS42M","GSON1112060124")</f>
        <v>#NAME?</v>
      </c>
      <c r="I725" s="28" t="e">
        <f ca="1">[1]!BexGetData("DP_1","003N8EMH8GTFRCSWKMPXRSAE6","GSON1112060124")</f>
        <v>#NAME?</v>
      </c>
      <c r="J725" s="24" t="e">
        <f ca="1">[1]!BexGetData("DP_1","003N8EMH8GTFRCSWKMPXRSGPQ","GSON1112060124")</f>
        <v>#NAME?</v>
      </c>
      <c r="K725" s="28" t="e">
        <f ca="1">[1]!BexGetData("DP_1","003N8EMH8GTFRIVNUPY288VJH","GSON1112060124")</f>
        <v>#NAME?</v>
      </c>
      <c r="L725" s="28" t="e">
        <f ca="1">[1]!BexGetData("DP_1","003N8EMH8GTFRIVNUPY2891V1","GSON1112060124")</f>
        <v>#NAME?</v>
      </c>
      <c r="M725" s="28" t="e">
        <f ca="1">[1]!BexGetData("DP_1","003N8EMH8GTFRIVOG7KG9IQXA","GSON1112060124")</f>
        <v>#NAME?</v>
      </c>
      <c r="N725" s="28" t="e">
        <f ca="1">[1]!BexGetData("DP_1","003N8EMH8GTFRIVOG7KG9IX8U","GSON1112060124")</f>
        <v>#NAME?</v>
      </c>
      <c r="O725" s="28" t="e">
        <f ca="1">[1]!BexGetData("DP_1","003N8EMH8GTFRIVOG7KG9J3KE","GSON1112060124")</f>
        <v>#NAME?</v>
      </c>
      <c r="P725" s="28" t="e">
        <f ca="1">[1]!BexGetData("DP_1","003N8EMH8GTFRIVOG7KG9J9VY","GSON1112060124")</f>
        <v>#NAME?</v>
      </c>
      <c r="Q725" s="24" t="e">
        <f ca="1">[1]!BexGetData("DP_1","00O2TNJGODT0G5Z4TTKYMM5MT","GSON1112060124")</f>
        <v>#NAME?</v>
      </c>
      <c r="R725" s="28" t="e">
        <f ca="1">[1]!BexGetData("DP_1","00O2TNJGODT0G5Z4TTKYMMBYD","GSON1112060124")</f>
        <v>#NAME?</v>
      </c>
      <c r="S725" s="28" t="e">
        <f ca="1">[1]!BexGetData("DP_1","00O2TNJGODT0G5Z4TTKYMMI9X","GSON1112060124")</f>
        <v>#NAME?</v>
      </c>
      <c r="T725" s="28" t="e">
        <f ca="1">[1]!BexGetData("DP_1","00O2TNJGODT0G5Z4TTKYMMOLH","GSON1112060124")</f>
        <v>#NAME?</v>
      </c>
      <c r="U725" s="28" t="e">
        <f ca="1">[1]!BexGetData("DP_1","00O2TNJGODT0G5Z4TTKYMMUX1","GSON1112060124")</f>
        <v>#NAME?</v>
      </c>
      <c r="V725" s="28" t="e">
        <f ca="1">[1]!BexGetData("DP_1","00O2TNJGODT0G5Z4TTKYMN18L","GSON1112060124")</f>
        <v>#NAME?</v>
      </c>
      <c r="W725" s="28" t="e">
        <f ca="1">[1]!BexGetData("DP_1","00O2TNJGODT0G5Z4TTKYMN7K5","GSON1112060124")</f>
        <v>#NAME?</v>
      </c>
    </row>
    <row r="726" spans="1:23" x14ac:dyDescent="0.2">
      <c r="A726" s="36" t="s">
        <v>2858</v>
      </c>
      <c r="B726" s="27" t="s">
        <v>2859</v>
      </c>
      <c r="C726" s="23" t="e">
        <f ca="1">[1]!BexGetData("DP_1","003N8EMH8GTFRCSWKMPXRR8GU","GSON1112060125")</f>
        <v>#NAME?</v>
      </c>
      <c r="D726" s="23" t="e">
        <f ca="1">[1]!BexGetData("DP_1","003N8EMH8GTFRCSWKMPXRRESE","GSON1112060125")</f>
        <v>#NAME?</v>
      </c>
      <c r="E726" s="28" t="e">
        <f ca="1">[1]!BexGetData("DP_1","003N8EMH8GTFRCSWKMPXRRL3Y","GSON1112060125")</f>
        <v>#NAME?</v>
      </c>
      <c r="F726" s="28" t="e">
        <f ca="1">[1]!BexGetData("DP_1","003N8EMH8GTFRCSWKMPXRRRFI","GSON1112060125")</f>
        <v>#NAME?</v>
      </c>
      <c r="G726" s="23" t="e">
        <f ca="1">[1]!BexGetData("DP_1","003N8EMH8GTFRCSWKMPXRRXR2","GSON1112060125")</f>
        <v>#NAME?</v>
      </c>
      <c r="H726" s="23" t="e">
        <f ca="1">[1]!BexGetData("DP_1","003N8EMH8GTFRCSWKMPXRS42M","GSON1112060125")</f>
        <v>#NAME?</v>
      </c>
      <c r="I726" s="28" t="e">
        <f ca="1">[1]!BexGetData("DP_1","003N8EMH8GTFRCSWKMPXRSAE6","GSON1112060125")</f>
        <v>#NAME?</v>
      </c>
      <c r="J726" s="24" t="e">
        <f ca="1">[1]!BexGetData("DP_1","003N8EMH8GTFRCSWKMPXRSGPQ","GSON1112060125")</f>
        <v>#NAME?</v>
      </c>
      <c r="K726" s="28" t="e">
        <f ca="1">[1]!BexGetData("DP_1","003N8EMH8GTFRIVNUPY288VJH","GSON1112060125")</f>
        <v>#NAME?</v>
      </c>
      <c r="L726" s="28" t="e">
        <f ca="1">[1]!BexGetData("DP_1","003N8EMH8GTFRIVNUPY2891V1","GSON1112060125")</f>
        <v>#NAME?</v>
      </c>
      <c r="M726" s="28" t="e">
        <f ca="1">[1]!BexGetData("DP_1","003N8EMH8GTFRIVOG7KG9IQXA","GSON1112060125")</f>
        <v>#NAME?</v>
      </c>
      <c r="N726" s="28" t="e">
        <f ca="1">[1]!BexGetData("DP_1","003N8EMH8GTFRIVOG7KG9IX8U","GSON1112060125")</f>
        <v>#NAME?</v>
      </c>
      <c r="O726" s="28" t="e">
        <f ca="1">[1]!BexGetData("DP_1","003N8EMH8GTFRIVOG7KG9J3KE","GSON1112060125")</f>
        <v>#NAME?</v>
      </c>
      <c r="P726" s="28" t="e">
        <f ca="1">[1]!BexGetData("DP_1","003N8EMH8GTFRIVOG7KG9J9VY","GSON1112060125")</f>
        <v>#NAME?</v>
      </c>
      <c r="Q726" s="24" t="e">
        <f ca="1">[1]!BexGetData("DP_1","00O2TNJGODT0G5Z4TTKYMM5MT","GSON1112060125")</f>
        <v>#NAME?</v>
      </c>
      <c r="R726" s="28" t="e">
        <f ca="1">[1]!BexGetData("DP_1","00O2TNJGODT0G5Z4TTKYMMBYD","GSON1112060125")</f>
        <v>#NAME?</v>
      </c>
      <c r="S726" s="28" t="e">
        <f ca="1">[1]!BexGetData("DP_1","00O2TNJGODT0G5Z4TTKYMMI9X","GSON1112060125")</f>
        <v>#NAME?</v>
      </c>
      <c r="T726" s="28" t="e">
        <f ca="1">[1]!BexGetData("DP_1","00O2TNJGODT0G5Z4TTKYMMOLH","GSON1112060125")</f>
        <v>#NAME?</v>
      </c>
      <c r="U726" s="28" t="e">
        <f ca="1">[1]!BexGetData("DP_1","00O2TNJGODT0G5Z4TTKYMMUX1","GSON1112060125")</f>
        <v>#NAME?</v>
      </c>
      <c r="V726" s="28" t="e">
        <f ca="1">[1]!BexGetData("DP_1","00O2TNJGODT0G5Z4TTKYMN18L","GSON1112060125")</f>
        <v>#NAME?</v>
      </c>
      <c r="W726" s="28" t="e">
        <f ca="1">[1]!BexGetData("DP_1","00O2TNJGODT0G5Z4TTKYMN7K5","GSON1112060125")</f>
        <v>#NAME?</v>
      </c>
    </row>
    <row r="727" spans="1:23" x14ac:dyDescent="0.2">
      <c r="A727" s="36" t="s">
        <v>2860</v>
      </c>
      <c r="B727" s="27" t="s">
        <v>2861</v>
      </c>
      <c r="C727" s="23" t="e">
        <f ca="1">[1]!BexGetData("DP_1","003N8EMH8GTFRCSWKMPXRR8GU","GSON1112060130")</f>
        <v>#NAME?</v>
      </c>
      <c r="D727" s="23" t="e">
        <f ca="1">[1]!BexGetData("DP_1","003N8EMH8GTFRCSWKMPXRRESE","GSON1112060130")</f>
        <v>#NAME?</v>
      </c>
      <c r="E727" s="23" t="e">
        <f ca="1">[1]!BexGetData("DP_1","003N8EMH8GTFRCSWKMPXRRL3Y","GSON1112060130")</f>
        <v>#NAME?</v>
      </c>
      <c r="F727" s="23" t="e">
        <f ca="1">[1]!BexGetData("DP_1","003N8EMH8GTFRCSWKMPXRRRFI","GSON1112060130")</f>
        <v>#NAME?</v>
      </c>
      <c r="G727" s="23" t="e">
        <f ca="1">[1]!BexGetData("DP_1","003N8EMH8GTFRCSWKMPXRRXR2","GSON1112060130")</f>
        <v>#NAME?</v>
      </c>
      <c r="H727" s="23" t="e">
        <f ca="1">[1]!BexGetData("DP_1","003N8EMH8GTFRCSWKMPXRS42M","GSON1112060130")</f>
        <v>#NAME?</v>
      </c>
      <c r="I727" s="23" t="e">
        <f ca="1">[1]!BexGetData("DP_1","003N8EMH8GTFRCSWKMPXRSAE6","GSON1112060130")</f>
        <v>#NAME?</v>
      </c>
      <c r="J727" s="23" t="e">
        <f ca="1">[1]!BexGetData("DP_1","003N8EMH8GTFRCSWKMPXRSGPQ","GSON1112060130")</f>
        <v>#NAME?</v>
      </c>
      <c r="K727" s="23" t="e">
        <f ca="1">[1]!BexGetData("DP_1","003N8EMH8GTFRIVNUPY288VJH","GSON1112060130")</f>
        <v>#NAME?</v>
      </c>
      <c r="L727" s="23" t="e">
        <f ca="1">[1]!BexGetData("DP_1","003N8EMH8GTFRIVNUPY2891V1","GSON1112060130")</f>
        <v>#NAME?</v>
      </c>
      <c r="M727" s="23" t="e">
        <f ca="1">[1]!BexGetData("DP_1","003N8EMH8GTFRIVOG7KG9IQXA","GSON1112060130")</f>
        <v>#NAME?</v>
      </c>
      <c r="N727" s="28" t="e">
        <f ca="1">[1]!BexGetData("DP_1","003N8EMH8GTFRIVOG7KG9IX8U","GSON1112060130")</f>
        <v>#NAME?</v>
      </c>
      <c r="O727" s="23" t="e">
        <f ca="1">[1]!BexGetData("DP_1","003N8EMH8GTFRIVOG7KG9J3KE","GSON1112060130")</f>
        <v>#NAME?</v>
      </c>
      <c r="P727" s="28" t="e">
        <f ca="1">[1]!BexGetData("DP_1","003N8EMH8GTFRIVOG7KG9J9VY","GSON1112060130")</f>
        <v>#NAME?</v>
      </c>
      <c r="Q727" s="23" t="e">
        <f ca="1">[1]!BexGetData("DP_1","00O2TNJGODT0G5Z4TTKYMM5MT","GSON1112060130")</f>
        <v>#NAME?</v>
      </c>
      <c r="R727" s="23" t="e">
        <f ca="1">[1]!BexGetData("DP_1","00O2TNJGODT0G5Z4TTKYMMBYD","GSON1112060130")</f>
        <v>#NAME?</v>
      </c>
      <c r="S727" s="23" t="e">
        <f ca="1">[1]!BexGetData("DP_1","00O2TNJGODT0G5Z4TTKYMMI9X","GSON1112060130")</f>
        <v>#NAME?</v>
      </c>
      <c r="T727" s="23" t="e">
        <f ca="1">[1]!BexGetData("DP_1","00O2TNJGODT0G5Z4TTKYMMOLH","GSON1112060130")</f>
        <v>#NAME?</v>
      </c>
      <c r="U727" s="28" t="e">
        <f ca="1">[1]!BexGetData("DP_1","00O2TNJGODT0G5Z4TTKYMMUX1","GSON1112060130")</f>
        <v>#NAME?</v>
      </c>
      <c r="V727" s="23" t="e">
        <f ca="1">[1]!BexGetData("DP_1","00O2TNJGODT0G5Z4TTKYMN18L","GSON1112060130")</f>
        <v>#NAME?</v>
      </c>
      <c r="W727" s="28" t="e">
        <f ca="1">[1]!BexGetData("DP_1","00O2TNJGODT0G5Z4TTKYMN7K5","GSON1112060130")</f>
        <v>#NAME?</v>
      </c>
    </row>
    <row r="728" spans="1:23" x14ac:dyDescent="0.2">
      <c r="A728" s="36" t="s">
        <v>2862</v>
      </c>
      <c r="B728" s="27" t="s">
        <v>2863</v>
      </c>
      <c r="C728" s="28" t="e">
        <f ca="1">[1]!BexGetData("DP_1","003N8EMH8GTFRCSWKMPXRR8GU","GSON1112060131")</f>
        <v>#NAME?</v>
      </c>
      <c r="D728" s="28" t="e">
        <f ca="1">[1]!BexGetData("DP_1","003N8EMH8GTFRCSWKMPXRRESE","GSON1112060131")</f>
        <v>#NAME?</v>
      </c>
      <c r="E728" s="28" t="e">
        <f ca="1">[1]!BexGetData("DP_1","003N8EMH8GTFRCSWKMPXRRL3Y","GSON1112060131")</f>
        <v>#NAME?</v>
      </c>
      <c r="F728" s="28" t="e">
        <f ca="1">[1]!BexGetData("DP_1","003N8EMH8GTFRCSWKMPXRRRFI","GSON1112060131")</f>
        <v>#NAME?</v>
      </c>
      <c r="G728" s="23" t="e">
        <f ca="1">[1]!BexGetData("DP_1","003N8EMH8GTFRCSWKMPXRRXR2","GSON1112060131")</f>
        <v>#NAME?</v>
      </c>
      <c r="H728" s="23" t="e">
        <f ca="1">[1]!BexGetData("DP_1","003N8EMH8GTFRCSWKMPXRS42M","GSON1112060131")</f>
        <v>#NAME?</v>
      </c>
      <c r="I728" s="28" t="e">
        <f ca="1">[1]!BexGetData("DP_1","003N8EMH8GTFRCSWKMPXRSAE6","GSON1112060131")</f>
        <v>#NAME?</v>
      </c>
      <c r="J728" s="24" t="e">
        <f ca="1">[1]!BexGetData("DP_1","003N8EMH8GTFRCSWKMPXRSGPQ","GSON1112060131")</f>
        <v>#NAME?</v>
      </c>
      <c r="K728" s="28" t="e">
        <f ca="1">[1]!BexGetData("DP_1","003N8EMH8GTFRIVNUPY288VJH","GSON1112060131")</f>
        <v>#NAME?</v>
      </c>
      <c r="L728" s="28" t="e">
        <f ca="1">[1]!BexGetData("DP_1","003N8EMH8GTFRIVNUPY2891V1","GSON1112060131")</f>
        <v>#NAME?</v>
      </c>
      <c r="M728" s="28" t="e">
        <f ca="1">[1]!BexGetData("DP_1","003N8EMH8GTFRIVOG7KG9IQXA","GSON1112060131")</f>
        <v>#NAME?</v>
      </c>
      <c r="N728" s="28" t="e">
        <f ca="1">[1]!BexGetData("DP_1","003N8EMH8GTFRIVOG7KG9IX8U","GSON1112060131")</f>
        <v>#NAME?</v>
      </c>
      <c r="O728" s="28" t="e">
        <f ca="1">[1]!BexGetData("DP_1","003N8EMH8GTFRIVOG7KG9J3KE","GSON1112060131")</f>
        <v>#NAME?</v>
      </c>
      <c r="P728" s="28" t="e">
        <f ca="1">[1]!BexGetData("DP_1","003N8EMH8GTFRIVOG7KG9J9VY","GSON1112060131")</f>
        <v>#NAME?</v>
      </c>
      <c r="Q728" s="24" t="e">
        <f ca="1">[1]!BexGetData("DP_1","00O2TNJGODT0G5Z4TTKYMM5MT","GSON1112060131")</f>
        <v>#NAME?</v>
      </c>
      <c r="R728" s="28" t="e">
        <f ca="1">[1]!BexGetData("DP_1","00O2TNJGODT0G5Z4TTKYMMBYD","GSON1112060131")</f>
        <v>#NAME?</v>
      </c>
      <c r="S728" s="28" t="e">
        <f ca="1">[1]!BexGetData("DP_1","00O2TNJGODT0G5Z4TTKYMMI9X","GSON1112060131")</f>
        <v>#NAME?</v>
      </c>
      <c r="T728" s="28" t="e">
        <f ca="1">[1]!BexGetData("DP_1","00O2TNJGODT0G5Z4TTKYMMOLH","GSON1112060131")</f>
        <v>#NAME?</v>
      </c>
      <c r="U728" s="28" t="e">
        <f ca="1">[1]!BexGetData("DP_1","00O2TNJGODT0G5Z4TTKYMMUX1","GSON1112060131")</f>
        <v>#NAME?</v>
      </c>
      <c r="V728" s="28" t="e">
        <f ca="1">[1]!BexGetData("DP_1","00O2TNJGODT0G5Z4TTKYMN18L","GSON1112060131")</f>
        <v>#NAME?</v>
      </c>
      <c r="W728" s="28" t="e">
        <f ca="1">[1]!BexGetData("DP_1","00O2TNJGODT0G5Z4TTKYMN7K5","GSON1112060131")</f>
        <v>#NAME?</v>
      </c>
    </row>
    <row r="729" spans="1:23" x14ac:dyDescent="0.2">
      <c r="A729" s="36" t="s">
        <v>2864</v>
      </c>
      <c r="B729" s="27" t="s">
        <v>2865</v>
      </c>
      <c r="C729" s="23" t="e">
        <f ca="1">[1]!BexGetData("DP_1","003N8EMH8GTFRCSWKMPXRR8GU","GSON1112060134")</f>
        <v>#NAME?</v>
      </c>
      <c r="D729" s="23" t="e">
        <f ca="1">[1]!BexGetData("DP_1","003N8EMH8GTFRCSWKMPXRRESE","GSON1112060134")</f>
        <v>#NAME?</v>
      </c>
      <c r="E729" s="28" t="e">
        <f ca="1">[1]!BexGetData("DP_1","003N8EMH8GTFRCSWKMPXRRL3Y","GSON1112060134")</f>
        <v>#NAME?</v>
      </c>
      <c r="F729" s="28" t="e">
        <f ca="1">[1]!BexGetData("DP_1","003N8EMH8GTFRCSWKMPXRRRFI","GSON1112060134")</f>
        <v>#NAME?</v>
      </c>
      <c r="G729" s="23" t="e">
        <f ca="1">[1]!BexGetData("DP_1","003N8EMH8GTFRCSWKMPXRRXR2","GSON1112060134")</f>
        <v>#NAME?</v>
      </c>
      <c r="H729" s="23" t="e">
        <f ca="1">[1]!BexGetData("DP_1","003N8EMH8GTFRCSWKMPXRS42M","GSON1112060134")</f>
        <v>#NAME?</v>
      </c>
      <c r="I729" s="28" t="e">
        <f ca="1">[1]!BexGetData("DP_1","003N8EMH8GTFRCSWKMPXRSAE6","GSON1112060134")</f>
        <v>#NAME?</v>
      </c>
      <c r="J729" s="24" t="e">
        <f ca="1">[1]!BexGetData("DP_1","003N8EMH8GTFRCSWKMPXRSGPQ","GSON1112060134")</f>
        <v>#NAME?</v>
      </c>
      <c r="K729" s="28" t="e">
        <f ca="1">[1]!BexGetData("DP_1","003N8EMH8GTFRIVNUPY288VJH","GSON1112060134")</f>
        <v>#NAME?</v>
      </c>
      <c r="L729" s="28" t="e">
        <f ca="1">[1]!BexGetData("DP_1","003N8EMH8GTFRIVNUPY2891V1","GSON1112060134")</f>
        <v>#NAME?</v>
      </c>
      <c r="M729" s="28" t="e">
        <f ca="1">[1]!BexGetData("DP_1","003N8EMH8GTFRIVOG7KG9IQXA","GSON1112060134")</f>
        <v>#NAME?</v>
      </c>
      <c r="N729" s="28" t="e">
        <f ca="1">[1]!BexGetData("DP_1","003N8EMH8GTFRIVOG7KG9IX8U","GSON1112060134")</f>
        <v>#NAME?</v>
      </c>
      <c r="O729" s="28" t="e">
        <f ca="1">[1]!BexGetData("DP_1","003N8EMH8GTFRIVOG7KG9J3KE","GSON1112060134")</f>
        <v>#NAME?</v>
      </c>
      <c r="P729" s="28" t="e">
        <f ca="1">[1]!BexGetData("DP_1","003N8EMH8GTFRIVOG7KG9J9VY","GSON1112060134")</f>
        <v>#NAME?</v>
      </c>
      <c r="Q729" s="24" t="e">
        <f ca="1">[1]!BexGetData("DP_1","00O2TNJGODT0G5Z4TTKYMM5MT","GSON1112060134")</f>
        <v>#NAME?</v>
      </c>
      <c r="R729" s="28" t="e">
        <f ca="1">[1]!BexGetData("DP_1","00O2TNJGODT0G5Z4TTKYMMBYD","GSON1112060134")</f>
        <v>#NAME?</v>
      </c>
      <c r="S729" s="28" t="e">
        <f ca="1">[1]!BexGetData("DP_1","00O2TNJGODT0G5Z4TTKYMMI9X","GSON1112060134")</f>
        <v>#NAME?</v>
      </c>
      <c r="T729" s="28" t="e">
        <f ca="1">[1]!BexGetData("DP_1","00O2TNJGODT0G5Z4TTKYMMOLH","GSON1112060134")</f>
        <v>#NAME?</v>
      </c>
      <c r="U729" s="28" t="e">
        <f ca="1">[1]!BexGetData("DP_1","00O2TNJGODT0G5Z4TTKYMMUX1","GSON1112060134")</f>
        <v>#NAME?</v>
      </c>
      <c r="V729" s="28" t="e">
        <f ca="1">[1]!BexGetData("DP_1","00O2TNJGODT0G5Z4TTKYMN18L","GSON1112060134")</f>
        <v>#NAME?</v>
      </c>
      <c r="W729" s="28" t="e">
        <f ca="1">[1]!BexGetData("DP_1","00O2TNJGODT0G5Z4TTKYMN7K5","GSON1112060134")</f>
        <v>#NAME?</v>
      </c>
    </row>
    <row r="730" spans="1:23" x14ac:dyDescent="0.2">
      <c r="A730" s="36" t="s">
        <v>2866</v>
      </c>
      <c r="B730" s="27" t="s">
        <v>2867</v>
      </c>
      <c r="C730" s="23" t="e">
        <f ca="1">[1]!BexGetData("DP_1","003N8EMH8GTFRCSWKMPXRR8GU","GSON1112060135")</f>
        <v>#NAME?</v>
      </c>
      <c r="D730" s="23" t="e">
        <f ca="1">[1]!BexGetData("DP_1","003N8EMH8GTFRCSWKMPXRRESE","GSON1112060135")</f>
        <v>#NAME?</v>
      </c>
      <c r="E730" s="28" t="e">
        <f ca="1">[1]!BexGetData("DP_1","003N8EMH8GTFRCSWKMPXRRL3Y","GSON1112060135")</f>
        <v>#NAME?</v>
      </c>
      <c r="F730" s="28" t="e">
        <f ca="1">[1]!BexGetData("DP_1","003N8EMH8GTFRCSWKMPXRRRFI","GSON1112060135")</f>
        <v>#NAME?</v>
      </c>
      <c r="G730" s="23" t="e">
        <f ca="1">[1]!BexGetData("DP_1","003N8EMH8GTFRCSWKMPXRRXR2","GSON1112060135")</f>
        <v>#NAME?</v>
      </c>
      <c r="H730" s="23" t="e">
        <f ca="1">[1]!BexGetData("DP_1","003N8EMH8GTFRCSWKMPXRS42M","GSON1112060135")</f>
        <v>#NAME?</v>
      </c>
      <c r="I730" s="28" t="e">
        <f ca="1">[1]!BexGetData("DP_1","003N8EMH8GTFRCSWKMPXRSAE6","GSON1112060135")</f>
        <v>#NAME?</v>
      </c>
      <c r="J730" s="24" t="e">
        <f ca="1">[1]!BexGetData("DP_1","003N8EMH8GTFRCSWKMPXRSGPQ","GSON1112060135")</f>
        <v>#NAME?</v>
      </c>
      <c r="K730" s="28" t="e">
        <f ca="1">[1]!BexGetData("DP_1","003N8EMH8GTFRIVNUPY288VJH","GSON1112060135")</f>
        <v>#NAME?</v>
      </c>
      <c r="L730" s="28" t="e">
        <f ca="1">[1]!BexGetData("DP_1","003N8EMH8GTFRIVNUPY2891V1","GSON1112060135")</f>
        <v>#NAME?</v>
      </c>
      <c r="M730" s="28" t="e">
        <f ca="1">[1]!BexGetData("DP_1","003N8EMH8GTFRIVOG7KG9IQXA","GSON1112060135")</f>
        <v>#NAME?</v>
      </c>
      <c r="N730" s="28" t="e">
        <f ca="1">[1]!BexGetData("DP_1","003N8EMH8GTFRIVOG7KG9IX8U","GSON1112060135")</f>
        <v>#NAME?</v>
      </c>
      <c r="O730" s="28" t="e">
        <f ca="1">[1]!BexGetData("DP_1","003N8EMH8GTFRIVOG7KG9J3KE","GSON1112060135")</f>
        <v>#NAME?</v>
      </c>
      <c r="P730" s="28" t="e">
        <f ca="1">[1]!BexGetData("DP_1","003N8EMH8GTFRIVOG7KG9J9VY","GSON1112060135")</f>
        <v>#NAME?</v>
      </c>
      <c r="Q730" s="24" t="e">
        <f ca="1">[1]!BexGetData("DP_1","00O2TNJGODT0G5Z4TTKYMM5MT","GSON1112060135")</f>
        <v>#NAME?</v>
      </c>
      <c r="R730" s="28" t="e">
        <f ca="1">[1]!BexGetData("DP_1","00O2TNJGODT0G5Z4TTKYMMBYD","GSON1112060135")</f>
        <v>#NAME?</v>
      </c>
      <c r="S730" s="28" t="e">
        <f ca="1">[1]!BexGetData("DP_1","00O2TNJGODT0G5Z4TTKYMMI9X","GSON1112060135")</f>
        <v>#NAME?</v>
      </c>
      <c r="T730" s="28" t="e">
        <f ca="1">[1]!BexGetData("DP_1","00O2TNJGODT0G5Z4TTKYMMOLH","GSON1112060135")</f>
        <v>#NAME?</v>
      </c>
      <c r="U730" s="28" t="e">
        <f ca="1">[1]!BexGetData("DP_1","00O2TNJGODT0G5Z4TTKYMMUX1","GSON1112060135")</f>
        <v>#NAME?</v>
      </c>
      <c r="V730" s="28" t="e">
        <f ca="1">[1]!BexGetData("DP_1","00O2TNJGODT0G5Z4TTKYMN18L","GSON1112060135")</f>
        <v>#NAME?</v>
      </c>
      <c r="W730" s="28" t="e">
        <f ca="1">[1]!BexGetData("DP_1","00O2TNJGODT0G5Z4TTKYMN7K5","GSON1112060135")</f>
        <v>#NAME?</v>
      </c>
    </row>
    <row r="731" spans="1:23" x14ac:dyDescent="0.2">
      <c r="A731" s="36" t="s">
        <v>2868</v>
      </c>
      <c r="B731" s="27" t="s">
        <v>2869</v>
      </c>
      <c r="C731" s="23" t="e">
        <f ca="1">[1]!BexGetData("DP_1","003N8EMH8GTFRCSWKMPXRR8GU","GSON1112060140")</f>
        <v>#NAME?</v>
      </c>
      <c r="D731" s="23" t="e">
        <f ca="1">[1]!BexGetData("DP_1","003N8EMH8GTFRCSWKMPXRRESE","GSON1112060140")</f>
        <v>#NAME?</v>
      </c>
      <c r="E731" s="23" t="e">
        <f ca="1">[1]!BexGetData("DP_1","003N8EMH8GTFRCSWKMPXRRL3Y","GSON1112060140")</f>
        <v>#NAME?</v>
      </c>
      <c r="F731" s="23" t="e">
        <f ca="1">[1]!BexGetData("DP_1","003N8EMH8GTFRCSWKMPXRRRFI","GSON1112060140")</f>
        <v>#NAME?</v>
      </c>
      <c r="G731" s="23" t="e">
        <f ca="1">[1]!BexGetData("DP_1","003N8EMH8GTFRCSWKMPXRRXR2","GSON1112060140")</f>
        <v>#NAME?</v>
      </c>
      <c r="H731" s="23" t="e">
        <f ca="1">[1]!BexGetData("DP_1","003N8EMH8GTFRCSWKMPXRS42M","GSON1112060140")</f>
        <v>#NAME?</v>
      </c>
      <c r="I731" s="23" t="e">
        <f ca="1">[1]!BexGetData("DP_1","003N8EMH8GTFRCSWKMPXRSAE6","GSON1112060140")</f>
        <v>#NAME?</v>
      </c>
      <c r="J731" s="23" t="e">
        <f ca="1">[1]!BexGetData("DP_1","003N8EMH8GTFRCSWKMPXRSGPQ","GSON1112060140")</f>
        <v>#NAME?</v>
      </c>
      <c r="K731" s="23" t="e">
        <f ca="1">[1]!BexGetData("DP_1","003N8EMH8GTFRIVNUPY288VJH","GSON1112060140")</f>
        <v>#NAME?</v>
      </c>
      <c r="L731" s="23" t="e">
        <f ca="1">[1]!BexGetData("DP_1","003N8EMH8GTFRIVNUPY2891V1","GSON1112060140")</f>
        <v>#NAME?</v>
      </c>
      <c r="M731" s="23" t="e">
        <f ca="1">[1]!BexGetData("DP_1","003N8EMH8GTFRIVOG7KG9IQXA","GSON1112060140")</f>
        <v>#NAME?</v>
      </c>
      <c r="N731" s="28" t="e">
        <f ca="1">[1]!BexGetData("DP_1","003N8EMH8GTFRIVOG7KG9IX8U","GSON1112060140")</f>
        <v>#NAME?</v>
      </c>
      <c r="O731" s="23" t="e">
        <f ca="1">[1]!BexGetData("DP_1","003N8EMH8GTFRIVOG7KG9J3KE","GSON1112060140")</f>
        <v>#NAME?</v>
      </c>
      <c r="P731" s="28" t="e">
        <f ca="1">[1]!BexGetData("DP_1","003N8EMH8GTFRIVOG7KG9J9VY","GSON1112060140")</f>
        <v>#NAME?</v>
      </c>
      <c r="Q731" s="23" t="e">
        <f ca="1">[1]!BexGetData("DP_1","00O2TNJGODT0G5Z4TTKYMM5MT","GSON1112060140")</f>
        <v>#NAME?</v>
      </c>
      <c r="R731" s="23" t="e">
        <f ca="1">[1]!BexGetData("DP_1","00O2TNJGODT0G5Z4TTKYMMBYD","GSON1112060140")</f>
        <v>#NAME?</v>
      </c>
      <c r="S731" s="23" t="e">
        <f ca="1">[1]!BexGetData("DP_1","00O2TNJGODT0G5Z4TTKYMMI9X","GSON1112060140")</f>
        <v>#NAME?</v>
      </c>
      <c r="T731" s="23" t="e">
        <f ca="1">[1]!BexGetData("DP_1","00O2TNJGODT0G5Z4TTKYMMOLH","GSON1112060140")</f>
        <v>#NAME?</v>
      </c>
      <c r="U731" s="28" t="e">
        <f ca="1">[1]!BexGetData("DP_1","00O2TNJGODT0G5Z4TTKYMMUX1","GSON1112060140")</f>
        <v>#NAME?</v>
      </c>
      <c r="V731" s="23" t="e">
        <f ca="1">[1]!BexGetData("DP_1","00O2TNJGODT0G5Z4TTKYMN18L","GSON1112060140")</f>
        <v>#NAME?</v>
      </c>
      <c r="W731" s="28" t="e">
        <f ca="1">[1]!BexGetData("DP_1","00O2TNJGODT0G5Z4TTKYMN7K5","GSON1112060140")</f>
        <v>#NAME?</v>
      </c>
    </row>
    <row r="732" spans="1:23" x14ac:dyDescent="0.2">
      <c r="A732" s="36" t="s">
        <v>2870</v>
      </c>
      <c r="B732" s="27" t="s">
        <v>2871</v>
      </c>
      <c r="C732" s="23" t="e">
        <f ca="1">[1]!BexGetData("DP_1","003N8EMH8GTFRCSWKMPXRR8GU","GSON1112060141")</f>
        <v>#NAME?</v>
      </c>
      <c r="D732" s="23" t="e">
        <f ca="1">[1]!BexGetData("DP_1","003N8EMH8GTFRCSWKMPXRRESE","GSON1112060141")</f>
        <v>#NAME?</v>
      </c>
      <c r="E732" s="28" t="e">
        <f ca="1">[1]!BexGetData("DP_1","003N8EMH8GTFRCSWKMPXRRL3Y","GSON1112060141")</f>
        <v>#NAME?</v>
      </c>
      <c r="F732" s="28" t="e">
        <f ca="1">[1]!BexGetData("DP_1","003N8EMH8GTFRCSWKMPXRRRFI","GSON1112060141")</f>
        <v>#NAME?</v>
      </c>
      <c r="G732" s="23" t="e">
        <f ca="1">[1]!BexGetData("DP_1","003N8EMH8GTFRCSWKMPXRRXR2","GSON1112060141")</f>
        <v>#NAME?</v>
      </c>
      <c r="H732" s="23" t="e">
        <f ca="1">[1]!BexGetData("DP_1","003N8EMH8GTFRCSWKMPXRS42M","GSON1112060141")</f>
        <v>#NAME?</v>
      </c>
      <c r="I732" s="28" t="e">
        <f ca="1">[1]!BexGetData("DP_1","003N8EMH8GTFRCSWKMPXRSAE6","GSON1112060141")</f>
        <v>#NAME?</v>
      </c>
      <c r="J732" s="24" t="e">
        <f ca="1">[1]!BexGetData("DP_1","003N8EMH8GTFRCSWKMPXRSGPQ","GSON1112060141")</f>
        <v>#NAME?</v>
      </c>
      <c r="K732" s="28" t="e">
        <f ca="1">[1]!BexGetData("DP_1","003N8EMH8GTFRIVNUPY288VJH","GSON1112060141")</f>
        <v>#NAME?</v>
      </c>
      <c r="L732" s="28" t="e">
        <f ca="1">[1]!BexGetData("DP_1","003N8EMH8GTFRIVNUPY2891V1","GSON1112060141")</f>
        <v>#NAME?</v>
      </c>
      <c r="M732" s="28" t="e">
        <f ca="1">[1]!BexGetData("DP_1","003N8EMH8GTFRIVOG7KG9IQXA","GSON1112060141")</f>
        <v>#NAME?</v>
      </c>
      <c r="N732" s="28" t="e">
        <f ca="1">[1]!BexGetData("DP_1","003N8EMH8GTFRIVOG7KG9IX8U","GSON1112060141")</f>
        <v>#NAME?</v>
      </c>
      <c r="O732" s="28" t="e">
        <f ca="1">[1]!BexGetData("DP_1","003N8EMH8GTFRIVOG7KG9J3KE","GSON1112060141")</f>
        <v>#NAME?</v>
      </c>
      <c r="P732" s="28" t="e">
        <f ca="1">[1]!BexGetData("DP_1","003N8EMH8GTFRIVOG7KG9J9VY","GSON1112060141")</f>
        <v>#NAME?</v>
      </c>
      <c r="Q732" s="24" t="e">
        <f ca="1">[1]!BexGetData("DP_1","00O2TNJGODT0G5Z4TTKYMM5MT","GSON1112060141")</f>
        <v>#NAME?</v>
      </c>
      <c r="R732" s="28" t="e">
        <f ca="1">[1]!BexGetData("DP_1","00O2TNJGODT0G5Z4TTKYMMBYD","GSON1112060141")</f>
        <v>#NAME?</v>
      </c>
      <c r="S732" s="28" t="e">
        <f ca="1">[1]!BexGetData("DP_1","00O2TNJGODT0G5Z4TTKYMMI9X","GSON1112060141")</f>
        <v>#NAME?</v>
      </c>
      <c r="T732" s="28" t="e">
        <f ca="1">[1]!BexGetData("DP_1","00O2TNJGODT0G5Z4TTKYMMOLH","GSON1112060141")</f>
        <v>#NAME?</v>
      </c>
      <c r="U732" s="28" t="e">
        <f ca="1">[1]!BexGetData("DP_1","00O2TNJGODT0G5Z4TTKYMMUX1","GSON1112060141")</f>
        <v>#NAME?</v>
      </c>
      <c r="V732" s="28" t="e">
        <f ca="1">[1]!BexGetData("DP_1","00O2TNJGODT0G5Z4TTKYMN18L","GSON1112060141")</f>
        <v>#NAME?</v>
      </c>
      <c r="W732" s="28" t="e">
        <f ca="1">[1]!BexGetData("DP_1","00O2TNJGODT0G5Z4TTKYMN7K5","GSON1112060141")</f>
        <v>#NAME?</v>
      </c>
    </row>
    <row r="733" spans="1:23" x14ac:dyDescent="0.2">
      <c r="A733" s="36" t="s">
        <v>2872</v>
      </c>
      <c r="B733" s="27" t="s">
        <v>2873</v>
      </c>
      <c r="C733" s="23" t="e">
        <f ca="1">[1]!BexGetData("DP_1","003N8EMH8GTFRCSWKMPXRR8GU","GSON1112060143")</f>
        <v>#NAME?</v>
      </c>
      <c r="D733" s="23" t="e">
        <f ca="1">[1]!BexGetData("DP_1","003N8EMH8GTFRCSWKMPXRRESE","GSON1112060143")</f>
        <v>#NAME?</v>
      </c>
      <c r="E733" s="28" t="e">
        <f ca="1">[1]!BexGetData("DP_1","003N8EMH8GTFRCSWKMPXRRL3Y","GSON1112060143")</f>
        <v>#NAME?</v>
      </c>
      <c r="F733" s="28" t="e">
        <f ca="1">[1]!BexGetData("DP_1","003N8EMH8GTFRCSWKMPXRRRFI","GSON1112060143")</f>
        <v>#NAME?</v>
      </c>
      <c r="G733" s="23" t="e">
        <f ca="1">[1]!BexGetData("DP_1","003N8EMH8GTFRCSWKMPXRRXR2","GSON1112060143")</f>
        <v>#NAME?</v>
      </c>
      <c r="H733" s="23" t="e">
        <f ca="1">[1]!BexGetData("DP_1","003N8EMH8GTFRCSWKMPXRS42M","GSON1112060143")</f>
        <v>#NAME?</v>
      </c>
      <c r="I733" s="28" t="e">
        <f ca="1">[1]!BexGetData("DP_1","003N8EMH8GTFRCSWKMPXRSAE6","GSON1112060143")</f>
        <v>#NAME?</v>
      </c>
      <c r="J733" s="24" t="e">
        <f ca="1">[1]!BexGetData("DP_1","003N8EMH8GTFRCSWKMPXRSGPQ","GSON1112060143")</f>
        <v>#NAME?</v>
      </c>
      <c r="K733" s="28" t="e">
        <f ca="1">[1]!BexGetData("DP_1","003N8EMH8GTFRIVNUPY288VJH","GSON1112060143")</f>
        <v>#NAME?</v>
      </c>
      <c r="L733" s="28" t="e">
        <f ca="1">[1]!BexGetData("DP_1","003N8EMH8GTFRIVNUPY2891V1","GSON1112060143")</f>
        <v>#NAME?</v>
      </c>
      <c r="M733" s="28" t="e">
        <f ca="1">[1]!BexGetData("DP_1","003N8EMH8GTFRIVOG7KG9IQXA","GSON1112060143")</f>
        <v>#NAME?</v>
      </c>
      <c r="N733" s="28" t="e">
        <f ca="1">[1]!BexGetData("DP_1","003N8EMH8GTFRIVOG7KG9IX8U","GSON1112060143")</f>
        <v>#NAME?</v>
      </c>
      <c r="O733" s="28" t="e">
        <f ca="1">[1]!BexGetData("DP_1","003N8EMH8GTFRIVOG7KG9J3KE","GSON1112060143")</f>
        <v>#NAME?</v>
      </c>
      <c r="P733" s="28" t="e">
        <f ca="1">[1]!BexGetData("DP_1","003N8EMH8GTFRIVOG7KG9J9VY","GSON1112060143")</f>
        <v>#NAME?</v>
      </c>
      <c r="Q733" s="24" t="e">
        <f ca="1">[1]!BexGetData("DP_1","00O2TNJGODT0G5Z4TTKYMM5MT","GSON1112060143")</f>
        <v>#NAME?</v>
      </c>
      <c r="R733" s="28" t="e">
        <f ca="1">[1]!BexGetData("DP_1","00O2TNJGODT0G5Z4TTKYMMBYD","GSON1112060143")</f>
        <v>#NAME?</v>
      </c>
      <c r="S733" s="28" t="e">
        <f ca="1">[1]!BexGetData("DP_1","00O2TNJGODT0G5Z4TTKYMMI9X","GSON1112060143")</f>
        <v>#NAME?</v>
      </c>
      <c r="T733" s="28" t="e">
        <f ca="1">[1]!BexGetData("DP_1","00O2TNJGODT0G5Z4TTKYMMOLH","GSON1112060143")</f>
        <v>#NAME?</v>
      </c>
      <c r="U733" s="28" t="e">
        <f ca="1">[1]!BexGetData("DP_1","00O2TNJGODT0G5Z4TTKYMMUX1","GSON1112060143")</f>
        <v>#NAME?</v>
      </c>
      <c r="V733" s="28" t="e">
        <f ca="1">[1]!BexGetData("DP_1","00O2TNJGODT0G5Z4TTKYMN18L","GSON1112060143")</f>
        <v>#NAME?</v>
      </c>
      <c r="W733" s="28" t="e">
        <f ca="1">[1]!BexGetData("DP_1","00O2TNJGODT0G5Z4TTKYMN7K5","GSON1112060143")</f>
        <v>#NAME?</v>
      </c>
    </row>
    <row r="734" spans="1:23" x14ac:dyDescent="0.2">
      <c r="A734" s="36" t="s">
        <v>2874</v>
      </c>
      <c r="B734" s="27" t="s">
        <v>2875</v>
      </c>
      <c r="C734" s="23" t="e">
        <f ca="1">[1]!BexGetData("DP_1","003N8EMH8GTFRCSWKMPXRR8GU","GSON1112060144")</f>
        <v>#NAME?</v>
      </c>
      <c r="D734" s="23" t="e">
        <f ca="1">[1]!BexGetData("DP_1","003N8EMH8GTFRCSWKMPXRRESE","GSON1112060144")</f>
        <v>#NAME?</v>
      </c>
      <c r="E734" s="28" t="e">
        <f ca="1">[1]!BexGetData("DP_1","003N8EMH8GTFRCSWKMPXRRL3Y","GSON1112060144")</f>
        <v>#NAME?</v>
      </c>
      <c r="F734" s="28" t="e">
        <f ca="1">[1]!BexGetData("DP_1","003N8EMH8GTFRCSWKMPXRRRFI","GSON1112060144")</f>
        <v>#NAME?</v>
      </c>
      <c r="G734" s="23" t="e">
        <f ca="1">[1]!BexGetData("DP_1","003N8EMH8GTFRCSWKMPXRRXR2","GSON1112060144")</f>
        <v>#NAME?</v>
      </c>
      <c r="H734" s="23" t="e">
        <f ca="1">[1]!BexGetData("DP_1","003N8EMH8GTFRCSWKMPXRS42M","GSON1112060144")</f>
        <v>#NAME?</v>
      </c>
      <c r="I734" s="28" t="e">
        <f ca="1">[1]!BexGetData("DP_1","003N8EMH8GTFRCSWKMPXRSAE6","GSON1112060144")</f>
        <v>#NAME?</v>
      </c>
      <c r="J734" s="24" t="e">
        <f ca="1">[1]!BexGetData("DP_1","003N8EMH8GTFRCSWKMPXRSGPQ","GSON1112060144")</f>
        <v>#NAME?</v>
      </c>
      <c r="K734" s="28" t="e">
        <f ca="1">[1]!BexGetData("DP_1","003N8EMH8GTFRIVNUPY288VJH","GSON1112060144")</f>
        <v>#NAME?</v>
      </c>
      <c r="L734" s="28" t="e">
        <f ca="1">[1]!BexGetData("DP_1","003N8EMH8GTFRIVNUPY2891V1","GSON1112060144")</f>
        <v>#NAME?</v>
      </c>
      <c r="M734" s="28" t="e">
        <f ca="1">[1]!BexGetData("DP_1","003N8EMH8GTFRIVOG7KG9IQXA","GSON1112060144")</f>
        <v>#NAME?</v>
      </c>
      <c r="N734" s="28" t="e">
        <f ca="1">[1]!BexGetData("DP_1","003N8EMH8GTFRIVOG7KG9IX8U","GSON1112060144")</f>
        <v>#NAME?</v>
      </c>
      <c r="O734" s="28" t="e">
        <f ca="1">[1]!BexGetData("DP_1","003N8EMH8GTFRIVOG7KG9J3KE","GSON1112060144")</f>
        <v>#NAME?</v>
      </c>
      <c r="P734" s="28" t="e">
        <f ca="1">[1]!BexGetData("DP_1","003N8EMH8GTFRIVOG7KG9J9VY","GSON1112060144")</f>
        <v>#NAME?</v>
      </c>
      <c r="Q734" s="24" t="e">
        <f ca="1">[1]!BexGetData("DP_1","00O2TNJGODT0G5Z4TTKYMM5MT","GSON1112060144")</f>
        <v>#NAME?</v>
      </c>
      <c r="R734" s="28" t="e">
        <f ca="1">[1]!BexGetData("DP_1","00O2TNJGODT0G5Z4TTKYMMBYD","GSON1112060144")</f>
        <v>#NAME?</v>
      </c>
      <c r="S734" s="28" t="e">
        <f ca="1">[1]!BexGetData("DP_1","00O2TNJGODT0G5Z4TTKYMMI9X","GSON1112060144")</f>
        <v>#NAME?</v>
      </c>
      <c r="T734" s="28" t="e">
        <f ca="1">[1]!BexGetData("DP_1","00O2TNJGODT0G5Z4TTKYMMOLH","GSON1112060144")</f>
        <v>#NAME?</v>
      </c>
      <c r="U734" s="28" t="e">
        <f ca="1">[1]!BexGetData("DP_1","00O2TNJGODT0G5Z4TTKYMMUX1","GSON1112060144")</f>
        <v>#NAME?</v>
      </c>
      <c r="V734" s="28" t="e">
        <f ca="1">[1]!BexGetData("DP_1","00O2TNJGODT0G5Z4TTKYMN18L","GSON1112060144")</f>
        <v>#NAME?</v>
      </c>
      <c r="W734" s="28" t="e">
        <f ca="1">[1]!BexGetData("DP_1","00O2TNJGODT0G5Z4TTKYMN7K5","GSON1112060144")</f>
        <v>#NAME?</v>
      </c>
    </row>
    <row r="735" spans="1:23" x14ac:dyDescent="0.2">
      <c r="A735" s="36" t="s">
        <v>2876</v>
      </c>
      <c r="B735" s="27" t="s">
        <v>2877</v>
      </c>
      <c r="C735" s="23" t="e">
        <f ca="1">[1]!BexGetData("DP_1","003N8EMH8GTFRCSWKMPXRR8GU","GSON1112060145")</f>
        <v>#NAME?</v>
      </c>
      <c r="D735" s="23" t="e">
        <f ca="1">[1]!BexGetData("DP_1","003N8EMH8GTFRCSWKMPXRRESE","GSON1112060145")</f>
        <v>#NAME?</v>
      </c>
      <c r="E735" s="28" t="e">
        <f ca="1">[1]!BexGetData("DP_1","003N8EMH8GTFRCSWKMPXRRL3Y","GSON1112060145")</f>
        <v>#NAME?</v>
      </c>
      <c r="F735" s="28" t="e">
        <f ca="1">[1]!BexGetData("DP_1","003N8EMH8GTFRCSWKMPXRRRFI","GSON1112060145")</f>
        <v>#NAME?</v>
      </c>
      <c r="G735" s="23" t="e">
        <f ca="1">[1]!BexGetData("DP_1","003N8EMH8GTFRCSWKMPXRRXR2","GSON1112060145")</f>
        <v>#NAME?</v>
      </c>
      <c r="H735" s="23" t="e">
        <f ca="1">[1]!BexGetData("DP_1","003N8EMH8GTFRCSWKMPXRS42M","GSON1112060145")</f>
        <v>#NAME?</v>
      </c>
      <c r="I735" s="28" t="e">
        <f ca="1">[1]!BexGetData("DP_1","003N8EMH8GTFRCSWKMPXRSAE6","GSON1112060145")</f>
        <v>#NAME?</v>
      </c>
      <c r="J735" s="24" t="e">
        <f ca="1">[1]!BexGetData("DP_1","003N8EMH8GTFRCSWKMPXRSGPQ","GSON1112060145")</f>
        <v>#NAME?</v>
      </c>
      <c r="K735" s="28" t="e">
        <f ca="1">[1]!BexGetData("DP_1","003N8EMH8GTFRIVNUPY288VJH","GSON1112060145")</f>
        <v>#NAME?</v>
      </c>
      <c r="L735" s="28" t="e">
        <f ca="1">[1]!BexGetData("DP_1","003N8EMH8GTFRIVNUPY2891V1","GSON1112060145")</f>
        <v>#NAME?</v>
      </c>
      <c r="M735" s="28" t="e">
        <f ca="1">[1]!BexGetData("DP_1","003N8EMH8GTFRIVOG7KG9IQXA","GSON1112060145")</f>
        <v>#NAME?</v>
      </c>
      <c r="N735" s="28" t="e">
        <f ca="1">[1]!BexGetData("DP_1","003N8EMH8GTFRIVOG7KG9IX8U","GSON1112060145")</f>
        <v>#NAME?</v>
      </c>
      <c r="O735" s="28" t="e">
        <f ca="1">[1]!BexGetData("DP_1","003N8EMH8GTFRIVOG7KG9J3KE","GSON1112060145")</f>
        <v>#NAME?</v>
      </c>
      <c r="P735" s="28" t="e">
        <f ca="1">[1]!BexGetData("DP_1","003N8EMH8GTFRIVOG7KG9J9VY","GSON1112060145")</f>
        <v>#NAME?</v>
      </c>
      <c r="Q735" s="24" t="e">
        <f ca="1">[1]!BexGetData("DP_1","00O2TNJGODT0G5Z4TTKYMM5MT","GSON1112060145")</f>
        <v>#NAME?</v>
      </c>
      <c r="R735" s="28" t="e">
        <f ca="1">[1]!BexGetData("DP_1","00O2TNJGODT0G5Z4TTKYMMBYD","GSON1112060145")</f>
        <v>#NAME?</v>
      </c>
      <c r="S735" s="28" t="e">
        <f ca="1">[1]!BexGetData("DP_1","00O2TNJGODT0G5Z4TTKYMMI9X","GSON1112060145")</f>
        <v>#NAME?</v>
      </c>
      <c r="T735" s="28" t="e">
        <f ca="1">[1]!BexGetData("DP_1","00O2TNJGODT0G5Z4TTKYMMOLH","GSON1112060145")</f>
        <v>#NAME?</v>
      </c>
      <c r="U735" s="28" t="e">
        <f ca="1">[1]!BexGetData("DP_1","00O2TNJGODT0G5Z4TTKYMMUX1","GSON1112060145")</f>
        <v>#NAME?</v>
      </c>
      <c r="V735" s="28" t="e">
        <f ca="1">[1]!BexGetData("DP_1","00O2TNJGODT0G5Z4TTKYMN18L","GSON1112060145")</f>
        <v>#NAME?</v>
      </c>
      <c r="W735" s="28" t="e">
        <f ca="1">[1]!BexGetData("DP_1","00O2TNJGODT0G5Z4TTKYMN7K5","GSON1112060145")</f>
        <v>#NAME?</v>
      </c>
    </row>
    <row r="736" spans="1:23" x14ac:dyDescent="0.2">
      <c r="A736" s="36" t="s">
        <v>2878</v>
      </c>
      <c r="B736" s="27" t="s">
        <v>2879</v>
      </c>
      <c r="C736" s="23" t="e">
        <f ca="1">[1]!BexGetData("DP_1","003N8EMH8GTFRCSWKMPXRR8GU","GSON1112060150")</f>
        <v>#NAME?</v>
      </c>
      <c r="D736" s="23" t="e">
        <f ca="1">[1]!BexGetData("DP_1","003N8EMH8GTFRCSWKMPXRRESE","GSON1112060150")</f>
        <v>#NAME?</v>
      </c>
      <c r="E736" s="23" t="e">
        <f ca="1">[1]!BexGetData("DP_1","003N8EMH8GTFRCSWKMPXRRL3Y","GSON1112060150")</f>
        <v>#NAME?</v>
      </c>
      <c r="F736" s="23" t="e">
        <f ca="1">[1]!BexGetData("DP_1","003N8EMH8GTFRCSWKMPXRRRFI","GSON1112060150")</f>
        <v>#NAME?</v>
      </c>
      <c r="G736" s="23" t="e">
        <f ca="1">[1]!BexGetData("DP_1","003N8EMH8GTFRCSWKMPXRRXR2","GSON1112060150")</f>
        <v>#NAME?</v>
      </c>
      <c r="H736" s="23" t="e">
        <f ca="1">[1]!BexGetData("DP_1","003N8EMH8GTFRCSWKMPXRS42M","GSON1112060150")</f>
        <v>#NAME?</v>
      </c>
      <c r="I736" s="23" t="e">
        <f ca="1">[1]!BexGetData("DP_1","003N8EMH8GTFRCSWKMPXRSAE6","GSON1112060150")</f>
        <v>#NAME?</v>
      </c>
      <c r="J736" s="23" t="e">
        <f ca="1">[1]!BexGetData("DP_1","003N8EMH8GTFRCSWKMPXRSGPQ","GSON1112060150")</f>
        <v>#NAME?</v>
      </c>
      <c r="K736" s="23" t="e">
        <f ca="1">[1]!BexGetData("DP_1","003N8EMH8GTFRIVNUPY288VJH","GSON1112060150")</f>
        <v>#NAME?</v>
      </c>
      <c r="L736" s="23" t="e">
        <f ca="1">[1]!BexGetData("DP_1","003N8EMH8GTFRIVNUPY2891V1","GSON1112060150")</f>
        <v>#NAME?</v>
      </c>
      <c r="M736" s="23" t="e">
        <f ca="1">[1]!BexGetData("DP_1","003N8EMH8GTFRIVOG7KG9IQXA","GSON1112060150")</f>
        <v>#NAME?</v>
      </c>
      <c r="N736" s="28" t="e">
        <f ca="1">[1]!BexGetData("DP_1","003N8EMH8GTFRIVOG7KG9IX8U","GSON1112060150")</f>
        <v>#NAME?</v>
      </c>
      <c r="O736" s="23" t="e">
        <f ca="1">[1]!BexGetData("DP_1","003N8EMH8GTFRIVOG7KG9J3KE","GSON1112060150")</f>
        <v>#NAME?</v>
      </c>
      <c r="P736" s="28" t="e">
        <f ca="1">[1]!BexGetData("DP_1","003N8EMH8GTFRIVOG7KG9J9VY","GSON1112060150")</f>
        <v>#NAME?</v>
      </c>
      <c r="Q736" s="23" t="e">
        <f ca="1">[1]!BexGetData("DP_1","00O2TNJGODT0G5Z4TTKYMM5MT","GSON1112060150")</f>
        <v>#NAME?</v>
      </c>
      <c r="R736" s="23" t="e">
        <f ca="1">[1]!BexGetData("DP_1","00O2TNJGODT0G5Z4TTKYMMBYD","GSON1112060150")</f>
        <v>#NAME?</v>
      </c>
      <c r="S736" s="23" t="e">
        <f ca="1">[1]!BexGetData("DP_1","00O2TNJGODT0G5Z4TTKYMMI9X","GSON1112060150")</f>
        <v>#NAME?</v>
      </c>
      <c r="T736" s="28" t="e">
        <f ca="1">[1]!BexGetData("DP_1","00O2TNJGODT0G5Z4TTKYMMOLH","GSON1112060150")</f>
        <v>#NAME?</v>
      </c>
      <c r="U736" s="23" t="e">
        <f ca="1">[1]!BexGetData("DP_1","00O2TNJGODT0G5Z4TTKYMMUX1","GSON1112060150")</f>
        <v>#NAME?</v>
      </c>
      <c r="V736" s="28" t="e">
        <f ca="1">[1]!BexGetData("DP_1","00O2TNJGODT0G5Z4TTKYMN18L","GSON1112060150")</f>
        <v>#NAME?</v>
      </c>
      <c r="W736" s="23" t="e">
        <f ca="1">[1]!BexGetData("DP_1","00O2TNJGODT0G5Z4TTKYMN7K5","GSON1112060150")</f>
        <v>#NAME?</v>
      </c>
    </row>
    <row r="737" spans="1:23" x14ac:dyDescent="0.2">
      <c r="A737" s="36" t="s">
        <v>2880</v>
      </c>
      <c r="B737" s="27" t="s">
        <v>2881</v>
      </c>
      <c r="C737" s="28" t="e">
        <f ca="1">[1]!BexGetData("DP_1","003N8EMH8GTFRCSWKMPXRR8GU","GSON1112060151")</f>
        <v>#NAME?</v>
      </c>
      <c r="D737" s="28" t="e">
        <f ca="1">[1]!BexGetData("DP_1","003N8EMH8GTFRCSWKMPXRRESE","GSON1112060151")</f>
        <v>#NAME?</v>
      </c>
      <c r="E737" s="28" t="e">
        <f ca="1">[1]!BexGetData("DP_1","003N8EMH8GTFRCSWKMPXRRL3Y","GSON1112060151")</f>
        <v>#NAME?</v>
      </c>
      <c r="F737" s="28" t="e">
        <f ca="1">[1]!BexGetData("DP_1","003N8EMH8GTFRCSWKMPXRRRFI","GSON1112060151")</f>
        <v>#NAME?</v>
      </c>
      <c r="G737" s="23" t="e">
        <f ca="1">[1]!BexGetData("DP_1","003N8EMH8GTFRCSWKMPXRRXR2","GSON1112060151")</f>
        <v>#NAME?</v>
      </c>
      <c r="H737" s="23" t="e">
        <f ca="1">[1]!BexGetData("DP_1","003N8EMH8GTFRCSWKMPXRS42M","GSON1112060151")</f>
        <v>#NAME?</v>
      </c>
      <c r="I737" s="28" t="e">
        <f ca="1">[1]!BexGetData("DP_1","003N8EMH8GTFRCSWKMPXRSAE6","GSON1112060151")</f>
        <v>#NAME?</v>
      </c>
      <c r="J737" s="24" t="e">
        <f ca="1">[1]!BexGetData("DP_1","003N8EMH8GTFRCSWKMPXRSGPQ","GSON1112060151")</f>
        <v>#NAME?</v>
      </c>
      <c r="K737" s="28" t="e">
        <f ca="1">[1]!BexGetData("DP_1","003N8EMH8GTFRIVNUPY288VJH","GSON1112060151")</f>
        <v>#NAME?</v>
      </c>
      <c r="L737" s="28" t="e">
        <f ca="1">[1]!BexGetData("DP_1","003N8EMH8GTFRIVNUPY2891V1","GSON1112060151")</f>
        <v>#NAME?</v>
      </c>
      <c r="M737" s="28" t="e">
        <f ca="1">[1]!BexGetData("DP_1","003N8EMH8GTFRIVOG7KG9IQXA","GSON1112060151")</f>
        <v>#NAME?</v>
      </c>
      <c r="N737" s="28" t="e">
        <f ca="1">[1]!BexGetData("DP_1","003N8EMH8GTFRIVOG7KG9IX8U","GSON1112060151")</f>
        <v>#NAME?</v>
      </c>
      <c r="O737" s="28" t="e">
        <f ca="1">[1]!BexGetData("DP_1","003N8EMH8GTFRIVOG7KG9J3KE","GSON1112060151")</f>
        <v>#NAME?</v>
      </c>
      <c r="P737" s="28" t="e">
        <f ca="1">[1]!BexGetData("DP_1","003N8EMH8GTFRIVOG7KG9J9VY","GSON1112060151")</f>
        <v>#NAME?</v>
      </c>
      <c r="Q737" s="24" t="e">
        <f ca="1">[1]!BexGetData("DP_1","00O2TNJGODT0G5Z4TTKYMM5MT","GSON1112060151")</f>
        <v>#NAME?</v>
      </c>
      <c r="R737" s="28" t="e">
        <f ca="1">[1]!BexGetData("DP_1","00O2TNJGODT0G5Z4TTKYMMBYD","GSON1112060151")</f>
        <v>#NAME?</v>
      </c>
      <c r="S737" s="28" t="e">
        <f ca="1">[1]!BexGetData("DP_1","00O2TNJGODT0G5Z4TTKYMMI9X","GSON1112060151")</f>
        <v>#NAME?</v>
      </c>
      <c r="T737" s="28" t="e">
        <f ca="1">[1]!BexGetData("DP_1","00O2TNJGODT0G5Z4TTKYMMOLH","GSON1112060151")</f>
        <v>#NAME?</v>
      </c>
      <c r="U737" s="28" t="e">
        <f ca="1">[1]!BexGetData("DP_1","00O2TNJGODT0G5Z4TTKYMMUX1","GSON1112060151")</f>
        <v>#NAME?</v>
      </c>
      <c r="V737" s="28" t="e">
        <f ca="1">[1]!BexGetData("DP_1","00O2TNJGODT0G5Z4TTKYMN18L","GSON1112060151")</f>
        <v>#NAME?</v>
      </c>
      <c r="W737" s="28" t="e">
        <f ca="1">[1]!BexGetData("DP_1","00O2TNJGODT0G5Z4TTKYMN7K5","GSON1112060151")</f>
        <v>#NAME?</v>
      </c>
    </row>
    <row r="738" spans="1:23" x14ac:dyDescent="0.2">
      <c r="A738" s="36" t="s">
        <v>2882</v>
      </c>
      <c r="B738" s="27" t="s">
        <v>2883</v>
      </c>
      <c r="C738" s="24" t="e">
        <f ca="1">[1]!BexGetData("DP_1","003N8EMH8GTFRCSWKMPXRR8GU","GSON1112060152")</f>
        <v>#NAME?</v>
      </c>
      <c r="D738" s="24" t="e">
        <f ca="1">[1]!BexGetData("DP_1","003N8EMH8GTFRCSWKMPXRRESE","GSON1112060152")</f>
        <v>#NAME?</v>
      </c>
      <c r="E738" s="24" t="e">
        <f ca="1">[1]!BexGetData("DP_1","003N8EMH8GTFRCSWKMPXRRL3Y","GSON1112060152")</f>
        <v>#NAME?</v>
      </c>
      <c r="F738" s="28" t="e">
        <f ca="1">[1]!BexGetData("DP_1","003N8EMH8GTFRCSWKMPXRRRFI","GSON1112060152")</f>
        <v>#NAME?</v>
      </c>
      <c r="G738" s="23" t="e">
        <f ca="1">[1]!BexGetData("DP_1","003N8EMH8GTFRCSWKMPXRRXR2","GSON1112060152")</f>
        <v>#NAME?</v>
      </c>
      <c r="H738" s="23" t="e">
        <f ca="1">[1]!BexGetData("DP_1","003N8EMH8GTFRCSWKMPXRS42M","GSON1112060152")</f>
        <v>#NAME?</v>
      </c>
      <c r="I738" s="28" t="e">
        <f ca="1">[1]!BexGetData("DP_1","003N8EMH8GTFRCSWKMPXRSAE6","GSON1112060152")</f>
        <v>#NAME?</v>
      </c>
      <c r="J738" s="24" t="e">
        <f ca="1">[1]!BexGetData("DP_1","003N8EMH8GTFRCSWKMPXRSGPQ","GSON1112060152")</f>
        <v>#NAME?</v>
      </c>
      <c r="K738" s="28" t="e">
        <f ca="1">[1]!BexGetData("DP_1","003N8EMH8GTFRIVNUPY288VJH","GSON1112060152")</f>
        <v>#NAME?</v>
      </c>
      <c r="L738" s="28" t="e">
        <f ca="1">[1]!BexGetData("DP_1","003N8EMH8GTFRIVNUPY2891V1","GSON1112060152")</f>
        <v>#NAME?</v>
      </c>
      <c r="M738" s="28" t="e">
        <f ca="1">[1]!BexGetData("DP_1","003N8EMH8GTFRIVOG7KG9IQXA","GSON1112060152")</f>
        <v>#NAME?</v>
      </c>
      <c r="N738" s="28" t="e">
        <f ca="1">[1]!BexGetData("DP_1","003N8EMH8GTFRIVOG7KG9IX8U","GSON1112060152")</f>
        <v>#NAME?</v>
      </c>
      <c r="O738" s="28" t="e">
        <f ca="1">[1]!BexGetData("DP_1","003N8EMH8GTFRIVOG7KG9J3KE","GSON1112060152")</f>
        <v>#NAME?</v>
      </c>
      <c r="P738" s="28" t="e">
        <f ca="1">[1]!BexGetData("DP_1","003N8EMH8GTFRIVOG7KG9J9VY","GSON1112060152")</f>
        <v>#NAME?</v>
      </c>
      <c r="Q738" s="24" t="e">
        <f ca="1">[1]!BexGetData("DP_1","00O2TNJGODT0G5Z4TTKYMM5MT","GSON1112060152")</f>
        <v>#NAME?</v>
      </c>
      <c r="R738" s="28" t="e">
        <f ca="1">[1]!BexGetData("DP_1","00O2TNJGODT0G5Z4TTKYMMBYD","GSON1112060152")</f>
        <v>#NAME?</v>
      </c>
      <c r="S738" s="28" t="e">
        <f ca="1">[1]!BexGetData("DP_1","00O2TNJGODT0G5Z4TTKYMMI9X","GSON1112060152")</f>
        <v>#NAME?</v>
      </c>
      <c r="T738" s="28" t="e">
        <f ca="1">[1]!BexGetData("DP_1","00O2TNJGODT0G5Z4TTKYMMOLH","GSON1112060152")</f>
        <v>#NAME?</v>
      </c>
      <c r="U738" s="28" t="e">
        <f ca="1">[1]!BexGetData("DP_1","00O2TNJGODT0G5Z4TTKYMMUX1","GSON1112060152")</f>
        <v>#NAME?</v>
      </c>
      <c r="V738" s="28" t="e">
        <f ca="1">[1]!BexGetData("DP_1","00O2TNJGODT0G5Z4TTKYMN18L","GSON1112060152")</f>
        <v>#NAME?</v>
      </c>
      <c r="W738" s="28" t="e">
        <f ca="1">[1]!BexGetData("DP_1","00O2TNJGODT0G5Z4TTKYMN7K5","GSON1112060152")</f>
        <v>#NAME?</v>
      </c>
    </row>
    <row r="739" spans="1:23" x14ac:dyDescent="0.2">
      <c r="A739" s="36" t="s">
        <v>2884</v>
      </c>
      <c r="B739" s="27" t="s">
        <v>2885</v>
      </c>
      <c r="C739" s="24" t="e">
        <f ca="1">[1]!BexGetData("DP_1","003N8EMH8GTFRCSWKMPXRR8GU","GSON1112060153")</f>
        <v>#NAME?</v>
      </c>
      <c r="D739" s="24" t="e">
        <f ca="1">[1]!BexGetData("DP_1","003N8EMH8GTFRCSWKMPXRRESE","GSON1112060153")</f>
        <v>#NAME?</v>
      </c>
      <c r="E739" s="24" t="e">
        <f ca="1">[1]!BexGetData("DP_1","003N8EMH8GTFRCSWKMPXRRL3Y","GSON1112060153")</f>
        <v>#NAME?</v>
      </c>
      <c r="F739" s="28" t="e">
        <f ca="1">[1]!BexGetData("DP_1","003N8EMH8GTFRCSWKMPXRRRFI","GSON1112060153")</f>
        <v>#NAME?</v>
      </c>
      <c r="G739" s="23" t="e">
        <f ca="1">[1]!BexGetData("DP_1","003N8EMH8GTFRCSWKMPXRRXR2","GSON1112060153")</f>
        <v>#NAME?</v>
      </c>
      <c r="H739" s="23" t="e">
        <f ca="1">[1]!BexGetData("DP_1","003N8EMH8GTFRCSWKMPXRS42M","GSON1112060153")</f>
        <v>#NAME?</v>
      </c>
      <c r="I739" s="28" t="e">
        <f ca="1">[1]!BexGetData("DP_1","003N8EMH8GTFRCSWKMPXRSAE6","GSON1112060153")</f>
        <v>#NAME?</v>
      </c>
      <c r="J739" s="24" t="e">
        <f ca="1">[1]!BexGetData("DP_1","003N8EMH8GTFRCSWKMPXRSGPQ","GSON1112060153")</f>
        <v>#NAME?</v>
      </c>
      <c r="K739" s="28" t="e">
        <f ca="1">[1]!BexGetData("DP_1","003N8EMH8GTFRIVNUPY288VJH","GSON1112060153")</f>
        <v>#NAME?</v>
      </c>
      <c r="L739" s="28" t="e">
        <f ca="1">[1]!BexGetData("DP_1","003N8EMH8GTFRIVNUPY2891V1","GSON1112060153")</f>
        <v>#NAME?</v>
      </c>
      <c r="M739" s="28" t="e">
        <f ca="1">[1]!BexGetData("DP_1","003N8EMH8GTFRIVOG7KG9IQXA","GSON1112060153")</f>
        <v>#NAME?</v>
      </c>
      <c r="N739" s="28" t="e">
        <f ca="1">[1]!BexGetData("DP_1","003N8EMH8GTFRIVOG7KG9IX8U","GSON1112060153")</f>
        <v>#NAME?</v>
      </c>
      <c r="O739" s="28" t="e">
        <f ca="1">[1]!BexGetData("DP_1","003N8EMH8GTFRIVOG7KG9J3KE","GSON1112060153")</f>
        <v>#NAME?</v>
      </c>
      <c r="P739" s="28" t="e">
        <f ca="1">[1]!BexGetData("DP_1","003N8EMH8GTFRIVOG7KG9J9VY","GSON1112060153")</f>
        <v>#NAME?</v>
      </c>
      <c r="Q739" s="24" t="e">
        <f ca="1">[1]!BexGetData("DP_1","00O2TNJGODT0G5Z4TTKYMM5MT","GSON1112060153")</f>
        <v>#NAME?</v>
      </c>
      <c r="R739" s="28" t="e">
        <f ca="1">[1]!BexGetData("DP_1","00O2TNJGODT0G5Z4TTKYMMBYD","GSON1112060153")</f>
        <v>#NAME?</v>
      </c>
      <c r="S739" s="28" t="e">
        <f ca="1">[1]!BexGetData("DP_1","00O2TNJGODT0G5Z4TTKYMMI9X","GSON1112060153")</f>
        <v>#NAME?</v>
      </c>
      <c r="T739" s="28" t="e">
        <f ca="1">[1]!BexGetData("DP_1","00O2TNJGODT0G5Z4TTKYMMOLH","GSON1112060153")</f>
        <v>#NAME?</v>
      </c>
      <c r="U739" s="28" t="e">
        <f ca="1">[1]!BexGetData("DP_1","00O2TNJGODT0G5Z4TTKYMMUX1","GSON1112060153")</f>
        <v>#NAME?</v>
      </c>
      <c r="V739" s="28" t="e">
        <f ca="1">[1]!BexGetData("DP_1","00O2TNJGODT0G5Z4TTKYMN18L","GSON1112060153")</f>
        <v>#NAME?</v>
      </c>
      <c r="W739" s="28" t="e">
        <f ca="1">[1]!BexGetData("DP_1","00O2TNJGODT0G5Z4TTKYMN7K5","GSON1112060153")</f>
        <v>#NAME?</v>
      </c>
    </row>
    <row r="740" spans="1:23" x14ac:dyDescent="0.2">
      <c r="A740" s="36" t="s">
        <v>2886</v>
      </c>
      <c r="B740" s="27" t="s">
        <v>2887</v>
      </c>
      <c r="C740" s="23" t="e">
        <f ca="1">[1]!BexGetData("DP_1","003N8EMH8GTFRCSWKMPXRR8GU","GSON1112060154")</f>
        <v>#NAME?</v>
      </c>
      <c r="D740" s="23" t="e">
        <f ca="1">[1]!BexGetData("DP_1","003N8EMH8GTFRCSWKMPXRRESE","GSON1112060154")</f>
        <v>#NAME?</v>
      </c>
      <c r="E740" s="28" t="e">
        <f ca="1">[1]!BexGetData("DP_1","003N8EMH8GTFRCSWKMPXRRL3Y","GSON1112060154")</f>
        <v>#NAME?</v>
      </c>
      <c r="F740" s="28" t="e">
        <f ca="1">[1]!BexGetData("DP_1","003N8EMH8GTFRCSWKMPXRRRFI","GSON1112060154")</f>
        <v>#NAME?</v>
      </c>
      <c r="G740" s="23" t="e">
        <f ca="1">[1]!BexGetData("DP_1","003N8EMH8GTFRCSWKMPXRRXR2","GSON1112060154")</f>
        <v>#NAME?</v>
      </c>
      <c r="H740" s="23" t="e">
        <f ca="1">[1]!BexGetData("DP_1","003N8EMH8GTFRCSWKMPXRS42M","GSON1112060154")</f>
        <v>#NAME?</v>
      </c>
      <c r="I740" s="28" t="e">
        <f ca="1">[1]!BexGetData("DP_1","003N8EMH8GTFRCSWKMPXRSAE6","GSON1112060154")</f>
        <v>#NAME?</v>
      </c>
      <c r="J740" s="24" t="e">
        <f ca="1">[1]!BexGetData("DP_1","003N8EMH8GTFRCSWKMPXRSGPQ","GSON1112060154")</f>
        <v>#NAME?</v>
      </c>
      <c r="K740" s="28" t="e">
        <f ca="1">[1]!BexGetData("DP_1","003N8EMH8GTFRIVNUPY288VJH","GSON1112060154")</f>
        <v>#NAME?</v>
      </c>
      <c r="L740" s="28" t="e">
        <f ca="1">[1]!BexGetData("DP_1","003N8EMH8GTFRIVNUPY2891V1","GSON1112060154")</f>
        <v>#NAME?</v>
      </c>
      <c r="M740" s="28" t="e">
        <f ca="1">[1]!BexGetData("DP_1","003N8EMH8GTFRIVOG7KG9IQXA","GSON1112060154")</f>
        <v>#NAME?</v>
      </c>
      <c r="N740" s="28" t="e">
        <f ca="1">[1]!BexGetData("DP_1","003N8EMH8GTFRIVOG7KG9IX8U","GSON1112060154")</f>
        <v>#NAME?</v>
      </c>
      <c r="O740" s="28" t="e">
        <f ca="1">[1]!BexGetData("DP_1","003N8EMH8GTFRIVOG7KG9J3KE","GSON1112060154")</f>
        <v>#NAME?</v>
      </c>
      <c r="P740" s="28" t="e">
        <f ca="1">[1]!BexGetData("DP_1","003N8EMH8GTFRIVOG7KG9J9VY","GSON1112060154")</f>
        <v>#NAME?</v>
      </c>
      <c r="Q740" s="24" t="e">
        <f ca="1">[1]!BexGetData("DP_1","00O2TNJGODT0G5Z4TTKYMM5MT","GSON1112060154")</f>
        <v>#NAME?</v>
      </c>
      <c r="R740" s="28" t="e">
        <f ca="1">[1]!BexGetData("DP_1","00O2TNJGODT0G5Z4TTKYMMBYD","GSON1112060154")</f>
        <v>#NAME?</v>
      </c>
      <c r="S740" s="28" t="e">
        <f ca="1">[1]!BexGetData("DP_1","00O2TNJGODT0G5Z4TTKYMMI9X","GSON1112060154")</f>
        <v>#NAME?</v>
      </c>
      <c r="T740" s="28" t="e">
        <f ca="1">[1]!BexGetData("DP_1","00O2TNJGODT0G5Z4TTKYMMOLH","GSON1112060154")</f>
        <v>#NAME?</v>
      </c>
      <c r="U740" s="28" t="e">
        <f ca="1">[1]!BexGetData("DP_1","00O2TNJGODT0G5Z4TTKYMMUX1","GSON1112060154")</f>
        <v>#NAME?</v>
      </c>
      <c r="V740" s="28" t="e">
        <f ca="1">[1]!BexGetData("DP_1","00O2TNJGODT0G5Z4TTKYMN18L","GSON1112060154")</f>
        <v>#NAME?</v>
      </c>
      <c r="W740" s="28" t="e">
        <f ca="1">[1]!BexGetData("DP_1","00O2TNJGODT0G5Z4TTKYMN7K5","GSON1112060154")</f>
        <v>#NAME?</v>
      </c>
    </row>
    <row r="741" spans="1:23" x14ac:dyDescent="0.2">
      <c r="A741" s="36" t="s">
        <v>2888</v>
      </c>
      <c r="B741" s="27" t="s">
        <v>2889</v>
      </c>
      <c r="C741" s="23" t="e">
        <f ca="1">[1]!BexGetData("DP_1","003N8EMH8GTFRCSWKMPXRR8GU","GSON1112060155")</f>
        <v>#NAME?</v>
      </c>
      <c r="D741" s="23" t="e">
        <f ca="1">[1]!BexGetData("DP_1","003N8EMH8GTFRCSWKMPXRRESE","GSON1112060155")</f>
        <v>#NAME?</v>
      </c>
      <c r="E741" s="28" t="e">
        <f ca="1">[1]!BexGetData("DP_1","003N8EMH8GTFRCSWKMPXRRL3Y","GSON1112060155")</f>
        <v>#NAME?</v>
      </c>
      <c r="F741" s="28" t="e">
        <f ca="1">[1]!BexGetData("DP_1","003N8EMH8GTFRCSWKMPXRRRFI","GSON1112060155")</f>
        <v>#NAME?</v>
      </c>
      <c r="G741" s="23" t="e">
        <f ca="1">[1]!BexGetData("DP_1","003N8EMH8GTFRCSWKMPXRRXR2","GSON1112060155")</f>
        <v>#NAME?</v>
      </c>
      <c r="H741" s="23" t="e">
        <f ca="1">[1]!BexGetData("DP_1","003N8EMH8GTFRCSWKMPXRS42M","GSON1112060155")</f>
        <v>#NAME?</v>
      </c>
      <c r="I741" s="28" t="e">
        <f ca="1">[1]!BexGetData("DP_1","003N8EMH8GTFRCSWKMPXRSAE6","GSON1112060155")</f>
        <v>#NAME?</v>
      </c>
      <c r="J741" s="24" t="e">
        <f ca="1">[1]!BexGetData("DP_1","003N8EMH8GTFRCSWKMPXRSGPQ","GSON1112060155")</f>
        <v>#NAME?</v>
      </c>
      <c r="K741" s="28" t="e">
        <f ca="1">[1]!BexGetData("DP_1","003N8EMH8GTFRIVNUPY288VJH","GSON1112060155")</f>
        <v>#NAME?</v>
      </c>
      <c r="L741" s="28" t="e">
        <f ca="1">[1]!BexGetData("DP_1","003N8EMH8GTFRIVNUPY2891V1","GSON1112060155")</f>
        <v>#NAME?</v>
      </c>
      <c r="M741" s="28" t="e">
        <f ca="1">[1]!BexGetData("DP_1","003N8EMH8GTFRIVOG7KG9IQXA","GSON1112060155")</f>
        <v>#NAME?</v>
      </c>
      <c r="N741" s="28" t="e">
        <f ca="1">[1]!BexGetData("DP_1","003N8EMH8GTFRIVOG7KG9IX8U","GSON1112060155")</f>
        <v>#NAME?</v>
      </c>
      <c r="O741" s="28" t="e">
        <f ca="1">[1]!BexGetData("DP_1","003N8EMH8GTFRIVOG7KG9J3KE","GSON1112060155")</f>
        <v>#NAME?</v>
      </c>
      <c r="P741" s="28" t="e">
        <f ca="1">[1]!BexGetData("DP_1","003N8EMH8GTFRIVOG7KG9J9VY","GSON1112060155")</f>
        <v>#NAME?</v>
      </c>
      <c r="Q741" s="24" t="e">
        <f ca="1">[1]!BexGetData("DP_1","00O2TNJGODT0G5Z4TTKYMM5MT","GSON1112060155")</f>
        <v>#NAME?</v>
      </c>
      <c r="R741" s="28" t="e">
        <f ca="1">[1]!BexGetData("DP_1","00O2TNJGODT0G5Z4TTKYMMBYD","GSON1112060155")</f>
        <v>#NAME?</v>
      </c>
      <c r="S741" s="28" t="e">
        <f ca="1">[1]!BexGetData("DP_1","00O2TNJGODT0G5Z4TTKYMMI9X","GSON1112060155")</f>
        <v>#NAME?</v>
      </c>
      <c r="T741" s="28" t="e">
        <f ca="1">[1]!BexGetData("DP_1","00O2TNJGODT0G5Z4TTKYMMOLH","GSON1112060155")</f>
        <v>#NAME?</v>
      </c>
      <c r="U741" s="28" t="e">
        <f ca="1">[1]!BexGetData("DP_1","00O2TNJGODT0G5Z4TTKYMMUX1","GSON1112060155")</f>
        <v>#NAME?</v>
      </c>
      <c r="V741" s="28" t="e">
        <f ca="1">[1]!BexGetData("DP_1","00O2TNJGODT0G5Z4TTKYMN18L","GSON1112060155")</f>
        <v>#NAME?</v>
      </c>
      <c r="W741" s="28" t="e">
        <f ca="1">[1]!BexGetData("DP_1","00O2TNJGODT0G5Z4TTKYMN7K5","GSON1112060155")</f>
        <v>#NAME?</v>
      </c>
    </row>
    <row r="742" spans="1:23" x14ac:dyDescent="0.2">
      <c r="A742" s="36" t="s">
        <v>2890</v>
      </c>
      <c r="B742" s="27" t="s">
        <v>2891</v>
      </c>
      <c r="C742" s="23" t="e">
        <f ca="1">[1]!BexGetData("DP_1","003N8EMH8GTFRCSWKMPXRR8GU","GSON1112060160")</f>
        <v>#NAME?</v>
      </c>
      <c r="D742" s="23" t="e">
        <f ca="1">[1]!BexGetData("DP_1","003N8EMH8GTFRCSWKMPXRRESE","GSON1112060160")</f>
        <v>#NAME?</v>
      </c>
      <c r="E742" s="23" t="e">
        <f ca="1">[1]!BexGetData("DP_1","003N8EMH8GTFRCSWKMPXRRL3Y","GSON1112060160")</f>
        <v>#NAME?</v>
      </c>
      <c r="F742" s="23" t="e">
        <f ca="1">[1]!BexGetData("DP_1","003N8EMH8GTFRCSWKMPXRRRFI","GSON1112060160")</f>
        <v>#NAME?</v>
      </c>
      <c r="G742" s="23" t="e">
        <f ca="1">[1]!BexGetData("DP_1","003N8EMH8GTFRCSWKMPXRRXR2","GSON1112060160")</f>
        <v>#NAME?</v>
      </c>
      <c r="H742" s="23" t="e">
        <f ca="1">[1]!BexGetData("DP_1","003N8EMH8GTFRCSWKMPXRS42M","GSON1112060160")</f>
        <v>#NAME?</v>
      </c>
      <c r="I742" s="23" t="e">
        <f ca="1">[1]!BexGetData("DP_1","003N8EMH8GTFRCSWKMPXRSAE6","GSON1112060160")</f>
        <v>#NAME?</v>
      </c>
      <c r="J742" s="23" t="e">
        <f ca="1">[1]!BexGetData("DP_1","003N8EMH8GTFRCSWKMPXRSGPQ","GSON1112060160")</f>
        <v>#NAME?</v>
      </c>
      <c r="K742" s="23" t="e">
        <f ca="1">[1]!BexGetData("DP_1","003N8EMH8GTFRIVNUPY288VJH","GSON1112060160")</f>
        <v>#NAME?</v>
      </c>
      <c r="L742" s="23" t="e">
        <f ca="1">[1]!BexGetData("DP_1","003N8EMH8GTFRIVNUPY2891V1","GSON1112060160")</f>
        <v>#NAME?</v>
      </c>
      <c r="M742" s="23" t="e">
        <f ca="1">[1]!BexGetData("DP_1","003N8EMH8GTFRIVOG7KG9IQXA","GSON1112060160")</f>
        <v>#NAME?</v>
      </c>
      <c r="N742" s="28" t="e">
        <f ca="1">[1]!BexGetData("DP_1","003N8EMH8GTFRIVOG7KG9IX8U","GSON1112060160")</f>
        <v>#NAME?</v>
      </c>
      <c r="O742" s="23" t="e">
        <f ca="1">[1]!BexGetData("DP_1","003N8EMH8GTFRIVOG7KG9J3KE","GSON1112060160")</f>
        <v>#NAME?</v>
      </c>
      <c r="P742" s="28" t="e">
        <f ca="1">[1]!BexGetData("DP_1","003N8EMH8GTFRIVOG7KG9J9VY","GSON1112060160")</f>
        <v>#NAME?</v>
      </c>
      <c r="Q742" s="23" t="e">
        <f ca="1">[1]!BexGetData("DP_1","00O2TNJGODT0G5Z4TTKYMM5MT","GSON1112060160")</f>
        <v>#NAME?</v>
      </c>
      <c r="R742" s="23" t="e">
        <f ca="1">[1]!BexGetData("DP_1","00O2TNJGODT0G5Z4TTKYMMBYD","GSON1112060160")</f>
        <v>#NAME?</v>
      </c>
      <c r="S742" s="23" t="e">
        <f ca="1">[1]!BexGetData("DP_1","00O2TNJGODT0G5Z4TTKYMMI9X","GSON1112060160")</f>
        <v>#NAME?</v>
      </c>
      <c r="T742" s="28" t="e">
        <f ca="1">[1]!BexGetData("DP_1","00O2TNJGODT0G5Z4TTKYMMOLH","GSON1112060160")</f>
        <v>#NAME?</v>
      </c>
      <c r="U742" s="23" t="e">
        <f ca="1">[1]!BexGetData("DP_1","00O2TNJGODT0G5Z4TTKYMMUX1","GSON1112060160")</f>
        <v>#NAME?</v>
      </c>
      <c r="V742" s="28" t="e">
        <f ca="1">[1]!BexGetData("DP_1","00O2TNJGODT0G5Z4TTKYMN18L","GSON1112060160")</f>
        <v>#NAME?</v>
      </c>
      <c r="W742" s="23" t="e">
        <f ca="1">[1]!BexGetData("DP_1","00O2TNJGODT0G5Z4TTKYMN7K5","GSON1112060160")</f>
        <v>#NAME?</v>
      </c>
    </row>
    <row r="743" spans="1:23" x14ac:dyDescent="0.2">
      <c r="A743" s="36" t="s">
        <v>2892</v>
      </c>
      <c r="B743" s="27" t="s">
        <v>2893</v>
      </c>
      <c r="C743" s="28" t="e">
        <f ca="1">[1]!BexGetData("DP_1","003N8EMH8GTFRCSWKMPXRR8GU","GSON1112060161")</f>
        <v>#NAME?</v>
      </c>
      <c r="D743" s="28" t="e">
        <f ca="1">[1]!BexGetData("DP_1","003N8EMH8GTFRCSWKMPXRRESE","GSON1112060161")</f>
        <v>#NAME?</v>
      </c>
      <c r="E743" s="28" t="e">
        <f ca="1">[1]!BexGetData("DP_1","003N8EMH8GTFRCSWKMPXRRL3Y","GSON1112060161")</f>
        <v>#NAME?</v>
      </c>
      <c r="F743" s="28" t="e">
        <f ca="1">[1]!BexGetData("DP_1","003N8EMH8GTFRCSWKMPXRRRFI","GSON1112060161")</f>
        <v>#NAME?</v>
      </c>
      <c r="G743" s="23" t="e">
        <f ca="1">[1]!BexGetData("DP_1","003N8EMH8GTFRCSWKMPXRRXR2","GSON1112060161")</f>
        <v>#NAME?</v>
      </c>
      <c r="H743" s="23" t="e">
        <f ca="1">[1]!BexGetData("DP_1","003N8EMH8GTFRCSWKMPXRS42M","GSON1112060161")</f>
        <v>#NAME?</v>
      </c>
      <c r="I743" s="28" t="e">
        <f ca="1">[1]!BexGetData("DP_1","003N8EMH8GTFRCSWKMPXRSAE6","GSON1112060161")</f>
        <v>#NAME?</v>
      </c>
      <c r="J743" s="24" t="e">
        <f ca="1">[1]!BexGetData("DP_1","003N8EMH8GTFRCSWKMPXRSGPQ","GSON1112060161")</f>
        <v>#NAME?</v>
      </c>
      <c r="K743" s="28" t="e">
        <f ca="1">[1]!BexGetData("DP_1","003N8EMH8GTFRIVNUPY288VJH","GSON1112060161")</f>
        <v>#NAME?</v>
      </c>
      <c r="L743" s="28" t="e">
        <f ca="1">[1]!BexGetData("DP_1","003N8EMH8GTFRIVNUPY2891V1","GSON1112060161")</f>
        <v>#NAME?</v>
      </c>
      <c r="M743" s="28" t="e">
        <f ca="1">[1]!BexGetData("DP_1","003N8EMH8GTFRIVOG7KG9IQXA","GSON1112060161")</f>
        <v>#NAME?</v>
      </c>
      <c r="N743" s="28" t="e">
        <f ca="1">[1]!BexGetData("DP_1","003N8EMH8GTFRIVOG7KG9IX8U","GSON1112060161")</f>
        <v>#NAME?</v>
      </c>
      <c r="O743" s="28" t="e">
        <f ca="1">[1]!BexGetData("DP_1","003N8EMH8GTFRIVOG7KG9J3KE","GSON1112060161")</f>
        <v>#NAME?</v>
      </c>
      <c r="P743" s="28" t="e">
        <f ca="1">[1]!BexGetData("DP_1","003N8EMH8GTFRIVOG7KG9J9VY","GSON1112060161")</f>
        <v>#NAME?</v>
      </c>
      <c r="Q743" s="24" t="e">
        <f ca="1">[1]!BexGetData("DP_1","00O2TNJGODT0G5Z4TTKYMM5MT","GSON1112060161")</f>
        <v>#NAME?</v>
      </c>
      <c r="R743" s="28" t="e">
        <f ca="1">[1]!BexGetData("DP_1","00O2TNJGODT0G5Z4TTKYMMBYD","GSON1112060161")</f>
        <v>#NAME?</v>
      </c>
      <c r="S743" s="28" t="e">
        <f ca="1">[1]!BexGetData("DP_1","00O2TNJGODT0G5Z4TTKYMMI9X","GSON1112060161")</f>
        <v>#NAME?</v>
      </c>
      <c r="T743" s="28" t="e">
        <f ca="1">[1]!BexGetData("DP_1","00O2TNJGODT0G5Z4TTKYMMOLH","GSON1112060161")</f>
        <v>#NAME?</v>
      </c>
      <c r="U743" s="28" t="e">
        <f ca="1">[1]!BexGetData("DP_1","00O2TNJGODT0G5Z4TTKYMMUX1","GSON1112060161")</f>
        <v>#NAME?</v>
      </c>
      <c r="V743" s="28" t="e">
        <f ca="1">[1]!BexGetData("DP_1","00O2TNJGODT0G5Z4TTKYMN18L","GSON1112060161")</f>
        <v>#NAME?</v>
      </c>
      <c r="W743" s="28" t="e">
        <f ca="1">[1]!BexGetData("DP_1","00O2TNJGODT0G5Z4TTKYMN7K5","GSON1112060161")</f>
        <v>#NAME?</v>
      </c>
    </row>
    <row r="744" spans="1:23" x14ac:dyDescent="0.2">
      <c r="A744" s="36" t="s">
        <v>2894</v>
      </c>
      <c r="B744" s="27" t="s">
        <v>2895</v>
      </c>
      <c r="C744" s="23" t="e">
        <f ca="1">[1]!BexGetData("DP_1","003N8EMH8GTFRCSWKMPXRR8GU","GSON1112060164")</f>
        <v>#NAME?</v>
      </c>
      <c r="D744" s="23" t="e">
        <f ca="1">[1]!BexGetData("DP_1","003N8EMH8GTFRCSWKMPXRRESE","GSON1112060164")</f>
        <v>#NAME?</v>
      </c>
      <c r="E744" s="28" t="e">
        <f ca="1">[1]!BexGetData("DP_1","003N8EMH8GTFRCSWKMPXRRL3Y","GSON1112060164")</f>
        <v>#NAME?</v>
      </c>
      <c r="F744" s="28" t="e">
        <f ca="1">[1]!BexGetData("DP_1","003N8EMH8GTFRCSWKMPXRRRFI","GSON1112060164")</f>
        <v>#NAME?</v>
      </c>
      <c r="G744" s="23" t="e">
        <f ca="1">[1]!BexGetData("DP_1","003N8EMH8GTFRCSWKMPXRRXR2","GSON1112060164")</f>
        <v>#NAME?</v>
      </c>
      <c r="H744" s="23" t="e">
        <f ca="1">[1]!BexGetData("DP_1","003N8EMH8GTFRCSWKMPXRS42M","GSON1112060164")</f>
        <v>#NAME?</v>
      </c>
      <c r="I744" s="28" t="e">
        <f ca="1">[1]!BexGetData("DP_1","003N8EMH8GTFRCSWKMPXRSAE6","GSON1112060164")</f>
        <v>#NAME?</v>
      </c>
      <c r="J744" s="24" t="e">
        <f ca="1">[1]!BexGetData("DP_1","003N8EMH8GTFRCSWKMPXRSGPQ","GSON1112060164")</f>
        <v>#NAME?</v>
      </c>
      <c r="K744" s="28" t="e">
        <f ca="1">[1]!BexGetData("DP_1","003N8EMH8GTFRIVNUPY288VJH","GSON1112060164")</f>
        <v>#NAME?</v>
      </c>
      <c r="L744" s="28" t="e">
        <f ca="1">[1]!BexGetData("DP_1","003N8EMH8GTFRIVNUPY2891V1","GSON1112060164")</f>
        <v>#NAME?</v>
      </c>
      <c r="M744" s="28" t="e">
        <f ca="1">[1]!BexGetData("DP_1","003N8EMH8GTFRIVOG7KG9IQXA","GSON1112060164")</f>
        <v>#NAME?</v>
      </c>
      <c r="N744" s="28" t="e">
        <f ca="1">[1]!BexGetData("DP_1","003N8EMH8GTFRIVOG7KG9IX8U","GSON1112060164")</f>
        <v>#NAME?</v>
      </c>
      <c r="O744" s="28" t="e">
        <f ca="1">[1]!BexGetData("DP_1","003N8EMH8GTFRIVOG7KG9J3KE","GSON1112060164")</f>
        <v>#NAME?</v>
      </c>
      <c r="P744" s="28" t="e">
        <f ca="1">[1]!BexGetData("DP_1","003N8EMH8GTFRIVOG7KG9J9VY","GSON1112060164")</f>
        <v>#NAME?</v>
      </c>
      <c r="Q744" s="24" t="e">
        <f ca="1">[1]!BexGetData("DP_1","00O2TNJGODT0G5Z4TTKYMM5MT","GSON1112060164")</f>
        <v>#NAME?</v>
      </c>
      <c r="R744" s="28" t="e">
        <f ca="1">[1]!BexGetData("DP_1","00O2TNJGODT0G5Z4TTKYMMBYD","GSON1112060164")</f>
        <v>#NAME?</v>
      </c>
      <c r="S744" s="28" t="e">
        <f ca="1">[1]!BexGetData("DP_1","00O2TNJGODT0G5Z4TTKYMMI9X","GSON1112060164")</f>
        <v>#NAME?</v>
      </c>
      <c r="T744" s="28" t="e">
        <f ca="1">[1]!BexGetData("DP_1","00O2TNJGODT0G5Z4TTKYMMOLH","GSON1112060164")</f>
        <v>#NAME?</v>
      </c>
      <c r="U744" s="28" t="e">
        <f ca="1">[1]!BexGetData("DP_1","00O2TNJGODT0G5Z4TTKYMMUX1","GSON1112060164")</f>
        <v>#NAME?</v>
      </c>
      <c r="V744" s="28" t="e">
        <f ca="1">[1]!BexGetData("DP_1","00O2TNJGODT0G5Z4TTKYMN18L","GSON1112060164")</f>
        <v>#NAME?</v>
      </c>
      <c r="W744" s="28" t="e">
        <f ca="1">[1]!BexGetData("DP_1","00O2TNJGODT0G5Z4TTKYMN7K5","GSON1112060164")</f>
        <v>#NAME?</v>
      </c>
    </row>
    <row r="745" spans="1:23" x14ac:dyDescent="0.2">
      <c r="A745" s="36" t="s">
        <v>2896</v>
      </c>
      <c r="B745" s="27" t="s">
        <v>2897</v>
      </c>
      <c r="C745" s="23" t="e">
        <f ca="1">[1]!BexGetData("DP_1","003N8EMH8GTFRCSWKMPXRR8GU","GSON1112060165")</f>
        <v>#NAME?</v>
      </c>
      <c r="D745" s="23" t="e">
        <f ca="1">[1]!BexGetData("DP_1","003N8EMH8GTFRCSWKMPXRRESE","GSON1112060165")</f>
        <v>#NAME?</v>
      </c>
      <c r="E745" s="28" t="e">
        <f ca="1">[1]!BexGetData("DP_1","003N8EMH8GTFRCSWKMPXRRL3Y","GSON1112060165")</f>
        <v>#NAME?</v>
      </c>
      <c r="F745" s="28" t="e">
        <f ca="1">[1]!BexGetData("DP_1","003N8EMH8GTFRCSWKMPXRRRFI","GSON1112060165")</f>
        <v>#NAME?</v>
      </c>
      <c r="G745" s="23" t="e">
        <f ca="1">[1]!BexGetData("DP_1","003N8EMH8GTFRCSWKMPXRRXR2","GSON1112060165")</f>
        <v>#NAME?</v>
      </c>
      <c r="H745" s="23" t="e">
        <f ca="1">[1]!BexGetData("DP_1","003N8EMH8GTFRCSWKMPXRS42M","GSON1112060165")</f>
        <v>#NAME?</v>
      </c>
      <c r="I745" s="28" t="e">
        <f ca="1">[1]!BexGetData("DP_1","003N8EMH8GTFRCSWKMPXRSAE6","GSON1112060165")</f>
        <v>#NAME?</v>
      </c>
      <c r="J745" s="24" t="e">
        <f ca="1">[1]!BexGetData("DP_1","003N8EMH8GTFRCSWKMPXRSGPQ","GSON1112060165")</f>
        <v>#NAME?</v>
      </c>
      <c r="K745" s="28" t="e">
        <f ca="1">[1]!BexGetData("DP_1","003N8EMH8GTFRIVNUPY288VJH","GSON1112060165")</f>
        <v>#NAME?</v>
      </c>
      <c r="L745" s="28" t="e">
        <f ca="1">[1]!BexGetData("DP_1","003N8EMH8GTFRIVNUPY2891V1","GSON1112060165")</f>
        <v>#NAME?</v>
      </c>
      <c r="M745" s="28" t="e">
        <f ca="1">[1]!BexGetData("DP_1","003N8EMH8GTFRIVOG7KG9IQXA","GSON1112060165")</f>
        <v>#NAME?</v>
      </c>
      <c r="N745" s="28" t="e">
        <f ca="1">[1]!BexGetData("DP_1","003N8EMH8GTFRIVOG7KG9IX8U","GSON1112060165")</f>
        <v>#NAME?</v>
      </c>
      <c r="O745" s="28" t="e">
        <f ca="1">[1]!BexGetData("DP_1","003N8EMH8GTFRIVOG7KG9J3KE","GSON1112060165")</f>
        <v>#NAME?</v>
      </c>
      <c r="P745" s="28" t="e">
        <f ca="1">[1]!BexGetData("DP_1","003N8EMH8GTFRIVOG7KG9J9VY","GSON1112060165")</f>
        <v>#NAME?</v>
      </c>
      <c r="Q745" s="24" t="e">
        <f ca="1">[1]!BexGetData("DP_1","00O2TNJGODT0G5Z4TTKYMM5MT","GSON1112060165")</f>
        <v>#NAME?</v>
      </c>
      <c r="R745" s="28" t="e">
        <f ca="1">[1]!BexGetData("DP_1","00O2TNJGODT0G5Z4TTKYMMBYD","GSON1112060165")</f>
        <v>#NAME?</v>
      </c>
      <c r="S745" s="28" t="e">
        <f ca="1">[1]!BexGetData("DP_1","00O2TNJGODT0G5Z4TTKYMMI9X","GSON1112060165")</f>
        <v>#NAME?</v>
      </c>
      <c r="T745" s="28" t="e">
        <f ca="1">[1]!BexGetData("DP_1","00O2TNJGODT0G5Z4TTKYMMOLH","GSON1112060165")</f>
        <v>#NAME?</v>
      </c>
      <c r="U745" s="28" t="e">
        <f ca="1">[1]!BexGetData("DP_1","00O2TNJGODT0G5Z4TTKYMMUX1","GSON1112060165")</f>
        <v>#NAME?</v>
      </c>
      <c r="V745" s="28" t="e">
        <f ca="1">[1]!BexGetData("DP_1","00O2TNJGODT0G5Z4TTKYMN18L","GSON1112060165")</f>
        <v>#NAME?</v>
      </c>
      <c r="W745" s="28" t="e">
        <f ca="1">[1]!BexGetData("DP_1","00O2TNJGODT0G5Z4TTKYMN7K5","GSON1112060165")</f>
        <v>#NAME?</v>
      </c>
    </row>
    <row r="746" spans="1:23" x14ac:dyDescent="0.2">
      <c r="A746" s="36" t="s">
        <v>955</v>
      </c>
      <c r="B746" s="27" t="s">
        <v>956</v>
      </c>
      <c r="C746" s="23" t="e">
        <f ca="1">[1]!BexGetData("DP_1","003N8EMH8GTFRCSWKMPXRR8GU","GSON1112060170")</f>
        <v>#NAME?</v>
      </c>
      <c r="D746" s="23" t="e">
        <f ca="1">[1]!BexGetData("DP_1","003N8EMH8GTFRCSWKMPXRRESE","GSON1112060170")</f>
        <v>#NAME?</v>
      </c>
      <c r="E746" s="23" t="e">
        <f ca="1">[1]!BexGetData("DP_1","003N8EMH8GTFRCSWKMPXRRL3Y","GSON1112060170")</f>
        <v>#NAME?</v>
      </c>
      <c r="F746" s="23" t="e">
        <f ca="1">[1]!BexGetData("DP_1","003N8EMH8GTFRCSWKMPXRRRFI","GSON1112060170")</f>
        <v>#NAME?</v>
      </c>
      <c r="G746" s="23" t="e">
        <f ca="1">[1]!BexGetData("DP_1","003N8EMH8GTFRCSWKMPXRRXR2","GSON1112060170")</f>
        <v>#NAME?</v>
      </c>
      <c r="H746" s="23" t="e">
        <f ca="1">[1]!BexGetData("DP_1","003N8EMH8GTFRCSWKMPXRS42M","GSON1112060170")</f>
        <v>#NAME?</v>
      </c>
      <c r="I746" s="23" t="e">
        <f ca="1">[1]!BexGetData("DP_1","003N8EMH8GTFRCSWKMPXRSAE6","GSON1112060170")</f>
        <v>#NAME?</v>
      </c>
      <c r="J746" s="23" t="e">
        <f ca="1">[1]!BexGetData("DP_1","003N8EMH8GTFRCSWKMPXRSGPQ","GSON1112060170")</f>
        <v>#NAME?</v>
      </c>
      <c r="K746" s="23" t="e">
        <f ca="1">[1]!BexGetData("DP_1","003N8EMH8GTFRIVNUPY288VJH","GSON1112060170")</f>
        <v>#NAME?</v>
      </c>
      <c r="L746" s="23" t="e">
        <f ca="1">[1]!BexGetData("DP_1","003N8EMH8GTFRIVNUPY2891V1","GSON1112060170")</f>
        <v>#NAME?</v>
      </c>
      <c r="M746" s="28" t="e">
        <f ca="1">[1]!BexGetData("DP_1","003N8EMH8GTFRIVOG7KG9IQXA","GSON1112060170")</f>
        <v>#NAME?</v>
      </c>
      <c r="N746" s="23" t="e">
        <f ca="1">[1]!BexGetData("DP_1","003N8EMH8GTFRIVOG7KG9IX8U","GSON1112060170")</f>
        <v>#NAME?</v>
      </c>
      <c r="O746" s="28" t="e">
        <f ca="1">[1]!BexGetData("DP_1","003N8EMH8GTFRIVOG7KG9J3KE","GSON1112060170")</f>
        <v>#NAME?</v>
      </c>
      <c r="P746" s="23" t="e">
        <f ca="1">[1]!BexGetData("DP_1","003N8EMH8GTFRIVOG7KG9J9VY","GSON1112060170")</f>
        <v>#NAME?</v>
      </c>
      <c r="Q746" s="23" t="e">
        <f ca="1">[1]!BexGetData("DP_1","00O2TNJGODT0G5Z4TTKYMM5MT","GSON1112060170")</f>
        <v>#NAME?</v>
      </c>
      <c r="R746" s="23" t="e">
        <f ca="1">[1]!BexGetData("DP_1","00O2TNJGODT0G5Z4TTKYMMBYD","GSON1112060170")</f>
        <v>#NAME?</v>
      </c>
      <c r="S746" s="23" t="e">
        <f ca="1">[1]!BexGetData("DP_1","00O2TNJGODT0G5Z4TTKYMMI9X","GSON1112060170")</f>
        <v>#NAME?</v>
      </c>
      <c r="T746" s="28" t="e">
        <f ca="1">[1]!BexGetData("DP_1","00O2TNJGODT0G5Z4TTKYMMOLH","GSON1112060170")</f>
        <v>#NAME?</v>
      </c>
      <c r="U746" s="23" t="e">
        <f ca="1">[1]!BexGetData("DP_1","00O2TNJGODT0G5Z4TTKYMMUX1","GSON1112060170")</f>
        <v>#NAME?</v>
      </c>
      <c r="V746" s="28" t="e">
        <f ca="1">[1]!BexGetData("DP_1","00O2TNJGODT0G5Z4TTKYMN18L","GSON1112060170")</f>
        <v>#NAME?</v>
      </c>
      <c r="W746" s="23" t="e">
        <f ca="1">[1]!BexGetData("DP_1","00O2TNJGODT0G5Z4TTKYMN7K5","GSON1112060170")</f>
        <v>#NAME?</v>
      </c>
    </row>
    <row r="747" spans="1:23" x14ac:dyDescent="0.2">
      <c r="A747" s="36" t="s">
        <v>957</v>
      </c>
      <c r="B747" s="27" t="s">
        <v>958</v>
      </c>
      <c r="C747" s="23" t="e">
        <f ca="1">[1]!BexGetData("DP_1","003N8EMH8GTFRCSWKMPXRR8GU","GSON1112060171")</f>
        <v>#NAME?</v>
      </c>
      <c r="D747" s="23" t="e">
        <f ca="1">[1]!BexGetData("DP_1","003N8EMH8GTFRCSWKMPXRRESE","GSON1112060171")</f>
        <v>#NAME?</v>
      </c>
      <c r="E747" s="28" t="e">
        <f ca="1">[1]!BexGetData("DP_1","003N8EMH8GTFRCSWKMPXRRL3Y","GSON1112060171")</f>
        <v>#NAME?</v>
      </c>
      <c r="F747" s="28" t="e">
        <f ca="1">[1]!BexGetData("DP_1","003N8EMH8GTFRCSWKMPXRRRFI","GSON1112060171")</f>
        <v>#NAME?</v>
      </c>
      <c r="G747" s="23" t="e">
        <f ca="1">[1]!BexGetData("DP_1","003N8EMH8GTFRCSWKMPXRRXR2","GSON1112060171")</f>
        <v>#NAME?</v>
      </c>
      <c r="H747" s="23" t="e">
        <f ca="1">[1]!BexGetData("DP_1","003N8EMH8GTFRCSWKMPXRS42M","GSON1112060171")</f>
        <v>#NAME?</v>
      </c>
      <c r="I747" s="28" t="e">
        <f ca="1">[1]!BexGetData("DP_1","003N8EMH8GTFRCSWKMPXRSAE6","GSON1112060171")</f>
        <v>#NAME?</v>
      </c>
      <c r="J747" s="24" t="e">
        <f ca="1">[1]!BexGetData("DP_1","003N8EMH8GTFRCSWKMPXRSGPQ","GSON1112060171")</f>
        <v>#NAME?</v>
      </c>
      <c r="K747" s="28" t="e">
        <f ca="1">[1]!BexGetData("DP_1","003N8EMH8GTFRIVNUPY288VJH","GSON1112060171")</f>
        <v>#NAME?</v>
      </c>
      <c r="L747" s="28" t="e">
        <f ca="1">[1]!BexGetData("DP_1","003N8EMH8GTFRIVNUPY2891V1","GSON1112060171")</f>
        <v>#NAME?</v>
      </c>
      <c r="M747" s="28" t="e">
        <f ca="1">[1]!BexGetData("DP_1","003N8EMH8GTFRIVOG7KG9IQXA","GSON1112060171")</f>
        <v>#NAME?</v>
      </c>
      <c r="N747" s="28" t="e">
        <f ca="1">[1]!BexGetData("DP_1","003N8EMH8GTFRIVOG7KG9IX8U","GSON1112060171")</f>
        <v>#NAME?</v>
      </c>
      <c r="O747" s="28" t="e">
        <f ca="1">[1]!BexGetData("DP_1","003N8EMH8GTFRIVOG7KG9J3KE","GSON1112060171")</f>
        <v>#NAME?</v>
      </c>
      <c r="P747" s="28" t="e">
        <f ca="1">[1]!BexGetData("DP_1","003N8EMH8GTFRIVOG7KG9J9VY","GSON1112060171")</f>
        <v>#NAME?</v>
      </c>
      <c r="Q747" s="24" t="e">
        <f ca="1">[1]!BexGetData("DP_1","00O2TNJGODT0G5Z4TTKYMM5MT","GSON1112060171")</f>
        <v>#NAME?</v>
      </c>
      <c r="R747" s="28" t="e">
        <f ca="1">[1]!BexGetData("DP_1","00O2TNJGODT0G5Z4TTKYMMBYD","GSON1112060171")</f>
        <v>#NAME?</v>
      </c>
      <c r="S747" s="28" t="e">
        <f ca="1">[1]!BexGetData("DP_1","00O2TNJGODT0G5Z4TTKYMMI9X","GSON1112060171")</f>
        <v>#NAME?</v>
      </c>
      <c r="T747" s="28" t="e">
        <f ca="1">[1]!BexGetData("DP_1","00O2TNJGODT0G5Z4TTKYMMOLH","GSON1112060171")</f>
        <v>#NAME?</v>
      </c>
      <c r="U747" s="28" t="e">
        <f ca="1">[1]!BexGetData("DP_1","00O2TNJGODT0G5Z4TTKYMMUX1","GSON1112060171")</f>
        <v>#NAME?</v>
      </c>
      <c r="V747" s="28" t="e">
        <f ca="1">[1]!BexGetData("DP_1","00O2TNJGODT0G5Z4TTKYMN18L","GSON1112060171")</f>
        <v>#NAME?</v>
      </c>
      <c r="W747" s="28" t="e">
        <f ca="1">[1]!BexGetData("DP_1","00O2TNJGODT0G5Z4TTKYMN7K5","GSON1112060171")</f>
        <v>#NAME?</v>
      </c>
    </row>
    <row r="748" spans="1:23" x14ac:dyDescent="0.2">
      <c r="A748" s="36" t="s">
        <v>959</v>
      </c>
      <c r="B748" s="27" t="s">
        <v>960</v>
      </c>
      <c r="C748" s="23" t="e">
        <f ca="1">[1]!BexGetData("DP_1","003N8EMH8GTFRCSWKMPXRR8GU","GSON1112060173")</f>
        <v>#NAME?</v>
      </c>
      <c r="D748" s="23" t="e">
        <f ca="1">[1]!BexGetData("DP_1","003N8EMH8GTFRCSWKMPXRRESE","GSON1112060173")</f>
        <v>#NAME?</v>
      </c>
      <c r="E748" s="23" t="e">
        <f ca="1">[1]!BexGetData("DP_1","003N8EMH8GTFRCSWKMPXRRL3Y","GSON1112060173")</f>
        <v>#NAME?</v>
      </c>
      <c r="F748" s="28" t="e">
        <f ca="1">[1]!BexGetData("DP_1","003N8EMH8GTFRCSWKMPXRRRFI","GSON1112060173")</f>
        <v>#NAME?</v>
      </c>
      <c r="G748" s="23" t="e">
        <f ca="1">[1]!BexGetData("DP_1","003N8EMH8GTFRCSWKMPXRRXR2","GSON1112060173")</f>
        <v>#NAME?</v>
      </c>
      <c r="H748" s="23" t="e">
        <f ca="1">[1]!BexGetData("DP_1","003N8EMH8GTFRCSWKMPXRS42M","GSON1112060173")</f>
        <v>#NAME?</v>
      </c>
      <c r="I748" s="28" t="e">
        <f ca="1">[1]!BexGetData("DP_1","003N8EMH8GTFRCSWKMPXRSAE6","GSON1112060173")</f>
        <v>#NAME?</v>
      </c>
      <c r="J748" s="24" t="e">
        <f ca="1">[1]!BexGetData("DP_1","003N8EMH8GTFRCSWKMPXRSGPQ","GSON1112060173")</f>
        <v>#NAME?</v>
      </c>
      <c r="K748" s="23" t="e">
        <f ca="1">[1]!BexGetData("DP_1","003N8EMH8GTFRIVNUPY288VJH","GSON1112060173")</f>
        <v>#NAME?</v>
      </c>
      <c r="L748" s="23" t="e">
        <f ca="1">[1]!BexGetData("DP_1","003N8EMH8GTFRIVNUPY2891V1","GSON1112060173")</f>
        <v>#NAME?</v>
      </c>
      <c r="M748" s="23" t="e">
        <f ca="1">[1]!BexGetData("DP_1","003N8EMH8GTFRIVOG7KG9IQXA","GSON1112060173")</f>
        <v>#NAME?</v>
      </c>
      <c r="N748" s="28" t="e">
        <f ca="1">[1]!BexGetData("DP_1","003N8EMH8GTFRIVOG7KG9IX8U","GSON1112060173")</f>
        <v>#NAME?</v>
      </c>
      <c r="O748" s="23" t="e">
        <f ca="1">[1]!BexGetData("DP_1","003N8EMH8GTFRIVOG7KG9J3KE","GSON1112060173")</f>
        <v>#NAME?</v>
      </c>
      <c r="P748" s="28" t="e">
        <f ca="1">[1]!BexGetData("DP_1","003N8EMH8GTFRIVOG7KG9J9VY","GSON1112060173")</f>
        <v>#NAME?</v>
      </c>
      <c r="Q748" s="24" t="e">
        <f ca="1">[1]!BexGetData("DP_1","00O2TNJGODT0G5Z4TTKYMM5MT","GSON1112060173")</f>
        <v>#NAME?</v>
      </c>
      <c r="R748" s="28" t="e">
        <f ca="1">[1]!BexGetData("DP_1","00O2TNJGODT0G5Z4TTKYMMBYD","GSON1112060173")</f>
        <v>#NAME?</v>
      </c>
      <c r="S748" s="28" t="e">
        <f ca="1">[1]!BexGetData("DP_1","00O2TNJGODT0G5Z4TTKYMMI9X","GSON1112060173")</f>
        <v>#NAME?</v>
      </c>
      <c r="T748" s="28" t="e">
        <f ca="1">[1]!BexGetData("DP_1","00O2TNJGODT0G5Z4TTKYMMOLH","GSON1112060173")</f>
        <v>#NAME?</v>
      </c>
      <c r="U748" s="28" t="e">
        <f ca="1">[1]!BexGetData("DP_1","00O2TNJGODT0G5Z4TTKYMMUX1","GSON1112060173")</f>
        <v>#NAME?</v>
      </c>
      <c r="V748" s="28" t="e">
        <f ca="1">[1]!BexGetData("DP_1","00O2TNJGODT0G5Z4TTKYMN18L","GSON1112060173")</f>
        <v>#NAME?</v>
      </c>
      <c r="W748" s="28" t="e">
        <f ca="1">[1]!BexGetData("DP_1","00O2TNJGODT0G5Z4TTKYMN7K5","GSON1112060173")</f>
        <v>#NAME?</v>
      </c>
    </row>
    <row r="749" spans="1:23" x14ac:dyDescent="0.2">
      <c r="A749" s="36" t="s">
        <v>2898</v>
      </c>
      <c r="B749" s="27" t="s">
        <v>961</v>
      </c>
      <c r="C749" s="23" t="e">
        <f ca="1">[1]!BexGetData("DP_1","003N8EMH8GTFRCSWKMPXRR8GU","GSON1112060174")</f>
        <v>#NAME?</v>
      </c>
      <c r="D749" s="23" t="e">
        <f ca="1">[1]!BexGetData("DP_1","003N8EMH8GTFRCSWKMPXRRESE","GSON1112060174")</f>
        <v>#NAME?</v>
      </c>
      <c r="E749" s="28" t="e">
        <f ca="1">[1]!BexGetData("DP_1","003N8EMH8GTFRCSWKMPXRRL3Y","GSON1112060174")</f>
        <v>#NAME?</v>
      </c>
      <c r="F749" s="28" t="e">
        <f ca="1">[1]!BexGetData("DP_1","003N8EMH8GTFRCSWKMPXRRRFI","GSON1112060174")</f>
        <v>#NAME?</v>
      </c>
      <c r="G749" s="23" t="e">
        <f ca="1">[1]!BexGetData("DP_1","003N8EMH8GTFRCSWKMPXRRXR2","GSON1112060174")</f>
        <v>#NAME?</v>
      </c>
      <c r="H749" s="23" t="e">
        <f ca="1">[1]!BexGetData("DP_1","003N8EMH8GTFRCSWKMPXRS42M","GSON1112060174")</f>
        <v>#NAME?</v>
      </c>
      <c r="I749" s="28" t="e">
        <f ca="1">[1]!BexGetData("DP_1","003N8EMH8GTFRCSWKMPXRSAE6","GSON1112060174")</f>
        <v>#NAME?</v>
      </c>
      <c r="J749" s="24" t="e">
        <f ca="1">[1]!BexGetData("DP_1","003N8EMH8GTFRCSWKMPXRSGPQ","GSON1112060174")</f>
        <v>#NAME?</v>
      </c>
      <c r="K749" s="28" t="e">
        <f ca="1">[1]!BexGetData("DP_1","003N8EMH8GTFRIVNUPY288VJH","GSON1112060174")</f>
        <v>#NAME?</v>
      </c>
      <c r="L749" s="28" t="e">
        <f ca="1">[1]!BexGetData("DP_1","003N8EMH8GTFRIVNUPY2891V1","GSON1112060174")</f>
        <v>#NAME?</v>
      </c>
      <c r="M749" s="28" t="e">
        <f ca="1">[1]!BexGetData("DP_1","003N8EMH8GTFRIVOG7KG9IQXA","GSON1112060174")</f>
        <v>#NAME?</v>
      </c>
      <c r="N749" s="28" t="e">
        <f ca="1">[1]!BexGetData("DP_1","003N8EMH8GTFRIVOG7KG9IX8U","GSON1112060174")</f>
        <v>#NAME?</v>
      </c>
      <c r="O749" s="28" t="e">
        <f ca="1">[1]!BexGetData("DP_1","003N8EMH8GTFRIVOG7KG9J3KE","GSON1112060174")</f>
        <v>#NAME?</v>
      </c>
      <c r="P749" s="28" t="e">
        <f ca="1">[1]!BexGetData("DP_1","003N8EMH8GTFRIVOG7KG9J9VY","GSON1112060174")</f>
        <v>#NAME?</v>
      </c>
      <c r="Q749" s="24" t="e">
        <f ca="1">[1]!BexGetData("DP_1","00O2TNJGODT0G5Z4TTKYMM5MT","GSON1112060174")</f>
        <v>#NAME?</v>
      </c>
      <c r="R749" s="28" t="e">
        <f ca="1">[1]!BexGetData("DP_1","00O2TNJGODT0G5Z4TTKYMMBYD","GSON1112060174")</f>
        <v>#NAME?</v>
      </c>
      <c r="S749" s="28" t="e">
        <f ca="1">[1]!BexGetData("DP_1","00O2TNJGODT0G5Z4TTKYMMI9X","GSON1112060174")</f>
        <v>#NAME?</v>
      </c>
      <c r="T749" s="28" t="e">
        <f ca="1">[1]!BexGetData("DP_1","00O2TNJGODT0G5Z4TTKYMMOLH","GSON1112060174")</f>
        <v>#NAME?</v>
      </c>
      <c r="U749" s="28" t="e">
        <f ca="1">[1]!BexGetData("DP_1","00O2TNJGODT0G5Z4TTKYMMUX1","GSON1112060174")</f>
        <v>#NAME?</v>
      </c>
      <c r="V749" s="28" t="e">
        <f ca="1">[1]!BexGetData("DP_1","00O2TNJGODT0G5Z4TTKYMN18L","GSON1112060174")</f>
        <v>#NAME?</v>
      </c>
      <c r="W749" s="28" t="e">
        <f ca="1">[1]!BexGetData("DP_1","00O2TNJGODT0G5Z4TTKYMN7K5","GSON1112060174")</f>
        <v>#NAME?</v>
      </c>
    </row>
    <row r="750" spans="1:23" x14ac:dyDescent="0.2">
      <c r="A750" s="36" t="s">
        <v>962</v>
      </c>
      <c r="B750" s="27" t="s">
        <v>963</v>
      </c>
      <c r="C750" s="23" t="e">
        <f ca="1">[1]!BexGetData("DP_1","003N8EMH8GTFRCSWKMPXRR8GU","GSON1112060175")</f>
        <v>#NAME?</v>
      </c>
      <c r="D750" s="23" t="e">
        <f ca="1">[1]!BexGetData("DP_1","003N8EMH8GTFRCSWKMPXRRESE","GSON1112060175")</f>
        <v>#NAME?</v>
      </c>
      <c r="E750" s="28" t="e">
        <f ca="1">[1]!BexGetData("DP_1","003N8EMH8GTFRCSWKMPXRRL3Y","GSON1112060175")</f>
        <v>#NAME?</v>
      </c>
      <c r="F750" s="28" t="e">
        <f ca="1">[1]!BexGetData("DP_1","003N8EMH8GTFRCSWKMPXRRRFI","GSON1112060175")</f>
        <v>#NAME?</v>
      </c>
      <c r="G750" s="23" t="e">
        <f ca="1">[1]!BexGetData("DP_1","003N8EMH8GTFRCSWKMPXRRXR2","GSON1112060175")</f>
        <v>#NAME?</v>
      </c>
      <c r="H750" s="23" t="e">
        <f ca="1">[1]!BexGetData("DP_1","003N8EMH8GTFRCSWKMPXRS42M","GSON1112060175")</f>
        <v>#NAME?</v>
      </c>
      <c r="I750" s="28" t="e">
        <f ca="1">[1]!BexGetData("DP_1","003N8EMH8GTFRCSWKMPXRSAE6","GSON1112060175")</f>
        <v>#NAME?</v>
      </c>
      <c r="J750" s="24" t="e">
        <f ca="1">[1]!BexGetData("DP_1","003N8EMH8GTFRCSWKMPXRSGPQ","GSON1112060175")</f>
        <v>#NAME?</v>
      </c>
      <c r="K750" s="28" t="e">
        <f ca="1">[1]!BexGetData("DP_1","003N8EMH8GTFRIVNUPY288VJH","GSON1112060175")</f>
        <v>#NAME?</v>
      </c>
      <c r="L750" s="28" t="e">
        <f ca="1">[1]!BexGetData("DP_1","003N8EMH8GTFRIVNUPY2891V1","GSON1112060175")</f>
        <v>#NAME?</v>
      </c>
      <c r="M750" s="28" t="e">
        <f ca="1">[1]!BexGetData("DP_1","003N8EMH8GTFRIVOG7KG9IQXA","GSON1112060175")</f>
        <v>#NAME?</v>
      </c>
      <c r="N750" s="28" t="e">
        <f ca="1">[1]!BexGetData("DP_1","003N8EMH8GTFRIVOG7KG9IX8U","GSON1112060175")</f>
        <v>#NAME?</v>
      </c>
      <c r="O750" s="28" t="e">
        <f ca="1">[1]!BexGetData("DP_1","003N8EMH8GTFRIVOG7KG9J3KE","GSON1112060175")</f>
        <v>#NAME?</v>
      </c>
      <c r="P750" s="28" t="e">
        <f ca="1">[1]!BexGetData("DP_1","003N8EMH8GTFRIVOG7KG9J9VY","GSON1112060175")</f>
        <v>#NAME?</v>
      </c>
      <c r="Q750" s="24" t="e">
        <f ca="1">[1]!BexGetData("DP_1","00O2TNJGODT0G5Z4TTKYMM5MT","GSON1112060175")</f>
        <v>#NAME?</v>
      </c>
      <c r="R750" s="28" t="e">
        <f ca="1">[1]!BexGetData("DP_1","00O2TNJGODT0G5Z4TTKYMMBYD","GSON1112060175")</f>
        <v>#NAME?</v>
      </c>
      <c r="S750" s="28" t="e">
        <f ca="1">[1]!BexGetData("DP_1","00O2TNJGODT0G5Z4TTKYMMI9X","GSON1112060175")</f>
        <v>#NAME?</v>
      </c>
      <c r="T750" s="28" t="e">
        <f ca="1">[1]!BexGetData("DP_1","00O2TNJGODT0G5Z4TTKYMMOLH","GSON1112060175")</f>
        <v>#NAME?</v>
      </c>
      <c r="U750" s="28" t="e">
        <f ca="1">[1]!BexGetData("DP_1","00O2TNJGODT0G5Z4TTKYMMUX1","GSON1112060175")</f>
        <v>#NAME?</v>
      </c>
      <c r="V750" s="28" t="e">
        <f ca="1">[1]!BexGetData("DP_1","00O2TNJGODT0G5Z4TTKYMN18L","GSON1112060175")</f>
        <v>#NAME?</v>
      </c>
      <c r="W750" s="28" t="e">
        <f ca="1">[1]!BexGetData("DP_1","00O2TNJGODT0G5Z4TTKYMN7K5","GSON1112060175")</f>
        <v>#NAME?</v>
      </c>
    </row>
    <row r="751" spans="1:23" x14ac:dyDescent="0.2">
      <c r="A751" s="36" t="s">
        <v>2899</v>
      </c>
      <c r="B751" s="27" t="s">
        <v>2900</v>
      </c>
      <c r="C751" s="23" t="e">
        <f ca="1">[1]!BexGetData("DP_1","003N8EMH8GTFRCSWKMPXRR8GU","GSON1112060180")</f>
        <v>#NAME?</v>
      </c>
      <c r="D751" s="23" t="e">
        <f ca="1">[1]!BexGetData("DP_1","003N8EMH8GTFRCSWKMPXRRESE","GSON1112060180")</f>
        <v>#NAME?</v>
      </c>
      <c r="E751" s="23" t="e">
        <f ca="1">[1]!BexGetData("DP_1","003N8EMH8GTFRCSWKMPXRRL3Y","GSON1112060180")</f>
        <v>#NAME?</v>
      </c>
      <c r="F751" s="23" t="e">
        <f ca="1">[1]!BexGetData("DP_1","003N8EMH8GTFRCSWKMPXRRRFI","GSON1112060180")</f>
        <v>#NAME?</v>
      </c>
      <c r="G751" s="23" t="e">
        <f ca="1">[1]!BexGetData("DP_1","003N8EMH8GTFRCSWKMPXRRXR2","GSON1112060180")</f>
        <v>#NAME?</v>
      </c>
      <c r="H751" s="23" t="e">
        <f ca="1">[1]!BexGetData("DP_1","003N8EMH8GTFRCSWKMPXRS42M","GSON1112060180")</f>
        <v>#NAME?</v>
      </c>
      <c r="I751" s="23" t="e">
        <f ca="1">[1]!BexGetData("DP_1","003N8EMH8GTFRCSWKMPXRSAE6","GSON1112060180")</f>
        <v>#NAME?</v>
      </c>
      <c r="J751" s="23" t="e">
        <f ca="1">[1]!BexGetData("DP_1","003N8EMH8GTFRCSWKMPXRSGPQ","GSON1112060180")</f>
        <v>#NAME?</v>
      </c>
      <c r="K751" s="23" t="e">
        <f ca="1">[1]!BexGetData("DP_1","003N8EMH8GTFRIVNUPY288VJH","GSON1112060180")</f>
        <v>#NAME?</v>
      </c>
      <c r="L751" s="23" t="e">
        <f ca="1">[1]!BexGetData("DP_1","003N8EMH8GTFRIVNUPY2891V1","GSON1112060180")</f>
        <v>#NAME?</v>
      </c>
      <c r="M751" s="23" t="e">
        <f ca="1">[1]!BexGetData("DP_1","003N8EMH8GTFRIVOG7KG9IQXA","GSON1112060180")</f>
        <v>#NAME?</v>
      </c>
      <c r="N751" s="28" t="e">
        <f ca="1">[1]!BexGetData("DP_1","003N8EMH8GTFRIVOG7KG9IX8U","GSON1112060180")</f>
        <v>#NAME?</v>
      </c>
      <c r="O751" s="23" t="e">
        <f ca="1">[1]!BexGetData("DP_1","003N8EMH8GTFRIVOG7KG9J3KE","GSON1112060180")</f>
        <v>#NAME?</v>
      </c>
      <c r="P751" s="28" t="e">
        <f ca="1">[1]!BexGetData("DP_1","003N8EMH8GTFRIVOG7KG9J9VY","GSON1112060180")</f>
        <v>#NAME?</v>
      </c>
      <c r="Q751" s="23" t="e">
        <f ca="1">[1]!BexGetData("DP_1","00O2TNJGODT0G5Z4TTKYMM5MT","GSON1112060180")</f>
        <v>#NAME?</v>
      </c>
      <c r="R751" s="23" t="e">
        <f ca="1">[1]!BexGetData("DP_1","00O2TNJGODT0G5Z4TTKYMMBYD","GSON1112060180")</f>
        <v>#NAME?</v>
      </c>
      <c r="S751" s="23" t="e">
        <f ca="1">[1]!BexGetData("DP_1","00O2TNJGODT0G5Z4TTKYMMI9X","GSON1112060180")</f>
        <v>#NAME?</v>
      </c>
      <c r="T751" s="28" t="e">
        <f ca="1">[1]!BexGetData("DP_1","00O2TNJGODT0G5Z4TTKYMMOLH","GSON1112060180")</f>
        <v>#NAME?</v>
      </c>
      <c r="U751" s="23" t="e">
        <f ca="1">[1]!BexGetData("DP_1","00O2TNJGODT0G5Z4TTKYMMUX1","GSON1112060180")</f>
        <v>#NAME?</v>
      </c>
      <c r="V751" s="28" t="e">
        <f ca="1">[1]!BexGetData("DP_1","00O2TNJGODT0G5Z4TTKYMN18L","GSON1112060180")</f>
        <v>#NAME?</v>
      </c>
      <c r="W751" s="23" t="e">
        <f ca="1">[1]!BexGetData("DP_1","00O2TNJGODT0G5Z4TTKYMN7K5","GSON1112060180")</f>
        <v>#NAME?</v>
      </c>
    </row>
    <row r="752" spans="1:23" x14ac:dyDescent="0.2">
      <c r="A752" s="36" t="s">
        <v>2901</v>
      </c>
      <c r="B752" s="27" t="s">
        <v>2902</v>
      </c>
      <c r="C752" s="28" t="e">
        <f ca="1">[1]!BexGetData("DP_1","003N8EMH8GTFRCSWKMPXRR8GU","GSON1112060181")</f>
        <v>#NAME?</v>
      </c>
      <c r="D752" s="28" t="e">
        <f ca="1">[1]!BexGetData("DP_1","003N8EMH8GTFRCSWKMPXRRESE","GSON1112060181")</f>
        <v>#NAME?</v>
      </c>
      <c r="E752" s="28" t="e">
        <f ca="1">[1]!BexGetData("DP_1","003N8EMH8GTFRCSWKMPXRRL3Y","GSON1112060181")</f>
        <v>#NAME?</v>
      </c>
      <c r="F752" s="28" t="e">
        <f ca="1">[1]!BexGetData("DP_1","003N8EMH8GTFRCSWKMPXRRRFI","GSON1112060181")</f>
        <v>#NAME?</v>
      </c>
      <c r="G752" s="23" t="e">
        <f ca="1">[1]!BexGetData("DP_1","003N8EMH8GTFRCSWKMPXRRXR2","GSON1112060181")</f>
        <v>#NAME?</v>
      </c>
      <c r="H752" s="23" t="e">
        <f ca="1">[1]!BexGetData("DP_1","003N8EMH8GTFRCSWKMPXRS42M","GSON1112060181")</f>
        <v>#NAME?</v>
      </c>
      <c r="I752" s="28" t="e">
        <f ca="1">[1]!BexGetData("DP_1","003N8EMH8GTFRCSWKMPXRSAE6","GSON1112060181")</f>
        <v>#NAME?</v>
      </c>
      <c r="J752" s="24" t="e">
        <f ca="1">[1]!BexGetData("DP_1","003N8EMH8GTFRCSWKMPXRSGPQ","GSON1112060181")</f>
        <v>#NAME?</v>
      </c>
      <c r="K752" s="28" t="e">
        <f ca="1">[1]!BexGetData("DP_1","003N8EMH8GTFRIVNUPY288VJH","GSON1112060181")</f>
        <v>#NAME?</v>
      </c>
      <c r="L752" s="28" t="e">
        <f ca="1">[1]!BexGetData("DP_1","003N8EMH8GTFRIVNUPY2891V1","GSON1112060181")</f>
        <v>#NAME?</v>
      </c>
      <c r="M752" s="28" t="e">
        <f ca="1">[1]!BexGetData("DP_1","003N8EMH8GTFRIVOG7KG9IQXA","GSON1112060181")</f>
        <v>#NAME?</v>
      </c>
      <c r="N752" s="28" t="e">
        <f ca="1">[1]!BexGetData("DP_1","003N8EMH8GTFRIVOG7KG9IX8U","GSON1112060181")</f>
        <v>#NAME?</v>
      </c>
      <c r="O752" s="28" t="e">
        <f ca="1">[1]!BexGetData("DP_1","003N8EMH8GTFRIVOG7KG9J3KE","GSON1112060181")</f>
        <v>#NAME?</v>
      </c>
      <c r="P752" s="28" t="e">
        <f ca="1">[1]!BexGetData("DP_1","003N8EMH8GTFRIVOG7KG9J9VY","GSON1112060181")</f>
        <v>#NAME?</v>
      </c>
      <c r="Q752" s="24" t="e">
        <f ca="1">[1]!BexGetData("DP_1","00O2TNJGODT0G5Z4TTKYMM5MT","GSON1112060181")</f>
        <v>#NAME?</v>
      </c>
      <c r="R752" s="28" t="e">
        <f ca="1">[1]!BexGetData("DP_1","00O2TNJGODT0G5Z4TTKYMMBYD","GSON1112060181")</f>
        <v>#NAME?</v>
      </c>
      <c r="S752" s="28" t="e">
        <f ca="1">[1]!BexGetData("DP_1","00O2TNJGODT0G5Z4TTKYMMI9X","GSON1112060181")</f>
        <v>#NAME?</v>
      </c>
      <c r="T752" s="28" t="e">
        <f ca="1">[1]!BexGetData("DP_1","00O2TNJGODT0G5Z4TTKYMMOLH","GSON1112060181")</f>
        <v>#NAME?</v>
      </c>
      <c r="U752" s="28" t="e">
        <f ca="1">[1]!BexGetData("DP_1","00O2TNJGODT0G5Z4TTKYMMUX1","GSON1112060181")</f>
        <v>#NAME?</v>
      </c>
      <c r="V752" s="28" t="e">
        <f ca="1">[1]!BexGetData("DP_1","00O2TNJGODT0G5Z4TTKYMN18L","GSON1112060181")</f>
        <v>#NAME?</v>
      </c>
      <c r="W752" s="28" t="e">
        <f ca="1">[1]!BexGetData("DP_1","00O2TNJGODT0G5Z4TTKYMN7K5","GSON1112060181")</f>
        <v>#NAME?</v>
      </c>
    </row>
    <row r="753" spans="1:23" x14ac:dyDescent="0.2">
      <c r="A753" s="36" t="s">
        <v>2903</v>
      </c>
      <c r="B753" s="27" t="s">
        <v>2904</v>
      </c>
      <c r="C753" s="23" t="e">
        <f ca="1">[1]!BexGetData("DP_1","003N8EMH8GTFRCSWKMPXRR8GU","GSON1112060184")</f>
        <v>#NAME?</v>
      </c>
      <c r="D753" s="23" t="e">
        <f ca="1">[1]!BexGetData("DP_1","003N8EMH8GTFRCSWKMPXRRESE","GSON1112060184")</f>
        <v>#NAME?</v>
      </c>
      <c r="E753" s="28" t="e">
        <f ca="1">[1]!BexGetData("DP_1","003N8EMH8GTFRCSWKMPXRRL3Y","GSON1112060184")</f>
        <v>#NAME?</v>
      </c>
      <c r="F753" s="28" t="e">
        <f ca="1">[1]!BexGetData("DP_1","003N8EMH8GTFRCSWKMPXRRRFI","GSON1112060184")</f>
        <v>#NAME?</v>
      </c>
      <c r="G753" s="23" t="e">
        <f ca="1">[1]!BexGetData("DP_1","003N8EMH8GTFRCSWKMPXRRXR2","GSON1112060184")</f>
        <v>#NAME?</v>
      </c>
      <c r="H753" s="23" t="e">
        <f ca="1">[1]!BexGetData("DP_1","003N8EMH8GTFRCSWKMPXRS42M","GSON1112060184")</f>
        <v>#NAME?</v>
      </c>
      <c r="I753" s="28" t="e">
        <f ca="1">[1]!BexGetData("DP_1","003N8EMH8GTFRCSWKMPXRSAE6","GSON1112060184")</f>
        <v>#NAME?</v>
      </c>
      <c r="J753" s="24" t="e">
        <f ca="1">[1]!BexGetData("DP_1","003N8EMH8GTFRCSWKMPXRSGPQ","GSON1112060184")</f>
        <v>#NAME?</v>
      </c>
      <c r="K753" s="28" t="e">
        <f ca="1">[1]!BexGetData("DP_1","003N8EMH8GTFRIVNUPY288VJH","GSON1112060184")</f>
        <v>#NAME?</v>
      </c>
      <c r="L753" s="28" t="e">
        <f ca="1">[1]!BexGetData("DP_1","003N8EMH8GTFRIVNUPY2891V1","GSON1112060184")</f>
        <v>#NAME?</v>
      </c>
      <c r="M753" s="28" t="e">
        <f ca="1">[1]!BexGetData("DP_1","003N8EMH8GTFRIVOG7KG9IQXA","GSON1112060184")</f>
        <v>#NAME?</v>
      </c>
      <c r="N753" s="28" t="e">
        <f ca="1">[1]!BexGetData("DP_1","003N8EMH8GTFRIVOG7KG9IX8U","GSON1112060184")</f>
        <v>#NAME?</v>
      </c>
      <c r="O753" s="28" t="e">
        <f ca="1">[1]!BexGetData("DP_1","003N8EMH8GTFRIVOG7KG9J3KE","GSON1112060184")</f>
        <v>#NAME?</v>
      </c>
      <c r="P753" s="28" t="e">
        <f ca="1">[1]!BexGetData("DP_1","003N8EMH8GTFRIVOG7KG9J9VY","GSON1112060184")</f>
        <v>#NAME?</v>
      </c>
      <c r="Q753" s="24" t="e">
        <f ca="1">[1]!BexGetData("DP_1","00O2TNJGODT0G5Z4TTKYMM5MT","GSON1112060184")</f>
        <v>#NAME?</v>
      </c>
      <c r="R753" s="28" t="e">
        <f ca="1">[1]!BexGetData("DP_1","00O2TNJGODT0G5Z4TTKYMMBYD","GSON1112060184")</f>
        <v>#NAME?</v>
      </c>
      <c r="S753" s="28" t="e">
        <f ca="1">[1]!BexGetData("DP_1","00O2TNJGODT0G5Z4TTKYMMI9X","GSON1112060184")</f>
        <v>#NAME?</v>
      </c>
      <c r="T753" s="28" t="e">
        <f ca="1">[1]!BexGetData("DP_1","00O2TNJGODT0G5Z4TTKYMMOLH","GSON1112060184")</f>
        <v>#NAME?</v>
      </c>
      <c r="U753" s="28" t="e">
        <f ca="1">[1]!BexGetData("DP_1","00O2TNJGODT0G5Z4TTKYMMUX1","GSON1112060184")</f>
        <v>#NAME?</v>
      </c>
      <c r="V753" s="28" t="e">
        <f ca="1">[1]!BexGetData("DP_1","00O2TNJGODT0G5Z4TTKYMN18L","GSON1112060184")</f>
        <v>#NAME?</v>
      </c>
      <c r="W753" s="28" t="e">
        <f ca="1">[1]!BexGetData("DP_1","00O2TNJGODT0G5Z4TTKYMN7K5","GSON1112060184")</f>
        <v>#NAME?</v>
      </c>
    </row>
    <row r="754" spans="1:23" x14ac:dyDescent="0.2">
      <c r="A754" s="36" t="s">
        <v>2905</v>
      </c>
      <c r="B754" s="27" t="s">
        <v>2906</v>
      </c>
      <c r="C754" s="24" t="e">
        <f ca="1">[1]!BexGetData("DP_1","003N8EMH8GTFRCSWKMPXRR8GU","GSON1112060185")</f>
        <v>#NAME?</v>
      </c>
      <c r="D754" s="24" t="e">
        <f ca="1">[1]!BexGetData("DP_1","003N8EMH8GTFRCSWKMPXRRESE","GSON1112060185")</f>
        <v>#NAME?</v>
      </c>
      <c r="E754" s="24" t="e">
        <f ca="1">[1]!BexGetData("DP_1","003N8EMH8GTFRCSWKMPXRRL3Y","GSON1112060185")</f>
        <v>#NAME?</v>
      </c>
      <c r="F754" s="28" t="e">
        <f ca="1">[1]!BexGetData("DP_1","003N8EMH8GTFRCSWKMPXRRRFI","GSON1112060185")</f>
        <v>#NAME?</v>
      </c>
      <c r="G754" s="23" t="e">
        <f ca="1">[1]!BexGetData("DP_1","003N8EMH8GTFRCSWKMPXRRXR2","GSON1112060185")</f>
        <v>#NAME?</v>
      </c>
      <c r="H754" s="23" t="e">
        <f ca="1">[1]!BexGetData("DP_1","003N8EMH8GTFRCSWKMPXRS42M","GSON1112060185")</f>
        <v>#NAME?</v>
      </c>
      <c r="I754" s="28" t="e">
        <f ca="1">[1]!BexGetData("DP_1","003N8EMH8GTFRCSWKMPXRSAE6","GSON1112060185")</f>
        <v>#NAME?</v>
      </c>
      <c r="J754" s="24" t="e">
        <f ca="1">[1]!BexGetData("DP_1","003N8EMH8GTFRCSWKMPXRSGPQ","GSON1112060185")</f>
        <v>#NAME?</v>
      </c>
      <c r="K754" s="28" t="e">
        <f ca="1">[1]!BexGetData("DP_1","003N8EMH8GTFRIVNUPY288VJH","GSON1112060185")</f>
        <v>#NAME?</v>
      </c>
      <c r="L754" s="28" t="e">
        <f ca="1">[1]!BexGetData("DP_1","003N8EMH8GTFRIVNUPY2891V1","GSON1112060185")</f>
        <v>#NAME?</v>
      </c>
      <c r="M754" s="28" t="e">
        <f ca="1">[1]!BexGetData("DP_1","003N8EMH8GTFRIVOG7KG9IQXA","GSON1112060185")</f>
        <v>#NAME?</v>
      </c>
      <c r="N754" s="28" t="e">
        <f ca="1">[1]!BexGetData("DP_1","003N8EMH8GTFRIVOG7KG9IX8U","GSON1112060185")</f>
        <v>#NAME?</v>
      </c>
      <c r="O754" s="28" t="e">
        <f ca="1">[1]!BexGetData("DP_1","003N8EMH8GTFRIVOG7KG9J3KE","GSON1112060185")</f>
        <v>#NAME?</v>
      </c>
      <c r="P754" s="28" t="e">
        <f ca="1">[1]!BexGetData("DP_1","003N8EMH8GTFRIVOG7KG9J9VY","GSON1112060185")</f>
        <v>#NAME?</v>
      </c>
      <c r="Q754" s="24" t="e">
        <f ca="1">[1]!BexGetData("DP_1","00O2TNJGODT0G5Z4TTKYMM5MT","GSON1112060185")</f>
        <v>#NAME?</v>
      </c>
      <c r="R754" s="28" t="e">
        <f ca="1">[1]!BexGetData("DP_1","00O2TNJGODT0G5Z4TTKYMMBYD","GSON1112060185")</f>
        <v>#NAME?</v>
      </c>
      <c r="S754" s="28" t="e">
        <f ca="1">[1]!BexGetData("DP_1","00O2TNJGODT0G5Z4TTKYMMI9X","GSON1112060185")</f>
        <v>#NAME?</v>
      </c>
      <c r="T754" s="28" t="e">
        <f ca="1">[1]!BexGetData("DP_1","00O2TNJGODT0G5Z4TTKYMMOLH","GSON1112060185")</f>
        <v>#NAME?</v>
      </c>
      <c r="U754" s="28" t="e">
        <f ca="1">[1]!BexGetData("DP_1","00O2TNJGODT0G5Z4TTKYMMUX1","GSON1112060185")</f>
        <v>#NAME?</v>
      </c>
      <c r="V754" s="28" t="e">
        <f ca="1">[1]!BexGetData("DP_1","00O2TNJGODT0G5Z4TTKYMN18L","GSON1112060185")</f>
        <v>#NAME?</v>
      </c>
      <c r="W754" s="28" t="e">
        <f ca="1">[1]!BexGetData("DP_1","00O2TNJGODT0G5Z4TTKYMN7K5","GSON1112060185")</f>
        <v>#NAME?</v>
      </c>
    </row>
    <row r="755" spans="1:23" x14ac:dyDescent="0.2">
      <c r="A755" s="36" t="s">
        <v>2907</v>
      </c>
      <c r="B755" s="27" t="s">
        <v>2908</v>
      </c>
      <c r="C755" s="23" t="e">
        <f ca="1">[1]!BexGetData("DP_1","003N8EMH8GTFRCSWKMPXRR8GU","GSON1112060190")</f>
        <v>#NAME?</v>
      </c>
      <c r="D755" s="23" t="e">
        <f ca="1">[1]!BexGetData("DP_1","003N8EMH8GTFRCSWKMPXRRESE","GSON1112060190")</f>
        <v>#NAME?</v>
      </c>
      <c r="E755" s="23" t="e">
        <f ca="1">[1]!BexGetData("DP_1","003N8EMH8GTFRCSWKMPXRRL3Y","GSON1112060190")</f>
        <v>#NAME?</v>
      </c>
      <c r="F755" s="23" t="e">
        <f ca="1">[1]!BexGetData("DP_1","003N8EMH8GTFRCSWKMPXRRRFI","GSON1112060190")</f>
        <v>#NAME?</v>
      </c>
      <c r="G755" s="23" t="e">
        <f ca="1">[1]!BexGetData("DP_1","003N8EMH8GTFRCSWKMPXRRXR2","GSON1112060190")</f>
        <v>#NAME?</v>
      </c>
      <c r="H755" s="23" t="e">
        <f ca="1">[1]!BexGetData("DP_1","003N8EMH8GTFRCSWKMPXRS42M","GSON1112060190")</f>
        <v>#NAME?</v>
      </c>
      <c r="I755" s="23" t="e">
        <f ca="1">[1]!BexGetData("DP_1","003N8EMH8GTFRCSWKMPXRSAE6","GSON1112060190")</f>
        <v>#NAME?</v>
      </c>
      <c r="J755" s="23" t="e">
        <f ca="1">[1]!BexGetData("DP_1","003N8EMH8GTFRCSWKMPXRSGPQ","GSON1112060190")</f>
        <v>#NAME?</v>
      </c>
      <c r="K755" s="23" t="e">
        <f ca="1">[1]!BexGetData("DP_1","003N8EMH8GTFRIVNUPY288VJH","GSON1112060190")</f>
        <v>#NAME?</v>
      </c>
      <c r="L755" s="23" t="e">
        <f ca="1">[1]!BexGetData("DP_1","003N8EMH8GTFRIVNUPY2891V1","GSON1112060190")</f>
        <v>#NAME?</v>
      </c>
      <c r="M755" s="23" t="e">
        <f ca="1">[1]!BexGetData("DP_1","003N8EMH8GTFRIVOG7KG9IQXA","GSON1112060190")</f>
        <v>#NAME?</v>
      </c>
      <c r="N755" s="28" t="e">
        <f ca="1">[1]!BexGetData("DP_1","003N8EMH8GTFRIVOG7KG9IX8U","GSON1112060190")</f>
        <v>#NAME?</v>
      </c>
      <c r="O755" s="23" t="e">
        <f ca="1">[1]!BexGetData("DP_1","003N8EMH8GTFRIVOG7KG9J3KE","GSON1112060190")</f>
        <v>#NAME?</v>
      </c>
      <c r="P755" s="28" t="e">
        <f ca="1">[1]!BexGetData("DP_1","003N8EMH8GTFRIVOG7KG9J9VY","GSON1112060190")</f>
        <v>#NAME?</v>
      </c>
      <c r="Q755" s="23" t="e">
        <f ca="1">[1]!BexGetData("DP_1","00O2TNJGODT0G5Z4TTKYMM5MT","GSON1112060190")</f>
        <v>#NAME?</v>
      </c>
      <c r="R755" s="23" t="e">
        <f ca="1">[1]!BexGetData("DP_1","00O2TNJGODT0G5Z4TTKYMMBYD","GSON1112060190")</f>
        <v>#NAME?</v>
      </c>
      <c r="S755" s="23" t="e">
        <f ca="1">[1]!BexGetData("DP_1","00O2TNJGODT0G5Z4TTKYMMI9X","GSON1112060190")</f>
        <v>#NAME?</v>
      </c>
      <c r="T755" s="28" t="e">
        <f ca="1">[1]!BexGetData("DP_1","00O2TNJGODT0G5Z4TTKYMMOLH","GSON1112060190")</f>
        <v>#NAME?</v>
      </c>
      <c r="U755" s="23" t="e">
        <f ca="1">[1]!BexGetData("DP_1","00O2TNJGODT0G5Z4TTKYMMUX1","GSON1112060190")</f>
        <v>#NAME?</v>
      </c>
      <c r="V755" s="28" t="e">
        <f ca="1">[1]!BexGetData("DP_1","00O2TNJGODT0G5Z4TTKYMN18L","GSON1112060190")</f>
        <v>#NAME?</v>
      </c>
      <c r="W755" s="23" t="e">
        <f ca="1">[1]!BexGetData("DP_1","00O2TNJGODT0G5Z4TTKYMN7K5","GSON1112060190")</f>
        <v>#NAME?</v>
      </c>
    </row>
    <row r="756" spans="1:23" x14ac:dyDescent="0.2">
      <c r="A756" s="36" t="s">
        <v>2909</v>
      </c>
      <c r="B756" s="27" t="s">
        <v>2910</v>
      </c>
      <c r="C756" s="28" t="e">
        <f ca="1">[1]!BexGetData("DP_1","003N8EMH8GTFRCSWKMPXRR8GU","GSON1112060191")</f>
        <v>#NAME?</v>
      </c>
      <c r="D756" s="28" t="e">
        <f ca="1">[1]!BexGetData("DP_1","003N8EMH8GTFRCSWKMPXRRESE","GSON1112060191")</f>
        <v>#NAME?</v>
      </c>
      <c r="E756" s="28" t="e">
        <f ca="1">[1]!BexGetData("DP_1","003N8EMH8GTFRCSWKMPXRRL3Y","GSON1112060191")</f>
        <v>#NAME?</v>
      </c>
      <c r="F756" s="28" t="e">
        <f ca="1">[1]!BexGetData("DP_1","003N8EMH8GTFRCSWKMPXRRRFI","GSON1112060191")</f>
        <v>#NAME?</v>
      </c>
      <c r="G756" s="23" t="e">
        <f ca="1">[1]!BexGetData("DP_1","003N8EMH8GTFRCSWKMPXRRXR2","GSON1112060191")</f>
        <v>#NAME?</v>
      </c>
      <c r="H756" s="23" t="e">
        <f ca="1">[1]!BexGetData("DP_1","003N8EMH8GTFRCSWKMPXRS42M","GSON1112060191")</f>
        <v>#NAME?</v>
      </c>
      <c r="I756" s="28" t="e">
        <f ca="1">[1]!BexGetData("DP_1","003N8EMH8GTFRCSWKMPXRSAE6","GSON1112060191")</f>
        <v>#NAME?</v>
      </c>
      <c r="J756" s="24" t="e">
        <f ca="1">[1]!BexGetData("DP_1","003N8EMH8GTFRCSWKMPXRSGPQ","GSON1112060191")</f>
        <v>#NAME?</v>
      </c>
      <c r="K756" s="28" t="e">
        <f ca="1">[1]!BexGetData("DP_1","003N8EMH8GTFRIVNUPY288VJH","GSON1112060191")</f>
        <v>#NAME?</v>
      </c>
      <c r="L756" s="28" t="e">
        <f ca="1">[1]!BexGetData("DP_1","003N8EMH8GTFRIVNUPY2891V1","GSON1112060191")</f>
        <v>#NAME?</v>
      </c>
      <c r="M756" s="28" t="e">
        <f ca="1">[1]!BexGetData("DP_1","003N8EMH8GTFRIVOG7KG9IQXA","GSON1112060191")</f>
        <v>#NAME?</v>
      </c>
      <c r="N756" s="28" t="e">
        <f ca="1">[1]!BexGetData("DP_1","003N8EMH8GTFRIVOG7KG9IX8U","GSON1112060191")</f>
        <v>#NAME?</v>
      </c>
      <c r="O756" s="28" t="e">
        <f ca="1">[1]!BexGetData("DP_1","003N8EMH8GTFRIVOG7KG9J3KE","GSON1112060191")</f>
        <v>#NAME?</v>
      </c>
      <c r="P756" s="28" t="e">
        <f ca="1">[1]!BexGetData("DP_1","003N8EMH8GTFRIVOG7KG9J9VY","GSON1112060191")</f>
        <v>#NAME?</v>
      </c>
      <c r="Q756" s="24" t="e">
        <f ca="1">[1]!BexGetData("DP_1","00O2TNJGODT0G5Z4TTKYMM5MT","GSON1112060191")</f>
        <v>#NAME?</v>
      </c>
      <c r="R756" s="28" t="e">
        <f ca="1">[1]!BexGetData("DP_1","00O2TNJGODT0G5Z4TTKYMMBYD","GSON1112060191")</f>
        <v>#NAME?</v>
      </c>
      <c r="S756" s="28" t="e">
        <f ca="1">[1]!BexGetData("DP_1","00O2TNJGODT0G5Z4TTKYMMI9X","GSON1112060191")</f>
        <v>#NAME?</v>
      </c>
      <c r="T756" s="28" t="e">
        <f ca="1">[1]!BexGetData("DP_1","00O2TNJGODT0G5Z4TTKYMMOLH","GSON1112060191")</f>
        <v>#NAME?</v>
      </c>
      <c r="U756" s="28" t="e">
        <f ca="1">[1]!BexGetData("DP_1","00O2TNJGODT0G5Z4TTKYMMUX1","GSON1112060191")</f>
        <v>#NAME?</v>
      </c>
      <c r="V756" s="28" t="e">
        <f ca="1">[1]!BexGetData("DP_1","00O2TNJGODT0G5Z4TTKYMN18L","GSON1112060191")</f>
        <v>#NAME?</v>
      </c>
      <c r="W756" s="28" t="e">
        <f ca="1">[1]!BexGetData("DP_1","00O2TNJGODT0G5Z4TTKYMN7K5","GSON1112060191")</f>
        <v>#NAME?</v>
      </c>
    </row>
    <row r="757" spans="1:23" x14ac:dyDescent="0.2">
      <c r="A757" s="36" t="s">
        <v>2911</v>
      </c>
      <c r="B757" s="27" t="s">
        <v>2912</v>
      </c>
      <c r="C757" s="23" t="e">
        <f ca="1">[1]!BexGetData("DP_1","003N8EMH8GTFRCSWKMPXRR8GU","GSON1112060193")</f>
        <v>#NAME?</v>
      </c>
      <c r="D757" s="23" t="e">
        <f ca="1">[1]!BexGetData("DP_1","003N8EMH8GTFRCSWKMPXRRESE","GSON1112060193")</f>
        <v>#NAME?</v>
      </c>
      <c r="E757" s="28" t="e">
        <f ca="1">[1]!BexGetData("DP_1","003N8EMH8GTFRCSWKMPXRRL3Y","GSON1112060193")</f>
        <v>#NAME?</v>
      </c>
      <c r="F757" s="28" t="e">
        <f ca="1">[1]!BexGetData("DP_1","003N8EMH8GTFRCSWKMPXRRRFI","GSON1112060193")</f>
        <v>#NAME?</v>
      </c>
      <c r="G757" s="23" t="e">
        <f ca="1">[1]!BexGetData("DP_1","003N8EMH8GTFRCSWKMPXRRXR2","GSON1112060193")</f>
        <v>#NAME?</v>
      </c>
      <c r="H757" s="23" t="e">
        <f ca="1">[1]!BexGetData("DP_1","003N8EMH8GTFRCSWKMPXRS42M","GSON1112060193")</f>
        <v>#NAME?</v>
      </c>
      <c r="I757" s="28" t="e">
        <f ca="1">[1]!BexGetData("DP_1","003N8EMH8GTFRCSWKMPXRSAE6","GSON1112060193")</f>
        <v>#NAME?</v>
      </c>
      <c r="J757" s="24" t="e">
        <f ca="1">[1]!BexGetData("DP_1","003N8EMH8GTFRCSWKMPXRSGPQ","GSON1112060193")</f>
        <v>#NAME?</v>
      </c>
      <c r="K757" s="28" t="e">
        <f ca="1">[1]!BexGetData("DP_1","003N8EMH8GTFRIVNUPY288VJH","GSON1112060193")</f>
        <v>#NAME?</v>
      </c>
      <c r="L757" s="28" t="e">
        <f ca="1">[1]!BexGetData("DP_1","003N8EMH8GTFRIVNUPY2891V1","GSON1112060193")</f>
        <v>#NAME?</v>
      </c>
      <c r="M757" s="28" t="e">
        <f ca="1">[1]!BexGetData("DP_1","003N8EMH8GTFRIVOG7KG9IQXA","GSON1112060193")</f>
        <v>#NAME?</v>
      </c>
      <c r="N757" s="28" t="e">
        <f ca="1">[1]!BexGetData("DP_1","003N8EMH8GTFRIVOG7KG9IX8U","GSON1112060193")</f>
        <v>#NAME?</v>
      </c>
      <c r="O757" s="28" t="e">
        <f ca="1">[1]!BexGetData("DP_1","003N8EMH8GTFRIVOG7KG9J3KE","GSON1112060193")</f>
        <v>#NAME?</v>
      </c>
      <c r="P757" s="28" t="e">
        <f ca="1">[1]!BexGetData("DP_1","003N8EMH8GTFRIVOG7KG9J9VY","GSON1112060193")</f>
        <v>#NAME?</v>
      </c>
      <c r="Q757" s="24" t="e">
        <f ca="1">[1]!BexGetData("DP_1","00O2TNJGODT0G5Z4TTKYMM5MT","GSON1112060193")</f>
        <v>#NAME?</v>
      </c>
      <c r="R757" s="28" t="e">
        <f ca="1">[1]!BexGetData("DP_1","00O2TNJGODT0G5Z4TTKYMMBYD","GSON1112060193")</f>
        <v>#NAME?</v>
      </c>
      <c r="S757" s="28" t="e">
        <f ca="1">[1]!BexGetData("DP_1","00O2TNJGODT0G5Z4TTKYMMI9X","GSON1112060193")</f>
        <v>#NAME?</v>
      </c>
      <c r="T757" s="28" t="e">
        <f ca="1">[1]!BexGetData("DP_1","00O2TNJGODT0G5Z4TTKYMMOLH","GSON1112060193")</f>
        <v>#NAME?</v>
      </c>
      <c r="U757" s="28" t="e">
        <f ca="1">[1]!BexGetData("DP_1","00O2TNJGODT0G5Z4TTKYMMUX1","GSON1112060193")</f>
        <v>#NAME?</v>
      </c>
      <c r="V757" s="28" t="e">
        <f ca="1">[1]!BexGetData("DP_1","00O2TNJGODT0G5Z4TTKYMN18L","GSON1112060193")</f>
        <v>#NAME?</v>
      </c>
      <c r="W757" s="28" t="e">
        <f ca="1">[1]!BexGetData("DP_1","00O2TNJGODT0G5Z4TTKYMN7K5","GSON1112060193")</f>
        <v>#NAME?</v>
      </c>
    </row>
    <row r="758" spans="1:23" x14ac:dyDescent="0.2">
      <c r="A758" s="36" t="s">
        <v>2913</v>
      </c>
      <c r="B758" s="27" t="s">
        <v>2914</v>
      </c>
      <c r="C758" s="23" t="e">
        <f ca="1">[1]!BexGetData("DP_1","003N8EMH8GTFRCSWKMPXRR8GU","GSON1112060194")</f>
        <v>#NAME?</v>
      </c>
      <c r="D758" s="23" t="e">
        <f ca="1">[1]!BexGetData("DP_1","003N8EMH8GTFRCSWKMPXRRESE","GSON1112060194")</f>
        <v>#NAME?</v>
      </c>
      <c r="E758" s="28" t="e">
        <f ca="1">[1]!BexGetData("DP_1","003N8EMH8GTFRCSWKMPXRRL3Y","GSON1112060194")</f>
        <v>#NAME?</v>
      </c>
      <c r="F758" s="28" t="e">
        <f ca="1">[1]!BexGetData("DP_1","003N8EMH8GTFRCSWKMPXRRRFI","GSON1112060194")</f>
        <v>#NAME?</v>
      </c>
      <c r="G758" s="23" t="e">
        <f ca="1">[1]!BexGetData("DP_1","003N8EMH8GTFRCSWKMPXRRXR2","GSON1112060194")</f>
        <v>#NAME?</v>
      </c>
      <c r="H758" s="23" t="e">
        <f ca="1">[1]!BexGetData("DP_1","003N8EMH8GTFRCSWKMPXRS42M","GSON1112060194")</f>
        <v>#NAME?</v>
      </c>
      <c r="I758" s="28" t="e">
        <f ca="1">[1]!BexGetData("DP_1","003N8EMH8GTFRCSWKMPXRSAE6","GSON1112060194")</f>
        <v>#NAME?</v>
      </c>
      <c r="J758" s="24" t="e">
        <f ca="1">[1]!BexGetData("DP_1","003N8EMH8GTFRCSWKMPXRSGPQ","GSON1112060194")</f>
        <v>#NAME?</v>
      </c>
      <c r="K758" s="28" t="e">
        <f ca="1">[1]!BexGetData("DP_1","003N8EMH8GTFRIVNUPY288VJH","GSON1112060194")</f>
        <v>#NAME?</v>
      </c>
      <c r="L758" s="28" t="e">
        <f ca="1">[1]!BexGetData("DP_1","003N8EMH8GTFRIVNUPY2891V1","GSON1112060194")</f>
        <v>#NAME?</v>
      </c>
      <c r="M758" s="28" t="e">
        <f ca="1">[1]!BexGetData("DP_1","003N8EMH8GTFRIVOG7KG9IQXA","GSON1112060194")</f>
        <v>#NAME?</v>
      </c>
      <c r="N758" s="28" t="e">
        <f ca="1">[1]!BexGetData("DP_1","003N8EMH8GTFRIVOG7KG9IX8U","GSON1112060194")</f>
        <v>#NAME?</v>
      </c>
      <c r="O758" s="28" t="e">
        <f ca="1">[1]!BexGetData("DP_1","003N8EMH8GTFRIVOG7KG9J3KE","GSON1112060194")</f>
        <v>#NAME?</v>
      </c>
      <c r="P758" s="28" t="e">
        <f ca="1">[1]!BexGetData("DP_1","003N8EMH8GTFRIVOG7KG9J9VY","GSON1112060194")</f>
        <v>#NAME?</v>
      </c>
      <c r="Q758" s="24" t="e">
        <f ca="1">[1]!BexGetData("DP_1","00O2TNJGODT0G5Z4TTKYMM5MT","GSON1112060194")</f>
        <v>#NAME?</v>
      </c>
      <c r="R758" s="28" t="e">
        <f ca="1">[1]!BexGetData("DP_1","00O2TNJGODT0G5Z4TTKYMMBYD","GSON1112060194")</f>
        <v>#NAME?</v>
      </c>
      <c r="S758" s="28" t="e">
        <f ca="1">[1]!BexGetData("DP_1","00O2TNJGODT0G5Z4TTKYMMI9X","GSON1112060194")</f>
        <v>#NAME?</v>
      </c>
      <c r="T758" s="28" t="e">
        <f ca="1">[1]!BexGetData("DP_1","00O2TNJGODT0G5Z4TTKYMMOLH","GSON1112060194")</f>
        <v>#NAME?</v>
      </c>
      <c r="U758" s="28" t="e">
        <f ca="1">[1]!BexGetData("DP_1","00O2TNJGODT0G5Z4TTKYMMUX1","GSON1112060194")</f>
        <v>#NAME?</v>
      </c>
      <c r="V758" s="28" t="e">
        <f ca="1">[1]!BexGetData("DP_1","00O2TNJGODT0G5Z4TTKYMN18L","GSON1112060194")</f>
        <v>#NAME?</v>
      </c>
      <c r="W758" s="28" t="e">
        <f ca="1">[1]!BexGetData("DP_1","00O2TNJGODT0G5Z4TTKYMN7K5","GSON1112060194")</f>
        <v>#NAME?</v>
      </c>
    </row>
    <row r="759" spans="1:23" x14ac:dyDescent="0.2">
      <c r="A759" s="36" t="s">
        <v>2915</v>
      </c>
      <c r="B759" s="27" t="s">
        <v>2916</v>
      </c>
      <c r="C759" s="23" t="e">
        <f ca="1">[1]!BexGetData("DP_1","003N8EMH8GTFRCSWKMPXRR8GU","GSON1112060195")</f>
        <v>#NAME?</v>
      </c>
      <c r="D759" s="23" t="e">
        <f ca="1">[1]!BexGetData("DP_1","003N8EMH8GTFRCSWKMPXRRESE","GSON1112060195")</f>
        <v>#NAME?</v>
      </c>
      <c r="E759" s="28" t="e">
        <f ca="1">[1]!BexGetData("DP_1","003N8EMH8GTFRCSWKMPXRRL3Y","GSON1112060195")</f>
        <v>#NAME?</v>
      </c>
      <c r="F759" s="28" t="e">
        <f ca="1">[1]!BexGetData("DP_1","003N8EMH8GTFRCSWKMPXRRRFI","GSON1112060195")</f>
        <v>#NAME?</v>
      </c>
      <c r="G759" s="23" t="e">
        <f ca="1">[1]!BexGetData("DP_1","003N8EMH8GTFRCSWKMPXRRXR2","GSON1112060195")</f>
        <v>#NAME?</v>
      </c>
      <c r="H759" s="23" t="e">
        <f ca="1">[1]!BexGetData("DP_1","003N8EMH8GTFRCSWKMPXRS42M","GSON1112060195")</f>
        <v>#NAME?</v>
      </c>
      <c r="I759" s="28" t="e">
        <f ca="1">[1]!BexGetData("DP_1","003N8EMH8GTFRCSWKMPXRSAE6","GSON1112060195")</f>
        <v>#NAME?</v>
      </c>
      <c r="J759" s="24" t="e">
        <f ca="1">[1]!BexGetData("DP_1","003N8EMH8GTFRCSWKMPXRSGPQ","GSON1112060195")</f>
        <v>#NAME?</v>
      </c>
      <c r="K759" s="28" t="e">
        <f ca="1">[1]!BexGetData("DP_1","003N8EMH8GTFRIVNUPY288VJH","GSON1112060195")</f>
        <v>#NAME?</v>
      </c>
      <c r="L759" s="28" t="e">
        <f ca="1">[1]!BexGetData("DP_1","003N8EMH8GTFRIVNUPY2891V1","GSON1112060195")</f>
        <v>#NAME?</v>
      </c>
      <c r="M759" s="28" t="e">
        <f ca="1">[1]!BexGetData("DP_1","003N8EMH8GTFRIVOG7KG9IQXA","GSON1112060195")</f>
        <v>#NAME?</v>
      </c>
      <c r="N759" s="28" t="e">
        <f ca="1">[1]!BexGetData("DP_1","003N8EMH8GTFRIVOG7KG9IX8U","GSON1112060195")</f>
        <v>#NAME?</v>
      </c>
      <c r="O759" s="28" t="e">
        <f ca="1">[1]!BexGetData("DP_1","003N8EMH8GTFRIVOG7KG9J3KE","GSON1112060195")</f>
        <v>#NAME?</v>
      </c>
      <c r="P759" s="28" t="e">
        <f ca="1">[1]!BexGetData("DP_1","003N8EMH8GTFRIVOG7KG9J9VY","GSON1112060195")</f>
        <v>#NAME?</v>
      </c>
      <c r="Q759" s="24" t="e">
        <f ca="1">[1]!BexGetData("DP_1","00O2TNJGODT0G5Z4TTKYMM5MT","GSON1112060195")</f>
        <v>#NAME?</v>
      </c>
      <c r="R759" s="28" t="e">
        <f ca="1">[1]!BexGetData("DP_1","00O2TNJGODT0G5Z4TTKYMMBYD","GSON1112060195")</f>
        <v>#NAME?</v>
      </c>
      <c r="S759" s="28" t="e">
        <f ca="1">[1]!BexGetData("DP_1","00O2TNJGODT0G5Z4TTKYMMI9X","GSON1112060195")</f>
        <v>#NAME?</v>
      </c>
      <c r="T759" s="28" t="e">
        <f ca="1">[1]!BexGetData("DP_1","00O2TNJGODT0G5Z4TTKYMMOLH","GSON1112060195")</f>
        <v>#NAME?</v>
      </c>
      <c r="U759" s="28" t="e">
        <f ca="1">[1]!BexGetData("DP_1","00O2TNJGODT0G5Z4TTKYMMUX1","GSON1112060195")</f>
        <v>#NAME?</v>
      </c>
      <c r="V759" s="28" t="e">
        <f ca="1">[1]!BexGetData("DP_1","00O2TNJGODT0G5Z4TTKYMN18L","GSON1112060195")</f>
        <v>#NAME?</v>
      </c>
      <c r="W759" s="28" t="e">
        <f ca="1">[1]!BexGetData("DP_1","00O2TNJGODT0G5Z4TTKYMN7K5","GSON1112060195")</f>
        <v>#NAME?</v>
      </c>
    </row>
    <row r="760" spans="1:23" x14ac:dyDescent="0.2">
      <c r="A760" s="36" t="s">
        <v>2917</v>
      </c>
      <c r="B760" s="27" t="s">
        <v>2918</v>
      </c>
      <c r="C760" s="23" t="e">
        <f ca="1">[1]!BexGetData("DP_1","003N8EMH8GTFRCSWKMPXRR8GU","GSON1112060200")</f>
        <v>#NAME?</v>
      </c>
      <c r="D760" s="23" t="e">
        <f ca="1">[1]!BexGetData("DP_1","003N8EMH8GTFRCSWKMPXRRESE","GSON1112060200")</f>
        <v>#NAME?</v>
      </c>
      <c r="E760" s="23" t="e">
        <f ca="1">[1]!BexGetData("DP_1","003N8EMH8GTFRCSWKMPXRRL3Y","GSON1112060200")</f>
        <v>#NAME?</v>
      </c>
      <c r="F760" s="23" t="e">
        <f ca="1">[1]!BexGetData("DP_1","003N8EMH8GTFRCSWKMPXRRRFI","GSON1112060200")</f>
        <v>#NAME?</v>
      </c>
      <c r="G760" s="23" t="e">
        <f ca="1">[1]!BexGetData("DP_1","003N8EMH8GTFRCSWKMPXRRXR2","GSON1112060200")</f>
        <v>#NAME?</v>
      </c>
      <c r="H760" s="23" t="e">
        <f ca="1">[1]!BexGetData("DP_1","003N8EMH8GTFRCSWKMPXRS42M","GSON1112060200")</f>
        <v>#NAME?</v>
      </c>
      <c r="I760" s="23" t="e">
        <f ca="1">[1]!BexGetData("DP_1","003N8EMH8GTFRCSWKMPXRSAE6","GSON1112060200")</f>
        <v>#NAME?</v>
      </c>
      <c r="J760" s="23" t="e">
        <f ca="1">[1]!BexGetData("DP_1","003N8EMH8GTFRCSWKMPXRSGPQ","GSON1112060200")</f>
        <v>#NAME?</v>
      </c>
      <c r="K760" s="23" t="e">
        <f ca="1">[1]!BexGetData("DP_1","003N8EMH8GTFRIVNUPY288VJH","GSON1112060200")</f>
        <v>#NAME?</v>
      </c>
      <c r="L760" s="23" t="e">
        <f ca="1">[1]!BexGetData("DP_1","003N8EMH8GTFRIVNUPY2891V1","GSON1112060200")</f>
        <v>#NAME?</v>
      </c>
      <c r="M760" s="28" t="e">
        <f ca="1">[1]!BexGetData("DP_1","003N8EMH8GTFRIVOG7KG9IQXA","GSON1112060200")</f>
        <v>#NAME?</v>
      </c>
      <c r="N760" s="23" t="e">
        <f ca="1">[1]!BexGetData("DP_1","003N8EMH8GTFRIVOG7KG9IX8U","GSON1112060200")</f>
        <v>#NAME?</v>
      </c>
      <c r="O760" s="28" t="e">
        <f ca="1">[1]!BexGetData("DP_1","003N8EMH8GTFRIVOG7KG9J3KE","GSON1112060200")</f>
        <v>#NAME?</v>
      </c>
      <c r="P760" s="23" t="e">
        <f ca="1">[1]!BexGetData("DP_1","003N8EMH8GTFRIVOG7KG9J9VY","GSON1112060200")</f>
        <v>#NAME?</v>
      </c>
      <c r="Q760" s="23" t="e">
        <f ca="1">[1]!BexGetData("DP_1","00O2TNJGODT0G5Z4TTKYMM5MT","GSON1112060200")</f>
        <v>#NAME?</v>
      </c>
      <c r="R760" s="23" t="e">
        <f ca="1">[1]!BexGetData("DP_1","00O2TNJGODT0G5Z4TTKYMMBYD","GSON1112060200")</f>
        <v>#NAME?</v>
      </c>
      <c r="S760" s="23" t="e">
        <f ca="1">[1]!BexGetData("DP_1","00O2TNJGODT0G5Z4TTKYMMI9X","GSON1112060200")</f>
        <v>#NAME?</v>
      </c>
      <c r="T760" s="28" t="e">
        <f ca="1">[1]!BexGetData("DP_1","00O2TNJGODT0G5Z4TTKYMMOLH","GSON1112060200")</f>
        <v>#NAME?</v>
      </c>
      <c r="U760" s="23" t="e">
        <f ca="1">[1]!BexGetData("DP_1","00O2TNJGODT0G5Z4TTKYMMUX1","GSON1112060200")</f>
        <v>#NAME?</v>
      </c>
      <c r="V760" s="28" t="e">
        <f ca="1">[1]!BexGetData("DP_1","00O2TNJGODT0G5Z4TTKYMN18L","GSON1112060200")</f>
        <v>#NAME?</v>
      </c>
      <c r="W760" s="23" t="e">
        <f ca="1">[1]!BexGetData("DP_1","00O2TNJGODT0G5Z4TTKYMN7K5","GSON1112060200")</f>
        <v>#NAME?</v>
      </c>
    </row>
    <row r="761" spans="1:23" x14ac:dyDescent="0.2">
      <c r="A761" s="36" t="s">
        <v>2919</v>
      </c>
      <c r="B761" s="27" t="s">
        <v>2920</v>
      </c>
      <c r="C761" s="23" t="e">
        <f ca="1">[1]!BexGetData("DP_1","003N8EMH8GTFRCSWKMPXRR8GU","GSON1112060201")</f>
        <v>#NAME?</v>
      </c>
      <c r="D761" s="23" t="e">
        <f ca="1">[1]!BexGetData("DP_1","003N8EMH8GTFRCSWKMPXRRESE","GSON1112060201")</f>
        <v>#NAME?</v>
      </c>
      <c r="E761" s="28" t="e">
        <f ca="1">[1]!BexGetData("DP_1","003N8EMH8GTFRCSWKMPXRRL3Y","GSON1112060201")</f>
        <v>#NAME?</v>
      </c>
      <c r="F761" s="28" t="e">
        <f ca="1">[1]!BexGetData("DP_1","003N8EMH8GTFRCSWKMPXRRRFI","GSON1112060201")</f>
        <v>#NAME?</v>
      </c>
      <c r="G761" s="23" t="e">
        <f ca="1">[1]!BexGetData("DP_1","003N8EMH8GTFRCSWKMPXRRXR2","GSON1112060201")</f>
        <v>#NAME?</v>
      </c>
      <c r="H761" s="23" t="e">
        <f ca="1">[1]!BexGetData("DP_1","003N8EMH8GTFRCSWKMPXRS42M","GSON1112060201")</f>
        <v>#NAME?</v>
      </c>
      <c r="I761" s="28" t="e">
        <f ca="1">[1]!BexGetData("DP_1","003N8EMH8GTFRCSWKMPXRSAE6","GSON1112060201")</f>
        <v>#NAME?</v>
      </c>
      <c r="J761" s="24" t="e">
        <f ca="1">[1]!BexGetData("DP_1","003N8EMH8GTFRCSWKMPXRSGPQ","GSON1112060201")</f>
        <v>#NAME?</v>
      </c>
      <c r="K761" s="28" t="e">
        <f ca="1">[1]!BexGetData("DP_1","003N8EMH8GTFRIVNUPY288VJH","GSON1112060201")</f>
        <v>#NAME?</v>
      </c>
      <c r="L761" s="28" t="e">
        <f ca="1">[1]!BexGetData("DP_1","003N8EMH8GTFRIVNUPY2891V1","GSON1112060201")</f>
        <v>#NAME?</v>
      </c>
      <c r="M761" s="28" t="e">
        <f ca="1">[1]!BexGetData("DP_1","003N8EMH8GTFRIVOG7KG9IQXA","GSON1112060201")</f>
        <v>#NAME?</v>
      </c>
      <c r="N761" s="28" t="e">
        <f ca="1">[1]!BexGetData("DP_1","003N8EMH8GTFRIVOG7KG9IX8U","GSON1112060201")</f>
        <v>#NAME?</v>
      </c>
      <c r="O761" s="28" t="e">
        <f ca="1">[1]!BexGetData("DP_1","003N8EMH8GTFRIVOG7KG9J3KE","GSON1112060201")</f>
        <v>#NAME?</v>
      </c>
      <c r="P761" s="28" t="e">
        <f ca="1">[1]!BexGetData("DP_1","003N8EMH8GTFRIVOG7KG9J9VY","GSON1112060201")</f>
        <v>#NAME?</v>
      </c>
      <c r="Q761" s="24" t="e">
        <f ca="1">[1]!BexGetData("DP_1","00O2TNJGODT0G5Z4TTKYMM5MT","GSON1112060201")</f>
        <v>#NAME?</v>
      </c>
      <c r="R761" s="28" t="e">
        <f ca="1">[1]!BexGetData("DP_1","00O2TNJGODT0G5Z4TTKYMMBYD","GSON1112060201")</f>
        <v>#NAME?</v>
      </c>
      <c r="S761" s="28" t="e">
        <f ca="1">[1]!BexGetData("DP_1","00O2TNJGODT0G5Z4TTKYMMI9X","GSON1112060201")</f>
        <v>#NAME?</v>
      </c>
      <c r="T761" s="28" t="e">
        <f ca="1">[1]!BexGetData("DP_1","00O2TNJGODT0G5Z4TTKYMMOLH","GSON1112060201")</f>
        <v>#NAME?</v>
      </c>
      <c r="U761" s="28" t="e">
        <f ca="1">[1]!BexGetData("DP_1","00O2TNJGODT0G5Z4TTKYMMUX1","GSON1112060201")</f>
        <v>#NAME?</v>
      </c>
      <c r="V761" s="28" t="e">
        <f ca="1">[1]!BexGetData("DP_1","00O2TNJGODT0G5Z4TTKYMN18L","GSON1112060201")</f>
        <v>#NAME?</v>
      </c>
      <c r="W761" s="28" t="e">
        <f ca="1">[1]!BexGetData("DP_1","00O2TNJGODT0G5Z4TTKYMN7K5","GSON1112060201")</f>
        <v>#NAME?</v>
      </c>
    </row>
    <row r="762" spans="1:23" x14ac:dyDescent="0.2">
      <c r="A762" s="36" t="s">
        <v>964</v>
      </c>
      <c r="B762" s="27" t="s">
        <v>965</v>
      </c>
      <c r="C762" s="24" t="e">
        <f ca="1">[1]!BexGetData("DP_1","003N8EMH8GTFRCSWKMPXRR8GU","GSON1112060203")</f>
        <v>#NAME?</v>
      </c>
      <c r="D762" s="24" t="e">
        <f ca="1">[1]!BexGetData("DP_1","003N8EMH8GTFRCSWKMPXRRESE","GSON1112060203")</f>
        <v>#NAME?</v>
      </c>
      <c r="E762" s="24" t="e">
        <f ca="1">[1]!BexGetData("DP_1","003N8EMH8GTFRCSWKMPXRRL3Y","GSON1112060203")</f>
        <v>#NAME?</v>
      </c>
      <c r="F762" s="28" t="e">
        <f ca="1">[1]!BexGetData("DP_1","003N8EMH8GTFRCSWKMPXRRRFI","GSON1112060203")</f>
        <v>#NAME?</v>
      </c>
      <c r="G762" s="23" t="e">
        <f ca="1">[1]!BexGetData("DP_1","003N8EMH8GTFRCSWKMPXRRXR2","GSON1112060203")</f>
        <v>#NAME?</v>
      </c>
      <c r="H762" s="23" t="e">
        <f ca="1">[1]!BexGetData("DP_1","003N8EMH8GTFRCSWKMPXRS42M","GSON1112060203")</f>
        <v>#NAME?</v>
      </c>
      <c r="I762" s="28" t="e">
        <f ca="1">[1]!BexGetData("DP_1","003N8EMH8GTFRCSWKMPXRSAE6","GSON1112060203")</f>
        <v>#NAME?</v>
      </c>
      <c r="J762" s="24" t="e">
        <f ca="1">[1]!BexGetData("DP_1","003N8EMH8GTFRCSWKMPXRSGPQ","GSON1112060203")</f>
        <v>#NAME?</v>
      </c>
      <c r="K762" s="28" t="e">
        <f ca="1">[1]!BexGetData("DP_1","003N8EMH8GTFRIVNUPY288VJH","GSON1112060203")</f>
        <v>#NAME?</v>
      </c>
      <c r="L762" s="28" t="e">
        <f ca="1">[1]!BexGetData("DP_1","003N8EMH8GTFRIVNUPY2891V1","GSON1112060203")</f>
        <v>#NAME?</v>
      </c>
      <c r="M762" s="28" t="e">
        <f ca="1">[1]!BexGetData("DP_1","003N8EMH8GTFRIVOG7KG9IQXA","GSON1112060203")</f>
        <v>#NAME?</v>
      </c>
      <c r="N762" s="28" t="e">
        <f ca="1">[1]!BexGetData("DP_1","003N8EMH8GTFRIVOG7KG9IX8U","GSON1112060203")</f>
        <v>#NAME?</v>
      </c>
      <c r="O762" s="28" t="e">
        <f ca="1">[1]!BexGetData("DP_1","003N8EMH8GTFRIVOG7KG9J3KE","GSON1112060203")</f>
        <v>#NAME?</v>
      </c>
      <c r="P762" s="28" t="e">
        <f ca="1">[1]!BexGetData("DP_1","003N8EMH8GTFRIVOG7KG9J9VY","GSON1112060203")</f>
        <v>#NAME?</v>
      </c>
      <c r="Q762" s="24" t="e">
        <f ca="1">[1]!BexGetData("DP_1","00O2TNJGODT0G5Z4TTKYMM5MT","GSON1112060203")</f>
        <v>#NAME?</v>
      </c>
      <c r="R762" s="28" t="e">
        <f ca="1">[1]!BexGetData("DP_1","00O2TNJGODT0G5Z4TTKYMMBYD","GSON1112060203")</f>
        <v>#NAME?</v>
      </c>
      <c r="S762" s="28" t="e">
        <f ca="1">[1]!BexGetData("DP_1","00O2TNJGODT0G5Z4TTKYMMI9X","GSON1112060203")</f>
        <v>#NAME?</v>
      </c>
      <c r="T762" s="28" t="e">
        <f ca="1">[1]!BexGetData("DP_1","00O2TNJGODT0G5Z4TTKYMMOLH","GSON1112060203")</f>
        <v>#NAME?</v>
      </c>
      <c r="U762" s="28" t="e">
        <f ca="1">[1]!BexGetData("DP_1","00O2TNJGODT0G5Z4TTKYMMUX1","GSON1112060203")</f>
        <v>#NAME?</v>
      </c>
      <c r="V762" s="28" t="e">
        <f ca="1">[1]!BexGetData("DP_1","00O2TNJGODT0G5Z4TTKYMN18L","GSON1112060203")</f>
        <v>#NAME?</v>
      </c>
      <c r="W762" s="28" t="e">
        <f ca="1">[1]!BexGetData("DP_1","00O2TNJGODT0G5Z4TTKYMN7K5","GSON1112060203")</f>
        <v>#NAME?</v>
      </c>
    </row>
    <row r="763" spans="1:23" x14ac:dyDescent="0.2">
      <c r="A763" s="36" t="s">
        <v>2921</v>
      </c>
      <c r="B763" s="27" t="s">
        <v>2922</v>
      </c>
      <c r="C763" s="23" t="e">
        <f ca="1">[1]!BexGetData("DP_1","003N8EMH8GTFRCSWKMPXRR8GU","GSON1112060204")</f>
        <v>#NAME?</v>
      </c>
      <c r="D763" s="23" t="e">
        <f ca="1">[1]!BexGetData("DP_1","003N8EMH8GTFRCSWKMPXRRESE","GSON1112060204")</f>
        <v>#NAME?</v>
      </c>
      <c r="E763" s="28" t="e">
        <f ca="1">[1]!BexGetData("DP_1","003N8EMH8GTFRCSWKMPXRRL3Y","GSON1112060204")</f>
        <v>#NAME?</v>
      </c>
      <c r="F763" s="28" t="e">
        <f ca="1">[1]!BexGetData("DP_1","003N8EMH8GTFRCSWKMPXRRRFI","GSON1112060204")</f>
        <v>#NAME?</v>
      </c>
      <c r="G763" s="23" t="e">
        <f ca="1">[1]!BexGetData("DP_1","003N8EMH8GTFRCSWKMPXRRXR2","GSON1112060204")</f>
        <v>#NAME?</v>
      </c>
      <c r="H763" s="23" t="e">
        <f ca="1">[1]!BexGetData("DP_1","003N8EMH8GTFRCSWKMPXRS42M","GSON1112060204")</f>
        <v>#NAME?</v>
      </c>
      <c r="I763" s="28" t="e">
        <f ca="1">[1]!BexGetData("DP_1","003N8EMH8GTFRCSWKMPXRSAE6","GSON1112060204")</f>
        <v>#NAME?</v>
      </c>
      <c r="J763" s="24" t="e">
        <f ca="1">[1]!BexGetData("DP_1","003N8EMH8GTFRCSWKMPXRSGPQ","GSON1112060204")</f>
        <v>#NAME?</v>
      </c>
      <c r="K763" s="28" t="e">
        <f ca="1">[1]!BexGetData("DP_1","003N8EMH8GTFRIVNUPY288VJH","GSON1112060204")</f>
        <v>#NAME?</v>
      </c>
      <c r="L763" s="28" t="e">
        <f ca="1">[1]!BexGetData("DP_1","003N8EMH8GTFRIVNUPY2891V1","GSON1112060204")</f>
        <v>#NAME?</v>
      </c>
      <c r="M763" s="28" t="e">
        <f ca="1">[1]!BexGetData("DP_1","003N8EMH8GTFRIVOG7KG9IQXA","GSON1112060204")</f>
        <v>#NAME?</v>
      </c>
      <c r="N763" s="28" t="e">
        <f ca="1">[1]!BexGetData("DP_1","003N8EMH8GTFRIVOG7KG9IX8U","GSON1112060204")</f>
        <v>#NAME?</v>
      </c>
      <c r="O763" s="28" t="e">
        <f ca="1">[1]!BexGetData("DP_1","003N8EMH8GTFRIVOG7KG9J3KE","GSON1112060204")</f>
        <v>#NAME?</v>
      </c>
      <c r="P763" s="28" t="e">
        <f ca="1">[1]!BexGetData("DP_1","003N8EMH8GTFRIVOG7KG9J9VY","GSON1112060204")</f>
        <v>#NAME?</v>
      </c>
      <c r="Q763" s="24" t="e">
        <f ca="1">[1]!BexGetData("DP_1","00O2TNJGODT0G5Z4TTKYMM5MT","GSON1112060204")</f>
        <v>#NAME?</v>
      </c>
      <c r="R763" s="28" t="e">
        <f ca="1">[1]!BexGetData("DP_1","00O2TNJGODT0G5Z4TTKYMMBYD","GSON1112060204")</f>
        <v>#NAME?</v>
      </c>
      <c r="S763" s="28" t="e">
        <f ca="1">[1]!BexGetData("DP_1","00O2TNJGODT0G5Z4TTKYMMI9X","GSON1112060204")</f>
        <v>#NAME?</v>
      </c>
      <c r="T763" s="28" t="e">
        <f ca="1">[1]!BexGetData("DP_1","00O2TNJGODT0G5Z4TTKYMMOLH","GSON1112060204")</f>
        <v>#NAME?</v>
      </c>
      <c r="U763" s="28" t="e">
        <f ca="1">[1]!BexGetData("DP_1","00O2TNJGODT0G5Z4TTKYMMUX1","GSON1112060204")</f>
        <v>#NAME?</v>
      </c>
      <c r="V763" s="28" t="e">
        <f ca="1">[1]!BexGetData("DP_1","00O2TNJGODT0G5Z4TTKYMN18L","GSON1112060204")</f>
        <v>#NAME?</v>
      </c>
      <c r="W763" s="28" t="e">
        <f ca="1">[1]!BexGetData("DP_1","00O2TNJGODT0G5Z4TTKYMN7K5","GSON1112060204")</f>
        <v>#NAME?</v>
      </c>
    </row>
    <row r="764" spans="1:23" x14ac:dyDescent="0.2">
      <c r="A764" s="36" t="s">
        <v>2923</v>
      </c>
      <c r="B764" s="27" t="s">
        <v>2924</v>
      </c>
      <c r="C764" s="23" t="e">
        <f ca="1">[1]!BexGetData("DP_1","003N8EMH8GTFRCSWKMPXRR8GU","GSON1112060205")</f>
        <v>#NAME?</v>
      </c>
      <c r="D764" s="23" t="e">
        <f ca="1">[1]!BexGetData("DP_1","003N8EMH8GTFRCSWKMPXRRESE","GSON1112060205")</f>
        <v>#NAME?</v>
      </c>
      <c r="E764" s="28" t="e">
        <f ca="1">[1]!BexGetData("DP_1","003N8EMH8GTFRCSWKMPXRRL3Y","GSON1112060205")</f>
        <v>#NAME?</v>
      </c>
      <c r="F764" s="28" t="e">
        <f ca="1">[1]!BexGetData("DP_1","003N8EMH8GTFRCSWKMPXRRRFI","GSON1112060205")</f>
        <v>#NAME?</v>
      </c>
      <c r="G764" s="23" t="e">
        <f ca="1">[1]!BexGetData("DP_1","003N8EMH8GTFRCSWKMPXRRXR2","GSON1112060205")</f>
        <v>#NAME?</v>
      </c>
      <c r="H764" s="23" t="e">
        <f ca="1">[1]!BexGetData("DP_1","003N8EMH8GTFRCSWKMPXRS42M","GSON1112060205")</f>
        <v>#NAME?</v>
      </c>
      <c r="I764" s="28" t="e">
        <f ca="1">[1]!BexGetData("DP_1","003N8EMH8GTFRCSWKMPXRSAE6","GSON1112060205")</f>
        <v>#NAME?</v>
      </c>
      <c r="J764" s="24" t="e">
        <f ca="1">[1]!BexGetData("DP_1","003N8EMH8GTFRCSWKMPXRSGPQ","GSON1112060205")</f>
        <v>#NAME?</v>
      </c>
      <c r="K764" s="28" t="e">
        <f ca="1">[1]!BexGetData("DP_1","003N8EMH8GTFRIVNUPY288VJH","GSON1112060205")</f>
        <v>#NAME?</v>
      </c>
      <c r="L764" s="28" t="e">
        <f ca="1">[1]!BexGetData("DP_1","003N8EMH8GTFRIVNUPY2891V1","GSON1112060205")</f>
        <v>#NAME?</v>
      </c>
      <c r="M764" s="28" t="e">
        <f ca="1">[1]!BexGetData("DP_1","003N8EMH8GTFRIVOG7KG9IQXA","GSON1112060205")</f>
        <v>#NAME?</v>
      </c>
      <c r="N764" s="28" t="e">
        <f ca="1">[1]!BexGetData("DP_1","003N8EMH8GTFRIVOG7KG9IX8U","GSON1112060205")</f>
        <v>#NAME?</v>
      </c>
      <c r="O764" s="28" t="e">
        <f ca="1">[1]!BexGetData("DP_1","003N8EMH8GTFRIVOG7KG9J3KE","GSON1112060205")</f>
        <v>#NAME?</v>
      </c>
      <c r="P764" s="28" t="e">
        <f ca="1">[1]!BexGetData("DP_1","003N8EMH8GTFRIVOG7KG9J9VY","GSON1112060205")</f>
        <v>#NAME?</v>
      </c>
      <c r="Q764" s="24" t="e">
        <f ca="1">[1]!BexGetData("DP_1","00O2TNJGODT0G5Z4TTKYMM5MT","GSON1112060205")</f>
        <v>#NAME?</v>
      </c>
      <c r="R764" s="28" t="e">
        <f ca="1">[1]!BexGetData("DP_1","00O2TNJGODT0G5Z4TTKYMMBYD","GSON1112060205")</f>
        <v>#NAME?</v>
      </c>
      <c r="S764" s="28" t="e">
        <f ca="1">[1]!BexGetData("DP_1","00O2TNJGODT0G5Z4TTKYMMI9X","GSON1112060205")</f>
        <v>#NAME?</v>
      </c>
      <c r="T764" s="28" t="e">
        <f ca="1">[1]!BexGetData("DP_1","00O2TNJGODT0G5Z4TTKYMMOLH","GSON1112060205")</f>
        <v>#NAME?</v>
      </c>
      <c r="U764" s="28" t="e">
        <f ca="1">[1]!BexGetData("DP_1","00O2TNJGODT0G5Z4TTKYMMUX1","GSON1112060205")</f>
        <v>#NAME?</v>
      </c>
      <c r="V764" s="28" t="e">
        <f ca="1">[1]!BexGetData("DP_1","00O2TNJGODT0G5Z4TTKYMN18L","GSON1112060205")</f>
        <v>#NAME?</v>
      </c>
      <c r="W764" s="28" t="e">
        <f ca="1">[1]!BexGetData("DP_1","00O2TNJGODT0G5Z4TTKYMN7K5","GSON1112060205")</f>
        <v>#NAME?</v>
      </c>
    </row>
    <row r="765" spans="1:23" x14ac:dyDescent="0.2">
      <c r="A765" s="36" t="s">
        <v>2925</v>
      </c>
      <c r="B765" s="27" t="s">
        <v>2926</v>
      </c>
      <c r="C765" s="23" t="e">
        <f ca="1">[1]!BexGetData("DP_1","003N8EMH8GTFRCSWKMPXRR8GU","GSON1112060210")</f>
        <v>#NAME?</v>
      </c>
      <c r="D765" s="23" t="e">
        <f ca="1">[1]!BexGetData("DP_1","003N8EMH8GTFRCSWKMPXRRESE","GSON1112060210")</f>
        <v>#NAME?</v>
      </c>
      <c r="E765" s="28" t="e">
        <f ca="1">[1]!BexGetData("DP_1","003N8EMH8GTFRCSWKMPXRRL3Y","GSON1112060210")</f>
        <v>#NAME?</v>
      </c>
      <c r="F765" s="23" t="e">
        <f ca="1">[1]!BexGetData("DP_1","003N8EMH8GTFRCSWKMPXRRRFI","GSON1112060210")</f>
        <v>#NAME?</v>
      </c>
      <c r="G765" s="23" t="e">
        <f ca="1">[1]!BexGetData("DP_1","003N8EMH8GTFRCSWKMPXRRXR2","GSON1112060210")</f>
        <v>#NAME?</v>
      </c>
      <c r="H765" s="23" t="e">
        <f ca="1">[1]!BexGetData("DP_1","003N8EMH8GTFRCSWKMPXRS42M","GSON1112060210")</f>
        <v>#NAME?</v>
      </c>
      <c r="I765" s="23" t="e">
        <f ca="1">[1]!BexGetData("DP_1","003N8EMH8GTFRCSWKMPXRSAE6","GSON1112060210")</f>
        <v>#NAME?</v>
      </c>
      <c r="J765" s="23" t="e">
        <f ca="1">[1]!BexGetData("DP_1","003N8EMH8GTFRCSWKMPXRSGPQ","GSON1112060210")</f>
        <v>#NAME?</v>
      </c>
      <c r="K765" s="23" t="e">
        <f ca="1">[1]!BexGetData("DP_1","003N8EMH8GTFRIVNUPY288VJH","GSON1112060210")</f>
        <v>#NAME?</v>
      </c>
      <c r="L765" s="23" t="e">
        <f ca="1">[1]!BexGetData("DP_1","003N8EMH8GTFRIVNUPY2891V1","GSON1112060210")</f>
        <v>#NAME?</v>
      </c>
      <c r="M765" s="23" t="e">
        <f ca="1">[1]!BexGetData("DP_1","003N8EMH8GTFRIVOG7KG9IQXA","GSON1112060210")</f>
        <v>#NAME?</v>
      </c>
      <c r="N765" s="28" t="e">
        <f ca="1">[1]!BexGetData("DP_1","003N8EMH8GTFRIVOG7KG9IX8U","GSON1112060210")</f>
        <v>#NAME?</v>
      </c>
      <c r="O765" s="23" t="e">
        <f ca="1">[1]!BexGetData("DP_1","003N8EMH8GTFRIVOG7KG9J3KE","GSON1112060210")</f>
        <v>#NAME?</v>
      </c>
      <c r="P765" s="28" t="e">
        <f ca="1">[1]!BexGetData("DP_1","003N8EMH8GTFRIVOG7KG9J9VY","GSON1112060210")</f>
        <v>#NAME?</v>
      </c>
      <c r="Q765" s="23" t="e">
        <f ca="1">[1]!BexGetData("DP_1","00O2TNJGODT0G5Z4TTKYMM5MT","GSON1112060210")</f>
        <v>#NAME?</v>
      </c>
      <c r="R765" s="23" t="e">
        <f ca="1">[1]!BexGetData("DP_1","00O2TNJGODT0G5Z4TTKYMMBYD","GSON1112060210")</f>
        <v>#NAME?</v>
      </c>
      <c r="S765" s="23" t="e">
        <f ca="1">[1]!BexGetData("DP_1","00O2TNJGODT0G5Z4TTKYMMI9X","GSON1112060210")</f>
        <v>#NAME?</v>
      </c>
      <c r="T765" s="28" t="e">
        <f ca="1">[1]!BexGetData("DP_1","00O2TNJGODT0G5Z4TTKYMMOLH","GSON1112060210")</f>
        <v>#NAME?</v>
      </c>
      <c r="U765" s="23" t="e">
        <f ca="1">[1]!BexGetData("DP_1","00O2TNJGODT0G5Z4TTKYMMUX1","GSON1112060210")</f>
        <v>#NAME?</v>
      </c>
      <c r="V765" s="28" t="e">
        <f ca="1">[1]!BexGetData("DP_1","00O2TNJGODT0G5Z4TTKYMN18L","GSON1112060210")</f>
        <v>#NAME?</v>
      </c>
      <c r="W765" s="23" t="e">
        <f ca="1">[1]!BexGetData("DP_1","00O2TNJGODT0G5Z4TTKYMN7K5","GSON1112060210")</f>
        <v>#NAME?</v>
      </c>
    </row>
    <row r="766" spans="1:23" x14ac:dyDescent="0.2">
      <c r="A766" s="36" t="s">
        <v>2927</v>
      </c>
      <c r="B766" s="27" t="s">
        <v>2928</v>
      </c>
      <c r="C766" s="23" t="e">
        <f ca="1">[1]!BexGetData("DP_1","003N8EMH8GTFRCSWKMPXRR8GU","GSON1112060211")</f>
        <v>#NAME?</v>
      </c>
      <c r="D766" s="23" t="e">
        <f ca="1">[1]!BexGetData("DP_1","003N8EMH8GTFRCSWKMPXRRESE","GSON1112060211")</f>
        <v>#NAME?</v>
      </c>
      <c r="E766" s="28" t="e">
        <f ca="1">[1]!BexGetData("DP_1","003N8EMH8GTFRCSWKMPXRRL3Y","GSON1112060211")</f>
        <v>#NAME?</v>
      </c>
      <c r="F766" s="28" t="e">
        <f ca="1">[1]!BexGetData("DP_1","003N8EMH8GTFRCSWKMPXRRRFI","GSON1112060211")</f>
        <v>#NAME?</v>
      </c>
      <c r="G766" s="23" t="e">
        <f ca="1">[1]!BexGetData("DP_1","003N8EMH8GTFRCSWKMPXRRXR2","GSON1112060211")</f>
        <v>#NAME?</v>
      </c>
      <c r="H766" s="23" t="e">
        <f ca="1">[1]!BexGetData("DP_1","003N8EMH8GTFRCSWKMPXRS42M","GSON1112060211")</f>
        <v>#NAME?</v>
      </c>
      <c r="I766" s="28" t="e">
        <f ca="1">[1]!BexGetData("DP_1","003N8EMH8GTFRCSWKMPXRSAE6","GSON1112060211")</f>
        <v>#NAME?</v>
      </c>
      <c r="J766" s="24" t="e">
        <f ca="1">[1]!BexGetData("DP_1","003N8EMH8GTFRCSWKMPXRSGPQ","GSON1112060211")</f>
        <v>#NAME?</v>
      </c>
      <c r="K766" s="28" t="e">
        <f ca="1">[1]!BexGetData("DP_1","003N8EMH8GTFRIVNUPY288VJH","GSON1112060211")</f>
        <v>#NAME?</v>
      </c>
      <c r="L766" s="28" t="e">
        <f ca="1">[1]!BexGetData("DP_1","003N8EMH8GTFRIVNUPY2891V1","GSON1112060211")</f>
        <v>#NAME?</v>
      </c>
      <c r="M766" s="28" t="e">
        <f ca="1">[1]!BexGetData("DP_1","003N8EMH8GTFRIVOG7KG9IQXA","GSON1112060211")</f>
        <v>#NAME?</v>
      </c>
      <c r="N766" s="28" t="e">
        <f ca="1">[1]!BexGetData("DP_1","003N8EMH8GTFRIVOG7KG9IX8U","GSON1112060211")</f>
        <v>#NAME?</v>
      </c>
      <c r="O766" s="28" t="e">
        <f ca="1">[1]!BexGetData("DP_1","003N8EMH8GTFRIVOG7KG9J3KE","GSON1112060211")</f>
        <v>#NAME?</v>
      </c>
      <c r="P766" s="28" t="e">
        <f ca="1">[1]!BexGetData("DP_1","003N8EMH8GTFRIVOG7KG9J9VY","GSON1112060211")</f>
        <v>#NAME?</v>
      </c>
      <c r="Q766" s="24" t="e">
        <f ca="1">[1]!BexGetData("DP_1","00O2TNJGODT0G5Z4TTKYMM5MT","GSON1112060211")</f>
        <v>#NAME?</v>
      </c>
      <c r="R766" s="28" t="e">
        <f ca="1">[1]!BexGetData("DP_1","00O2TNJGODT0G5Z4TTKYMMBYD","GSON1112060211")</f>
        <v>#NAME?</v>
      </c>
      <c r="S766" s="28" t="e">
        <f ca="1">[1]!BexGetData("DP_1","00O2TNJGODT0G5Z4TTKYMMI9X","GSON1112060211")</f>
        <v>#NAME?</v>
      </c>
      <c r="T766" s="28" t="e">
        <f ca="1">[1]!BexGetData("DP_1","00O2TNJGODT0G5Z4TTKYMMOLH","GSON1112060211")</f>
        <v>#NAME?</v>
      </c>
      <c r="U766" s="28" t="e">
        <f ca="1">[1]!BexGetData("DP_1","00O2TNJGODT0G5Z4TTKYMMUX1","GSON1112060211")</f>
        <v>#NAME?</v>
      </c>
      <c r="V766" s="28" t="e">
        <f ca="1">[1]!BexGetData("DP_1","00O2TNJGODT0G5Z4TTKYMN18L","GSON1112060211")</f>
        <v>#NAME?</v>
      </c>
      <c r="W766" s="28" t="e">
        <f ca="1">[1]!BexGetData("DP_1","00O2TNJGODT0G5Z4TTKYMN7K5","GSON1112060211")</f>
        <v>#NAME?</v>
      </c>
    </row>
    <row r="767" spans="1:23" x14ac:dyDescent="0.2">
      <c r="A767" s="36" t="s">
        <v>1610</v>
      </c>
      <c r="B767" s="27" t="s">
        <v>1611</v>
      </c>
      <c r="C767" s="23" t="e">
        <f ca="1">[1]!BexGetData("DP_1","003N8EMH8GTFRCSWKMPXRR8GU","GSON1112060213")</f>
        <v>#NAME?</v>
      </c>
      <c r="D767" s="23" t="e">
        <f ca="1">[1]!BexGetData("DP_1","003N8EMH8GTFRCSWKMPXRRESE","GSON1112060213")</f>
        <v>#NAME?</v>
      </c>
      <c r="E767" s="28" t="e">
        <f ca="1">[1]!BexGetData("DP_1","003N8EMH8GTFRCSWKMPXRRL3Y","GSON1112060213")</f>
        <v>#NAME?</v>
      </c>
      <c r="F767" s="24" t="e">
        <f ca="1">[1]!BexGetData("DP_1","003N8EMH8GTFRCSWKMPXRRRFI","GSON1112060213")</f>
        <v>#NAME?</v>
      </c>
      <c r="G767" s="24" t="e">
        <f ca="1">[1]!BexGetData("DP_1","003N8EMH8GTFRCSWKMPXRRXR2","GSON1112060213")</f>
        <v>#NAME?</v>
      </c>
      <c r="H767" s="24" t="e">
        <f ca="1">[1]!BexGetData("DP_1","003N8EMH8GTFRCSWKMPXRS42M","GSON1112060213")</f>
        <v>#NAME?</v>
      </c>
      <c r="I767" s="24" t="e">
        <f ca="1">[1]!BexGetData("DP_1","003N8EMH8GTFRCSWKMPXRSAE6","GSON1112060213")</f>
        <v>#NAME?</v>
      </c>
      <c r="J767" s="24" t="e">
        <f ca="1">[1]!BexGetData("DP_1","003N8EMH8GTFRCSWKMPXRSGPQ","GSON1112060213")</f>
        <v>#NAME?</v>
      </c>
      <c r="K767" s="28" t="e">
        <f ca="1">[1]!BexGetData("DP_1","003N8EMH8GTFRIVNUPY288VJH","GSON1112060213")</f>
        <v>#NAME?</v>
      </c>
      <c r="L767" s="28" t="e">
        <f ca="1">[1]!BexGetData("DP_1","003N8EMH8GTFRIVNUPY2891V1","GSON1112060213")</f>
        <v>#NAME?</v>
      </c>
      <c r="M767" s="28" t="e">
        <f ca="1">[1]!BexGetData("DP_1","003N8EMH8GTFRIVOG7KG9IQXA","GSON1112060213")</f>
        <v>#NAME?</v>
      </c>
      <c r="N767" s="28" t="e">
        <f ca="1">[1]!BexGetData("DP_1","003N8EMH8GTFRIVOG7KG9IX8U","GSON1112060213")</f>
        <v>#NAME?</v>
      </c>
      <c r="O767" s="28" t="e">
        <f ca="1">[1]!BexGetData("DP_1","003N8EMH8GTFRIVOG7KG9J3KE","GSON1112060213")</f>
        <v>#NAME?</v>
      </c>
      <c r="P767" s="28" t="e">
        <f ca="1">[1]!BexGetData("DP_1","003N8EMH8GTFRIVOG7KG9J9VY","GSON1112060213")</f>
        <v>#NAME?</v>
      </c>
      <c r="Q767" s="24" t="e">
        <f ca="1">[1]!BexGetData("DP_1","00O2TNJGODT0G5Z4TTKYMM5MT","GSON1112060213")</f>
        <v>#NAME?</v>
      </c>
      <c r="R767" s="24" t="e">
        <f ca="1">[1]!BexGetData("DP_1","00O2TNJGODT0G5Z4TTKYMMBYD","GSON1112060213")</f>
        <v>#NAME?</v>
      </c>
      <c r="S767" s="24" t="e">
        <f ca="1">[1]!BexGetData("DP_1","00O2TNJGODT0G5Z4TTKYMMI9X","GSON1112060213")</f>
        <v>#NAME?</v>
      </c>
      <c r="T767" s="24" t="e">
        <f ca="1">[1]!BexGetData("DP_1","00O2TNJGODT0G5Z4TTKYMMOLH","GSON1112060213")</f>
        <v>#NAME?</v>
      </c>
      <c r="U767" s="24" t="e">
        <f ca="1">[1]!BexGetData("DP_1","00O2TNJGODT0G5Z4TTKYMMUX1","GSON1112060213")</f>
        <v>#NAME?</v>
      </c>
      <c r="V767" s="24" t="e">
        <f ca="1">[1]!BexGetData("DP_1","00O2TNJGODT0G5Z4TTKYMN18L","GSON1112060213")</f>
        <v>#NAME?</v>
      </c>
      <c r="W767" s="24" t="e">
        <f ca="1">[1]!BexGetData("DP_1","00O2TNJGODT0G5Z4TTKYMN7K5","GSON1112060213")</f>
        <v>#NAME?</v>
      </c>
    </row>
    <row r="768" spans="1:23" x14ac:dyDescent="0.2">
      <c r="A768" s="36" t="s">
        <v>2929</v>
      </c>
      <c r="B768" s="27" t="s">
        <v>2930</v>
      </c>
      <c r="C768" s="23" t="e">
        <f ca="1">[1]!BexGetData("DP_1","003N8EMH8GTFRCSWKMPXRR8GU","GSON1112060214")</f>
        <v>#NAME?</v>
      </c>
      <c r="D768" s="23" t="e">
        <f ca="1">[1]!BexGetData("DP_1","003N8EMH8GTFRCSWKMPXRRESE","GSON1112060214")</f>
        <v>#NAME?</v>
      </c>
      <c r="E768" s="28" t="e">
        <f ca="1">[1]!BexGetData("DP_1","003N8EMH8GTFRCSWKMPXRRL3Y","GSON1112060214")</f>
        <v>#NAME?</v>
      </c>
      <c r="F768" s="28" t="e">
        <f ca="1">[1]!BexGetData("DP_1","003N8EMH8GTFRCSWKMPXRRRFI","GSON1112060214")</f>
        <v>#NAME?</v>
      </c>
      <c r="G768" s="23" t="e">
        <f ca="1">[1]!BexGetData("DP_1","003N8EMH8GTFRCSWKMPXRRXR2","GSON1112060214")</f>
        <v>#NAME?</v>
      </c>
      <c r="H768" s="23" t="e">
        <f ca="1">[1]!BexGetData("DP_1","003N8EMH8GTFRCSWKMPXRS42M","GSON1112060214")</f>
        <v>#NAME?</v>
      </c>
      <c r="I768" s="28" t="e">
        <f ca="1">[1]!BexGetData("DP_1","003N8EMH8GTFRCSWKMPXRSAE6","GSON1112060214")</f>
        <v>#NAME?</v>
      </c>
      <c r="J768" s="24" t="e">
        <f ca="1">[1]!BexGetData("DP_1","003N8EMH8GTFRCSWKMPXRSGPQ","GSON1112060214")</f>
        <v>#NAME?</v>
      </c>
      <c r="K768" s="28" t="e">
        <f ca="1">[1]!BexGetData("DP_1","003N8EMH8GTFRIVNUPY288VJH","GSON1112060214")</f>
        <v>#NAME?</v>
      </c>
      <c r="L768" s="28" t="e">
        <f ca="1">[1]!BexGetData("DP_1","003N8EMH8GTFRIVNUPY2891V1","GSON1112060214")</f>
        <v>#NAME?</v>
      </c>
      <c r="M768" s="28" t="e">
        <f ca="1">[1]!BexGetData("DP_1","003N8EMH8GTFRIVOG7KG9IQXA","GSON1112060214")</f>
        <v>#NAME?</v>
      </c>
      <c r="N768" s="28" t="e">
        <f ca="1">[1]!BexGetData("DP_1","003N8EMH8GTFRIVOG7KG9IX8U","GSON1112060214")</f>
        <v>#NAME?</v>
      </c>
      <c r="O768" s="28" t="e">
        <f ca="1">[1]!BexGetData("DP_1","003N8EMH8GTFRIVOG7KG9J3KE","GSON1112060214")</f>
        <v>#NAME?</v>
      </c>
      <c r="P768" s="28" t="e">
        <f ca="1">[1]!BexGetData("DP_1","003N8EMH8GTFRIVOG7KG9J9VY","GSON1112060214")</f>
        <v>#NAME?</v>
      </c>
      <c r="Q768" s="24" t="e">
        <f ca="1">[1]!BexGetData("DP_1","00O2TNJGODT0G5Z4TTKYMM5MT","GSON1112060214")</f>
        <v>#NAME?</v>
      </c>
      <c r="R768" s="28" t="e">
        <f ca="1">[1]!BexGetData("DP_1","00O2TNJGODT0G5Z4TTKYMMBYD","GSON1112060214")</f>
        <v>#NAME?</v>
      </c>
      <c r="S768" s="28" t="e">
        <f ca="1">[1]!BexGetData("DP_1","00O2TNJGODT0G5Z4TTKYMMI9X","GSON1112060214")</f>
        <v>#NAME?</v>
      </c>
      <c r="T768" s="28" t="e">
        <f ca="1">[1]!BexGetData("DP_1","00O2TNJGODT0G5Z4TTKYMMOLH","GSON1112060214")</f>
        <v>#NAME?</v>
      </c>
      <c r="U768" s="28" t="e">
        <f ca="1">[1]!BexGetData("DP_1","00O2TNJGODT0G5Z4TTKYMMUX1","GSON1112060214")</f>
        <v>#NAME?</v>
      </c>
      <c r="V768" s="28" t="e">
        <f ca="1">[1]!BexGetData("DP_1","00O2TNJGODT0G5Z4TTKYMN18L","GSON1112060214")</f>
        <v>#NAME?</v>
      </c>
      <c r="W768" s="28" t="e">
        <f ca="1">[1]!BexGetData("DP_1","00O2TNJGODT0G5Z4TTKYMN7K5","GSON1112060214")</f>
        <v>#NAME?</v>
      </c>
    </row>
    <row r="769" spans="1:23" x14ac:dyDescent="0.2">
      <c r="A769" s="36" t="s">
        <v>2931</v>
      </c>
      <c r="B769" s="27" t="s">
        <v>2932</v>
      </c>
      <c r="C769" s="23" t="e">
        <f ca="1">[1]!BexGetData("DP_1","003N8EMH8GTFRCSWKMPXRR8GU","GSON1112060215")</f>
        <v>#NAME?</v>
      </c>
      <c r="D769" s="23" t="e">
        <f ca="1">[1]!BexGetData("DP_1","003N8EMH8GTFRCSWKMPXRRESE","GSON1112060215")</f>
        <v>#NAME?</v>
      </c>
      <c r="E769" s="28" t="e">
        <f ca="1">[1]!BexGetData("DP_1","003N8EMH8GTFRCSWKMPXRRL3Y","GSON1112060215")</f>
        <v>#NAME?</v>
      </c>
      <c r="F769" s="28" t="e">
        <f ca="1">[1]!BexGetData("DP_1","003N8EMH8GTFRCSWKMPXRRRFI","GSON1112060215")</f>
        <v>#NAME?</v>
      </c>
      <c r="G769" s="23" t="e">
        <f ca="1">[1]!BexGetData("DP_1","003N8EMH8GTFRCSWKMPXRRXR2","GSON1112060215")</f>
        <v>#NAME?</v>
      </c>
      <c r="H769" s="23" t="e">
        <f ca="1">[1]!BexGetData("DP_1","003N8EMH8GTFRCSWKMPXRS42M","GSON1112060215")</f>
        <v>#NAME?</v>
      </c>
      <c r="I769" s="28" t="e">
        <f ca="1">[1]!BexGetData("DP_1","003N8EMH8GTFRCSWKMPXRSAE6","GSON1112060215")</f>
        <v>#NAME?</v>
      </c>
      <c r="J769" s="24" t="e">
        <f ca="1">[1]!BexGetData("DP_1","003N8EMH8GTFRCSWKMPXRSGPQ","GSON1112060215")</f>
        <v>#NAME?</v>
      </c>
      <c r="K769" s="28" t="e">
        <f ca="1">[1]!BexGetData("DP_1","003N8EMH8GTFRIVNUPY288VJH","GSON1112060215")</f>
        <v>#NAME?</v>
      </c>
      <c r="L769" s="28" t="e">
        <f ca="1">[1]!BexGetData("DP_1","003N8EMH8GTFRIVNUPY2891V1","GSON1112060215")</f>
        <v>#NAME?</v>
      </c>
      <c r="M769" s="28" t="e">
        <f ca="1">[1]!BexGetData("DP_1","003N8EMH8GTFRIVOG7KG9IQXA","GSON1112060215")</f>
        <v>#NAME?</v>
      </c>
      <c r="N769" s="28" t="e">
        <f ca="1">[1]!BexGetData("DP_1","003N8EMH8GTFRIVOG7KG9IX8U","GSON1112060215")</f>
        <v>#NAME?</v>
      </c>
      <c r="O769" s="28" t="e">
        <f ca="1">[1]!BexGetData("DP_1","003N8EMH8GTFRIVOG7KG9J3KE","GSON1112060215")</f>
        <v>#NAME?</v>
      </c>
      <c r="P769" s="28" t="e">
        <f ca="1">[1]!BexGetData("DP_1","003N8EMH8GTFRIVOG7KG9J9VY","GSON1112060215")</f>
        <v>#NAME?</v>
      </c>
      <c r="Q769" s="24" t="e">
        <f ca="1">[1]!BexGetData("DP_1","00O2TNJGODT0G5Z4TTKYMM5MT","GSON1112060215")</f>
        <v>#NAME?</v>
      </c>
      <c r="R769" s="28" t="e">
        <f ca="1">[1]!BexGetData("DP_1","00O2TNJGODT0G5Z4TTKYMMBYD","GSON1112060215")</f>
        <v>#NAME?</v>
      </c>
      <c r="S769" s="28" t="e">
        <f ca="1">[1]!BexGetData("DP_1","00O2TNJGODT0G5Z4TTKYMMI9X","GSON1112060215")</f>
        <v>#NAME?</v>
      </c>
      <c r="T769" s="28" t="e">
        <f ca="1">[1]!BexGetData("DP_1","00O2TNJGODT0G5Z4TTKYMMOLH","GSON1112060215")</f>
        <v>#NAME?</v>
      </c>
      <c r="U769" s="28" t="e">
        <f ca="1">[1]!BexGetData("DP_1","00O2TNJGODT0G5Z4TTKYMMUX1","GSON1112060215")</f>
        <v>#NAME?</v>
      </c>
      <c r="V769" s="28" t="e">
        <f ca="1">[1]!BexGetData("DP_1","00O2TNJGODT0G5Z4TTKYMN18L","GSON1112060215")</f>
        <v>#NAME?</v>
      </c>
      <c r="W769" s="28" t="e">
        <f ca="1">[1]!BexGetData("DP_1","00O2TNJGODT0G5Z4TTKYMN7K5","GSON1112060215")</f>
        <v>#NAME?</v>
      </c>
    </row>
    <row r="770" spans="1:23" x14ac:dyDescent="0.2">
      <c r="A770" s="36" t="s">
        <v>2933</v>
      </c>
      <c r="B770" s="27" t="s">
        <v>2934</v>
      </c>
      <c r="C770" s="23" t="e">
        <f ca="1">[1]!BexGetData("DP_1","003N8EMH8GTFRCSWKMPXRR8GU","GSON1112060220")</f>
        <v>#NAME?</v>
      </c>
      <c r="D770" s="23" t="e">
        <f ca="1">[1]!BexGetData("DP_1","003N8EMH8GTFRCSWKMPXRRESE","GSON1112060220")</f>
        <v>#NAME?</v>
      </c>
      <c r="E770" s="28" t="e">
        <f ca="1">[1]!BexGetData("DP_1","003N8EMH8GTFRCSWKMPXRRL3Y","GSON1112060220")</f>
        <v>#NAME?</v>
      </c>
      <c r="F770" s="23" t="e">
        <f ca="1">[1]!BexGetData("DP_1","003N8EMH8GTFRCSWKMPXRRRFI","GSON1112060220")</f>
        <v>#NAME?</v>
      </c>
      <c r="G770" s="23" t="e">
        <f ca="1">[1]!BexGetData("DP_1","003N8EMH8GTFRCSWKMPXRRXR2","GSON1112060220")</f>
        <v>#NAME?</v>
      </c>
      <c r="H770" s="23" t="e">
        <f ca="1">[1]!BexGetData("DP_1","003N8EMH8GTFRCSWKMPXRS42M","GSON1112060220")</f>
        <v>#NAME?</v>
      </c>
      <c r="I770" s="23" t="e">
        <f ca="1">[1]!BexGetData("DP_1","003N8EMH8GTFRCSWKMPXRSAE6","GSON1112060220")</f>
        <v>#NAME?</v>
      </c>
      <c r="J770" s="23" t="e">
        <f ca="1">[1]!BexGetData("DP_1","003N8EMH8GTFRCSWKMPXRSGPQ","GSON1112060220")</f>
        <v>#NAME?</v>
      </c>
      <c r="K770" s="23" t="e">
        <f ca="1">[1]!BexGetData("DP_1","003N8EMH8GTFRIVNUPY288VJH","GSON1112060220")</f>
        <v>#NAME?</v>
      </c>
      <c r="L770" s="23" t="e">
        <f ca="1">[1]!BexGetData("DP_1","003N8EMH8GTFRIVNUPY2891V1","GSON1112060220")</f>
        <v>#NAME?</v>
      </c>
      <c r="M770" s="23" t="e">
        <f ca="1">[1]!BexGetData("DP_1","003N8EMH8GTFRIVOG7KG9IQXA","GSON1112060220")</f>
        <v>#NAME?</v>
      </c>
      <c r="N770" s="28" t="e">
        <f ca="1">[1]!BexGetData("DP_1","003N8EMH8GTFRIVOG7KG9IX8U","GSON1112060220")</f>
        <v>#NAME?</v>
      </c>
      <c r="O770" s="23" t="e">
        <f ca="1">[1]!BexGetData("DP_1","003N8EMH8GTFRIVOG7KG9J3KE","GSON1112060220")</f>
        <v>#NAME?</v>
      </c>
      <c r="P770" s="28" t="e">
        <f ca="1">[1]!BexGetData("DP_1","003N8EMH8GTFRIVOG7KG9J9VY","GSON1112060220")</f>
        <v>#NAME?</v>
      </c>
      <c r="Q770" s="23" t="e">
        <f ca="1">[1]!BexGetData("DP_1","00O2TNJGODT0G5Z4TTKYMM5MT","GSON1112060220")</f>
        <v>#NAME?</v>
      </c>
      <c r="R770" s="23" t="e">
        <f ca="1">[1]!BexGetData("DP_1","00O2TNJGODT0G5Z4TTKYMMBYD","GSON1112060220")</f>
        <v>#NAME?</v>
      </c>
      <c r="S770" s="23" t="e">
        <f ca="1">[1]!BexGetData("DP_1","00O2TNJGODT0G5Z4TTKYMMI9X","GSON1112060220")</f>
        <v>#NAME?</v>
      </c>
      <c r="T770" s="28" t="e">
        <f ca="1">[1]!BexGetData("DP_1","00O2TNJGODT0G5Z4TTKYMMOLH","GSON1112060220")</f>
        <v>#NAME?</v>
      </c>
      <c r="U770" s="23" t="e">
        <f ca="1">[1]!BexGetData("DP_1","00O2TNJGODT0G5Z4TTKYMMUX1","GSON1112060220")</f>
        <v>#NAME?</v>
      </c>
      <c r="V770" s="28" t="e">
        <f ca="1">[1]!BexGetData("DP_1","00O2TNJGODT0G5Z4TTKYMN18L","GSON1112060220")</f>
        <v>#NAME?</v>
      </c>
      <c r="W770" s="23" t="e">
        <f ca="1">[1]!BexGetData("DP_1","00O2TNJGODT0G5Z4TTKYMN7K5","GSON1112060220")</f>
        <v>#NAME?</v>
      </c>
    </row>
    <row r="771" spans="1:23" x14ac:dyDescent="0.2">
      <c r="A771" s="36" t="s">
        <v>2935</v>
      </c>
      <c r="B771" s="27" t="s">
        <v>2936</v>
      </c>
      <c r="C771" s="28" t="e">
        <f ca="1">[1]!BexGetData("DP_1","003N8EMH8GTFRCSWKMPXRR8GU","GSON1112060221")</f>
        <v>#NAME?</v>
      </c>
      <c r="D771" s="28" t="e">
        <f ca="1">[1]!BexGetData("DP_1","003N8EMH8GTFRCSWKMPXRRESE","GSON1112060221")</f>
        <v>#NAME?</v>
      </c>
      <c r="E771" s="28" t="e">
        <f ca="1">[1]!BexGetData("DP_1","003N8EMH8GTFRCSWKMPXRRL3Y","GSON1112060221")</f>
        <v>#NAME?</v>
      </c>
      <c r="F771" s="28" t="e">
        <f ca="1">[1]!BexGetData("DP_1","003N8EMH8GTFRCSWKMPXRRRFI","GSON1112060221")</f>
        <v>#NAME?</v>
      </c>
      <c r="G771" s="23" t="e">
        <f ca="1">[1]!BexGetData("DP_1","003N8EMH8GTFRCSWKMPXRRXR2","GSON1112060221")</f>
        <v>#NAME?</v>
      </c>
      <c r="H771" s="23" t="e">
        <f ca="1">[1]!BexGetData("DP_1","003N8EMH8GTFRCSWKMPXRS42M","GSON1112060221")</f>
        <v>#NAME?</v>
      </c>
      <c r="I771" s="28" t="e">
        <f ca="1">[1]!BexGetData("DP_1","003N8EMH8GTFRCSWKMPXRSAE6","GSON1112060221")</f>
        <v>#NAME?</v>
      </c>
      <c r="J771" s="24" t="e">
        <f ca="1">[1]!BexGetData("DP_1","003N8EMH8GTFRCSWKMPXRSGPQ","GSON1112060221")</f>
        <v>#NAME?</v>
      </c>
      <c r="K771" s="28" t="e">
        <f ca="1">[1]!BexGetData("DP_1","003N8EMH8GTFRIVNUPY288VJH","GSON1112060221")</f>
        <v>#NAME?</v>
      </c>
      <c r="L771" s="28" t="e">
        <f ca="1">[1]!BexGetData("DP_1","003N8EMH8GTFRIVNUPY2891V1","GSON1112060221")</f>
        <v>#NAME?</v>
      </c>
      <c r="M771" s="28" t="e">
        <f ca="1">[1]!BexGetData("DP_1","003N8EMH8GTFRIVOG7KG9IQXA","GSON1112060221")</f>
        <v>#NAME?</v>
      </c>
      <c r="N771" s="28" t="e">
        <f ca="1">[1]!BexGetData("DP_1","003N8EMH8GTFRIVOG7KG9IX8U","GSON1112060221")</f>
        <v>#NAME?</v>
      </c>
      <c r="O771" s="28" t="e">
        <f ca="1">[1]!BexGetData("DP_1","003N8EMH8GTFRIVOG7KG9J3KE","GSON1112060221")</f>
        <v>#NAME?</v>
      </c>
      <c r="P771" s="28" t="e">
        <f ca="1">[1]!BexGetData("DP_1","003N8EMH8GTFRIVOG7KG9J9VY","GSON1112060221")</f>
        <v>#NAME?</v>
      </c>
      <c r="Q771" s="24" t="e">
        <f ca="1">[1]!BexGetData("DP_1","00O2TNJGODT0G5Z4TTKYMM5MT","GSON1112060221")</f>
        <v>#NAME?</v>
      </c>
      <c r="R771" s="28" t="e">
        <f ca="1">[1]!BexGetData("DP_1","00O2TNJGODT0G5Z4TTKYMMBYD","GSON1112060221")</f>
        <v>#NAME?</v>
      </c>
      <c r="S771" s="28" t="e">
        <f ca="1">[1]!BexGetData("DP_1","00O2TNJGODT0G5Z4TTKYMMI9X","GSON1112060221")</f>
        <v>#NAME?</v>
      </c>
      <c r="T771" s="28" t="e">
        <f ca="1">[1]!BexGetData("DP_1","00O2TNJGODT0G5Z4TTKYMMOLH","GSON1112060221")</f>
        <v>#NAME?</v>
      </c>
      <c r="U771" s="28" t="e">
        <f ca="1">[1]!BexGetData("DP_1","00O2TNJGODT0G5Z4TTKYMMUX1","GSON1112060221")</f>
        <v>#NAME?</v>
      </c>
      <c r="V771" s="28" t="e">
        <f ca="1">[1]!BexGetData("DP_1","00O2TNJGODT0G5Z4TTKYMN18L","GSON1112060221")</f>
        <v>#NAME?</v>
      </c>
      <c r="W771" s="28" t="e">
        <f ca="1">[1]!BexGetData("DP_1","00O2TNJGODT0G5Z4TTKYMN7K5","GSON1112060221")</f>
        <v>#NAME?</v>
      </c>
    </row>
    <row r="772" spans="1:23" x14ac:dyDescent="0.2">
      <c r="A772" s="36" t="s">
        <v>2937</v>
      </c>
      <c r="B772" s="27" t="s">
        <v>2938</v>
      </c>
      <c r="C772" s="23" t="e">
        <f ca="1">[1]!BexGetData("DP_1","003N8EMH8GTFRCSWKMPXRR8GU","GSON1112060223")</f>
        <v>#NAME?</v>
      </c>
      <c r="D772" s="23" t="e">
        <f ca="1">[1]!BexGetData("DP_1","003N8EMH8GTFRCSWKMPXRRESE","GSON1112060223")</f>
        <v>#NAME?</v>
      </c>
      <c r="E772" s="28" t="e">
        <f ca="1">[1]!BexGetData("DP_1","003N8EMH8GTFRCSWKMPXRRL3Y","GSON1112060223")</f>
        <v>#NAME?</v>
      </c>
      <c r="F772" s="24" t="e">
        <f ca="1">[1]!BexGetData("DP_1","003N8EMH8GTFRCSWKMPXRRRFI","GSON1112060223")</f>
        <v>#NAME?</v>
      </c>
      <c r="G772" s="24" t="e">
        <f ca="1">[1]!BexGetData("DP_1","003N8EMH8GTFRCSWKMPXRRXR2","GSON1112060223")</f>
        <v>#NAME?</v>
      </c>
      <c r="H772" s="24" t="e">
        <f ca="1">[1]!BexGetData("DP_1","003N8EMH8GTFRCSWKMPXRS42M","GSON1112060223")</f>
        <v>#NAME?</v>
      </c>
      <c r="I772" s="24" t="e">
        <f ca="1">[1]!BexGetData("DP_1","003N8EMH8GTFRCSWKMPXRSAE6","GSON1112060223")</f>
        <v>#NAME?</v>
      </c>
      <c r="J772" s="24" t="e">
        <f ca="1">[1]!BexGetData("DP_1","003N8EMH8GTFRCSWKMPXRSGPQ","GSON1112060223")</f>
        <v>#NAME?</v>
      </c>
      <c r="K772" s="28" t="e">
        <f ca="1">[1]!BexGetData("DP_1","003N8EMH8GTFRIVNUPY288VJH","GSON1112060223")</f>
        <v>#NAME?</v>
      </c>
      <c r="L772" s="28" t="e">
        <f ca="1">[1]!BexGetData("DP_1","003N8EMH8GTFRIVNUPY2891V1","GSON1112060223")</f>
        <v>#NAME?</v>
      </c>
      <c r="M772" s="28" t="e">
        <f ca="1">[1]!BexGetData("DP_1","003N8EMH8GTFRIVOG7KG9IQXA","GSON1112060223")</f>
        <v>#NAME?</v>
      </c>
      <c r="N772" s="28" t="e">
        <f ca="1">[1]!BexGetData("DP_1","003N8EMH8GTFRIVOG7KG9IX8U","GSON1112060223")</f>
        <v>#NAME?</v>
      </c>
      <c r="O772" s="28" t="e">
        <f ca="1">[1]!BexGetData("DP_1","003N8EMH8GTFRIVOG7KG9J3KE","GSON1112060223")</f>
        <v>#NAME?</v>
      </c>
      <c r="P772" s="28" t="e">
        <f ca="1">[1]!BexGetData("DP_1","003N8EMH8GTFRIVOG7KG9J9VY","GSON1112060223")</f>
        <v>#NAME?</v>
      </c>
      <c r="Q772" s="24" t="e">
        <f ca="1">[1]!BexGetData("DP_1","00O2TNJGODT0G5Z4TTKYMM5MT","GSON1112060223")</f>
        <v>#NAME?</v>
      </c>
      <c r="R772" s="24" t="e">
        <f ca="1">[1]!BexGetData("DP_1","00O2TNJGODT0G5Z4TTKYMMBYD","GSON1112060223")</f>
        <v>#NAME?</v>
      </c>
      <c r="S772" s="24" t="e">
        <f ca="1">[1]!BexGetData("DP_1","00O2TNJGODT0G5Z4TTKYMMI9X","GSON1112060223")</f>
        <v>#NAME?</v>
      </c>
      <c r="T772" s="24" t="e">
        <f ca="1">[1]!BexGetData("DP_1","00O2TNJGODT0G5Z4TTKYMMOLH","GSON1112060223")</f>
        <v>#NAME?</v>
      </c>
      <c r="U772" s="24" t="e">
        <f ca="1">[1]!BexGetData("DP_1","00O2TNJGODT0G5Z4TTKYMMUX1","GSON1112060223")</f>
        <v>#NAME?</v>
      </c>
      <c r="V772" s="24" t="e">
        <f ca="1">[1]!BexGetData("DP_1","00O2TNJGODT0G5Z4TTKYMN18L","GSON1112060223")</f>
        <v>#NAME?</v>
      </c>
      <c r="W772" s="24" t="e">
        <f ca="1">[1]!BexGetData("DP_1","00O2TNJGODT0G5Z4TTKYMN7K5","GSON1112060223")</f>
        <v>#NAME?</v>
      </c>
    </row>
    <row r="773" spans="1:23" x14ac:dyDescent="0.2">
      <c r="A773" s="36" t="s">
        <v>2939</v>
      </c>
      <c r="B773" s="27" t="s">
        <v>2940</v>
      </c>
      <c r="C773" s="23" t="e">
        <f ca="1">[1]!BexGetData("DP_1","003N8EMH8GTFRCSWKMPXRR8GU","GSON1112060224")</f>
        <v>#NAME?</v>
      </c>
      <c r="D773" s="23" t="e">
        <f ca="1">[1]!BexGetData("DP_1","003N8EMH8GTFRCSWKMPXRRESE","GSON1112060224")</f>
        <v>#NAME?</v>
      </c>
      <c r="E773" s="28" t="e">
        <f ca="1">[1]!BexGetData("DP_1","003N8EMH8GTFRCSWKMPXRRL3Y","GSON1112060224")</f>
        <v>#NAME?</v>
      </c>
      <c r="F773" s="28" t="e">
        <f ca="1">[1]!BexGetData("DP_1","003N8EMH8GTFRCSWKMPXRRRFI","GSON1112060224")</f>
        <v>#NAME?</v>
      </c>
      <c r="G773" s="23" t="e">
        <f ca="1">[1]!BexGetData("DP_1","003N8EMH8GTFRCSWKMPXRRXR2","GSON1112060224")</f>
        <v>#NAME?</v>
      </c>
      <c r="H773" s="23" t="e">
        <f ca="1">[1]!BexGetData("DP_1","003N8EMH8GTFRCSWKMPXRS42M","GSON1112060224")</f>
        <v>#NAME?</v>
      </c>
      <c r="I773" s="28" t="e">
        <f ca="1">[1]!BexGetData("DP_1","003N8EMH8GTFRCSWKMPXRSAE6","GSON1112060224")</f>
        <v>#NAME?</v>
      </c>
      <c r="J773" s="24" t="e">
        <f ca="1">[1]!BexGetData("DP_1","003N8EMH8GTFRCSWKMPXRSGPQ","GSON1112060224")</f>
        <v>#NAME?</v>
      </c>
      <c r="K773" s="28" t="e">
        <f ca="1">[1]!BexGetData("DP_1","003N8EMH8GTFRIVNUPY288VJH","GSON1112060224")</f>
        <v>#NAME?</v>
      </c>
      <c r="L773" s="28" t="e">
        <f ca="1">[1]!BexGetData("DP_1","003N8EMH8GTFRIVNUPY2891V1","GSON1112060224")</f>
        <v>#NAME?</v>
      </c>
      <c r="M773" s="28" t="e">
        <f ca="1">[1]!BexGetData("DP_1","003N8EMH8GTFRIVOG7KG9IQXA","GSON1112060224")</f>
        <v>#NAME?</v>
      </c>
      <c r="N773" s="28" t="e">
        <f ca="1">[1]!BexGetData("DP_1","003N8EMH8GTFRIVOG7KG9IX8U","GSON1112060224")</f>
        <v>#NAME?</v>
      </c>
      <c r="O773" s="28" t="e">
        <f ca="1">[1]!BexGetData("DP_1","003N8EMH8GTFRIVOG7KG9J3KE","GSON1112060224")</f>
        <v>#NAME?</v>
      </c>
      <c r="P773" s="28" t="e">
        <f ca="1">[1]!BexGetData("DP_1","003N8EMH8GTFRIVOG7KG9J9VY","GSON1112060224")</f>
        <v>#NAME?</v>
      </c>
      <c r="Q773" s="24" t="e">
        <f ca="1">[1]!BexGetData("DP_1","00O2TNJGODT0G5Z4TTKYMM5MT","GSON1112060224")</f>
        <v>#NAME?</v>
      </c>
      <c r="R773" s="28" t="e">
        <f ca="1">[1]!BexGetData("DP_1","00O2TNJGODT0G5Z4TTKYMMBYD","GSON1112060224")</f>
        <v>#NAME?</v>
      </c>
      <c r="S773" s="28" t="e">
        <f ca="1">[1]!BexGetData("DP_1","00O2TNJGODT0G5Z4TTKYMMI9X","GSON1112060224")</f>
        <v>#NAME?</v>
      </c>
      <c r="T773" s="28" t="e">
        <f ca="1">[1]!BexGetData("DP_1","00O2TNJGODT0G5Z4TTKYMMOLH","GSON1112060224")</f>
        <v>#NAME?</v>
      </c>
      <c r="U773" s="28" t="e">
        <f ca="1">[1]!BexGetData("DP_1","00O2TNJGODT0G5Z4TTKYMMUX1","GSON1112060224")</f>
        <v>#NAME?</v>
      </c>
      <c r="V773" s="28" t="e">
        <f ca="1">[1]!BexGetData("DP_1","00O2TNJGODT0G5Z4TTKYMN18L","GSON1112060224")</f>
        <v>#NAME?</v>
      </c>
      <c r="W773" s="28" t="e">
        <f ca="1">[1]!BexGetData("DP_1","00O2TNJGODT0G5Z4TTKYMN7K5","GSON1112060224")</f>
        <v>#NAME?</v>
      </c>
    </row>
    <row r="774" spans="1:23" x14ac:dyDescent="0.2">
      <c r="A774" s="36" t="s">
        <v>2941</v>
      </c>
      <c r="B774" s="27" t="s">
        <v>2942</v>
      </c>
      <c r="C774" s="23" t="e">
        <f ca="1">[1]!BexGetData("DP_1","003N8EMH8GTFRCSWKMPXRR8GU","GSON1112060225")</f>
        <v>#NAME?</v>
      </c>
      <c r="D774" s="23" t="e">
        <f ca="1">[1]!BexGetData("DP_1","003N8EMH8GTFRCSWKMPXRRESE","GSON1112060225")</f>
        <v>#NAME?</v>
      </c>
      <c r="E774" s="28" t="e">
        <f ca="1">[1]!BexGetData("DP_1","003N8EMH8GTFRCSWKMPXRRL3Y","GSON1112060225")</f>
        <v>#NAME?</v>
      </c>
      <c r="F774" s="28" t="e">
        <f ca="1">[1]!BexGetData("DP_1","003N8EMH8GTFRCSWKMPXRRRFI","GSON1112060225")</f>
        <v>#NAME?</v>
      </c>
      <c r="G774" s="23" t="e">
        <f ca="1">[1]!BexGetData("DP_1","003N8EMH8GTFRCSWKMPXRRXR2","GSON1112060225")</f>
        <v>#NAME?</v>
      </c>
      <c r="H774" s="23" t="e">
        <f ca="1">[1]!BexGetData("DP_1","003N8EMH8GTFRCSWKMPXRS42M","GSON1112060225")</f>
        <v>#NAME?</v>
      </c>
      <c r="I774" s="28" t="e">
        <f ca="1">[1]!BexGetData("DP_1","003N8EMH8GTFRCSWKMPXRSAE6","GSON1112060225")</f>
        <v>#NAME?</v>
      </c>
      <c r="J774" s="24" t="e">
        <f ca="1">[1]!BexGetData("DP_1","003N8EMH8GTFRCSWKMPXRSGPQ","GSON1112060225")</f>
        <v>#NAME?</v>
      </c>
      <c r="K774" s="28" t="e">
        <f ca="1">[1]!BexGetData("DP_1","003N8EMH8GTFRIVNUPY288VJH","GSON1112060225")</f>
        <v>#NAME?</v>
      </c>
      <c r="L774" s="28" t="e">
        <f ca="1">[1]!BexGetData("DP_1","003N8EMH8GTFRIVNUPY2891V1","GSON1112060225")</f>
        <v>#NAME?</v>
      </c>
      <c r="M774" s="28" t="e">
        <f ca="1">[1]!BexGetData("DP_1","003N8EMH8GTFRIVOG7KG9IQXA","GSON1112060225")</f>
        <v>#NAME?</v>
      </c>
      <c r="N774" s="28" t="e">
        <f ca="1">[1]!BexGetData("DP_1","003N8EMH8GTFRIVOG7KG9IX8U","GSON1112060225")</f>
        <v>#NAME?</v>
      </c>
      <c r="O774" s="28" t="e">
        <f ca="1">[1]!BexGetData("DP_1","003N8EMH8GTFRIVOG7KG9J3KE","GSON1112060225")</f>
        <v>#NAME?</v>
      </c>
      <c r="P774" s="28" t="e">
        <f ca="1">[1]!BexGetData("DP_1","003N8EMH8GTFRIVOG7KG9J9VY","GSON1112060225")</f>
        <v>#NAME?</v>
      </c>
      <c r="Q774" s="24" t="e">
        <f ca="1">[1]!BexGetData("DP_1","00O2TNJGODT0G5Z4TTKYMM5MT","GSON1112060225")</f>
        <v>#NAME?</v>
      </c>
      <c r="R774" s="28" t="e">
        <f ca="1">[1]!BexGetData("DP_1","00O2TNJGODT0G5Z4TTKYMMBYD","GSON1112060225")</f>
        <v>#NAME?</v>
      </c>
      <c r="S774" s="28" t="e">
        <f ca="1">[1]!BexGetData("DP_1","00O2TNJGODT0G5Z4TTKYMMI9X","GSON1112060225")</f>
        <v>#NAME?</v>
      </c>
      <c r="T774" s="28" t="e">
        <f ca="1">[1]!BexGetData("DP_1","00O2TNJGODT0G5Z4TTKYMMOLH","GSON1112060225")</f>
        <v>#NAME?</v>
      </c>
      <c r="U774" s="28" t="e">
        <f ca="1">[1]!BexGetData("DP_1","00O2TNJGODT0G5Z4TTKYMMUX1","GSON1112060225")</f>
        <v>#NAME?</v>
      </c>
      <c r="V774" s="28" t="e">
        <f ca="1">[1]!BexGetData("DP_1","00O2TNJGODT0G5Z4TTKYMN18L","GSON1112060225")</f>
        <v>#NAME?</v>
      </c>
      <c r="W774" s="28" t="e">
        <f ca="1">[1]!BexGetData("DP_1","00O2TNJGODT0G5Z4TTKYMN7K5","GSON1112060225")</f>
        <v>#NAME?</v>
      </c>
    </row>
    <row r="775" spans="1:23" x14ac:dyDescent="0.2">
      <c r="A775" s="36" t="s">
        <v>2943</v>
      </c>
      <c r="B775" s="27" t="s">
        <v>2944</v>
      </c>
      <c r="C775" s="23" t="e">
        <f ca="1">[1]!BexGetData("DP_1","003N8EMH8GTFRCSWKMPXRR8GU","GSON1112060230")</f>
        <v>#NAME?</v>
      </c>
      <c r="D775" s="23" t="e">
        <f ca="1">[1]!BexGetData("DP_1","003N8EMH8GTFRCSWKMPXRRESE","GSON1112060230")</f>
        <v>#NAME?</v>
      </c>
      <c r="E775" s="23" t="e">
        <f ca="1">[1]!BexGetData("DP_1","003N8EMH8GTFRCSWKMPXRRL3Y","GSON1112060230")</f>
        <v>#NAME?</v>
      </c>
      <c r="F775" s="23" t="e">
        <f ca="1">[1]!BexGetData("DP_1","003N8EMH8GTFRCSWKMPXRRRFI","GSON1112060230")</f>
        <v>#NAME?</v>
      </c>
      <c r="G775" s="23" t="e">
        <f ca="1">[1]!BexGetData("DP_1","003N8EMH8GTFRCSWKMPXRRXR2","GSON1112060230")</f>
        <v>#NAME?</v>
      </c>
      <c r="H775" s="23" t="e">
        <f ca="1">[1]!BexGetData("DP_1","003N8EMH8GTFRCSWKMPXRS42M","GSON1112060230")</f>
        <v>#NAME?</v>
      </c>
      <c r="I775" s="23" t="e">
        <f ca="1">[1]!BexGetData("DP_1","003N8EMH8GTFRCSWKMPXRSAE6","GSON1112060230")</f>
        <v>#NAME?</v>
      </c>
      <c r="J775" s="23" t="e">
        <f ca="1">[1]!BexGetData("DP_1","003N8EMH8GTFRCSWKMPXRSGPQ","GSON1112060230")</f>
        <v>#NAME?</v>
      </c>
      <c r="K775" s="23" t="e">
        <f ca="1">[1]!BexGetData("DP_1","003N8EMH8GTFRIVNUPY288VJH","GSON1112060230")</f>
        <v>#NAME?</v>
      </c>
      <c r="L775" s="23" t="e">
        <f ca="1">[1]!BexGetData("DP_1","003N8EMH8GTFRIVNUPY2891V1","GSON1112060230")</f>
        <v>#NAME?</v>
      </c>
      <c r="M775" s="28" t="e">
        <f ca="1">[1]!BexGetData("DP_1","003N8EMH8GTFRIVOG7KG9IQXA","GSON1112060230")</f>
        <v>#NAME?</v>
      </c>
      <c r="N775" s="23" t="e">
        <f ca="1">[1]!BexGetData("DP_1","003N8EMH8GTFRIVOG7KG9IX8U","GSON1112060230")</f>
        <v>#NAME?</v>
      </c>
      <c r="O775" s="28" t="e">
        <f ca="1">[1]!BexGetData("DP_1","003N8EMH8GTFRIVOG7KG9J3KE","GSON1112060230")</f>
        <v>#NAME?</v>
      </c>
      <c r="P775" s="23" t="e">
        <f ca="1">[1]!BexGetData("DP_1","003N8EMH8GTFRIVOG7KG9J9VY","GSON1112060230")</f>
        <v>#NAME?</v>
      </c>
      <c r="Q775" s="23" t="e">
        <f ca="1">[1]!BexGetData("DP_1","00O2TNJGODT0G5Z4TTKYMM5MT","GSON1112060230")</f>
        <v>#NAME?</v>
      </c>
      <c r="R775" s="23" t="e">
        <f ca="1">[1]!BexGetData("DP_1","00O2TNJGODT0G5Z4TTKYMMBYD","GSON1112060230")</f>
        <v>#NAME?</v>
      </c>
      <c r="S775" s="23" t="e">
        <f ca="1">[1]!BexGetData("DP_1","00O2TNJGODT0G5Z4TTKYMMI9X","GSON1112060230")</f>
        <v>#NAME?</v>
      </c>
      <c r="T775" s="28" t="e">
        <f ca="1">[1]!BexGetData("DP_1","00O2TNJGODT0G5Z4TTKYMMOLH","GSON1112060230")</f>
        <v>#NAME?</v>
      </c>
      <c r="U775" s="23" t="e">
        <f ca="1">[1]!BexGetData("DP_1","00O2TNJGODT0G5Z4TTKYMMUX1","GSON1112060230")</f>
        <v>#NAME?</v>
      </c>
      <c r="V775" s="28" t="e">
        <f ca="1">[1]!BexGetData("DP_1","00O2TNJGODT0G5Z4TTKYMN18L","GSON1112060230")</f>
        <v>#NAME?</v>
      </c>
      <c r="W775" s="23" t="e">
        <f ca="1">[1]!BexGetData("DP_1","00O2TNJGODT0G5Z4TTKYMN7K5","GSON1112060230")</f>
        <v>#NAME?</v>
      </c>
    </row>
    <row r="776" spans="1:23" x14ac:dyDescent="0.2">
      <c r="A776" s="36" t="s">
        <v>2945</v>
      </c>
      <c r="B776" s="27" t="s">
        <v>2946</v>
      </c>
      <c r="C776" s="28" t="e">
        <f ca="1">[1]!BexGetData("DP_1","003N8EMH8GTFRCSWKMPXRR8GU","GSON1112060231")</f>
        <v>#NAME?</v>
      </c>
      <c r="D776" s="28" t="e">
        <f ca="1">[1]!BexGetData("DP_1","003N8EMH8GTFRCSWKMPXRRESE","GSON1112060231")</f>
        <v>#NAME?</v>
      </c>
      <c r="E776" s="28" t="e">
        <f ca="1">[1]!BexGetData("DP_1","003N8EMH8GTFRCSWKMPXRRL3Y","GSON1112060231")</f>
        <v>#NAME?</v>
      </c>
      <c r="F776" s="28" t="e">
        <f ca="1">[1]!BexGetData("DP_1","003N8EMH8GTFRCSWKMPXRRRFI","GSON1112060231")</f>
        <v>#NAME?</v>
      </c>
      <c r="G776" s="23" t="e">
        <f ca="1">[1]!BexGetData("DP_1","003N8EMH8GTFRCSWKMPXRRXR2","GSON1112060231")</f>
        <v>#NAME?</v>
      </c>
      <c r="H776" s="23" t="e">
        <f ca="1">[1]!BexGetData("DP_1","003N8EMH8GTFRCSWKMPXRS42M","GSON1112060231")</f>
        <v>#NAME?</v>
      </c>
      <c r="I776" s="28" t="e">
        <f ca="1">[1]!BexGetData("DP_1","003N8EMH8GTFRCSWKMPXRSAE6","GSON1112060231")</f>
        <v>#NAME?</v>
      </c>
      <c r="J776" s="24" t="e">
        <f ca="1">[1]!BexGetData("DP_1","003N8EMH8GTFRCSWKMPXRSGPQ","GSON1112060231")</f>
        <v>#NAME?</v>
      </c>
      <c r="K776" s="28" t="e">
        <f ca="1">[1]!BexGetData("DP_1","003N8EMH8GTFRIVNUPY288VJH","GSON1112060231")</f>
        <v>#NAME?</v>
      </c>
      <c r="L776" s="28" t="e">
        <f ca="1">[1]!BexGetData("DP_1","003N8EMH8GTFRIVNUPY2891V1","GSON1112060231")</f>
        <v>#NAME?</v>
      </c>
      <c r="M776" s="28" t="e">
        <f ca="1">[1]!BexGetData("DP_1","003N8EMH8GTFRIVOG7KG9IQXA","GSON1112060231")</f>
        <v>#NAME?</v>
      </c>
      <c r="N776" s="28" t="e">
        <f ca="1">[1]!BexGetData("DP_1","003N8EMH8GTFRIVOG7KG9IX8U","GSON1112060231")</f>
        <v>#NAME?</v>
      </c>
      <c r="O776" s="28" t="e">
        <f ca="1">[1]!BexGetData("DP_1","003N8EMH8GTFRIVOG7KG9J3KE","GSON1112060231")</f>
        <v>#NAME?</v>
      </c>
      <c r="P776" s="28" t="e">
        <f ca="1">[1]!BexGetData("DP_1","003N8EMH8GTFRIVOG7KG9J9VY","GSON1112060231")</f>
        <v>#NAME?</v>
      </c>
      <c r="Q776" s="24" t="e">
        <f ca="1">[1]!BexGetData("DP_1","00O2TNJGODT0G5Z4TTKYMM5MT","GSON1112060231")</f>
        <v>#NAME?</v>
      </c>
      <c r="R776" s="28" t="e">
        <f ca="1">[1]!BexGetData("DP_1","00O2TNJGODT0G5Z4TTKYMMBYD","GSON1112060231")</f>
        <v>#NAME?</v>
      </c>
      <c r="S776" s="28" t="e">
        <f ca="1">[1]!BexGetData("DP_1","00O2TNJGODT0G5Z4TTKYMMI9X","GSON1112060231")</f>
        <v>#NAME?</v>
      </c>
      <c r="T776" s="28" t="e">
        <f ca="1">[1]!BexGetData("DP_1","00O2TNJGODT0G5Z4TTKYMMOLH","GSON1112060231")</f>
        <v>#NAME?</v>
      </c>
      <c r="U776" s="28" t="e">
        <f ca="1">[1]!BexGetData("DP_1","00O2TNJGODT0G5Z4TTKYMMUX1","GSON1112060231")</f>
        <v>#NAME?</v>
      </c>
      <c r="V776" s="28" t="e">
        <f ca="1">[1]!BexGetData("DP_1","00O2TNJGODT0G5Z4TTKYMN18L","GSON1112060231")</f>
        <v>#NAME?</v>
      </c>
      <c r="W776" s="28" t="e">
        <f ca="1">[1]!BexGetData("DP_1","00O2TNJGODT0G5Z4TTKYMN7K5","GSON1112060231")</f>
        <v>#NAME?</v>
      </c>
    </row>
    <row r="777" spans="1:23" x14ac:dyDescent="0.2">
      <c r="A777" s="36" t="s">
        <v>2947</v>
      </c>
      <c r="B777" s="27" t="s">
        <v>2948</v>
      </c>
      <c r="C777" s="28" t="e">
        <f ca="1">[1]!BexGetData("DP_1","003N8EMH8GTFRCSWKMPXRR8GU","GSON1112060233")</f>
        <v>#NAME?</v>
      </c>
      <c r="D777" s="28" t="e">
        <f ca="1">[1]!BexGetData("DP_1","003N8EMH8GTFRCSWKMPXRRESE","GSON1112060233")</f>
        <v>#NAME?</v>
      </c>
      <c r="E777" s="28" t="e">
        <f ca="1">[1]!BexGetData("DP_1","003N8EMH8GTFRCSWKMPXRRL3Y","GSON1112060233")</f>
        <v>#NAME?</v>
      </c>
      <c r="F777" s="28" t="e">
        <f ca="1">[1]!BexGetData("DP_1","003N8EMH8GTFRCSWKMPXRRRFI","GSON1112060233")</f>
        <v>#NAME?</v>
      </c>
      <c r="G777" s="23" t="e">
        <f ca="1">[1]!BexGetData("DP_1","003N8EMH8GTFRCSWKMPXRRXR2","GSON1112060233")</f>
        <v>#NAME?</v>
      </c>
      <c r="H777" s="23" t="e">
        <f ca="1">[1]!BexGetData("DP_1","003N8EMH8GTFRCSWKMPXRS42M","GSON1112060233")</f>
        <v>#NAME?</v>
      </c>
      <c r="I777" s="28" t="e">
        <f ca="1">[1]!BexGetData("DP_1","003N8EMH8GTFRCSWKMPXRSAE6","GSON1112060233")</f>
        <v>#NAME?</v>
      </c>
      <c r="J777" s="24" t="e">
        <f ca="1">[1]!BexGetData("DP_1","003N8EMH8GTFRCSWKMPXRSGPQ","GSON1112060233")</f>
        <v>#NAME?</v>
      </c>
      <c r="K777" s="28" t="e">
        <f ca="1">[1]!BexGetData("DP_1","003N8EMH8GTFRIVNUPY288VJH","GSON1112060233")</f>
        <v>#NAME?</v>
      </c>
      <c r="L777" s="28" t="e">
        <f ca="1">[1]!BexGetData("DP_1","003N8EMH8GTFRIVNUPY2891V1","GSON1112060233")</f>
        <v>#NAME?</v>
      </c>
      <c r="M777" s="28" t="e">
        <f ca="1">[1]!BexGetData("DP_1","003N8EMH8GTFRIVOG7KG9IQXA","GSON1112060233")</f>
        <v>#NAME?</v>
      </c>
      <c r="N777" s="28" t="e">
        <f ca="1">[1]!BexGetData("DP_1","003N8EMH8GTFRIVOG7KG9IX8U","GSON1112060233")</f>
        <v>#NAME?</v>
      </c>
      <c r="O777" s="28" t="e">
        <f ca="1">[1]!BexGetData("DP_1","003N8EMH8GTFRIVOG7KG9J3KE","GSON1112060233")</f>
        <v>#NAME?</v>
      </c>
      <c r="P777" s="28" t="e">
        <f ca="1">[1]!BexGetData("DP_1","003N8EMH8GTFRIVOG7KG9J9VY","GSON1112060233")</f>
        <v>#NAME?</v>
      </c>
      <c r="Q777" s="24" t="e">
        <f ca="1">[1]!BexGetData("DP_1","00O2TNJGODT0G5Z4TTKYMM5MT","GSON1112060233")</f>
        <v>#NAME?</v>
      </c>
      <c r="R777" s="28" t="e">
        <f ca="1">[1]!BexGetData("DP_1","00O2TNJGODT0G5Z4TTKYMMBYD","GSON1112060233")</f>
        <v>#NAME?</v>
      </c>
      <c r="S777" s="28" t="e">
        <f ca="1">[1]!BexGetData("DP_1","00O2TNJGODT0G5Z4TTKYMMI9X","GSON1112060233")</f>
        <v>#NAME?</v>
      </c>
      <c r="T777" s="28" t="e">
        <f ca="1">[1]!BexGetData("DP_1","00O2TNJGODT0G5Z4TTKYMMOLH","GSON1112060233")</f>
        <v>#NAME?</v>
      </c>
      <c r="U777" s="28" t="e">
        <f ca="1">[1]!BexGetData("DP_1","00O2TNJGODT0G5Z4TTKYMMUX1","GSON1112060233")</f>
        <v>#NAME?</v>
      </c>
      <c r="V777" s="28" t="e">
        <f ca="1">[1]!BexGetData("DP_1","00O2TNJGODT0G5Z4TTKYMN18L","GSON1112060233")</f>
        <v>#NAME?</v>
      </c>
      <c r="W777" s="28" t="e">
        <f ca="1">[1]!BexGetData("DP_1","00O2TNJGODT0G5Z4TTKYMN7K5","GSON1112060233")</f>
        <v>#NAME?</v>
      </c>
    </row>
    <row r="778" spans="1:23" x14ac:dyDescent="0.2">
      <c r="A778" s="36" t="s">
        <v>2949</v>
      </c>
      <c r="B778" s="27" t="s">
        <v>2950</v>
      </c>
      <c r="C778" s="23" t="e">
        <f ca="1">[1]!BexGetData("DP_1","003N8EMH8GTFRCSWKMPXRR8GU","GSON1112060234")</f>
        <v>#NAME?</v>
      </c>
      <c r="D778" s="23" t="e">
        <f ca="1">[1]!BexGetData("DP_1","003N8EMH8GTFRCSWKMPXRRESE","GSON1112060234")</f>
        <v>#NAME?</v>
      </c>
      <c r="E778" s="28" t="e">
        <f ca="1">[1]!BexGetData("DP_1","003N8EMH8GTFRCSWKMPXRRL3Y","GSON1112060234")</f>
        <v>#NAME?</v>
      </c>
      <c r="F778" s="28" t="e">
        <f ca="1">[1]!BexGetData("DP_1","003N8EMH8GTFRCSWKMPXRRRFI","GSON1112060234")</f>
        <v>#NAME?</v>
      </c>
      <c r="G778" s="23" t="e">
        <f ca="1">[1]!BexGetData("DP_1","003N8EMH8GTFRCSWKMPXRRXR2","GSON1112060234")</f>
        <v>#NAME?</v>
      </c>
      <c r="H778" s="23" t="e">
        <f ca="1">[1]!BexGetData("DP_1","003N8EMH8GTFRCSWKMPXRS42M","GSON1112060234")</f>
        <v>#NAME?</v>
      </c>
      <c r="I778" s="28" t="e">
        <f ca="1">[1]!BexGetData("DP_1","003N8EMH8GTFRCSWKMPXRSAE6","GSON1112060234")</f>
        <v>#NAME?</v>
      </c>
      <c r="J778" s="24" t="e">
        <f ca="1">[1]!BexGetData("DP_1","003N8EMH8GTFRCSWKMPXRSGPQ","GSON1112060234")</f>
        <v>#NAME?</v>
      </c>
      <c r="K778" s="28" t="e">
        <f ca="1">[1]!BexGetData("DP_1","003N8EMH8GTFRIVNUPY288VJH","GSON1112060234")</f>
        <v>#NAME?</v>
      </c>
      <c r="L778" s="28" t="e">
        <f ca="1">[1]!BexGetData("DP_1","003N8EMH8GTFRIVNUPY2891V1","GSON1112060234")</f>
        <v>#NAME?</v>
      </c>
      <c r="M778" s="28" t="e">
        <f ca="1">[1]!BexGetData("DP_1","003N8EMH8GTFRIVOG7KG9IQXA","GSON1112060234")</f>
        <v>#NAME?</v>
      </c>
      <c r="N778" s="28" t="e">
        <f ca="1">[1]!BexGetData("DP_1","003N8EMH8GTFRIVOG7KG9IX8U","GSON1112060234")</f>
        <v>#NAME?</v>
      </c>
      <c r="O778" s="28" t="e">
        <f ca="1">[1]!BexGetData("DP_1","003N8EMH8GTFRIVOG7KG9J3KE","GSON1112060234")</f>
        <v>#NAME?</v>
      </c>
      <c r="P778" s="28" t="e">
        <f ca="1">[1]!BexGetData("DP_1","003N8EMH8GTFRIVOG7KG9J9VY","GSON1112060234")</f>
        <v>#NAME?</v>
      </c>
      <c r="Q778" s="24" t="e">
        <f ca="1">[1]!BexGetData("DP_1","00O2TNJGODT0G5Z4TTKYMM5MT","GSON1112060234")</f>
        <v>#NAME?</v>
      </c>
      <c r="R778" s="28" t="e">
        <f ca="1">[1]!BexGetData("DP_1","00O2TNJGODT0G5Z4TTKYMMBYD","GSON1112060234")</f>
        <v>#NAME?</v>
      </c>
      <c r="S778" s="28" t="e">
        <f ca="1">[1]!BexGetData("DP_1","00O2TNJGODT0G5Z4TTKYMMI9X","GSON1112060234")</f>
        <v>#NAME?</v>
      </c>
      <c r="T778" s="28" t="e">
        <f ca="1">[1]!BexGetData("DP_1","00O2TNJGODT0G5Z4TTKYMMOLH","GSON1112060234")</f>
        <v>#NAME?</v>
      </c>
      <c r="U778" s="28" t="e">
        <f ca="1">[1]!BexGetData("DP_1","00O2TNJGODT0G5Z4TTKYMMUX1","GSON1112060234")</f>
        <v>#NAME?</v>
      </c>
      <c r="V778" s="28" t="e">
        <f ca="1">[1]!BexGetData("DP_1","00O2TNJGODT0G5Z4TTKYMN18L","GSON1112060234")</f>
        <v>#NAME?</v>
      </c>
      <c r="W778" s="28" t="e">
        <f ca="1">[1]!BexGetData("DP_1","00O2TNJGODT0G5Z4TTKYMN7K5","GSON1112060234")</f>
        <v>#NAME?</v>
      </c>
    </row>
    <row r="779" spans="1:23" x14ac:dyDescent="0.2">
      <c r="A779" s="36" t="s">
        <v>2951</v>
      </c>
      <c r="B779" s="27" t="s">
        <v>2952</v>
      </c>
      <c r="C779" s="23" t="e">
        <f ca="1">[1]!BexGetData("DP_1","003N8EMH8GTFRCSWKMPXRR8GU","GSON1112060235")</f>
        <v>#NAME?</v>
      </c>
      <c r="D779" s="23" t="e">
        <f ca="1">[1]!BexGetData("DP_1","003N8EMH8GTFRCSWKMPXRRESE","GSON1112060235")</f>
        <v>#NAME?</v>
      </c>
      <c r="E779" s="28" t="e">
        <f ca="1">[1]!BexGetData("DP_1","003N8EMH8GTFRCSWKMPXRRL3Y","GSON1112060235")</f>
        <v>#NAME?</v>
      </c>
      <c r="F779" s="28" t="e">
        <f ca="1">[1]!BexGetData("DP_1","003N8EMH8GTFRCSWKMPXRRRFI","GSON1112060235")</f>
        <v>#NAME?</v>
      </c>
      <c r="G779" s="23" t="e">
        <f ca="1">[1]!BexGetData("DP_1","003N8EMH8GTFRCSWKMPXRRXR2","GSON1112060235")</f>
        <v>#NAME?</v>
      </c>
      <c r="H779" s="23" t="e">
        <f ca="1">[1]!BexGetData("DP_1","003N8EMH8GTFRCSWKMPXRS42M","GSON1112060235")</f>
        <v>#NAME?</v>
      </c>
      <c r="I779" s="28" t="e">
        <f ca="1">[1]!BexGetData("DP_1","003N8EMH8GTFRCSWKMPXRSAE6","GSON1112060235")</f>
        <v>#NAME?</v>
      </c>
      <c r="J779" s="24" t="e">
        <f ca="1">[1]!BexGetData("DP_1","003N8EMH8GTFRCSWKMPXRSGPQ","GSON1112060235")</f>
        <v>#NAME?</v>
      </c>
      <c r="K779" s="28" t="e">
        <f ca="1">[1]!BexGetData("DP_1","003N8EMH8GTFRIVNUPY288VJH","GSON1112060235")</f>
        <v>#NAME?</v>
      </c>
      <c r="L779" s="28" t="e">
        <f ca="1">[1]!BexGetData("DP_1","003N8EMH8GTFRIVNUPY2891V1","GSON1112060235")</f>
        <v>#NAME?</v>
      </c>
      <c r="M779" s="28" t="e">
        <f ca="1">[1]!BexGetData("DP_1","003N8EMH8GTFRIVOG7KG9IQXA","GSON1112060235")</f>
        <v>#NAME?</v>
      </c>
      <c r="N779" s="28" t="e">
        <f ca="1">[1]!BexGetData("DP_1","003N8EMH8GTFRIVOG7KG9IX8U","GSON1112060235")</f>
        <v>#NAME?</v>
      </c>
      <c r="O779" s="28" t="e">
        <f ca="1">[1]!BexGetData("DP_1","003N8EMH8GTFRIVOG7KG9J3KE","GSON1112060235")</f>
        <v>#NAME?</v>
      </c>
      <c r="P779" s="28" t="e">
        <f ca="1">[1]!BexGetData("DP_1","003N8EMH8GTFRIVOG7KG9J9VY","GSON1112060235")</f>
        <v>#NAME?</v>
      </c>
      <c r="Q779" s="24" t="e">
        <f ca="1">[1]!BexGetData("DP_1","00O2TNJGODT0G5Z4TTKYMM5MT","GSON1112060235")</f>
        <v>#NAME?</v>
      </c>
      <c r="R779" s="28" t="e">
        <f ca="1">[1]!BexGetData("DP_1","00O2TNJGODT0G5Z4TTKYMMBYD","GSON1112060235")</f>
        <v>#NAME?</v>
      </c>
      <c r="S779" s="28" t="e">
        <f ca="1">[1]!BexGetData("DP_1","00O2TNJGODT0G5Z4TTKYMMI9X","GSON1112060235")</f>
        <v>#NAME?</v>
      </c>
      <c r="T779" s="28" t="e">
        <f ca="1">[1]!BexGetData("DP_1","00O2TNJGODT0G5Z4TTKYMMOLH","GSON1112060235")</f>
        <v>#NAME?</v>
      </c>
      <c r="U779" s="28" t="e">
        <f ca="1">[1]!BexGetData("DP_1","00O2TNJGODT0G5Z4TTKYMMUX1","GSON1112060235")</f>
        <v>#NAME?</v>
      </c>
      <c r="V779" s="28" t="e">
        <f ca="1">[1]!BexGetData("DP_1","00O2TNJGODT0G5Z4TTKYMN18L","GSON1112060235")</f>
        <v>#NAME?</v>
      </c>
      <c r="W779" s="28" t="e">
        <f ca="1">[1]!BexGetData("DP_1","00O2TNJGODT0G5Z4TTKYMN7K5","GSON1112060235")</f>
        <v>#NAME?</v>
      </c>
    </row>
    <row r="780" spans="1:23" x14ac:dyDescent="0.2">
      <c r="A780" s="36" t="s">
        <v>2953</v>
      </c>
      <c r="B780" s="27" t="s">
        <v>2954</v>
      </c>
      <c r="C780" s="28" t="e">
        <f ca="1">[1]!BexGetData("DP_1","003N8EMH8GTFRCSWKMPXRR8GU","GSON1112060240")</f>
        <v>#NAME?</v>
      </c>
      <c r="D780" s="28" t="e">
        <f ca="1">[1]!BexGetData("DP_1","003N8EMH8GTFRCSWKMPXRRESE","GSON1112060240")</f>
        <v>#NAME?</v>
      </c>
      <c r="E780" s="23" t="e">
        <f ca="1">[1]!BexGetData("DP_1","003N8EMH8GTFRCSWKMPXRRL3Y","GSON1112060240")</f>
        <v>#NAME?</v>
      </c>
      <c r="F780" s="23" t="e">
        <f ca="1">[1]!BexGetData("DP_1","003N8EMH8GTFRCSWKMPXRRRFI","GSON1112060240")</f>
        <v>#NAME?</v>
      </c>
      <c r="G780" s="23" t="e">
        <f ca="1">[1]!BexGetData("DP_1","003N8EMH8GTFRCSWKMPXRRXR2","GSON1112060240")</f>
        <v>#NAME?</v>
      </c>
      <c r="H780" s="23" t="e">
        <f ca="1">[1]!BexGetData("DP_1","003N8EMH8GTFRCSWKMPXRS42M","GSON1112060240")</f>
        <v>#NAME?</v>
      </c>
      <c r="I780" s="23" t="e">
        <f ca="1">[1]!BexGetData("DP_1","003N8EMH8GTFRCSWKMPXRSAE6","GSON1112060240")</f>
        <v>#NAME?</v>
      </c>
      <c r="J780" s="23" t="e">
        <f ca="1">[1]!BexGetData("DP_1","003N8EMH8GTFRCSWKMPXRSGPQ","GSON1112060240")</f>
        <v>#NAME?</v>
      </c>
      <c r="K780" s="28" t="e">
        <f ca="1">[1]!BexGetData("DP_1","003N8EMH8GTFRIVNUPY288VJH","GSON1112060240")</f>
        <v>#NAME?</v>
      </c>
      <c r="L780" s="28" t="e">
        <f ca="1">[1]!BexGetData("DP_1","003N8EMH8GTFRIVNUPY2891V1","GSON1112060240")</f>
        <v>#NAME?</v>
      </c>
      <c r="M780" s="28" t="e">
        <f ca="1">[1]!BexGetData("DP_1","003N8EMH8GTFRIVOG7KG9IQXA","GSON1112060240")</f>
        <v>#NAME?</v>
      </c>
      <c r="N780" s="28" t="e">
        <f ca="1">[1]!BexGetData("DP_1","003N8EMH8GTFRIVOG7KG9IX8U","GSON1112060240")</f>
        <v>#NAME?</v>
      </c>
      <c r="O780" s="28" t="e">
        <f ca="1">[1]!BexGetData("DP_1","003N8EMH8GTFRIVOG7KG9J3KE","GSON1112060240")</f>
        <v>#NAME?</v>
      </c>
      <c r="P780" s="28" t="e">
        <f ca="1">[1]!BexGetData("DP_1","003N8EMH8GTFRIVOG7KG9J9VY","GSON1112060240")</f>
        <v>#NAME?</v>
      </c>
      <c r="Q780" s="23" t="e">
        <f ca="1">[1]!BexGetData("DP_1","00O2TNJGODT0G5Z4TTKYMM5MT","GSON1112060240")</f>
        <v>#NAME?</v>
      </c>
      <c r="R780" s="23" t="e">
        <f ca="1">[1]!BexGetData("DP_1","00O2TNJGODT0G5Z4TTKYMMBYD","GSON1112060240")</f>
        <v>#NAME?</v>
      </c>
      <c r="S780" s="23" t="e">
        <f ca="1">[1]!BexGetData("DP_1","00O2TNJGODT0G5Z4TTKYMMI9X","GSON1112060240")</f>
        <v>#NAME?</v>
      </c>
      <c r="T780" s="23" t="e">
        <f ca="1">[1]!BexGetData("DP_1","00O2TNJGODT0G5Z4TTKYMMOLH","GSON1112060240")</f>
        <v>#NAME?</v>
      </c>
      <c r="U780" s="28" t="e">
        <f ca="1">[1]!BexGetData("DP_1","00O2TNJGODT0G5Z4TTKYMMUX1","GSON1112060240")</f>
        <v>#NAME?</v>
      </c>
      <c r="V780" s="23" t="e">
        <f ca="1">[1]!BexGetData("DP_1","00O2TNJGODT0G5Z4TTKYMN18L","GSON1112060240")</f>
        <v>#NAME?</v>
      </c>
      <c r="W780" s="28" t="e">
        <f ca="1">[1]!BexGetData("DP_1","00O2TNJGODT0G5Z4TTKYMN7K5","GSON1112060240")</f>
        <v>#NAME?</v>
      </c>
    </row>
    <row r="781" spans="1:23" x14ac:dyDescent="0.2">
      <c r="A781" s="36" t="s">
        <v>2955</v>
      </c>
      <c r="B781" s="27" t="s">
        <v>2956</v>
      </c>
      <c r="C781" s="24" t="e">
        <f ca="1">[1]!BexGetData("DP_1","003N8EMH8GTFRCSWKMPXRR8GU","GSON1112060241")</f>
        <v>#NAME?</v>
      </c>
      <c r="D781" s="24" t="e">
        <f ca="1">[1]!BexGetData("DP_1","003N8EMH8GTFRCSWKMPXRRESE","GSON1112060241")</f>
        <v>#NAME?</v>
      </c>
      <c r="E781" s="24" t="e">
        <f ca="1">[1]!BexGetData("DP_1","003N8EMH8GTFRCSWKMPXRRL3Y","GSON1112060241")</f>
        <v>#NAME?</v>
      </c>
      <c r="F781" s="28" t="e">
        <f ca="1">[1]!BexGetData("DP_1","003N8EMH8GTFRCSWKMPXRRRFI","GSON1112060241")</f>
        <v>#NAME?</v>
      </c>
      <c r="G781" s="23" t="e">
        <f ca="1">[1]!BexGetData("DP_1","003N8EMH8GTFRCSWKMPXRRXR2","GSON1112060241")</f>
        <v>#NAME?</v>
      </c>
      <c r="H781" s="23" t="e">
        <f ca="1">[1]!BexGetData("DP_1","003N8EMH8GTFRCSWKMPXRS42M","GSON1112060241")</f>
        <v>#NAME?</v>
      </c>
      <c r="I781" s="28" t="e">
        <f ca="1">[1]!BexGetData("DP_1","003N8EMH8GTFRCSWKMPXRSAE6","GSON1112060241")</f>
        <v>#NAME?</v>
      </c>
      <c r="J781" s="24" t="e">
        <f ca="1">[1]!BexGetData("DP_1","003N8EMH8GTFRCSWKMPXRSGPQ","GSON1112060241")</f>
        <v>#NAME?</v>
      </c>
      <c r="K781" s="28" t="e">
        <f ca="1">[1]!BexGetData("DP_1","003N8EMH8GTFRIVNUPY288VJH","GSON1112060241")</f>
        <v>#NAME?</v>
      </c>
      <c r="L781" s="28" t="e">
        <f ca="1">[1]!BexGetData("DP_1","003N8EMH8GTFRIVNUPY2891V1","GSON1112060241")</f>
        <v>#NAME?</v>
      </c>
      <c r="M781" s="28" t="e">
        <f ca="1">[1]!BexGetData("DP_1","003N8EMH8GTFRIVOG7KG9IQXA","GSON1112060241")</f>
        <v>#NAME?</v>
      </c>
      <c r="N781" s="28" t="e">
        <f ca="1">[1]!BexGetData("DP_1","003N8EMH8GTFRIVOG7KG9IX8U","GSON1112060241")</f>
        <v>#NAME?</v>
      </c>
      <c r="O781" s="28" t="e">
        <f ca="1">[1]!BexGetData("DP_1","003N8EMH8GTFRIVOG7KG9J3KE","GSON1112060241")</f>
        <v>#NAME?</v>
      </c>
      <c r="P781" s="28" t="e">
        <f ca="1">[1]!BexGetData("DP_1","003N8EMH8GTFRIVOG7KG9J9VY","GSON1112060241")</f>
        <v>#NAME?</v>
      </c>
      <c r="Q781" s="24" t="e">
        <f ca="1">[1]!BexGetData("DP_1","00O2TNJGODT0G5Z4TTKYMM5MT","GSON1112060241")</f>
        <v>#NAME?</v>
      </c>
      <c r="R781" s="28" t="e">
        <f ca="1">[1]!BexGetData("DP_1","00O2TNJGODT0G5Z4TTKYMMBYD","GSON1112060241")</f>
        <v>#NAME?</v>
      </c>
      <c r="S781" s="28" t="e">
        <f ca="1">[1]!BexGetData("DP_1","00O2TNJGODT0G5Z4TTKYMMI9X","GSON1112060241")</f>
        <v>#NAME?</v>
      </c>
      <c r="T781" s="28" t="e">
        <f ca="1">[1]!BexGetData("DP_1","00O2TNJGODT0G5Z4TTKYMMOLH","GSON1112060241")</f>
        <v>#NAME?</v>
      </c>
      <c r="U781" s="28" t="e">
        <f ca="1">[1]!BexGetData("DP_1","00O2TNJGODT0G5Z4TTKYMMUX1","GSON1112060241")</f>
        <v>#NAME?</v>
      </c>
      <c r="V781" s="28" t="e">
        <f ca="1">[1]!BexGetData("DP_1","00O2TNJGODT0G5Z4TTKYMN18L","GSON1112060241")</f>
        <v>#NAME?</v>
      </c>
      <c r="W781" s="28" t="e">
        <f ca="1">[1]!BexGetData("DP_1","00O2TNJGODT0G5Z4TTKYMN7K5","GSON1112060241")</f>
        <v>#NAME?</v>
      </c>
    </row>
    <row r="782" spans="1:23" x14ac:dyDescent="0.2">
      <c r="A782" s="36" t="s">
        <v>2957</v>
      </c>
      <c r="B782" s="27" t="s">
        <v>2958</v>
      </c>
      <c r="C782" s="24" t="e">
        <f ca="1">[1]!BexGetData("DP_1","003N8EMH8GTFRCSWKMPXRR8GU","GSON1112060243")</f>
        <v>#NAME?</v>
      </c>
      <c r="D782" s="24" t="e">
        <f ca="1">[1]!BexGetData("DP_1","003N8EMH8GTFRCSWKMPXRRESE","GSON1112060243")</f>
        <v>#NAME?</v>
      </c>
      <c r="E782" s="24" t="e">
        <f ca="1">[1]!BexGetData("DP_1","003N8EMH8GTFRCSWKMPXRRL3Y","GSON1112060243")</f>
        <v>#NAME?</v>
      </c>
      <c r="F782" s="28" t="e">
        <f ca="1">[1]!BexGetData("DP_1","003N8EMH8GTFRCSWKMPXRRRFI","GSON1112060243")</f>
        <v>#NAME?</v>
      </c>
      <c r="G782" s="23" t="e">
        <f ca="1">[1]!BexGetData("DP_1","003N8EMH8GTFRCSWKMPXRRXR2","GSON1112060243")</f>
        <v>#NAME?</v>
      </c>
      <c r="H782" s="23" t="e">
        <f ca="1">[1]!BexGetData("DP_1","003N8EMH8GTFRCSWKMPXRS42M","GSON1112060243")</f>
        <v>#NAME?</v>
      </c>
      <c r="I782" s="28" t="e">
        <f ca="1">[1]!BexGetData("DP_1","003N8EMH8GTFRCSWKMPXRSAE6","GSON1112060243")</f>
        <v>#NAME?</v>
      </c>
      <c r="J782" s="24" t="e">
        <f ca="1">[1]!BexGetData("DP_1","003N8EMH8GTFRCSWKMPXRSGPQ","GSON1112060243")</f>
        <v>#NAME?</v>
      </c>
      <c r="K782" s="28" t="e">
        <f ca="1">[1]!BexGetData("DP_1","003N8EMH8GTFRIVNUPY288VJH","GSON1112060243")</f>
        <v>#NAME?</v>
      </c>
      <c r="L782" s="28" t="e">
        <f ca="1">[1]!BexGetData("DP_1","003N8EMH8GTFRIVNUPY2891V1","GSON1112060243")</f>
        <v>#NAME?</v>
      </c>
      <c r="M782" s="28" t="e">
        <f ca="1">[1]!BexGetData("DP_1","003N8EMH8GTFRIVOG7KG9IQXA","GSON1112060243")</f>
        <v>#NAME?</v>
      </c>
      <c r="N782" s="28" t="e">
        <f ca="1">[1]!BexGetData("DP_1","003N8EMH8GTFRIVOG7KG9IX8U","GSON1112060243")</f>
        <v>#NAME?</v>
      </c>
      <c r="O782" s="28" t="e">
        <f ca="1">[1]!BexGetData("DP_1","003N8EMH8GTFRIVOG7KG9J3KE","GSON1112060243")</f>
        <v>#NAME?</v>
      </c>
      <c r="P782" s="28" t="e">
        <f ca="1">[1]!BexGetData("DP_1","003N8EMH8GTFRIVOG7KG9J9VY","GSON1112060243")</f>
        <v>#NAME?</v>
      </c>
      <c r="Q782" s="24" t="e">
        <f ca="1">[1]!BexGetData("DP_1","00O2TNJGODT0G5Z4TTKYMM5MT","GSON1112060243")</f>
        <v>#NAME?</v>
      </c>
      <c r="R782" s="28" t="e">
        <f ca="1">[1]!BexGetData("DP_1","00O2TNJGODT0G5Z4TTKYMMBYD","GSON1112060243")</f>
        <v>#NAME?</v>
      </c>
      <c r="S782" s="28" t="e">
        <f ca="1">[1]!BexGetData("DP_1","00O2TNJGODT0G5Z4TTKYMMI9X","GSON1112060243")</f>
        <v>#NAME?</v>
      </c>
      <c r="T782" s="28" t="e">
        <f ca="1">[1]!BexGetData("DP_1","00O2TNJGODT0G5Z4TTKYMMOLH","GSON1112060243")</f>
        <v>#NAME?</v>
      </c>
      <c r="U782" s="28" t="e">
        <f ca="1">[1]!BexGetData("DP_1","00O2TNJGODT0G5Z4TTKYMMUX1","GSON1112060243")</f>
        <v>#NAME?</v>
      </c>
      <c r="V782" s="28" t="e">
        <f ca="1">[1]!BexGetData("DP_1","00O2TNJGODT0G5Z4TTKYMN18L","GSON1112060243")</f>
        <v>#NAME?</v>
      </c>
      <c r="W782" s="28" t="e">
        <f ca="1">[1]!BexGetData("DP_1","00O2TNJGODT0G5Z4TTKYMN7K5","GSON1112060243")</f>
        <v>#NAME?</v>
      </c>
    </row>
    <row r="783" spans="1:23" x14ac:dyDescent="0.2">
      <c r="A783" s="36" t="s">
        <v>2959</v>
      </c>
      <c r="B783" s="27" t="s">
        <v>2960</v>
      </c>
      <c r="C783" s="28" t="e">
        <f ca="1">[1]!BexGetData("DP_1","003N8EMH8GTFRCSWKMPXRR8GU","GSON1112060245")</f>
        <v>#NAME?</v>
      </c>
      <c r="D783" s="28" t="e">
        <f ca="1">[1]!BexGetData("DP_1","003N8EMH8GTFRCSWKMPXRRESE","GSON1112060245")</f>
        <v>#NAME?</v>
      </c>
      <c r="E783" s="28" t="e">
        <f ca="1">[1]!BexGetData("DP_1","003N8EMH8GTFRCSWKMPXRRL3Y","GSON1112060245")</f>
        <v>#NAME?</v>
      </c>
      <c r="F783" s="28" t="e">
        <f ca="1">[1]!BexGetData("DP_1","003N8EMH8GTFRCSWKMPXRRRFI","GSON1112060245")</f>
        <v>#NAME?</v>
      </c>
      <c r="G783" s="23" t="e">
        <f ca="1">[1]!BexGetData("DP_1","003N8EMH8GTFRCSWKMPXRRXR2","GSON1112060245")</f>
        <v>#NAME?</v>
      </c>
      <c r="H783" s="23" t="e">
        <f ca="1">[1]!BexGetData("DP_1","003N8EMH8GTFRCSWKMPXRS42M","GSON1112060245")</f>
        <v>#NAME?</v>
      </c>
      <c r="I783" s="28" t="e">
        <f ca="1">[1]!BexGetData("DP_1","003N8EMH8GTFRCSWKMPXRSAE6","GSON1112060245")</f>
        <v>#NAME?</v>
      </c>
      <c r="J783" s="24" t="e">
        <f ca="1">[1]!BexGetData("DP_1","003N8EMH8GTFRCSWKMPXRSGPQ","GSON1112060245")</f>
        <v>#NAME?</v>
      </c>
      <c r="K783" s="28" t="e">
        <f ca="1">[1]!BexGetData("DP_1","003N8EMH8GTFRIVNUPY288VJH","GSON1112060245")</f>
        <v>#NAME?</v>
      </c>
      <c r="L783" s="28" t="e">
        <f ca="1">[1]!BexGetData("DP_1","003N8EMH8GTFRIVNUPY2891V1","GSON1112060245")</f>
        <v>#NAME?</v>
      </c>
      <c r="M783" s="28" t="e">
        <f ca="1">[1]!BexGetData("DP_1","003N8EMH8GTFRIVOG7KG9IQXA","GSON1112060245")</f>
        <v>#NAME?</v>
      </c>
      <c r="N783" s="28" t="e">
        <f ca="1">[1]!BexGetData("DP_1","003N8EMH8GTFRIVOG7KG9IX8U","GSON1112060245")</f>
        <v>#NAME?</v>
      </c>
      <c r="O783" s="28" t="e">
        <f ca="1">[1]!BexGetData("DP_1","003N8EMH8GTFRIVOG7KG9J3KE","GSON1112060245")</f>
        <v>#NAME?</v>
      </c>
      <c r="P783" s="28" t="e">
        <f ca="1">[1]!BexGetData("DP_1","003N8EMH8GTFRIVOG7KG9J9VY","GSON1112060245")</f>
        <v>#NAME?</v>
      </c>
      <c r="Q783" s="24" t="e">
        <f ca="1">[1]!BexGetData("DP_1","00O2TNJGODT0G5Z4TTKYMM5MT","GSON1112060245")</f>
        <v>#NAME?</v>
      </c>
      <c r="R783" s="28" t="e">
        <f ca="1">[1]!BexGetData("DP_1","00O2TNJGODT0G5Z4TTKYMMBYD","GSON1112060245")</f>
        <v>#NAME?</v>
      </c>
      <c r="S783" s="28" t="e">
        <f ca="1">[1]!BexGetData("DP_1","00O2TNJGODT0G5Z4TTKYMMI9X","GSON1112060245")</f>
        <v>#NAME?</v>
      </c>
      <c r="T783" s="28" t="e">
        <f ca="1">[1]!BexGetData("DP_1","00O2TNJGODT0G5Z4TTKYMMOLH","GSON1112060245")</f>
        <v>#NAME?</v>
      </c>
      <c r="U783" s="28" t="e">
        <f ca="1">[1]!BexGetData("DP_1","00O2TNJGODT0G5Z4TTKYMMUX1","GSON1112060245")</f>
        <v>#NAME?</v>
      </c>
      <c r="V783" s="28" t="e">
        <f ca="1">[1]!BexGetData("DP_1","00O2TNJGODT0G5Z4TTKYMN18L","GSON1112060245")</f>
        <v>#NAME?</v>
      </c>
      <c r="W783" s="28" t="e">
        <f ca="1">[1]!BexGetData("DP_1","00O2TNJGODT0G5Z4TTKYMN7K5","GSON1112060245")</f>
        <v>#NAME?</v>
      </c>
    </row>
    <row r="784" spans="1:23" x14ac:dyDescent="0.2">
      <c r="A784" s="36" t="s">
        <v>2961</v>
      </c>
      <c r="B784" s="27" t="s">
        <v>2962</v>
      </c>
      <c r="C784" s="23" t="e">
        <f ca="1">[1]!BexGetData("DP_1","003N8EMH8GTFRCSWKMPXRR8GU","GSON1112060260")</f>
        <v>#NAME?</v>
      </c>
      <c r="D784" s="23" t="e">
        <f ca="1">[1]!BexGetData("DP_1","003N8EMH8GTFRCSWKMPXRRESE","GSON1112060260")</f>
        <v>#NAME?</v>
      </c>
      <c r="E784" s="28" t="e">
        <f ca="1">[1]!BexGetData("DP_1","003N8EMH8GTFRCSWKMPXRRL3Y","GSON1112060260")</f>
        <v>#NAME?</v>
      </c>
      <c r="F784" s="23" t="e">
        <f ca="1">[1]!BexGetData("DP_1","003N8EMH8GTFRCSWKMPXRRRFI","GSON1112060260")</f>
        <v>#NAME?</v>
      </c>
      <c r="G784" s="23" t="e">
        <f ca="1">[1]!BexGetData("DP_1","003N8EMH8GTFRCSWKMPXRRXR2","GSON1112060260")</f>
        <v>#NAME?</v>
      </c>
      <c r="H784" s="23" t="e">
        <f ca="1">[1]!BexGetData("DP_1","003N8EMH8GTFRCSWKMPXRS42M","GSON1112060260")</f>
        <v>#NAME?</v>
      </c>
      <c r="I784" s="23" t="e">
        <f ca="1">[1]!BexGetData("DP_1","003N8EMH8GTFRCSWKMPXRSAE6","GSON1112060260")</f>
        <v>#NAME?</v>
      </c>
      <c r="J784" s="23" t="e">
        <f ca="1">[1]!BexGetData("DP_1","003N8EMH8GTFRCSWKMPXRSGPQ","GSON1112060260")</f>
        <v>#NAME?</v>
      </c>
      <c r="K784" s="23" t="e">
        <f ca="1">[1]!BexGetData("DP_1","003N8EMH8GTFRIVNUPY288VJH","GSON1112060260")</f>
        <v>#NAME?</v>
      </c>
      <c r="L784" s="23" t="e">
        <f ca="1">[1]!BexGetData("DP_1","003N8EMH8GTFRIVNUPY2891V1","GSON1112060260")</f>
        <v>#NAME?</v>
      </c>
      <c r="M784" s="23" t="e">
        <f ca="1">[1]!BexGetData("DP_1","003N8EMH8GTFRIVOG7KG9IQXA","GSON1112060260")</f>
        <v>#NAME?</v>
      </c>
      <c r="N784" s="28" t="e">
        <f ca="1">[1]!BexGetData("DP_1","003N8EMH8GTFRIVOG7KG9IX8U","GSON1112060260")</f>
        <v>#NAME?</v>
      </c>
      <c r="O784" s="23" t="e">
        <f ca="1">[1]!BexGetData("DP_1","003N8EMH8GTFRIVOG7KG9J3KE","GSON1112060260")</f>
        <v>#NAME?</v>
      </c>
      <c r="P784" s="28" t="e">
        <f ca="1">[1]!BexGetData("DP_1","003N8EMH8GTFRIVOG7KG9J9VY","GSON1112060260")</f>
        <v>#NAME?</v>
      </c>
      <c r="Q784" s="23" t="e">
        <f ca="1">[1]!BexGetData("DP_1","00O2TNJGODT0G5Z4TTKYMM5MT","GSON1112060260")</f>
        <v>#NAME?</v>
      </c>
      <c r="R784" s="23" t="e">
        <f ca="1">[1]!BexGetData("DP_1","00O2TNJGODT0G5Z4TTKYMMBYD","GSON1112060260")</f>
        <v>#NAME?</v>
      </c>
      <c r="S784" s="23" t="e">
        <f ca="1">[1]!BexGetData("DP_1","00O2TNJGODT0G5Z4TTKYMMI9X","GSON1112060260")</f>
        <v>#NAME?</v>
      </c>
      <c r="T784" s="28" t="e">
        <f ca="1">[1]!BexGetData("DP_1","00O2TNJGODT0G5Z4TTKYMMOLH","GSON1112060260")</f>
        <v>#NAME?</v>
      </c>
      <c r="U784" s="23" t="e">
        <f ca="1">[1]!BexGetData("DP_1","00O2TNJGODT0G5Z4TTKYMMUX1","GSON1112060260")</f>
        <v>#NAME?</v>
      </c>
      <c r="V784" s="28" t="e">
        <f ca="1">[1]!BexGetData("DP_1","00O2TNJGODT0G5Z4TTKYMN18L","GSON1112060260")</f>
        <v>#NAME?</v>
      </c>
      <c r="W784" s="23" t="e">
        <f ca="1">[1]!BexGetData("DP_1","00O2TNJGODT0G5Z4TTKYMN7K5","GSON1112060260")</f>
        <v>#NAME?</v>
      </c>
    </row>
    <row r="785" spans="1:23" x14ac:dyDescent="0.2">
      <c r="A785" s="36" t="s">
        <v>2963</v>
      </c>
      <c r="B785" s="27" t="s">
        <v>2964</v>
      </c>
      <c r="C785" s="24" t="e">
        <f ca="1">[1]!BexGetData("DP_1","003N8EMH8GTFRCSWKMPXRR8GU","GSON1112060261")</f>
        <v>#NAME?</v>
      </c>
      <c r="D785" s="24" t="e">
        <f ca="1">[1]!BexGetData("DP_1","003N8EMH8GTFRCSWKMPXRRESE","GSON1112060261")</f>
        <v>#NAME?</v>
      </c>
      <c r="E785" s="24" t="e">
        <f ca="1">[1]!BexGetData("DP_1","003N8EMH8GTFRCSWKMPXRRL3Y","GSON1112060261")</f>
        <v>#NAME?</v>
      </c>
      <c r="F785" s="28" t="e">
        <f ca="1">[1]!BexGetData("DP_1","003N8EMH8GTFRCSWKMPXRRRFI","GSON1112060261")</f>
        <v>#NAME?</v>
      </c>
      <c r="G785" s="23" t="e">
        <f ca="1">[1]!BexGetData("DP_1","003N8EMH8GTFRCSWKMPXRRXR2","GSON1112060261")</f>
        <v>#NAME?</v>
      </c>
      <c r="H785" s="23" t="e">
        <f ca="1">[1]!BexGetData("DP_1","003N8EMH8GTFRCSWKMPXRS42M","GSON1112060261")</f>
        <v>#NAME?</v>
      </c>
      <c r="I785" s="28" t="e">
        <f ca="1">[1]!BexGetData("DP_1","003N8EMH8GTFRCSWKMPXRSAE6","GSON1112060261")</f>
        <v>#NAME?</v>
      </c>
      <c r="J785" s="24" t="e">
        <f ca="1">[1]!BexGetData("DP_1","003N8EMH8GTFRCSWKMPXRSGPQ","GSON1112060261")</f>
        <v>#NAME?</v>
      </c>
      <c r="K785" s="28" t="e">
        <f ca="1">[1]!BexGetData("DP_1","003N8EMH8GTFRIVNUPY288VJH","GSON1112060261")</f>
        <v>#NAME?</v>
      </c>
      <c r="L785" s="28" t="e">
        <f ca="1">[1]!BexGetData("DP_1","003N8EMH8GTFRIVNUPY2891V1","GSON1112060261")</f>
        <v>#NAME?</v>
      </c>
      <c r="M785" s="28" t="e">
        <f ca="1">[1]!BexGetData("DP_1","003N8EMH8GTFRIVOG7KG9IQXA","GSON1112060261")</f>
        <v>#NAME?</v>
      </c>
      <c r="N785" s="28" t="e">
        <f ca="1">[1]!BexGetData("DP_1","003N8EMH8GTFRIVOG7KG9IX8U","GSON1112060261")</f>
        <v>#NAME?</v>
      </c>
      <c r="O785" s="28" t="e">
        <f ca="1">[1]!BexGetData("DP_1","003N8EMH8GTFRIVOG7KG9J3KE","GSON1112060261")</f>
        <v>#NAME?</v>
      </c>
      <c r="P785" s="28" t="e">
        <f ca="1">[1]!BexGetData("DP_1","003N8EMH8GTFRIVOG7KG9J9VY","GSON1112060261")</f>
        <v>#NAME?</v>
      </c>
      <c r="Q785" s="24" t="e">
        <f ca="1">[1]!BexGetData("DP_1","00O2TNJGODT0G5Z4TTKYMM5MT","GSON1112060261")</f>
        <v>#NAME?</v>
      </c>
      <c r="R785" s="28" t="e">
        <f ca="1">[1]!BexGetData("DP_1","00O2TNJGODT0G5Z4TTKYMMBYD","GSON1112060261")</f>
        <v>#NAME?</v>
      </c>
      <c r="S785" s="28" t="e">
        <f ca="1">[1]!BexGetData("DP_1","00O2TNJGODT0G5Z4TTKYMMI9X","GSON1112060261")</f>
        <v>#NAME?</v>
      </c>
      <c r="T785" s="28" t="e">
        <f ca="1">[1]!BexGetData("DP_1","00O2TNJGODT0G5Z4TTKYMMOLH","GSON1112060261")</f>
        <v>#NAME?</v>
      </c>
      <c r="U785" s="28" t="e">
        <f ca="1">[1]!BexGetData("DP_1","00O2TNJGODT0G5Z4TTKYMMUX1","GSON1112060261")</f>
        <v>#NAME?</v>
      </c>
      <c r="V785" s="28" t="e">
        <f ca="1">[1]!BexGetData("DP_1","00O2TNJGODT0G5Z4TTKYMN18L","GSON1112060261")</f>
        <v>#NAME?</v>
      </c>
      <c r="W785" s="28" t="e">
        <f ca="1">[1]!BexGetData("DP_1","00O2TNJGODT0G5Z4TTKYMN7K5","GSON1112060261")</f>
        <v>#NAME?</v>
      </c>
    </row>
    <row r="786" spans="1:23" x14ac:dyDescent="0.2">
      <c r="A786" s="36" t="s">
        <v>2965</v>
      </c>
      <c r="B786" s="27" t="s">
        <v>2966</v>
      </c>
      <c r="C786" s="24" t="e">
        <f ca="1">[1]!BexGetData("DP_1","003N8EMH8GTFRCSWKMPXRR8GU","GSON1112060263")</f>
        <v>#NAME?</v>
      </c>
      <c r="D786" s="24" t="e">
        <f ca="1">[1]!BexGetData("DP_1","003N8EMH8GTFRCSWKMPXRRESE","GSON1112060263")</f>
        <v>#NAME?</v>
      </c>
      <c r="E786" s="24" t="e">
        <f ca="1">[1]!BexGetData("DP_1","003N8EMH8GTFRCSWKMPXRRL3Y","GSON1112060263")</f>
        <v>#NAME?</v>
      </c>
      <c r="F786" s="28" t="e">
        <f ca="1">[1]!BexGetData("DP_1","003N8EMH8GTFRCSWKMPXRRRFI","GSON1112060263")</f>
        <v>#NAME?</v>
      </c>
      <c r="G786" s="23" t="e">
        <f ca="1">[1]!BexGetData("DP_1","003N8EMH8GTFRCSWKMPXRRXR2","GSON1112060263")</f>
        <v>#NAME?</v>
      </c>
      <c r="H786" s="23" t="e">
        <f ca="1">[1]!BexGetData("DP_1","003N8EMH8GTFRCSWKMPXRS42M","GSON1112060263")</f>
        <v>#NAME?</v>
      </c>
      <c r="I786" s="28" t="e">
        <f ca="1">[1]!BexGetData("DP_1","003N8EMH8GTFRCSWKMPXRSAE6","GSON1112060263")</f>
        <v>#NAME?</v>
      </c>
      <c r="J786" s="24" t="e">
        <f ca="1">[1]!BexGetData("DP_1","003N8EMH8GTFRCSWKMPXRSGPQ","GSON1112060263")</f>
        <v>#NAME?</v>
      </c>
      <c r="K786" s="28" t="e">
        <f ca="1">[1]!BexGetData("DP_1","003N8EMH8GTFRIVNUPY288VJH","GSON1112060263")</f>
        <v>#NAME?</v>
      </c>
      <c r="L786" s="28" t="e">
        <f ca="1">[1]!BexGetData("DP_1","003N8EMH8GTFRIVNUPY2891V1","GSON1112060263")</f>
        <v>#NAME?</v>
      </c>
      <c r="M786" s="28" t="e">
        <f ca="1">[1]!BexGetData("DP_1","003N8EMH8GTFRIVOG7KG9IQXA","GSON1112060263")</f>
        <v>#NAME?</v>
      </c>
      <c r="N786" s="28" t="e">
        <f ca="1">[1]!BexGetData("DP_1","003N8EMH8GTFRIVOG7KG9IX8U","GSON1112060263")</f>
        <v>#NAME?</v>
      </c>
      <c r="O786" s="28" t="e">
        <f ca="1">[1]!BexGetData("DP_1","003N8EMH8GTFRIVOG7KG9J3KE","GSON1112060263")</f>
        <v>#NAME?</v>
      </c>
      <c r="P786" s="28" t="e">
        <f ca="1">[1]!BexGetData("DP_1","003N8EMH8GTFRIVOG7KG9J9VY","GSON1112060263")</f>
        <v>#NAME?</v>
      </c>
      <c r="Q786" s="24" t="e">
        <f ca="1">[1]!BexGetData("DP_1","00O2TNJGODT0G5Z4TTKYMM5MT","GSON1112060263")</f>
        <v>#NAME?</v>
      </c>
      <c r="R786" s="28" t="e">
        <f ca="1">[1]!BexGetData("DP_1","00O2TNJGODT0G5Z4TTKYMMBYD","GSON1112060263")</f>
        <v>#NAME?</v>
      </c>
      <c r="S786" s="28" t="e">
        <f ca="1">[1]!BexGetData("DP_1","00O2TNJGODT0G5Z4TTKYMMI9X","GSON1112060263")</f>
        <v>#NAME?</v>
      </c>
      <c r="T786" s="28" t="e">
        <f ca="1">[1]!BexGetData("DP_1","00O2TNJGODT0G5Z4TTKYMMOLH","GSON1112060263")</f>
        <v>#NAME?</v>
      </c>
      <c r="U786" s="28" t="e">
        <f ca="1">[1]!BexGetData("DP_1","00O2TNJGODT0G5Z4TTKYMMUX1","GSON1112060263")</f>
        <v>#NAME?</v>
      </c>
      <c r="V786" s="28" t="e">
        <f ca="1">[1]!BexGetData("DP_1","00O2TNJGODT0G5Z4TTKYMN18L","GSON1112060263")</f>
        <v>#NAME?</v>
      </c>
      <c r="W786" s="28" t="e">
        <f ca="1">[1]!BexGetData("DP_1","00O2TNJGODT0G5Z4TTKYMN7K5","GSON1112060263")</f>
        <v>#NAME?</v>
      </c>
    </row>
    <row r="787" spans="1:23" x14ac:dyDescent="0.2">
      <c r="A787" s="36" t="s">
        <v>2967</v>
      </c>
      <c r="B787" s="27" t="s">
        <v>2968</v>
      </c>
      <c r="C787" s="23" t="e">
        <f ca="1">[1]!BexGetData("DP_1","003N8EMH8GTFRCSWKMPXRR8GU","GSON1112060264")</f>
        <v>#NAME?</v>
      </c>
      <c r="D787" s="23" t="e">
        <f ca="1">[1]!BexGetData("DP_1","003N8EMH8GTFRCSWKMPXRRESE","GSON1112060264")</f>
        <v>#NAME?</v>
      </c>
      <c r="E787" s="28" t="e">
        <f ca="1">[1]!BexGetData("DP_1","003N8EMH8GTFRCSWKMPXRRL3Y","GSON1112060264")</f>
        <v>#NAME?</v>
      </c>
      <c r="F787" s="24" t="e">
        <f ca="1">[1]!BexGetData("DP_1","003N8EMH8GTFRCSWKMPXRRRFI","GSON1112060264")</f>
        <v>#NAME?</v>
      </c>
      <c r="G787" s="24" t="e">
        <f ca="1">[1]!BexGetData("DP_1","003N8EMH8GTFRCSWKMPXRRXR2","GSON1112060264")</f>
        <v>#NAME?</v>
      </c>
      <c r="H787" s="24" t="e">
        <f ca="1">[1]!BexGetData("DP_1","003N8EMH8GTFRCSWKMPXRS42M","GSON1112060264")</f>
        <v>#NAME?</v>
      </c>
      <c r="I787" s="24" t="e">
        <f ca="1">[1]!BexGetData("DP_1","003N8EMH8GTFRCSWKMPXRSAE6","GSON1112060264")</f>
        <v>#NAME?</v>
      </c>
      <c r="J787" s="24" t="e">
        <f ca="1">[1]!BexGetData("DP_1","003N8EMH8GTFRCSWKMPXRSGPQ","GSON1112060264")</f>
        <v>#NAME?</v>
      </c>
      <c r="K787" s="28" t="e">
        <f ca="1">[1]!BexGetData("DP_1","003N8EMH8GTFRIVNUPY288VJH","GSON1112060264")</f>
        <v>#NAME?</v>
      </c>
      <c r="L787" s="28" t="e">
        <f ca="1">[1]!BexGetData("DP_1","003N8EMH8GTFRIVNUPY2891V1","GSON1112060264")</f>
        <v>#NAME?</v>
      </c>
      <c r="M787" s="28" t="e">
        <f ca="1">[1]!BexGetData("DP_1","003N8EMH8GTFRIVOG7KG9IQXA","GSON1112060264")</f>
        <v>#NAME?</v>
      </c>
      <c r="N787" s="28" t="e">
        <f ca="1">[1]!BexGetData("DP_1","003N8EMH8GTFRIVOG7KG9IX8U","GSON1112060264")</f>
        <v>#NAME?</v>
      </c>
      <c r="O787" s="28" t="e">
        <f ca="1">[1]!BexGetData("DP_1","003N8EMH8GTFRIVOG7KG9J3KE","GSON1112060264")</f>
        <v>#NAME?</v>
      </c>
      <c r="P787" s="28" t="e">
        <f ca="1">[1]!BexGetData("DP_1","003N8EMH8GTFRIVOG7KG9J9VY","GSON1112060264")</f>
        <v>#NAME?</v>
      </c>
      <c r="Q787" s="24" t="e">
        <f ca="1">[1]!BexGetData("DP_1","00O2TNJGODT0G5Z4TTKYMM5MT","GSON1112060264")</f>
        <v>#NAME?</v>
      </c>
      <c r="R787" s="24" t="e">
        <f ca="1">[1]!BexGetData("DP_1","00O2TNJGODT0G5Z4TTKYMMBYD","GSON1112060264")</f>
        <v>#NAME?</v>
      </c>
      <c r="S787" s="24" t="e">
        <f ca="1">[1]!BexGetData("DP_1","00O2TNJGODT0G5Z4TTKYMMI9X","GSON1112060264")</f>
        <v>#NAME?</v>
      </c>
      <c r="T787" s="24" t="e">
        <f ca="1">[1]!BexGetData("DP_1","00O2TNJGODT0G5Z4TTKYMMOLH","GSON1112060264")</f>
        <v>#NAME?</v>
      </c>
      <c r="U787" s="24" t="e">
        <f ca="1">[1]!BexGetData("DP_1","00O2TNJGODT0G5Z4TTKYMMUX1","GSON1112060264")</f>
        <v>#NAME?</v>
      </c>
      <c r="V787" s="24" t="e">
        <f ca="1">[1]!BexGetData("DP_1","00O2TNJGODT0G5Z4TTKYMN18L","GSON1112060264")</f>
        <v>#NAME?</v>
      </c>
      <c r="W787" s="24" t="e">
        <f ca="1">[1]!BexGetData("DP_1","00O2TNJGODT0G5Z4TTKYMN7K5","GSON1112060264")</f>
        <v>#NAME?</v>
      </c>
    </row>
    <row r="788" spans="1:23" x14ac:dyDescent="0.2">
      <c r="A788" s="36" t="s">
        <v>2969</v>
      </c>
      <c r="B788" s="27" t="s">
        <v>2970</v>
      </c>
      <c r="C788" s="23" t="e">
        <f ca="1">[1]!BexGetData("DP_1","003N8EMH8GTFRCSWKMPXRR8GU","GSON1112060270")</f>
        <v>#NAME?</v>
      </c>
      <c r="D788" s="23" t="e">
        <f ca="1">[1]!BexGetData("DP_1","003N8EMH8GTFRCSWKMPXRRESE","GSON1112060270")</f>
        <v>#NAME?</v>
      </c>
      <c r="E788" s="23" t="e">
        <f ca="1">[1]!BexGetData("DP_1","003N8EMH8GTFRCSWKMPXRRL3Y","GSON1112060270")</f>
        <v>#NAME?</v>
      </c>
      <c r="F788" s="23" t="e">
        <f ca="1">[1]!BexGetData("DP_1","003N8EMH8GTFRCSWKMPXRRRFI","GSON1112060270")</f>
        <v>#NAME?</v>
      </c>
      <c r="G788" s="23" t="e">
        <f ca="1">[1]!BexGetData("DP_1","003N8EMH8GTFRCSWKMPXRRXR2","GSON1112060270")</f>
        <v>#NAME?</v>
      </c>
      <c r="H788" s="23" t="e">
        <f ca="1">[1]!BexGetData("DP_1","003N8EMH8GTFRCSWKMPXRS42M","GSON1112060270")</f>
        <v>#NAME?</v>
      </c>
      <c r="I788" s="23" t="e">
        <f ca="1">[1]!BexGetData("DP_1","003N8EMH8GTFRCSWKMPXRSAE6","GSON1112060270")</f>
        <v>#NAME?</v>
      </c>
      <c r="J788" s="23" t="e">
        <f ca="1">[1]!BexGetData("DP_1","003N8EMH8GTFRCSWKMPXRSGPQ","GSON1112060270")</f>
        <v>#NAME?</v>
      </c>
      <c r="K788" s="23" t="e">
        <f ca="1">[1]!BexGetData("DP_1","003N8EMH8GTFRIVNUPY288VJH","GSON1112060270")</f>
        <v>#NAME?</v>
      </c>
      <c r="L788" s="23" t="e">
        <f ca="1">[1]!BexGetData("DP_1","003N8EMH8GTFRIVNUPY2891V1","GSON1112060270")</f>
        <v>#NAME?</v>
      </c>
      <c r="M788" s="23" t="e">
        <f ca="1">[1]!BexGetData("DP_1","003N8EMH8GTFRIVOG7KG9IQXA","GSON1112060270")</f>
        <v>#NAME?</v>
      </c>
      <c r="N788" s="28" t="e">
        <f ca="1">[1]!BexGetData("DP_1","003N8EMH8GTFRIVOG7KG9IX8U","GSON1112060270")</f>
        <v>#NAME?</v>
      </c>
      <c r="O788" s="23" t="e">
        <f ca="1">[1]!BexGetData("DP_1","003N8EMH8GTFRIVOG7KG9J3KE","GSON1112060270")</f>
        <v>#NAME?</v>
      </c>
      <c r="P788" s="28" t="e">
        <f ca="1">[1]!BexGetData("DP_1","003N8EMH8GTFRIVOG7KG9J9VY","GSON1112060270")</f>
        <v>#NAME?</v>
      </c>
      <c r="Q788" s="23" t="e">
        <f ca="1">[1]!BexGetData("DP_1","00O2TNJGODT0G5Z4TTKYMM5MT","GSON1112060270")</f>
        <v>#NAME?</v>
      </c>
      <c r="R788" s="23" t="e">
        <f ca="1">[1]!BexGetData("DP_1","00O2TNJGODT0G5Z4TTKYMMBYD","GSON1112060270")</f>
        <v>#NAME?</v>
      </c>
      <c r="S788" s="23" t="e">
        <f ca="1">[1]!BexGetData("DP_1","00O2TNJGODT0G5Z4TTKYMMI9X","GSON1112060270")</f>
        <v>#NAME?</v>
      </c>
      <c r="T788" s="28" t="e">
        <f ca="1">[1]!BexGetData("DP_1","00O2TNJGODT0G5Z4TTKYMMOLH","GSON1112060270")</f>
        <v>#NAME?</v>
      </c>
      <c r="U788" s="23" t="e">
        <f ca="1">[1]!BexGetData("DP_1","00O2TNJGODT0G5Z4TTKYMMUX1","GSON1112060270")</f>
        <v>#NAME?</v>
      </c>
      <c r="V788" s="28" t="e">
        <f ca="1">[1]!BexGetData("DP_1","00O2TNJGODT0G5Z4TTKYMN18L","GSON1112060270")</f>
        <v>#NAME?</v>
      </c>
      <c r="W788" s="23" t="e">
        <f ca="1">[1]!BexGetData("DP_1","00O2TNJGODT0G5Z4TTKYMN7K5","GSON1112060270")</f>
        <v>#NAME?</v>
      </c>
    </row>
    <row r="789" spans="1:23" x14ac:dyDescent="0.2">
      <c r="A789" s="36" t="s">
        <v>2971</v>
      </c>
      <c r="B789" s="27" t="s">
        <v>2972</v>
      </c>
      <c r="C789" s="28" t="e">
        <f ca="1">[1]!BexGetData("DP_1","003N8EMH8GTFRCSWKMPXRR8GU","GSON1112060271")</f>
        <v>#NAME?</v>
      </c>
      <c r="D789" s="28" t="e">
        <f ca="1">[1]!BexGetData("DP_1","003N8EMH8GTFRCSWKMPXRRESE","GSON1112060271")</f>
        <v>#NAME?</v>
      </c>
      <c r="E789" s="28" t="e">
        <f ca="1">[1]!BexGetData("DP_1","003N8EMH8GTFRCSWKMPXRRL3Y","GSON1112060271")</f>
        <v>#NAME?</v>
      </c>
      <c r="F789" s="28" t="e">
        <f ca="1">[1]!BexGetData("DP_1","003N8EMH8GTFRCSWKMPXRRRFI","GSON1112060271")</f>
        <v>#NAME?</v>
      </c>
      <c r="G789" s="23" t="e">
        <f ca="1">[1]!BexGetData("DP_1","003N8EMH8GTFRCSWKMPXRRXR2","GSON1112060271")</f>
        <v>#NAME?</v>
      </c>
      <c r="H789" s="23" t="e">
        <f ca="1">[1]!BexGetData("DP_1","003N8EMH8GTFRCSWKMPXRS42M","GSON1112060271")</f>
        <v>#NAME?</v>
      </c>
      <c r="I789" s="28" t="e">
        <f ca="1">[1]!BexGetData("DP_1","003N8EMH8GTFRCSWKMPXRSAE6","GSON1112060271")</f>
        <v>#NAME?</v>
      </c>
      <c r="J789" s="24" t="e">
        <f ca="1">[1]!BexGetData("DP_1","003N8EMH8GTFRCSWKMPXRSGPQ","GSON1112060271")</f>
        <v>#NAME?</v>
      </c>
      <c r="K789" s="28" t="e">
        <f ca="1">[1]!BexGetData("DP_1","003N8EMH8GTFRIVNUPY288VJH","GSON1112060271")</f>
        <v>#NAME?</v>
      </c>
      <c r="L789" s="28" t="e">
        <f ca="1">[1]!BexGetData("DP_1","003N8EMH8GTFRIVNUPY2891V1","GSON1112060271")</f>
        <v>#NAME?</v>
      </c>
      <c r="M789" s="28" t="e">
        <f ca="1">[1]!BexGetData("DP_1","003N8EMH8GTFRIVOG7KG9IQXA","GSON1112060271")</f>
        <v>#NAME?</v>
      </c>
      <c r="N789" s="28" t="e">
        <f ca="1">[1]!BexGetData("DP_1","003N8EMH8GTFRIVOG7KG9IX8U","GSON1112060271")</f>
        <v>#NAME?</v>
      </c>
      <c r="O789" s="28" t="e">
        <f ca="1">[1]!BexGetData("DP_1","003N8EMH8GTFRIVOG7KG9J3KE","GSON1112060271")</f>
        <v>#NAME?</v>
      </c>
      <c r="P789" s="28" t="e">
        <f ca="1">[1]!BexGetData("DP_1","003N8EMH8GTFRIVOG7KG9J9VY","GSON1112060271")</f>
        <v>#NAME?</v>
      </c>
      <c r="Q789" s="24" t="e">
        <f ca="1">[1]!BexGetData("DP_1","00O2TNJGODT0G5Z4TTKYMM5MT","GSON1112060271")</f>
        <v>#NAME?</v>
      </c>
      <c r="R789" s="28" t="e">
        <f ca="1">[1]!BexGetData("DP_1","00O2TNJGODT0G5Z4TTKYMMBYD","GSON1112060271")</f>
        <v>#NAME?</v>
      </c>
      <c r="S789" s="28" t="e">
        <f ca="1">[1]!BexGetData("DP_1","00O2TNJGODT0G5Z4TTKYMMI9X","GSON1112060271")</f>
        <v>#NAME?</v>
      </c>
      <c r="T789" s="28" t="e">
        <f ca="1">[1]!BexGetData("DP_1","00O2TNJGODT0G5Z4TTKYMMOLH","GSON1112060271")</f>
        <v>#NAME?</v>
      </c>
      <c r="U789" s="28" t="e">
        <f ca="1">[1]!BexGetData("DP_1","00O2TNJGODT0G5Z4TTKYMMUX1","GSON1112060271")</f>
        <v>#NAME?</v>
      </c>
      <c r="V789" s="28" t="e">
        <f ca="1">[1]!BexGetData("DP_1","00O2TNJGODT0G5Z4TTKYMN18L","GSON1112060271")</f>
        <v>#NAME?</v>
      </c>
      <c r="W789" s="28" t="e">
        <f ca="1">[1]!BexGetData("DP_1","00O2TNJGODT0G5Z4TTKYMN7K5","GSON1112060271")</f>
        <v>#NAME?</v>
      </c>
    </row>
    <row r="790" spans="1:23" x14ac:dyDescent="0.2">
      <c r="A790" s="36" t="s">
        <v>2973</v>
      </c>
      <c r="B790" s="27" t="s">
        <v>2974</v>
      </c>
      <c r="C790" s="23" t="e">
        <f ca="1">[1]!BexGetData("DP_1","003N8EMH8GTFRCSWKMPXRR8GU","GSON1112060273")</f>
        <v>#NAME?</v>
      </c>
      <c r="D790" s="23" t="e">
        <f ca="1">[1]!BexGetData("DP_1","003N8EMH8GTFRCSWKMPXRRESE","GSON1112060273")</f>
        <v>#NAME?</v>
      </c>
      <c r="E790" s="28" t="e">
        <f ca="1">[1]!BexGetData("DP_1","003N8EMH8GTFRCSWKMPXRRL3Y","GSON1112060273")</f>
        <v>#NAME?</v>
      </c>
      <c r="F790" s="28" t="e">
        <f ca="1">[1]!BexGetData("DP_1","003N8EMH8GTFRCSWKMPXRRRFI","GSON1112060273")</f>
        <v>#NAME?</v>
      </c>
      <c r="G790" s="23" t="e">
        <f ca="1">[1]!BexGetData("DP_1","003N8EMH8GTFRCSWKMPXRRXR2","GSON1112060273")</f>
        <v>#NAME?</v>
      </c>
      <c r="H790" s="23" t="e">
        <f ca="1">[1]!BexGetData("DP_1","003N8EMH8GTFRCSWKMPXRS42M","GSON1112060273")</f>
        <v>#NAME?</v>
      </c>
      <c r="I790" s="28" t="e">
        <f ca="1">[1]!BexGetData("DP_1","003N8EMH8GTFRCSWKMPXRSAE6","GSON1112060273")</f>
        <v>#NAME?</v>
      </c>
      <c r="J790" s="24" t="e">
        <f ca="1">[1]!BexGetData("DP_1","003N8EMH8GTFRCSWKMPXRSGPQ","GSON1112060273")</f>
        <v>#NAME?</v>
      </c>
      <c r="K790" s="28" t="e">
        <f ca="1">[1]!BexGetData("DP_1","003N8EMH8GTFRIVNUPY288VJH","GSON1112060273")</f>
        <v>#NAME?</v>
      </c>
      <c r="L790" s="28" t="e">
        <f ca="1">[1]!BexGetData("DP_1","003N8EMH8GTFRIVNUPY2891V1","GSON1112060273")</f>
        <v>#NAME?</v>
      </c>
      <c r="M790" s="28" t="e">
        <f ca="1">[1]!BexGetData("DP_1","003N8EMH8GTFRIVOG7KG9IQXA","GSON1112060273")</f>
        <v>#NAME?</v>
      </c>
      <c r="N790" s="28" t="e">
        <f ca="1">[1]!BexGetData("DP_1","003N8EMH8GTFRIVOG7KG9IX8U","GSON1112060273")</f>
        <v>#NAME?</v>
      </c>
      <c r="O790" s="28" t="e">
        <f ca="1">[1]!BexGetData("DP_1","003N8EMH8GTFRIVOG7KG9J3KE","GSON1112060273")</f>
        <v>#NAME?</v>
      </c>
      <c r="P790" s="28" t="e">
        <f ca="1">[1]!BexGetData("DP_1","003N8EMH8GTFRIVOG7KG9J9VY","GSON1112060273")</f>
        <v>#NAME?</v>
      </c>
      <c r="Q790" s="24" t="e">
        <f ca="1">[1]!BexGetData("DP_1","00O2TNJGODT0G5Z4TTKYMM5MT","GSON1112060273")</f>
        <v>#NAME?</v>
      </c>
      <c r="R790" s="28" t="e">
        <f ca="1">[1]!BexGetData("DP_1","00O2TNJGODT0G5Z4TTKYMMBYD","GSON1112060273")</f>
        <v>#NAME?</v>
      </c>
      <c r="S790" s="28" t="e">
        <f ca="1">[1]!BexGetData("DP_1","00O2TNJGODT0G5Z4TTKYMMI9X","GSON1112060273")</f>
        <v>#NAME?</v>
      </c>
      <c r="T790" s="28" t="e">
        <f ca="1">[1]!BexGetData("DP_1","00O2TNJGODT0G5Z4TTKYMMOLH","GSON1112060273")</f>
        <v>#NAME?</v>
      </c>
      <c r="U790" s="28" t="e">
        <f ca="1">[1]!BexGetData("DP_1","00O2TNJGODT0G5Z4TTKYMMUX1","GSON1112060273")</f>
        <v>#NAME?</v>
      </c>
      <c r="V790" s="28" t="e">
        <f ca="1">[1]!BexGetData("DP_1","00O2TNJGODT0G5Z4TTKYMN18L","GSON1112060273")</f>
        <v>#NAME?</v>
      </c>
      <c r="W790" s="28" t="e">
        <f ca="1">[1]!BexGetData("DP_1","00O2TNJGODT0G5Z4TTKYMN7K5","GSON1112060273")</f>
        <v>#NAME?</v>
      </c>
    </row>
    <row r="791" spans="1:23" x14ac:dyDescent="0.2">
      <c r="A791" s="36" t="s">
        <v>2975</v>
      </c>
      <c r="B791" s="27" t="s">
        <v>2976</v>
      </c>
      <c r="C791" s="23" t="e">
        <f ca="1">[1]!BexGetData("DP_1","003N8EMH8GTFRCSWKMPXRR8GU","GSON1112060274")</f>
        <v>#NAME?</v>
      </c>
      <c r="D791" s="23" t="e">
        <f ca="1">[1]!BexGetData("DP_1","003N8EMH8GTFRCSWKMPXRRESE","GSON1112060274")</f>
        <v>#NAME?</v>
      </c>
      <c r="E791" s="28" t="e">
        <f ca="1">[1]!BexGetData("DP_1","003N8EMH8GTFRCSWKMPXRRL3Y","GSON1112060274")</f>
        <v>#NAME?</v>
      </c>
      <c r="F791" s="28" t="e">
        <f ca="1">[1]!BexGetData("DP_1","003N8EMH8GTFRCSWKMPXRRRFI","GSON1112060274")</f>
        <v>#NAME?</v>
      </c>
      <c r="G791" s="23" t="e">
        <f ca="1">[1]!BexGetData("DP_1","003N8EMH8GTFRCSWKMPXRRXR2","GSON1112060274")</f>
        <v>#NAME?</v>
      </c>
      <c r="H791" s="23" t="e">
        <f ca="1">[1]!BexGetData("DP_1","003N8EMH8GTFRCSWKMPXRS42M","GSON1112060274")</f>
        <v>#NAME?</v>
      </c>
      <c r="I791" s="28" t="e">
        <f ca="1">[1]!BexGetData("DP_1","003N8EMH8GTFRCSWKMPXRSAE6","GSON1112060274")</f>
        <v>#NAME?</v>
      </c>
      <c r="J791" s="24" t="e">
        <f ca="1">[1]!BexGetData("DP_1","003N8EMH8GTFRCSWKMPXRSGPQ","GSON1112060274")</f>
        <v>#NAME?</v>
      </c>
      <c r="K791" s="28" t="e">
        <f ca="1">[1]!BexGetData("DP_1","003N8EMH8GTFRIVNUPY288VJH","GSON1112060274")</f>
        <v>#NAME?</v>
      </c>
      <c r="L791" s="28" t="e">
        <f ca="1">[1]!BexGetData("DP_1","003N8EMH8GTFRIVNUPY2891V1","GSON1112060274")</f>
        <v>#NAME?</v>
      </c>
      <c r="M791" s="28" t="e">
        <f ca="1">[1]!BexGetData("DP_1","003N8EMH8GTFRIVOG7KG9IQXA","GSON1112060274")</f>
        <v>#NAME?</v>
      </c>
      <c r="N791" s="28" t="e">
        <f ca="1">[1]!BexGetData("DP_1","003N8EMH8GTFRIVOG7KG9IX8U","GSON1112060274")</f>
        <v>#NAME?</v>
      </c>
      <c r="O791" s="28" t="e">
        <f ca="1">[1]!BexGetData("DP_1","003N8EMH8GTFRIVOG7KG9J3KE","GSON1112060274")</f>
        <v>#NAME?</v>
      </c>
      <c r="P791" s="28" t="e">
        <f ca="1">[1]!BexGetData("DP_1","003N8EMH8GTFRIVOG7KG9J9VY","GSON1112060274")</f>
        <v>#NAME?</v>
      </c>
      <c r="Q791" s="24" t="e">
        <f ca="1">[1]!BexGetData("DP_1","00O2TNJGODT0G5Z4TTKYMM5MT","GSON1112060274")</f>
        <v>#NAME?</v>
      </c>
      <c r="R791" s="28" t="e">
        <f ca="1">[1]!BexGetData("DP_1","00O2TNJGODT0G5Z4TTKYMMBYD","GSON1112060274")</f>
        <v>#NAME?</v>
      </c>
      <c r="S791" s="28" t="e">
        <f ca="1">[1]!BexGetData("DP_1","00O2TNJGODT0G5Z4TTKYMMI9X","GSON1112060274")</f>
        <v>#NAME?</v>
      </c>
      <c r="T791" s="28" t="e">
        <f ca="1">[1]!BexGetData("DP_1","00O2TNJGODT0G5Z4TTKYMMOLH","GSON1112060274")</f>
        <v>#NAME?</v>
      </c>
      <c r="U791" s="28" t="e">
        <f ca="1">[1]!BexGetData("DP_1","00O2TNJGODT0G5Z4TTKYMMUX1","GSON1112060274")</f>
        <v>#NAME?</v>
      </c>
      <c r="V791" s="28" t="e">
        <f ca="1">[1]!BexGetData("DP_1","00O2TNJGODT0G5Z4TTKYMN18L","GSON1112060274")</f>
        <v>#NAME?</v>
      </c>
      <c r="W791" s="28" t="e">
        <f ca="1">[1]!BexGetData("DP_1","00O2TNJGODT0G5Z4TTKYMN7K5","GSON1112060274")</f>
        <v>#NAME?</v>
      </c>
    </row>
    <row r="792" spans="1:23" x14ac:dyDescent="0.2">
      <c r="A792" s="36" t="s">
        <v>2977</v>
      </c>
      <c r="B792" s="27" t="s">
        <v>2978</v>
      </c>
      <c r="C792" s="23" t="e">
        <f ca="1">[1]!BexGetData("DP_1","003N8EMH8GTFRCSWKMPXRR8GU","GSON1112060275")</f>
        <v>#NAME?</v>
      </c>
      <c r="D792" s="23" t="e">
        <f ca="1">[1]!BexGetData("DP_1","003N8EMH8GTFRCSWKMPXRRESE","GSON1112060275")</f>
        <v>#NAME?</v>
      </c>
      <c r="E792" s="28" t="e">
        <f ca="1">[1]!BexGetData("DP_1","003N8EMH8GTFRCSWKMPXRRL3Y","GSON1112060275")</f>
        <v>#NAME?</v>
      </c>
      <c r="F792" s="28" t="e">
        <f ca="1">[1]!BexGetData("DP_1","003N8EMH8GTFRCSWKMPXRRRFI","GSON1112060275")</f>
        <v>#NAME?</v>
      </c>
      <c r="G792" s="23" t="e">
        <f ca="1">[1]!BexGetData("DP_1","003N8EMH8GTFRCSWKMPXRRXR2","GSON1112060275")</f>
        <v>#NAME?</v>
      </c>
      <c r="H792" s="23" t="e">
        <f ca="1">[1]!BexGetData("DP_1","003N8EMH8GTFRCSWKMPXRS42M","GSON1112060275")</f>
        <v>#NAME?</v>
      </c>
      <c r="I792" s="28" t="e">
        <f ca="1">[1]!BexGetData("DP_1","003N8EMH8GTFRCSWKMPXRSAE6","GSON1112060275")</f>
        <v>#NAME?</v>
      </c>
      <c r="J792" s="24" t="e">
        <f ca="1">[1]!BexGetData("DP_1","003N8EMH8GTFRCSWKMPXRSGPQ","GSON1112060275")</f>
        <v>#NAME?</v>
      </c>
      <c r="K792" s="28" t="e">
        <f ca="1">[1]!BexGetData("DP_1","003N8EMH8GTFRIVNUPY288VJH","GSON1112060275")</f>
        <v>#NAME?</v>
      </c>
      <c r="L792" s="28" t="e">
        <f ca="1">[1]!BexGetData("DP_1","003N8EMH8GTFRIVNUPY2891V1","GSON1112060275")</f>
        <v>#NAME?</v>
      </c>
      <c r="M792" s="28" t="e">
        <f ca="1">[1]!BexGetData("DP_1","003N8EMH8GTFRIVOG7KG9IQXA","GSON1112060275")</f>
        <v>#NAME?</v>
      </c>
      <c r="N792" s="28" t="e">
        <f ca="1">[1]!BexGetData("DP_1","003N8EMH8GTFRIVOG7KG9IX8U","GSON1112060275")</f>
        <v>#NAME?</v>
      </c>
      <c r="O792" s="28" t="e">
        <f ca="1">[1]!BexGetData("DP_1","003N8EMH8GTFRIVOG7KG9J3KE","GSON1112060275")</f>
        <v>#NAME?</v>
      </c>
      <c r="P792" s="28" t="e">
        <f ca="1">[1]!BexGetData("DP_1","003N8EMH8GTFRIVOG7KG9J9VY","GSON1112060275")</f>
        <v>#NAME?</v>
      </c>
      <c r="Q792" s="24" t="e">
        <f ca="1">[1]!BexGetData("DP_1","00O2TNJGODT0G5Z4TTKYMM5MT","GSON1112060275")</f>
        <v>#NAME?</v>
      </c>
      <c r="R792" s="28" t="e">
        <f ca="1">[1]!BexGetData("DP_1","00O2TNJGODT0G5Z4TTKYMMBYD","GSON1112060275")</f>
        <v>#NAME?</v>
      </c>
      <c r="S792" s="28" t="e">
        <f ca="1">[1]!BexGetData("DP_1","00O2TNJGODT0G5Z4TTKYMMI9X","GSON1112060275")</f>
        <v>#NAME?</v>
      </c>
      <c r="T792" s="28" t="e">
        <f ca="1">[1]!BexGetData("DP_1","00O2TNJGODT0G5Z4TTKYMMOLH","GSON1112060275")</f>
        <v>#NAME?</v>
      </c>
      <c r="U792" s="28" t="e">
        <f ca="1">[1]!BexGetData("DP_1","00O2TNJGODT0G5Z4TTKYMMUX1","GSON1112060275")</f>
        <v>#NAME?</v>
      </c>
      <c r="V792" s="28" t="e">
        <f ca="1">[1]!BexGetData("DP_1","00O2TNJGODT0G5Z4TTKYMN18L","GSON1112060275")</f>
        <v>#NAME?</v>
      </c>
      <c r="W792" s="28" t="e">
        <f ca="1">[1]!BexGetData("DP_1","00O2TNJGODT0G5Z4TTKYMN7K5","GSON1112060275")</f>
        <v>#NAME?</v>
      </c>
    </row>
    <row r="793" spans="1:23" x14ac:dyDescent="0.2">
      <c r="A793" s="36" t="s">
        <v>2917</v>
      </c>
      <c r="B793" s="27" t="s">
        <v>2979</v>
      </c>
      <c r="C793" s="23" t="e">
        <f ca="1">[1]!BexGetData("DP_1","003N8EMH8GTFRCSWKMPXRR8GU","GSON1112060280")</f>
        <v>#NAME?</v>
      </c>
      <c r="D793" s="23" t="e">
        <f ca="1">[1]!BexGetData("DP_1","003N8EMH8GTFRCSWKMPXRRESE","GSON1112060280")</f>
        <v>#NAME?</v>
      </c>
      <c r="E793" s="23" t="e">
        <f ca="1">[1]!BexGetData("DP_1","003N8EMH8GTFRCSWKMPXRRL3Y","GSON1112060280")</f>
        <v>#NAME?</v>
      </c>
      <c r="F793" s="23" t="e">
        <f ca="1">[1]!BexGetData("DP_1","003N8EMH8GTFRCSWKMPXRRRFI","GSON1112060280")</f>
        <v>#NAME?</v>
      </c>
      <c r="G793" s="23" t="e">
        <f ca="1">[1]!BexGetData("DP_1","003N8EMH8GTFRCSWKMPXRRXR2","GSON1112060280")</f>
        <v>#NAME?</v>
      </c>
      <c r="H793" s="23" t="e">
        <f ca="1">[1]!BexGetData("DP_1","003N8EMH8GTFRCSWKMPXRS42M","GSON1112060280")</f>
        <v>#NAME?</v>
      </c>
      <c r="I793" s="23" t="e">
        <f ca="1">[1]!BexGetData("DP_1","003N8EMH8GTFRCSWKMPXRSAE6","GSON1112060280")</f>
        <v>#NAME?</v>
      </c>
      <c r="J793" s="23" t="e">
        <f ca="1">[1]!BexGetData("DP_1","003N8EMH8GTFRCSWKMPXRSGPQ","GSON1112060280")</f>
        <v>#NAME?</v>
      </c>
      <c r="K793" s="23" t="e">
        <f ca="1">[1]!BexGetData("DP_1","003N8EMH8GTFRIVNUPY288VJH","GSON1112060280")</f>
        <v>#NAME?</v>
      </c>
      <c r="L793" s="23" t="e">
        <f ca="1">[1]!BexGetData("DP_1","003N8EMH8GTFRIVNUPY2891V1","GSON1112060280")</f>
        <v>#NAME?</v>
      </c>
      <c r="M793" s="23" t="e">
        <f ca="1">[1]!BexGetData("DP_1","003N8EMH8GTFRIVOG7KG9IQXA","GSON1112060280")</f>
        <v>#NAME?</v>
      </c>
      <c r="N793" s="28" t="e">
        <f ca="1">[1]!BexGetData("DP_1","003N8EMH8GTFRIVOG7KG9IX8U","GSON1112060280")</f>
        <v>#NAME?</v>
      </c>
      <c r="O793" s="23" t="e">
        <f ca="1">[1]!BexGetData("DP_1","003N8EMH8GTFRIVOG7KG9J3KE","GSON1112060280")</f>
        <v>#NAME?</v>
      </c>
      <c r="P793" s="28" t="e">
        <f ca="1">[1]!BexGetData("DP_1","003N8EMH8GTFRIVOG7KG9J9VY","GSON1112060280")</f>
        <v>#NAME?</v>
      </c>
      <c r="Q793" s="23" t="e">
        <f ca="1">[1]!BexGetData("DP_1","00O2TNJGODT0G5Z4TTKYMM5MT","GSON1112060280")</f>
        <v>#NAME?</v>
      </c>
      <c r="R793" s="23" t="e">
        <f ca="1">[1]!BexGetData("DP_1","00O2TNJGODT0G5Z4TTKYMMBYD","GSON1112060280")</f>
        <v>#NAME?</v>
      </c>
      <c r="S793" s="23" t="e">
        <f ca="1">[1]!BexGetData("DP_1","00O2TNJGODT0G5Z4TTKYMMI9X","GSON1112060280")</f>
        <v>#NAME?</v>
      </c>
      <c r="T793" s="28" t="e">
        <f ca="1">[1]!BexGetData("DP_1","00O2TNJGODT0G5Z4TTKYMMOLH","GSON1112060280")</f>
        <v>#NAME?</v>
      </c>
      <c r="U793" s="23" t="e">
        <f ca="1">[1]!BexGetData("DP_1","00O2TNJGODT0G5Z4TTKYMMUX1","GSON1112060280")</f>
        <v>#NAME?</v>
      </c>
      <c r="V793" s="28" t="e">
        <f ca="1">[1]!BexGetData("DP_1","00O2TNJGODT0G5Z4TTKYMN18L","GSON1112060280")</f>
        <v>#NAME?</v>
      </c>
      <c r="W793" s="23" t="e">
        <f ca="1">[1]!BexGetData("DP_1","00O2TNJGODT0G5Z4TTKYMN7K5","GSON1112060280")</f>
        <v>#NAME?</v>
      </c>
    </row>
    <row r="794" spans="1:23" x14ac:dyDescent="0.2">
      <c r="A794" s="36" t="s">
        <v>2980</v>
      </c>
      <c r="B794" s="27" t="s">
        <v>2981</v>
      </c>
      <c r="C794" s="28" t="e">
        <f ca="1">[1]!BexGetData("DP_1","003N8EMH8GTFRCSWKMPXRR8GU","GSON1112060281")</f>
        <v>#NAME?</v>
      </c>
      <c r="D794" s="28" t="e">
        <f ca="1">[1]!BexGetData("DP_1","003N8EMH8GTFRCSWKMPXRRESE","GSON1112060281")</f>
        <v>#NAME?</v>
      </c>
      <c r="E794" s="28" t="e">
        <f ca="1">[1]!BexGetData("DP_1","003N8EMH8GTFRCSWKMPXRRL3Y","GSON1112060281")</f>
        <v>#NAME?</v>
      </c>
      <c r="F794" s="28" t="e">
        <f ca="1">[1]!BexGetData("DP_1","003N8EMH8GTFRCSWKMPXRRRFI","GSON1112060281")</f>
        <v>#NAME?</v>
      </c>
      <c r="G794" s="23" t="e">
        <f ca="1">[1]!BexGetData("DP_1","003N8EMH8GTFRCSWKMPXRRXR2","GSON1112060281")</f>
        <v>#NAME?</v>
      </c>
      <c r="H794" s="23" t="e">
        <f ca="1">[1]!BexGetData("DP_1","003N8EMH8GTFRCSWKMPXRS42M","GSON1112060281")</f>
        <v>#NAME?</v>
      </c>
      <c r="I794" s="28" t="e">
        <f ca="1">[1]!BexGetData("DP_1","003N8EMH8GTFRCSWKMPXRSAE6","GSON1112060281")</f>
        <v>#NAME?</v>
      </c>
      <c r="J794" s="24" t="e">
        <f ca="1">[1]!BexGetData("DP_1","003N8EMH8GTFRCSWKMPXRSGPQ","GSON1112060281")</f>
        <v>#NAME?</v>
      </c>
      <c r="K794" s="28" t="e">
        <f ca="1">[1]!BexGetData("DP_1","003N8EMH8GTFRIVNUPY288VJH","GSON1112060281")</f>
        <v>#NAME?</v>
      </c>
      <c r="L794" s="28" t="e">
        <f ca="1">[1]!BexGetData("DP_1","003N8EMH8GTFRIVNUPY2891V1","GSON1112060281")</f>
        <v>#NAME?</v>
      </c>
      <c r="M794" s="28" t="e">
        <f ca="1">[1]!BexGetData("DP_1","003N8EMH8GTFRIVOG7KG9IQXA","GSON1112060281")</f>
        <v>#NAME?</v>
      </c>
      <c r="N794" s="28" t="e">
        <f ca="1">[1]!BexGetData("DP_1","003N8EMH8GTFRIVOG7KG9IX8U","GSON1112060281")</f>
        <v>#NAME?</v>
      </c>
      <c r="O794" s="28" t="e">
        <f ca="1">[1]!BexGetData("DP_1","003N8EMH8GTFRIVOG7KG9J3KE","GSON1112060281")</f>
        <v>#NAME?</v>
      </c>
      <c r="P794" s="28" t="e">
        <f ca="1">[1]!BexGetData("DP_1","003N8EMH8GTFRIVOG7KG9J9VY","GSON1112060281")</f>
        <v>#NAME?</v>
      </c>
      <c r="Q794" s="24" t="e">
        <f ca="1">[1]!BexGetData("DP_1","00O2TNJGODT0G5Z4TTKYMM5MT","GSON1112060281")</f>
        <v>#NAME?</v>
      </c>
      <c r="R794" s="28" t="e">
        <f ca="1">[1]!BexGetData("DP_1","00O2TNJGODT0G5Z4TTKYMMBYD","GSON1112060281")</f>
        <v>#NAME?</v>
      </c>
      <c r="S794" s="28" t="e">
        <f ca="1">[1]!BexGetData("DP_1","00O2TNJGODT0G5Z4TTKYMMI9X","GSON1112060281")</f>
        <v>#NAME?</v>
      </c>
      <c r="T794" s="28" t="e">
        <f ca="1">[1]!BexGetData("DP_1","00O2TNJGODT0G5Z4TTKYMMOLH","GSON1112060281")</f>
        <v>#NAME?</v>
      </c>
      <c r="U794" s="28" t="e">
        <f ca="1">[1]!BexGetData("DP_1","00O2TNJGODT0G5Z4TTKYMMUX1","GSON1112060281")</f>
        <v>#NAME?</v>
      </c>
      <c r="V794" s="28" t="e">
        <f ca="1">[1]!BexGetData("DP_1","00O2TNJGODT0G5Z4TTKYMN18L","GSON1112060281")</f>
        <v>#NAME?</v>
      </c>
      <c r="W794" s="28" t="e">
        <f ca="1">[1]!BexGetData("DP_1","00O2TNJGODT0G5Z4TTKYMN7K5","GSON1112060281")</f>
        <v>#NAME?</v>
      </c>
    </row>
    <row r="795" spans="1:23" x14ac:dyDescent="0.2">
      <c r="A795" s="36" t="s">
        <v>2982</v>
      </c>
      <c r="B795" s="27" t="s">
        <v>2983</v>
      </c>
      <c r="C795" s="24" t="e">
        <f ca="1">[1]!BexGetData("DP_1","003N8EMH8GTFRCSWKMPXRR8GU","GSON1112060283")</f>
        <v>#NAME?</v>
      </c>
      <c r="D795" s="24" t="e">
        <f ca="1">[1]!BexGetData("DP_1","003N8EMH8GTFRCSWKMPXRRESE","GSON1112060283")</f>
        <v>#NAME?</v>
      </c>
      <c r="E795" s="24" t="e">
        <f ca="1">[1]!BexGetData("DP_1","003N8EMH8GTFRCSWKMPXRRL3Y","GSON1112060283")</f>
        <v>#NAME?</v>
      </c>
      <c r="F795" s="28" t="e">
        <f ca="1">[1]!BexGetData("DP_1","003N8EMH8GTFRCSWKMPXRRRFI","GSON1112060283")</f>
        <v>#NAME?</v>
      </c>
      <c r="G795" s="23" t="e">
        <f ca="1">[1]!BexGetData("DP_1","003N8EMH8GTFRCSWKMPXRRXR2","GSON1112060283")</f>
        <v>#NAME?</v>
      </c>
      <c r="H795" s="23" t="e">
        <f ca="1">[1]!BexGetData("DP_1","003N8EMH8GTFRCSWKMPXRS42M","GSON1112060283")</f>
        <v>#NAME?</v>
      </c>
      <c r="I795" s="28" t="e">
        <f ca="1">[1]!BexGetData("DP_1","003N8EMH8GTFRCSWKMPXRSAE6","GSON1112060283")</f>
        <v>#NAME?</v>
      </c>
      <c r="J795" s="24" t="e">
        <f ca="1">[1]!BexGetData("DP_1","003N8EMH8GTFRCSWKMPXRSGPQ","GSON1112060283")</f>
        <v>#NAME?</v>
      </c>
      <c r="K795" s="28" t="e">
        <f ca="1">[1]!BexGetData("DP_1","003N8EMH8GTFRIVNUPY288VJH","GSON1112060283")</f>
        <v>#NAME?</v>
      </c>
      <c r="L795" s="28" t="e">
        <f ca="1">[1]!BexGetData("DP_1","003N8EMH8GTFRIVNUPY2891V1","GSON1112060283")</f>
        <v>#NAME?</v>
      </c>
      <c r="M795" s="28" t="e">
        <f ca="1">[1]!BexGetData("DP_1","003N8EMH8GTFRIVOG7KG9IQXA","GSON1112060283")</f>
        <v>#NAME?</v>
      </c>
      <c r="N795" s="28" t="e">
        <f ca="1">[1]!BexGetData("DP_1","003N8EMH8GTFRIVOG7KG9IX8U","GSON1112060283")</f>
        <v>#NAME?</v>
      </c>
      <c r="O795" s="28" t="e">
        <f ca="1">[1]!BexGetData("DP_1","003N8EMH8GTFRIVOG7KG9J3KE","GSON1112060283")</f>
        <v>#NAME?</v>
      </c>
      <c r="P795" s="28" t="e">
        <f ca="1">[1]!BexGetData("DP_1","003N8EMH8GTFRIVOG7KG9J9VY","GSON1112060283")</f>
        <v>#NAME?</v>
      </c>
      <c r="Q795" s="24" t="e">
        <f ca="1">[1]!BexGetData("DP_1","00O2TNJGODT0G5Z4TTKYMM5MT","GSON1112060283")</f>
        <v>#NAME?</v>
      </c>
      <c r="R795" s="28" t="e">
        <f ca="1">[1]!BexGetData("DP_1","00O2TNJGODT0G5Z4TTKYMMBYD","GSON1112060283")</f>
        <v>#NAME?</v>
      </c>
      <c r="S795" s="28" t="e">
        <f ca="1">[1]!BexGetData("DP_1","00O2TNJGODT0G5Z4TTKYMMI9X","GSON1112060283")</f>
        <v>#NAME?</v>
      </c>
      <c r="T795" s="28" t="e">
        <f ca="1">[1]!BexGetData("DP_1","00O2TNJGODT0G5Z4TTKYMMOLH","GSON1112060283")</f>
        <v>#NAME?</v>
      </c>
      <c r="U795" s="28" t="e">
        <f ca="1">[1]!BexGetData("DP_1","00O2TNJGODT0G5Z4TTKYMMUX1","GSON1112060283")</f>
        <v>#NAME?</v>
      </c>
      <c r="V795" s="28" t="e">
        <f ca="1">[1]!BexGetData("DP_1","00O2TNJGODT0G5Z4TTKYMN18L","GSON1112060283")</f>
        <v>#NAME?</v>
      </c>
      <c r="W795" s="28" t="e">
        <f ca="1">[1]!BexGetData("DP_1","00O2TNJGODT0G5Z4TTKYMN7K5","GSON1112060283")</f>
        <v>#NAME?</v>
      </c>
    </row>
    <row r="796" spans="1:23" x14ac:dyDescent="0.2">
      <c r="A796" s="36" t="s">
        <v>2984</v>
      </c>
      <c r="B796" s="27" t="s">
        <v>2985</v>
      </c>
      <c r="C796" s="23" t="e">
        <f ca="1">[1]!BexGetData("DP_1","003N8EMH8GTFRCSWKMPXRR8GU","GSON1112060284")</f>
        <v>#NAME?</v>
      </c>
      <c r="D796" s="23" t="e">
        <f ca="1">[1]!BexGetData("DP_1","003N8EMH8GTFRCSWKMPXRRESE","GSON1112060284")</f>
        <v>#NAME?</v>
      </c>
      <c r="E796" s="28" t="e">
        <f ca="1">[1]!BexGetData("DP_1","003N8EMH8GTFRCSWKMPXRRL3Y","GSON1112060284")</f>
        <v>#NAME?</v>
      </c>
      <c r="F796" s="28" t="e">
        <f ca="1">[1]!BexGetData("DP_1","003N8EMH8GTFRCSWKMPXRRRFI","GSON1112060284")</f>
        <v>#NAME?</v>
      </c>
      <c r="G796" s="23" t="e">
        <f ca="1">[1]!BexGetData("DP_1","003N8EMH8GTFRCSWKMPXRRXR2","GSON1112060284")</f>
        <v>#NAME?</v>
      </c>
      <c r="H796" s="23" t="e">
        <f ca="1">[1]!BexGetData("DP_1","003N8EMH8GTFRCSWKMPXRS42M","GSON1112060284")</f>
        <v>#NAME?</v>
      </c>
      <c r="I796" s="28" t="e">
        <f ca="1">[1]!BexGetData("DP_1","003N8EMH8GTFRCSWKMPXRSAE6","GSON1112060284")</f>
        <v>#NAME?</v>
      </c>
      <c r="J796" s="24" t="e">
        <f ca="1">[1]!BexGetData("DP_1","003N8EMH8GTFRCSWKMPXRSGPQ","GSON1112060284")</f>
        <v>#NAME?</v>
      </c>
      <c r="K796" s="28" t="e">
        <f ca="1">[1]!BexGetData("DP_1","003N8EMH8GTFRIVNUPY288VJH","GSON1112060284")</f>
        <v>#NAME?</v>
      </c>
      <c r="L796" s="28" t="e">
        <f ca="1">[1]!BexGetData("DP_1","003N8EMH8GTFRIVNUPY2891V1","GSON1112060284")</f>
        <v>#NAME?</v>
      </c>
      <c r="M796" s="28" t="e">
        <f ca="1">[1]!BexGetData("DP_1","003N8EMH8GTFRIVOG7KG9IQXA","GSON1112060284")</f>
        <v>#NAME?</v>
      </c>
      <c r="N796" s="28" t="e">
        <f ca="1">[1]!BexGetData("DP_1","003N8EMH8GTFRIVOG7KG9IX8U","GSON1112060284")</f>
        <v>#NAME?</v>
      </c>
      <c r="O796" s="28" t="e">
        <f ca="1">[1]!BexGetData("DP_1","003N8EMH8GTFRIVOG7KG9J3KE","GSON1112060284")</f>
        <v>#NAME?</v>
      </c>
      <c r="P796" s="28" t="e">
        <f ca="1">[1]!BexGetData("DP_1","003N8EMH8GTFRIVOG7KG9J9VY","GSON1112060284")</f>
        <v>#NAME?</v>
      </c>
      <c r="Q796" s="24" t="e">
        <f ca="1">[1]!BexGetData("DP_1","00O2TNJGODT0G5Z4TTKYMM5MT","GSON1112060284")</f>
        <v>#NAME?</v>
      </c>
      <c r="R796" s="28" t="e">
        <f ca="1">[1]!BexGetData("DP_1","00O2TNJGODT0G5Z4TTKYMMBYD","GSON1112060284")</f>
        <v>#NAME?</v>
      </c>
      <c r="S796" s="28" t="e">
        <f ca="1">[1]!BexGetData("DP_1","00O2TNJGODT0G5Z4TTKYMMI9X","GSON1112060284")</f>
        <v>#NAME?</v>
      </c>
      <c r="T796" s="28" t="e">
        <f ca="1">[1]!BexGetData("DP_1","00O2TNJGODT0G5Z4TTKYMMOLH","GSON1112060284")</f>
        <v>#NAME?</v>
      </c>
      <c r="U796" s="28" t="e">
        <f ca="1">[1]!BexGetData("DP_1","00O2TNJGODT0G5Z4TTKYMMUX1","GSON1112060284")</f>
        <v>#NAME?</v>
      </c>
      <c r="V796" s="28" t="e">
        <f ca="1">[1]!BexGetData("DP_1","00O2TNJGODT0G5Z4TTKYMN18L","GSON1112060284")</f>
        <v>#NAME?</v>
      </c>
      <c r="W796" s="28" t="e">
        <f ca="1">[1]!BexGetData("DP_1","00O2TNJGODT0G5Z4TTKYMN7K5","GSON1112060284")</f>
        <v>#NAME?</v>
      </c>
    </row>
    <row r="797" spans="1:23" x14ac:dyDescent="0.2">
      <c r="A797" s="36" t="s">
        <v>2986</v>
      </c>
      <c r="B797" s="27" t="s">
        <v>2987</v>
      </c>
      <c r="C797" s="24" t="e">
        <f ca="1">[1]!BexGetData("DP_1","003N8EMH8GTFRCSWKMPXRR8GU","GSON1112060285")</f>
        <v>#NAME?</v>
      </c>
      <c r="D797" s="24" t="e">
        <f ca="1">[1]!BexGetData("DP_1","003N8EMH8GTFRCSWKMPXRRESE","GSON1112060285")</f>
        <v>#NAME?</v>
      </c>
      <c r="E797" s="24" t="e">
        <f ca="1">[1]!BexGetData("DP_1","003N8EMH8GTFRCSWKMPXRRL3Y","GSON1112060285")</f>
        <v>#NAME?</v>
      </c>
      <c r="F797" s="28" t="e">
        <f ca="1">[1]!BexGetData("DP_1","003N8EMH8GTFRCSWKMPXRRRFI","GSON1112060285")</f>
        <v>#NAME?</v>
      </c>
      <c r="G797" s="23" t="e">
        <f ca="1">[1]!BexGetData("DP_1","003N8EMH8GTFRCSWKMPXRRXR2","GSON1112060285")</f>
        <v>#NAME?</v>
      </c>
      <c r="H797" s="23" t="e">
        <f ca="1">[1]!BexGetData("DP_1","003N8EMH8GTFRCSWKMPXRS42M","GSON1112060285")</f>
        <v>#NAME?</v>
      </c>
      <c r="I797" s="28" t="e">
        <f ca="1">[1]!BexGetData("DP_1","003N8EMH8GTFRCSWKMPXRSAE6","GSON1112060285")</f>
        <v>#NAME?</v>
      </c>
      <c r="J797" s="24" t="e">
        <f ca="1">[1]!BexGetData("DP_1","003N8EMH8GTFRCSWKMPXRSGPQ","GSON1112060285")</f>
        <v>#NAME?</v>
      </c>
      <c r="K797" s="28" t="e">
        <f ca="1">[1]!BexGetData("DP_1","003N8EMH8GTFRIVNUPY288VJH","GSON1112060285")</f>
        <v>#NAME?</v>
      </c>
      <c r="L797" s="28" t="e">
        <f ca="1">[1]!BexGetData("DP_1","003N8EMH8GTFRIVNUPY2891V1","GSON1112060285")</f>
        <v>#NAME?</v>
      </c>
      <c r="M797" s="28" t="e">
        <f ca="1">[1]!BexGetData("DP_1","003N8EMH8GTFRIVOG7KG9IQXA","GSON1112060285")</f>
        <v>#NAME?</v>
      </c>
      <c r="N797" s="28" t="e">
        <f ca="1">[1]!BexGetData("DP_1","003N8EMH8GTFRIVOG7KG9IX8U","GSON1112060285")</f>
        <v>#NAME?</v>
      </c>
      <c r="O797" s="28" t="e">
        <f ca="1">[1]!BexGetData("DP_1","003N8EMH8GTFRIVOG7KG9J3KE","GSON1112060285")</f>
        <v>#NAME?</v>
      </c>
      <c r="P797" s="28" t="e">
        <f ca="1">[1]!BexGetData("DP_1","003N8EMH8GTFRIVOG7KG9J9VY","GSON1112060285")</f>
        <v>#NAME?</v>
      </c>
      <c r="Q797" s="24" t="e">
        <f ca="1">[1]!BexGetData("DP_1","00O2TNJGODT0G5Z4TTKYMM5MT","GSON1112060285")</f>
        <v>#NAME?</v>
      </c>
      <c r="R797" s="28" t="e">
        <f ca="1">[1]!BexGetData("DP_1","00O2TNJGODT0G5Z4TTKYMMBYD","GSON1112060285")</f>
        <v>#NAME?</v>
      </c>
      <c r="S797" s="28" t="e">
        <f ca="1">[1]!BexGetData("DP_1","00O2TNJGODT0G5Z4TTKYMMI9X","GSON1112060285")</f>
        <v>#NAME?</v>
      </c>
      <c r="T797" s="28" t="e">
        <f ca="1">[1]!BexGetData("DP_1","00O2TNJGODT0G5Z4TTKYMMOLH","GSON1112060285")</f>
        <v>#NAME?</v>
      </c>
      <c r="U797" s="28" t="e">
        <f ca="1">[1]!BexGetData("DP_1","00O2TNJGODT0G5Z4TTKYMMUX1","GSON1112060285")</f>
        <v>#NAME?</v>
      </c>
      <c r="V797" s="28" t="e">
        <f ca="1">[1]!BexGetData("DP_1","00O2TNJGODT0G5Z4TTKYMN18L","GSON1112060285")</f>
        <v>#NAME?</v>
      </c>
      <c r="W797" s="28" t="e">
        <f ca="1">[1]!BexGetData("DP_1","00O2TNJGODT0G5Z4TTKYMN7K5","GSON1112060285")</f>
        <v>#NAME?</v>
      </c>
    </row>
    <row r="798" spans="1:23" x14ac:dyDescent="0.2">
      <c r="A798" s="36" t="s">
        <v>2988</v>
      </c>
      <c r="B798" s="27" t="s">
        <v>2989</v>
      </c>
      <c r="C798" s="23" t="e">
        <f ca="1">[1]!BexGetData("DP_1","003N8EMH8GTFRCSWKMPXRR8GU","GSON1112060290")</f>
        <v>#NAME?</v>
      </c>
      <c r="D798" s="23" t="e">
        <f ca="1">[1]!BexGetData("DP_1","003N8EMH8GTFRCSWKMPXRRESE","GSON1112060290")</f>
        <v>#NAME?</v>
      </c>
      <c r="E798" s="23" t="e">
        <f ca="1">[1]!BexGetData("DP_1","003N8EMH8GTFRCSWKMPXRRL3Y","GSON1112060290")</f>
        <v>#NAME?</v>
      </c>
      <c r="F798" s="23" t="e">
        <f ca="1">[1]!BexGetData("DP_1","003N8EMH8GTFRCSWKMPXRRRFI","GSON1112060290")</f>
        <v>#NAME?</v>
      </c>
      <c r="G798" s="23" t="e">
        <f ca="1">[1]!BexGetData("DP_1","003N8EMH8GTFRCSWKMPXRRXR2","GSON1112060290")</f>
        <v>#NAME?</v>
      </c>
      <c r="H798" s="23" t="e">
        <f ca="1">[1]!BexGetData("DP_1","003N8EMH8GTFRCSWKMPXRS42M","GSON1112060290")</f>
        <v>#NAME?</v>
      </c>
      <c r="I798" s="23" t="e">
        <f ca="1">[1]!BexGetData("DP_1","003N8EMH8GTFRCSWKMPXRSAE6","GSON1112060290")</f>
        <v>#NAME?</v>
      </c>
      <c r="J798" s="23" t="e">
        <f ca="1">[1]!BexGetData("DP_1","003N8EMH8GTFRCSWKMPXRSGPQ","GSON1112060290")</f>
        <v>#NAME?</v>
      </c>
      <c r="K798" s="23" t="e">
        <f ca="1">[1]!BexGetData("DP_1","003N8EMH8GTFRIVNUPY288VJH","GSON1112060290")</f>
        <v>#NAME?</v>
      </c>
      <c r="L798" s="23" t="e">
        <f ca="1">[1]!BexGetData("DP_1","003N8EMH8GTFRIVNUPY2891V1","GSON1112060290")</f>
        <v>#NAME?</v>
      </c>
      <c r="M798" s="23" t="e">
        <f ca="1">[1]!BexGetData("DP_1","003N8EMH8GTFRIVOG7KG9IQXA","GSON1112060290")</f>
        <v>#NAME?</v>
      </c>
      <c r="N798" s="28" t="e">
        <f ca="1">[1]!BexGetData("DP_1","003N8EMH8GTFRIVOG7KG9IX8U","GSON1112060290")</f>
        <v>#NAME?</v>
      </c>
      <c r="O798" s="23" t="e">
        <f ca="1">[1]!BexGetData("DP_1","003N8EMH8GTFRIVOG7KG9J3KE","GSON1112060290")</f>
        <v>#NAME?</v>
      </c>
      <c r="P798" s="28" t="e">
        <f ca="1">[1]!BexGetData("DP_1","003N8EMH8GTFRIVOG7KG9J9VY","GSON1112060290")</f>
        <v>#NAME?</v>
      </c>
      <c r="Q798" s="23" t="e">
        <f ca="1">[1]!BexGetData("DP_1","00O2TNJGODT0G5Z4TTKYMM5MT","GSON1112060290")</f>
        <v>#NAME?</v>
      </c>
      <c r="R798" s="23" t="e">
        <f ca="1">[1]!BexGetData("DP_1","00O2TNJGODT0G5Z4TTKYMMBYD","GSON1112060290")</f>
        <v>#NAME?</v>
      </c>
      <c r="S798" s="23" t="e">
        <f ca="1">[1]!BexGetData("DP_1","00O2TNJGODT0G5Z4TTKYMMI9X","GSON1112060290")</f>
        <v>#NAME?</v>
      </c>
      <c r="T798" s="28" t="e">
        <f ca="1">[1]!BexGetData("DP_1","00O2TNJGODT0G5Z4TTKYMMOLH","GSON1112060290")</f>
        <v>#NAME?</v>
      </c>
      <c r="U798" s="23" t="e">
        <f ca="1">[1]!BexGetData("DP_1","00O2TNJGODT0G5Z4TTKYMMUX1","GSON1112060290")</f>
        <v>#NAME?</v>
      </c>
      <c r="V798" s="28" t="e">
        <f ca="1">[1]!BexGetData("DP_1","00O2TNJGODT0G5Z4TTKYMN18L","GSON1112060290")</f>
        <v>#NAME?</v>
      </c>
      <c r="W798" s="23" t="e">
        <f ca="1">[1]!BexGetData("DP_1","00O2TNJGODT0G5Z4TTKYMN7K5","GSON1112060290")</f>
        <v>#NAME?</v>
      </c>
    </row>
    <row r="799" spans="1:23" x14ac:dyDescent="0.2">
      <c r="A799" s="36" t="s">
        <v>2990</v>
      </c>
      <c r="B799" s="27" t="s">
        <v>2991</v>
      </c>
      <c r="C799" s="28" t="e">
        <f ca="1">[1]!BexGetData("DP_1","003N8EMH8GTFRCSWKMPXRR8GU","GSON1112060291")</f>
        <v>#NAME?</v>
      </c>
      <c r="D799" s="28" t="e">
        <f ca="1">[1]!BexGetData("DP_1","003N8EMH8GTFRCSWKMPXRRESE","GSON1112060291")</f>
        <v>#NAME?</v>
      </c>
      <c r="E799" s="28" t="e">
        <f ca="1">[1]!BexGetData("DP_1","003N8EMH8GTFRCSWKMPXRRL3Y","GSON1112060291")</f>
        <v>#NAME?</v>
      </c>
      <c r="F799" s="28" t="e">
        <f ca="1">[1]!BexGetData("DP_1","003N8EMH8GTFRCSWKMPXRRRFI","GSON1112060291")</f>
        <v>#NAME?</v>
      </c>
      <c r="G799" s="23" t="e">
        <f ca="1">[1]!BexGetData("DP_1","003N8EMH8GTFRCSWKMPXRRXR2","GSON1112060291")</f>
        <v>#NAME?</v>
      </c>
      <c r="H799" s="23" t="e">
        <f ca="1">[1]!BexGetData("DP_1","003N8EMH8GTFRCSWKMPXRS42M","GSON1112060291")</f>
        <v>#NAME?</v>
      </c>
      <c r="I799" s="28" t="e">
        <f ca="1">[1]!BexGetData("DP_1","003N8EMH8GTFRCSWKMPXRSAE6","GSON1112060291")</f>
        <v>#NAME?</v>
      </c>
      <c r="J799" s="24" t="e">
        <f ca="1">[1]!BexGetData("DP_1","003N8EMH8GTFRCSWKMPXRSGPQ","GSON1112060291")</f>
        <v>#NAME?</v>
      </c>
      <c r="K799" s="28" t="e">
        <f ca="1">[1]!BexGetData("DP_1","003N8EMH8GTFRIVNUPY288VJH","GSON1112060291")</f>
        <v>#NAME?</v>
      </c>
      <c r="L799" s="28" t="e">
        <f ca="1">[1]!BexGetData("DP_1","003N8EMH8GTFRIVNUPY2891V1","GSON1112060291")</f>
        <v>#NAME?</v>
      </c>
      <c r="M799" s="28" t="e">
        <f ca="1">[1]!BexGetData("DP_1","003N8EMH8GTFRIVOG7KG9IQXA","GSON1112060291")</f>
        <v>#NAME?</v>
      </c>
      <c r="N799" s="28" t="e">
        <f ca="1">[1]!BexGetData("DP_1","003N8EMH8GTFRIVOG7KG9IX8U","GSON1112060291")</f>
        <v>#NAME?</v>
      </c>
      <c r="O799" s="28" t="e">
        <f ca="1">[1]!BexGetData("DP_1","003N8EMH8GTFRIVOG7KG9J3KE","GSON1112060291")</f>
        <v>#NAME?</v>
      </c>
      <c r="P799" s="28" t="e">
        <f ca="1">[1]!BexGetData("DP_1","003N8EMH8GTFRIVOG7KG9J9VY","GSON1112060291")</f>
        <v>#NAME?</v>
      </c>
      <c r="Q799" s="24" t="e">
        <f ca="1">[1]!BexGetData("DP_1","00O2TNJGODT0G5Z4TTKYMM5MT","GSON1112060291")</f>
        <v>#NAME?</v>
      </c>
      <c r="R799" s="28" t="e">
        <f ca="1">[1]!BexGetData("DP_1","00O2TNJGODT0G5Z4TTKYMMBYD","GSON1112060291")</f>
        <v>#NAME?</v>
      </c>
      <c r="S799" s="28" t="e">
        <f ca="1">[1]!BexGetData("DP_1","00O2TNJGODT0G5Z4TTKYMMI9X","GSON1112060291")</f>
        <v>#NAME?</v>
      </c>
      <c r="T799" s="28" t="e">
        <f ca="1">[1]!BexGetData("DP_1","00O2TNJGODT0G5Z4TTKYMMOLH","GSON1112060291")</f>
        <v>#NAME?</v>
      </c>
      <c r="U799" s="28" t="e">
        <f ca="1">[1]!BexGetData("DP_1","00O2TNJGODT0G5Z4TTKYMMUX1","GSON1112060291")</f>
        <v>#NAME?</v>
      </c>
      <c r="V799" s="28" t="e">
        <f ca="1">[1]!BexGetData("DP_1","00O2TNJGODT0G5Z4TTKYMN18L","GSON1112060291")</f>
        <v>#NAME?</v>
      </c>
      <c r="W799" s="28" t="e">
        <f ca="1">[1]!BexGetData("DP_1","00O2TNJGODT0G5Z4TTKYMN7K5","GSON1112060291")</f>
        <v>#NAME?</v>
      </c>
    </row>
    <row r="800" spans="1:23" x14ac:dyDescent="0.2">
      <c r="A800" s="36" t="s">
        <v>2992</v>
      </c>
      <c r="B800" s="27" t="s">
        <v>2993</v>
      </c>
      <c r="C800" s="23" t="e">
        <f ca="1">[1]!BexGetData("DP_1","003N8EMH8GTFRCSWKMPXRR8GU","GSON1112060294")</f>
        <v>#NAME?</v>
      </c>
      <c r="D800" s="23" t="e">
        <f ca="1">[1]!BexGetData("DP_1","003N8EMH8GTFRCSWKMPXRRESE","GSON1112060294")</f>
        <v>#NAME?</v>
      </c>
      <c r="E800" s="28" t="e">
        <f ca="1">[1]!BexGetData("DP_1","003N8EMH8GTFRCSWKMPXRRL3Y","GSON1112060294")</f>
        <v>#NAME?</v>
      </c>
      <c r="F800" s="28" t="e">
        <f ca="1">[1]!BexGetData("DP_1","003N8EMH8GTFRCSWKMPXRRRFI","GSON1112060294")</f>
        <v>#NAME?</v>
      </c>
      <c r="G800" s="23" t="e">
        <f ca="1">[1]!BexGetData("DP_1","003N8EMH8GTFRCSWKMPXRRXR2","GSON1112060294")</f>
        <v>#NAME?</v>
      </c>
      <c r="H800" s="23" t="e">
        <f ca="1">[1]!BexGetData("DP_1","003N8EMH8GTFRCSWKMPXRS42M","GSON1112060294")</f>
        <v>#NAME?</v>
      </c>
      <c r="I800" s="28" t="e">
        <f ca="1">[1]!BexGetData("DP_1","003N8EMH8GTFRCSWKMPXRSAE6","GSON1112060294")</f>
        <v>#NAME?</v>
      </c>
      <c r="J800" s="24" t="e">
        <f ca="1">[1]!BexGetData("DP_1","003N8EMH8GTFRCSWKMPXRSGPQ","GSON1112060294")</f>
        <v>#NAME?</v>
      </c>
      <c r="K800" s="28" t="e">
        <f ca="1">[1]!BexGetData("DP_1","003N8EMH8GTFRIVNUPY288VJH","GSON1112060294")</f>
        <v>#NAME?</v>
      </c>
      <c r="L800" s="28" t="e">
        <f ca="1">[1]!BexGetData("DP_1","003N8EMH8GTFRIVNUPY2891V1","GSON1112060294")</f>
        <v>#NAME?</v>
      </c>
      <c r="M800" s="28" t="e">
        <f ca="1">[1]!BexGetData("DP_1","003N8EMH8GTFRIVOG7KG9IQXA","GSON1112060294")</f>
        <v>#NAME?</v>
      </c>
      <c r="N800" s="28" t="e">
        <f ca="1">[1]!BexGetData("DP_1","003N8EMH8GTFRIVOG7KG9IX8U","GSON1112060294")</f>
        <v>#NAME?</v>
      </c>
      <c r="O800" s="28" t="e">
        <f ca="1">[1]!BexGetData("DP_1","003N8EMH8GTFRIVOG7KG9J3KE","GSON1112060294")</f>
        <v>#NAME?</v>
      </c>
      <c r="P800" s="28" t="e">
        <f ca="1">[1]!BexGetData("DP_1","003N8EMH8GTFRIVOG7KG9J9VY","GSON1112060294")</f>
        <v>#NAME?</v>
      </c>
      <c r="Q800" s="24" t="e">
        <f ca="1">[1]!BexGetData("DP_1","00O2TNJGODT0G5Z4TTKYMM5MT","GSON1112060294")</f>
        <v>#NAME?</v>
      </c>
      <c r="R800" s="28" t="e">
        <f ca="1">[1]!BexGetData("DP_1","00O2TNJGODT0G5Z4TTKYMMBYD","GSON1112060294")</f>
        <v>#NAME?</v>
      </c>
      <c r="S800" s="28" t="e">
        <f ca="1">[1]!BexGetData("DP_1","00O2TNJGODT0G5Z4TTKYMMI9X","GSON1112060294")</f>
        <v>#NAME?</v>
      </c>
      <c r="T800" s="28" t="e">
        <f ca="1">[1]!BexGetData("DP_1","00O2TNJGODT0G5Z4TTKYMMOLH","GSON1112060294")</f>
        <v>#NAME?</v>
      </c>
      <c r="U800" s="28" t="e">
        <f ca="1">[1]!BexGetData("DP_1","00O2TNJGODT0G5Z4TTKYMMUX1","GSON1112060294")</f>
        <v>#NAME?</v>
      </c>
      <c r="V800" s="28" t="e">
        <f ca="1">[1]!BexGetData("DP_1","00O2TNJGODT0G5Z4TTKYMN18L","GSON1112060294")</f>
        <v>#NAME?</v>
      </c>
      <c r="W800" s="28" t="e">
        <f ca="1">[1]!BexGetData("DP_1","00O2TNJGODT0G5Z4TTKYMN7K5","GSON1112060294")</f>
        <v>#NAME?</v>
      </c>
    </row>
    <row r="801" spans="1:23" x14ac:dyDescent="0.2">
      <c r="A801" s="36" t="s">
        <v>2994</v>
      </c>
      <c r="B801" s="27" t="s">
        <v>2995</v>
      </c>
      <c r="C801" s="24" t="e">
        <f ca="1">[1]!BexGetData("DP_1","003N8EMH8GTFRCSWKMPXRR8GU","GSON1112060295")</f>
        <v>#NAME?</v>
      </c>
      <c r="D801" s="24" t="e">
        <f ca="1">[1]!BexGetData("DP_1","003N8EMH8GTFRCSWKMPXRRESE","GSON1112060295")</f>
        <v>#NAME?</v>
      </c>
      <c r="E801" s="24" t="e">
        <f ca="1">[1]!BexGetData("DP_1","003N8EMH8GTFRCSWKMPXRRL3Y","GSON1112060295")</f>
        <v>#NAME?</v>
      </c>
      <c r="F801" s="28" t="e">
        <f ca="1">[1]!BexGetData("DP_1","003N8EMH8GTFRCSWKMPXRRRFI","GSON1112060295")</f>
        <v>#NAME?</v>
      </c>
      <c r="G801" s="23" t="e">
        <f ca="1">[1]!BexGetData("DP_1","003N8EMH8GTFRCSWKMPXRRXR2","GSON1112060295")</f>
        <v>#NAME?</v>
      </c>
      <c r="H801" s="23" t="e">
        <f ca="1">[1]!BexGetData("DP_1","003N8EMH8GTFRCSWKMPXRS42M","GSON1112060295")</f>
        <v>#NAME?</v>
      </c>
      <c r="I801" s="28" t="e">
        <f ca="1">[1]!BexGetData("DP_1","003N8EMH8GTFRCSWKMPXRSAE6","GSON1112060295")</f>
        <v>#NAME?</v>
      </c>
      <c r="J801" s="24" t="e">
        <f ca="1">[1]!BexGetData("DP_1","003N8EMH8GTFRCSWKMPXRSGPQ","GSON1112060295")</f>
        <v>#NAME?</v>
      </c>
      <c r="K801" s="28" t="e">
        <f ca="1">[1]!BexGetData("DP_1","003N8EMH8GTFRIVNUPY288VJH","GSON1112060295")</f>
        <v>#NAME?</v>
      </c>
      <c r="L801" s="28" t="e">
        <f ca="1">[1]!BexGetData("DP_1","003N8EMH8GTFRIVNUPY2891V1","GSON1112060295")</f>
        <v>#NAME?</v>
      </c>
      <c r="M801" s="28" t="e">
        <f ca="1">[1]!BexGetData("DP_1","003N8EMH8GTFRIVOG7KG9IQXA","GSON1112060295")</f>
        <v>#NAME?</v>
      </c>
      <c r="N801" s="28" t="e">
        <f ca="1">[1]!BexGetData("DP_1","003N8EMH8GTFRIVOG7KG9IX8U","GSON1112060295")</f>
        <v>#NAME?</v>
      </c>
      <c r="O801" s="28" t="e">
        <f ca="1">[1]!BexGetData("DP_1","003N8EMH8GTFRIVOG7KG9J3KE","GSON1112060295")</f>
        <v>#NAME?</v>
      </c>
      <c r="P801" s="28" t="e">
        <f ca="1">[1]!BexGetData("DP_1","003N8EMH8GTFRIVOG7KG9J9VY","GSON1112060295")</f>
        <v>#NAME?</v>
      </c>
      <c r="Q801" s="24" t="e">
        <f ca="1">[1]!BexGetData("DP_1","00O2TNJGODT0G5Z4TTKYMM5MT","GSON1112060295")</f>
        <v>#NAME?</v>
      </c>
      <c r="R801" s="28" t="e">
        <f ca="1">[1]!BexGetData("DP_1","00O2TNJGODT0G5Z4TTKYMMBYD","GSON1112060295")</f>
        <v>#NAME?</v>
      </c>
      <c r="S801" s="28" t="e">
        <f ca="1">[1]!BexGetData("DP_1","00O2TNJGODT0G5Z4TTKYMMI9X","GSON1112060295")</f>
        <v>#NAME?</v>
      </c>
      <c r="T801" s="28" t="e">
        <f ca="1">[1]!BexGetData("DP_1","00O2TNJGODT0G5Z4TTKYMMOLH","GSON1112060295")</f>
        <v>#NAME?</v>
      </c>
      <c r="U801" s="28" t="e">
        <f ca="1">[1]!BexGetData("DP_1","00O2TNJGODT0G5Z4TTKYMMUX1","GSON1112060295")</f>
        <v>#NAME?</v>
      </c>
      <c r="V801" s="28" t="e">
        <f ca="1">[1]!BexGetData("DP_1","00O2TNJGODT0G5Z4TTKYMN18L","GSON1112060295")</f>
        <v>#NAME?</v>
      </c>
      <c r="W801" s="28" t="e">
        <f ca="1">[1]!BexGetData("DP_1","00O2TNJGODT0G5Z4TTKYMN7K5","GSON1112060295")</f>
        <v>#NAME?</v>
      </c>
    </row>
    <row r="802" spans="1:23" x14ac:dyDescent="0.2">
      <c r="A802" s="36" t="s">
        <v>2996</v>
      </c>
      <c r="B802" s="27" t="s">
        <v>2997</v>
      </c>
      <c r="C802" s="28" t="e">
        <f ca="1">[1]!BexGetData("DP_1","003N8EMH8GTFRCSWKMPXRR8GU","GSON1112060300")</f>
        <v>#NAME?</v>
      </c>
      <c r="D802" s="23" t="e">
        <f ca="1">[1]!BexGetData("DP_1","003N8EMH8GTFRCSWKMPXRRESE","GSON1112060300")</f>
        <v>#NAME?</v>
      </c>
      <c r="E802" s="28" t="e">
        <f ca="1">[1]!BexGetData("DP_1","003N8EMH8GTFRCSWKMPXRRL3Y","GSON1112060300")</f>
        <v>#NAME?</v>
      </c>
      <c r="F802" s="23" t="e">
        <f ca="1">[1]!BexGetData("DP_1","003N8EMH8GTFRCSWKMPXRRRFI","GSON1112060300")</f>
        <v>#NAME?</v>
      </c>
      <c r="G802" s="23" t="e">
        <f ca="1">[1]!BexGetData("DP_1","003N8EMH8GTFRCSWKMPXRRXR2","GSON1112060300")</f>
        <v>#NAME?</v>
      </c>
      <c r="H802" s="23" t="e">
        <f ca="1">[1]!BexGetData("DP_1","003N8EMH8GTFRCSWKMPXRS42M","GSON1112060300")</f>
        <v>#NAME?</v>
      </c>
      <c r="I802" s="23" t="e">
        <f ca="1">[1]!BexGetData("DP_1","003N8EMH8GTFRCSWKMPXRSAE6","GSON1112060300")</f>
        <v>#NAME?</v>
      </c>
      <c r="J802" s="23" t="e">
        <f ca="1">[1]!BexGetData("DP_1","003N8EMH8GTFRCSWKMPXRSGPQ","GSON1112060300")</f>
        <v>#NAME?</v>
      </c>
      <c r="K802" s="23" t="e">
        <f ca="1">[1]!BexGetData("DP_1","003N8EMH8GTFRIVNUPY288VJH","GSON1112060300")</f>
        <v>#NAME?</v>
      </c>
      <c r="L802" s="23" t="e">
        <f ca="1">[1]!BexGetData("DP_1","003N8EMH8GTFRIVNUPY2891V1","GSON1112060300")</f>
        <v>#NAME?</v>
      </c>
      <c r="M802" s="23" t="e">
        <f ca="1">[1]!BexGetData("DP_1","003N8EMH8GTFRIVOG7KG9IQXA","GSON1112060300")</f>
        <v>#NAME?</v>
      </c>
      <c r="N802" s="28" t="e">
        <f ca="1">[1]!BexGetData("DP_1","003N8EMH8GTFRIVOG7KG9IX8U","GSON1112060300")</f>
        <v>#NAME?</v>
      </c>
      <c r="O802" s="23" t="e">
        <f ca="1">[1]!BexGetData("DP_1","003N8EMH8GTFRIVOG7KG9J3KE","GSON1112060300")</f>
        <v>#NAME?</v>
      </c>
      <c r="P802" s="28" t="e">
        <f ca="1">[1]!BexGetData("DP_1","003N8EMH8GTFRIVOG7KG9J9VY","GSON1112060300")</f>
        <v>#NAME?</v>
      </c>
      <c r="Q802" s="23" t="e">
        <f ca="1">[1]!BexGetData("DP_1","00O2TNJGODT0G5Z4TTKYMM5MT","GSON1112060300")</f>
        <v>#NAME?</v>
      </c>
      <c r="R802" s="23" t="e">
        <f ca="1">[1]!BexGetData("DP_1","00O2TNJGODT0G5Z4TTKYMMBYD","GSON1112060300")</f>
        <v>#NAME?</v>
      </c>
      <c r="S802" s="23" t="e">
        <f ca="1">[1]!BexGetData("DP_1","00O2TNJGODT0G5Z4TTKYMMI9X","GSON1112060300")</f>
        <v>#NAME?</v>
      </c>
      <c r="T802" s="23" t="e">
        <f ca="1">[1]!BexGetData("DP_1","00O2TNJGODT0G5Z4TTKYMMOLH","GSON1112060300")</f>
        <v>#NAME?</v>
      </c>
      <c r="U802" s="28" t="e">
        <f ca="1">[1]!BexGetData("DP_1","00O2TNJGODT0G5Z4TTKYMMUX1","GSON1112060300")</f>
        <v>#NAME?</v>
      </c>
      <c r="V802" s="23" t="e">
        <f ca="1">[1]!BexGetData("DP_1","00O2TNJGODT0G5Z4TTKYMN18L","GSON1112060300")</f>
        <v>#NAME?</v>
      </c>
      <c r="W802" s="28" t="e">
        <f ca="1">[1]!BexGetData("DP_1","00O2TNJGODT0G5Z4TTKYMN7K5","GSON1112060300")</f>
        <v>#NAME?</v>
      </c>
    </row>
    <row r="803" spans="1:23" x14ac:dyDescent="0.2">
      <c r="A803" s="36" t="s">
        <v>2998</v>
      </c>
      <c r="B803" s="27" t="s">
        <v>2999</v>
      </c>
      <c r="C803" s="24" t="e">
        <f ca="1">[1]!BexGetData("DP_1","003N8EMH8GTFRCSWKMPXRR8GU","GSON1112060301")</f>
        <v>#NAME?</v>
      </c>
      <c r="D803" s="24" t="e">
        <f ca="1">[1]!BexGetData("DP_1","003N8EMH8GTFRCSWKMPXRRESE","GSON1112060301")</f>
        <v>#NAME?</v>
      </c>
      <c r="E803" s="24" t="e">
        <f ca="1">[1]!BexGetData("DP_1","003N8EMH8GTFRCSWKMPXRRL3Y","GSON1112060301")</f>
        <v>#NAME?</v>
      </c>
      <c r="F803" s="28" t="e">
        <f ca="1">[1]!BexGetData("DP_1","003N8EMH8GTFRCSWKMPXRRRFI","GSON1112060301")</f>
        <v>#NAME?</v>
      </c>
      <c r="G803" s="23" t="e">
        <f ca="1">[1]!BexGetData("DP_1","003N8EMH8GTFRCSWKMPXRRXR2","GSON1112060301")</f>
        <v>#NAME?</v>
      </c>
      <c r="H803" s="23" t="e">
        <f ca="1">[1]!BexGetData("DP_1","003N8EMH8GTFRCSWKMPXRS42M","GSON1112060301")</f>
        <v>#NAME?</v>
      </c>
      <c r="I803" s="28" t="e">
        <f ca="1">[1]!BexGetData("DP_1","003N8EMH8GTFRCSWKMPXRSAE6","GSON1112060301")</f>
        <v>#NAME?</v>
      </c>
      <c r="J803" s="24" t="e">
        <f ca="1">[1]!BexGetData("DP_1","003N8EMH8GTFRCSWKMPXRSGPQ","GSON1112060301")</f>
        <v>#NAME?</v>
      </c>
      <c r="K803" s="28" t="e">
        <f ca="1">[1]!BexGetData("DP_1","003N8EMH8GTFRIVNUPY288VJH","GSON1112060301")</f>
        <v>#NAME?</v>
      </c>
      <c r="L803" s="28" t="e">
        <f ca="1">[1]!BexGetData("DP_1","003N8EMH8GTFRIVNUPY2891V1","GSON1112060301")</f>
        <v>#NAME?</v>
      </c>
      <c r="M803" s="28" t="e">
        <f ca="1">[1]!BexGetData("DP_1","003N8EMH8GTFRIVOG7KG9IQXA","GSON1112060301")</f>
        <v>#NAME?</v>
      </c>
      <c r="N803" s="28" t="e">
        <f ca="1">[1]!BexGetData("DP_1","003N8EMH8GTFRIVOG7KG9IX8U","GSON1112060301")</f>
        <v>#NAME?</v>
      </c>
      <c r="O803" s="28" t="e">
        <f ca="1">[1]!BexGetData("DP_1","003N8EMH8GTFRIVOG7KG9J3KE","GSON1112060301")</f>
        <v>#NAME?</v>
      </c>
      <c r="P803" s="28" t="e">
        <f ca="1">[1]!BexGetData("DP_1","003N8EMH8GTFRIVOG7KG9J9VY","GSON1112060301")</f>
        <v>#NAME?</v>
      </c>
      <c r="Q803" s="24" t="e">
        <f ca="1">[1]!BexGetData("DP_1","00O2TNJGODT0G5Z4TTKYMM5MT","GSON1112060301")</f>
        <v>#NAME?</v>
      </c>
      <c r="R803" s="28" t="e">
        <f ca="1">[1]!BexGetData("DP_1","00O2TNJGODT0G5Z4TTKYMMBYD","GSON1112060301")</f>
        <v>#NAME?</v>
      </c>
      <c r="S803" s="28" t="e">
        <f ca="1">[1]!BexGetData("DP_1","00O2TNJGODT0G5Z4TTKYMMI9X","GSON1112060301")</f>
        <v>#NAME?</v>
      </c>
      <c r="T803" s="28" t="e">
        <f ca="1">[1]!BexGetData("DP_1","00O2TNJGODT0G5Z4TTKYMMOLH","GSON1112060301")</f>
        <v>#NAME?</v>
      </c>
      <c r="U803" s="28" t="e">
        <f ca="1">[1]!BexGetData("DP_1","00O2TNJGODT0G5Z4TTKYMMUX1","GSON1112060301")</f>
        <v>#NAME?</v>
      </c>
      <c r="V803" s="28" t="e">
        <f ca="1">[1]!BexGetData("DP_1","00O2TNJGODT0G5Z4TTKYMN18L","GSON1112060301")</f>
        <v>#NAME?</v>
      </c>
      <c r="W803" s="28" t="e">
        <f ca="1">[1]!BexGetData("DP_1","00O2TNJGODT0G5Z4TTKYMN7K5","GSON1112060301")</f>
        <v>#NAME?</v>
      </c>
    </row>
    <row r="804" spans="1:23" x14ac:dyDescent="0.2">
      <c r="A804" s="36" t="s">
        <v>3000</v>
      </c>
      <c r="B804" s="27" t="s">
        <v>3001</v>
      </c>
      <c r="C804" s="24" t="e">
        <f ca="1">[1]!BexGetData("DP_1","003N8EMH8GTFRCSWKMPXRR8GU","GSON1112060303")</f>
        <v>#NAME?</v>
      </c>
      <c r="D804" s="24" t="e">
        <f ca="1">[1]!BexGetData("DP_1","003N8EMH8GTFRCSWKMPXRRESE","GSON1112060303")</f>
        <v>#NAME?</v>
      </c>
      <c r="E804" s="24" t="e">
        <f ca="1">[1]!BexGetData("DP_1","003N8EMH8GTFRCSWKMPXRRL3Y","GSON1112060303")</f>
        <v>#NAME?</v>
      </c>
      <c r="F804" s="28" t="e">
        <f ca="1">[1]!BexGetData("DP_1","003N8EMH8GTFRCSWKMPXRRRFI","GSON1112060303")</f>
        <v>#NAME?</v>
      </c>
      <c r="G804" s="23" t="e">
        <f ca="1">[1]!BexGetData("DP_1","003N8EMH8GTFRCSWKMPXRRXR2","GSON1112060303")</f>
        <v>#NAME?</v>
      </c>
      <c r="H804" s="23" t="e">
        <f ca="1">[1]!BexGetData("DP_1","003N8EMH8GTFRCSWKMPXRS42M","GSON1112060303")</f>
        <v>#NAME?</v>
      </c>
      <c r="I804" s="28" t="e">
        <f ca="1">[1]!BexGetData("DP_1","003N8EMH8GTFRCSWKMPXRSAE6","GSON1112060303")</f>
        <v>#NAME?</v>
      </c>
      <c r="J804" s="24" t="e">
        <f ca="1">[1]!BexGetData("DP_1","003N8EMH8GTFRCSWKMPXRSGPQ","GSON1112060303")</f>
        <v>#NAME?</v>
      </c>
      <c r="K804" s="28" t="e">
        <f ca="1">[1]!BexGetData("DP_1","003N8EMH8GTFRIVNUPY288VJH","GSON1112060303")</f>
        <v>#NAME?</v>
      </c>
      <c r="L804" s="28" t="e">
        <f ca="1">[1]!BexGetData("DP_1","003N8EMH8GTFRIVNUPY2891V1","GSON1112060303")</f>
        <v>#NAME?</v>
      </c>
      <c r="M804" s="28" t="e">
        <f ca="1">[1]!BexGetData("DP_1","003N8EMH8GTFRIVOG7KG9IQXA","GSON1112060303")</f>
        <v>#NAME?</v>
      </c>
      <c r="N804" s="28" t="e">
        <f ca="1">[1]!BexGetData("DP_1","003N8EMH8GTFRIVOG7KG9IX8U","GSON1112060303")</f>
        <v>#NAME?</v>
      </c>
      <c r="O804" s="28" t="e">
        <f ca="1">[1]!BexGetData("DP_1","003N8EMH8GTFRIVOG7KG9J3KE","GSON1112060303")</f>
        <v>#NAME?</v>
      </c>
      <c r="P804" s="28" t="e">
        <f ca="1">[1]!BexGetData("DP_1","003N8EMH8GTFRIVOG7KG9J9VY","GSON1112060303")</f>
        <v>#NAME?</v>
      </c>
      <c r="Q804" s="24" t="e">
        <f ca="1">[1]!BexGetData("DP_1","00O2TNJGODT0G5Z4TTKYMM5MT","GSON1112060303")</f>
        <v>#NAME?</v>
      </c>
      <c r="R804" s="28" t="e">
        <f ca="1">[1]!BexGetData("DP_1","00O2TNJGODT0G5Z4TTKYMMBYD","GSON1112060303")</f>
        <v>#NAME?</v>
      </c>
      <c r="S804" s="28" t="e">
        <f ca="1">[1]!BexGetData("DP_1","00O2TNJGODT0G5Z4TTKYMMI9X","GSON1112060303")</f>
        <v>#NAME?</v>
      </c>
      <c r="T804" s="28" t="e">
        <f ca="1">[1]!BexGetData("DP_1","00O2TNJGODT0G5Z4TTKYMMOLH","GSON1112060303")</f>
        <v>#NAME?</v>
      </c>
      <c r="U804" s="28" t="e">
        <f ca="1">[1]!BexGetData("DP_1","00O2TNJGODT0G5Z4TTKYMMUX1","GSON1112060303")</f>
        <v>#NAME?</v>
      </c>
      <c r="V804" s="28" t="e">
        <f ca="1">[1]!BexGetData("DP_1","00O2TNJGODT0G5Z4TTKYMN18L","GSON1112060303")</f>
        <v>#NAME?</v>
      </c>
      <c r="W804" s="28" t="e">
        <f ca="1">[1]!BexGetData("DP_1","00O2TNJGODT0G5Z4TTKYMN7K5","GSON1112060303")</f>
        <v>#NAME?</v>
      </c>
    </row>
    <row r="805" spans="1:23" x14ac:dyDescent="0.2">
      <c r="A805" s="36" t="s">
        <v>3002</v>
      </c>
      <c r="B805" s="27" t="s">
        <v>3003</v>
      </c>
      <c r="C805" s="23" t="e">
        <f ca="1">[1]!BexGetData("DP_1","003N8EMH8GTFRCSWKMPXRR8GU","GSON1112060304")</f>
        <v>#NAME?</v>
      </c>
      <c r="D805" s="23" t="e">
        <f ca="1">[1]!BexGetData("DP_1","003N8EMH8GTFRCSWKMPXRRESE","GSON1112060304")</f>
        <v>#NAME?</v>
      </c>
      <c r="E805" s="28" t="e">
        <f ca="1">[1]!BexGetData("DP_1","003N8EMH8GTFRCSWKMPXRRL3Y","GSON1112060304")</f>
        <v>#NAME?</v>
      </c>
      <c r="F805" s="28" t="e">
        <f ca="1">[1]!BexGetData("DP_1","003N8EMH8GTFRCSWKMPXRRRFI","GSON1112060304")</f>
        <v>#NAME?</v>
      </c>
      <c r="G805" s="23" t="e">
        <f ca="1">[1]!BexGetData("DP_1","003N8EMH8GTFRCSWKMPXRRXR2","GSON1112060304")</f>
        <v>#NAME?</v>
      </c>
      <c r="H805" s="23" t="e">
        <f ca="1">[1]!BexGetData("DP_1","003N8EMH8GTFRCSWKMPXRS42M","GSON1112060304")</f>
        <v>#NAME?</v>
      </c>
      <c r="I805" s="28" t="e">
        <f ca="1">[1]!BexGetData("DP_1","003N8EMH8GTFRCSWKMPXRSAE6","GSON1112060304")</f>
        <v>#NAME?</v>
      </c>
      <c r="J805" s="24" t="e">
        <f ca="1">[1]!BexGetData("DP_1","003N8EMH8GTFRCSWKMPXRSGPQ","GSON1112060304")</f>
        <v>#NAME?</v>
      </c>
      <c r="K805" s="28" t="e">
        <f ca="1">[1]!BexGetData("DP_1","003N8EMH8GTFRIVNUPY288VJH","GSON1112060304")</f>
        <v>#NAME?</v>
      </c>
      <c r="L805" s="28" t="e">
        <f ca="1">[1]!BexGetData("DP_1","003N8EMH8GTFRIVNUPY2891V1","GSON1112060304")</f>
        <v>#NAME?</v>
      </c>
      <c r="M805" s="28" t="e">
        <f ca="1">[1]!BexGetData("DP_1","003N8EMH8GTFRIVOG7KG9IQXA","GSON1112060304")</f>
        <v>#NAME?</v>
      </c>
      <c r="N805" s="28" t="e">
        <f ca="1">[1]!BexGetData("DP_1","003N8EMH8GTFRIVOG7KG9IX8U","GSON1112060304")</f>
        <v>#NAME?</v>
      </c>
      <c r="O805" s="28" t="e">
        <f ca="1">[1]!BexGetData("DP_1","003N8EMH8GTFRIVOG7KG9J3KE","GSON1112060304")</f>
        <v>#NAME?</v>
      </c>
      <c r="P805" s="28" t="e">
        <f ca="1">[1]!BexGetData("DP_1","003N8EMH8GTFRIVOG7KG9J9VY","GSON1112060304")</f>
        <v>#NAME?</v>
      </c>
      <c r="Q805" s="24" t="e">
        <f ca="1">[1]!BexGetData("DP_1","00O2TNJGODT0G5Z4TTKYMM5MT","GSON1112060304")</f>
        <v>#NAME?</v>
      </c>
      <c r="R805" s="28" t="e">
        <f ca="1">[1]!BexGetData("DP_1","00O2TNJGODT0G5Z4TTKYMMBYD","GSON1112060304")</f>
        <v>#NAME?</v>
      </c>
      <c r="S805" s="28" t="e">
        <f ca="1">[1]!BexGetData("DP_1","00O2TNJGODT0G5Z4TTKYMMI9X","GSON1112060304")</f>
        <v>#NAME?</v>
      </c>
      <c r="T805" s="28" t="e">
        <f ca="1">[1]!BexGetData("DP_1","00O2TNJGODT0G5Z4TTKYMMOLH","GSON1112060304")</f>
        <v>#NAME?</v>
      </c>
      <c r="U805" s="28" t="e">
        <f ca="1">[1]!BexGetData("DP_1","00O2TNJGODT0G5Z4TTKYMMUX1","GSON1112060304")</f>
        <v>#NAME?</v>
      </c>
      <c r="V805" s="28" t="e">
        <f ca="1">[1]!BexGetData("DP_1","00O2TNJGODT0G5Z4TTKYMN18L","GSON1112060304")</f>
        <v>#NAME?</v>
      </c>
      <c r="W805" s="28" t="e">
        <f ca="1">[1]!BexGetData("DP_1","00O2TNJGODT0G5Z4TTKYMN7K5","GSON1112060304")</f>
        <v>#NAME?</v>
      </c>
    </row>
    <row r="806" spans="1:23" x14ac:dyDescent="0.2">
      <c r="A806" s="36" t="s">
        <v>3004</v>
      </c>
      <c r="B806" s="27" t="s">
        <v>3005</v>
      </c>
      <c r="C806" s="28" t="e">
        <f ca="1">[1]!BexGetData("DP_1","003N8EMH8GTFRCSWKMPXRR8GU","GSON1112060305")</f>
        <v>#NAME?</v>
      </c>
      <c r="D806" s="28" t="e">
        <f ca="1">[1]!BexGetData("DP_1","003N8EMH8GTFRCSWKMPXRRESE","GSON1112060305")</f>
        <v>#NAME?</v>
      </c>
      <c r="E806" s="28" t="e">
        <f ca="1">[1]!BexGetData("DP_1","003N8EMH8GTFRCSWKMPXRRL3Y","GSON1112060305")</f>
        <v>#NAME?</v>
      </c>
      <c r="F806" s="28" t="e">
        <f ca="1">[1]!BexGetData("DP_1","003N8EMH8GTFRCSWKMPXRRRFI","GSON1112060305")</f>
        <v>#NAME?</v>
      </c>
      <c r="G806" s="23" t="e">
        <f ca="1">[1]!BexGetData("DP_1","003N8EMH8GTFRCSWKMPXRRXR2","GSON1112060305")</f>
        <v>#NAME?</v>
      </c>
      <c r="H806" s="23" t="e">
        <f ca="1">[1]!BexGetData("DP_1","003N8EMH8GTFRCSWKMPXRS42M","GSON1112060305")</f>
        <v>#NAME?</v>
      </c>
      <c r="I806" s="28" t="e">
        <f ca="1">[1]!BexGetData("DP_1","003N8EMH8GTFRCSWKMPXRSAE6","GSON1112060305")</f>
        <v>#NAME?</v>
      </c>
      <c r="J806" s="24" t="e">
        <f ca="1">[1]!BexGetData("DP_1","003N8EMH8GTFRCSWKMPXRSGPQ","GSON1112060305")</f>
        <v>#NAME?</v>
      </c>
      <c r="K806" s="28" t="e">
        <f ca="1">[1]!BexGetData("DP_1","003N8EMH8GTFRIVNUPY288VJH","GSON1112060305")</f>
        <v>#NAME?</v>
      </c>
      <c r="L806" s="28" t="e">
        <f ca="1">[1]!BexGetData("DP_1","003N8EMH8GTFRIVNUPY2891V1","GSON1112060305")</f>
        <v>#NAME?</v>
      </c>
      <c r="M806" s="28" t="e">
        <f ca="1">[1]!BexGetData("DP_1","003N8EMH8GTFRIVOG7KG9IQXA","GSON1112060305")</f>
        <v>#NAME?</v>
      </c>
      <c r="N806" s="28" t="e">
        <f ca="1">[1]!BexGetData("DP_1","003N8EMH8GTFRIVOG7KG9IX8U","GSON1112060305")</f>
        <v>#NAME?</v>
      </c>
      <c r="O806" s="28" t="e">
        <f ca="1">[1]!BexGetData("DP_1","003N8EMH8GTFRIVOG7KG9J3KE","GSON1112060305")</f>
        <v>#NAME?</v>
      </c>
      <c r="P806" s="28" t="e">
        <f ca="1">[1]!BexGetData("DP_1","003N8EMH8GTFRIVOG7KG9J9VY","GSON1112060305")</f>
        <v>#NAME?</v>
      </c>
      <c r="Q806" s="24" t="e">
        <f ca="1">[1]!BexGetData("DP_1","00O2TNJGODT0G5Z4TTKYMM5MT","GSON1112060305")</f>
        <v>#NAME?</v>
      </c>
      <c r="R806" s="28" t="e">
        <f ca="1">[1]!BexGetData("DP_1","00O2TNJGODT0G5Z4TTKYMMBYD","GSON1112060305")</f>
        <v>#NAME?</v>
      </c>
      <c r="S806" s="28" t="e">
        <f ca="1">[1]!BexGetData("DP_1","00O2TNJGODT0G5Z4TTKYMMI9X","GSON1112060305")</f>
        <v>#NAME?</v>
      </c>
      <c r="T806" s="28" t="e">
        <f ca="1">[1]!BexGetData("DP_1","00O2TNJGODT0G5Z4TTKYMMOLH","GSON1112060305")</f>
        <v>#NAME?</v>
      </c>
      <c r="U806" s="28" t="e">
        <f ca="1">[1]!BexGetData("DP_1","00O2TNJGODT0G5Z4TTKYMMUX1","GSON1112060305")</f>
        <v>#NAME?</v>
      </c>
      <c r="V806" s="28" t="e">
        <f ca="1">[1]!BexGetData("DP_1","00O2TNJGODT0G5Z4TTKYMN18L","GSON1112060305")</f>
        <v>#NAME?</v>
      </c>
      <c r="W806" s="28" t="e">
        <f ca="1">[1]!BexGetData("DP_1","00O2TNJGODT0G5Z4TTKYMN7K5","GSON1112060305")</f>
        <v>#NAME?</v>
      </c>
    </row>
    <row r="807" spans="1:23" x14ac:dyDescent="0.2">
      <c r="A807" s="36" t="s">
        <v>3006</v>
      </c>
      <c r="B807" s="27" t="s">
        <v>3007</v>
      </c>
      <c r="C807" s="28" t="e">
        <f ca="1">[1]!BexGetData("DP_1","003N8EMH8GTFRCSWKMPXRR8GU","GSON1112060310")</f>
        <v>#NAME?</v>
      </c>
      <c r="D807" s="28" t="e">
        <f ca="1">[1]!BexGetData("DP_1","003N8EMH8GTFRCSWKMPXRRESE","GSON1112060310")</f>
        <v>#NAME?</v>
      </c>
      <c r="E807" s="28" t="e">
        <f ca="1">[1]!BexGetData("DP_1","003N8EMH8GTFRCSWKMPXRRL3Y","GSON1112060310")</f>
        <v>#NAME?</v>
      </c>
      <c r="F807" s="28" t="e">
        <f ca="1">[1]!BexGetData("DP_1","003N8EMH8GTFRCSWKMPXRRRFI","GSON1112060310")</f>
        <v>#NAME?</v>
      </c>
      <c r="G807" s="23" t="e">
        <f ca="1">[1]!BexGetData("DP_1","003N8EMH8GTFRCSWKMPXRRXR2","GSON1112060310")</f>
        <v>#NAME?</v>
      </c>
      <c r="H807" s="23" t="e">
        <f ca="1">[1]!BexGetData("DP_1","003N8EMH8GTFRCSWKMPXRS42M","GSON1112060310")</f>
        <v>#NAME?</v>
      </c>
      <c r="I807" s="28" t="e">
        <f ca="1">[1]!BexGetData("DP_1","003N8EMH8GTFRCSWKMPXRSAE6","GSON1112060310")</f>
        <v>#NAME?</v>
      </c>
      <c r="J807" s="23" t="e">
        <f ca="1">[1]!BexGetData("DP_1","003N8EMH8GTFRCSWKMPXRSGPQ","GSON1112060310")</f>
        <v>#NAME?</v>
      </c>
      <c r="K807" s="28" t="e">
        <f ca="1">[1]!BexGetData("DP_1","003N8EMH8GTFRIVNUPY288VJH","GSON1112060310")</f>
        <v>#NAME?</v>
      </c>
      <c r="L807" s="28" t="e">
        <f ca="1">[1]!BexGetData("DP_1","003N8EMH8GTFRIVNUPY2891V1","GSON1112060310")</f>
        <v>#NAME?</v>
      </c>
      <c r="M807" s="28" t="e">
        <f ca="1">[1]!BexGetData("DP_1","003N8EMH8GTFRIVOG7KG9IQXA","GSON1112060310")</f>
        <v>#NAME?</v>
      </c>
      <c r="N807" s="28" t="e">
        <f ca="1">[1]!BexGetData("DP_1","003N8EMH8GTFRIVOG7KG9IX8U","GSON1112060310")</f>
        <v>#NAME?</v>
      </c>
      <c r="O807" s="28" t="e">
        <f ca="1">[1]!BexGetData("DP_1","003N8EMH8GTFRIVOG7KG9J3KE","GSON1112060310")</f>
        <v>#NAME?</v>
      </c>
      <c r="P807" s="28" t="e">
        <f ca="1">[1]!BexGetData("DP_1","003N8EMH8GTFRIVOG7KG9J9VY","GSON1112060310")</f>
        <v>#NAME?</v>
      </c>
      <c r="Q807" s="23" t="e">
        <f ca="1">[1]!BexGetData("DP_1","00O2TNJGODT0G5Z4TTKYMM5MT","GSON1112060310")</f>
        <v>#NAME?</v>
      </c>
      <c r="R807" s="23" t="e">
        <f ca="1">[1]!BexGetData("DP_1","00O2TNJGODT0G5Z4TTKYMMBYD","GSON1112060310")</f>
        <v>#NAME?</v>
      </c>
      <c r="S807" s="23" t="e">
        <f ca="1">[1]!BexGetData("DP_1","00O2TNJGODT0G5Z4TTKYMMI9X","GSON1112060310")</f>
        <v>#NAME?</v>
      </c>
      <c r="T807" s="23" t="e">
        <f ca="1">[1]!BexGetData("DP_1","00O2TNJGODT0G5Z4TTKYMMOLH","GSON1112060310")</f>
        <v>#NAME?</v>
      </c>
      <c r="U807" s="28" t="e">
        <f ca="1">[1]!BexGetData("DP_1","00O2TNJGODT0G5Z4TTKYMMUX1","GSON1112060310")</f>
        <v>#NAME?</v>
      </c>
      <c r="V807" s="23" t="e">
        <f ca="1">[1]!BexGetData("DP_1","00O2TNJGODT0G5Z4TTKYMN18L","GSON1112060310")</f>
        <v>#NAME?</v>
      </c>
      <c r="W807" s="28" t="e">
        <f ca="1">[1]!BexGetData("DP_1","00O2TNJGODT0G5Z4TTKYMN7K5","GSON1112060310")</f>
        <v>#NAME?</v>
      </c>
    </row>
    <row r="808" spans="1:23" x14ac:dyDescent="0.2">
      <c r="A808" s="36" t="s">
        <v>3008</v>
      </c>
      <c r="B808" s="27" t="s">
        <v>3009</v>
      </c>
      <c r="C808" s="28" t="e">
        <f ca="1">[1]!BexGetData("DP_1","003N8EMH8GTFRCSWKMPXRR8GU","GSON1112060311")</f>
        <v>#NAME?</v>
      </c>
      <c r="D808" s="28" t="e">
        <f ca="1">[1]!BexGetData("DP_1","003N8EMH8GTFRCSWKMPXRRESE","GSON1112060311")</f>
        <v>#NAME?</v>
      </c>
      <c r="E808" s="28" t="e">
        <f ca="1">[1]!BexGetData("DP_1","003N8EMH8GTFRCSWKMPXRRL3Y","GSON1112060311")</f>
        <v>#NAME?</v>
      </c>
      <c r="F808" s="28" t="e">
        <f ca="1">[1]!BexGetData("DP_1","003N8EMH8GTFRCSWKMPXRRRFI","GSON1112060311")</f>
        <v>#NAME?</v>
      </c>
      <c r="G808" s="23" t="e">
        <f ca="1">[1]!BexGetData("DP_1","003N8EMH8GTFRCSWKMPXRRXR2","GSON1112060311")</f>
        <v>#NAME?</v>
      </c>
      <c r="H808" s="23" t="e">
        <f ca="1">[1]!BexGetData("DP_1","003N8EMH8GTFRCSWKMPXRS42M","GSON1112060311")</f>
        <v>#NAME?</v>
      </c>
      <c r="I808" s="28" t="e">
        <f ca="1">[1]!BexGetData("DP_1","003N8EMH8GTFRCSWKMPXRSAE6","GSON1112060311")</f>
        <v>#NAME?</v>
      </c>
      <c r="J808" s="24" t="e">
        <f ca="1">[1]!BexGetData("DP_1","003N8EMH8GTFRCSWKMPXRSGPQ","GSON1112060311")</f>
        <v>#NAME?</v>
      </c>
      <c r="K808" s="28" t="e">
        <f ca="1">[1]!BexGetData("DP_1","003N8EMH8GTFRIVNUPY288VJH","GSON1112060311")</f>
        <v>#NAME?</v>
      </c>
      <c r="L808" s="28" t="e">
        <f ca="1">[1]!BexGetData("DP_1","003N8EMH8GTFRIVNUPY2891V1","GSON1112060311")</f>
        <v>#NAME?</v>
      </c>
      <c r="M808" s="28" t="e">
        <f ca="1">[1]!BexGetData("DP_1","003N8EMH8GTFRIVOG7KG9IQXA","GSON1112060311")</f>
        <v>#NAME?</v>
      </c>
      <c r="N808" s="28" t="e">
        <f ca="1">[1]!BexGetData("DP_1","003N8EMH8GTFRIVOG7KG9IX8U","GSON1112060311")</f>
        <v>#NAME?</v>
      </c>
      <c r="O808" s="28" t="e">
        <f ca="1">[1]!BexGetData("DP_1","003N8EMH8GTFRIVOG7KG9J3KE","GSON1112060311")</f>
        <v>#NAME?</v>
      </c>
      <c r="P808" s="28" t="e">
        <f ca="1">[1]!BexGetData("DP_1","003N8EMH8GTFRIVOG7KG9J9VY","GSON1112060311")</f>
        <v>#NAME?</v>
      </c>
      <c r="Q808" s="24" t="e">
        <f ca="1">[1]!BexGetData("DP_1","00O2TNJGODT0G5Z4TTKYMM5MT","GSON1112060311")</f>
        <v>#NAME?</v>
      </c>
      <c r="R808" s="28" t="e">
        <f ca="1">[1]!BexGetData("DP_1","00O2TNJGODT0G5Z4TTKYMMBYD","GSON1112060311")</f>
        <v>#NAME?</v>
      </c>
      <c r="S808" s="28" t="e">
        <f ca="1">[1]!BexGetData("DP_1","00O2TNJGODT0G5Z4TTKYMMI9X","GSON1112060311")</f>
        <v>#NAME?</v>
      </c>
      <c r="T808" s="28" t="e">
        <f ca="1">[1]!BexGetData("DP_1","00O2TNJGODT0G5Z4TTKYMMOLH","GSON1112060311")</f>
        <v>#NAME?</v>
      </c>
      <c r="U808" s="28" t="e">
        <f ca="1">[1]!BexGetData("DP_1","00O2TNJGODT0G5Z4TTKYMMUX1","GSON1112060311")</f>
        <v>#NAME?</v>
      </c>
      <c r="V808" s="28" t="e">
        <f ca="1">[1]!BexGetData("DP_1","00O2TNJGODT0G5Z4TTKYMN18L","GSON1112060311")</f>
        <v>#NAME?</v>
      </c>
      <c r="W808" s="28" t="e">
        <f ca="1">[1]!BexGetData("DP_1","00O2TNJGODT0G5Z4TTKYMN7K5","GSON1112060311")</f>
        <v>#NAME?</v>
      </c>
    </row>
    <row r="809" spans="1:23" x14ac:dyDescent="0.2">
      <c r="A809" s="36" t="s">
        <v>3010</v>
      </c>
      <c r="B809" s="27" t="s">
        <v>3011</v>
      </c>
      <c r="C809" s="24" t="e">
        <f ca="1">[1]!BexGetData("DP_1","003N8EMH8GTFRCSWKMPXRR8GU","GSON1112060313")</f>
        <v>#NAME?</v>
      </c>
      <c r="D809" s="24" t="e">
        <f ca="1">[1]!BexGetData("DP_1","003N8EMH8GTFRCSWKMPXRRESE","GSON1112060313")</f>
        <v>#NAME?</v>
      </c>
      <c r="E809" s="24" t="e">
        <f ca="1">[1]!BexGetData("DP_1","003N8EMH8GTFRCSWKMPXRRL3Y","GSON1112060313")</f>
        <v>#NAME?</v>
      </c>
      <c r="F809" s="28" t="e">
        <f ca="1">[1]!BexGetData("DP_1","003N8EMH8GTFRCSWKMPXRRRFI","GSON1112060313")</f>
        <v>#NAME?</v>
      </c>
      <c r="G809" s="23" t="e">
        <f ca="1">[1]!BexGetData("DP_1","003N8EMH8GTFRCSWKMPXRRXR2","GSON1112060313")</f>
        <v>#NAME?</v>
      </c>
      <c r="H809" s="23" t="e">
        <f ca="1">[1]!BexGetData("DP_1","003N8EMH8GTFRCSWKMPXRS42M","GSON1112060313")</f>
        <v>#NAME?</v>
      </c>
      <c r="I809" s="28" t="e">
        <f ca="1">[1]!BexGetData("DP_1","003N8EMH8GTFRCSWKMPXRSAE6","GSON1112060313")</f>
        <v>#NAME?</v>
      </c>
      <c r="J809" s="24" t="e">
        <f ca="1">[1]!BexGetData("DP_1","003N8EMH8GTFRCSWKMPXRSGPQ","GSON1112060313")</f>
        <v>#NAME?</v>
      </c>
      <c r="K809" s="28" t="e">
        <f ca="1">[1]!BexGetData("DP_1","003N8EMH8GTFRIVNUPY288VJH","GSON1112060313")</f>
        <v>#NAME?</v>
      </c>
      <c r="L809" s="28" t="e">
        <f ca="1">[1]!BexGetData("DP_1","003N8EMH8GTFRIVNUPY2891V1","GSON1112060313")</f>
        <v>#NAME?</v>
      </c>
      <c r="M809" s="28" t="e">
        <f ca="1">[1]!BexGetData("DP_1","003N8EMH8GTFRIVOG7KG9IQXA","GSON1112060313")</f>
        <v>#NAME?</v>
      </c>
      <c r="N809" s="28" t="e">
        <f ca="1">[1]!BexGetData("DP_1","003N8EMH8GTFRIVOG7KG9IX8U","GSON1112060313")</f>
        <v>#NAME?</v>
      </c>
      <c r="O809" s="28" t="e">
        <f ca="1">[1]!BexGetData("DP_1","003N8EMH8GTFRIVOG7KG9J3KE","GSON1112060313")</f>
        <v>#NAME?</v>
      </c>
      <c r="P809" s="28" t="e">
        <f ca="1">[1]!BexGetData("DP_1","003N8EMH8GTFRIVOG7KG9J9VY","GSON1112060313")</f>
        <v>#NAME?</v>
      </c>
      <c r="Q809" s="24" t="e">
        <f ca="1">[1]!BexGetData("DP_1","00O2TNJGODT0G5Z4TTKYMM5MT","GSON1112060313")</f>
        <v>#NAME?</v>
      </c>
      <c r="R809" s="28" t="e">
        <f ca="1">[1]!BexGetData("DP_1","00O2TNJGODT0G5Z4TTKYMMBYD","GSON1112060313")</f>
        <v>#NAME?</v>
      </c>
      <c r="S809" s="28" t="e">
        <f ca="1">[1]!BexGetData("DP_1","00O2TNJGODT0G5Z4TTKYMMI9X","GSON1112060313")</f>
        <v>#NAME?</v>
      </c>
      <c r="T809" s="28" t="e">
        <f ca="1">[1]!BexGetData("DP_1","00O2TNJGODT0G5Z4TTKYMMOLH","GSON1112060313")</f>
        <v>#NAME?</v>
      </c>
      <c r="U809" s="28" t="e">
        <f ca="1">[1]!BexGetData("DP_1","00O2TNJGODT0G5Z4TTKYMMUX1","GSON1112060313")</f>
        <v>#NAME?</v>
      </c>
      <c r="V809" s="28" t="e">
        <f ca="1">[1]!BexGetData("DP_1","00O2TNJGODT0G5Z4TTKYMN18L","GSON1112060313")</f>
        <v>#NAME?</v>
      </c>
      <c r="W809" s="28" t="e">
        <f ca="1">[1]!BexGetData("DP_1","00O2TNJGODT0G5Z4TTKYMN7K5","GSON1112060313")</f>
        <v>#NAME?</v>
      </c>
    </row>
    <row r="810" spans="1:23" x14ac:dyDescent="0.2">
      <c r="A810" s="36" t="s">
        <v>3012</v>
      </c>
      <c r="B810" s="27" t="s">
        <v>3013</v>
      </c>
      <c r="C810" s="24" t="e">
        <f ca="1">[1]!BexGetData("DP_1","003N8EMH8GTFRCSWKMPXRR8GU","GSON1112060314")</f>
        <v>#NAME?</v>
      </c>
      <c r="D810" s="24" t="e">
        <f ca="1">[1]!BexGetData("DP_1","003N8EMH8GTFRCSWKMPXRRESE","GSON1112060314")</f>
        <v>#NAME?</v>
      </c>
      <c r="E810" s="24" t="e">
        <f ca="1">[1]!BexGetData("DP_1","003N8EMH8GTFRCSWKMPXRRL3Y","GSON1112060314")</f>
        <v>#NAME?</v>
      </c>
      <c r="F810" s="28" t="e">
        <f ca="1">[1]!BexGetData("DP_1","003N8EMH8GTFRCSWKMPXRRRFI","GSON1112060314")</f>
        <v>#NAME?</v>
      </c>
      <c r="G810" s="23" t="e">
        <f ca="1">[1]!BexGetData("DP_1","003N8EMH8GTFRCSWKMPXRRXR2","GSON1112060314")</f>
        <v>#NAME?</v>
      </c>
      <c r="H810" s="23" t="e">
        <f ca="1">[1]!BexGetData("DP_1","003N8EMH8GTFRCSWKMPXRS42M","GSON1112060314")</f>
        <v>#NAME?</v>
      </c>
      <c r="I810" s="28" t="e">
        <f ca="1">[1]!BexGetData("DP_1","003N8EMH8GTFRCSWKMPXRSAE6","GSON1112060314")</f>
        <v>#NAME?</v>
      </c>
      <c r="J810" s="24" t="e">
        <f ca="1">[1]!BexGetData("DP_1","003N8EMH8GTFRCSWKMPXRSGPQ","GSON1112060314")</f>
        <v>#NAME?</v>
      </c>
      <c r="K810" s="28" t="e">
        <f ca="1">[1]!BexGetData("DP_1","003N8EMH8GTFRIVNUPY288VJH","GSON1112060314")</f>
        <v>#NAME?</v>
      </c>
      <c r="L810" s="28" t="e">
        <f ca="1">[1]!BexGetData("DP_1","003N8EMH8GTFRIVNUPY2891V1","GSON1112060314")</f>
        <v>#NAME?</v>
      </c>
      <c r="M810" s="28" t="e">
        <f ca="1">[1]!BexGetData("DP_1","003N8EMH8GTFRIVOG7KG9IQXA","GSON1112060314")</f>
        <v>#NAME?</v>
      </c>
      <c r="N810" s="28" t="e">
        <f ca="1">[1]!BexGetData("DP_1","003N8EMH8GTFRIVOG7KG9IX8U","GSON1112060314")</f>
        <v>#NAME?</v>
      </c>
      <c r="O810" s="28" t="e">
        <f ca="1">[1]!BexGetData("DP_1","003N8EMH8GTFRIVOG7KG9J3KE","GSON1112060314")</f>
        <v>#NAME?</v>
      </c>
      <c r="P810" s="28" t="e">
        <f ca="1">[1]!BexGetData("DP_1","003N8EMH8GTFRIVOG7KG9J9VY","GSON1112060314")</f>
        <v>#NAME?</v>
      </c>
      <c r="Q810" s="24" t="e">
        <f ca="1">[1]!BexGetData("DP_1","00O2TNJGODT0G5Z4TTKYMM5MT","GSON1112060314")</f>
        <v>#NAME?</v>
      </c>
      <c r="R810" s="28" t="e">
        <f ca="1">[1]!BexGetData("DP_1","00O2TNJGODT0G5Z4TTKYMMBYD","GSON1112060314")</f>
        <v>#NAME?</v>
      </c>
      <c r="S810" s="28" t="e">
        <f ca="1">[1]!BexGetData("DP_1","00O2TNJGODT0G5Z4TTKYMMI9X","GSON1112060314")</f>
        <v>#NAME?</v>
      </c>
      <c r="T810" s="28" t="e">
        <f ca="1">[1]!BexGetData("DP_1","00O2TNJGODT0G5Z4TTKYMMOLH","GSON1112060314")</f>
        <v>#NAME?</v>
      </c>
      <c r="U810" s="28" t="e">
        <f ca="1">[1]!BexGetData("DP_1","00O2TNJGODT0G5Z4TTKYMMUX1","GSON1112060314")</f>
        <v>#NAME?</v>
      </c>
      <c r="V810" s="28" t="e">
        <f ca="1">[1]!BexGetData("DP_1","00O2TNJGODT0G5Z4TTKYMN18L","GSON1112060314")</f>
        <v>#NAME?</v>
      </c>
      <c r="W810" s="28" t="e">
        <f ca="1">[1]!BexGetData("DP_1","00O2TNJGODT0G5Z4TTKYMN7K5","GSON1112060314")</f>
        <v>#NAME?</v>
      </c>
    </row>
    <row r="811" spans="1:23" x14ac:dyDescent="0.2">
      <c r="A811" s="36" t="s">
        <v>3014</v>
      </c>
      <c r="B811" s="27" t="s">
        <v>3015</v>
      </c>
      <c r="C811" s="24" t="e">
        <f ca="1">[1]!BexGetData("DP_1","003N8EMH8GTFRCSWKMPXRR8GU","GSON1112060315")</f>
        <v>#NAME?</v>
      </c>
      <c r="D811" s="24" t="e">
        <f ca="1">[1]!BexGetData("DP_1","003N8EMH8GTFRCSWKMPXRRESE","GSON1112060315")</f>
        <v>#NAME?</v>
      </c>
      <c r="E811" s="24" t="e">
        <f ca="1">[1]!BexGetData("DP_1","003N8EMH8GTFRCSWKMPXRRL3Y","GSON1112060315")</f>
        <v>#NAME?</v>
      </c>
      <c r="F811" s="28" t="e">
        <f ca="1">[1]!BexGetData("DP_1","003N8EMH8GTFRCSWKMPXRRRFI","GSON1112060315")</f>
        <v>#NAME?</v>
      </c>
      <c r="G811" s="23" t="e">
        <f ca="1">[1]!BexGetData("DP_1","003N8EMH8GTFRCSWKMPXRRXR2","GSON1112060315")</f>
        <v>#NAME?</v>
      </c>
      <c r="H811" s="23" t="e">
        <f ca="1">[1]!BexGetData("DP_1","003N8EMH8GTFRCSWKMPXRS42M","GSON1112060315")</f>
        <v>#NAME?</v>
      </c>
      <c r="I811" s="28" t="e">
        <f ca="1">[1]!BexGetData("DP_1","003N8EMH8GTFRCSWKMPXRSAE6","GSON1112060315")</f>
        <v>#NAME?</v>
      </c>
      <c r="J811" s="24" t="e">
        <f ca="1">[1]!BexGetData("DP_1","003N8EMH8GTFRCSWKMPXRSGPQ","GSON1112060315")</f>
        <v>#NAME?</v>
      </c>
      <c r="K811" s="28" t="e">
        <f ca="1">[1]!BexGetData("DP_1","003N8EMH8GTFRIVNUPY288VJH","GSON1112060315")</f>
        <v>#NAME?</v>
      </c>
      <c r="L811" s="28" t="e">
        <f ca="1">[1]!BexGetData("DP_1","003N8EMH8GTFRIVNUPY2891V1","GSON1112060315")</f>
        <v>#NAME?</v>
      </c>
      <c r="M811" s="28" t="e">
        <f ca="1">[1]!BexGetData("DP_1","003N8EMH8GTFRIVOG7KG9IQXA","GSON1112060315")</f>
        <v>#NAME?</v>
      </c>
      <c r="N811" s="28" t="e">
        <f ca="1">[1]!BexGetData("DP_1","003N8EMH8GTFRIVOG7KG9IX8U","GSON1112060315")</f>
        <v>#NAME?</v>
      </c>
      <c r="O811" s="28" t="e">
        <f ca="1">[1]!BexGetData("DP_1","003N8EMH8GTFRIVOG7KG9J3KE","GSON1112060315")</f>
        <v>#NAME?</v>
      </c>
      <c r="P811" s="28" t="e">
        <f ca="1">[1]!BexGetData("DP_1","003N8EMH8GTFRIVOG7KG9J9VY","GSON1112060315")</f>
        <v>#NAME?</v>
      </c>
      <c r="Q811" s="24" t="e">
        <f ca="1">[1]!BexGetData("DP_1","00O2TNJGODT0G5Z4TTKYMM5MT","GSON1112060315")</f>
        <v>#NAME?</v>
      </c>
      <c r="R811" s="28" t="e">
        <f ca="1">[1]!BexGetData("DP_1","00O2TNJGODT0G5Z4TTKYMMBYD","GSON1112060315")</f>
        <v>#NAME?</v>
      </c>
      <c r="S811" s="28" t="e">
        <f ca="1">[1]!BexGetData("DP_1","00O2TNJGODT0G5Z4TTKYMMI9X","GSON1112060315")</f>
        <v>#NAME?</v>
      </c>
      <c r="T811" s="28" t="e">
        <f ca="1">[1]!BexGetData("DP_1","00O2TNJGODT0G5Z4TTKYMMOLH","GSON1112060315")</f>
        <v>#NAME?</v>
      </c>
      <c r="U811" s="28" t="e">
        <f ca="1">[1]!BexGetData("DP_1","00O2TNJGODT0G5Z4TTKYMMUX1","GSON1112060315")</f>
        <v>#NAME?</v>
      </c>
      <c r="V811" s="28" t="e">
        <f ca="1">[1]!BexGetData("DP_1","00O2TNJGODT0G5Z4TTKYMN18L","GSON1112060315")</f>
        <v>#NAME?</v>
      </c>
      <c r="W811" s="28" t="e">
        <f ca="1">[1]!BexGetData("DP_1","00O2TNJGODT0G5Z4TTKYMN7K5","GSON1112060315")</f>
        <v>#NAME?</v>
      </c>
    </row>
    <row r="812" spans="1:23" x14ac:dyDescent="0.2">
      <c r="A812" s="36" t="s">
        <v>3016</v>
      </c>
      <c r="B812" s="27" t="s">
        <v>3017</v>
      </c>
      <c r="C812" s="28" t="e">
        <f ca="1">[1]!BexGetData("DP_1","003N8EMH8GTFRCSWKMPXRR8GU","GSON1112060320")</f>
        <v>#NAME?</v>
      </c>
      <c r="D812" s="28" t="e">
        <f ca="1">[1]!BexGetData("DP_1","003N8EMH8GTFRCSWKMPXRRESE","GSON1112060320")</f>
        <v>#NAME?</v>
      </c>
      <c r="E812" s="28" t="e">
        <f ca="1">[1]!BexGetData("DP_1","003N8EMH8GTFRCSWKMPXRRL3Y","GSON1112060320")</f>
        <v>#NAME?</v>
      </c>
      <c r="F812" s="28" t="e">
        <f ca="1">[1]!BexGetData("DP_1","003N8EMH8GTFRCSWKMPXRRRFI","GSON1112060320")</f>
        <v>#NAME?</v>
      </c>
      <c r="G812" s="23" t="e">
        <f ca="1">[1]!BexGetData("DP_1","003N8EMH8GTFRCSWKMPXRRXR2","GSON1112060320")</f>
        <v>#NAME?</v>
      </c>
      <c r="H812" s="23" t="e">
        <f ca="1">[1]!BexGetData("DP_1","003N8EMH8GTFRCSWKMPXRS42M","GSON1112060320")</f>
        <v>#NAME?</v>
      </c>
      <c r="I812" s="28" t="e">
        <f ca="1">[1]!BexGetData("DP_1","003N8EMH8GTFRCSWKMPXRSAE6","GSON1112060320")</f>
        <v>#NAME?</v>
      </c>
      <c r="J812" s="23" t="e">
        <f ca="1">[1]!BexGetData("DP_1","003N8EMH8GTFRCSWKMPXRSGPQ","GSON1112060320")</f>
        <v>#NAME?</v>
      </c>
      <c r="K812" s="28" t="e">
        <f ca="1">[1]!BexGetData("DP_1","003N8EMH8GTFRIVNUPY288VJH","GSON1112060320")</f>
        <v>#NAME?</v>
      </c>
      <c r="L812" s="28" t="e">
        <f ca="1">[1]!BexGetData("DP_1","003N8EMH8GTFRIVNUPY2891V1","GSON1112060320")</f>
        <v>#NAME?</v>
      </c>
      <c r="M812" s="28" t="e">
        <f ca="1">[1]!BexGetData("DP_1","003N8EMH8GTFRIVOG7KG9IQXA","GSON1112060320")</f>
        <v>#NAME?</v>
      </c>
      <c r="N812" s="28" t="e">
        <f ca="1">[1]!BexGetData("DP_1","003N8EMH8GTFRIVOG7KG9IX8U","GSON1112060320")</f>
        <v>#NAME?</v>
      </c>
      <c r="O812" s="28" t="e">
        <f ca="1">[1]!BexGetData("DP_1","003N8EMH8GTFRIVOG7KG9J3KE","GSON1112060320")</f>
        <v>#NAME?</v>
      </c>
      <c r="P812" s="28" t="e">
        <f ca="1">[1]!BexGetData("DP_1","003N8EMH8GTFRIVOG7KG9J9VY","GSON1112060320")</f>
        <v>#NAME?</v>
      </c>
      <c r="Q812" s="23" t="e">
        <f ca="1">[1]!BexGetData("DP_1","00O2TNJGODT0G5Z4TTKYMM5MT","GSON1112060320")</f>
        <v>#NAME?</v>
      </c>
      <c r="R812" s="23" t="e">
        <f ca="1">[1]!BexGetData("DP_1","00O2TNJGODT0G5Z4TTKYMMBYD","GSON1112060320")</f>
        <v>#NAME?</v>
      </c>
      <c r="S812" s="23" t="e">
        <f ca="1">[1]!BexGetData("DP_1","00O2TNJGODT0G5Z4TTKYMMI9X","GSON1112060320")</f>
        <v>#NAME?</v>
      </c>
      <c r="T812" s="23" t="e">
        <f ca="1">[1]!BexGetData("DP_1","00O2TNJGODT0G5Z4TTKYMMOLH","GSON1112060320")</f>
        <v>#NAME?</v>
      </c>
      <c r="U812" s="28" t="e">
        <f ca="1">[1]!BexGetData("DP_1","00O2TNJGODT0G5Z4TTKYMMUX1","GSON1112060320")</f>
        <v>#NAME?</v>
      </c>
      <c r="V812" s="23" t="e">
        <f ca="1">[1]!BexGetData("DP_1","00O2TNJGODT0G5Z4TTKYMN18L","GSON1112060320")</f>
        <v>#NAME?</v>
      </c>
      <c r="W812" s="28" t="e">
        <f ca="1">[1]!BexGetData("DP_1","00O2TNJGODT0G5Z4TTKYMN7K5","GSON1112060320")</f>
        <v>#NAME?</v>
      </c>
    </row>
    <row r="813" spans="1:23" x14ac:dyDescent="0.2">
      <c r="A813" s="36" t="s">
        <v>3018</v>
      </c>
      <c r="B813" s="27" t="s">
        <v>3019</v>
      </c>
      <c r="C813" s="28" t="e">
        <f ca="1">[1]!BexGetData("DP_1","003N8EMH8GTFRCSWKMPXRR8GU","GSON1112060321")</f>
        <v>#NAME?</v>
      </c>
      <c r="D813" s="28" t="e">
        <f ca="1">[1]!BexGetData("DP_1","003N8EMH8GTFRCSWKMPXRRESE","GSON1112060321")</f>
        <v>#NAME?</v>
      </c>
      <c r="E813" s="28" t="e">
        <f ca="1">[1]!BexGetData("DP_1","003N8EMH8GTFRCSWKMPXRRL3Y","GSON1112060321")</f>
        <v>#NAME?</v>
      </c>
      <c r="F813" s="28" t="e">
        <f ca="1">[1]!BexGetData("DP_1","003N8EMH8GTFRCSWKMPXRRRFI","GSON1112060321")</f>
        <v>#NAME?</v>
      </c>
      <c r="G813" s="23" t="e">
        <f ca="1">[1]!BexGetData("DP_1","003N8EMH8GTFRCSWKMPXRRXR2","GSON1112060321")</f>
        <v>#NAME?</v>
      </c>
      <c r="H813" s="23" t="e">
        <f ca="1">[1]!BexGetData("DP_1","003N8EMH8GTFRCSWKMPXRS42M","GSON1112060321")</f>
        <v>#NAME?</v>
      </c>
      <c r="I813" s="28" t="e">
        <f ca="1">[1]!BexGetData("DP_1","003N8EMH8GTFRCSWKMPXRSAE6","GSON1112060321")</f>
        <v>#NAME?</v>
      </c>
      <c r="J813" s="24" t="e">
        <f ca="1">[1]!BexGetData("DP_1","003N8EMH8GTFRCSWKMPXRSGPQ","GSON1112060321")</f>
        <v>#NAME?</v>
      </c>
      <c r="K813" s="28" t="e">
        <f ca="1">[1]!BexGetData("DP_1","003N8EMH8GTFRIVNUPY288VJH","GSON1112060321")</f>
        <v>#NAME?</v>
      </c>
      <c r="L813" s="28" t="e">
        <f ca="1">[1]!BexGetData("DP_1","003N8EMH8GTFRIVNUPY2891V1","GSON1112060321")</f>
        <v>#NAME?</v>
      </c>
      <c r="M813" s="28" t="e">
        <f ca="1">[1]!BexGetData("DP_1","003N8EMH8GTFRIVOG7KG9IQXA","GSON1112060321")</f>
        <v>#NAME?</v>
      </c>
      <c r="N813" s="28" t="e">
        <f ca="1">[1]!BexGetData("DP_1","003N8EMH8GTFRIVOG7KG9IX8U","GSON1112060321")</f>
        <v>#NAME?</v>
      </c>
      <c r="O813" s="28" t="e">
        <f ca="1">[1]!BexGetData("DP_1","003N8EMH8GTFRIVOG7KG9J3KE","GSON1112060321")</f>
        <v>#NAME?</v>
      </c>
      <c r="P813" s="28" t="e">
        <f ca="1">[1]!BexGetData("DP_1","003N8EMH8GTFRIVOG7KG9J9VY","GSON1112060321")</f>
        <v>#NAME?</v>
      </c>
      <c r="Q813" s="24" t="e">
        <f ca="1">[1]!BexGetData("DP_1","00O2TNJGODT0G5Z4TTKYMM5MT","GSON1112060321")</f>
        <v>#NAME?</v>
      </c>
      <c r="R813" s="28" t="e">
        <f ca="1">[1]!BexGetData("DP_1","00O2TNJGODT0G5Z4TTKYMMBYD","GSON1112060321")</f>
        <v>#NAME?</v>
      </c>
      <c r="S813" s="28" t="e">
        <f ca="1">[1]!BexGetData("DP_1","00O2TNJGODT0G5Z4TTKYMMI9X","GSON1112060321")</f>
        <v>#NAME?</v>
      </c>
      <c r="T813" s="28" t="e">
        <f ca="1">[1]!BexGetData("DP_1","00O2TNJGODT0G5Z4TTKYMMOLH","GSON1112060321")</f>
        <v>#NAME?</v>
      </c>
      <c r="U813" s="28" t="e">
        <f ca="1">[1]!BexGetData("DP_1","00O2TNJGODT0G5Z4TTKYMMUX1","GSON1112060321")</f>
        <v>#NAME?</v>
      </c>
      <c r="V813" s="28" t="e">
        <f ca="1">[1]!BexGetData("DP_1","00O2TNJGODT0G5Z4TTKYMN18L","GSON1112060321")</f>
        <v>#NAME?</v>
      </c>
      <c r="W813" s="28" t="e">
        <f ca="1">[1]!BexGetData("DP_1","00O2TNJGODT0G5Z4TTKYMN7K5","GSON1112060321")</f>
        <v>#NAME?</v>
      </c>
    </row>
    <row r="814" spans="1:23" x14ac:dyDescent="0.2">
      <c r="A814" s="36" t="s">
        <v>3020</v>
      </c>
      <c r="B814" s="27" t="s">
        <v>3021</v>
      </c>
      <c r="C814" s="24" t="e">
        <f ca="1">[1]!BexGetData("DP_1","003N8EMH8GTFRCSWKMPXRR8GU","GSON1112060323")</f>
        <v>#NAME?</v>
      </c>
      <c r="D814" s="24" t="e">
        <f ca="1">[1]!BexGetData("DP_1","003N8EMH8GTFRCSWKMPXRRESE","GSON1112060323")</f>
        <v>#NAME?</v>
      </c>
      <c r="E814" s="24" t="e">
        <f ca="1">[1]!BexGetData("DP_1","003N8EMH8GTFRCSWKMPXRRL3Y","GSON1112060323")</f>
        <v>#NAME?</v>
      </c>
      <c r="F814" s="28" t="e">
        <f ca="1">[1]!BexGetData("DP_1","003N8EMH8GTFRCSWKMPXRRRFI","GSON1112060323")</f>
        <v>#NAME?</v>
      </c>
      <c r="G814" s="23" t="e">
        <f ca="1">[1]!BexGetData("DP_1","003N8EMH8GTFRCSWKMPXRRXR2","GSON1112060323")</f>
        <v>#NAME?</v>
      </c>
      <c r="H814" s="23" t="e">
        <f ca="1">[1]!BexGetData("DP_1","003N8EMH8GTFRCSWKMPXRS42M","GSON1112060323")</f>
        <v>#NAME?</v>
      </c>
      <c r="I814" s="28" t="e">
        <f ca="1">[1]!BexGetData("DP_1","003N8EMH8GTFRCSWKMPXRSAE6","GSON1112060323")</f>
        <v>#NAME?</v>
      </c>
      <c r="J814" s="24" t="e">
        <f ca="1">[1]!BexGetData("DP_1","003N8EMH8GTFRCSWKMPXRSGPQ","GSON1112060323")</f>
        <v>#NAME?</v>
      </c>
      <c r="K814" s="28" t="e">
        <f ca="1">[1]!BexGetData("DP_1","003N8EMH8GTFRIVNUPY288VJH","GSON1112060323")</f>
        <v>#NAME?</v>
      </c>
      <c r="L814" s="28" t="e">
        <f ca="1">[1]!BexGetData("DP_1","003N8EMH8GTFRIVNUPY2891V1","GSON1112060323")</f>
        <v>#NAME?</v>
      </c>
      <c r="M814" s="28" t="e">
        <f ca="1">[1]!BexGetData("DP_1","003N8EMH8GTFRIVOG7KG9IQXA","GSON1112060323")</f>
        <v>#NAME?</v>
      </c>
      <c r="N814" s="28" t="e">
        <f ca="1">[1]!BexGetData("DP_1","003N8EMH8GTFRIVOG7KG9IX8U","GSON1112060323")</f>
        <v>#NAME?</v>
      </c>
      <c r="O814" s="28" t="e">
        <f ca="1">[1]!BexGetData("DP_1","003N8EMH8GTFRIVOG7KG9J3KE","GSON1112060323")</f>
        <v>#NAME?</v>
      </c>
      <c r="P814" s="28" t="e">
        <f ca="1">[1]!BexGetData("DP_1","003N8EMH8GTFRIVOG7KG9J9VY","GSON1112060323")</f>
        <v>#NAME?</v>
      </c>
      <c r="Q814" s="24" t="e">
        <f ca="1">[1]!BexGetData("DP_1","00O2TNJGODT0G5Z4TTKYMM5MT","GSON1112060323")</f>
        <v>#NAME?</v>
      </c>
      <c r="R814" s="28" t="e">
        <f ca="1">[1]!BexGetData("DP_1","00O2TNJGODT0G5Z4TTKYMMBYD","GSON1112060323")</f>
        <v>#NAME?</v>
      </c>
      <c r="S814" s="28" t="e">
        <f ca="1">[1]!BexGetData("DP_1","00O2TNJGODT0G5Z4TTKYMMI9X","GSON1112060323")</f>
        <v>#NAME?</v>
      </c>
      <c r="T814" s="28" t="e">
        <f ca="1">[1]!BexGetData("DP_1","00O2TNJGODT0G5Z4TTKYMMOLH","GSON1112060323")</f>
        <v>#NAME?</v>
      </c>
      <c r="U814" s="28" t="e">
        <f ca="1">[1]!BexGetData("DP_1","00O2TNJGODT0G5Z4TTKYMMUX1","GSON1112060323")</f>
        <v>#NAME?</v>
      </c>
      <c r="V814" s="28" t="e">
        <f ca="1">[1]!BexGetData("DP_1","00O2TNJGODT0G5Z4TTKYMN18L","GSON1112060323")</f>
        <v>#NAME?</v>
      </c>
      <c r="W814" s="28" t="e">
        <f ca="1">[1]!BexGetData("DP_1","00O2TNJGODT0G5Z4TTKYMN7K5","GSON1112060323")</f>
        <v>#NAME?</v>
      </c>
    </row>
    <row r="815" spans="1:23" x14ac:dyDescent="0.2">
      <c r="A815" s="36" t="s">
        <v>3022</v>
      </c>
      <c r="B815" s="27" t="s">
        <v>3023</v>
      </c>
      <c r="C815" s="24" t="e">
        <f ca="1">[1]!BexGetData("DP_1","003N8EMH8GTFRCSWKMPXRR8GU","GSON1112060324")</f>
        <v>#NAME?</v>
      </c>
      <c r="D815" s="24" t="e">
        <f ca="1">[1]!BexGetData("DP_1","003N8EMH8GTFRCSWKMPXRRESE","GSON1112060324")</f>
        <v>#NAME?</v>
      </c>
      <c r="E815" s="24" t="e">
        <f ca="1">[1]!BexGetData("DP_1","003N8EMH8GTFRCSWKMPXRRL3Y","GSON1112060324")</f>
        <v>#NAME?</v>
      </c>
      <c r="F815" s="28" t="e">
        <f ca="1">[1]!BexGetData("DP_1","003N8EMH8GTFRCSWKMPXRRRFI","GSON1112060324")</f>
        <v>#NAME?</v>
      </c>
      <c r="G815" s="23" t="e">
        <f ca="1">[1]!BexGetData("DP_1","003N8EMH8GTFRCSWKMPXRRXR2","GSON1112060324")</f>
        <v>#NAME?</v>
      </c>
      <c r="H815" s="23" t="e">
        <f ca="1">[1]!BexGetData("DP_1","003N8EMH8GTFRCSWKMPXRS42M","GSON1112060324")</f>
        <v>#NAME?</v>
      </c>
      <c r="I815" s="28" t="e">
        <f ca="1">[1]!BexGetData("DP_1","003N8EMH8GTFRCSWKMPXRSAE6","GSON1112060324")</f>
        <v>#NAME?</v>
      </c>
      <c r="J815" s="24" t="e">
        <f ca="1">[1]!BexGetData("DP_1","003N8EMH8GTFRCSWKMPXRSGPQ","GSON1112060324")</f>
        <v>#NAME?</v>
      </c>
      <c r="K815" s="28" t="e">
        <f ca="1">[1]!BexGetData("DP_1","003N8EMH8GTFRIVNUPY288VJH","GSON1112060324")</f>
        <v>#NAME?</v>
      </c>
      <c r="L815" s="28" t="e">
        <f ca="1">[1]!BexGetData("DP_1","003N8EMH8GTFRIVNUPY2891V1","GSON1112060324")</f>
        <v>#NAME?</v>
      </c>
      <c r="M815" s="28" t="e">
        <f ca="1">[1]!BexGetData("DP_1","003N8EMH8GTFRIVOG7KG9IQXA","GSON1112060324")</f>
        <v>#NAME?</v>
      </c>
      <c r="N815" s="28" t="e">
        <f ca="1">[1]!BexGetData("DP_1","003N8EMH8GTFRIVOG7KG9IX8U","GSON1112060324")</f>
        <v>#NAME?</v>
      </c>
      <c r="O815" s="28" t="e">
        <f ca="1">[1]!BexGetData("DP_1","003N8EMH8GTFRIVOG7KG9J3KE","GSON1112060324")</f>
        <v>#NAME?</v>
      </c>
      <c r="P815" s="28" t="e">
        <f ca="1">[1]!BexGetData("DP_1","003N8EMH8GTFRIVOG7KG9J9VY","GSON1112060324")</f>
        <v>#NAME?</v>
      </c>
      <c r="Q815" s="24" t="e">
        <f ca="1">[1]!BexGetData("DP_1","00O2TNJGODT0G5Z4TTKYMM5MT","GSON1112060324")</f>
        <v>#NAME?</v>
      </c>
      <c r="R815" s="28" t="e">
        <f ca="1">[1]!BexGetData("DP_1","00O2TNJGODT0G5Z4TTKYMMBYD","GSON1112060324")</f>
        <v>#NAME?</v>
      </c>
      <c r="S815" s="28" t="e">
        <f ca="1">[1]!BexGetData("DP_1","00O2TNJGODT0G5Z4TTKYMMI9X","GSON1112060324")</f>
        <v>#NAME?</v>
      </c>
      <c r="T815" s="28" t="e">
        <f ca="1">[1]!BexGetData("DP_1","00O2TNJGODT0G5Z4TTKYMMOLH","GSON1112060324")</f>
        <v>#NAME?</v>
      </c>
      <c r="U815" s="28" t="e">
        <f ca="1">[1]!BexGetData("DP_1","00O2TNJGODT0G5Z4TTKYMMUX1","GSON1112060324")</f>
        <v>#NAME?</v>
      </c>
      <c r="V815" s="28" t="e">
        <f ca="1">[1]!BexGetData("DP_1","00O2TNJGODT0G5Z4TTKYMN18L","GSON1112060324")</f>
        <v>#NAME?</v>
      </c>
      <c r="W815" s="28" t="e">
        <f ca="1">[1]!BexGetData("DP_1","00O2TNJGODT0G5Z4TTKYMN7K5","GSON1112060324")</f>
        <v>#NAME?</v>
      </c>
    </row>
    <row r="816" spans="1:23" x14ac:dyDescent="0.2">
      <c r="A816" s="36" t="s">
        <v>3024</v>
      </c>
      <c r="B816" s="27" t="s">
        <v>3025</v>
      </c>
      <c r="C816" s="24" t="e">
        <f ca="1">[1]!BexGetData("DP_1","003N8EMH8GTFRCSWKMPXRR8GU","GSON1112060325")</f>
        <v>#NAME?</v>
      </c>
      <c r="D816" s="24" t="e">
        <f ca="1">[1]!BexGetData("DP_1","003N8EMH8GTFRCSWKMPXRRESE","GSON1112060325")</f>
        <v>#NAME?</v>
      </c>
      <c r="E816" s="24" t="e">
        <f ca="1">[1]!BexGetData("DP_1","003N8EMH8GTFRCSWKMPXRRL3Y","GSON1112060325")</f>
        <v>#NAME?</v>
      </c>
      <c r="F816" s="28" t="e">
        <f ca="1">[1]!BexGetData("DP_1","003N8EMH8GTFRCSWKMPXRRRFI","GSON1112060325")</f>
        <v>#NAME?</v>
      </c>
      <c r="G816" s="23" t="e">
        <f ca="1">[1]!BexGetData("DP_1","003N8EMH8GTFRCSWKMPXRRXR2","GSON1112060325")</f>
        <v>#NAME?</v>
      </c>
      <c r="H816" s="23" t="e">
        <f ca="1">[1]!BexGetData("DP_1","003N8EMH8GTFRCSWKMPXRS42M","GSON1112060325")</f>
        <v>#NAME?</v>
      </c>
      <c r="I816" s="28" t="e">
        <f ca="1">[1]!BexGetData("DP_1","003N8EMH8GTFRCSWKMPXRSAE6","GSON1112060325")</f>
        <v>#NAME?</v>
      </c>
      <c r="J816" s="24" t="e">
        <f ca="1">[1]!BexGetData("DP_1","003N8EMH8GTFRCSWKMPXRSGPQ","GSON1112060325")</f>
        <v>#NAME?</v>
      </c>
      <c r="K816" s="28" t="e">
        <f ca="1">[1]!BexGetData("DP_1","003N8EMH8GTFRIVNUPY288VJH","GSON1112060325")</f>
        <v>#NAME?</v>
      </c>
      <c r="L816" s="28" t="e">
        <f ca="1">[1]!BexGetData("DP_1","003N8EMH8GTFRIVNUPY2891V1","GSON1112060325")</f>
        <v>#NAME?</v>
      </c>
      <c r="M816" s="28" t="e">
        <f ca="1">[1]!BexGetData("DP_1","003N8EMH8GTFRIVOG7KG9IQXA","GSON1112060325")</f>
        <v>#NAME?</v>
      </c>
      <c r="N816" s="28" t="e">
        <f ca="1">[1]!BexGetData("DP_1","003N8EMH8GTFRIVOG7KG9IX8U","GSON1112060325")</f>
        <v>#NAME?</v>
      </c>
      <c r="O816" s="28" t="e">
        <f ca="1">[1]!BexGetData("DP_1","003N8EMH8GTFRIVOG7KG9J3KE","GSON1112060325")</f>
        <v>#NAME?</v>
      </c>
      <c r="P816" s="28" t="e">
        <f ca="1">[1]!BexGetData("DP_1","003N8EMH8GTFRIVOG7KG9J9VY","GSON1112060325")</f>
        <v>#NAME?</v>
      </c>
      <c r="Q816" s="24" t="e">
        <f ca="1">[1]!BexGetData("DP_1","00O2TNJGODT0G5Z4TTKYMM5MT","GSON1112060325")</f>
        <v>#NAME?</v>
      </c>
      <c r="R816" s="28" t="e">
        <f ca="1">[1]!BexGetData("DP_1","00O2TNJGODT0G5Z4TTKYMMBYD","GSON1112060325")</f>
        <v>#NAME?</v>
      </c>
      <c r="S816" s="28" t="e">
        <f ca="1">[1]!BexGetData("DP_1","00O2TNJGODT0G5Z4TTKYMMI9X","GSON1112060325")</f>
        <v>#NAME?</v>
      </c>
      <c r="T816" s="28" t="e">
        <f ca="1">[1]!BexGetData("DP_1","00O2TNJGODT0G5Z4TTKYMMOLH","GSON1112060325")</f>
        <v>#NAME?</v>
      </c>
      <c r="U816" s="28" t="e">
        <f ca="1">[1]!BexGetData("DP_1","00O2TNJGODT0G5Z4TTKYMMUX1","GSON1112060325")</f>
        <v>#NAME?</v>
      </c>
      <c r="V816" s="28" t="e">
        <f ca="1">[1]!BexGetData("DP_1","00O2TNJGODT0G5Z4TTKYMN18L","GSON1112060325")</f>
        <v>#NAME?</v>
      </c>
      <c r="W816" s="28" t="e">
        <f ca="1">[1]!BexGetData("DP_1","00O2TNJGODT0G5Z4TTKYMN7K5","GSON1112060325")</f>
        <v>#NAME?</v>
      </c>
    </row>
    <row r="817" spans="1:23" x14ac:dyDescent="0.2">
      <c r="A817" s="36" t="s">
        <v>3026</v>
      </c>
      <c r="B817" s="27" t="s">
        <v>3027</v>
      </c>
      <c r="C817" s="28" t="e">
        <f ca="1">[1]!BexGetData("DP_1","003N8EMH8GTFRCSWKMPXRR8GU","GSON1112060330")</f>
        <v>#NAME?</v>
      </c>
      <c r="D817" s="23" t="e">
        <f ca="1">[1]!BexGetData("DP_1","003N8EMH8GTFRCSWKMPXRRESE","GSON1112060330")</f>
        <v>#NAME?</v>
      </c>
      <c r="E817" s="28" t="e">
        <f ca="1">[1]!BexGetData("DP_1","003N8EMH8GTFRCSWKMPXRRL3Y","GSON1112060330")</f>
        <v>#NAME?</v>
      </c>
      <c r="F817" s="23" t="e">
        <f ca="1">[1]!BexGetData("DP_1","003N8EMH8GTFRCSWKMPXRRRFI","GSON1112060330")</f>
        <v>#NAME?</v>
      </c>
      <c r="G817" s="23" t="e">
        <f ca="1">[1]!BexGetData("DP_1","003N8EMH8GTFRCSWKMPXRRXR2","GSON1112060330")</f>
        <v>#NAME?</v>
      </c>
      <c r="H817" s="23" t="e">
        <f ca="1">[1]!BexGetData("DP_1","003N8EMH8GTFRCSWKMPXRS42M","GSON1112060330")</f>
        <v>#NAME?</v>
      </c>
      <c r="I817" s="23" t="e">
        <f ca="1">[1]!BexGetData("DP_1","003N8EMH8GTFRCSWKMPXRSAE6","GSON1112060330")</f>
        <v>#NAME?</v>
      </c>
      <c r="J817" s="23" t="e">
        <f ca="1">[1]!BexGetData("DP_1","003N8EMH8GTFRCSWKMPXRSGPQ","GSON1112060330")</f>
        <v>#NAME?</v>
      </c>
      <c r="K817" s="23" t="e">
        <f ca="1">[1]!BexGetData("DP_1","003N8EMH8GTFRIVNUPY288VJH","GSON1112060330")</f>
        <v>#NAME?</v>
      </c>
      <c r="L817" s="23" t="e">
        <f ca="1">[1]!BexGetData("DP_1","003N8EMH8GTFRIVNUPY2891V1","GSON1112060330")</f>
        <v>#NAME?</v>
      </c>
      <c r="M817" s="23" t="e">
        <f ca="1">[1]!BexGetData("DP_1","003N8EMH8GTFRIVOG7KG9IQXA","GSON1112060330")</f>
        <v>#NAME?</v>
      </c>
      <c r="N817" s="28" t="e">
        <f ca="1">[1]!BexGetData("DP_1","003N8EMH8GTFRIVOG7KG9IX8U","GSON1112060330")</f>
        <v>#NAME?</v>
      </c>
      <c r="O817" s="23" t="e">
        <f ca="1">[1]!BexGetData("DP_1","003N8EMH8GTFRIVOG7KG9J3KE","GSON1112060330")</f>
        <v>#NAME?</v>
      </c>
      <c r="P817" s="28" t="e">
        <f ca="1">[1]!BexGetData("DP_1","003N8EMH8GTFRIVOG7KG9J9VY","GSON1112060330")</f>
        <v>#NAME?</v>
      </c>
      <c r="Q817" s="23" t="e">
        <f ca="1">[1]!BexGetData("DP_1","00O2TNJGODT0G5Z4TTKYMM5MT","GSON1112060330")</f>
        <v>#NAME?</v>
      </c>
      <c r="R817" s="23" t="e">
        <f ca="1">[1]!BexGetData("DP_1","00O2TNJGODT0G5Z4TTKYMMBYD","GSON1112060330")</f>
        <v>#NAME?</v>
      </c>
      <c r="S817" s="23" t="e">
        <f ca="1">[1]!BexGetData("DP_1","00O2TNJGODT0G5Z4TTKYMMI9X","GSON1112060330")</f>
        <v>#NAME?</v>
      </c>
      <c r="T817" s="23" t="e">
        <f ca="1">[1]!BexGetData("DP_1","00O2TNJGODT0G5Z4TTKYMMOLH","GSON1112060330")</f>
        <v>#NAME?</v>
      </c>
      <c r="U817" s="28" t="e">
        <f ca="1">[1]!BexGetData("DP_1","00O2TNJGODT0G5Z4TTKYMMUX1","GSON1112060330")</f>
        <v>#NAME?</v>
      </c>
      <c r="V817" s="23" t="e">
        <f ca="1">[1]!BexGetData("DP_1","00O2TNJGODT0G5Z4TTKYMN18L","GSON1112060330")</f>
        <v>#NAME?</v>
      </c>
      <c r="W817" s="28" t="e">
        <f ca="1">[1]!BexGetData("DP_1","00O2TNJGODT0G5Z4TTKYMN7K5","GSON1112060330")</f>
        <v>#NAME?</v>
      </c>
    </row>
    <row r="818" spans="1:23" x14ac:dyDescent="0.2">
      <c r="A818" s="36" t="s">
        <v>660</v>
      </c>
      <c r="B818" s="27" t="s">
        <v>661</v>
      </c>
      <c r="C818" s="28" t="e">
        <f ca="1">[1]!BexGetData("DP_1","003N8EMH8GTFRCSWKMPXRR8GU","GSON1112060331")</f>
        <v>#NAME?</v>
      </c>
      <c r="D818" s="28" t="e">
        <f ca="1">[1]!BexGetData("DP_1","003N8EMH8GTFRCSWKMPXRRESE","GSON1112060331")</f>
        <v>#NAME?</v>
      </c>
      <c r="E818" s="28" t="e">
        <f ca="1">[1]!BexGetData("DP_1","003N8EMH8GTFRCSWKMPXRRL3Y","GSON1112060331")</f>
        <v>#NAME?</v>
      </c>
      <c r="F818" s="28" t="e">
        <f ca="1">[1]!BexGetData("DP_1","003N8EMH8GTFRCSWKMPXRRRFI","GSON1112060331")</f>
        <v>#NAME?</v>
      </c>
      <c r="G818" s="23" t="e">
        <f ca="1">[1]!BexGetData("DP_1","003N8EMH8GTFRCSWKMPXRRXR2","GSON1112060331")</f>
        <v>#NAME?</v>
      </c>
      <c r="H818" s="23" t="e">
        <f ca="1">[1]!BexGetData("DP_1","003N8EMH8GTFRCSWKMPXRS42M","GSON1112060331")</f>
        <v>#NAME?</v>
      </c>
      <c r="I818" s="28" t="e">
        <f ca="1">[1]!BexGetData("DP_1","003N8EMH8GTFRCSWKMPXRSAE6","GSON1112060331")</f>
        <v>#NAME?</v>
      </c>
      <c r="J818" s="24" t="e">
        <f ca="1">[1]!BexGetData("DP_1","003N8EMH8GTFRCSWKMPXRSGPQ","GSON1112060331")</f>
        <v>#NAME?</v>
      </c>
      <c r="K818" s="28" t="e">
        <f ca="1">[1]!BexGetData("DP_1","003N8EMH8GTFRIVNUPY288VJH","GSON1112060331")</f>
        <v>#NAME?</v>
      </c>
      <c r="L818" s="28" t="e">
        <f ca="1">[1]!BexGetData("DP_1","003N8EMH8GTFRIVNUPY2891V1","GSON1112060331")</f>
        <v>#NAME?</v>
      </c>
      <c r="M818" s="28" t="e">
        <f ca="1">[1]!BexGetData("DP_1","003N8EMH8GTFRIVOG7KG9IQXA","GSON1112060331")</f>
        <v>#NAME?</v>
      </c>
      <c r="N818" s="28" t="e">
        <f ca="1">[1]!BexGetData("DP_1","003N8EMH8GTFRIVOG7KG9IX8U","GSON1112060331")</f>
        <v>#NAME?</v>
      </c>
      <c r="O818" s="28" t="e">
        <f ca="1">[1]!BexGetData("DP_1","003N8EMH8GTFRIVOG7KG9J3KE","GSON1112060331")</f>
        <v>#NAME?</v>
      </c>
      <c r="P818" s="28" t="e">
        <f ca="1">[1]!BexGetData("DP_1","003N8EMH8GTFRIVOG7KG9J9VY","GSON1112060331")</f>
        <v>#NAME?</v>
      </c>
      <c r="Q818" s="24" t="e">
        <f ca="1">[1]!BexGetData("DP_1","00O2TNJGODT0G5Z4TTKYMM5MT","GSON1112060331")</f>
        <v>#NAME?</v>
      </c>
      <c r="R818" s="28" t="e">
        <f ca="1">[1]!BexGetData("DP_1","00O2TNJGODT0G5Z4TTKYMMBYD","GSON1112060331")</f>
        <v>#NAME?</v>
      </c>
      <c r="S818" s="28" t="e">
        <f ca="1">[1]!BexGetData("DP_1","00O2TNJGODT0G5Z4TTKYMMI9X","GSON1112060331")</f>
        <v>#NAME?</v>
      </c>
      <c r="T818" s="28" t="e">
        <f ca="1">[1]!BexGetData("DP_1","00O2TNJGODT0G5Z4TTKYMMOLH","GSON1112060331")</f>
        <v>#NAME?</v>
      </c>
      <c r="U818" s="28" t="e">
        <f ca="1">[1]!BexGetData("DP_1","00O2TNJGODT0G5Z4TTKYMMUX1","GSON1112060331")</f>
        <v>#NAME?</v>
      </c>
      <c r="V818" s="28" t="e">
        <f ca="1">[1]!BexGetData("DP_1","00O2TNJGODT0G5Z4TTKYMN18L","GSON1112060331")</f>
        <v>#NAME?</v>
      </c>
      <c r="W818" s="28" t="e">
        <f ca="1">[1]!BexGetData("DP_1","00O2TNJGODT0G5Z4TTKYMN7K5","GSON1112060331")</f>
        <v>#NAME?</v>
      </c>
    </row>
    <row r="819" spans="1:23" x14ac:dyDescent="0.2">
      <c r="A819" s="36" t="s">
        <v>3028</v>
      </c>
      <c r="B819" s="27" t="s">
        <v>3029</v>
      </c>
      <c r="C819" s="24" t="e">
        <f ca="1">[1]!BexGetData("DP_1","003N8EMH8GTFRCSWKMPXRR8GU","GSON1112060333")</f>
        <v>#NAME?</v>
      </c>
      <c r="D819" s="24" t="e">
        <f ca="1">[1]!BexGetData("DP_1","003N8EMH8GTFRCSWKMPXRRESE","GSON1112060333")</f>
        <v>#NAME?</v>
      </c>
      <c r="E819" s="24" t="e">
        <f ca="1">[1]!BexGetData("DP_1","003N8EMH8GTFRCSWKMPXRRL3Y","GSON1112060333")</f>
        <v>#NAME?</v>
      </c>
      <c r="F819" s="28" t="e">
        <f ca="1">[1]!BexGetData("DP_1","003N8EMH8GTFRCSWKMPXRRRFI","GSON1112060333")</f>
        <v>#NAME?</v>
      </c>
      <c r="G819" s="23" t="e">
        <f ca="1">[1]!BexGetData("DP_1","003N8EMH8GTFRCSWKMPXRRXR2","GSON1112060333")</f>
        <v>#NAME?</v>
      </c>
      <c r="H819" s="23" t="e">
        <f ca="1">[1]!BexGetData("DP_1","003N8EMH8GTFRCSWKMPXRS42M","GSON1112060333")</f>
        <v>#NAME?</v>
      </c>
      <c r="I819" s="28" t="e">
        <f ca="1">[1]!BexGetData("DP_1","003N8EMH8GTFRCSWKMPXRSAE6","GSON1112060333")</f>
        <v>#NAME?</v>
      </c>
      <c r="J819" s="24" t="e">
        <f ca="1">[1]!BexGetData("DP_1","003N8EMH8GTFRCSWKMPXRSGPQ","GSON1112060333")</f>
        <v>#NAME?</v>
      </c>
      <c r="K819" s="28" t="e">
        <f ca="1">[1]!BexGetData("DP_1","003N8EMH8GTFRIVNUPY288VJH","GSON1112060333")</f>
        <v>#NAME?</v>
      </c>
      <c r="L819" s="28" t="e">
        <f ca="1">[1]!BexGetData("DP_1","003N8EMH8GTFRIVNUPY2891V1","GSON1112060333")</f>
        <v>#NAME?</v>
      </c>
      <c r="M819" s="28" t="e">
        <f ca="1">[1]!BexGetData("DP_1","003N8EMH8GTFRIVOG7KG9IQXA","GSON1112060333")</f>
        <v>#NAME?</v>
      </c>
      <c r="N819" s="28" t="e">
        <f ca="1">[1]!BexGetData("DP_1","003N8EMH8GTFRIVOG7KG9IX8U","GSON1112060333")</f>
        <v>#NAME?</v>
      </c>
      <c r="O819" s="28" t="e">
        <f ca="1">[1]!BexGetData("DP_1","003N8EMH8GTFRIVOG7KG9J3KE","GSON1112060333")</f>
        <v>#NAME?</v>
      </c>
      <c r="P819" s="28" t="e">
        <f ca="1">[1]!BexGetData("DP_1","003N8EMH8GTFRIVOG7KG9J9VY","GSON1112060333")</f>
        <v>#NAME?</v>
      </c>
      <c r="Q819" s="24" t="e">
        <f ca="1">[1]!BexGetData("DP_1","00O2TNJGODT0G5Z4TTKYMM5MT","GSON1112060333")</f>
        <v>#NAME?</v>
      </c>
      <c r="R819" s="28" t="e">
        <f ca="1">[1]!BexGetData("DP_1","00O2TNJGODT0G5Z4TTKYMMBYD","GSON1112060333")</f>
        <v>#NAME?</v>
      </c>
      <c r="S819" s="28" t="e">
        <f ca="1">[1]!BexGetData("DP_1","00O2TNJGODT0G5Z4TTKYMMI9X","GSON1112060333")</f>
        <v>#NAME?</v>
      </c>
      <c r="T819" s="28" t="e">
        <f ca="1">[1]!BexGetData("DP_1","00O2TNJGODT0G5Z4TTKYMMOLH","GSON1112060333")</f>
        <v>#NAME?</v>
      </c>
      <c r="U819" s="28" t="e">
        <f ca="1">[1]!BexGetData("DP_1","00O2TNJGODT0G5Z4TTKYMMUX1","GSON1112060333")</f>
        <v>#NAME?</v>
      </c>
      <c r="V819" s="28" t="e">
        <f ca="1">[1]!BexGetData("DP_1","00O2TNJGODT0G5Z4TTKYMN18L","GSON1112060333")</f>
        <v>#NAME?</v>
      </c>
      <c r="W819" s="28" t="e">
        <f ca="1">[1]!BexGetData("DP_1","00O2TNJGODT0G5Z4TTKYMN7K5","GSON1112060333")</f>
        <v>#NAME?</v>
      </c>
    </row>
    <row r="820" spans="1:23" x14ac:dyDescent="0.2">
      <c r="A820" s="36" t="s">
        <v>3030</v>
      </c>
      <c r="B820" s="27" t="s">
        <v>3031</v>
      </c>
      <c r="C820" s="23" t="e">
        <f ca="1">[1]!BexGetData("DP_1","003N8EMH8GTFRCSWKMPXRR8GU","GSON1112060334")</f>
        <v>#NAME?</v>
      </c>
      <c r="D820" s="23" t="e">
        <f ca="1">[1]!BexGetData("DP_1","003N8EMH8GTFRCSWKMPXRRESE","GSON1112060334")</f>
        <v>#NAME?</v>
      </c>
      <c r="E820" s="28" t="e">
        <f ca="1">[1]!BexGetData("DP_1","003N8EMH8GTFRCSWKMPXRRL3Y","GSON1112060334")</f>
        <v>#NAME?</v>
      </c>
      <c r="F820" s="28" t="e">
        <f ca="1">[1]!BexGetData("DP_1","003N8EMH8GTFRCSWKMPXRRRFI","GSON1112060334")</f>
        <v>#NAME?</v>
      </c>
      <c r="G820" s="23" t="e">
        <f ca="1">[1]!BexGetData("DP_1","003N8EMH8GTFRCSWKMPXRRXR2","GSON1112060334")</f>
        <v>#NAME?</v>
      </c>
      <c r="H820" s="23" t="e">
        <f ca="1">[1]!BexGetData("DP_1","003N8EMH8GTFRCSWKMPXRS42M","GSON1112060334")</f>
        <v>#NAME?</v>
      </c>
      <c r="I820" s="28" t="e">
        <f ca="1">[1]!BexGetData("DP_1","003N8EMH8GTFRCSWKMPXRSAE6","GSON1112060334")</f>
        <v>#NAME?</v>
      </c>
      <c r="J820" s="24" t="e">
        <f ca="1">[1]!BexGetData("DP_1","003N8EMH8GTFRCSWKMPXRSGPQ","GSON1112060334")</f>
        <v>#NAME?</v>
      </c>
      <c r="K820" s="28" t="e">
        <f ca="1">[1]!BexGetData("DP_1","003N8EMH8GTFRIVNUPY288VJH","GSON1112060334")</f>
        <v>#NAME?</v>
      </c>
      <c r="L820" s="28" t="e">
        <f ca="1">[1]!BexGetData("DP_1","003N8EMH8GTFRIVNUPY2891V1","GSON1112060334")</f>
        <v>#NAME?</v>
      </c>
      <c r="M820" s="28" t="e">
        <f ca="1">[1]!BexGetData("DP_1","003N8EMH8GTFRIVOG7KG9IQXA","GSON1112060334")</f>
        <v>#NAME?</v>
      </c>
      <c r="N820" s="28" t="e">
        <f ca="1">[1]!BexGetData("DP_1","003N8EMH8GTFRIVOG7KG9IX8U","GSON1112060334")</f>
        <v>#NAME?</v>
      </c>
      <c r="O820" s="28" t="e">
        <f ca="1">[1]!BexGetData("DP_1","003N8EMH8GTFRIVOG7KG9J3KE","GSON1112060334")</f>
        <v>#NAME?</v>
      </c>
      <c r="P820" s="28" t="e">
        <f ca="1">[1]!BexGetData("DP_1","003N8EMH8GTFRIVOG7KG9J9VY","GSON1112060334")</f>
        <v>#NAME?</v>
      </c>
      <c r="Q820" s="24" t="e">
        <f ca="1">[1]!BexGetData("DP_1","00O2TNJGODT0G5Z4TTKYMM5MT","GSON1112060334")</f>
        <v>#NAME?</v>
      </c>
      <c r="R820" s="28" t="e">
        <f ca="1">[1]!BexGetData("DP_1","00O2TNJGODT0G5Z4TTKYMMBYD","GSON1112060334")</f>
        <v>#NAME?</v>
      </c>
      <c r="S820" s="28" t="e">
        <f ca="1">[1]!BexGetData("DP_1","00O2TNJGODT0G5Z4TTKYMMI9X","GSON1112060334")</f>
        <v>#NAME?</v>
      </c>
      <c r="T820" s="28" t="e">
        <f ca="1">[1]!BexGetData("DP_1","00O2TNJGODT0G5Z4TTKYMMOLH","GSON1112060334")</f>
        <v>#NAME?</v>
      </c>
      <c r="U820" s="28" t="e">
        <f ca="1">[1]!BexGetData("DP_1","00O2TNJGODT0G5Z4TTKYMMUX1","GSON1112060334")</f>
        <v>#NAME?</v>
      </c>
      <c r="V820" s="28" t="e">
        <f ca="1">[1]!BexGetData("DP_1","00O2TNJGODT0G5Z4TTKYMN18L","GSON1112060334")</f>
        <v>#NAME?</v>
      </c>
      <c r="W820" s="28" t="e">
        <f ca="1">[1]!BexGetData("DP_1","00O2TNJGODT0G5Z4TTKYMN7K5","GSON1112060334")</f>
        <v>#NAME?</v>
      </c>
    </row>
    <row r="821" spans="1:23" x14ac:dyDescent="0.2">
      <c r="A821" s="36" t="s">
        <v>3032</v>
      </c>
      <c r="B821" s="27" t="s">
        <v>3033</v>
      </c>
      <c r="C821" s="28" t="e">
        <f ca="1">[1]!BexGetData("DP_1","003N8EMH8GTFRCSWKMPXRR8GU","GSON1112060335")</f>
        <v>#NAME?</v>
      </c>
      <c r="D821" s="28" t="e">
        <f ca="1">[1]!BexGetData("DP_1","003N8EMH8GTFRCSWKMPXRRESE","GSON1112060335")</f>
        <v>#NAME?</v>
      </c>
      <c r="E821" s="28" t="e">
        <f ca="1">[1]!BexGetData("DP_1","003N8EMH8GTFRCSWKMPXRRL3Y","GSON1112060335")</f>
        <v>#NAME?</v>
      </c>
      <c r="F821" s="28" t="e">
        <f ca="1">[1]!BexGetData("DP_1","003N8EMH8GTFRCSWKMPXRRRFI","GSON1112060335")</f>
        <v>#NAME?</v>
      </c>
      <c r="G821" s="23" t="e">
        <f ca="1">[1]!BexGetData("DP_1","003N8EMH8GTFRCSWKMPXRRXR2","GSON1112060335")</f>
        <v>#NAME?</v>
      </c>
      <c r="H821" s="23" t="e">
        <f ca="1">[1]!BexGetData("DP_1","003N8EMH8GTFRCSWKMPXRS42M","GSON1112060335")</f>
        <v>#NAME?</v>
      </c>
      <c r="I821" s="28" t="e">
        <f ca="1">[1]!BexGetData("DP_1","003N8EMH8GTFRCSWKMPXRSAE6","GSON1112060335")</f>
        <v>#NAME?</v>
      </c>
      <c r="J821" s="24" t="e">
        <f ca="1">[1]!BexGetData("DP_1","003N8EMH8GTFRCSWKMPXRSGPQ","GSON1112060335")</f>
        <v>#NAME?</v>
      </c>
      <c r="K821" s="28" t="e">
        <f ca="1">[1]!BexGetData("DP_1","003N8EMH8GTFRIVNUPY288VJH","GSON1112060335")</f>
        <v>#NAME?</v>
      </c>
      <c r="L821" s="28" t="e">
        <f ca="1">[1]!BexGetData("DP_1","003N8EMH8GTFRIVNUPY2891V1","GSON1112060335")</f>
        <v>#NAME?</v>
      </c>
      <c r="M821" s="28" t="e">
        <f ca="1">[1]!BexGetData("DP_1","003N8EMH8GTFRIVOG7KG9IQXA","GSON1112060335")</f>
        <v>#NAME?</v>
      </c>
      <c r="N821" s="28" t="e">
        <f ca="1">[1]!BexGetData("DP_1","003N8EMH8GTFRIVOG7KG9IX8U","GSON1112060335")</f>
        <v>#NAME?</v>
      </c>
      <c r="O821" s="28" t="e">
        <f ca="1">[1]!BexGetData("DP_1","003N8EMH8GTFRIVOG7KG9J3KE","GSON1112060335")</f>
        <v>#NAME?</v>
      </c>
      <c r="P821" s="28" t="e">
        <f ca="1">[1]!BexGetData("DP_1","003N8EMH8GTFRIVOG7KG9J9VY","GSON1112060335")</f>
        <v>#NAME?</v>
      </c>
      <c r="Q821" s="24" t="e">
        <f ca="1">[1]!BexGetData("DP_1","00O2TNJGODT0G5Z4TTKYMM5MT","GSON1112060335")</f>
        <v>#NAME?</v>
      </c>
      <c r="R821" s="28" t="e">
        <f ca="1">[1]!BexGetData("DP_1","00O2TNJGODT0G5Z4TTKYMMBYD","GSON1112060335")</f>
        <v>#NAME?</v>
      </c>
      <c r="S821" s="28" t="e">
        <f ca="1">[1]!BexGetData("DP_1","00O2TNJGODT0G5Z4TTKYMMI9X","GSON1112060335")</f>
        <v>#NAME?</v>
      </c>
      <c r="T821" s="28" t="e">
        <f ca="1">[1]!BexGetData("DP_1","00O2TNJGODT0G5Z4TTKYMMOLH","GSON1112060335")</f>
        <v>#NAME?</v>
      </c>
      <c r="U821" s="28" t="e">
        <f ca="1">[1]!BexGetData("DP_1","00O2TNJGODT0G5Z4TTKYMMUX1","GSON1112060335")</f>
        <v>#NAME?</v>
      </c>
      <c r="V821" s="28" t="e">
        <f ca="1">[1]!BexGetData("DP_1","00O2TNJGODT0G5Z4TTKYMN18L","GSON1112060335")</f>
        <v>#NAME?</v>
      </c>
      <c r="W821" s="28" t="e">
        <f ca="1">[1]!BexGetData("DP_1","00O2TNJGODT0G5Z4TTKYMN7K5","GSON1112060335")</f>
        <v>#NAME?</v>
      </c>
    </row>
    <row r="822" spans="1:23" x14ac:dyDescent="0.2">
      <c r="A822" s="36" t="s">
        <v>3034</v>
      </c>
      <c r="B822" s="27" t="s">
        <v>3035</v>
      </c>
      <c r="C822" s="23" t="e">
        <f ca="1">[1]!BexGetData("DP_1","003N8EMH8GTFRCSWKMPXRR8GU","GSON1112060340")</f>
        <v>#NAME?</v>
      </c>
      <c r="D822" s="23" t="e">
        <f ca="1">[1]!BexGetData("DP_1","003N8EMH8GTFRCSWKMPXRRESE","GSON1112060340")</f>
        <v>#NAME?</v>
      </c>
      <c r="E822" s="23" t="e">
        <f ca="1">[1]!BexGetData("DP_1","003N8EMH8GTFRCSWKMPXRRL3Y","GSON1112060340")</f>
        <v>#NAME?</v>
      </c>
      <c r="F822" s="23" t="e">
        <f ca="1">[1]!BexGetData("DP_1","003N8EMH8GTFRCSWKMPXRRRFI","GSON1112060340")</f>
        <v>#NAME?</v>
      </c>
      <c r="G822" s="23" t="e">
        <f ca="1">[1]!BexGetData("DP_1","003N8EMH8GTFRCSWKMPXRRXR2","GSON1112060340")</f>
        <v>#NAME?</v>
      </c>
      <c r="H822" s="23" t="e">
        <f ca="1">[1]!BexGetData("DP_1","003N8EMH8GTFRCSWKMPXRS42M","GSON1112060340")</f>
        <v>#NAME?</v>
      </c>
      <c r="I822" s="23" t="e">
        <f ca="1">[1]!BexGetData("DP_1","003N8EMH8GTFRCSWKMPXRSAE6","GSON1112060340")</f>
        <v>#NAME?</v>
      </c>
      <c r="J822" s="23" t="e">
        <f ca="1">[1]!BexGetData("DP_1","003N8EMH8GTFRCSWKMPXRSGPQ","GSON1112060340")</f>
        <v>#NAME?</v>
      </c>
      <c r="K822" s="23" t="e">
        <f ca="1">[1]!BexGetData("DP_1","003N8EMH8GTFRIVNUPY288VJH","GSON1112060340")</f>
        <v>#NAME?</v>
      </c>
      <c r="L822" s="23" t="e">
        <f ca="1">[1]!BexGetData("DP_1","003N8EMH8GTFRIVNUPY2891V1","GSON1112060340")</f>
        <v>#NAME?</v>
      </c>
      <c r="M822" s="23" t="e">
        <f ca="1">[1]!BexGetData("DP_1","003N8EMH8GTFRIVOG7KG9IQXA","GSON1112060340")</f>
        <v>#NAME?</v>
      </c>
      <c r="N822" s="28" t="e">
        <f ca="1">[1]!BexGetData("DP_1","003N8EMH8GTFRIVOG7KG9IX8U","GSON1112060340")</f>
        <v>#NAME?</v>
      </c>
      <c r="O822" s="23" t="e">
        <f ca="1">[1]!BexGetData("DP_1","003N8EMH8GTFRIVOG7KG9J3KE","GSON1112060340")</f>
        <v>#NAME?</v>
      </c>
      <c r="P822" s="28" t="e">
        <f ca="1">[1]!BexGetData("DP_1","003N8EMH8GTFRIVOG7KG9J9VY","GSON1112060340")</f>
        <v>#NAME?</v>
      </c>
      <c r="Q822" s="23" t="e">
        <f ca="1">[1]!BexGetData("DP_1","00O2TNJGODT0G5Z4TTKYMM5MT","GSON1112060340")</f>
        <v>#NAME?</v>
      </c>
      <c r="R822" s="23" t="e">
        <f ca="1">[1]!BexGetData("DP_1","00O2TNJGODT0G5Z4TTKYMMBYD","GSON1112060340")</f>
        <v>#NAME?</v>
      </c>
      <c r="S822" s="23" t="e">
        <f ca="1">[1]!BexGetData("DP_1","00O2TNJGODT0G5Z4TTKYMMI9X","GSON1112060340")</f>
        <v>#NAME?</v>
      </c>
      <c r="T822" s="28" t="e">
        <f ca="1">[1]!BexGetData("DP_1","00O2TNJGODT0G5Z4TTKYMMOLH","GSON1112060340")</f>
        <v>#NAME?</v>
      </c>
      <c r="U822" s="23" t="e">
        <f ca="1">[1]!BexGetData("DP_1","00O2TNJGODT0G5Z4TTKYMMUX1","GSON1112060340")</f>
        <v>#NAME?</v>
      </c>
      <c r="V822" s="28" t="e">
        <f ca="1">[1]!BexGetData("DP_1","00O2TNJGODT0G5Z4TTKYMN18L","GSON1112060340")</f>
        <v>#NAME?</v>
      </c>
      <c r="W822" s="23" t="e">
        <f ca="1">[1]!BexGetData("DP_1","00O2TNJGODT0G5Z4TTKYMN7K5","GSON1112060340")</f>
        <v>#NAME?</v>
      </c>
    </row>
    <row r="823" spans="1:23" x14ac:dyDescent="0.2">
      <c r="A823" s="36" t="s">
        <v>3036</v>
      </c>
      <c r="B823" s="27" t="s">
        <v>3037</v>
      </c>
      <c r="C823" s="28" t="e">
        <f ca="1">[1]!BexGetData("DP_1","003N8EMH8GTFRCSWKMPXRR8GU","GSON1112060341")</f>
        <v>#NAME?</v>
      </c>
      <c r="D823" s="28" t="e">
        <f ca="1">[1]!BexGetData("DP_1","003N8EMH8GTFRCSWKMPXRRESE","GSON1112060341")</f>
        <v>#NAME?</v>
      </c>
      <c r="E823" s="28" t="e">
        <f ca="1">[1]!BexGetData("DP_1","003N8EMH8GTFRCSWKMPXRRL3Y","GSON1112060341")</f>
        <v>#NAME?</v>
      </c>
      <c r="F823" s="28" t="e">
        <f ca="1">[1]!BexGetData("DP_1","003N8EMH8GTFRCSWKMPXRRRFI","GSON1112060341")</f>
        <v>#NAME?</v>
      </c>
      <c r="G823" s="23" t="e">
        <f ca="1">[1]!BexGetData("DP_1","003N8EMH8GTFRCSWKMPXRRXR2","GSON1112060341")</f>
        <v>#NAME?</v>
      </c>
      <c r="H823" s="23" t="e">
        <f ca="1">[1]!BexGetData("DP_1","003N8EMH8GTFRCSWKMPXRS42M","GSON1112060341")</f>
        <v>#NAME?</v>
      </c>
      <c r="I823" s="28" t="e">
        <f ca="1">[1]!BexGetData("DP_1","003N8EMH8GTFRCSWKMPXRSAE6","GSON1112060341")</f>
        <v>#NAME?</v>
      </c>
      <c r="J823" s="24" t="e">
        <f ca="1">[1]!BexGetData("DP_1","003N8EMH8GTFRCSWKMPXRSGPQ","GSON1112060341")</f>
        <v>#NAME?</v>
      </c>
      <c r="K823" s="28" t="e">
        <f ca="1">[1]!BexGetData("DP_1","003N8EMH8GTFRIVNUPY288VJH","GSON1112060341")</f>
        <v>#NAME?</v>
      </c>
      <c r="L823" s="28" t="e">
        <f ca="1">[1]!BexGetData("DP_1","003N8EMH8GTFRIVNUPY2891V1","GSON1112060341")</f>
        <v>#NAME?</v>
      </c>
      <c r="M823" s="28" t="e">
        <f ca="1">[1]!BexGetData("DP_1","003N8EMH8GTFRIVOG7KG9IQXA","GSON1112060341")</f>
        <v>#NAME?</v>
      </c>
      <c r="N823" s="28" t="e">
        <f ca="1">[1]!BexGetData("DP_1","003N8EMH8GTFRIVOG7KG9IX8U","GSON1112060341")</f>
        <v>#NAME?</v>
      </c>
      <c r="O823" s="28" t="e">
        <f ca="1">[1]!BexGetData("DP_1","003N8EMH8GTFRIVOG7KG9J3KE","GSON1112060341")</f>
        <v>#NAME?</v>
      </c>
      <c r="P823" s="28" t="e">
        <f ca="1">[1]!BexGetData("DP_1","003N8EMH8GTFRIVOG7KG9J9VY","GSON1112060341")</f>
        <v>#NAME?</v>
      </c>
      <c r="Q823" s="24" t="e">
        <f ca="1">[1]!BexGetData("DP_1","00O2TNJGODT0G5Z4TTKYMM5MT","GSON1112060341")</f>
        <v>#NAME?</v>
      </c>
      <c r="R823" s="28" t="e">
        <f ca="1">[1]!BexGetData("DP_1","00O2TNJGODT0G5Z4TTKYMMBYD","GSON1112060341")</f>
        <v>#NAME?</v>
      </c>
      <c r="S823" s="28" t="e">
        <f ca="1">[1]!BexGetData("DP_1","00O2TNJGODT0G5Z4TTKYMMI9X","GSON1112060341")</f>
        <v>#NAME?</v>
      </c>
      <c r="T823" s="28" t="e">
        <f ca="1">[1]!BexGetData("DP_1","00O2TNJGODT0G5Z4TTKYMMOLH","GSON1112060341")</f>
        <v>#NAME?</v>
      </c>
      <c r="U823" s="28" t="e">
        <f ca="1">[1]!BexGetData("DP_1","00O2TNJGODT0G5Z4TTKYMMUX1","GSON1112060341")</f>
        <v>#NAME?</v>
      </c>
      <c r="V823" s="28" t="e">
        <f ca="1">[1]!BexGetData("DP_1","00O2TNJGODT0G5Z4TTKYMN18L","GSON1112060341")</f>
        <v>#NAME?</v>
      </c>
      <c r="W823" s="28" t="e">
        <f ca="1">[1]!BexGetData("DP_1","00O2TNJGODT0G5Z4TTKYMN7K5","GSON1112060341")</f>
        <v>#NAME?</v>
      </c>
    </row>
    <row r="824" spans="1:23" x14ac:dyDescent="0.2">
      <c r="A824" s="36" t="s">
        <v>3038</v>
      </c>
      <c r="B824" s="27" t="s">
        <v>3039</v>
      </c>
      <c r="C824" s="23" t="e">
        <f ca="1">[1]!BexGetData("DP_1","003N8EMH8GTFRCSWKMPXRR8GU","GSON1112060343")</f>
        <v>#NAME?</v>
      </c>
      <c r="D824" s="23" t="e">
        <f ca="1">[1]!BexGetData("DP_1","003N8EMH8GTFRCSWKMPXRRESE","GSON1112060343")</f>
        <v>#NAME?</v>
      </c>
      <c r="E824" s="28" t="e">
        <f ca="1">[1]!BexGetData("DP_1","003N8EMH8GTFRCSWKMPXRRL3Y","GSON1112060343")</f>
        <v>#NAME?</v>
      </c>
      <c r="F824" s="28" t="e">
        <f ca="1">[1]!BexGetData("DP_1","003N8EMH8GTFRCSWKMPXRRRFI","GSON1112060343")</f>
        <v>#NAME?</v>
      </c>
      <c r="G824" s="23" t="e">
        <f ca="1">[1]!BexGetData("DP_1","003N8EMH8GTFRCSWKMPXRRXR2","GSON1112060343")</f>
        <v>#NAME?</v>
      </c>
      <c r="H824" s="23" t="e">
        <f ca="1">[1]!BexGetData("DP_1","003N8EMH8GTFRCSWKMPXRS42M","GSON1112060343")</f>
        <v>#NAME?</v>
      </c>
      <c r="I824" s="28" t="e">
        <f ca="1">[1]!BexGetData("DP_1","003N8EMH8GTFRCSWKMPXRSAE6","GSON1112060343")</f>
        <v>#NAME?</v>
      </c>
      <c r="J824" s="24" t="e">
        <f ca="1">[1]!BexGetData("DP_1","003N8EMH8GTFRCSWKMPXRSGPQ","GSON1112060343")</f>
        <v>#NAME?</v>
      </c>
      <c r="K824" s="28" t="e">
        <f ca="1">[1]!BexGetData("DP_1","003N8EMH8GTFRIVNUPY288VJH","GSON1112060343")</f>
        <v>#NAME?</v>
      </c>
      <c r="L824" s="28" t="e">
        <f ca="1">[1]!BexGetData("DP_1","003N8EMH8GTFRIVNUPY2891V1","GSON1112060343")</f>
        <v>#NAME?</v>
      </c>
      <c r="M824" s="28" t="e">
        <f ca="1">[1]!BexGetData("DP_1","003N8EMH8GTFRIVOG7KG9IQXA","GSON1112060343")</f>
        <v>#NAME?</v>
      </c>
      <c r="N824" s="28" t="e">
        <f ca="1">[1]!BexGetData("DP_1","003N8EMH8GTFRIVOG7KG9IX8U","GSON1112060343")</f>
        <v>#NAME?</v>
      </c>
      <c r="O824" s="28" t="e">
        <f ca="1">[1]!BexGetData("DP_1","003N8EMH8GTFRIVOG7KG9J3KE","GSON1112060343")</f>
        <v>#NAME?</v>
      </c>
      <c r="P824" s="28" t="e">
        <f ca="1">[1]!BexGetData("DP_1","003N8EMH8GTFRIVOG7KG9J9VY","GSON1112060343")</f>
        <v>#NAME?</v>
      </c>
      <c r="Q824" s="24" t="e">
        <f ca="1">[1]!BexGetData("DP_1","00O2TNJGODT0G5Z4TTKYMM5MT","GSON1112060343")</f>
        <v>#NAME?</v>
      </c>
      <c r="R824" s="28" t="e">
        <f ca="1">[1]!BexGetData("DP_1","00O2TNJGODT0G5Z4TTKYMMBYD","GSON1112060343")</f>
        <v>#NAME?</v>
      </c>
      <c r="S824" s="28" t="e">
        <f ca="1">[1]!BexGetData("DP_1","00O2TNJGODT0G5Z4TTKYMMI9X","GSON1112060343")</f>
        <v>#NAME?</v>
      </c>
      <c r="T824" s="28" t="e">
        <f ca="1">[1]!BexGetData("DP_1","00O2TNJGODT0G5Z4TTKYMMOLH","GSON1112060343")</f>
        <v>#NAME?</v>
      </c>
      <c r="U824" s="28" t="e">
        <f ca="1">[1]!BexGetData("DP_1","00O2TNJGODT0G5Z4TTKYMMUX1","GSON1112060343")</f>
        <v>#NAME?</v>
      </c>
      <c r="V824" s="28" t="e">
        <f ca="1">[1]!BexGetData("DP_1","00O2TNJGODT0G5Z4TTKYMN18L","GSON1112060343")</f>
        <v>#NAME?</v>
      </c>
      <c r="W824" s="28" t="e">
        <f ca="1">[1]!BexGetData("DP_1","00O2TNJGODT0G5Z4TTKYMN7K5","GSON1112060343")</f>
        <v>#NAME?</v>
      </c>
    </row>
    <row r="825" spans="1:23" x14ac:dyDescent="0.2">
      <c r="A825" s="36" t="s">
        <v>3040</v>
      </c>
      <c r="B825" s="27" t="s">
        <v>3041</v>
      </c>
      <c r="C825" s="23" t="e">
        <f ca="1">[1]!BexGetData("DP_1","003N8EMH8GTFRCSWKMPXRR8GU","GSON1112060344")</f>
        <v>#NAME?</v>
      </c>
      <c r="D825" s="23" t="e">
        <f ca="1">[1]!BexGetData("DP_1","003N8EMH8GTFRCSWKMPXRRESE","GSON1112060344")</f>
        <v>#NAME?</v>
      </c>
      <c r="E825" s="28" t="e">
        <f ca="1">[1]!BexGetData("DP_1","003N8EMH8GTFRCSWKMPXRRL3Y","GSON1112060344")</f>
        <v>#NAME?</v>
      </c>
      <c r="F825" s="28" t="e">
        <f ca="1">[1]!BexGetData("DP_1","003N8EMH8GTFRCSWKMPXRRRFI","GSON1112060344")</f>
        <v>#NAME?</v>
      </c>
      <c r="G825" s="23" t="e">
        <f ca="1">[1]!BexGetData("DP_1","003N8EMH8GTFRCSWKMPXRRXR2","GSON1112060344")</f>
        <v>#NAME?</v>
      </c>
      <c r="H825" s="23" t="e">
        <f ca="1">[1]!BexGetData("DP_1","003N8EMH8GTFRCSWKMPXRS42M","GSON1112060344")</f>
        <v>#NAME?</v>
      </c>
      <c r="I825" s="28" t="e">
        <f ca="1">[1]!BexGetData("DP_1","003N8EMH8GTFRCSWKMPXRSAE6","GSON1112060344")</f>
        <v>#NAME?</v>
      </c>
      <c r="J825" s="24" t="e">
        <f ca="1">[1]!BexGetData("DP_1","003N8EMH8GTFRCSWKMPXRSGPQ","GSON1112060344")</f>
        <v>#NAME?</v>
      </c>
      <c r="K825" s="28" t="e">
        <f ca="1">[1]!BexGetData("DP_1","003N8EMH8GTFRIVNUPY288VJH","GSON1112060344")</f>
        <v>#NAME?</v>
      </c>
      <c r="L825" s="28" t="e">
        <f ca="1">[1]!BexGetData("DP_1","003N8EMH8GTFRIVNUPY2891V1","GSON1112060344")</f>
        <v>#NAME?</v>
      </c>
      <c r="M825" s="28" t="e">
        <f ca="1">[1]!BexGetData("DP_1","003N8EMH8GTFRIVOG7KG9IQXA","GSON1112060344")</f>
        <v>#NAME?</v>
      </c>
      <c r="N825" s="28" t="e">
        <f ca="1">[1]!BexGetData("DP_1","003N8EMH8GTFRIVOG7KG9IX8U","GSON1112060344")</f>
        <v>#NAME?</v>
      </c>
      <c r="O825" s="28" t="e">
        <f ca="1">[1]!BexGetData("DP_1","003N8EMH8GTFRIVOG7KG9J3KE","GSON1112060344")</f>
        <v>#NAME?</v>
      </c>
      <c r="P825" s="28" t="e">
        <f ca="1">[1]!BexGetData("DP_1","003N8EMH8GTFRIVOG7KG9J9VY","GSON1112060344")</f>
        <v>#NAME?</v>
      </c>
      <c r="Q825" s="24" t="e">
        <f ca="1">[1]!BexGetData("DP_1","00O2TNJGODT0G5Z4TTKYMM5MT","GSON1112060344")</f>
        <v>#NAME?</v>
      </c>
      <c r="R825" s="28" t="e">
        <f ca="1">[1]!BexGetData("DP_1","00O2TNJGODT0G5Z4TTKYMMBYD","GSON1112060344")</f>
        <v>#NAME?</v>
      </c>
      <c r="S825" s="28" t="e">
        <f ca="1">[1]!BexGetData("DP_1","00O2TNJGODT0G5Z4TTKYMMI9X","GSON1112060344")</f>
        <v>#NAME?</v>
      </c>
      <c r="T825" s="28" t="e">
        <f ca="1">[1]!BexGetData("DP_1","00O2TNJGODT0G5Z4TTKYMMOLH","GSON1112060344")</f>
        <v>#NAME?</v>
      </c>
      <c r="U825" s="28" t="e">
        <f ca="1">[1]!BexGetData("DP_1","00O2TNJGODT0G5Z4TTKYMMUX1","GSON1112060344")</f>
        <v>#NAME?</v>
      </c>
      <c r="V825" s="28" t="e">
        <f ca="1">[1]!BexGetData("DP_1","00O2TNJGODT0G5Z4TTKYMN18L","GSON1112060344")</f>
        <v>#NAME?</v>
      </c>
      <c r="W825" s="28" t="e">
        <f ca="1">[1]!BexGetData("DP_1","00O2TNJGODT0G5Z4TTKYMN7K5","GSON1112060344")</f>
        <v>#NAME?</v>
      </c>
    </row>
    <row r="826" spans="1:23" x14ac:dyDescent="0.2">
      <c r="A826" s="36" t="s">
        <v>3042</v>
      </c>
      <c r="B826" s="27" t="s">
        <v>3043</v>
      </c>
      <c r="C826" s="23" t="e">
        <f ca="1">[1]!BexGetData("DP_1","003N8EMH8GTFRCSWKMPXRR8GU","GSON1112060345")</f>
        <v>#NAME?</v>
      </c>
      <c r="D826" s="23" t="e">
        <f ca="1">[1]!BexGetData("DP_1","003N8EMH8GTFRCSWKMPXRRESE","GSON1112060345")</f>
        <v>#NAME?</v>
      </c>
      <c r="E826" s="28" t="e">
        <f ca="1">[1]!BexGetData("DP_1","003N8EMH8GTFRCSWKMPXRRL3Y","GSON1112060345")</f>
        <v>#NAME?</v>
      </c>
      <c r="F826" s="28" t="e">
        <f ca="1">[1]!BexGetData("DP_1","003N8EMH8GTFRCSWKMPXRRRFI","GSON1112060345")</f>
        <v>#NAME?</v>
      </c>
      <c r="G826" s="23" t="e">
        <f ca="1">[1]!BexGetData("DP_1","003N8EMH8GTFRCSWKMPXRRXR2","GSON1112060345")</f>
        <v>#NAME?</v>
      </c>
      <c r="H826" s="23" t="e">
        <f ca="1">[1]!BexGetData("DP_1","003N8EMH8GTFRCSWKMPXRS42M","GSON1112060345")</f>
        <v>#NAME?</v>
      </c>
      <c r="I826" s="28" t="e">
        <f ca="1">[1]!BexGetData("DP_1","003N8EMH8GTFRCSWKMPXRSAE6","GSON1112060345")</f>
        <v>#NAME?</v>
      </c>
      <c r="J826" s="24" t="e">
        <f ca="1">[1]!BexGetData("DP_1","003N8EMH8GTFRCSWKMPXRSGPQ","GSON1112060345")</f>
        <v>#NAME?</v>
      </c>
      <c r="K826" s="28" t="e">
        <f ca="1">[1]!BexGetData("DP_1","003N8EMH8GTFRIVNUPY288VJH","GSON1112060345")</f>
        <v>#NAME?</v>
      </c>
      <c r="L826" s="28" t="e">
        <f ca="1">[1]!BexGetData("DP_1","003N8EMH8GTFRIVNUPY2891V1","GSON1112060345")</f>
        <v>#NAME?</v>
      </c>
      <c r="M826" s="28" t="e">
        <f ca="1">[1]!BexGetData("DP_1","003N8EMH8GTFRIVOG7KG9IQXA","GSON1112060345")</f>
        <v>#NAME?</v>
      </c>
      <c r="N826" s="28" t="e">
        <f ca="1">[1]!BexGetData("DP_1","003N8EMH8GTFRIVOG7KG9IX8U","GSON1112060345")</f>
        <v>#NAME?</v>
      </c>
      <c r="O826" s="28" t="e">
        <f ca="1">[1]!BexGetData("DP_1","003N8EMH8GTFRIVOG7KG9J3KE","GSON1112060345")</f>
        <v>#NAME?</v>
      </c>
      <c r="P826" s="28" t="e">
        <f ca="1">[1]!BexGetData("DP_1","003N8EMH8GTFRIVOG7KG9J9VY","GSON1112060345")</f>
        <v>#NAME?</v>
      </c>
      <c r="Q826" s="24" t="e">
        <f ca="1">[1]!BexGetData("DP_1","00O2TNJGODT0G5Z4TTKYMM5MT","GSON1112060345")</f>
        <v>#NAME?</v>
      </c>
      <c r="R826" s="28" t="e">
        <f ca="1">[1]!BexGetData("DP_1","00O2TNJGODT0G5Z4TTKYMMBYD","GSON1112060345")</f>
        <v>#NAME?</v>
      </c>
      <c r="S826" s="28" t="e">
        <f ca="1">[1]!BexGetData("DP_1","00O2TNJGODT0G5Z4TTKYMMI9X","GSON1112060345")</f>
        <v>#NAME?</v>
      </c>
      <c r="T826" s="28" t="e">
        <f ca="1">[1]!BexGetData("DP_1","00O2TNJGODT0G5Z4TTKYMMOLH","GSON1112060345")</f>
        <v>#NAME?</v>
      </c>
      <c r="U826" s="28" t="e">
        <f ca="1">[1]!BexGetData("DP_1","00O2TNJGODT0G5Z4TTKYMMUX1","GSON1112060345")</f>
        <v>#NAME?</v>
      </c>
      <c r="V826" s="28" t="e">
        <f ca="1">[1]!BexGetData("DP_1","00O2TNJGODT0G5Z4TTKYMN18L","GSON1112060345")</f>
        <v>#NAME?</v>
      </c>
      <c r="W826" s="28" t="e">
        <f ca="1">[1]!BexGetData("DP_1","00O2TNJGODT0G5Z4TTKYMN7K5","GSON1112060345")</f>
        <v>#NAME?</v>
      </c>
    </row>
    <row r="827" spans="1:23" x14ac:dyDescent="0.2">
      <c r="A827" s="36" t="s">
        <v>1665</v>
      </c>
      <c r="B827" s="27" t="s">
        <v>1666</v>
      </c>
      <c r="C827" s="23" t="e">
        <f ca="1">[1]!BexGetData("DP_1","003N8EMH8GTFRCSWKMPXRR8GU","GSON1112060350")</f>
        <v>#NAME?</v>
      </c>
      <c r="D827" s="23" t="e">
        <f ca="1">[1]!BexGetData("DP_1","003N8EMH8GTFRCSWKMPXRRESE","GSON1112060350")</f>
        <v>#NAME?</v>
      </c>
      <c r="E827" s="23" t="e">
        <f ca="1">[1]!BexGetData("DP_1","003N8EMH8GTFRCSWKMPXRRL3Y","GSON1112060350")</f>
        <v>#NAME?</v>
      </c>
      <c r="F827" s="23" t="e">
        <f ca="1">[1]!BexGetData("DP_1","003N8EMH8GTFRCSWKMPXRRRFI","GSON1112060350")</f>
        <v>#NAME?</v>
      </c>
      <c r="G827" s="23" t="e">
        <f ca="1">[1]!BexGetData("DP_1","003N8EMH8GTFRCSWKMPXRRXR2","GSON1112060350")</f>
        <v>#NAME?</v>
      </c>
      <c r="H827" s="23" t="e">
        <f ca="1">[1]!BexGetData("DP_1","003N8EMH8GTFRCSWKMPXRS42M","GSON1112060350")</f>
        <v>#NAME?</v>
      </c>
      <c r="I827" s="23" t="e">
        <f ca="1">[1]!BexGetData("DP_1","003N8EMH8GTFRCSWKMPXRSAE6","GSON1112060350")</f>
        <v>#NAME?</v>
      </c>
      <c r="J827" s="23" t="e">
        <f ca="1">[1]!BexGetData("DP_1","003N8EMH8GTFRCSWKMPXRSGPQ","GSON1112060350")</f>
        <v>#NAME?</v>
      </c>
      <c r="K827" s="23" t="e">
        <f ca="1">[1]!BexGetData("DP_1","003N8EMH8GTFRIVNUPY288VJH","GSON1112060350")</f>
        <v>#NAME?</v>
      </c>
      <c r="L827" s="23" t="e">
        <f ca="1">[1]!BexGetData("DP_1","003N8EMH8GTFRIVNUPY2891V1","GSON1112060350")</f>
        <v>#NAME?</v>
      </c>
      <c r="M827" s="23" t="e">
        <f ca="1">[1]!BexGetData("DP_1","003N8EMH8GTFRIVOG7KG9IQXA","GSON1112060350")</f>
        <v>#NAME?</v>
      </c>
      <c r="N827" s="28" t="e">
        <f ca="1">[1]!BexGetData("DP_1","003N8EMH8GTFRIVOG7KG9IX8U","GSON1112060350")</f>
        <v>#NAME?</v>
      </c>
      <c r="O827" s="23" t="e">
        <f ca="1">[1]!BexGetData("DP_1","003N8EMH8GTFRIVOG7KG9J3KE","GSON1112060350")</f>
        <v>#NAME?</v>
      </c>
      <c r="P827" s="28" t="e">
        <f ca="1">[1]!BexGetData("DP_1","003N8EMH8GTFRIVOG7KG9J9VY","GSON1112060350")</f>
        <v>#NAME?</v>
      </c>
      <c r="Q827" s="23" t="e">
        <f ca="1">[1]!BexGetData("DP_1","00O2TNJGODT0G5Z4TTKYMM5MT","GSON1112060350")</f>
        <v>#NAME?</v>
      </c>
      <c r="R827" s="23" t="e">
        <f ca="1">[1]!BexGetData("DP_1","00O2TNJGODT0G5Z4TTKYMMBYD","GSON1112060350")</f>
        <v>#NAME?</v>
      </c>
      <c r="S827" s="23" t="e">
        <f ca="1">[1]!BexGetData("DP_1","00O2TNJGODT0G5Z4TTKYMMI9X","GSON1112060350")</f>
        <v>#NAME?</v>
      </c>
      <c r="T827" s="23" t="e">
        <f ca="1">[1]!BexGetData("DP_1","00O2TNJGODT0G5Z4TTKYMMOLH","GSON1112060350")</f>
        <v>#NAME?</v>
      </c>
      <c r="U827" s="28" t="e">
        <f ca="1">[1]!BexGetData("DP_1","00O2TNJGODT0G5Z4TTKYMMUX1","GSON1112060350")</f>
        <v>#NAME?</v>
      </c>
      <c r="V827" s="23" t="e">
        <f ca="1">[1]!BexGetData("DP_1","00O2TNJGODT0G5Z4TTKYMN18L","GSON1112060350")</f>
        <v>#NAME?</v>
      </c>
      <c r="W827" s="28" t="e">
        <f ca="1">[1]!BexGetData("DP_1","00O2TNJGODT0G5Z4TTKYMN7K5","GSON1112060350")</f>
        <v>#NAME?</v>
      </c>
    </row>
    <row r="828" spans="1:23" x14ac:dyDescent="0.2">
      <c r="A828" s="36" t="s">
        <v>1667</v>
      </c>
      <c r="B828" s="27" t="s">
        <v>1668</v>
      </c>
      <c r="C828" s="23" t="e">
        <f ca="1">[1]!BexGetData("DP_1","003N8EMH8GTFRCSWKMPXRR8GU","GSON1112060351")</f>
        <v>#NAME?</v>
      </c>
      <c r="D828" s="23" t="e">
        <f ca="1">[1]!BexGetData("DP_1","003N8EMH8GTFRCSWKMPXRRESE","GSON1112060351")</f>
        <v>#NAME?</v>
      </c>
      <c r="E828" s="28" t="e">
        <f ca="1">[1]!BexGetData("DP_1","003N8EMH8GTFRCSWKMPXRRL3Y","GSON1112060351")</f>
        <v>#NAME?</v>
      </c>
      <c r="F828" s="28" t="e">
        <f ca="1">[1]!BexGetData("DP_1","003N8EMH8GTFRCSWKMPXRRRFI","GSON1112060351")</f>
        <v>#NAME?</v>
      </c>
      <c r="G828" s="23" t="e">
        <f ca="1">[1]!BexGetData("DP_1","003N8EMH8GTFRCSWKMPXRRXR2","GSON1112060351")</f>
        <v>#NAME?</v>
      </c>
      <c r="H828" s="23" t="e">
        <f ca="1">[1]!BexGetData("DP_1","003N8EMH8GTFRCSWKMPXRS42M","GSON1112060351")</f>
        <v>#NAME?</v>
      </c>
      <c r="I828" s="28" t="e">
        <f ca="1">[1]!BexGetData("DP_1","003N8EMH8GTFRCSWKMPXRSAE6","GSON1112060351")</f>
        <v>#NAME?</v>
      </c>
      <c r="J828" s="24" t="e">
        <f ca="1">[1]!BexGetData("DP_1","003N8EMH8GTFRCSWKMPXRSGPQ","GSON1112060351")</f>
        <v>#NAME?</v>
      </c>
      <c r="K828" s="28" t="e">
        <f ca="1">[1]!BexGetData("DP_1","003N8EMH8GTFRIVNUPY288VJH","GSON1112060351")</f>
        <v>#NAME?</v>
      </c>
      <c r="L828" s="28" t="e">
        <f ca="1">[1]!BexGetData("DP_1","003N8EMH8GTFRIVNUPY2891V1","GSON1112060351")</f>
        <v>#NAME?</v>
      </c>
      <c r="M828" s="28" t="e">
        <f ca="1">[1]!BexGetData("DP_1","003N8EMH8GTFRIVOG7KG9IQXA","GSON1112060351")</f>
        <v>#NAME?</v>
      </c>
      <c r="N828" s="28" t="e">
        <f ca="1">[1]!BexGetData("DP_1","003N8EMH8GTFRIVOG7KG9IX8U","GSON1112060351")</f>
        <v>#NAME?</v>
      </c>
      <c r="O828" s="28" t="e">
        <f ca="1">[1]!BexGetData("DP_1","003N8EMH8GTFRIVOG7KG9J3KE","GSON1112060351")</f>
        <v>#NAME?</v>
      </c>
      <c r="P828" s="28" t="e">
        <f ca="1">[1]!BexGetData("DP_1","003N8EMH8GTFRIVOG7KG9J9VY","GSON1112060351")</f>
        <v>#NAME?</v>
      </c>
      <c r="Q828" s="24" t="e">
        <f ca="1">[1]!BexGetData("DP_1","00O2TNJGODT0G5Z4TTKYMM5MT","GSON1112060351")</f>
        <v>#NAME?</v>
      </c>
      <c r="R828" s="28" t="e">
        <f ca="1">[1]!BexGetData("DP_1","00O2TNJGODT0G5Z4TTKYMMBYD","GSON1112060351")</f>
        <v>#NAME?</v>
      </c>
      <c r="S828" s="28" t="e">
        <f ca="1">[1]!BexGetData("DP_1","00O2TNJGODT0G5Z4TTKYMMI9X","GSON1112060351")</f>
        <v>#NAME?</v>
      </c>
      <c r="T828" s="28" t="e">
        <f ca="1">[1]!BexGetData("DP_1","00O2TNJGODT0G5Z4TTKYMMOLH","GSON1112060351")</f>
        <v>#NAME?</v>
      </c>
      <c r="U828" s="28" t="e">
        <f ca="1">[1]!BexGetData("DP_1","00O2TNJGODT0G5Z4TTKYMMUX1","GSON1112060351")</f>
        <v>#NAME?</v>
      </c>
      <c r="V828" s="28" t="e">
        <f ca="1">[1]!BexGetData("DP_1","00O2TNJGODT0G5Z4TTKYMN18L","GSON1112060351")</f>
        <v>#NAME?</v>
      </c>
      <c r="W828" s="28" t="e">
        <f ca="1">[1]!BexGetData("DP_1","00O2TNJGODT0G5Z4TTKYMN7K5","GSON1112060351")</f>
        <v>#NAME?</v>
      </c>
    </row>
    <row r="829" spans="1:23" x14ac:dyDescent="0.2">
      <c r="A829" s="36" t="s">
        <v>3044</v>
      </c>
      <c r="B829" s="27" t="s">
        <v>3045</v>
      </c>
      <c r="C829" s="28" t="e">
        <f ca="1">[1]!BexGetData("DP_1","003N8EMH8GTFRCSWKMPXRR8GU","GSON1112060352")</f>
        <v>#NAME?</v>
      </c>
      <c r="D829" s="28" t="e">
        <f ca="1">[1]!BexGetData("DP_1","003N8EMH8GTFRCSWKMPXRRESE","GSON1112060352")</f>
        <v>#NAME?</v>
      </c>
      <c r="E829" s="28" t="e">
        <f ca="1">[1]!BexGetData("DP_1","003N8EMH8GTFRCSWKMPXRRL3Y","GSON1112060352")</f>
        <v>#NAME?</v>
      </c>
      <c r="F829" s="28" t="e">
        <f ca="1">[1]!BexGetData("DP_1","003N8EMH8GTFRCSWKMPXRRRFI","GSON1112060352")</f>
        <v>#NAME?</v>
      </c>
      <c r="G829" s="23" t="e">
        <f ca="1">[1]!BexGetData("DP_1","003N8EMH8GTFRCSWKMPXRRXR2","GSON1112060352")</f>
        <v>#NAME?</v>
      </c>
      <c r="H829" s="23" t="e">
        <f ca="1">[1]!BexGetData("DP_1","003N8EMH8GTFRCSWKMPXRS42M","GSON1112060352")</f>
        <v>#NAME?</v>
      </c>
      <c r="I829" s="28" t="e">
        <f ca="1">[1]!BexGetData("DP_1","003N8EMH8GTFRCSWKMPXRSAE6","GSON1112060352")</f>
        <v>#NAME?</v>
      </c>
      <c r="J829" s="23" t="e">
        <f ca="1">[1]!BexGetData("DP_1","003N8EMH8GTFRCSWKMPXRSGPQ","GSON1112060352")</f>
        <v>#NAME?</v>
      </c>
      <c r="K829" s="28" t="e">
        <f ca="1">[1]!BexGetData("DP_1","003N8EMH8GTFRIVNUPY288VJH","GSON1112060352")</f>
        <v>#NAME?</v>
      </c>
      <c r="L829" s="28" t="e">
        <f ca="1">[1]!BexGetData("DP_1","003N8EMH8GTFRIVNUPY2891V1","GSON1112060352")</f>
        <v>#NAME?</v>
      </c>
      <c r="M829" s="28" t="e">
        <f ca="1">[1]!BexGetData("DP_1","003N8EMH8GTFRIVOG7KG9IQXA","GSON1112060352")</f>
        <v>#NAME?</v>
      </c>
      <c r="N829" s="28" t="e">
        <f ca="1">[1]!BexGetData("DP_1","003N8EMH8GTFRIVOG7KG9IX8U","GSON1112060352")</f>
        <v>#NAME?</v>
      </c>
      <c r="O829" s="28" t="e">
        <f ca="1">[1]!BexGetData("DP_1","003N8EMH8GTFRIVOG7KG9J3KE","GSON1112060352")</f>
        <v>#NAME?</v>
      </c>
      <c r="P829" s="28" t="e">
        <f ca="1">[1]!BexGetData("DP_1","003N8EMH8GTFRIVOG7KG9J9VY","GSON1112060352")</f>
        <v>#NAME?</v>
      </c>
      <c r="Q829" s="23" t="e">
        <f ca="1">[1]!BexGetData("DP_1","00O2TNJGODT0G5Z4TTKYMM5MT","GSON1112060352")</f>
        <v>#NAME?</v>
      </c>
      <c r="R829" s="23" t="e">
        <f ca="1">[1]!BexGetData("DP_1","00O2TNJGODT0G5Z4TTKYMMBYD","GSON1112060352")</f>
        <v>#NAME?</v>
      </c>
      <c r="S829" s="23" t="e">
        <f ca="1">[1]!BexGetData("DP_1","00O2TNJGODT0G5Z4TTKYMMI9X","GSON1112060352")</f>
        <v>#NAME?</v>
      </c>
      <c r="T829" s="28" t="e">
        <f ca="1">[1]!BexGetData("DP_1","00O2TNJGODT0G5Z4TTKYMMOLH","GSON1112060352")</f>
        <v>#NAME?</v>
      </c>
      <c r="U829" s="23" t="e">
        <f ca="1">[1]!BexGetData("DP_1","00O2TNJGODT0G5Z4TTKYMMUX1","GSON1112060352")</f>
        <v>#NAME?</v>
      </c>
      <c r="V829" s="28" t="e">
        <f ca="1">[1]!BexGetData("DP_1","00O2TNJGODT0G5Z4TTKYMN18L","GSON1112060352")</f>
        <v>#NAME?</v>
      </c>
      <c r="W829" s="23" t="e">
        <f ca="1">[1]!BexGetData("DP_1","00O2TNJGODT0G5Z4TTKYMN7K5","GSON1112060352")</f>
        <v>#NAME?</v>
      </c>
    </row>
    <row r="830" spans="1:23" x14ac:dyDescent="0.2">
      <c r="A830" s="36" t="s">
        <v>1669</v>
      </c>
      <c r="B830" s="27" t="s">
        <v>1670</v>
      </c>
      <c r="C830" s="23" t="e">
        <f ca="1">[1]!BexGetData("DP_1","003N8EMH8GTFRCSWKMPXRR8GU","GSON1112060353")</f>
        <v>#NAME?</v>
      </c>
      <c r="D830" s="23" t="e">
        <f ca="1">[1]!BexGetData("DP_1","003N8EMH8GTFRCSWKMPXRRESE","GSON1112060353")</f>
        <v>#NAME?</v>
      </c>
      <c r="E830" s="28" t="e">
        <f ca="1">[1]!BexGetData("DP_1","003N8EMH8GTFRCSWKMPXRRL3Y","GSON1112060353")</f>
        <v>#NAME?</v>
      </c>
      <c r="F830" s="28" t="e">
        <f ca="1">[1]!BexGetData("DP_1","003N8EMH8GTFRCSWKMPXRRRFI","GSON1112060353")</f>
        <v>#NAME?</v>
      </c>
      <c r="G830" s="23" t="e">
        <f ca="1">[1]!BexGetData("DP_1","003N8EMH8GTFRCSWKMPXRRXR2","GSON1112060353")</f>
        <v>#NAME?</v>
      </c>
      <c r="H830" s="23" t="e">
        <f ca="1">[1]!BexGetData("DP_1","003N8EMH8GTFRCSWKMPXRS42M","GSON1112060353")</f>
        <v>#NAME?</v>
      </c>
      <c r="I830" s="28" t="e">
        <f ca="1">[1]!BexGetData("DP_1","003N8EMH8GTFRCSWKMPXRSAE6","GSON1112060353")</f>
        <v>#NAME?</v>
      </c>
      <c r="J830" s="24" t="e">
        <f ca="1">[1]!BexGetData("DP_1","003N8EMH8GTFRCSWKMPXRSGPQ","GSON1112060353")</f>
        <v>#NAME?</v>
      </c>
      <c r="K830" s="28" t="e">
        <f ca="1">[1]!BexGetData("DP_1","003N8EMH8GTFRIVNUPY288VJH","GSON1112060353")</f>
        <v>#NAME?</v>
      </c>
      <c r="L830" s="28" t="e">
        <f ca="1">[1]!BexGetData("DP_1","003N8EMH8GTFRIVNUPY2891V1","GSON1112060353")</f>
        <v>#NAME?</v>
      </c>
      <c r="M830" s="28" t="e">
        <f ca="1">[1]!BexGetData("DP_1","003N8EMH8GTFRIVOG7KG9IQXA","GSON1112060353")</f>
        <v>#NAME?</v>
      </c>
      <c r="N830" s="28" t="e">
        <f ca="1">[1]!BexGetData("DP_1","003N8EMH8GTFRIVOG7KG9IX8U","GSON1112060353")</f>
        <v>#NAME?</v>
      </c>
      <c r="O830" s="28" t="e">
        <f ca="1">[1]!BexGetData("DP_1","003N8EMH8GTFRIVOG7KG9J3KE","GSON1112060353")</f>
        <v>#NAME?</v>
      </c>
      <c r="P830" s="28" t="e">
        <f ca="1">[1]!BexGetData("DP_1","003N8EMH8GTFRIVOG7KG9J9VY","GSON1112060353")</f>
        <v>#NAME?</v>
      </c>
      <c r="Q830" s="24" t="e">
        <f ca="1">[1]!BexGetData("DP_1","00O2TNJGODT0G5Z4TTKYMM5MT","GSON1112060353")</f>
        <v>#NAME?</v>
      </c>
      <c r="R830" s="28" t="e">
        <f ca="1">[1]!BexGetData("DP_1","00O2TNJGODT0G5Z4TTKYMMBYD","GSON1112060353")</f>
        <v>#NAME?</v>
      </c>
      <c r="S830" s="28" t="e">
        <f ca="1">[1]!BexGetData("DP_1","00O2TNJGODT0G5Z4TTKYMMI9X","GSON1112060353")</f>
        <v>#NAME?</v>
      </c>
      <c r="T830" s="28" t="e">
        <f ca="1">[1]!BexGetData("DP_1","00O2TNJGODT0G5Z4TTKYMMOLH","GSON1112060353")</f>
        <v>#NAME?</v>
      </c>
      <c r="U830" s="28" t="e">
        <f ca="1">[1]!BexGetData("DP_1","00O2TNJGODT0G5Z4TTKYMMUX1","GSON1112060353")</f>
        <v>#NAME?</v>
      </c>
      <c r="V830" s="28" t="e">
        <f ca="1">[1]!BexGetData("DP_1","00O2TNJGODT0G5Z4TTKYMN18L","GSON1112060353")</f>
        <v>#NAME?</v>
      </c>
      <c r="W830" s="28" t="e">
        <f ca="1">[1]!BexGetData("DP_1","00O2TNJGODT0G5Z4TTKYMN7K5","GSON1112060353")</f>
        <v>#NAME?</v>
      </c>
    </row>
    <row r="831" spans="1:23" x14ac:dyDescent="0.2">
      <c r="A831" s="36" t="s">
        <v>3046</v>
      </c>
      <c r="B831" s="27" t="s">
        <v>3047</v>
      </c>
      <c r="C831" s="23" t="e">
        <f ca="1">[1]!BexGetData("DP_1","003N8EMH8GTFRCSWKMPXRR8GU","GSON1112060354")</f>
        <v>#NAME?</v>
      </c>
      <c r="D831" s="23" t="e">
        <f ca="1">[1]!BexGetData("DP_1","003N8EMH8GTFRCSWKMPXRRESE","GSON1112060354")</f>
        <v>#NAME?</v>
      </c>
      <c r="E831" s="28" t="e">
        <f ca="1">[1]!BexGetData("DP_1","003N8EMH8GTFRCSWKMPXRRL3Y","GSON1112060354")</f>
        <v>#NAME?</v>
      </c>
      <c r="F831" s="28" t="e">
        <f ca="1">[1]!BexGetData("DP_1","003N8EMH8GTFRCSWKMPXRRRFI","GSON1112060354")</f>
        <v>#NAME?</v>
      </c>
      <c r="G831" s="23" t="e">
        <f ca="1">[1]!BexGetData("DP_1","003N8EMH8GTFRCSWKMPXRRXR2","GSON1112060354")</f>
        <v>#NAME?</v>
      </c>
      <c r="H831" s="23" t="e">
        <f ca="1">[1]!BexGetData("DP_1","003N8EMH8GTFRCSWKMPXRS42M","GSON1112060354")</f>
        <v>#NAME?</v>
      </c>
      <c r="I831" s="28" t="e">
        <f ca="1">[1]!BexGetData("DP_1","003N8EMH8GTFRCSWKMPXRSAE6","GSON1112060354")</f>
        <v>#NAME?</v>
      </c>
      <c r="J831" s="24" t="e">
        <f ca="1">[1]!BexGetData("DP_1","003N8EMH8GTFRCSWKMPXRSGPQ","GSON1112060354")</f>
        <v>#NAME?</v>
      </c>
      <c r="K831" s="28" t="e">
        <f ca="1">[1]!BexGetData("DP_1","003N8EMH8GTFRIVNUPY288VJH","GSON1112060354")</f>
        <v>#NAME?</v>
      </c>
      <c r="L831" s="28" t="e">
        <f ca="1">[1]!BexGetData("DP_1","003N8EMH8GTFRIVNUPY2891V1","GSON1112060354")</f>
        <v>#NAME?</v>
      </c>
      <c r="M831" s="28" t="e">
        <f ca="1">[1]!BexGetData("DP_1","003N8EMH8GTFRIVOG7KG9IQXA","GSON1112060354")</f>
        <v>#NAME?</v>
      </c>
      <c r="N831" s="28" t="e">
        <f ca="1">[1]!BexGetData("DP_1","003N8EMH8GTFRIVOG7KG9IX8U","GSON1112060354")</f>
        <v>#NAME?</v>
      </c>
      <c r="O831" s="28" t="e">
        <f ca="1">[1]!BexGetData("DP_1","003N8EMH8GTFRIVOG7KG9J3KE","GSON1112060354")</f>
        <v>#NAME?</v>
      </c>
      <c r="P831" s="28" t="e">
        <f ca="1">[1]!BexGetData("DP_1","003N8EMH8GTFRIVOG7KG9J9VY","GSON1112060354")</f>
        <v>#NAME?</v>
      </c>
      <c r="Q831" s="24" t="e">
        <f ca="1">[1]!BexGetData("DP_1","00O2TNJGODT0G5Z4TTKYMM5MT","GSON1112060354")</f>
        <v>#NAME?</v>
      </c>
      <c r="R831" s="28" t="e">
        <f ca="1">[1]!BexGetData("DP_1","00O2TNJGODT0G5Z4TTKYMMBYD","GSON1112060354")</f>
        <v>#NAME?</v>
      </c>
      <c r="S831" s="28" t="e">
        <f ca="1">[1]!BexGetData("DP_1","00O2TNJGODT0G5Z4TTKYMMI9X","GSON1112060354")</f>
        <v>#NAME?</v>
      </c>
      <c r="T831" s="28" t="e">
        <f ca="1">[1]!BexGetData("DP_1","00O2TNJGODT0G5Z4TTKYMMOLH","GSON1112060354")</f>
        <v>#NAME?</v>
      </c>
      <c r="U831" s="28" t="e">
        <f ca="1">[1]!BexGetData("DP_1","00O2TNJGODT0G5Z4TTKYMMUX1","GSON1112060354")</f>
        <v>#NAME?</v>
      </c>
      <c r="V831" s="28" t="e">
        <f ca="1">[1]!BexGetData("DP_1","00O2TNJGODT0G5Z4TTKYMN18L","GSON1112060354")</f>
        <v>#NAME?</v>
      </c>
      <c r="W831" s="28" t="e">
        <f ca="1">[1]!BexGetData("DP_1","00O2TNJGODT0G5Z4TTKYMN7K5","GSON1112060354")</f>
        <v>#NAME?</v>
      </c>
    </row>
    <row r="832" spans="1:23" x14ac:dyDescent="0.2">
      <c r="A832" s="36" t="s">
        <v>3048</v>
      </c>
      <c r="B832" s="27" t="s">
        <v>3049</v>
      </c>
      <c r="C832" s="23" t="e">
        <f ca="1">[1]!BexGetData("DP_1","003N8EMH8GTFRCSWKMPXRR8GU","GSON1112060355")</f>
        <v>#NAME?</v>
      </c>
      <c r="D832" s="23" t="e">
        <f ca="1">[1]!BexGetData("DP_1","003N8EMH8GTFRCSWKMPXRRESE","GSON1112060355")</f>
        <v>#NAME?</v>
      </c>
      <c r="E832" s="28" t="e">
        <f ca="1">[1]!BexGetData("DP_1","003N8EMH8GTFRCSWKMPXRRL3Y","GSON1112060355")</f>
        <v>#NAME?</v>
      </c>
      <c r="F832" s="28" t="e">
        <f ca="1">[1]!BexGetData("DP_1","003N8EMH8GTFRCSWKMPXRRRFI","GSON1112060355")</f>
        <v>#NAME?</v>
      </c>
      <c r="G832" s="23" t="e">
        <f ca="1">[1]!BexGetData("DP_1","003N8EMH8GTFRCSWKMPXRRXR2","GSON1112060355")</f>
        <v>#NAME?</v>
      </c>
      <c r="H832" s="23" t="e">
        <f ca="1">[1]!BexGetData("DP_1","003N8EMH8GTFRCSWKMPXRS42M","GSON1112060355")</f>
        <v>#NAME?</v>
      </c>
      <c r="I832" s="28" t="e">
        <f ca="1">[1]!BexGetData("DP_1","003N8EMH8GTFRCSWKMPXRSAE6","GSON1112060355")</f>
        <v>#NAME?</v>
      </c>
      <c r="J832" s="24" t="e">
        <f ca="1">[1]!BexGetData("DP_1","003N8EMH8GTFRCSWKMPXRSGPQ","GSON1112060355")</f>
        <v>#NAME?</v>
      </c>
      <c r="K832" s="28" t="e">
        <f ca="1">[1]!BexGetData("DP_1","003N8EMH8GTFRIVNUPY288VJH","GSON1112060355")</f>
        <v>#NAME?</v>
      </c>
      <c r="L832" s="28" t="e">
        <f ca="1">[1]!BexGetData("DP_1","003N8EMH8GTFRIVNUPY2891V1","GSON1112060355")</f>
        <v>#NAME?</v>
      </c>
      <c r="M832" s="28" t="e">
        <f ca="1">[1]!BexGetData("DP_1","003N8EMH8GTFRIVOG7KG9IQXA","GSON1112060355")</f>
        <v>#NAME?</v>
      </c>
      <c r="N832" s="28" t="e">
        <f ca="1">[1]!BexGetData("DP_1","003N8EMH8GTFRIVOG7KG9IX8U","GSON1112060355")</f>
        <v>#NAME?</v>
      </c>
      <c r="O832" s="28" t="e">
        <f ca="1">[1]!BexGetData("DP_1","003N8EMH8GTFRIVOG7KG9J3KE","GSON1112060355")</f>
        <v>#NAME?</v>
      </c>
      <c r="P832" s="28" t="e">
        <f ca="1">[1]!BexGetData("DP_1","003N8EMH8GTFRIVOG7KG9J9VY","GSON1112060355")</f>
        <v>#NAME?</v>
      </c>
      <c r="Q832" s="24" t="e">
        <f ca="1">[1]!BexGetData("DP_1","00O2TNJGODT0G5Z4TTKYMM5MT","GSON1112060355")</f>
        <v>#NAME?</v>
      </c>
      <c r="R832" s="28" t="e">
        <f ca="1">[1]!BexGetData("DP_1","00O2TNJGODT0G5Z4TTKYMMBYD","GSON1112060355")</f>
        <v>#NAME?</v>
      </c>
      <c r="S832" s="28" t="e">
        <f ca="1">[1]!BexGetData("DP_1","00O2TNJGODT0G5Z4TTKYMMI9X","GSON1112060355")</f>
        <v>#NAME?</v>
      </c>
      <c r="T832" s="28" t="e">
        <f ca="1">[1]!BexGetData("DP_1","00O2TNJGODT0G5Z4TTKYMMOLH","GSON1112060355")</f>
        <v>#NAME?</v>
      </c>
      <c r="U832" s="28" t="e">
        <f ca="1">[1]!BexGetData("DP_1","00O2TNJGODT0G5Z4TTKYMMUX1","GSON1112060355")</f>
        <v>#NAME?</v>
      </c>
      <c r="V832" s="28" t="e">
        <f ca="1">[1]!BexGetData("DP_1","00O2TNJGODT0G5Z4TTKYMN18L","GSON1112060355")</f>
        <v>#NAME?</v>
      </c>
      <c r="W832" s="28" t="e">
        <f ca="1">[1]!BexGetData("DP_1","00O2TNJGODT0G5Z4TTKYMN7K5","GSON1112060355")</f>
        <v>#NAME?</v>
      </c>
    </row>
    <row r="833" spans="1:23" x14ac:dyDescent="0.2">
      <c r="A833" s="36" t="s">
        <v>3050</v>
      </c>
      <c r="B833" s="27" t="s">
        <v>3051</v>
      </c>
      <c r="C833" s="23" t="e">
        <f ca="1">[1]!BexGetData("DP_1","003N8EMH8GTFRCSWKMPXRR8GU","GSON1112060360")</f>
        <v>#NAME?</v>
      </c>
      <c r="D833" s="23" t="e">
        <f ca="1">[1]!BexGetData("DP_1","003N8EMH8GTFRCSWKMPXRRESE","GSON1112060360")</f>
        <v>#NAME?</v>
      </c>
      <c r="E833" s="23" t="e">
        <f ca="1">[1]!BexGetData("DP_1","003N8EMH8GTFRCSWKMPXRRL3Y","GSON1112060360")</f>
        <v>#NAME?</v>
      </c>
      <c r="F833" s="23" t="e">
        <f ca="1">[1]!BexGetData("DP_1","003N8EMH8GTFRCSWKMPXRRRFI","GSON1112060360")</f>
        <v>#NAME?</v>
      </c>
      <c r="G833" s="23" t="e">
        <f ca="1">[1]!BexGetData("DP_1","003N8EMH8GTFRCSWKMPXRRXR2","GSON1112060360")</f>
        <v>#NAME?</v>
      </c>
      <c r="H833" s="23" t="e">
        <f ca="1">[1]!BexGetData("DP_1","003N8EMH8GTFRCSWKMPXRS42M","GSON1112060360")</f>
        <v>#NAME?</v>
      </c>
      <c r="I833" s="23" t="e">
        <f ca="1">[1]!BexGetData("DP_1","003N8EMH8GTFRCSWKMPXRSAE6","GSON1112060360")</f>
        <v>#NAME?</v>
      </c>
      <c r="J833" s="23" t="e">
        <f ca="1">[1]!BexGetData("DP_1","003N8EMH8GTFRCSWKMPXRSGPQ","GSON1112060360")</f>
        <v>#NAME?</v>
      </c>
      <c r="K833" s="23" t="e">
        <f ca="1">[1]!BexGetData("DP_1","003N8EMH8GTFRIVNUPY288VJH","GSON1112060360")</f>
        <v>#NAME?</v>
      </c>
      <c r="L833" s="23" t="e">
        <f ca="1">[1]!BexGetData("DP_1","003N8EMH8GTFRIVNUPY2891V1","GSON1112060360")</f>
        <v>#NAME?</v>
      </c>
      <c r="M833" s="23" t="e">
        <f ca="1">[1]!BexGetData("DP_1","003N8EMH8GTFRIVOG7KG9IQXA","GSON1112060360")</f>
        <v>#NAME?</v>
      </c>
      <c r="N833" s="28" t="e">
        <f ca="1">[1]!BexGetData("DP_1","003N8EMH8GTFRIVOG7KG9IX8U","GSON1112060360")</f>
        <v>#NAME?</v>
      </c>
      <c r="O833" s="23" t="e">
        <f ca="1">[1]!BexGetData("DP_1","003N8EMH8GTFRIVOG7KG9J3KE","GSON1112060360")</f>
        <v>#NAME?</v>
      </c>
      <c r="P833" s="28" t="e">
        <f ca="1">[1]!BexGetData("DP_1","003N8EMH8GTFRIVOG7KG9J9VY","GSON1112060360")</f>
        <v>#NAME?</v>
      </c>
      <c r="Q833" s="23" t="e">
        <f ca="1">[1]!BexGetData("DP_1","00O2TNJGODT0G5Z4TTKYMM5MT","GSON1112060360")</f>
        <v>#NAME?</v>
      </c>
      <c r="R833" s="23" t="e">
        <f ca="1">[1]!BexGetData("DP_1","00O2TNJGODT0G5Z4TTKYMMBYD","GSON1112060360")</f>
        <v>#NAME?</v>
      </c>
      <c r="S833" s="23" t="e">
        <f ca="1">[1]!BexGetData("DP_1","00O2TNJGODT0G5Z4TTKYMMI9X","GSON1112060360")</f>
        <v>#NAME?</v>
      </c>
      <c r="T833" s="28" t="e">
        <f ca="1">[1]!BexGetData("DP_1","00O2TNJGODT0G5Z4TTKYMMOLH","GSON1112060360")</f>
        <v>#NAME?</v>
      </c>
      <c r="U833" s="23" t="e">
        <f ca="1">[1]!BexGetData("DP_1","00O2TNJGODT0G5Z4TTKYMMUX1","GSON1112060360")</f>
        <v>#NAME?</v>
      </c>
      <c r="V833" s="28" t="e">
        <f ca="1">[1]!BexGetData("DP_1","00O2TNJGODT0G5Z4TTKYMN18L","GSON1112060360")</f>
        <v>#NAME?</v>
      </c>
      <c r="W833" s="23" t="e">
        <f ca="1">[1]!BexGetData("DP_1","00O2TNJGODT0G5Z4TTKYMN7K5","GSON1112060360")</f>
        <v>#NAME?</v>
      </c>
    </row>
    <row r="834" spans="1:23" x14ac:dyDescent="0.2">
      <c r="A834" s="36" t="s">
        <v>3052</v>
      </c>
      <c r="B834" s="27" t="s">
        <v>3053</v>
      </c>
      <c r="C834" s="28" t="e">
        <f ca="1">[1]!BexGetData("DP_1","003N8EMH8GTFRCSWKMPXRR8GU","GSON1112060361")</f>
        <v>#NAME?</v>
      </c>
      <c r="D834" s="28" t="e">
        <f ca="1">[1]!BexGetData("DP_1","003N8EMH8GTFRCSWKMPXRRESE","GSON1112060361")</f>
        <v>#NAME?</v>
      </c>
      <c r="E834" s="28" t="e">
        <f ca="1">[1]!BexGetData("DP_1","003N8EMH8GTFRCSWKMPXRRL3Y","GSON1112060361")</f>
        <v>#NAME?</v>
      </c>
      <c r="F834" s="28" t="e">
        <f ca="1">[1]!BexGetData("DP_1","003N8EMH8GTFRCSWKMPXRRRFI","GSON1112060361")</f>
        <v>#NAME?</v>
      </c>
      <c r="G834" s="23" t="e">
        <f ca="1">[1]!BexGetData("DP_1","003N8EMH8GTFRCSWKMPXRRXR2","GSON1112060361")</f>
        <v>#NAME?</v>
      </c>
      <c r="H834" s="23" t="e">
        <f ca="1">[1]!BexGetData("DP_1","003N8EMH8GTFRCSWKMPXRS42M","GSON1112060361")</f>
        <v>#NAME?</v>
      </c>
      <c r="I834" s="28" t="e">
        <f ca="1">[1]!BexGetData("DP_1","003N8EMH8GTFRCSWKMPXRSAE6","GSON1112060361")</f>
        <v>#NAME?</v>
      </c>
      <c r="J834" s="24" t="e">
        <f ca="1">[1]!BexGetData("DP_1","003N8EMH8GTFRCSWKMPXRSGPQ","GSON1112060361")</f>
        <v>#NAME?</v>
      </c>
      <c r="K834" s="28" t="e">
        <f ca="1">[1]!BexGetData("DP_1","003N8EMH8GTFRIVNUPY288VJH","GSON1112060361")</f>
        <v>#NAME?</v>
      </c>
      <c r="L834" s="28" t="e">
        <f ca="1">[1]!BexGetData("DP_1","003N8EMH8GTFRIVNUPY2891V1","GSON1112060361")</f>
        <v>#NAME?</v>
      </c>
      <c r="M834" s="28" t="e">
        <f ca="1">[1]!BexGetData("DP_1","003N8EMH8GTFRIVOG7KG9IQXA","GSON1112060361")</f>
        <v>#NAME?</v>
      </c>
      <c r="N834" s="28" t="e">
        <f ca="1">[1]!BexGetData("DP_1","003N8EMH8GTFRIVOG7KG9IX8U","GSON1112060361")</f>
        <v>#NAME?</v>
      </c>
      <c r="O834" s="28" t="e">
        <f ca="1">[1]!BexGetData("DP_1","003N8EMH8GTFRIVOG7KG9J3KE","GSON1112060361")</f>
        <v>#NAME?</v>
      </c>
      <c r="P834" s="28" t="e">
        <f ca="1">[1]!BexGetData("DP_1","003N8EMH8GTFRIVOG7KG9J9VY","GSON1112060361")</f>
        <v>#NAME?</v>
      </c>
      <c r="Q834" s="24" t="e">
        <f ca="1">[1]!BexGetData("DP_1","00O2TNJGODT0G5Z4TTKYMM5MT","GSON1112060361")</f>
        <v>#NAME?</v>
      </c>
      <c r="R834" s="28" t="e">
        <f ca="1">[1]!BexGetData("DP_1","00O2TNJGODT0G5Z4TTKYMMBYD","GSON1112060361")</f>
        <v>#NAME?</v>
      </c>
      <c r="S834" s="28" t="e">
        <f ca="1">[1]!BexGetData("DP_1","00O2TNJGODT0G5Z4TTKYMMI9X","GSON1112060361")</f>
        <v>#NAME?</v>
      </c>
      <c r="T834" s="28" t="e">
        <f ca="1">[1]!BexGetData("DP_1","00O2TNJGODT0G5Z4TTKYMMOLH","GSON1112060361")</f>
        <v>#NAME?</v>
      </c>
      <c r="U834" s="28" t="e">
        <f ca="1">[1]!BexGetData("DP_1","00O2TNJGODT0G5Z4TTKYMMUX1","GSON1112060361")</f>
        <v>#NAME?</v>
      </c>
      <c r="V834" s="28" t="e">
        <f ca="1">[1]!BexGetData("DP_1","00O2TNJGODT0G5Z4TTKYMN18L","GSON1112060361")</f>
        <v>#NAME?</v>
      </c>
      <c r="W834" s="28" t="e">
        <f ca="1">[1]!BexGetData("DP_1","00O2TNJGODT0G5Z4TTKYMN7K5","GSON1112060361")</f>
        <v>#NAME?</v>
      </c>
    </row>
    <row r="835" spans="1:23" x14ac:dyDescent="0.2">
      <c r="A835" s="36" t="s">
        <v>3054</v>
      </c>
      <c r="B835" s="27" t="s">
        <v>3055</v>
      </c>
      <c r="C835" s="24" t="e">
        <f ca="1">[1]!BexGetData("DP_1","003N8EMH8GTFRCSWKMPXRR8GU","GSON1112060363")</f>
        <v>#NAME?</v>
      </c>
      <c r="D835" s="24" t="e">
        <f ca="1">[1]!BexGetData("DP_1","003N8EMH8GTFRCSWKMPXRRESE","GSON1112060363")</f>
        <v>#NAME?</v>
      </c>
      <c r="E835" s="24" t="e">
        <f ca="1">[1]!BexGetData("DP_1","003N8EMH8GTFRCSWKMPXRRL3Y","GSON1112060363")</f>
        <v>#NAME?</v>
      </c>
      <c r="F835" s="28" t="e">
        <f ca="1">[1]!BexGetData("DP_1","003N8EMH8GTFRCSWKMPXRRRFI","GSON1112060363")</f>
        <v>#NAME?</v>
      </c>
      <c r="G835" s="23" t="e">
        <f ca="1">[1]!BexGetData("DP_1","003N8EMH8GTFRCSWKMPXRRXR2","GSON1112060363")</f>
        <v>#NAME?</v>
      </c>
      <c r="H835" s="23" t="e">
        <f ca="1">[1]!BexGetData("DP_1","003N8EMH8GTFRCSWKMPXRS42M","GSON1112060363")</f>
        <v>#NAME?</v>
      </c>
      <c r="I835" s="28" t="e">
        <f ca="1">[1]!BexGetData("DP_1","003N8EMH8GTFRCSWKMPXRSAE6","GSON1112060363")</f>
        <v>#NAME?</v>
      </c>
      <c r="J835" s="24" t="e">
        <f ca="1">[1]!BexGetData("DP_1","003N8EMH8GTFRCSWKMPXRSGPQ","GSON1112060363")</f>
        <v>#NAME?</v>
      </c>
      <c r="K835" s="28" t="e">
        <f ca="1">[1]!BexGetData("DP_1","003N8EMH8GTFRIVNUPY288VJH","GSON1112060363")</f>
        <v>#NAME?</v>
      </c>
      <c r="L835" s="28" t="e">
        <f ca="1">[1]!BexGetData("DP_1","003N8EMH8GTFRIVNUPY2891V1","GSON1112060363")</f>
        <v>#NAME?</v>
      </c>
      <c r="M835" s="28" t="e">
        <f ca="1">[1]!BexGetData("DP_1","003N8EMH8GTFRIVOG7KG9IQXA","GSON1112060363")</f>
        <v>#NAME?</v>
      </c>
      <c r="N835" s="28" t="e">
        <f ca="1">[1]!BexGetData("DP_1","003N8EMH8GTFRIVOG7KG9IX8U","GSON1112060363")</f>
        <v>#NAME?</v>
      </c>
      <c r="O835" s="28" t="e">
        <f ca="1">[1]!BexGetData("DP_1","003N8EMH8GTFRIVOG7KG9J3KE","GSON1112060363")</f>
        <v>#NAME?</v>
      </c>
      <c r="P835" s="28" t="e">
        <f ca="1">[1]!BexGetData("DP_1","003N8EMH8GTFRIVOG7KG9J9VY","GSON1112060363")</f>
        <v>#NAME?</v>
      </c>
      <c r="Q835" s="24" t="e">
        <f ca="1">[1]!BexGetData("DP_1","00O2TNJGODT0G5Z4TTKYMM5MT","GSON1112060363")</f>
        <v>#NAME?</v>
      </c>
      <c r="R835" s="28" t="e">
        <f ca="1">[1]!BexGetData("DP_1","00O2TNJGODT0G5Z4TTKYMMBYD","GSON1112060363")</f>
        <v>#NAME?</v>
      </c>
      <c r="S835" s="28" t="e">
        <f ca="1">[1]!BexGetData("DP_1","00O2TNJGODT0G5Z4TTKYMMI9X","GSON1112060363")</f>
        <v>#NAME?</v>
      </c>
      <c r="T835" s="28" t="e">
        <f ca="1">[1]!BexGetData("DP_1","00O2TNJGODT0G5Z4TTKYMMOLH","GSON1112060363")</f>
        <v>#NAME?</v>
      </c>
      <c r="U835" s="28" t="e">
        <f ca="1">[1]!BexGetData("DP_1","00O2TNJGODT0G5Z4TTKYMMUX1","GSON1112060363")</f>
        <v>#NAME?</v>
      </c>
      <c r="V835" s="28" t="e">
        <f ca="1">[1]!BexGetData("DP_1","00O2TNJGODT0G5Z4TTKYMN18L","GSON1112060363")</f>
        <v>#NAME?</v>
      </c>
      <c r="W835" s="28" t="e">
        <f ca="1">[1]!BexGetData("DP_1","00O2TNJGODT0G5Z4TTKYMN7K5","GSON1112060363")</f>
        <v>#NAME?</v>
      </c>
    </row>
    <row r="836" spans="1:23" x14ac:dyDescent="0.2">
      <c r="A836" s="36" t="s">
        <v>3056</v>
      </c>
      <c r="B836" s="27" t="s">
        <v>3057</v>
      </c>
      <c r="C836" s="23" t="e">
        <f ca="1">[1]!BexGetData("DP_1","003N8EMH8GTFRCSWKMPXRR8GU","GSON1112060364")</f>
        <v>#NAME?</v>
      </c>
      <c r="D836" s="23" t="e">
        <f ca="1">[1]!BexGetData("DP_1","003N8EMH8GTFRCSWKMPXRRESE","GSON1112060364")</f>
        <v>#NAME?</v>
      </c>
      <c r="E836" s="28" t="e">
        <f ca="1">[1]!BexGetData("DP_1","003N8EMH8GTFRCSWKMPXRRL3Y","GSON1112060364")</f>
        <v>#NAME?</v>
      </c>
      <c r="F836" s="28" t="e">
        <f ca="1">[1]!BexGetData("DP_1","003N8EMH8GTFRCSWKMPXRRRFI","GSON1112060364")</f>
        <v>#NAME?</v>
      </c>
      <c r="G836" s="23" t="e">
        <f ca="1">[1]!BexGetData("DP_1","003N8EMH8GTFRCSWKMPXRRXR2","GSON1112060364")</f>
        <v>#NAME?</v>
      </c>
      <c r="H836" s="23" t="e">
        <f ca="1">[1]!BexGetData("DP_1","003N8EMH8GTFRCSWKMPXRS42M","GSON1112060364")</f>
        <v>#NAME?</v>
      </c>
      <c r="I836" s="28" t="e">
        <f ca="1">[1]!BexGetData("DP_1","003N8EMH8GTFRCSWKMPXRSAE6","GSON1112060364")</f>
        <v>#NAME?</v>
      </c>
      <c r="J836" s="24" t="e">
        <f ca="1">[1]!BexGetData("DP_1","003N8EMH8GTFRCSWKMPXRSGPQ","GSON1112060364")</f>
        <v>#NAME?</v>
      </c>
      <c r="K836" s="28" t="e">
        <f ca="1">[1]!BexGetData("DP_1","003N8EMH8GTFRIVNUPY288VJH","GSON1112060364")</f>
        <v>#NAME?</v>
      </c>
      <c r="L836" s="28" t="e">
        <f ca="1">[1]!BexGetData("DP_1","003N8EMH8GTFRIVNUPY2891V1","GSON1112060364")</f>
        <v>#NAME?</v>
      </c>
      <c r="M836" s="28" t="e">
        <f ca="1">[1]!BexGetData("DP_1","003N8EMH8GTFRIVOG7KG9IQXA","GSON1112060364")</f>
        <v>#NAME?</v>
      </c>
      <c r="N836" s="28" t="e">
        <f ca="1">[1]!BexGetData("DP_1","003N8EMH8GTFRIVOG7KG9IX8U","GSON1112060364")</f>
        <v>#NAME?</v>
      </c>
      <c r="O836" s="28" t="e">
        <f ca="1">[1]!BexGetData("DP_1","003N8EMH8GTFRIVOG7KG9J3KE","GSON1112060364")</f>
        <v>#NAME?</v>
      </c>
      <c r="P836" s="28" t="e">
        <f ca="1">[1]!BexGetData("DP_1","003N8EMH8GTFRIVOG7KG9J9VY","GSON1112060364")</f>
        <v>#NAME?</v>
      </c>
      <c r="Q836" s="24" t="e">
        <f ca="1">[1]!BexGetData("DP_1","00O2TNJGODT0G5Z4TTKYMM5MT","GSON1112060364")</f>
        <v>#NAME?</v>
      </c>
      <c r="R836" s="28" t="e">
        <f ca="1">[1]!BexGetData("DP_1","00O2TNJGODT0G5Z4TTKYMMBYD","GSON1112060364")</f>
        <v>#NAME?</v>
      </c>
      <c r="S836" s="28" t="e">
        <f ca="1">[1]!BexGetData("DP_1","00O2TNJGODT0G5Z4TTKYMMI9X","GSON1112060364")</f>
        <v>#NAME?</v>
      </c>
      <c r="T836" s="28" t="e">
        <f ca="1">[1]!BexGetData("DP_1","00O2TNJGODT0G5Z4TTKYMMOLH","GSON1112060364")</f>
        <v>#NAME?</v>
      </c>
      <c r="U836" s="28" t="e">
        <f ca="1">[1]!BexGetData("DP_1","00O2TNJGODT0G5Z4TTKYMMUX1","GSON1112060364")</f>
        <v>#NAME?</v>
      </c>
      <c r="V836" s="28" t="e">
        <f ca="1">[1]!BexGetData("DP_1","00O2TNJGODT0G5Z4TTKYMN18L","GSON1112060364")</f>
        <v>#NAME?</v>
      </c>
      <c r="W836" s="28" t="e">
        <f ca="1">[1]!BexGetData("DP_1","00O2TNJGODT0G5Z4TTKYMN7K5","GSON1112060364")</f>
        <v>#NAME?</v>
      </c>
    </row>
    <row r="837" spans="1:23" x14ac:dyDescent="0.2">
      <c r="A837" s="36" t="s">
        <v>3058</v>
      </c>
      <c r="B837" s="27" t="s">
        <v>3059</v>
      </c>
      <c r="C837" s="24" t="e">
        <f ca="1">[1]!BexGetData("DP_1","003N8EMH8GTFRCSWKMPXRR8GU","GSON1112060365")</f>
        <v>#NAME?</v>
      </c>
      <c r="D837" s="24" t="e">
        <f ca="1">[1]!BexGetData("DP_1","003N8EMH8GTFRCSWKMPXRRESE","GSON1112060365")</f>
        <v>#NAME?</v>
      </c>
      <c r="E837" s="24" t="e">
        <f ca="1">[1]!BexGetData("DP_1","003N8EMH8GTFRCSWKMPXRRL3Y","GSON1112060365")</f>
        <v>#NAME?</v>
      </c>
      <c r="F837" s="28" t="e">
        <f ca="1">[1]!BexGetData("DP_1","003N8EMH8GTFRCSWKMPXRRRFI","GSON1112060365")</f>
        <v>#NAME?</v>
      </c>
      <c r="G837" s="23" t="e">
        <f ca="1">[1]!BexGetData("DP_1","003N8EMH8GTFRCSWKMPXRRXR2","GSON1112060365")</f>
        <v>#NAME?</v>
      </c>
      <c r="H837" s="23" t="e">
        <f ca="1">[1]!BexGetData("DP_1","003N8EMH8GTFRCSWKMPXRS42M","GSON1112060365")</f>
        <v>#NAME?</v>
      </c>
      <c r="I837" s="28" t="e">
        <f ca="1">[1]!BexGetData("DP_1","003N8EMH8GTFRCSWKMPXRSAE6","GSON1112060365")</f>
        <v>#NAME?</v>
      </c>
      <c r="J837" s="24" t="e">
        <f ca="1">[1]!BexGetData("DP_1","003N8EMH8GTFRCSWKMPXRSGPQ","GSON1112060365")</f>
        <v>#NAME?</v>
      </c>
      <c r="K837" s="28" t="e">
        <f ca="1">[1]!BexGetData("DP_1","003N8EMH8GTFRIVNUPY288VJH","GSON1112060365")</f>
        <v>#NAME?</v>
      </c>
      <c r="L837" s="28" t="e">
        <f ca="1">[1]!BexGetData("DP_1","003N8EMH8GTFRIVNUPY2891V1","GSON1112060365")</f>
        <v>#NAME?</v>
      </c>
      <c r="M837" s="28" t="e">
        <f ca="1">[1]!BexGetData("DP_1","003N8EMH8GTFRIVOG7KG9IQXA","GSON1112060365")</f>
        <v>#NAME?</v>
      </c>
      <c r="N837" s="28" t="e">
        <f ca="1">[1]!BexGetData("DP_1","003N8EMH8GTFRIVOG7KG9IX8U","GSON1112060365")</f>
        <v>#NAME?</v>
      </c>
      <c r="O837" s="28" t="e">
        <f ca="1">[1]!BexGetData("DP_1","003N8EMH8GTFRIVOG7KG9J3KE","GSON1112060365")</f>
        <v>#NAME?</v>
      </c>
      <c r="P837" s="28" t="e">
        <f ca="1">[1]!BexGetData("DP_1","003N8EMH8GTFRIVOG7KG9J9VY","GSON1112060365")</f>
        <v>#NAME?</v>
      </c>
      <c r="Q837" s="24" t="e">
        <f ca="1">[1]!BexGetData("DP_1","00O2TNJGODT0G5Z4TTKYMM5MT","GSON1112060365")</f>
        <v>#NAME?</v>
      </c>
      <c r="R837" s="28" t="e">
        <f ca="1">[1]!BexGetData("DP_1","00O2TNJGODT0G5Z4TTKYMMBYD","GSON1112060365")</f>
        <v>#NAME?</v>
      </c>
      <c r="S837" s="28" t="e">
        <f ca="1">[1]!BexGetData("DP_1","00O2TNJGODT0G5Z4TTKYMMI9X","GSON1112060365")</f>
        <v>#NAME?</v>
      </c>
      <c r="T837" s="28" t="e">
        <f ca="1">[1]!BexGetData("DP_1","00O2TNJGODT0G5Z4TTKYMMOLH","GSON1112060365")</f>
        <v>#NAME?</v>
      </c>
      <c r="U837" s="28" t="e">
        <f ca="1">[1]!BexGetData("DP_1","00O2TNJGODT0G5Z4TTKYMMUX1","GSON1112060365")</f>
        <v>#NAME?</v>
      </c>
      <c r="V837" s="28" t="e">
        <f ca="1">[1]!BexGetData("DP_1","00O2TNJGODT0G5Z4TTKYMN18L","GSON1112060365")</f>
        <v>#NAME?</v>
      </c>
      <c r="W837" s="28" t="e">
        <f ca="1">[1]!BexGetData("DP_1","00O2TNJGODT0G5Z4TTKYMN7K5","GSON1112060365")</f>
        <v>#NAME?</v>
      </c>
    </row>
    <row r="838" spans="1:23" x14ac:dyDescent="0.2">
      <c r="A838" s="36" t="s">
        <v>3060</v>
      </c>
      <c r="B838" s="27" t="s">
        <v>3061</v>
      </c>
      <c r="C838" s="23" t="e">
        <f ca="1">[1]!BexGetData("DP_1","003N8EMH8GTFRCSWKMPXRR8GU","GSON1112060370")</f>
        <v>#NAME?</v>
      </c>
      <c r="D838" s="23" t="e">
        <f ca="1">[1]!BexGetData("DP_1","003N8EMH8GTFRCSWKMPXRRESE","GSON1112060370")</f>
        <v>#NAME?</v>
      </c>
      <c r="E838" s="23" t="e">
        <f ca="1">[1]!BexGetData("DP_1","003N8EMH8GTFRCSWKMPXRRL3Y","GSON1112060370")</f>
        <v>#NAME?</v>
      </c>
      <c r="F838" s="23" t="e">
        <f ca="1">[1]!BexGetData("DP_1","003N8EMH8GTFRCSWKMPXRRRFI","GSON1112060370")</f>
        <v>#NAME?</v>
      </c>
      <c r="G838" s="23" t="e">
        <f ca="1">[1]!BexGetData("DP_1","003N8EMH8GTFRCSWKMPXRRXR2","GSON1112060370")</f>
        <v>#NAME?</v>
      </c>
      <c r="H838" s="23" t="e">
        <f ca="1">[1]!BexGetData("DP_1","003N8EMH8GTFRCSWKMPXRS42M","GSON1112060370")</f>
        <v>#NAME?</v>
      </c>
      <c r="I838" s="23" t="e">
        <f ca="1">[1]!BexGetData("DP_1","003N8EMH8GTFRCSWKMPXRSAE6","GSON1112060370")</f>
        <v>#NAME?</v>
      </c>
      <c r="J838" s="23" t="e">
        <f ca="1">[1]!BexGetData("DP_1","003N8EMH8GTFRCSWKMPXRSGPQ","GSON1112060370")</f>
        <v>#NAME?</v>
      </c>
      <c r="K838" s="23" t="e">
        <f ca="1">[1]!BexGetData("DP_1","003N8EMH8GTFRIVNUPY288VJH","GSON1112060370")</f>
        <v>#NAME?</v>
      </c>
      <c r="L838" s="23" t="e">
        <f ca="1">[1]!BexGetData("DP_1","003N8EMH8GTFRIVNUPY2891V1","GSON1112060370")</f>
        <v>#NAME?</v>
      </c>
      <c r="M838" s="23" t="e">
        <f ca="1">[1]!BexGetData("DP_1","003N8EMH8GTFRIVOG7KG9IQXA","GSON1112060370")</f>
        <v>#NAME?</v>
      </c>
      <c r="N838" s="28" t="e">
        <f ca="1">[1]!BexGetData("DP_1","003N8EMH8GTFRIVOG7KG9IX8U","GSON1112060370")</f>
        <v>#NAME?</v>
      </c>
      <c r="O838" s="23" t="e">
        <f ca="1">[1]!BexGetData("DP_1","003N8EMH8GTFRIVOG7KG9J3KE","GSON1112060370")</f>
        <v>#NAME?</v>
      </c>
      <c r="P838" s="28" t="e">
        <f ca="1">[1]!BexGetData("DP_1","003N8EMH8GTFRIVOG7KG9J9VY","GSON1112060370")</f>
        <v>#NAME?</v>
      </c>
      <c r="Q838" s="23" t="e">
        <f ca="1">[1]!BexGetData("DP_1","00O2TNJGODT0G5Z4TTKYMM5MT","GSON1112060370")</f>
        <v>#NAME?</v>
      </c>
      <c r="R838" s="23" t="e">
        <f ca="1">[1]!BexGetData("DP_1","00O2TNJGODT0G5Z4TTKYMMBYD","GSON1112060370")</f>
        <v>#NAME?</v>
      </c>
      <c r="S838" s="23" t="e">
        <f ca="1">[1]!BexGetData("DP_1","00O2TNJGODT0G5Z4TTKYMMI9X","GSON1112060370")</f>
        <v>#NAME?</v>
      </c>
      <c r="T838" s="28" t="e">
        <f ca="1">[1]!BexGetData("DP_1","00O2TNJGODT0G5Z4TTKYMMOLH","GSON1112060370")</f>
        <v>#NAME?</v>
      </c>
      <c r="U838" s="23" t="e">
        <f ca="1">[1]!BexGetData("DP_1","00O2TNJGODT0G5Z4TTKYMMUX1","GSON1112060370")</f>
        <v>#NAME?</v>
      </c>
      <c r="V838" s="28" t="e">
        <f ca="1">[1]!BexGetData("DP_1","00O2TNJGODT0G5Z4TTKYMN18L","GSON1112060370")</f>
        <v>#NAME?</v>
      </c>
      <c r="W838" s="23" t="e">
        <f ca="1">[1]!BexGetData("DP_1","00O2TNJGODT0G5Z4TTKYMN7K5","GSON1112060370")</f>
        <v>#NAME?</v>
      </c>
    </row>
    <row r="839" spans="1:23" x14ac:dyDescent="0.2">
      <c r="A839" s="36" t="s">
        <v>3062</v>
      </c>
      <c r="B839" s="27" t="s">
        <v>3063</v>
      </c>
      <c r="C839" s="24" t="e">
        <f ca="1">[1]!BexGetData("DP_1","003N8EMH8GTFRCSWKMPXRR8GU","GSON1112060371")</f>
        <v>#NAME?</v>
      </c>
      <c r="D839" s="24" t="e">
        <f ca="1">[1]!BexGetData("DP_1","003N8EMH8GTFRCSWKMPXRRESE","GSON1112060371")</f>
        <v>#NAME?</v>
      </c>
      <c r="E839" s="24" t="e">
        <f ca="1">[1]!BexGetData("DP_1","003N8EMH8GTFRCSWKMPXRRL3Y","GSON1112060371")</f>
        <v>#NAME?</v>
      </c>
      <c r="F839" s="28" t="e">
        <f ca="1">[1]!BexGetData("DP_1","003N8EMH8GTFRCSWKMPXRRRFI","GSON1112060371")</f>
        <v>#NAME?</v>
      </c>
      <c r="G839" s="23" t="e">
        <f ca="1">[1]!BexGetData("DP_1","003N8EMH8GTFRCSWKMPXRRXR2","GSON1112060371")</f>
        <v>#NAME?</v>
      </c>
      <c r="H839" s="23" t="e">
        <f ca="1">[1]!BexGetData("DP_1","003N8EMH8GTFRCSWKMPXRS42M","GSON1112060371")</f>
        <v>#NAME?</v>
      </c>
      <c r="I839" s="28" t="e">
        <f ca="1">[1]!BexGetData("DP_1","003N8EMH8GTFRCSWKMPXRSAE6","GSON1112060371")</f>
        <v>#NAME?</v>
      </c>
      <c r="J839" s="24" t="e">
        <f ca="1">[1]!BexGetData("DP_1","003N8EMH8GTFRCSWKMPXRSGPQ","GSON1112060371")</f>
        <v>#NAME?</v>
      </c>
      <c r="K839" s="28" t="e">
        <f ca="1">[1]!BexGetData("DP_1","003N8EMH8GTFRIVNUPY288VJH","GSON1112060371")</f>
        <v>#NAME?</v>
      </c>
      <c r="L839" s="28" t="e">
        <f ca="1">[1]!BexGetData("DP_1","003N8EMH8GTFRIVNUPY2891V1","GSON1112060371")</f>
        <v>#NAME?</v>
      </c>
      <c r="M839" s="28" t="e">
        <f ca="1">[1]!BexGetData("DP_1","003N8EMH8GTFRIVOG7KG9IQXA","GSON1112060371")</f>
        <v>#NAME?</v>
      </c>
      <c r="N839" s="28" t="e">
        <f ca="1">[1]!BexGetData("DP_1","003N8EMH8GTFRIVOG7KG9IX8U","GSON1112060371")</f>
        <v>#NAME?</v>
      </c>
      <c r="O839" s="28" t="e">
        <f ca="1">[1]!BexGetData("DP_1","003N8EMH8GTFRIVOG7KG9J3KE","GSON1112060371")</f>
        <v>#NAME?</v>
      </c>
      <c r="P839" s="28" t="e">
        <f ca="1">[1]!BexGetData("DP_1","003N8EMH8GTFRIVOG7KG9J9VY","GSON1112060371")</f>
        <v>#NAME?</v>
      </c>
      <c r="Q839" s="24" t="e">
        <f ca="1">[1]!BexGetData("DP_1","00O2TNJGODT0G5Z4TTKYMM5MT","GSON1112060371")</f>
        <v>#NAME?</v>
      </c>
      <c r="R839" s="28" t="e">
        <f ca="1">[1]!BexGetData("DP_1","00O2TNJGODT0G5Z4TTKYMMBYD","GSON1112060371")</f>
        <v>#NAME?</v>
      </c>
      <c r="S839" s="28" t="e">
        <f ca="1">[1]!BexGetData("DP_1","00O2TNJGODT0G5Z4TTKYMMI9X","GSON1112060371")</f>
        <v>#NAME?</v>
      </c>
      <c r="T839" s="28" t="e">
        <f ca="1">[1]!BexGetData("DP_1","00O2TNJGODT0G5Z4TTKYMMOLH","GSON1112060371")</f>
        <v>#NAME?</v>
      </c>
      <c r="U839" s="28" t="e">
        <f ca="1">[1]!BexGetData("DP_1","00O2TNJGODT0G5Z4TTKYMMUX1","GSON1112060371")</f>
        <v>#NAME?</v>
      </c>
      <c r="V839" s="28" t="e">
        <f ca="1">[1]!BexGetData("DP_1","00O2TNJGODT0G5Z4TTKYMN18L","GSON1112060371")</f>
        <v>#NAME?</v>
      </c>
      <c r="W839" s="28" t="e">
        <f ca="1">[1]!BexGetData("DP_1","00O2TNJGODT0G5Z4TTKYMN7K5","GSON1112060371")</f>
        <v>#NAME?</v>
      </c>
    </row>
    <row r="840" spans="1:23" x14ac:dyDescent="0.2">
      <c r="A840" s="36" t="s">
        <v>3064</v>
      </c>
      <c r="B840" s="27" t="s">
        <v>3065</v>
      </c>
      <c r="C840" s="24" t="e">
        <f ca="1">[1]!BexGetData("DP_1","003N8EMH8GTFRCSWKMPXRR8GU","GSON1112060372")</f>
        <v>#NAME?</v>
      </c>
      <c r="D840" s="24" t="e">
        <f ca="1">[1]!BexGetData("DP_1","003N8EMH8GTFRCSWKMPXRRESE","GSON1112060372")</f>
        <v>#NAME?</v>
      </c>
      <c r="E840" s="24" t="e">
        <f ca="1">[1]!BexGetData("DP_1","003N8EMH8GTFRCSWKMPXRRL3Y","GSON1112060372")</f>
        <v>#NAME?</v>
      </c>
      <c r="F840" s="28" t="e">
        <f ca="1">[1]!BexGetData("DP_1","003N8EMH8GTFRCSWKMPXRRRFI","GSON1112060372")</f>
        <v>#NAME?</v>
      </c>
      <c r="G840" s="23" t="e">
        <f ca="1">[1]!BexGetData("DP_1","003N8EMH8GTFRCSWKMPXRRXR2","GSON1112060372")</f>
        <v>#NAME?</v>
      </c>
      <c r="H840" s="23" t="e">
        <f ca="1">[1]!BexGetData("DP_1","003N8EMH8GTFRCSWKMPXRS42M","GSON1112060372")</f>
        <v>#NAME?</v>
      </c>
      <c r="I840" s="28" t="e">
        <f ca="1">[1]!BexGetData("DP_1","003N8EMH8GTFRCSWKMPXRSAE6","GSON1112060372")</f>
        <v>#NAME?</v>
      </c>
      <c r="J840" s="23" t="e">
        <f ca="1">[1]!BexGetData("DP_1","003N8EMH8GTFRCSWKMPXRSGPQ","GSON1112060372")</f>
        <v>#NAME?</v>
      </c>
      <c r="K840" s="28" t="e">
        <f ca="1">[1]!BexGetData("DP_1","003N8EMH8GTFRIVNUPY288VJH","GSON1112060372")</f>
        <v>#NAME?</v>
      </c>
      <c r="L840" s="28" t="e">
        <f ca="1">[1]!BexGetData("DP_1","003N8EMH8GTFRIVNUPY2891V1","GSON1112060372")</f>
        <v>#NAME?</v>
      </c>
      <c r="M840" s="28" t="e">
        <f ca="1">[1]!BexGetData("DP_1","003N8EMH8GTFRIVOG7KG9IQXA","GSON1112060372")</f>
        <v>#NAME?</v>
      </c>
      <c r="N840" s="28" t="e">
        <f ca="1">[1]!BexGetData("DP_1","003N8EMH8GTFRIVOG7KG9IX8U","GSON1112060372")</f>
        <v>#NAME?</v>
      </c>
      <c r="O840" s="28" t="e">
        <f ca="1">[1]!BexGetData("DP_1","003N8EMH8GTFRIVOG7KG9J3KE","GSON1112060372")</f>
        <v>#NAME?</v>
      </c>
      <c r="P840" s="28" t="e">
        <f ca="1">[1]!BexGetData("DP_1","003N8EMH8GTFRIVOG7KG9J9VY","GSON1112060372")</f>
        <v>#NAME?</v>
      </c>
      <c r="Q840" s="23" t="e">
        <f ca="1">[1]!BexGetData("DP_1","00O2TNJGODT0G5Z4TTKYMM5MT","GSON1112060372")</f>
        <v>#NAME?</v>
      </c>
      <c r="R840" s="23" t="e">
        <f ca="1">[1]!BexGetData("DP_1","00O2TNJGODT0G5Z4TTKYMMBYD","GSON1112060372")</f>
        <v>#NAME?</v>
      </c>
      <c r="S840" s="23" t="e">
        <f ca="1">[1]!BexGetData("DP_1","00O2TNJGODT0G5Z4TTKYMMI9X","GSON1112060372")</f>
        <v>#NAME?</v>
      </c>
      <c r="T840" s="28" t="e">
        <f ca="1">[1]!BexGetData("DP_1","00O2TNJGODT0G5Z4TTKYMMOLH","GSON1112060372")</f>
        <v>#NAME?</v>
      </c>
      <c r="U840" s="23" t="e">
        <f ca="1">[1]!BexGetData("DP_1","00O2TNJGODT0G5Z4TTKYMMUX1","GSON1112060372")</f>
        <v>#NAME?</v>
      </c>
      <c r="V840" s="28" t="e">
        <f ca="1">[1]!BexGetData("DP_1","00O2TNJGODT0G5Z4TTKYMN18L","GSON1112060372")</f>
        <v>#NAME?</v>
      </c>
      <c r="W840" s="23" t="e">
        <f ca="1">[1]!BexGetData("DP_1","00O2TNJGODT0G5Z4TTKYMN7K5","GSON1112060372")</f>
        <v>#NAME?</v>
      </c>
    </row>
    <row r="841" spans="1:23" x14ac:dyDescent="0.2">
      <c r="A841" s="36" t="s">
        <v>3066</v>
      </c>
      <c r="B841" s="27" t="s">
        <v>3067</v>
      </c>
      <c r="C841" s="23" t="e">
        <f ca="1">[1]!BexGetData("DP_1","003N8EMH8GTFRCSWKMPXRR8GU","GSON1112060373")</f>
        <v>#NAME?</v>
      </c>
      <c r="D841" s="23" t="e">
        <f ca="1">[1]!BexGetData("DP_1","003N8EMH8GTFRCSWKMPXRRESE","GSON1112060373")</f>
        <v>#NAME?</v>
      </c>
      <c r="E841" s="28" t="e">
        <f ca="1">[1]!BexGetData("DP_1","003N8EMH8GTFRCSWKMPXRRL3Y","GSON1112060373")</f>
        <v>#NAME?</v>
      </c>
      <c r="F841" s="28" t="e">
        <f ca="1">[1]!BexGetData("DP_1","003N8EMH8GTFRCSWKMPXRRRFI","GSON1112060373")</f>
        <v>#NAME?</v>
      </c>
      <c r="G841" s="23" t="e">
        <f ca="1">[1]!BexGetData("DP_1","003N8EMH8GTFRCSWKMPXRRXR2","GSON1112060373")</f>
        <v>#NAME?</v>
      </c>
      <c r="H841" s="23" t="e">
        <f ca="1">[1]!BexGetData("DP_1","003N8EMH8GTFRCSWKMPXRS42M","GSON1112060373")</f>
        <v>#NAME?</v>
      </c>
      <c r="I841" s="28" t="e">
        <f ca="1">[1]!BexGetData("DP_1","003N8EMH8GTFRCSWKMPXRSAE6","GSON1112060373")</f>
        <v>#NAME?</v>
      </c>
      <c r="J841" s="24" t="e">
        <f ca="1">[1]!BexGetData("DP_1","003N8EMH8GTFRCSWKMPXRSGPQ","GSON1112060373")</f>
        <v>#NAME?</v>
      </c>
      <c r="K841" s="28" t="e">
        <f ca="1">[1]!BexGetData("DP_1","003N8EMH8GTFRIVNUPY288VJH","GSON1112060373")</f>
        <v>#NAME?</v>
      </c>
      <c r="L841" s="28" t="e">
        <f ca="1">[1]!BexGetData("DP_1","003N8EMH8GTFRIVNUPY2891V1","GSON1112060373")</f>
        <v>#NAME?</v>
      </c>
      <c r="M841" s="28" t="e">
        <f ca="1">[1]!BexGetData("DP_1","003N8EMH8GTFRIVOG7KG9IQXA","GSON1112060373")</f>
        <v>#NAME?</v>
      </c>
      <c r="N841" s="28" t="e">
        <f ca="1">[1]!BexGetData("DP_1","003N8EMH8GTFRIVOG7KG9IX8U","GSON1112060373")</f>
        <v>#NAME?</v>
      </c>
      <c r="O841" s="28" t="e">
        <f ca="1">[1]!BexGetData("DP_1","003N8EMH8GTFRIVOG7KG9J3KE","GSON1112060373")</f>
        <v>#NAME?</v>
      </c>
      <c r="P841" s="28" t="e">
        <f ca="1">[1]!BexGetData("DP_1","003N8EMH8GTFRIVOG7KG9J9VY","GSON1112060373")</f>
        <v>#NAME?</v>
      </c>
      <c r="Q841" s="24" t="e">
        <f ca="1">[1]!BexGetData("DP_1","00O2TNJGODT0G5Z4TTKYMM5MT","GSON1112060373")</f>
        <v>#NAME?</v>
      </c>
      <c r="R841" s="28" t="e">
        <f ca="1">[1]!BexGetData("DP_1","00O2TNJGODT0G5Z4TTKYMMBYD","GSON1112060373")</f>
        <v>#NAME?</v>
      </c>
      <c r="S841" s="28" t="e">
        <f ca="1">[1]!BexGetData("DP_1","00O2TNJGODT0G5Z4TTKYMMI9X","GSON1112060373")</f>
        <v>#NAME?</v>
      </c>
      <c r="T841" s="28" t="e">
        <f ca="1">[1]!BexGetData("DP_1","00O2TNJGODT0G5Z4TTKYMMOLH","GSON1112060373")</f>
        <v>#NAME?</v>
      </c>
      <c r="U841" s="28" t="e">
        <f ca="1">[1]!BexGetData("DP_1","00O2TNJGODT0G5Z4TTKYMMUX1","GSON1112060373")</f>
        <v>#NAME?</v>
      </c>
      <c r="V841" s="28" t="e">
        <f ca="1">[1]!BexGetData("DP_1","00O2TNJGODT0G5Z4TTKYMN18L","GSON1112060373")</f>
        <v>#NAME?</v>
      </c>
      <c r="W841" s="28" t="e">
        <f ca="1">[1]!BexGetData("DP_1","00O2TNJGODT0G5Z4TTKYMN7K5","GSON1112060373")</f>
        <v>#NAME?</v>
      </c>
    </row>
    <row r="842" spans="1:23" x14ac:dyDescent="0.2">
      <c r="A842" s="36" t="s">
        <v>3068</v>
      </c>
      <c r="B842" s="27" t="s">
        <v>3069</v>
      </c>
      <c r="C842" s="23" t="e">
        <f ca="1">[1]!BexGetData("DP_1","003N8EMH8GTFRCSWKMPXRR8GU","GSON1112060374")</f>
        <v>#NAME?</v>
      </c>
      <c r="D842" s="23" t="e">
        <f ca="1">[1]!BexGetData("DP_1","003N8EMH8GTFRCSWKMPXRRESE","GSON1112060374")</f>
        <v>#NAME?</v>
      </c>
      <c r="E842" s="28" t="e">
        <f ca="1">[1]!BexGetData("DP_1","003N8EMH8GTFRCSWKMPXRRL3Y","GSON1112060374")</f>
        <v>#NAME?</v>
      </c>
      <c r="F842" s="28" t="e">
        <f ca="1">[1]!BexGetData("DP_1","003N8EMH8GTFRCSWKMPXRRRFI","GSON1112060374")</f>
        <v>#NAME?</v>
      </c>
      <c r="G842" s="23" t="e">
        <f ca="1">[1]!BexGetData("DP_1","003N8EMH8GTFRCSWKMPXRRXR2","GSON1112060374")</f>
        <v>#NAME?</v>
      </c>
      <c r="H842" s="23" t="e">
        <f ca="1">[1]!BexGetData("DP_1","003N8EMH8GTFRCSWKMPXRS42M","GSON1112060374")</f>
        <v>#NAME?</v>
      </c>
      <c r="I842" s="28" t="e">
        <f ca="1">[1]!BexGetData("DP_1","003N8EMH8GTFRCSWKMPXRSAE6","GSON1112060374")</f>
        <v>#NAME?</v>
      </c>
      <c r="J842" s="24" t="e">
        <f ca="1">[1]!BexGetData("DP_1","003N8EMH8GTFRCSWKMPXRSGPQ","GSON1112060374")</f>
        <v>#NAME?</v>
      </c>
      <c r="K842" s="28" t="e">
        <f ca="1">[1]!BexGetData("DP_1","003N8EMH8GTFRIVNUPY288VJH","GSON1112060374")</f>
        <v>#NAME?</v>
      </c>
      <c r="L842" s="28" t="e">
        <f ca="1">[1]!BexGetData("DP_1","003N8EMH8GTFRIVNUPY2891V1","GSON1112060374")</f>
        <v>#NAME?</v>
      </c>
      <c r="M842" s="28" t="e">
        <f ca="1">[1]!BexGetData("DP_1","003N8EMH8GTFRIVOG7KG9IQXA","GSON1112060374")</f>
        <v>#NAME?</v>
      </c>
      <c r="N842" s="28" t="e">
        <f ca="1">[1]!BexGetData("DP_1","003N8EMH8GTFRIVOG7KG9IX8U","GSON1112060374")</f>
        <v>#NAME?</v>
      </c>
      <c r="O842" s="28" t="e">
        <f ca="1">[1]!BexGetData("DP_1","003N8EMH8GTFRIVOG7KG9J3KE","GSON1112060374")</f>
        <v>#NAME?</v>
      </c>
      <c r="P842" s="28" t="e">
        <f ca="1">[1]!BexGetData("DP_1","003N8EMH8GTFRIVOG7KG9J9VY","GSON1112060374")</f>
        <v>#NAME?</v>
      </c>
      <c r="Q842" s="24" t="e">
        <f ca="1">[1]!BexGetData("DP_1","00O2TNJGODT0G5Z4TTKYMM5MT","GSON1112060374")</f>
        <v>#NAME?</v>
      </c>
      <c r="R842" s="28" t="e">
        <f ca="1">[1]!BexGetData("DP_1","00O2TNJGODT0G5Z4TTKYMMBYD","GSON1112060374")</f>
        <v>#NAME?</v>
      </c>
      <c r="S842" s="28" t="e">
        <f ca="1">[1]!BexGetData("DP_1","00O2TNJGODT0G5Z4TTKYMMI9X","GSON1112060374")</f>
        <v>#NAME?</v>
      </c>
      <c r="T842" s="28" t="e">
        <f ca="1">[1]!BexGetData("DP_1","00O2TNJGODT0G5Z4TTKYMMOLH","GSON1112060374")</f>
        <v>#NAME?</v>
      </c>
      <c r="U842" s="28" t="e">
        <f ca="1">[1]!BexGetData("DP_1","00O2TNJGODT0G5Z4TTKYMMUX1","GSON1112060374")</f>
        <v>#NAME?</v>
      </c>
      <c r="V842" s="28" t="e">
        <f ca="1">[1]!BexGetData("DP_1","00O2TNJGODT0G5Z4TTKYMN18L","GSON1112060374")</f>
        <v>#NAME?</v>
      </c>
      <c r="W842" s="28" t="e">
        <f ca="1">[1]!BexGetData("DP_1","00O2TNJGODT0G5Z4TTKYMN7K5","GSON1112060374")</f>
        <v>#NAME?</v>
      </c>
    </row>
    <row r="843" spans="1:23" x14ac:dyDescent="0.2">
      <c r="A843" s="36" t="s">
        <v>3070</v>
      </c>
      <c r="B843" s="27" t="s">
        <v>3071</v>
      </c>
      <c r="C843" s="23" t="e">
        <f ca="1">[1]!BexGetData("DP_1","003N8EMH8GTFRCSWKMPXRR8GU","GSON1112060375")</f>
        <v>#NAME?</v>
      </c>
      <c r="D843" s="23" t="e">
        <f ca="1">[1]!BexGetData("DP_1","003N8EMH8GTFRCSWKMPXRRESE","GSON1112060375")</f>
        <v>#NAME?</v>
      </c>
      <c r="E843" s="28" t="e">
        <f ca="1">[1]!BexGetData("DP_1","003N8EMH8GTFRCSWKMPXRRL3Y","GSON1112060375")</f>
        <v>#NAME?</v>
      </c>
      <c r="F843" s="28" t="e">
        <f ca="1">[1]!BexGetData("DP_1","003N8EMH8GTFRCSWKMPXRRRFI","GSON1112060375")</f>
        <v>#NAME?</v>
      </c>
      <c r="G843" s="23" t="e">
        <f ca="1">[1]!BexGetData("DP_1","003N8EMH8GTFRCSWKMPXRRXR2","GSON1112060375")</f>
        <v>#NAME?</v>
      </c>
      <c r="H843" s="23" t="e">
        <f ca="1">[1]!BexGetData("DP_1","003N8EMH8GTFRCSWKMPXRS42M","GSON1112060375")</f>
        <v>#NAME?</v>
      </c>
      <c r="I843" s="28" t="e">
        <f ca="1">[1]!BexGetData("DP_1","003N8EMH8GTFRCSWKMPXRSAE6","GSON1112060375")</f>
        <v>#NAME?</v>
      </c>
      <c r="J843" s="24" t="e">
        <f ca="1">[1]!BexGetData("DP_1","003N8EMH8GTFRCSWKMPXRSGPQ","GSON1112060375")</f>
        <v>#NAME?</v>
      </c>
      <c r="K843" s="28" t="e">
        <f ca="1">[1]!BexGetData("DP_1","003N8EMH8GTFRIVNUPY288VJH","GSON1112060375")</f>
        <v>#NAME?</v>
      </c>
      <c r="L843" s="28" t="e">
        <f ca="1">[1]!BexGetData("DP_1","003N8EMH8GTFRIVNUPY2891V1","GSON1112060375")</f>
        <v>#NAME?</v>
      </c>
      <c r="M843" s="28" t="e">
        <f ca="1">[1]!BexGetData("DP_1","003N8EMH8GTFRIVOG7KG9IQXA","GSON1112060375")</f>
        <v>#NAME?</v>
      </c>
      <c r="N843" s="28" t="e">
        <f ca="1">[1]!BexGetData("DP_1","003N8EMH8GTFRIVOG7KG9IX8U","GSON1112060375")</f>
        <v>#NAME?</v>
      </c>
      <c r="O843" s="28" t="e">
        <f ca="1">[1]!BexGetData("DP_1","003N8EMH8GTFRIVOG7KG9J3KE","GSON1112060375")</f>
        <v>#NAME?</v>
      </c>
      <c r="P843" s="28" t="e">
        <f ca="1">[1]!BexGetData("DP_1","003N8EMH8GTFRIVOG7KG9J9VY","GSON1112060375")</f>
        <v>#NAME?</v>
      </c>
      <c r="Q843" s="24" t="e">
        <f ca="1">[1]!BexGetData("DP_1","00O2TNJGODT0G5Z4TTKYMM5MT","GSON1112060375")</f>
        <v>#NAME?</v>
      </c>
      <c r="R843" s="28" t="e">
        <f ca="1">[1]!BexGetData("DP_1","00O2TNJGODT0G5Z4TTKYMMBYD","GSON1112060375")</f>
        <v>#NAME?</v>
      </c>
      <c r="S843" s="28" t="e">
        <f ca="1">[1]!BexGetData("DP_1","00O2TNJGODT0G5Z4TTKYMMI9X","GSON1112060375")</f>
        <v>#NAME?</v>
      </c>
      <c r="T843" s="28" t="e">
        <f ca="1">[1]!BexGetData("DP_1","00O2TNJGODT0G5Z4TTKYMMOLH","GSON1112060375")</f>
        <v>#NAME?</v>
      </c>
      <c r="U843" s="28" t="e">
        <f ca="1">[1]!BexGetData("DP_1","00O2TNJGODT0G5Z4TTKYMMUX1","GSON1112060375")</f>
        <v>#NAME?</v>
      </c>
      <c r="V843" s="28" t="e">
        <f ca="1">[1]!BexGetData("DP_1","00O2TNJGODT0G5Z4TTKYMN18L","GSON1112060375")</f>
        <v>#NAME?</v>
      </c>
      <c r="W843" s="28" t="e">
        <f ca="1">[1]!BexGetData("DP_1","00O2TNJGODT0G5Z4TTKYMN7K5","GSON1112060375")</f>
        <v>#NAME?</v>
      </c>
    </row>
    <row r="844" spans="1:23" x14ac:dyDescent="0.2">
      <c r="A844" s="36" t="s">
        <v>3072</v>
      </c>
      <c r="B844" s="27" t="s">
        <v>3073</v>
      </c>
      <c r="C844" s="23" t="e">
        <f ca="1">[1]!BexGetData("DP_1","003N8EMH8GTFRCSWKMPXRR8GU","GSON1112060380")</f>
        <v>#NAME?</v>
      </c>
      <c r="D844" s="23" t="e">
        <f ca="1">[1]!BexGetData("DP_1","003N8EMH8GTFRCSWKMPXRRESE","GSON1112060380")</f>
        <v>#NAME?</v>
      </c>
      <c r="E844" s="23" t="e">
        <f ca="1">[1]!BexGetData("DP_1","003N8EMH8GTFRCSWKMPXRRL3Y","GSON1112060380")</f>
        <v>#NAME?</v>
      </c>
      <c r="F844" s="23" t="e">
        <f ca="1">[1]!BexGetData("DP_1","003N8EMH8GTFRCSWKMPXRRRFI","GSON1112060380")</f>
        <v>#NAME?</v>
      </c>
      <c r="G844" s="23" t="e">
        <f ca="1">[1]!BexGetData("DP_1","003N8EMH8GTFRCSWKMPXRRXR2","GSON1112060380")</f>
        <v>#NAME?</v>
      </c>
      <c r="H844" s="23" t="e">
        <f ca="1">[1]!BexGetData("DP_1","003N8EMH8GTFRCSWKMPXRS42M","GSON1112060380")</f>
        <v>#NAME?</v>
      </c>
      <c r="I844" s="23" t="e">
        <f ca="1">[1]!BexGetData("DP_1","003N8EMH8GTFRCSWKMPXRSAE6","GSON1112060380")</f>
        <v>#NAME?</v>
      </c>
      <c r="J844" s="23" t="e">
        <f ca="1">[1]!BexGetData("DP_1","003N8EMH8GTFRCSWKMPXRSGPQ","GSON1112060380")</f>
        <v>#NAME?</v>
      </c>
      <c r="K844" s="23" t="e">
        <f ca="1">[1]!BexGetData("DP_1","003N8EMH8GTFRIVNUPY288VJH","GSON1112060380")</f>
        <v>#NAME?</v>
      </c>
      <c r="L844" s="23" t="e">
        <f ca="1">[1]!BexGetData("DP_1","003N8EMH8GTFRIVNUPY2891V1","GSON1112060380")</f>
        <v>#NAME?</v>
      </c>
      <c r="M844" s="23" t="e">
        <f ca="1">[1]!BexGetData("DP_1","003N8EMH8GTFRIVOG7KG9IQXA","GSON1112060380")</f>
        <v>#NAME?</v>
      </c>
      <c r="N844" s="28" t="e">
        <f ca="1">[1]!BexGetData("DP_1","003N8EMH8GTFRIVOG7KG9IX8U","GSON1112060380")</f>
        <v>#NAME?</v>
      </c>
      <c r="O844" s="23" t="e">
        <f ca="1">[1]!BexGetData("DP_1","003N8EMH8GTFRIVOG7KG9J3KE","GSON1112060380")</f>
        <v>#NAME?</v>
      </c>
      <c r="P844" s="28" t="e">
        <f ca="1">[1]!BexGetData("DP_1","003N8EMH8GTFRIVOG7KG9J9VY","GSON1112060380")</f>
        <v>#NAME?</v>
      </c>
      <c r="Q844" s="23" t="e">
        <f ca="1">[1]!BexGetData("DP_1","00O2TNJGODT0G5Z4TTKYMM5MT","GSON1112060380")</f>
        <v>#NAME?</v>
      </c>
      <c r="R844" s="23" t="e">
        <f ca="1">[1]!BexGetData("DP_1","00O2TNJGODT0G5Z4TTKYMMBYD","GSON1112060380")</f>
        <v>#NAME?</v>
      </c>
      <c r="S844" s="23" t="e">
        <f ca="1">[1]!BexGetData("DP_1","00O2TNJGODT0G5Z4TTKYMMI9X","GSON1112060380")</f>
        <v>#NAME?</v>
      </c>
      <c r="T844" s="23" t="e">
        <f ca="1">[1]!BexGetData("DP_1","00O2TNJGODT0G5Z4TTKYMMOLH","GSON1112060380")</f>
        <v>#NAME?</v>
      </c>
      <c r="U844" s="28" t="e">
        <f ca="1">[1]!BexGetData("DP_1","00O2TNJGODT0G5Z4TTKYMMUX1","GSON1112060380")</f>
        <v>#NAME?</v>
      </c>
      <c r="V844" s="23" t="e">
        <f ca="1">[1]!BexGetData("DP_1","00O2TNJGODT0G5Z4TTKYMN18L","GSON1112060380")</f>
        <v>#NAME?</v>
      </c>
      <c r="W844" s="28" t="e">
        <f ca="1">[1]!BexGetData("DP_1","00O2TNJGODT0G5Z4TTKYMN7K5","GSON1112060380")</f>
        <v>#NAME?</v>
      </c>
    </row>
    <row r="845" spans="1:23" x14ac:dyDescent="0.2">
      <c r="A845" s="36" t="s">
        <v>3074</v>
      </c>
      <c r="B845" s="27" t="s">
        <v>3075</v>
      </c>
      <c r="C845" s="28" t="e">
        <f ca="1">[1]!BexGetData("DP_1","003N8EMH8GTFRCSWKMPXRR8GU","GSON1112060381")</f>
        <v>#NAME?</v>
      </c>
      <c r="D845" s="28" t="e">
        <f ca="1">[1]!BexGetData("DP_1","003N8EMH8GTFRCSWKMPXRRESE","GSON1112060381")</f>
        <v>#NAME?</v>
      </c>
      <c r="E845" s="28" t="e">
        <f ca="1">[1]!BexGetData("DP_1","003N8EMH8GTFRCSWKMPXRRL3Y","GSON1112060381")</f>
        <v>#NAME?</v>
      </c>
      <c r="F845" s="28" t="e">
        <f ca="1">[1]!BexGetData("DP_1","003N8EMH8GTFRCSWKMPXRRRFI","GSON1112060381")</f>
        <v>#NAME?</v>
      </c>
      <c r="G845" s="23" t="e">
        <f ca="1">[1]!BexGetData("DP_1","003N8EMH8GTFRCSWKMPXRRXR2","GSON1112060381")</f>
        <v>#NAME?</v>
      </c>
      <c r="H845" s="23" t="e">
        <f ca="1">[1]!BexGetData("DP_1","003N8EMH8GTFRCSWKMPXRS42M","GSON1112060381")</f>
        <v>#NAME?</v>
      </c>
      <c r="I845" s="28" t="e">
        <f ca="1">[1]!BexGetData("DP_1","003N8EMH8GTFRCSWKMPXRSAE6","GSON1112060381")</f>
        <v>#NAME?</v>
      </c>
      <c r="J845" s="24" t="e">
        <f ca="1">[1]!BexGetData("DP_1","003N8EMH8GTFRCSWKMPXRSGPQ","GSON1112060381")</f>
        <v>#NAME?</v>
      </c>
      <c r="K845" s="28" t="e">
        <f ca="1">[1]!BexGetData("DP_1","003N8EMH8GTFRIVNUPY288VJH","GSON1112060381")</f>
        <v>#NAME?</v>
      </c>
      <c r="L845" s="28" t="e">
        <f ca="1">[1]!BexGetData("DP_1","003N8EMH8GTFRIVNUPY2891V1","GSON1112060381")</f>
        <v>#NAME?</v>
      </c>
      <c r="M845" s="28" t="e">
        <f ca="1">[1]!BexGetData("DP_1","003N8EMH8GTFRIVOG7KG9IQXA","GSON1112060381")</f>
        <v>#NAME?</v>
      </c>
      <c r="N845" s="28" t="e">
        <f ca="1">[1]!BexGetData("DP_1","003N8EMH8GTFRIVOG7KG9IX8U","GSON1112060381")</f>
        <v>#NAME?</v>
      </c>
      <c r="O845" s="28" t="e">
        <f ca="1">[1]!BexGetData("DP_1","003N8EMH8GTFRIVOG7KG9J3KE","GSON1112060381")</f>
        <v>#NAME?</v>
      </c>
      <c r="P845" s="28" t="e">
        <f ca="1">[1]!BexGetData("DP_1","003N8EMH8GTFRIVOG7KG9J9VY","GSON1112060381")</f>
        <v>#NAME?</v>
      </c>
      <c r="Q845" s="24" t="e">
        <f ca="1">[1]!BexGetData("DP_1","00O2TNJGODT0G5Z4TTKYMM5MT","GSON1112060381")</f>
        <v>#NAME?</v>
      </c>
      <c r="R845" s="28" t="e">
        <f ca="1">[1]!BexGetData("DP_1","00O2TNJGODT0G5Z4TTKYMMBYD","GSON1112060381")</f>
        <v>#NAME?</v>
      </c>
      <c r="S845" s="28" t="e">
        <f ca="1">[1]!BexGetData("DP_1","00O2TNJGODT0G5Z4TTKYMMI9X","GSON1112060381")</f>
        <v>#NAME?</v>
      </c>
      <c r="T845" s="28" t="e">
        <f ca="1">[1]!BexGetData("DP_1","00O2TNJGODT0G5Z4TTKYMMOLH","GSON1112060381")</f>
        <v>#NAME?</v>
      </c>
      <c r="U845" s="28" t="e">
        <f ca="1">[1]!BexGetData("DP_1","00O2TNJGODT0G5Z4TTKYMMUX1","GSON1112060381")</f>
        <v>#NAME?</v>
      </c>
      <c r="V845" s="28" t="e">
        <f ca="1">[1]!BexGetData("DP_1","00O2TNJGODT0G5Z4TTKYMN18L","GSON1112060381")</f>
        <v>#NAME?</v>
      </c>
      <c r="W845" s="28" t="e">
        <f ca="1">[1]!BexGetData("DP_1","00O2TNJGODT0G5Z4TTKYMN7K5","GSON1112060381")</f>
        <v>#NAME?</v>
      </c>
    </row>
    <row r="846" spans="1:23" x14ac:dyDescent="0.2">
      <c r="A846" s="36" t="s">
        <v>3076</v>
      </c>
      <c r="B846" s="27" t="s">
        <v>3077</v>
      </c>
      <c r="C846" s="24" t="e">
        <f ca="1">[1]!BexGetData("DP_1","003N8EMH8GTFRCSWKMPXRR8GU","GSON1112060383")</f>
        <v>#NAME?</v>
      </c>
      <c r="D846" s="24" t="e">
        <f ca="1">[1]!BexGetData("DP_1","003N8EMH8GTFRCSWKMPXRRESE","GSON1112060383")</f>
        <v>#NAME?</v>
      </c>
      <c r="E846" s="24" t="e">
        <f ca="1">[1]!BexGetData("DP_1","003N8EMH8GTFRCSWKMPXRRL3Y","GSON1112060383")</f>
        <v>#NAME?</v>
      </c>
      <c r="F846" s="28" t="e">
        <f ca="1">[1]!BexGetData("DP_1","003N8EMH8GTFRCSWKMPXRRRFI","GSON1112060383")</f>
        <v>#NAME?</v>
      </c>
      <c r="G846" s="23" t="e">
        <f ca="1">[1]!BexGetData("DP_1","003N8EMH8GTFRCSWKMPXRRXR2","GSON1112060383")</f>
        <v>#NAME?</v>
      </c>
      <c r="H846" s="23" t="e">
        <f ca="1">[1]!BexGetData("DP_1","003N8EMH8GTFRCSWKMPXRS42M","GSON1112060383")</f>
        <v>#NAME?</v>
      </c>
      <c r="I846" s="28" t="e">
        <f ca="1">[1]!BexGetData("DP_1","003N8EMH8GTFRCSWKMPXRSAE6","GSON1112060383")</f>
        <v>#NAME?</v>
      </c>
      <c r="J846" s="24" t="e">
        <f ca="1">[1]!BexGetData("DP_1","003N8EMH8GTFRCSWKMPXRSGPQ","GSON1112060383")</f>
        <v>#NAME?</v>
      </c>
      <c r="K846" s="28" t="e">
        <f ca="1">[1]!BexGetData("DP_1","003N8EMH8GTFRIVNUPY288VJH","GSON1112060383")</f>
        <v>#NAME?</v>
      </c>
      <c r="L846" s="28" t="e">
        <f ca="1">[1]!BexGetData("DP_1","003N8EMH8GTFRIVNUPY2891V1","GSON1112060383")</f>
        <v>#NAME?</v>
      </c>
      <c r="M846" s="28" t="e">
        <f ca="1">[1]!BexGetData("DP_1","003N8EMH8GTFRIVOG7KG9IQXA","GSON1112060383")</f>
        <v>#NAME?</v>
      </c>
      <c r="N846" s="28" t="e">
        <f ca="1">[1]!BexGetData("DP_1","003N8EMH8GTFRIVOG7KG9IX8U","GSON1112060383")</f>
        <v>#NAME?</v>
      </c>
      <c r="O846" s="28" t="e">
        <f ca="1">[1]!BexGetData("DP_1","003N8EMH8GTFRIVOG7KG9J3KE","GSON1112060383")</f>
        <v>#NAME?</v>
      </c>
      <c r="P846" s="28" t="e">
        <f ca="1">[1]!BexGetData("DP_1","003N8EMH8GTFRIVOG7KG9J9VY","GSON1112060383")</f>
        <v>#NAME?</v>
      </c>
      <c r="Q846" s="24" t="e">
        <f ca="1">[1]!BexGetData("DP_1","00O2TNJGODT0G5Z4TTKYMM5MT","GSON1112060383")</f>
        <v>#NAME?</v>
      </c>
      <c r="R846" s="28" t="e">
        <f ca="1">[1]!BexGetData("DP_1","00O2TNJGODT0G5Z4TTKYMMBYD","GSON1112060383")</f>
        <v>#NAME?</v>
      </c>
      <c r="S846" s="28" t="e">
        <f ca="1">[1]!BexGetData("DP_1","00O2TNJGODT0G5Z4TTKYMMI9X","GSON1112060383")</f>
        <v>#NAME?</v>
      </c>
      <c r="T846" s="28" t="e">
        <f ca="1">[1]!BexGetData("DP_1","00O2TNJGODT0G5Z4TTKYMMOLH","GSON1112060383")</f>
        <v>#NAME?</v>
      </c>
      <c r="U846" s="28" t="e">
        <f ca="1">[1]!BexGetData("DP_1","00O2TNJGODT0G5Z4TTKYMMUX1","GSON1112060383")</f>
        <v>#NAME?</v>
      </c>
      <c r="V846" s="28" t="e">
        <f ca="1">[1]!BexGetData("DP_1","00O2TNJGODT0G5Z4TTKYMN18L","GSON1112060383")</f>
        <v>#NAME?</v>
      </c>
      <c r="W846" s="28" t="e">
        <f ca="1">[1]!BexGetData("DP_1","00O2TNJGODT0G5Z4TTKYMN7K5","GSON1112060383")</f>
        <v>#NAME?</v>
      </c>
    </row>
    <row r="847" spans="1:23" x14ac:dyDescent="0.2">
      <c r="A847" s="36" t="s">
        <v>3078</v>
      </c>
      <c r="B847" s="27" t="s">
        <v>3079</v>
      </c>
      <c r="C847" s="23" t="e">
        <f ca="1">[1]!BexGetData("DP_1","003N8EMH8GTFRCSWKMPXRR8GU","GSON1112060384")</f>
        <v>#NAME?</v>
      </c>
      <c r="D847" s="23" t="e">
        <f ca="1">[1]!BexGetData("DP_1","003N8EMH8GTFRCSWKMPXRRESE","GSON1112060384")</f>
        <v>#NAME?</v>
      </c>
      <c r="E847" s="28" t="e">
        <f ca="1">[1]!BexGetData("DP_1","003N8EMH8GTFRCSWKMPXRRL3Y","GSON1112060384")</f>
        <v>#NAME?</v>
      </c>
      <c r="F847" s="28" t="e">
        <f ca="1">[1]!BexGetData("DP_1","003N8EMH8GTFRCSWKMPXRRRFI","GSON1112060384")</f>
        <v>#NAME?</v>
      </c>
      <c r="G847" s="23" t="e">
        <f ca="1">[1]!BexGetData("DP_1","003N8EMH8GTFRCSWKMPXRRXR2","GSON1112060384")</f>
        <v>#NAME?</v>
      </c>
      <c r="H847" s="23" t="e">
        <f ca="1">[1]!BexGetData("DP_1","003N8EMH8GTFRCSWKMPXRS42M","GSON1112060384")</f>
        <v>#NAME?</v>
      </c>
      <c r="I847" s="28" t="e">
        <f ca="1">[1]!BexGetData("DP_1","003N8EMH8GTFRCSWKMPXRSAE6","GSON1112060384")</f>
        <v>#NAME?</v>
      </c>
      <c r="J847" s="24" t="e">
        <f ca="1">[1]!BexGetData("DP_1","003N8EMH8GTFRCSWKMPXRSGPQ","GSON1112060384")</f>
        <v>#NAME?</v>
      </c>
      <c r="K847" s="28" t="e">
        <f ca="1">[1]!BexGetData("DP_1","003N8EMH8GTFRIVNUPY288VJH","GSON1112060384")</f>
        <v>#NAME?</v>
      </c>
      <c r="L847" s="28" t="e">
        <f ca="1">[1]!BexGetData("DP_1","003N8EMH8GTFRIVNUPY2891V1","GSON1112060384")</f>
        <v>#NAME?</v>
      </c>
      <c r="M847" s="28" t="e">
        <f ca="1">[1]!BexGetData("DP_1","003N8EMH8GTFRIVOG7KG9IQXA","GSON1112060384")</f>
        <v>#NAME?</v>
      </c>
      <c r="N847" s="28" t="e">
        <f ca="1">[1]!BexGetData("DP_1","003N8EMH8GTFRIVOG7KG9IX8U","GSON1112060384")</f>
        <v>#NAME?</v>
      </c>
      <c r="O847" s="28" t="e">
        <f ca="1">[1]!BexGetData("DP_1","003N8EMH8GTFRIVOG7KG9J3KE","GSON1112060384")</f>
        <v>#NAME?</v>
      </c>
      <c r="P847" s="28" t="e">
        <f ca="1">[1]!BexGetData("DP_1","003N8EMH8GTFRIVOG7KG9J9VY","GSON1112060384")</f>
        <v>#NAME?</v>
      </c>
      <c r="Q847" s="24" t="e">
        <f ca="1">[1]!BexGetData("DP_1","00O2TNJGODT0G5Z4TTKYMM5MT","GSON1112060384")</f>
        <v>#NAME?</v>
      </c>
      <c r="R847" s="28" t="e">
        <f ca="1">[1]!BexGetData("DP_1","00O2TNJGODT0G5Z4TTKYMMBYD","GSON1112060384")</f>
        <v>#NAME?</v>
      </c>
      <c r="S847" s="28" t="e">
        <f ca="1">[1]!BexGetData("DP_1","00O2TNJGODT0G5Z4TTKYMMI9X","GSON1112060384")</f>
        <v>#NAME?</v>
      </c>
      <c r="T847" s="28" t="e">
        <f ca="1">[1]!BexGetData("DP_1","00O2TNJGODT0G5Z4TTKYMMOLH","GSON1112060384")</f>
        <v>#NAME?</v>
      </c>
      <c r="U847" s="28" t="e">
        <f ca="1">[1]!BexGetData("DP_1","00O2TNJGODT0G5Z4TTKYMMUX1","GSON1112060384")</f>
        <v>#NAME?</v>
      </c>
      <c r="V847" s="28" t="e">
        <f ca="1">[1]!BexGetData("DP_1","00O2TNJGODT0G5Z4TTKYMN18L","GSON1112060384")</f>
        <v>#NAME?</v>
      </c>
      <c r="W847" s="28" t="e">
        <f ca="1">[1]!BexGetData("DP_1","00O2TNJGODT0G5Z4TTKYMN7K5","GSON1112060384")</f>
        <v>#NAME?</v>
      </c>
    </row>
    <row r="848" spans="1:23" x14ac:dyDescent="0.2">
      <c r="A848" s="36" t="s">
        <v>3080</v>
      </c>
      <c r="B848" s="27" t="s">
        <v>3081</v>
      </c>
      <c r="C848" s="23" t="e">
        <f ca="1">[1]!BexGetData("DP_1","003N8EMH8GTFRCSWKMPXRR8GU","GSON1112060385")</f>
        <v>#NAME?</v>
      </c>
      <c r="D848" s="23" t="e">
        <f ca="1">[1]!BexGetData("DP_1","003N8EMH8GTFRCSWKMPXRRESE","GSON1112060385")</f>
        <v>#NAME?</v>
      </c>
      <c r="E848" s="28" t="e">
        <f ca="1">[1]!BexGetData("DP_1","003N8EMH8GTFRCSWKMPXRRL3Y","GSON1112060385")</f>
        <v>#NAME?</v>
      </c>
      <c r="F848" s="28" t="e">
        <f ca="1">[1]!BexGetData("DP_1","003N8EMH8GTFRCSWKMPXRRRFI","GSON1112060385")</f>
        <v>#NAME?</v>
      </c>
      <c r="G848" s="23" t="e">
        <f ca="1">[1]!BexGetData("DP_1","003N8EMH8GTFRCSWKMPXRRXR2","GSON1112060385")</f>
        <v>#NAME?</v>
      </c>
      <c r="H848" s="23" t="e">
        <f ca="1">[1]!BexGetData("DP_1","003N8EMH8GTFRCSWKMPXRS42M","GSON1112060385")</f>
        <v>#NAME?</v>
      </c>
      <c r="I848" s="28" t="e">
        <f ca="1">[1]!BexGetData("DP_1","003N8EMH8GTFRCSWKMPXRSAE6","GSON1112060385")</f>
        <v>#NAME?</v>
      </c>
      <c r="J848" s="24" t="e">
        <f ca="1">[1]!BexGetData("DP_1","003N8EMH8GTFRCSWKMPXRSGPQ","GSON1112060385")</f>
        <v>#NAME?</v>
      </c>
      <c r="K848" s="28" t="e">
        <f ca="1">[1]!BexGetData("DP_1","003N8EMH8GTFRIVNUPY288VJH","GSON1112060385")</f>
        <v>#NAME?</v>
      </c>
      <c r="L848" s="28" t="e">
        <f ca="1">[1]!BexGetData("DP_1","003N8EMH8GTFRIVNUPY2891V1","GSON1112060385")</f>
        <v>#NAME?</v>
      </c>
      <c r="M848" s="28" t="e">
        <f ca="1">[1]!BexGetData("DP_1","003N8EMH8GTFRIVOG7KG9IQXA","GSON1112060385")</f>
        <v>#NAME?</v>
      </c>
      <c r="N848" s="28" t="e">
        <f ca="1">[1]!BexGetData("DP_1","003N8EMH8GTFRIVOG7KG9IX8U","GSON1112060385")</f>
        <v>#NAME?</v>
      </c>
      <c r="O848" s="28" t="e">
        <f ca="1">[1]!BexGetData("DP_1","003N8EMH8GTFRIVOG7KG9J3KE","GSON1112060385")</f>
        <v>#NAME?</v>
      </c>
      <c r="P848" s="28" t="e">
        <f ca="1">[1]!BexGetData("DP_1","003N8EMH8GTFRIVOG7KG9J9VY","GSON1112060385")</f>
        <v>#NAME?</v>
      </c>
      <c r="Q848" s="24" t="e">
        <f ca="1">[1]!BexGetData("DP_1","00O2TNJGODT0G5Z4TTKYMM5MT","GSON1112060385")</f>
        <v>#NAME?</v>
      </c>
      <c r="R848" s="28" t="e">
        <f ca="1">[1]!BexGetData("DP_1","00O2TNJGODT0G5Z4TTKYMMBYD","GSON1112060385")</f>
        <v>#NAME?</v>
      </c>
      <c r="S848" s="28" t="e">
        <f ca="1">[1]!BexGetData("DP_1","00O2TNJGODT0G5Z4TTKYMMI9X","GSON1112060385")</f>
        <v>#NAME?</v>
      </c>
      <c r="T848" s="28" t="e">
        <f ca="1">[1]!BexGetData("DP_1","00O2TNJGODT0G5Z4TTKYMMOLH","GSON1112060385")</f>
        <v>#NAME?</v>
      </c>
      <c r="U848" s="28" t="e">
        <f ca="1">[1]!BexGetData("DP_1","00O2TNJGODT0G5Z4TTKYMMUX1","GSON1112060385")</f>
        <v>#NAME?</v>
      </c>
      <c r="V848" s="28" t="e">
        <f ca="1">[1]!BexGetData("DP_1","00O2TNJGODT0G5Z4TTKYMN18L","GSON1112060385")</f>
        <v>#NAME?</v>
      </c>
      <c r="W848" s="28" t="e">
        <f ca="1">[1]!BexGetData("DP_1","00O2TNJGODT0G5Z4TTKYMN7K5","GSON1112060385")</f>
        <v>#NAME?</v>
      </c>
    </row>
    <row r="849" spans="1:23" x14ac:dyDescent="0.2">
      <c r="A849" s="36" t="s">
        <v>3082</v>
      </c>
      <c r="B849" s="27" t="s">
        <v>3083</v>
      </c>
      <c r="C849" s="24" t="e">
        <f ca="1">[1]!BexGetData("DP_1","003N8EMH8GTFRCSWKMPXRR8GU","GSON1112060390")</f>
        <v>#NAME?</v>
      </c>
      <c r="D849" s="24" t="e">
        <f ca="1">[1]!BexGetData("DP_1","003N8EMH8GTFRCSWKMPXRRESE","GSON1112060390")</f>
        <v>#NAME?</v>
      </c>
      <c r="E849" s="24" t="e">
        <f ca="1">[1]!BexGetData("DP_1","003N8EMH8GTFRCSWKMPXRRL3Y","GSON1112060390")</f>
        <v>#NAME?</v>
      </c>
      <c r="F849" s="28" t="e">
        <f ca="1">[1]!BexGetData("DP_1","003N8EMH8GTFRCSWKMPXRRRFI","GSON1112060390")</f>
        <v>#NAME?</v>
      </c>
      <c r="G849" s="23" t="e">
        <f ca="1">[1]!BexGetData("DP_1","003N8EMH8GTFRCSWKMPXRRXR2","GSON1112060390")</f>
        <v>#NAME?</v>
      </c>
      <c r="H849" s="23" t="e">
        <f ca="1">[1]!BexGetData("DP_1","003N8EMH8GTFRCSWKMPXRS42M","GSON1112060390")</f>
        <v>#NAME?</v>
      </c>
      <c r="I849" s="28" t="e">
        <f ca="1">[1]!BexGetData("DP_1","003N8EMH8GTFRCSWKMPXRSAE6","GSON1112060390")</f>
        <v>#NAME?</v>
      </c>
      <c r="J849" s="24" t="e">
        <f ca="1">[1]!BexGetData("DP_1","003N8EMH8GTFRCSWKMPXRSGPQ","GSON1112060390")</f>
        <v>#NAME?</v>
      </c>
      <c r="K849" s="28" t="e">
        <f ca="1">[1]!BexGetData("DP_1","003N8EMH8GTFRIVNUPY288VJH","GSON1112060390")</f>
        <v>#NAME?</v>
      </c>
      <c r="L849" s="28" t="e">
        <f ca="1">[1]!BexGetData("DP_1","003N8EMH8GTFRIVNUPY2891V1","GSON1112060390")</f>
        <v>#NAME?</v>
      </c>
      <c r="M849" s="28" t="e">
        <f ca="1">[1]!BexGetData("DP_1","003N8EMH8GTFRIVOG7KG9IQXA","GSON1112060390")</f>
        <v>#NAME?</v>
      </c>
      <c r="N849" s="28" t="e">
        <f ca="1">[1]!BexGetData("DP_1","003N8EMH8GTFRIVOG7KG9IX8U","GSON1112060390")</f>
        <v>#NAME?</v>
      </c>
      <c r="O849" s="28" t="e">
        <f ca="1">[1]!BexGetData("DP_1","003N8EMH8GTFRIVOG7KG9J3KE","GSON1112060390")</f>
        <v>#NAME?</v>
      </c>
      <c r="P849" s="28" t="e">
        <f ca="1">[1]!BexGetData("DP_1","003N8EMH8GTFRIVOG7KG9J9VY","GSON1112060390")</f>
        <v>#NAME?</v>
      </c>
      <c r="Q849" s="24" t="e">
        <f ca="1">[1]!BexGetData("DP_1","00O2TNJGODT0G5Z4TTKYMM5MT","GSON1112060390")</f>
        <v>#NAME?</v>
      </c>
      <c r="R849" s="28" t="e">
        <f ca="1">[1]!BexGetData("DP_1","00O2TNJGODT0G5Z4TTKYMMBYD","GSON1112060390")</f>
        <v>#NAME?</v>
      </c>
      <c r="S849" s="28" t="e">
        <f ca="1">[1]!BexGetData("DP_1","00O2TNJGODT0G5Z4TTKYMMI9X","GSON1112060390")</f>
        <v>#NAME?</v>
      </c>
      <c r="T849" s="28" t="e">
        <f ca="1">[1]!BexGetData("DP_1","00O2TNJGODT0G5Z4TTKYMMOLH","GSON1112060390")</f>
        <v>#NAME?</v>
      </c>
      <c r="U849" s="28" t="e">
        <f ca="1">[1]!BexGetData("DP_1","00O2TNJGODT0G5Z4TTKYMMUX1","GSON1112060390")</f>
        <v>#NAME?</v>
      </c>
      <c r="V849" s="28" t="e">
        <f ca="1">[1]!BexGetData("DP_1","00O2TNJGODT0G5Z4TTKYMN18L","GSON1112060390")</f>
        <v>#NAME?</v>
      </c>
      <c r="W849" s="28" t="e">
        <f ca="1">[1]!BexGetData("DP_1","00O2TNJGODT0G5Z4TTKYMN7K5","GSON1112060390")</f>
        <v>#NAME?</v>
      </c>
    </row>
    <row r="850" spans="1:23" x14ac:dyDescent="0.2">
      <c r="A850" s="36" t="s">
        <v>3084</v>
      </c>
      <c r="B850" s="27" t="s">
        <v>3085</v>
      </c>
      <c r="C850" s="28" t="e">
        <f ca="1">[1]!BexGetData("DP_1","003N8EMH8GTFRCSWKMPXRR8GU","GSON1112060391")</f>
        <v>#NAME?</v>
      </c>
      <c r="D850" s="28" t="e">
        <f ca="1">[1]!BexGetData("DP_1","003N8EMH8GTFRCSWKMPXRRESE","GSON1112060391")</f>
        <v>#NAME?</v>
      </c>
      <c r="E850" s="28" t="e">
        <f ca="1">[1]!BexGetData("DP_1","003N8EMH8GTFRCSWKMPXRRL3Y","GSON1112060391")</f>
        <v>#NAME?</v>
      </c>
      <c r="F850" s="28" t="e">
        <f ca="1">[1]!BexGetData("DP_1","003N8EMH8GTFRCSWKMPXRRRFI","GSON1112060391")</f>
        <v>#NAME?</v>
      </c>
      <c r="G850" s="23" t="e">
        <f ca="1">[1]!BexGetData("DP_1","003N8EMH8GTFRCSWKMPXRRXR2","GSON1112060391")</f>
        <v>#NAME?</v>
      </c>
      <c r="H850" s="23" t="e">
        <f ca="1">[1]!BexGetData("DP_1","003N8EMH8GTFRCSWKMPXRS42M","GSON1112060391")</f>
        <v>#NAME?</v>
      </c>
      <c r="I850" s="28" t="e">
        <f ca="1">[1]!BexGetData("DP_1","003N8EMH8GTFRCSWKMPXRSAE6","GSON1112060391")</f>
        <v>#NAME?</v>
      </c>
      <c r="J850" s="24" t="e">
        <f ca="1">[1]!BexGetData("DP_1","003N8EMH8GTFRCSWKMPXRSGPQ","GSON1112060391")</f>
        <v>#NAME?</v>
      </c>
      <c r="K850" s="28" t="e">
        <f ca="1">[1]!BexGetData("DP_1","003N8EMH8GTFRIVNUPY288VJH","GSON1112060391")</f>
        <v>#NAME?</v>
      </c>
      <c r="L850" s="28" t="e">
        <f ca="1">[1]!BexGetData("DP_1","003N8EMH8GTFRIVNUPY2891V1","GSON1112060391")</f>
        <v>#NAME?</v>
      </c>
      <c r="M850" s="28" t="e">
        <f ca="1">[1]!BexGetData("DP_1","003N8EMH8GTFRIVOG7KG9IQXA","GSON1112060391")</f>
        <v>#NAME?</v>
      </c>
      <c r="N850" s="28" t="e">
        <f ca="1">[1]!BexGetData("DP_1","003N8EMH8GTFRIVOG7KG9IX8U","GSON1112060391")</f>
        <v>#NAME?</v>
      </c>
      <c r="O850" s="28" t="e">
        <f ca="1">[1]!BexGetData("DP_1","003N8EMH8GTFRIVOG7KG9J3KE","GSON1112060391")</f>
        <v>#NAME?</v>
      </c>
      <c r="P850" s="28" t="e">
        <f ca="1">[1]!BexGetData("DP_1","003N8EMH8GTFRIVOG7KG9J9VY","GSON1112060391")</f>
        <v>#NAME?</v>
      </c>
      <c r="Q850" s="24" t="e">
        <f ca="1">[1]!BexGetData("DP_1","00O2TNJGODT0G5Z4TTKYMM5MT","GSON1112060391")</f>
        <v>#NAME?</v>
      </c>
      <c r="R850" s="28" t="e">
        <f ca="1">[1]!BexGetData("DP_1","00O2TNJGODT0G5Z4TTKYMMBYD","GSON1112060391")</f>
        <v>#NAME?</v>
      </c>
      <c r="S850" s="28" t="e">
        <f ca="1">[1]!BexGetData("DP_1","00O2TNJGODT0G5Z4TTKYMMI9X","GSON1112060391")</f>
        <v>#NAME?</v>
      </c>
      <c r="T850" s="28" t="e">
        <f ca="1">[1]!BexGetData("DP_1","00O2TNJGODT0G5Z4TTKYMMOLH","GSON1112060391")</f>
        <v>#NAME?</v>
      </c>
      <c r="U850" s="28" t="e">
        <f ca="1">[1]!BexGetData("DP_1","00O2TNJGODT0G5Z4TTKYMMUX1","GSON1112060391")</f>
        <v>#NAME?</v>
      </c>
      <c r="V850" s="28" t="e">
        <f ca="1">[1]!BexGetData("DP_1","00O2TNJGODT0G5Z4TTKYMN18L","GSON1112060391")</f>
        <v>#NAME?</v>
      </c>
      <c r="W850" s="28" t="e">
        <f ca="1">[1]!BexGetData("DP_1","00O2TNJGODT0G5Z4TTKYMN7K5","GSON1112060391")</f>
        <v>#NAME?</v>
      </c>
    </row>
    <row r="851" spans="1:23" x14ac:dyDescent="0.2">
      <c r="A851" s="36" t="s">
        <v>3086</v>
      </c>
      <c r="B851" s="27" t="s">
        <v>3087</v>
      </c>
      <c r="C851" s="24" t="e">
        <f ca="1">[1]!BexGetData("DP_1","003N8EMH8GTFRCSWKMPXRR8GU","GSON1112060393")</f>
        <v>#NAME?</v>
      </c>
      <c r="D851" s="24" t="e">
        <f ca="1">[1]!BexGetData("DP_1","003N8EMH8GTFRCSWKMPXRRESE","GSON1112060393")</f>
        <v>#NAME?</v>
      </c>
      <c r="E851" s="24" t="e">
        <f ca="1">[1]!BexGetData("DP_1","003N8EMH8GTFRCSWKMPXRRL3Y","GSON1112060393")</f>
        <v>#NAME?</v>
      </c>
      <c r="F851" s="28" t="e">
        <f ca="1">[1]!BexGetData("DP_1","003N8EMH8GTFRCSWKMPXRRRFI","GSON1112060393")</f>
        <v>#NAME?</v>
      </c>
      <c r="G851" s="23" t="e">
        <f ca="1">[1]!BexGetData("DP_1","003N8EMH8GTFRCSWKMPXRRXR2","GSON1112060393")</f>
        <v>#NAME?</v>
      </c>
      <c r="H851" s="23" t="e">
        <f ca="1">[1]!BexGetData("DP_1","003N8EMH8GTFRCSWKMPXRS42M","GSON1112060393")</f>
        <v>#NAME?</v>
      </c>
      <c r="I851" s="28" t="e">
        <f ca="1">[1]!BexGetData("DP_1","003N8EMH8GTFRCSWKMPXRSAE6","GSON1112060393")</f>
        <v>#NAME?</v>
      </c>
      <c r="J851" s="24" t="e">
        <f ca="1">[1]!BexGetData("DP_1","003N8EMH8GTFRCSWKMPXRSGPQ","GSON1112060393")</f>
        <v>#NAME?</v>
      </c>
      <c r="K851" s="28" t="e">
        <f ca="1">[1]!BexGetData("DP_1","003N8EMH8GTFRIVNUPY288VJH","GSON1112060393")</f>
        <v>#NAME?</v>
      </c>
      <c r="L851" s="28" t="e">
        <f ca="1">[1]!BexGetData("DP_1","003N8EMH8GTFRIVNUPY2891V1","GSON1112060393")</f>
        <v>#NAME?</v>
      </c>
      <c r="M851" s="28" t="e">
        <f ca="1">[1]!BexGetData("DP_1","003N8EMH8GTFRIVOG7KG9IQXA","GSON1112060393")</f>
        <v>#NAME?</v>
      </c>
      <c r="N851" s="28" t="e">
        <f ca="1">[1]!BexGetData("DP_1","003N8EMH8GTFRIVOG7KG9IX8U","GSON1112060393")</f>
        <v>#NAME?</v>
      </c>
      <c r="O851" s="28" t="e">
        <f ca="1">[1]!BexGetData("DP_1","003N8EMH8GTFRIVOG7KG9J3KE","GSON1112060393")</f>
        <v>#NAME?</v>
      </c>
      <c r="P851" s="28" t="e">
        <f ca="1">[1]!BexGetData("DP_1","003N8EMH8GTFRIVOG7KG9J9VY","GSON1112060393")</f>
        <v>#NAME?</v>
      </c>
      <c r="Q851" s="24" t="e">
        <f ca="1">[1]!BexGetData("DP_1","00O2TNJGODT0G5Z4TTKYMM5MT","GSON1112060393")</f>
        <v>#NAME?</v>
      </c>
      <c r="R851" s="28" t="e">
        <f ca="1">[1]!BexGetData("DP_1","00O2TNJGODT0G5Z4TTKYMMBYD","GSON1112060393")</f>
        <v>#NAME?</v>
      </c>
      <c r="S851" s="28" t="e">
        <f ca="1">[1]!BexGetData("DP_1","00O2TNJGODT0G5Z4TTKYMMI9X","GSON1112060393")</f>
        <v>#NAME?</v>
      </c>
      <c r="T851" s="28" t="e">
        <f ca="1">[1]!BexGetData("DP_1","00O2TNJGODT0G5Z4TTKYMMOLH","GSON1112060393")</f>
        <v>#NAME?</v>
      </c>
      <c r="U851" s="28" t="e">
        <f ca="1">[1]!BexGetData("DP_1","00O2TNJGODT0G5Z4TTKYMMUX1","GSON1112060393")</f>
        <v>#NAME?</v>
      </c>
      <c r="V851" s="28" t="e">
        <f ca="1">[1]!BexGetData("DP_1","00O2TNJGODT0G5Z4TTKYMN18L","GSON1112060393")</f>
        <v>#NAME?</v>
      </c>
      <c r="W851" s="28" t="e">
        <f ca="1">[1]!BexGetData("DP_1","00O2TNJGODT0G5Z4TTKYMN7K5","GSON1112060393")</f>
        <v>#NAME?</v>
      </c>
    </row>
    <row r="852" spans="1:23" x14ac:dyDescent="0.2">
      <c r="A852" s="36" t="s">
        <v>3088</v>
      </c>
      <c r="B852" s="27" t="s">
        <v>3089</v>
      </c>
      <c r="C852" s="24" t="e">
        <f ca="1">[1]!BexGetData("DP_1","003N8EMH8GTFRCSWKMPXRR8GU","GSON1112060394")</f>
        <v>#NAME?</v>
      </c>
      <c r="D852" s="24" t="e">
        <f ca="1">[1]!BexGetData("DP_1","003N8EMH8GTFRCSWKMPXRRESE","GSON1112060394")</f>
        <v>#NAME?</v>
      </c>
      <c r="E852" s="24" t="e">
        <f ca="1">[1]!BexGetData("DP_1","003N8EMH8GTFRCSWKMPXRRL3Y","GSON1112060394")</f>
        <v>#NAME?</v>
      </c>
      <c r="F852" s="28" t="e">
        <f ca="1">[1]!BexGetData("DP_1","003N8EMH8GTFRCSWKMPXRRRFI","GSON1112060394")</f>
        <v>#NAME?</v>
      </c>
      <c r="G852" s="23" t="e">
        <f ca="1">[1]!BexGetData("DP_1","003N8EMH8GTFRCSWKMPXRRXR2","GSON1112060394")</f>
        <v>#NAME?</v>
      </c>
      <c r="H852" s="23" t="e">
        <f ca="1">[1]!BexGetData("DP_1","003N8EMH8GTFRCSWKMPXRS42M","GSON1112060394")</f>
        <v>#NAME?</v>
      </c>
      <c r="I852" s="28" t="e">
        <f ca="1">[1]!BexGetData("DP_1","003N8EMH8GTFRCSWKMPXRSAE6","GSON1112060394")</f>
        <v>#NAME?</v>
      </c>
      <c r="J852" s="24" t="e">
        <f ca="1">[1]!BexGetData("DP_1","003N8EMH8GTFRCSWKMPXRSGPQ","GSON1112060394")</f>
        <v>#NAME?</v>
      </c>
      <c r="K852" s="28" t="e">
        <f ca="1">[1]!BexGetData("DP_1","003N8EMH8GTFRIVNUPY288VJH","GSON1112060394")</f>
        <v>#NAME?</v>
      </c>
      <c r="L852" s="28" t="e">
        <f ca="1">[1]!BexGetData("DP_1","003N8EMH8GTFRIVNUPY2891V1","GSON1112060394")</f>
        <v>#NAME?</v>
      </c>
      <c r="M852" s="28" t="e">
        <f ca="1">[1]!BexGetData("DP_1","003N8EMH8GTFRIVOG7KG9IQXA","GSON1112060394")</f>
        <v>#NAME?</v>
      </c>
      <c r="N852" s="28" t="e">
        <f ca="1">[1]!BexGetData("DP_1","003N8EMH8GTFRIVOG7KG9IX8U","GSON1112060394")</f>
        <v>#NAME?</v>
      </c>
      <c r="O852" s="28" t="e">
        <f ca="1">[1]!BexGetData("DP_1","003N8EMH8GTFRIVOG7KG9J3KE","GSON1112060394")</f>
        <v>#NAME?</v>
      </c>
      <c r="P852" s="28" t="e">
        <f ca="1">[1]!BexGetData("DP_1","003N8EMH8GTFRIVOG7KG9J9VY","GSON1112060394")</f>
        <v>#NAME?</v>
      </c>
      <c r="Q852" s="24" t="e">
        <f ca="1">[1]!BexGetData("DP_1","00O2TNJGODT0G5Z4TTKYMM5MT","GSON1112060394")</f>
        <v>#NAME?</v>
      </c>
      <c r="R852" s="28" t="e">
        <f ca="1">[1]!BexGetData("DP_1","00O2TNJGODT0G5Z4TTKYMMBYD","GSON1112060394")</f>
        <v>#NAME?</v>
      </c>
      <c r="S852" s="28" t="e">
        <f ca="1">[1]!BexGetData("DP_1","00O2TNJGODT0G5Z4TTKYMMI9X","GSON1112060394")</f>
        <v>#NAME?</v>
      </c>
      <c r="T852" s="28" t="e">
        <f ca="1">[1]!BexGetData("DP_1","00O2TNJGODT0G5Z4TTKYMMOLH","GSON1112060394")</f>
        <v>#NAME?</v>
      </c>
      <c r="U852" s="28" t="e">
        <f ca="1">[1]!BexGetData("DP_1","00O2TNJGODT0G5Z4TTKYMMUX1","GSON1112060394")</f>
        <v>#NAME?</v>
      </c>
      <c r="V852" s="28" t="e">
        <f ca="1">[1]!BexGetData("DP_1","00O2TNJGODT0G5Z4TTKYMN18L","GSON1112060394")</f>
        <v>#NAME?</v>
      </c>
      <c r="W852" s="28" t="e">
        <f ca="1">[1]!BexGetData("DP_1","00O2TNJGODT0G5Z4TTKYMN7K5","GSON1112060394")</f>
        <v>#NAME?</v>
      </c>
    </row>
    <row r="853" spans="1:23" x14ac:dyDescent="0.2">
      <c r="A853" s="36" t="s">
        <v>3090</v>
      </c>
      <c r="B853" s="27" t="s">
        <v>3091</v>
      </c>
      <c r="C853" s="24" t="e">
        <f ca="1">[1]!BexGetData("DP_1","003N8EMH8GTFRCSWKMPXRR8GU","GSON1112060395")</f>
        <v>#NAME?</v>
      </c>
      <c r="D853" s="24" t="e">
        <f ca="1">[1]!BexGetData("DP_1","003N8EMH8GTFRCSWKMPXRRESE","GSON1112060395")</f>
        <v>#NAME?</v>
      </c>
      <c r="E853" s="24" t="e">
        <f ca="1">[1]!BexGetData("DP_1","003N8EMH8GTFRCSWKMPXRRL3Y","GSON1112060395")</f>
        <v>#NAME?</v>
      </c>
      <c r="F853" s="28" t="e">
        <f ca="1">[1]!BexGetData("DP_1","003N8EMH8GTFRCSWKMPXRRRFI","GSON1112060395")</f>
        <v>#NAME?</v>
      </c>
      <c r="G853" s="23" t="e">
        <f ca="1">[1]!BexGetData("DP_1","003N8EMH8GTFRCSWKMPXRRXR2","GSON1112060395")</f>
        <v>#NAME?</v>
      </c>
      <c r="H853" s="23" t="e">
        <f ca="1">[1]!BexGetData("DP_1","003N8EMH8GTFRCSWKMPXRS42M","GSON1112060395")</f>
        <v>#NAME?</v>
      </c>
      <c r="I853" s="28" t="e">
        <f ca="1">[1]!BexGetData("DP_1","003N8EMH8GTFRCSWKMPXRSAE6","GSON1112060395")</f>
        <v>#NAME?</v>
      </c>
      <c r="J853" s="24" t="e">
        <f ca="1">[1]!BexGetData("DP_1","003N8EMH8GTFRCSWKMPXRSGPQ","GSON1112060395")</f>
        <v>#NAME?</v>
      </c>
      <c r="K853" s="28" t="e">
        <f ca="1">[1]!BexGetData("DP_1","003N8EMH8GTFRIVNUPY288VJH","GSON1112060395")</f>
        <v>#NAME?</v>
      </c>
      <c r="L853" s="28" t="e">
        <f ca="1">[1]!BexGetData("DP_1","003N8EMH8GTFRIVNUPY2891V1","GSON1112060395")</f>
        <v>#NAME?</v>
      </c>
      <c r="M853" s="28" t="e">
        <f ca="1">[1]!BexGetData("DP_1","003N8EMH8GTFRIVOG7KG9IQXA","GSON1112060395")</f>
        <v>#NAME?</v>
      </c>
      <c r="N853" s="28" t="e">
        <f ca="1">[1]!BexGetData("DP_1","003N8EMH8GTFRIVOG7KG9IX8U","GSON1112060395")</f>
        <v>#NAME?</v>
      </c>
      <c r="O853" s="28" t="e">
        <f ca="1">[1]!BexGetData("DP_1","003N8EMH8GTFRIVOG7KG9J3KE","GSON1112060395")</f>
        <v>#NAME?</v>
      </c>
      <c r="P853" s="28" t="e">
        <f ca="1">[1]!BexGetData("DP_1","003N8EMH8GTFRIVOG7KG9J9VY","GSON1112060395")</f>
        <v>#NAME?</v>
      </c>
      <c r="Q853" s="24" t="e">
        <f ca="1">[1]!BexGetData("DP_1","00O2TNJGODT0G5Z4TTKYMM5MT","GSON1112060395")</f>
        <v>#NAME?</v>
      </c>
      <c r="R853" s="28" t="e">
        <f ca="1">[1]!BexGetData("DP_1","00O2TNJGODT0G5Z4TTKYMMBYD","GSON1112060395")</f>
        <v>#NAME?</v>
      </c>
      <c r="S853" s="28" t="e">
        <f ca="1">[1]!BexGetData("DP_1","00O2TNJGODT0G5Z4TTKYMMI9X","GSON1112060395")</f>
        <v>#NAME?</v>
      </c>
      <c r="T853" s="28" t="e">
        <f ca="1">[1]!BexGetData("DP_1","00O2TNJGODT0G5Z4TTKYMMOLH","GSON1112060395")</f>
        <v>#NAME?</v>
      </c>
      <c r="U853" s="28" t="e">
        <f ca="1">[1]!BexGetData("DP_1","00O2TNJGODT0G5Z4TTKYMMUX1","GSON1112060395")</f>
        <v>#NAME?</v>
      </c>
      <c r="V853" s="28" t="e">
        <f ca="1">[1]!BexGetData("DP_1","00O2TNJGODT0G5Z4TTKYMN18L","GSON1112060395")</f>
        <v>#NAME?</v>
      </c>
      <c r="W853" s="28" t="e">
        <f ca="1">[1]!BexGetData("DP_1","00O2TNJGODT0G5Z4TTKYMN7K5","GSON1112060395")</f>
        <v>#NAME?</v>
      </c>
    </row>
    <row r="854" spans="1:23" x14ac:dyDescent="0.2">
      <c r="A854" s="36" t="s">
        <v>3092</v>
      </c>
      <c r="B854" s="27" t="s">
        <v>3093</v>
      </c>
      <c r="C854" s="23" t="e">
        <f ca="1">[1]!BexGetData("DP_1","003N8EMH8GTFRCSWKMPXRR8GU","GSON1112060400")</f>
        <v>#NAME?</v>
      </c>
      <c r="D854" s="23" t="e">
        <f ca="1">[1]!BexGetData("DP_1","003N8EMH8GTFRCSWKMPXRRESE","GSON1112060400")</f>
        <v>#NAME?</v>
      </c>
      <c r="E854" s="23" t="e">
        <f ca="1">[1]!BexGetData("DP_1","003N8EMH8GTFRCSWKMPXRRL3Y","GSON1112060400")</f>
        <v>#NAME?</v>
      </c>
      <c r="F854" s="23" t="e">
        <f ca="1">[1]!BexGetData("DP_1","003N8EMH8GTFRCSWKMPXRRRFI","GSON1112060400")</f>
        <v>#NAME?</v>
      </c>
      <c r="G854" s="23" t="e">
        <f ca="1">[1]!BexGetData("DP_1","003N8EMH8GTFRCSWKMPXRRXR2","GSON1112060400")</f>
        <v>#NAME?</v>
      </c>
      <c r="H854" s="23" t="e">
        <f ca="1">[1]!BexGetData("DP_1","003N8EMH8GTFRCSWKMPXRS42M","GSON1112060400")</f>
        <v>#NAME?</v>
      </c>
      <c r="I854" s="23" t="e">
        <f ca="1">[1]!BexGetData("DP_1","003N8EMH8GTFRCSWKMPXRSAE6","GSON1112060400")</f>
        <v>#NAME?</v>
      </c>
      <c r="J854" s="23" t="e">
        <f ca="1">[1]!BexGetData("DP_1","003N8EMH8GTFRCSWKMPXRSGPQ","GSON1112060400")</f>
        <v>#NAME?</v>
      </c>
      <c r="K854" s="23" t="e">
        <f ca="1">[1]!BexGetData("DP_1","003N8EMH8GTFRIVNUPY288VJH","GSON1112060400")</f>
        <v>#NAME?</v>
      </c>
      <c r="L854" s="23" t="e">
        <f ca="1">[1]!BexGetData("DP_1","003N8EMH8GTFRIVNUPY2891V1","GSON1112060400")</f>
        <v>#NAME?</v>
      </c>
      <c r="M854" s="23" t="e">
        <f ca="1">[1]!BexGetData("DP_1","003N8EMH8GTFRIVOG7KG9IQXA","GSON1112060400")</f>
        <v>#NAME?</v>
      </c>
      <c r="N854" s="28" t="e">
        <f ca="1">[1]!BexGetData("DP_1","003N8EMH8GTFRIVOG7KG9IX8U","GSON1112060400")</f>
        <v>#NAME?</v>
      </c>
      <c r="O854" s="23" t="e">
        <f ca="1">[1]!BexGetData("DP_1","003N8EMH8GTFRIVOG7KG9J3KE","GSON1112060400")</f>
        <v>#NAME?</v>
      </c>
      <c r="P854" s="28" t="e">
        <f ca="1">[1]!BexGetData("DP_1","003N8EMH8GTFRIVOG7KG9J9VY","GSON1112060400")</f>
        <v>#NAME?</v>
      </c>
      <c r="Q854" s="23" t="e">
        <f ca="1">[1]!BexGetData("DP_1","00O2TNJGODT0G5Z4TTKYMM5MT","GSON1112060400")</f>
        <v>#NAME?</v>
      </c>
      <c r="R854" s="23" t="e">
        <f ca="1">[1]!BexGetData("DP_1","00O2TNJGODT0G5Z4TTKYMMBYD","GSON1112060400")</f>
        <v>#NAME?</v>
      </c>
      <c r="S854" s="23" t="e">
        <f ca="1">[1]!BexGetData("DP_1","00O2TNJGODT0G5Z4TTKYMMI9X","GSON1112060400")</f>
        <v>#NAME?</v>
      </c>
      <c r="T854" s="23" t="e">
        <f ca="1">[1]!BexGetData("DP_1","00O2TNJGODT0G5Z4TTKYMMOLH","GSON1112060400")</f>
        <v>#NAME?</v>
      </c>
      <c r="U854" s="28" t="e">
        <f ca="1">[1]!BexGetData("DP_1","00O2TNJGODT0G5Z4TTKYMMUX1","GSON1112060400")</f>
        <v>#NAME?</v>
      </c>
      <c r="V854" s="23" t="e">
        <f ca="1">[1]!BexGetData("DP_1","00O2TNJGODT0G5Z4TTKYMN18L","GSON1112060400")</f>
        <v>#NAME?</v>
      </c>
      <c r="W854" s="28" t="e">
        <f ca="1">[1]!BexGetData("DP_1","00O2TNJGODT0G5Z4TTKYMN7K5","GSON1112060400")</f>
        <v>#NAME?</v>
      </c>
    </row>
    <row r="855" spans="1:23" x14ac:dyDescent="0.2">
      <c r="A855" s="36" t="s">
        <v>3094</v>
      </c>
      <c r="B855" s="27" t="s">
        <v>3095</v>
      </c>
      <c r="C855" s="23" t="e">
        <f ca="1">[1]!BexGetData("DP_1","003N8EMH8GTFRCSWKMPXRR8GU","GSON1112060401")</f>
        <v>#NAME?</v>
      </c>
      <c r="D855" s="23" t="e">
        <f ca="1">[1]!BexGetData("DP_1","003N8EMH8GTFRCSWKMPXRRESE","GSON1112060401")</f>
        <v>#NAME?</v>
      </c>
      <c r="E855" s="28" t="e">
        <f ca="1">[1]!BexGetData("DP_1","003N8EMH8GTFRCSWKMPXRRL3Y","GSON1112060401")</f>
        <v>#NAME?</v>
      </c>
      <c r="F855" s="28" t="e">
        <f ca="1">[1]!BexGetData("DP_1","003N8EMH8GTFRCSWKMPXRRRFI","GSON1112060401")</f>
        <v>#NAME?</v>
      </c>
      <c r="G855" s="23" t="e">
        <f ca="1">[1]!BexGetData("DP_1","003N8EMH8GTFRCSWKMPXRRXR2","GSON1112060401")</f>
        <v>#NAME?</v>
      </c>
      <c r="H855" s="23" t="e">
        <f ca="1">[1]!BexGetData("DP_1","003N8EMH8GTFRCSWKMPXRS42M","GSON1112060401")</f>
        <v>#NAME?</v>
      </c>
      <c r="I855" s="28" t="e">
        <f ca="1">[1]!BexGetData("DP_1","003N8EMH8GTFRCSWKMPXRSAE6","GSON1112060401")</f>
        <v>#NAME?</v>
      </c>
      <c r="J855" s="24" t="e">
        <f ca="1">[1]!BexGetData("DP_1","003N8EMH8GTFRCSWKMPXRSGPQ","GSON1112060401")</f>
        <v>#NAME?</v>
      </c>
      <c r="K855" s="28" t="e">
        <f ca="1">[1]!BexGetData("DP_1","003N8EMH8GTFRIVNUPY288VJH","GSON1112060401")</f>
        <v>#NAME?</v>
      </c>
      <c r="L855" s="28" t="e">
        <f ca="1">[1]!BexGetData("DP_1","003N8EMH8GTFRIVNUPY2891V1","GSON1112060401")</f>
        <v>#NAME?</v>
      </c>
      <c r="M855" s="28" t="e">
        <f ca="1">[1]!BexGetData("DP_1","003N8EMH8GTFRIVOG7KG9IQXA","GSON1112060401")</f>
        <v>#NAME?</v>
      </c>
      <c r="N855" s="28" t="e">
        <f ca="1">[1]!BexGetData("DP_1","003N8EMH8GTFRIVOG7KG9IX8U","GSON1112060401")</f>
        <v>#NAME?</v>
      </c>
      <c r="O855" s="28" t="e">
        <f ca="1">[1]!BexGetData("DP_1","003N8EMH8GTFRIVOG7KG9J3KE","GSON1112060401")</f>
        <v>#NAME?</v>
      </c>
      <c r="P855" s="28" t="e">
        <f ca="1">[1]!BexGetData("DP_1","003N8EMH8GTFRIVOG7KG9J9VY","GSON1112060401")</f>
        <v>#NAME?</v>
      </c>
      <c r="Q855" s="24" t="e">
        <f ca="1">[1]!BexGetData("DP_1","00O2TNJGODT0G5Z4TTKYMM5MT","GSON1112060401")</f>
        <v>#NAME?</v>
      </c>
      <c r="R855" s="28" t="e">
        <f ca="1">[1]!BexGetData("DP_1","00O2TNJGODT0G5Z4TTKYMMBYD","GSON1112060401")</f>
        <v>#NAME?</v>
      </c>
      <c r="S855" s="28" t="e">
        <f ca="1">[1]!BexGetData("DP_1","00O2TNJGODT0G5Z4TTKYMMI9X","GSON1112060401")</f>
        <v>#NAME?</v>
      </c>
      <c r="T855" s="28" t="e">
        <f ca="1">[1]!BexGetData("DP_1","00O2TNJGODT0G5Z4TTKYMMOLH","GSON1112060401")</f>
        <v>#NAME?</v>
      </c>
      <c r="U855" s="28" t="e">
        <f ca="1">[1]!BexGetData("DP_1","00O2TNJGODT0G5Z4TTKYMMUX1","GSON1112060401")</f>
        <v>#NAME?</v>
      </c>
      <c r="V855" s="28" t="e">
        <f ca="1">[1]!BexGetData("DP_1","00O2TNJGODT0G5Z4TTKYMN18L","GSON1112060401")</f>
        <v>#NAME?</v>
      </c>
      <c r="W855" s="28" t="e">
        <f ca="1">[1]!BexGetData("DP_1","00O2TNJGODT0G5Z4TTKYMN7K5","GSON1112060401")</f>
        <v>#NAME?</v>
      </c>
    </row>
    <row r="856" spans="1:23" x14ac:dyDescent="0.2">
      <c r="A856" s="36" t="s">
        <v>3096</v>
      </c>
      <c r="B856" s="27" t="s">
        <v>3097</v>
      </c>
      <c r="C856" s="23" t="e">
        <f ca="1">[1]!BexGetData("DP_1","003N8EMH8GTFRCSWKMPXRR8GU","GSON1112060404")</f>
        <v>#NAME?</v>
      </c>
      <c r="D856" s="23" t="e">
        <f ca="1">[1]!BexGetData("DP_1","003N8EMH8GTFRCSWKMPXRRESE","GSON1112060404")</f>
        <v>#NAME?</v>
      </c>
      <c r="E856" s="28" t="e">
        <f ca="1">[1]!BexGetData("DP_1","003N8EMH8GTFRCSWKMPXRRL3Y","GSON1112060404")</f>
        <v>#NAME?</v>
      </c>
      <c r="F856" s="28" t="e">
        <f ca="1">[1]!BexGetData("DP_1","003N8EMH8GTFRCSWKMPXRRRFI","GSON1112060404")</f>
        <v>#NAME?</v>
      </c>
      <c r="G856" s="23" t="e">
        <f ca="1">[1]!BexGetData("DP_1","003N8EMH8GTFRCSWKMPXRRXR2","GSON1112060404")</f>
        <v>#NAME?</v>
      </c>
      <c r="H856" s="23" t="e">
        <f ca="1">[1]!BexGetData("DP_1","003N8EMH8GTFRCSWKMPXRS42M","GSON1112060404")</f>
        <v>#NAME?</v>
      </c>
      <c r="I856" s="28" t="e">
        <f ca="1">[1]!BexGetData("DP_1","003N8EMH8GTFRCSWKMPXRSAE6","GSON1112060404")</f>
        <v>#NAME?</v>
      </c>
      <c r="J856" s="24" t="e">
        <f ca="1">[1]!BexGetData("DP_1","003N8EMH8GTFRCSWKMPXRSGPQ","GSON1112060404")</f>
        <v>#NAME?</v>
      </c>
      <c r="K856" s="28" t="e">
        <f ca="1">[1]!BexGetData("DP_1","003N8EMH8GTFRIVNUPY288VJH","GSON1112060404")</f>
        <v>#NAME?</v>
      </c>
      <c r="L856" s="28" t="e">
        <f ca="1">[1]!BexGetData("DP_1","003N8EMH8GTFRIVNUPY2891V1","GSON1112060404")</f>
        <v>#NAME?</v>
      </c>
      <c r="M856" s="28" t="e">
        <f ca="1">[1]!BexGetData("DP_1","003N8EMH8GTFRIVOG7KG9IQXA","GSON1112060404")</f>
        <v>#NAME?</v>
      </c>
      <c r="N856" s="28" t="e">
        <f ca="1">[1]!BexGetData("DP_1","003N8EMH8GTFRIVOG7KG9IX8U","GSON1112060404")</f>
        <v>#NAME?</v>
      </c>
      <c r="O856" s="28" t="e">
        <f ca="1">[1]!BexGetData("DP_1","003N8EMH8GTFRIVOG7KG9J3KE","GSON1112060404")</f>
        <v>#NAME?</v>
      </c>
      <c r="P856" s="28" t="e">
        <f ca="1">[1]!BexGetData("DP_1","003N8EMH8GTFRIVOG7KG9J9VY","GSON1112060404")</f>
        <v>#NAME?</v>
      </c>
      <c r="Q856" s="24" t="e">
        <f ca="1">[1]!BexGetData("DP_1","00O2TNJGODT0G5Z4TTKYMM5MT","GSON1112060404")</f>
        <v>#NAME?</v>
      </c>
      <c r="R856" s="28" t="e">
        <f ca="1">[1]!BexGetData("DP_1","00O2TNJGODT0G5Z4TTKYMMBYD","GSON1112060404")</f>
        <v>#NAME?</v>
      </c>
      <c r="S856" s="28" t="e">
        <f ca="1">[1]!BexGetData("DP_1","00O2TNJGODT0G5Z4TTKYMMI9X","GSON1112060404")</f>
        <v>#NAME?</v>
      </c>
      <c r="T856" s="28" t="e">
        <f ca="1">[1]!BexGetData("DP_1","00O2TNJGODT0G5Z4TTKYMMOLH","GSON1112060404")</f>
        <v>#NAME?</v>
      </c>
      <c r="U856" s="28" t="e">
        <f ca="1">[1]!BexGetData("DP_1","00O2TNJGODT0G5Z4TTKYMMUX1","GSON1112060404")</f>
        <v>#NAME?</v>
      </c>
      <c r="V856" s="28" t="e">
        <f ca="1">[1]!BexGetData("DP_1","00O2TNJGODT0G5Z4TTKYMN18L","GSON1112060404")</f>
        <v>#NAME?</v>
      </c>
      <c r="W856" s="28" t="e">
        <f ca="1">[1]!BexGetData("DP_1","00O2TNJGODT0G5Z4TTKYMN7K5","GSON1112060404")</f>
        <v>#NAME?</v>
      </c>
    </row>
    <row r="857" spans="1:23" x14ac:dyDescent="0.2">
      <c r="A857" s="36" t="s">
        <v>3098</v>
      </c>
      <c r="B857" s="27" t="s">
        <v>3099</v>
      </c>
      <c r="C857" s="23" t="e">
        <f ca="1">[1]!BexGetData("DP_1","003N8EMH8GTFRCSWKMPXRR8GU","GSON1112060405")</f>
        <v>#NAME?</v>
      </c>
      <c r="D857" s="23" t="e">
        <f ca="1">[1]!BexGetData("DP_1","003N8EMH8GTFRCSWKMPXRRESE","GSON1112060405")</f>
        <v>#NAME?</v>
      </c>
      <c r="E857" s="28" t="e">
        <f ca="1">[1]!BexGetData("DP_1","003N8EMH8GTFRCSWKMPXRRL3Y","GSON1112060405")</f>
        <v>#NAME?</v>
      </c>
      <c r="F857" s="28" t="e">
        <f ca="1">[1]!BexGetData("DP_1","003N8EMH8GTFRCSWKMPXRRRFI","GSON1112060405")</f>
        <v>#NAME?</v>
      </c>
      <c r="G857" s="23" t="e">
        <f ca="1">[1]!BexGetData("DP_1","003N8EMH8GTFRCSWKMPXRRXR2","GSON1112060405")</f>
        <v>#NAME?</v>
      </c>
      <c r="H857" s="23" t="e">
        <f ca="1">[1]!BexGetData("DP_1","003N8EMH8GTFRCSWKMPXRS42M","GSON1112060405")</f>
        <v>#NAME?</v>
      </c>
      <c r="I857" s="28" t="e">
        <f ca="1">[1]!BexGetData("DP_1","003N8EMH8GTFRCSWKMPXRSAE6","GSON1112060405")</f>
        <v>#NAME?</v>
      </c>
      <c r="J857" s="24" t="e">
        <f ca="1">[1]!BexGetData("DP_1","003N8EMH8GTFRCSWKMPXRSGPQ","GSON1112060405")</f>
        <v>#NAME?</v>
      </c>
      <c r="K857" s="28" t="e">
        <f ca="1">[1]!BexGetData("DP_1","003N8EMH8GTFRIVNUPY288VJH","GSON1112060405")</f>
        <v>#NAME?</v>
      </c>
      <c r="L857" s="28" t="e">
        <f ca="1">[1]!BexGetData("DP_1","003N8EMH8GTFRIVNUPY2891V1","GSON1112060405")</f>
        <v>#NAME?</v>
      </c>
      <c r="M857" s="28" t="e">
        <f ca="1">[1]!BexGetData("DP_1","003N8EMH8GTFRIVOG7KG9IQXA","GSON1112060405")</f>
        <v>#NAME?</v>
      </c>
      <c r="N857" s="28" t="e">
        <f ca="1">[1]!BexGetData("DP_1","003N8EMH8GTFRIVOG7KG9IX8U","GSON1112060405")</f>
        <v>#NAME?</v>
      </c>
      <c r="O857" s="28" t="e">
        <f ca="1">[1]!BexGetData("DP_1","003N8EMH8GTFRIVOG7KG9J3KE","GSON1112060405")</f>
        <v>#NAME?</v>
      </c>
      <c r="P857" s="28" t="e">
        <f ca="1">[1]!BexGetData("DP_1","003N8EMH8GTFRIVOG7KG9J9VY","GSON1112060405")</f>
        <v>#NAME?</v>
      </c>
      <c r="Q857" s="24" t="e">
        <f ca="1">[1]!BexGetData("DP_1","00O2TNJGODT0G5Z4TTKYMM5MT","GSON1112060405")</f>
        <v>#NAME?</v>
      </c>
      <c r="R857" s="28" t="e">
        <f ca="1">[1]!BexGetData("DP_1","00O2TNJGODT0G5Z4TTKYMMBYD","GSON1112060405")</f>
        <v>#NAME?</v>
      </c>
      <c r="S857" s="28" t="e">
        <f ca="1">[1]!BexGetData("DP_1","00O2TNJGODT0G5Z4TTKYMMI9X","GSON1112060405")</f>
        <v>#NAME?</v>
      </c>
      <c r="T857" s="28" t="e">
        <f ca="1">[1]!BexGetData("DP_1","00O2TNJGODT0G5Z4TTKYMMOLH","GSON1112060405")</f>
        <v>#NAME?</v>
      </c>
      <c r="U857" s="28" t="e">
        <f ca="1">[1]!BexGetData("DP_1","00O2TNJGODT0G5Z4TTKYMMUX1","GSON1112060405")</f>
        <v>#NAME?</v>
      </c>
      <c r="V857" s="28" t="e">
        <f ca="1">[1]!BexGetData("DP_1","00O2TNJGODT0G5Z4TTKYMN18L","GSON1112060405")</f>
        <v>#NAME?</v>
      </c>
      <c r="W857" s="28" t="e">
        <f ca="1">[1]!BexGetData("DP_1","00O2TNJGODT0G5Z4TTKYMN7K5","GSON1112060405")</f>
        <v>#NAME?</v>
      </c>
    </row>
    <row r="858" spans="1:23" x14ac:dyDescent="0.2">
      <c r="A858" s="36" t="s">
        <v>3100</v>
      </c>
      <c r="B858" s="27" t="s">
        <v>3101</v>
      </c>
      <c r="C858" s="23" t="e">
        <f ca="1">[1]!BexGetData("DP_1","003N8EMH8GTFRCSWKMPXRR8GU","GSON1112060410")</f>
        <v>#NAME?</v>
      </c>
      <c r="D858" s="23" t="e">
        <f ca="1">[1]!BexGetData("DP_1","003N8EMH8GTFRCSWKMPXRRESE","GSON1112060410")</f>
        <v>#NAME?</v>
      </c>
      <c r="E858" s="23" t="e">
        <f ca="1">[1]!BexGetData("DP_1","003N8EMH8GTFRCSWKMPXRRL3Y","GSON1112060410")</f>
        <v>#NAME?</v>
      </c>
      <c r="F858" s="23" t="e">
        <f ca="1">[1]!BexGetData("DP_1","003N8EMH8GTFRCSWKMPXRRRFI","GSON1112060410")</f>
        <v>#NAME?</v>
      </c>
      <c r="G858" s="23" t="e">
        <f ca="1">[1]!BexGetData("DP_1","003N8EMH8GTFRCSWKMPXRRXR2","GSON1112060410")</f>
        <v>#NAME?</v>
      </c>
      <c r="H858" s="23" t="e">
        <f ca="1">[1]!BexGetData("DP_1","003N8EMH8GTFRCSWKMPXRS42M","GSON1112060410")</f>
        <v>#NAME?</v>
      </c>
      <c r="I858" s="23" t="e">
        <f ca="1">[1]!BexGetData("DP_1","003N8EMH8GTFRCSWKMPXRSAE6","GSON1112060410")</f>
        <v>#NAME?</v>
      </c>
      <c r="J858" s="23" t="e">
        <f ca="1">[1]!BexGetData("DP_1","003N8EMH8GTFRCSWKMPXRSGPQ","GSON1112060410")</f>
        <v>#NAME?</v>
      </c>
      <c r="K858" s="23" t="e">
        <f ca="1">[1]!BexGetData("DP_1","003N8EMH8GTFRIVNUPY288VJH","GSON1112060410")</f>
        <v>#NAME?</v>
      </c>
      <c r="L858" s="23" t="e">
        <f ca="1">[1]!BexGetData("DP_1","003N8EMH8GTFRIVNUPY2891V1","GSON1112060410")</f>
        <v>#NAME?</v>
      </c>
      <c r="M858" s="23" t="e">
        <f ca="1">[1]!BexGetData("DP_1","003N8EMH8GTFRIVOG7KG9IQXA","GSON1112060410")</f>
        <v>#NAME?</v>
      </c>
      <c r="N858" s="28" t="e">
        <f ca="1">[1]!BexGetData("DP_1","003N8EMH8GTFRIVOG7KG9IX8U","GSON1112060410")</f>
        <v>#NAME?</v>
      </c>
      <c r="O858" s="23" t="e">
        <f ca="1">[1]!BexGetData("DP_1","003N8EMH8GTFRIVOG7KG9J3KE","GSON1112060410")</f>
        <v>#NAME?</v>
      </c>
      <c r="P858" s="28" t="e">
        <f ca="1">[1]!BexGetData("DP_1","003N8EMH8GTFRIVOG7KG9J9VY","GSON1112060410")</f>
        <v>#NAME?</v>
      </c>
      <c r="Q858" s="23" t="e">
        <f ca="1">[1]!BexGetData("DP_1","00O2TNJGODT0G5Z4TTKYMM5MT","GSON1112060410")</f>
        <v>#NAME?</v>
      </c>
      <c r="R858" s="23" t="e">
        <f ca="1">[1]!BexGetData("DP_1","00O2TNJGODT0G5Z4TTKYMMBYD","GSON1112060410")</f>
        <v>#NAME?</v>
      </c>
      <c r="S858" s="23" t="e">
        <f ca="1">[1]!BexGetData("DP_1","00O2TNJGODT0G5Z4TTKYMMI9X","GSON1112060410")</f>
        <v>#NAME?</v>
      </c>
      <c r="T858" s="23" t="e">
        <f ca="1">[1]!BexGetData("DP_1","00O2TNJGODT0G5Z4TTKYMMOLH","GSON1112060410")</f>
        <v>#NAME?</v>
      </c>
      <c r="U858" s="28" t="e">
        <f ca="1">[1]!BexGetData("DP_1","00O2TNJGODT0G5Z4TTKYMMUX1","GSON1112060410")</f>
        <v>#NAME?</v>
      </c>
      <c r="V858" s="23" t="e">
        <f ca="1">[1]!BexGetData("DP_1","00O2TNJGODT0G5Z4TTKYMN18L","GSON1112060410")</f>
        <v>#NAME?</v>
      </c>
      <c r="W858" s="28" t="e">
        <f ca="1">[1]!BexGetData("DP_1","00O2TNJGODT0G5Z4TTKYMN7K5","GSON1112060410")</f>
        <v>#NAME?</v>
      </c>
    </row>
    <row r="859" spans="1:23" x14ac:dyDescent="0.2">
      <c r="A859" s="36" t="s">
        <v>3102</v>
      </c>
      <c r="B859" s="27" t="s">
        <v>3103</v>
      </c>
      <c r="C859" s="23" t="e">
        <f ca="1">[1]!BexGetData("DP_1","003N8EMH8GTFRCSWKMPXRR8GU","GSON1112060411")</f>
        <v>#NAME?</v>
      </c>
      <c r="D859" s="23" t="e">
        <f ca="1">[1]!BexGetData("DP_1","003N8EMH8GTFRCSWKMPXRRESE","GSON1112060411")</f>
        <v>#NAME?</v>
      </c>
      <c r="E859" s="28" t="e">
        <f ca="1">[1]!BexGetData("DP_1","003N8EMH8GTFRCSWKMPXRRL3Y","GSON1112060411")</f>
        <v>#NAME?</v>
      </c>
      <c r="F859" s="28" t="e">
        <f ca="1">[1]!BexGetData("DP_1","003N8EMH8GTFRCSWKMPXRRRFI","GSON1112060411")</f>
        <v>#NAME?</v>
      </c>
      <c r="G859" s="23" t="e">
        <f ca="1">[1]!BexGetData("DP_1","003N8EMH8GTFRCSWKMPXRRXR2","GSON1112060411")</f>
        <v>#NAME?</v>
      </c>
      <c r="H859" s="23" t="e">
        <f ca="1">[1]!BexGetData("DP_1","003N8EMH8GTFRCSWKMPXRS42M","GSON1112060411")</f>
        <v>#NAME?</v>
      </c>
      <c r="I859" s="28" t="e">
        <f ca="1">[1]!BexGetData("DP_1","003N8EMH8GTFRCSWKMPXRSAE6","GSON1112060411")</f>
        <v>#NAME?</v>
      </c>
      <c r="J859" s="24" t="e">
        <f ca="1">[1]!BexGetData("DP_1","003N8EMH8GTFRCSWKMPXRSGPQ","GSON1112060411")</f>
        <v>#NAME?</v>
      </c>
      <c r="K859" s="28" t="e">
        <f ca="1">[1]!BexGetData("DP_1","003N8EMH8GTFRIVNUPY288VJH","GSON1112060411")</f>
        <v>#NAME?</v>
      </c>
      <c r="L859" s="28" t="e">
        <f ca="1">[1]!BexGetData("DP_1","003N8EMH8GTFRIVNUPY2891V1","GSON1112060411")</f>
        <v>#NAME?</v>
      </c>
      <c r="M859" s="28" t="e">
        <f ca="1">[1]!BexGetData("DP_1","003N8EMH8GTFRIVOG7KG9IQXA","GSON1112060411")</f>
        <v>#NAME?</v>
      </c>
      <c r="N859" s="28" t="e">
        <f ca="1">[1]!BexGetData("DP_1","003N8EMH8GTFRIVOG7KG9IX8U","GSON1112060411")</f>
        <v>#NAME?</v>
      </c>
      <c r="O859" s="28" t="e">
        <f ca="1">[1]!BexGetData("DP_1","003N8EMH8GTFRIVOG7KG9J3KE","GSON1112060411")</f>
        <v>#NAME?</v>
      </c>
      <c r="P859" s="28" t="e">
        <f ca="1">[1]!BexGetData("DP_1","003N8EMH8GTFRIVOG7KG9J9VY","GSON1112060411")</f>
        <v>#NAME?</v>
      </c>
      <c r="Q859" s="24" t="e">
        <f ca="1">[1]!BexGetData("DP_1","00O2TNJGODT0G5Z4TTKYMM5MT","GSON1112060411")</f>
        <v>#NAME?</v>
      </c>
      <c r="R859" s="28" t="e">
        <f ca="1">[1]!BexGetData("DP_1","00O2TNJGODT0G5Z4TTKYMMBYD","GSON1112060411")</f>
        <v>#NAME?</v>
      </c>
      <c r="S859" s="28" t="e">
        <f ca="1">[1]!BexGetData("DP_1","00O2TNJGODT0G5Z4TTKYMMI9X","GSON1112060411")</f>
        <v>#NAME?</v>
      </c>
      <c r="T859" s="28" t="e">
        <f ca="1">[1]!BexGetData("DP_1","00O2TNJGODT0G5Z4TTKYMMOLH","GSON1112060411")</f>
        <v>#NAME?</v>
      </c>
      <c r="U859" s="28" t="e">
        <f ca="1">[1]!BexGetData("DP_1","00O2TNJGODT0G5Z4TTKYMMUX1","GSON1112060411")</f>
        <v>#NAME?</v>
      </c>
      <c r="V859" s="28" t="e">
        <f ca="1">[1]!BexGetData("DP_1","00O2TNJGODT0G5Z4TTKYMN18L","GSON1112060411")</f>
        <v>#NAME?</v>
      </c>
      <c r="W859" s="28" t="e">
        <f ca="1">[1]!BexGetData("DP_1","00O2TNJGODT0G5Z4TTKYMN7K5","GSON1112060411")</f>
        <v>#NAME?</v>
      </c>
    </row>
    <row r="860" spans="1:23" x14ac:dyDescent="0.2">
      <c r="A860" s="36" t="s">
        <v>3104</v>
      </c>
      <c r="B860" s="27" t="s">
        <v>3105</v>
      </c>
      <c r="C860" s="24" t="e">
        <f ca="1">[1]!BexGetData("DP_1","003N8EMH8GTFRCSWKMPXRR8GU","GSON1112060412")</f>
        <v>#NAME?</v>
      </c>
      <c r="D860" s="24" t="e">
        <f ca="1">[1]!BexGetData("DP_1","003N8EMH8GTFRCSWKMPXRRESE","GSON1112060412")</f>
        <v>#NAME?</v>
      </c>
      <c r="E860" s="24" t="e">
        <f ca="1">[1]!BexGetData("DP_1","003N8EMH8GTFRCSWKMPXRRL3Y","GSON1112060412")</f>
        <v>#NAME?</v>
      </c>
      <c r="F860" s="28" t="e">
        <f ca="1">[1]!BexGetData("DP_1","003N8EMH8GTFRCSWKMPXRRRFI","GSON1112060412")</f>
        <v>#NAME?</v>
      </c>
      <c r="G860" s="23" t="e">
        <f ca="1">[1]!BexGetData("DP_1","003N8EMH8GTFRCSWKMPXRRXR2","GSON1112060412")</f>
        <v>#NAME?</v>
      </c>
      <c r="H860" s="23" t="e">
        <f ca="1">[1]!BexGetData("DP_1","003N8EMH8GTFRCSWKMPXRS42M","GSON1112060412")</f>
        <v>#NAME?</v>
      </c>
      <c r="I860" s="28" t="e">
        <f ca="1">[1]!BexGetData("DP_1","003N8EMH8GTFRCSWKMPXRSAE6","GSON1112060412")</f>
        <v>#NAME?</v>
      </c>
      <c r="J860" s="23" t="e">
        <f ca="1">[1]!BexGetData("DP_1","003N8EMH8GTFRCSWKMPXRSGPQ","GSON1112060412")</f>
        <v>#NAME?</v>
      </c>
      <c r="K860" s="28" t="e">
        <f ca="1">[1]!BexGetData("DP_1","003N8EMH8GTFRIVNUPY288VJH","GSON1112060412")</f>
        <v>#NAME?</v>
      </c>
      <c r="L860" s="28" t="e">
        <f ca="1">[1]!BexGetData("DP_1","003N8EMH8GTFRIVNUPY2891V1","GSON1112060412")</f>
        <v>#NAME?</v>
      </c>
      <c r="M860" s="28" t="e">
        <f ca="1">[1]!BexGetData("DP_1","003N8EMH8GTFRIVOG7KG9IQXA","GSON1112060412")</f>
        <v>#NAME?</v>
      </c>
      <c r="N860" s="28" t="e">
        <f ca="1">[1]!BexGetData("DP_1","003N8EMH8GTFRIVOG7KG9IX8U","GSON1112060412")</f>
        <v>#NAME?</v>
      </c>
      <c r="O860" s="28" t="e">
        <f ca="1">[1]!BexGetData("DP_1","003N8EMH8GTFRIVOG7KG9J3KE","GSON1112060412")</f>
        <v>#NAME?</v>
      </c>
      <c r="P860" s="28" t="e">
        <f ca="1">[1]!BexGetData("DP_1","003N8EMH8GTFRIVOG7KG9J9VY","GSON1112060412")</f>
        <v>#NAME?</v>
      </c>
      <c r="Q860" s="23" t="e">
        <f ca="1">[1]!BexGetData("DP_1","00O2TNJGODT0G5Z4TTKYMM5MT","GSON1112060412")</f>
        <v>#NAME?</v>
      </c>
      <c r="R860" s="23" t="e">
        <f ca="1">[1]!BexGetData("DP_1","00O2TNJGODT0G5Z4TTKYMMBYD","GSON1112060412")</f>
        <v>#NAME?</v>
      </c>
      <c r="S860" s="23" t="e">
        <f ca="1">[1]!BexGetData("DP_1","00O2TNJGODT0G5Z4TTKYMMI9X","GSON1112060412")</f>
        <v>#NAME?</v>
      </c>
      <c r="T860" s="28" t="e">
        <f ca="1">[1]!BexGetData("DP_1","00O2TNJGODT0G5Z4TTKYMMOLH","GSON1112060412")</f>
        <v>#NAME?</v>
      </c>
      <c r="U860" s="23" t="e">
        <f ca="1">[1]!BexGetData("DP_1","00O2TNJGODT0G5Z4TTKYMMUX1","GSON1112060412")</f>
        <v>#NAME?</v>
      </c>
      <c r="V860" s="28" t="e">
        <f ca="1">[1]!BexGetData("DP_1","00O2TNJGODT0G5Z4TTKYMN18L","GSON1112060412")</f>
        <v>#NAME?</v>
      </c>
      <c r="W860" s="23" t="e">
        <f ca="1">[1]!BexGetData("DP_1","00O2TNJGODT0G5Z4TTKYMN7K5","GSON1112060412")</f>
        <v>#NAME?</v>
      </c>
    </row>
    <row r="861" spans="1:23" x14ac:dyDescent="0.2">
      <c r="A861" s="36" t="s">
        <v>3106</v>
      </c>
      <c r="B861" s="27" t="s">
        <v>3107</v>
      </c>
      <c r="C861" s="24" t="e">
        <f ca="1">[1]!BexGetData("DP_1","003N8EMH8GTFRCSWKMPXRR8GU","GSON1112060413")</f>
        <v>#NAME?</v>
      </c>
      <c r="D861" s="24" t="e">
        <f ca="1">[1]!BexGetData("DP_1","003N8EMH8GTFRCSWKMPXRRESE","GSON1112060413")</f>
        <v>#NAME?</v>
      </c>
      <c r="E861" s="24" t="e">
        <f ca="1">[1]!BexGetData("DP_1","003N8EMH8GTFRCSWKMPXRRL3Y","GSON1112060413")</f>
        <v>#NAME?</v>
      </c>
      <c r="F861" s="28" t="e">
        <f ca="1">[1]!BexGetData("DP_1","003N8EMH8GTFRCSWKMPXRRRFI","GSON1112060413")</f>
        <v>#NAME?</v>
      </c>
      <c r="G861" s="23" t="e">
        <f ca="1">[1]!BexGetData("DP_1","003N8EMH8GTFRCSWKMPXRRXR2","GSON1112060413")</f>
        <v>#NAME?</v>
      </c>
      <c r="H861" s="23" t="e">
        <f ca="1">[1]!BexGetData("DP_1","003N8EMH8GTFRCSWKMPXRS42M","GSON1112060413")</f>
        <v>#NAME?</v>
      </c>
      <c r="I861" s="28" t="e">
        <f ca="1">[1]!BexGetData("DP_1","003N8EMH8GTFRCSWKMPXRSAE6","GSON1112060413")</f>
        <v>#NAME?</v>
      </c>
      <c r="J861" s="24" t="e">
        <f ca="1">[1]!BexGetData("DP_1","003N8EMH8GTFRCSWKMPXRSGPQ","GSON1112060413")</f>
        <v>#NAME?</v>
      </c>
      <c r="K861" s="28" t="e">
        <f ca="1">[1]!BexGetData("DP_1","003N8EMH8GTFRIVNUPY288VJH","GSON1112060413")</f>
        <v>#NAME?</v>
      </c>
      <c r="L861" s="28" t="e">
        <f ca="1">[1]!BexGetData("DP_1","003N8EMH8GTFRIVNUPY2891V1","GSON1112060413")</f>
        <v>#NAME?</v>
      </c>
      <c r="M861" s="28" t="e">
        <f ca="1">[1]!BexGetData("DP_1","003N8EMH8GTFRIVOG7KG9IQXA","GSON1112060413")</f>
        <v>#NAME?</v>
      </c>
      <c r="N861" s="28" t="e">
        <f ca="1">[1]!BexGetData("DP_1","003N8EMH8GTFRIVOG7KG9IX8U","GSON1112060413")</f>
        <v>#NAME?</v>
      </c>
      <c r="O861" s="28" t="e">
        <f ca="1">[1]!BexGetData("DP_1","003N8EMH8GTFRIVOG7KG9J3KE","GSON1112060413")</f>
        <v>#NAME?</v>
      </c>
      <c r="P861" s="28" t="e">
        <f ca="1">[1]!BexGetData("DP_1","003N8EMH8GTFRIVOG7KG9J9VY","GSON1112060413")</f>
        <v>#NAME?</v>
      </c>
      <c r="Q861" s="24" t="e">
        <f ca="1">[1]!BexGetData("DP_1","00O2TNJGODT0G5Z4TTKYMM5MT","GSON1112060413")</f>
        <v>#NAME?</v>
      </c>
      <c r="R861" s="28" t="e">
        <f ca="1">[1]!BexGetData("DP_1","00O2TNJGODT0G5Z4TTKYMMBYD","GSON1112060413")</f>
        <v>#NAME?</v>
      </c>
      <c r="S861" s="28" t="e">
        <f ca="1">[1]!BexGetData("DP_1","00O2TNJGODT0G5Z4TTKYMMI9X","GSON1112060413")</f>
        <v>#NAME?</v>
      </c>
      <c r="T861" s="28" t="e">
        <f ca="1">[1]!BexGetData("DP_1","00O2TNJGODT0G5Z4TTKYMMOLH","GSON1112060413")</f>
        <v>#NAME?</v>
      </c>
      <c r="U861" s="28" t="e">
        <f ca="1">[1]!BexGetData("DP_1","00O2TNJGODT0G5Z4TTKYMMUX1","GSON1112060413")</f>
        <v>#NAME?</v>
      </c>
      <c r="V861" s="28" t="e">
        <f ca="1">[1]!BexGetData("DP_1","00O2TNJGODT0G5Z4TTKYMN18L","GSON1112060413")</f>
        <v>#NAME?</v>
      </c>
      <c r="W861" s="28" t="e">
        <f ca="1">[1]!BexGetData("DP_1","00O2TNJGODT0G5Z4TTKYMN7K5","GSON1112060413")</f>
        <v>#NAME?</v>
      </c>
    </row>
    <row r="862" spans="1:23" x14ac:dyDescent="0.2">
      <c r="A862" s="36" t="s">
        <v>3108</v>
      </c>
      <c r="B862" s="27" t="s">
        <v>3109</v>
      </c>
      <c r="C862" s="23" t="e">
        <f ca="1">[1]!BexGetData("DP_1","003N8EMH8GTFRCSWKMPXRR8GU","GSON1112060414")</f>
        <v>#NAME?</v>
      </c>
      <c r="D862" s="23" t="e">
        <f ca="1">[1]!BexGetData("DP_1","003N8EMH8GTFRCSWKMPXRRESE","GSON1112060414")</f>
        <v>#NAME?</v>
      </c>
      <c r="E862" s="28" t="e">
        <f ca="1">[1]!BexGetData("DP_1","003N8EMH8GTFRCSWKMPXRRL3Y","GSON1112060414")</f>
        <v>#NAME?</v>
      </c>
      <c r="F862" s="28" t="e">
        <f ca="1">[1]!BexGetData("DP_1","003N8EMH8GTFRCSWKMPXRRRFI","GSON1112060414")</f>
        <v>#NAME?</v>
      </c>
      <c r="G862" s="23" t="e">
        <f ca="1">[1]!BexGetData("DP_1","003N8EMH8GTFRCSWKMPXRRXR2","GSON1112060414")</f>
        <v>#NAME?</v>
      </c>
      <c r="H862" s="23" t="e">
        <f ca="1">[1]!BexGetData("DP_1","003N8EMH8GTFRCSWKMPXRS42M","GSON1112060414")</f>
        <v>#NAME?</v>
      </c>
      <c r="I862" s="28" t="e">
        <f ca="1">[1]!BexGetData("DP_1","003N8EMH8GTFRCSWKMPXRSAE6","GSON1112060414")</f>
        <v>#NAME?</v>
      </c>
      <c r="J862" s="24" t="e">
        <f ca="1">[1]!BexGetData("DP_1","003N8EMH8GTFRCSWKMPXRSGPQ","GSON1112060414")</f>
        <v>#NAME?</v>
      </c>
      <c r="K862" s="28" t="e">
        <f ca="1">[1]!BexGetData("DP_1","003N8EMH8GTFRIVNUPY288VJH","GSON1112060414")</f>
        <v>#NAME?</v>
      </c>
      <c r="L862" s="28" t="e">
        <f ca="1">[1]!BexGetData("DP_1","003N8EMH8GTFRIVNUPY2891V1","GSON1112060414")</f>
        <v>#NAME?</v>
      </c>
      <c r="M862" s="28" t="e">
        <f ca="1">[1]!BexGetData("DP_1","003N8EMH8GTFRIVOG7KG9IQXA","GSON1112060414")</f>
        <v>#NAME?</v>
      </c>
      <c r="N862" s="28" t="e">
        <f ca="1">[1]!BexGetData("DP_1","003N8EMH8GTFRIVOG7KG9IX8U","GSON1112060414")</f>
        <v>#NAME?</v>
      </c>
      <c r="O862" s="28" t="e">
        <f ca="1">[1]!BexGetData("DP_1","003N8EMH8GTFRIVOG7KG9J3KE","GSON1112060414")</f>
        <v>#NAME?</v>
      </c>
      <c r="P862" s="28" t="e">
        <f ca="1">[1]!BexGetData("DP_1","003N8EMH8GTFRIVOG7KG9J9VY","GSON1112060414")</f>
        <v>#NAME?</v>
      </c>
      <c r="Q862" s="24" t="e">
        <f ca="1">[1]!BexGetData("DP_1","00O2TNJGODT0G5Z4TTKYMM5MT","GSON1112060414")</f>
        <v>#NAME?</v>
      </c>
      <c r="R862" s="28" t="e">
        <f ca="1">[1]!BexGetData("DP_1","00O2TNJGODT0G5Z4TTKYMMBYD","GSON1112060414")</f>
        <v>#NAME?</v>
      </c>
      <c r="S862" s="28" t="e">
        <f ca="1">[1]!BexGetData("DP_1","00O2TNJGODT0G5Z4TTKYMMI9X","GSON1112060414")</f>
        <v>#NAME?</v>
      </c>
      <c r="T862" s="28" t="e">
        <f ca="1">[1]!BexGetData("DP_1","00O2TNJGODT0G5Z4TTKYMMOLH","GSON1112060414")</f>
        <v>#NAME?</v>
      </c>
      <c r="U862" s="28" t="e">
        <f ca="1">[1]!BexGetData("DP_1","00O2TNJGODT0G5Z4TTKYMMUX1","GSON1112060414")</f>
        <v>#NAME?</v>
      </c>
      <c r="V862" s="28" t="e">
        <f ca="1">[1]!BexGetData("DP_1","00O2TNJGODT0G5Z4TTKYMN18L","GSON1112060414")</f>
        <v>#NAME?</v>
      </c>
      <c r="W862" s="28" t="e">
        <f ca="1">[1]!BexGetData("DP_1","00O2TNJGODT0G5Z4TTKYMN7K5","GSON1112060414")</f>
        <v>#NAME?</v>
      </c>
    </row>
    <row r="863" spans="1:23" x14ac:dyDescent="0.2">
      <c r="A863" s="36" t="s">
        <v>3110</v>
      </c>
      <c r="B863" s="27" t="s">
        <v>3111</v>
      </c>
      <c r="C863" s="23" t="e">
        <f ca="1">[1]!BexGetData("DP_1","003N8EMH8GTFRCSWKMPXRR8GU","GSON1112060415")</f>
        <v>#NAME?</v>
      </c>
      <c r="D863" s="23" t="e">
        <f ca="1">[1]!BexGetData("DP_1","003N8EMH8GTFRCSWKMPXRRESE","GSON1112060415")</f>
        <v>#NAME?</v>
      </c>
      <c r="E863" s="28" t="e">
        <f ca="1">[1]!BexGetData("DP_1","003N8EMH8GTFRCSWKMPXRRL3Y","GSON1112060415")</f>
        <v>#NAME?</v>
      </c>
      <c r="F863" s="28" t="e">
        <f ca="1">[1]!BexGetData("DP_1","003N8EMH8GTFRCSWKMPXRRRFI","GSON1112060415")</f>
        <v>#NAME?</v>
      </c>
      <c r="G863" s="23" t="e">
        <f ca="1">[1]!BexGetData("DP_1","003N8EMH8GTFRCSWKMPXRRXR2","GSON1112060415")</f>
        <v>#NAME?</v>
      </c>
      <c r="H863" s="23" t="e">
        <f ca="1">[1]!BexGetData("DP_1","003N8EMH8GTFRCSWKMPXRS42M","GSON1112060415")</f>
        <v>#NAME?</v>
      </c>
      <c r="I863" s="28" t="e">
        <f ca="1">[1]!BexGetData("DP_1","003N8EMH8GTFRCSWKMPXRSAE6","GSON1112060415")</f>
        <v>#NAME?</v>
      </c>
      <c r="J863" s="24" t="e">
        <f ca="1">[1]!BexGetData("DP_1","003N8EMH8GTFRCSWKMPXRSGPQ","GSON1112060415")</f>
        <v>#NAME?</v>
      </c>
      <c r="K863" s="28" t="e">
        <f ca="1">[1]!BexGetData("DP_1","003N8EMH8GTFRIVNUPY288VJH","GSON1112060415")</f>
        <v>#NAME?</v>
      </c>
      <c r="L863" s="28" t="e">
        <f ca="1">[1]!BexGetData("DP_1","003N8EMH8GTFRIVNUPY2891V1","GSON1112060415")</f>
        <v>#NAME?</v>
      </c>
      <c r="M863" s="28" t="e">
        <f ca="1">[1]!BexGetData("DP_1","003N8EMH8GTFRIVOG7KG9IQXA","GSON1112060415")</f>
        <v>#NAME?</v>
      </c>
      <c r="N863" s="28" t="e">
        <f ca="1">[1]!BexGetData("DP_1","003N8EMH8GTFRIVOG7KG9IX8U","GSON1112060415")</f>
        <v>#NAME?</v>
      </c>
      <c r="O863" s="28" t="e">
        <f ca="1">[1]!BexGetData("DP_1","003N8EMH8GTFRIVOG7KG9J3KE","GSON1112060415")</f>
        <v>#NAME?</v>
      </c>
      <c r="P863" s="28" t="e">
        <f ca="1">[1]!BexGetData("DP_1","003N8EMH8GTFRIVOG7KG9J9VY","GSON1112060415")</f>
        <v>#NAME?</v>
      </c>
      <c r="Q863" s="24" t="e">
        <f ca="1">[1]!BexGetData("DP_1","00O2TNJGODT0G5Z4TTKYMM5MT","GSON1112060415")</f>
        <v>#NAME?</v>
      </c>
      <c r="R863" s="28" t="e">
        <f ca="1">[1]!BexGetData("DP_1","00O2TNJGODT0G5Z4TTKYMMBYD","GSON1112060415")</f>
        <v>#NAME?</v>
      </c>
      <c r="S863" s="28" t="e">
        <f ca="1">[1]!BexGetData("DP_1","00O2TNJGODT0G5Z4TTKYMMI9X","GSON1112060415")</f>
        <v>#NAME?</v>
      </c>
      <c r="T863" s="28" t="e">
        <f ca="1">[1]!BexGetData("DP_1","00O2TNJGODT0G5Z4TTKYMMOLH","GSON1112060415")</f>
        <v>#NAME?</v>
      </c>
      <c r="U863" s="28" t="e">
        <f ca="1">[1]!BexGetData("DP_1","00O2TNJGODT0G5Z4TTKYMMUX1","GSON1112060415")</f>
        <v>#NAME?</v>
      </c>
      <c r="V863" s="28" t="e">
        <f ca="1">[1]!BexGetData("DP_1","00O2TNJGODT0G5Z4TTKYMN18L","GSON1112060415")</f>
        <v>#NAME?</v>
      </c>
      <c r="W863" s="28" t="e">
        <f ca="1">[1]!BexGetData("DP_1","00O2TNJGODT0G5Z4TTKYMN7K5","GSON1112060415")</f>
        <v>#NAME?</v>
      </c>
    </row>
    <row r="864" spans="1:23" x14ac:dyDescent="0.2">
      <c r="A864" s="36" t="s">
        <v>3112</v>
      </c>
      <c r="B864" s="27" t="s">
        <v>3113</v>
      </c>
      <c r="C864" s="23" t="e">
        <f ca="1">[1]!BexGetData("DP_1","003N8EMH8GTFRCSWKMPXRR8GU","GSON1112060420")</f>
        <v>#NAME?</v>
      </c>
      <c r="D864" s="23" t="e">
        <f ca="1">[1]!BexGetData("DP_1","003N8EMH8GTFRCSWKMPXRRESE","GSON1112060420")</f>
        <v>#NAME?</v>
      </c>
      <c r="E864" s="23" t="e">
        <f ca="1">[1]!BexGetData("DP_1","003N8EMH8GTFRCSWKMPXRRL3Y","GSON1112060420")</f>
        <v>#NAME?</v>
      </c>
      <c r="F864" s="23" t="e">
        <f ca="1">[1]!BexGetData("DP_1","003N8EMH8GTFRCSWKMPXRRRFI","GSON1112060420")</f>
        <v>#NAME?</v>
      </c>
      <c r="G864" s="23" t="e">
        <f ca="1">[1]!BexGetData("DP_1","003N8EMH8GTFRCSWKMPXRRXR2","GSON1112060420")</f>
        <v>#NAME?</v>
      </c>
      <c r="H864" s="23" t="e">
        <f ca="1">[1]!BexGetData("DP_1","003N8EMH8GTFRCSWKMPXRS42M","GSON1112060420")</f>
        <v>#NAME?</v>
      </c>
      <c r="I864" s="23" t="e">
        <f ca="1">[1]!BexGetData("DP_1","003N8EMH8GTFRCSWKMPXRSAE6","GSON1112060420")</f>
        <v>#NAME?</v>
      </c>
      <c r="J864" s="23" t="e">
        <f ca="1">[1]!BexGetData("DP_1","003N8EMH8GTFRCSWKMPXRSGPQ","GSON1112060420")</f>
        <v>#NAME?</v>
      </c>
      <c r="K864" s="23" t="e">
        <f ca="1">[1]!BexGetData("DP_1","003N8EMH8GTFRIVNUPY288VJH","GSON1112060420")</f>
        <v>#NAME?</v>
      </c>
      <c r="L864" s="23" t="e">
        <f ca="1">[1]!BexGetData("DP_1","003N8EMH8GTFRIVNUPY2891V1","GSON1112060420")</f>
        <v>#NAME?</v>
      </c>
      <c r="M864" s="23" t="e">
        <f ca="1">[1]!BexGetData("DP_1","003N8EMH8GTFRIVOG7KG9IQXA","GSON1112060420")</f>
        <v>#NAME?</v>
      </c>
      <c r="N864" s="28" t="e">
        <f ca="1">[1]!BexGetData("DP_1","003N8EMH8GTFRIVOG7KG9IX8U","GSON1112060420")</f>
        <v>#NAME?</v>
      </c>
      <c r="O864" s="23" t="e">
        <f ca="1">[1]!BexGetData("DP_1","003N8EMH8GTFRIVOG7KG9J3KE","GSON1112060420")</f>
        <v>#NAME?</v>
      </c>
      <c r="P864" s="28" t="e">
        <f ca="1">[1]!BexGetData("DP_1","003N8EMH8GTFRIVOG7KG9J9VY","GSON1112060420")</f>
        <v>#NAME?</v>
      </c>
      <c r="Q864" s="23" t="e">
        <f ca="1">[1]!BexGetData("DP_1","00O2TNJGODT0G5Z4TTKYMM5MT","GSON1112060420")</f>
        <v>#NAME?</v>
      </c>
      <c r="R864" s="23" t="e">
        <f ca="1">[1]!BexGetData("DP_1","00O2TNJGODT0G5Z4TTKYMMBYD","GSON1112060420")</f>
        <v>#NAME?</v>
      </c>
      <c r="S864" s="23" t="e">
        <f ca="1">[1]!BexGetData("DP_1","00O2TNJGODT0G5Z4TTKYMMI9X","GSON1112060420")</f>
        <v>#NAME?</v>
      </c>
      <c r="T864" s="23" t="e">
        <f ca="1">[1]!BexGetData("DP_1","00O2TNJGODT0G5Z4TTKYMMOLH","GSON1112060420")</f>
        <v>#NAME?</v>
      </c>
      <c r="U864" s="28" t="e">
        <f ca="1">[1]!BexGetData("DP_1","00O2TNJGODT0G5Z4TTKYMMUX1","GSON1112060420")</f>
        <v>#NAME?</v>
      </c>
      <c r="V864" s="23" t="e">
        <f ca="1">[1]!BexGetData("DP_1","00O2TNJGODT0G5Z4TTKYMN18L","GSON1112060420")</f>
        <v>#NAME?</v>
      </c>
      <c r="W864" s="28" t="e">
        <f ca="1">[1]!BexGetData("DP_1","00O2TNJGODT0G5Z4TTKYMN7K5","GSON1112060420")</f>
        <v>#NAME?</v>
      </c>
    </row>
    <row r="865" spans="1:23" x14ac:dyDescent="0.2">
      <c r="A865" s="36" t="s">
        <v>3114</v>
      </c>
      <c r="B865" s="27" t="s">
        <v>3115</v>
      </c>
      <c r="C865" s="23" t="e">
        <f ca="1">[1]!BexGetData("DP_1","003N8EMH8GTFRCSWKMPXRR8GU","GSON1112060421")</f>
        <v>#NAME?</v>
      </c>
      <c r="D865" s="23" t="e">
        <f ca="1">[1]!BexGetData("DP_1","003N8EMH8GTFRCSWKMPXRRESE","GSON1112060421")</f>
        <v>#NAME?</v>
      </c>
      <c r="E865" s="28" t="e">
        <f ca="1">[1]!BexGetData("DP_1","003N8EMH8GTFRCSWKMPXRRL3Y","GSON1112060421")</f>
        <v>#NAME?</v>
      </c>
      <c r="F865" s="28" t="e">
        <f ca="1">[1]!BexGetData("DP_1","003N8EMH8GTFRCSWKMPXRRRFI","GSON1112060421")</f>
        <v>#NAME?</v>
      </c>
      <c r="G865" s="23" t="e">
        <f ca="1">[1]!BexGetData("DP_1","003N8EMH8GTFRCSWKMPXRRXR2","GSON1112060421")</f>
        <v>#NAME?</v>
      </c>
      <c r="H865" s="23" t="e">
        <f ca="1">[1]!BexGetData("DP_1","003N8EMH8GTFRCSWKMPXRS42M","GSON1112060421")</f>
        <v>#NAME?</v>
      </c>
      <c r="I865" s="28" t="e">
        <f ca="1">[1]!BexGetData("DP_1","003N8EMH8GTFRCSWKMPXRSAE6","GSON1112060421")</f>
        <v>#NAME?</v>
      </c>
      <c r="J865" s="24" t="e">
        <f ca="1">[1]!BexGetData("DP_1","003N8EMH8GTFRCSWKMPXRSGPQ","GSON1112060421")</f>
        <v>#NAME?</v>
      </c>
      <c r="K865" s="28" t="e">
        <f ca="1">[1]!BexGetData("DP_1","003N8EMH8GTFRIVNUPY288VJH","GSON1112060421")</f>
        <v>#NAME?</v>
      </c>
      <c r="L865" s="28" t="e">
        <f ca="1">[1]!BexGetData("DP_1","003N8EMH8GTFRIVNUPY2891V1","GSON1112060421")</f>
        <v>#NAME?</v>
      </c>
      <c r="M865" s="28" t="e">
        <f ca="1">[1]!BexGetData("DP_1","003N8EMH8GTFRIVOG7KG9IQXA","GSON1112060421")</f>
        <v>#NAME?</v>
      </c>
      <c r="N865" s="28" t="e">
        <f ca="1">[1]!BexGetData("DP_1","003N8EMH8GTFRIVOG7KG9IX8U","GSON1112060421")</f>
        <v>#NAME?</v>
      </c>
      <c r="O865" s="28" t="e">
        <f ca="1">[1]!BexGetData("DP_1","003N8EMH8GTFRIVOG7KG9J3KE","GSON1112060421")</f>
        <v>#NAME?</v>
      </c>
      <c r="P865" s="28" t="e">
        <f ca="1">[1]!BexGetData("DP_1","003N8EMH8GTFRIVOG7KG9J9VY","GSON1112060421")</f>
        <v>#NAME?</v>
      </c>
      <c r="Q865" s="24" t="e">
        <f ca="1">[1]!BexGetData("DP_1","00O2TNJGODT0G5Z4TTKYMM5MT","GSON1112060421")</f>
        <v>#NAME?</v>
      </c>
      <c r="R865" s="28" t="e">
        <f ca="1">[1]!BexGetData("DP_1","00O2TNJGODT0G5Z4TTKYMMBYD","GSON1112060421")</f>
        <v>#NAME?</v>
      </c>
      <c r="S865" s="28" t="e">
        <f ca="1">[1]!BexGetData("DP_1","00O2TNJGODT0G5Z4TTKYMMI9X","GSON1112060421")</f>
        <v>#NAME?</v>
      </c>
      <c r="T865" s="28" t="e">
        <f ca="1">[1]!BexGetData("DP_1","00O2TNJGODT0G5Z4TTKYMMOLH","GSON1112060421")</f>
        <v>#NAME?</v>
      </c>
      <c r="U865" s="28" t="e">
        <f ca="1">[1]!BexGetData("DP_1","00O2TNJGODT0G5Z4TTKYMMUX1","GSON1112060421")</f>
        <v>#NAME?</v>
      </c>
      <c r="V865" s="28" t="e">
        <f ca="1">[1]!BexGetData("DP_1","00O2TNJGODT0G5Z4TTKYMN18L","GSON1112060421")</f>
        <v>#NAME?</v>
      </c>
      <c r="W865" s="28" t="e">
        <f ca="1">[1]!BexGetData("DP_1","00O2TNJGODT0G5Z4TTKYMN7K5","GSON1112060421")</f>
        <v>#NAME?</v>
      </c>
    </row>
    <row r="866" spans="1:23" x14ac:dyDescent="0.2">
      <c r="A866" s="36" t="s">
        <v>3116</v>
      </c>
      <c r="B866" s="27" t="s">
        <v>3117</v>
      </c>
      <c r="C866" s="24" t="e">
        <f ca="1">[1]!BexGetData("DP_1","003N8EMH8GTFRCSWKMPXRR8GU","GSON1112060423")</f>
        <v>#NAME?</v>
      </c>
      <c r="D866" s="24" t="e">
        <f ca="1">[1]!BexGetData("DP_1","003N8EMH8GTFRCSWKMPXRRESE","GSON1112060423")</f>
        <v>#NAME?</v>
      </c>
      <c r="E866" s="24" t="e">
        <f ca="1">[1]!BexGetData("DP_1","003N8EMH8GTFRCSWKMPXRRL3Y","GSON1112060423")</f>
        <v>#NAME?</v>
      </c>
      <c r="F866" s="28" t="e">
        <f ca="1">[1]!BexGetData("DP_1","003N8EMH8GTFRCSWKMPXRRRFI","GSON1112060423")</f>
        <v>#NAME?</v>
      </c>
      <c r="G866" s="23" t="e">
        <f ca="1">[1]!BexGetData("DP_1","003N8EMH8GTFRCSWKMPXRRXR2","GSON1112060423")</f>
        <v>#NAME?</v>
      </c>
      <c r="H866" s="23" t="e">
        <f ca="1">[1]!BexGetData("DP_1","003N8EMH8GTFRCSWKMPXRS42M","GSON1112060423")</f>
        <v>#NAME?</v>
      </c>
      <c r="I866" s="28" t="e">
        <f ca="1">[1]!BexGetData("DP_1","003N8EMH8GTFRCSWKMPXRSAE6","GSON1112060423")</f>
        <v>#NAME?</v>
      </c>
      <c r="J866" s="24" t="e">
        <f ca="1">[1]!BexGetData("DP_1","003N8EMH8GTFRCSWKMPXRSGPQ","GSON1112060423")</f>
        <v>#NAME?</v>
      </c>
      <c r="K866" s="28" t="e">
        <f ca="1">[1]!BexGetData("DP_1","003N8EMH8GTFRIVNUPY288VJH","GSON1112060423")</f>
        <v>#NAME?</v>
      </c>
      <c r="L866" s="28" t="e">
        <f ca="1">[1]!BexGetData("DP_1","003N8EMH8GTFRIVNUPY2891V1","GSON1112060423")</f>
        <v>#NAME?</v>
      </c>
      <c r="M866" s="28" t="e">
        <f ca="1">[1]!BexGetData("DP_1","003N8EMH8GTFRIVOG7KG9IQXA","GSON1112060423")</f>
        <v>#NAME?</v>
      </c>
      <c r="N866" s="28" t="e">
        <f ca="1">[1]!BexGetData("DP_1","003N8EMH8GTFRIVOG7KG9IX8U","GSON1112060423")</f>
        <v>#NAME?</v>
      </c>
      <c r="O866" s="28" t="e">
        <f ca="1">[1]!BexGetData("DP_1","003N8EMH8GTFRIVOG7KG9J3KE","GSON1112060423")</f>
        <v>#NAME?</v>
      </c>
      <c r="P866" s="28" t="e">
        <f ca="1">[1]!BexGetData("DP_1","003N8EMH8GTFRIVOG7KG9J9VY","GSON1112060423")</f>
        <v>#NAME?</v>
      </c>
      <c r="Q866" s="24" t="e">
        <f ca="1">[1]!BexGetData("DP_1","00O2TNJGODT0G5Z4TTKYMM5MT","GSON1112060423")</f>
        <v>#NAME?</v>
      </c>
      <c r="R866" s="28" t="e">
        <f ca="1">[1]!BexGetData("DP_1","00O2TNJGODT0G5Z4TTKYMMBYD","GSON1112060423")</f>
        <v>#NAME?</v>
      </c>
      <c r="S866" s="28" t="e">
        <f ca="1">[1]!BexGetData("DP_1","00O2TNJGODT0G5Z4TTKYMMI9X","GSON1112060423")</f>
        <v>#NAME?</v>
      </c>
      <c r="T866" s="28" t="e">
        <f ca="1">[1]!BexGetData("DP_1","00O2TNJGODT0G5Z4TTKYMMOLH","GSON1112060423")</f>
        <v>#NAME?</v>
      </c>
      <c r="U866" s="28" t="e">
        <f ca="1">[1]!BexGetData("DP_1","00O2TNJGODT0G5Z4TTKYMMUX1","GSON1112060423")</f>
        <v>#NAME?</v>
      </c>
      <c r="V866" s="28" t="e">
        <f ca="1">[1]!BexGetData("DP_1","00O2TNJGODT0G5Z4TTKYMN18L","GSON1112060423")</f>
        <v>#NAME?</v>
      </c>
      <c r="W866" s="28" t="e">
        <f ca="1">[1]!BexGetData("DP_1","00O2TNJGODT0G5Z4TTKYMN7K5","GSON1112060423")</f>
        <v>#NAME?</v>
      </c>
    </row>
    <row r="867" spans="1:23" x14ac:dyDescent="0.2">
      <c r="A867" s="36" t="s">
        <v>3118</v>
      </c>
      <c r="B867" s="27" t="s">
        <v>3119</v>
      </c>
      <c r="C867" s="23" t="e">
        <f ca="1">[1]!BexGetData("DP_1","003N8EMH8GTFRCSWKMPXRR8GU","GSON1112060424")</f>
        <v>#NAME?</v>
      </c>
      <c r="D867" s="23" t="e">
        <f ca="1">[1]!BexGetData("DP_1","003N8EMH8GTFRCSWKMPXRRESE","GSON1112060424")</f>
        <v>#NAME?</v>
      </c>
      <c r="E867" s="28" t="e">
        <f ca="1">[1]!BexGetData("DP_1","003N8EMH8GTFRCSWKMPXRRL3Y","GSON1112060424")</f>
        <v>#NAME?</v>
      </c>
      <c r="F867" s="28" t="e">
        <f ca="1">[1]!BexGetData("DP_1","003N8EMH8GTFRCSWKMPXRRRFI","GSON1112060424")</f>
        <v>#NAME?</v>
      </c>
      <c r="G867" s="23" t="e">
        <f ca="1">[1]!BexGetData("DP_1","003N8EMH8GTFRCSWKMPXRRXR2","GSON1112060424")</f>
        <v>#NAME?</v>
      </c>
      <c r="H867" s="23" t="e">
        <f ca="1">[1]!BexGetData("DP_1","003N8EMH8GTFRCSWKMPXRS42M","GSON1112060424")</f>
        <v>#NAME?</v>
      </c>
      <c r="I867" s="28" t="e">
        <f ca="1">[1]!BexGetData("DP_1","003N8EMH8GTFRCSWKMPXRSAE6","GSON1112060424")</f>
        <v>#NAME?</v>
      </c>
      <c r="J867" s="24" t="e">
        <f ca="1">[1]!BexGetData("DP_1","003N8EMH8GTFRCSWKMPXRSGPQ","GSON1112060424")</f>
        <v>#NAME?</v>
      </c>
      <c r="K867" s="28" t="e">
        <f ca="1">[1]!BexGetData("DP_1","003N8EMH8GTFRIVNUPY288VJH","GSON1112060424")</f>
        <v>#NAME?</v>
      </c>
      <c r="L867" s="28" t="e">
        <f ca="1">[1]!BexGetData("DP_1","003N8EMH8GTFRIVNUPY2891V1","GSON1112060424")</f>
        <v>#NAME?</v>
      </c>
      <c r="M867" s="28" t="e">
        <f ca="1">[1]!BexGetData("DP_1","003N8EMH8GTFRIVOG7KG9IQXA","GSON1112060424")</f>
        <v>#NAME?</v>
      </c>
      <c r="N867" s="28" t="e">
        <f ca="1">[1]!BexGetData("DP_1","003N8EMH8GTFRIVOG7KG9IX8U","GSON1112060424")</f>
        <v>#NAME?</v>
      </c>
      <c r="O867" s="28" t="e">
        <f ca="1">[1]!BexGetData("DP_1","003N8EMH8GTFRIVOG7KG9J3KE","GSON1112060424")</f>
        <v>#NAME?</v>
      </c>
      <c r="P867" s="28" t="e">
        <f ca="1">[1]!BexGetData("DP_1","003N8EMH8GTFRIVOG7KG9J9VY","GSON1112060424")</f>
        <v>#NAME?</v>
      </c>
      <c r="Q867" s="24" t="e">
        <f ca="1">[1]!BexGetData("DP_1","00O2TNJGODT0G5Z4TTKYMM5MT","GSON1112060424")</f>
        <v>#NAME?</v>
      </c>
      <c r="R867" s="28" t="e">
        <f ca="1">[1]!BexGetData("DP_1","00O2TNJGODT0G5Z4TTKYMMBYD","GSON1112060424")</f>
        <v>#NAME?</v>
      </c>
      <c r="S867" s="28" t="e">
        <f ca="1">[1]!BexGetData("DP_1","00O2TNJGODT0G5Z4TTKYMMI9X","GSON1112060424")</f>
        <v>#NAME?</v>
      </c>
      <c r="T867" s="28" t="e">
        <f ca="1">[1]!BexGetData("DP_1","00O2TNJGODT0G5Z4TTKYMMOLH","GSON1112060424")</f>
        <v>#NAME?</v>
      </c>
      <c r="U867" s="28" t="e">
        <f ca="1">[1]!BexGetData("DP_1","00O2TNJGODT0G5Z4TTKYMMUX1","GSON1112060424")</f>
        <v>#NAME?</v>
      </c>
      <c r="V867" s="28" t="e">
        <f ca="1">[1]!BexGetData("DP_1","00O2TNJGODT0G5Z4TTKYMN18L","GSON1112060424")</f>
        <v>#NAME?</v>
      </c>
      <c r="W867" s="28" t="e">
        <f ca="1">[1]!BexGetData("DP_1","00O2TNJGODT0G5Z4TTKYMN7K5","GSON1112060424")</f>
        <v>#NAME?</v>
      </c>
    </row>
    <row r="868" spans="1:23" x14ac:dyDescent="0.2">
      <c r="A868" s="36" t="s">
        <v>3120</v>
      </c>
      <c r="B868" s="27" t="s">
        <v>3121</v>
      </c>
      <c r="C868" s="23" t="e">
        <f ca="1">[1]!BexGetData("DP_1","003N8EMH8GTFRCSWKMPXRR8GU","GSON1112060425")</f>
        <v>#NAME?</v>
      </c>
      <c r="D868" s="23" t="e">
        <f ca="1">[1]!BexGetData("DP_1","003N8EMH8GTFRCSWKMPXRRESE","GSON1112060425")</f>
        <v>#NAME?</v>
      </c>
      <c r="E868" s="28" t="e">
        <f ca="1">[1]!BexGetData("DP_1","003N8EMH8GTFRCSWKMPXRRL3Y","GSON1112060425")</f>
        <v>#NAME?</v>
      </c>
      <c r="F868" s="28" t="e">
        <f ca="1">[1]!BexGetData("DP_1","003N8EMH8GTFRCSWKMPXRRRFI","GSON1112060425")</f>
        <v>#NAME?</v>
      </c>
      <c r="G868" s="23" t="e">
        <f ca="1">[1]!BexGetData("DP_1","003N8EMH8GTFRCSWKMPXRRXR2","GSON1112060425")</f>
        <v>#NAME?</v>
      </c>
      <c r="H868" s="23" t="e">
        <f ca="1">[1]!BexGetData("DP_1","003N8EMH8GTFRCSWKMPXRS42M","GSON1112060425")</f>
        <v>#NAME?</v>
      </c>
      <c r="I868" s="28" t="e">
        <f ca="1">[1]!BexGetData("DP_1","003N8EMH8GTFRCSWKMPXRSAE6","GSON1112060425")</f>
        <v>#NAME?</v>
      </c>
      <c r="J868" s="24" t="e">
        <f ca="1">[1]!BexGetData("DP_1","003N8EMH8GTFRCSWKMPXRSGPQ","GSON1112060425")</f>
        <v>#NAME?</v>
      </c>
      <c r="K868" s="28" t="e">
        <f ca="1">[1]!BexGetData("DP_1","003N8EMH8GTFRIVNUPY288VJH","GSON1112060425")</f>
        <v>#NAME?</v>
      </c>
      <c r="L868" s="28" t="e">
        <f ca="1">[1]!BexGetData("DP_1","003N8EMH8GTFRIVNUPY2891V1","GSON1112060425")</f>
        <v>#NAME?</v>
      </c>
      <c r="M868" s="28" t="e">
        <f ca="1">[1]!BexGetData("DP_1","003N8EMH8GTFRIVOG7KG9IQXA","GSON1112060425")</f>
        <v>#NAME?</v>
      </c>
      <c r="N868" s="28" t="e">
        <f ca="1">[1]!BexGetData("DP_1","003N8EMH8GTFRIVOG7KG9IX8U","GSON1112060425")</f>
        <v>#NAME?</v>
      </c>
      <c r="O868" s="28" t="e">
        <f ca="1">[1]!BexGetData("DP_1","003N8EMH8GTFRIVOG7KG9J3KE","GSON1112060425")</f>
        <v>#NAME?</v>
      </c>
      <c r="P868" s="28" t="e">
        <f ca="1">[1]!BexGetData("DP_1","003N8EMH8GTFRIVOG7KG9J9VY","GSON1112060425")</f>
        <v>#NAME?</v>
      </c>
      <c r="Q868" s="24" t="e">
        <f ca="1">[1]!BexGetData("DP_1","00O2TNJGODT0G5Z4TTKYMM5MT","GSON1112060425")</f>
        <v>#NAME?</v>
      </c>
      <c r="R868" s="28" t="e">
        <f ca="1">[1]!BexGetData("DP_1","00O2TNJGODT0G5Z4TTKYMMBYD","GSON1112060425")</f>
        <v>#NAME?</v>
      </c>
      <c r="S868" s="28" t="e">
        <f ca="1">[1]!BexGetData("DP_1","00O2TNJGODT0G5Z4TTKYMMI9X","GSON1112060425")</f>
        <v>#NAME?</v>
      </c>
      <c r="T868" s="28" t="e">
        <f ca="1">[1]!BexGetData("DP_1","00O2TNJGODT0G5Z4TTKYMMOLH","GSON1112060425")</f>
        <v>#NAME?</v>
      </c>
      <c r="U868" s="28" t="e">
        <f ca="1">[1]!BexGetData("DP_1","00O2TNJGODT0G5Z4TTKYMMUX1","GSON1112060425")</f>
        <v>#NAME?</v>
      </c>
      <c r="V868" s="28" t="e">
        <f ca="1">[1]!BexGetData("DP_1","00O2TNJGODT0G5Z4TTKYMN18L","GSON1112060425")</f>
        <v>#NAME?</v>
      </c>
      <c r="W868" s="28" t="e">
        <f ca="1">[1]!BexGetData("DP_1","00O2TNJGODT0G5Z4TTKYMN7K5","GSON1112060425")</f>
        <v>#NAME?</v>
      </c>
    </row>
    <row r="869" spans="1:23" x14ac:dyDescent="0.2">
      <c r="A869" s="36" t="s">
        <v>3122</v>
      </c>
      <c r="B869" s="27" t="s">
        <v>3123</v>
      </c>
      <c r="C869" s="23" t="e">
        <f ca="1">[1]!BexGetData("DP_1","003N8EMH8GTFRCSWKMPXRR8GU","GSON1112060430")</f>
        <v>#NAME?</v>
      </c>
      <c r="D869" s="23" t="e">
        <f ca="1">[1]!BexGetData("DP_1","003N8EMH8GTFRCSWKMPXRRESE","GSON1112060430")</f>
        <v>#NAME?</v>
      </c>
      <c r="E869" s="23" t="e">
        <f ca="1">[1]!BexGetData("DP_1","003N8EMH8GTFRCSWKMPXRRL3Y","GSON1112060430")</f>
        <v>#NAME?</v>
      </c>
      <c r="F869" s="23" t="e">
        <f ca="1">[1]!BexGetData("DP_1","003N8EMH8GTFRCSWKMPXRRRFI","GSON1112060430")</f>
        <v>#NAME?</v>
      </c>
      <c r="G869" s="23" t="e">
        <f ca="1">[1]!BexGetData("DP_1","003N8EMH8GTFRCSWKMPXRRXR2","GSON1112060430")</f>
        <v>#NAME?</v>
      </c>
      <c r="H869" s="23" t="e">
        <f ca="1">[1]!BexGetData("DP_1","003N8EMH8GTFRCSWKMPXRS42M","GSON1112060430")</f>
        <v>#NAME?</v>
      </c>
      <c r="I869" s="23" t="e">
        <f ca="1">[1]!BexGetData("DP_1","003N8EMH8GTFRCSWKMPXRSAE6","GSON1112060430")</f>
        <v>#NAME?</v>
      </c>
      <c r="J869" s="23" t="e">
        <f ca="1">[1]!BexGetData("DP_1","003N8EMH8GTFRCSWKMPXRSGPQ","GSON1112060430")</f>
        <v>#NAME?</v>
      </c>
      <c r="K869" s="23" t="e">
        <f ca="1">[1]!BexGetData("DP_1","003N8EMH8GTFRIVNUPY288VJH","GSON1112060430")</f>
        <v>#NAME?</v>
      </c>
      <c r="L869" s="23" t="e">
        <f ca="1">[1]!BexGetData("DP_1","003N8EMH8GTFRIVNUPY2891V1","GSON1112060430")</f>
        <v>#NAME?</v>
      </c>
      <c r="M869" s="23" t="e">
        <f ca="1">[1]!BexGetData("DP_1","003N8EMH8GTFRIVOG7KG9IQXA","GSON1112060430")</f>
        <v>#NAME?</v>
      </c>
      <c r="N869" s="28" t="e">
        <f ca="1">[1]!BexGetData("DP_1","003N8EMH8GTFRIVOG7KG9IX8U","GSON1112060430")</f>
        <v>#NAME?</v>
      </c>
      <c r="O869" s="23" t="e">
        <f ca="1">[1]!BexGetData("DP_1","003N8EMH8GTFRIVOG7KG9J3KE","GSON1112060430")</f>
        <v>#NAME?</v>
      </c>
      <c r="P869" s="28" t="e">
        <f ca="1">[1]!BexGetData("DP_1","003N8EMH8GTFRIVOG7KG9J9VY","GSON1112060430")</f>
        <v>#NAME?</v>
      </c>
      <c r="Q869" s="23" t="e">
        <f ca="1">[1]!BexGetData("DP_1","00O2TNJGODT0G5Z4TTKYMM5MT","GSON1112060430")</f>
        <v>#NAME?</v>
      </c>
      <c r="R869" s="23" t="e">
        <f ca="1">[1]!BexGetData("DP_1","00O2TNJGODT0G5Z4TTKYMMBYD","GSON1112060430")</f>
        <v>#NAME?</v>
      </c>
      <c r="S869" s="23" t="e">
        <f ca="1">[1]!BexGetData("DP_1","00O2TNJGODT0G5Z4TTKYMMI9X","GSON1112060430")</f>
        <v>#NAME?</v>
      </c>
      <c r="T869" s="23" t="e">
        <f ca="1">[1]!BexGetData("DP_1","00O2TNJGODT0G5Z4TTKYMMOLH","GSON1112060430")</f>
        <v>#NAME?</v>
      </c>
      <c r="U869" s="28" t="e">
        <f ca="1">[1]!BexGetData("DP_1","00O2TNJGODT0G5Z4TTKYMMUX1","GSON1112060430")</f>
        <v>#NAME?</v>
      </c>
      <c r="V869" s="23" t="e">
        <f ca="1">[1]!BexGetData("DP_1","00O2TNJGODT0G5Z4TTKYMN18L","GSON1112060430")</f>
        <v>#NAME?</v>
      </c>
      <c r="W869" s="28" t="e">
        <f ca="1">[1]!BexGetData("DP_1","00O2TNJGODT0G5Z4TTKYMN7K5","GSON1112060430")</f>
        <v>#NAME?</v>
      </c>
    </row>
    <row r="870" spans="1:23" x14ac:dyDescent="0.2">
      <c r="A870" s="36" t="s">
        <v>3124</v>
      </c>
      <c r="B870" s="27" t="s">
        <v>3125</v>
      </c>
      <c r="C870" s="28" t="e">
        <f ca="1">[1]!BexGetData("DP_1","003N8EMH8GTFRCSWKMPXRR8GU","GSON1112060431")</f>
        <v>#NAME?</v>
      </c>
      <c r="D870" s="28" t="e">
        <f ca="1">[1]!BexGetData("DP_1","003N8EMH8GTFRCSWKMPXRRESE","GSON1112060431")</f>
        <v>#NAME?</v>
      </c>
      <c r="E870" s="28" t="e">
        <f ca="1">[1]!BexGetData("DP_1","003N8EMH8GTFRCSWKMPXRRL3Y","GSON1112060431")</f>
        <v>#NAME?</v>
      </c>
      <c r="F870" s="28" t="e">
        <f ca="1">[1]!BexGetData("DP_1","003N8EMH8GTFRCSWKMPXRRRFI","GSON1112060431")</f>
        <v>#NAME?</v>
      </c>
      <c r="G870" s="23" t="e">
        <f ca="1">[1]!BexGetData("DP_1","003N8EMH8GTFRCSWKMPXRRXR2","GSON1112060431")</f>
        <v>#NAME?</v>
      </c>
      <c r="H870" s="23" t="e">
        <f ca="1">[1]!BexGetData("DP_1","003N8EMH8GTFRCSWKMPXRS42M","GSON1112060431")</f>
        <v>#NAME?</v>
      </c>
      <c r="I870" s="28" t="e">
        <f ca="1">[1]!BexGetData("DP_1","003N8EMH8GTFRCSWKMPXRSAE6","GSON1112060431")</f>
        <v>#NAME?</v>
      </c>
      <c r="J870" s="24" t="e">
        <f ca="1">[1]!BexGetData("DP_1","003N8EMH8GTFRCSWKMPXRSGPQ","GSON1112060431")</f>
        <v>#NAME?</v>
      </c>
      <c r="K870" s="28" t="e">
        <f ca="1">[1]!BexGetData("DP_1","003N8EMH8GTFRIVNUPY288VJH","GSON1112060431")</f>
        <v>#NAME?</v>
      </c>
      <c r="L870" s="28" t="e">
        <f ca="1">[1]!BexGetData("DP_1","003N8EMH8GTFRIVNUPY2891V1","GSON1112060431")</f>
        <v>#NAME?</v>
      </c>
      <c r="M870" s="28" t="e">
        <f ca="1">[1]!BexGetData("DP_1","003N8EMH8GTFRIVOG7KG9IQXA","GSON1112060431")</f>
        <v>#NAME?</v>
      </c>
      <c r="N870" s="28" t="e">
        <f ca="1">[1]!BexGetData("DP_1","003N8EMH8GTFRIVOG7KG9IX8U","GSON1112060431")</f>
        <v>#NAME?</v>
      </c>
      <c r="O870" s="28" t="e">
        <f ca="1">[1]!BexGetData("DP_1","003N8EMH8GTFRIVOG7KG9J3KE","GSON1112060431")</f>
        <v>#NAME?</v>
      </c>
      <c r="P870" s="28" t="e">
        <f ca="1">[1]!BexGetData("DP_1","003N8EMH8GTFRIVOG7KG9J9VY","GSON1112060431")</f>
        <v>#NAME?</v>
      </c>
      <c r="Q870" s="24" t="e">
        <f ca="1">[1]!BexGetData("DP_1","00O2TNJGODT0G5Z4TTKYMM5MT","GSON1112060431")</f>
        <v>#NAME?</v>
      </c>
      <c r="R870" s="28" t="e">
        <f ca="1">[1]!BexGetData("DP_1","00O2TNJGODT0G5Z4TTKYMMBYD","GSON1112060431")</f>
        <v>#NAME?</v>
      </c>
      <c r="S870" s="28" t="e">
        <f ca="1">[1]!BexGetData("DP_1","00O2TNJGODT0G5Z4TTKYMMI9X","GSON1112060431")</f>
        <v>#NAME?</v>
      </c>
      <c r="T870" s="28" t="e">
        <f ca="1">[1]!BexGetData("DP_1","00O2TNJGODT0G5Z4TTKYMMOLH","GSON1112060431")</f>
        <v>#NAME?</v>
      </c>
      <c r="U870" s="28" t="e">
        <f ca="1">[1]!BexGetData("DP_1","00O2TNJGODT0G5Z4TTKYMMUX1","GSON1112060431")</f>
        <v>#NAME?</v>
      </c>
      <c r="V870" s="28" t="e">
        <f ca="1">[1]!BexGetData("DP_1","00O2TNJGODT0G5Z4TTKYMN18L","GSON1112060431")</f>
        <v>#NAME?</v>
      </c>
      <c r="W870" s="28" t="e">
        <f ca="1">[1]!BexGetData("DP_1","00O2TNJGODT0G5Z4TTKYMN7K5","GSON1112060431")</f>
        <v>#NAME?</v>
      </c>
    </row>
    <row r="871" spans="1:23" x14ac:dyDescent="0.2">
      <c r="A871" s="36" t="s">
        <v>3126</v>
      </c>
      <c r="B871" s="27" t="s">
        <v>3127</v>
      </c>
      <c r="C871" s="23" t="e">
        <f ca="1">[1]!BexGetData("DP_1","003N8EMH8GTFRCSWKMPXRR8GU","GSON1112060434")</f>
        <v>#NAME?</v>
      </c>
      <c r="D871" s="23" t="e">
        <f ca="1">[1]!BexGetData("DP_1","003N8EMH8GTFRCSWKMPXRRESE","GSON1112060434")</f>
        <v>#NAME?</v>
      </c>
      <c r="E871" s="28" t="e">
        <f ca="1">[1]!BexGetData("DP_1","003N8EMH8GTFRCSWKMPXRRL3Y","GSON1112060434")</f>
        <v>#NAME?</v>
      </c>
      <c r="F871" s="28" t="e">
        <f ca="1">[1]!BexGetData("DP_1","003N8EMH8GTFRCSWKMPXRRRFI","GSON1112060434")</f>
        <v>#NAME?</v>
      </c>
      <c r="G871" s="23" t="e">
        <f ca="1">[1]!BexGetData("DP_1","003N8EMH8GTFRCSWKMPXRRXR2","GSON1112060434")</f>
        <v>#NAME?</v>
      </c>
      <c r="H871" s="23" t="e">
        <f ca="1">[1]!BexGetData("DP_1","003N8EMH8GTFRCSWKMPXRS42M","GSON1112060434")</f>
        <v>#NAME?</v>
      </c>
      <c r="I871" s="28" t="e">
        <f ca="1">[1]!BexGetData("DP_1","003N8EMH8GTFRCSWKMPXRSAE6","GSON1112060434")</f>
        <v>#NAME?</v>
      </c>
      <c r="J871" s="24" t="e">
        <f ca="1">[1]!BexGetData("DP_1","003N8EMH8GTFRCSWKMPXRSGPQ","GSON1112060434")</f>
        <v>#NAME?</v>
      </c>
      <c r="K871" s="28" t="e">
        <f ca="1">[1]!BexGetData("DP_1","003N8EMH8GTFRIVNUPY288VJH","GSON1112060434")</f>
        <v>#NAME?</v>
      </c>
      <c r="L871" s="28" t="e">
        <f ca="1">[1]!BexGetData("DP_1","003N8EMH8GTFRIVNUPY2891V1","GSON1112060434")</f>
        <v>#NAME?</v>
      </c>
      <c r="M871" s="28" t="e">
        <f ca="1">[1]!BexGetData("DP_1","003N8EMH8GTFRIVOG7KG9IQXA","GSON1112060434")</f>
        <v>#NAME?</v>
      </c>
      <c r="N871" s="28" t="e">
        <f ca="1">[1]!BexGetData("DP_1","003N8EMH8GTFRIVOG7KG9IX8U","GSON1112060434")</f>
        <v>#NAME?</v>
      </c>
      <c r="O871" s="28" t="e">
        <f ca="1">[1]!BexGetData("DP_1","003N8EMH8GTFRIVOG7KG9J3KE","GSON1112060434")</f>
        <v>#NAME?</v>
      </c>
      <c r="P871" s="28" t="e">
        <f ca="1">[1]!BexGetData("DP_1","003N8EMH8GTFRIVOG7KG9J9VY","GSON1112060434")</f>
        <v>#NAME?</v>
      </c>
      <c r="Q871" s="24" t="e">
        <f ca="1">[1]!BexGetData("DP_1","00O2TNJGODT0G5Z4TTKYMM5MT","GSON1112060434")</f>
        <v>#NAME?</v>
      </c>
      <c r="R871" s="28" t="e">
        <f ca="1">[1]!BexGetData("DP_1","00O2TNJGODT0G5Z4TTKYMMBYD","GSON1112060434")</f>
        <v>#NAME?</v>
      </c>
      <c r="S871" s="28" t="e">
        <f ca="1">[1]!BexGetData("DP_1","00O2TNJGODT0G5Z4TTKYMMI9X","GSON1112060434")</f>
        <v>#NAME?</v>
      </c>
      <c r="T871" s="28" t="e">
        <f ca="1">[1]!BexGetData("DP_1","00O2TNJGODT0G5Z4TTKYMMOLH","GSON1112060434")</f>
        <v>#NAME?</v>
      </c>
      <c r="U871" s="28" t="e">
        <f ca="1">[1]!BexGetData("DP_1","00O2TNJGODT0G5Z4TTKYMMUX1","GSON1112060434")</f>
        <v>#NAME?</v>
      </c>
      <c r="V871" s="28" t="e">
        <f ca="1">[1]!BexGetData("DP_1","00O2TNJGODT0G5Z4TTKYMN18L","GSON1112060434")</f>
        <v>#NAME?</v>
      </c>
      <c r="W871" s="28" t="e">
        <f ca="1">[1]!BexGetData("DP_1","00O2TNJGODT0G5Z4TTKYMN7K5","GSON1112060434")</f>
        <v>#NAME?</v>
      </c>
    </row>
    <row r="872" spans="1:23" x14ac:dyDescent="0.2">
      <c r="A872" s="36" t="s">
        <v>3128</v>
      </c>
      <c r="B872" s="27" t="s">
        <v>3129</v>
      </c>
      <c r="C872" s="23" t="e">
        <f ca="1">[1]!BexGetData("DP_1","003N8EMH8GTFRCSWKMPXRR8GU","GSON1112060435")</f>
        <v>#NAME?</v>
      </c>
      <c r="D872" s="23" t="e">
        <f ca="1">[1]!BexGetData("DP_1","003N8EMH8GTFRCSWKMPXRRESE","GSON1112060435")</f>
        <v>#NAME?</v>
      </c>
      <c r="E872" s="28" t="e">
        <f ca="1">[1]!BexGetData("DP_1","003N8EMH8GTFRCSWKMPXRRL3Y","GSON1112060435")</f>
        <v>#NAME?</v>
      </c>
      <c r="F872" s="28" t="e">
        <f ca="1">[1]!BexGetData("DP_1","003N8EMH8GTFRCSWKMPXRRRFI","GSON1112060435")</f>
        <v>#NAME?</v>
      </c>
      <c r="G872" s="23" t="e">
        <f ca="1">[1]!BexGetData("DP_1","003N8EMH8GTFRCSWKMPXRRXR2","GSON1112060435")</f>
        <v>#NAME?</v>
      </c>
      <c r="H872" s="23" t="e">
        <f ca="1">[1]!BexGetData("DP_1","003N8EMH8GTFRCSWKMPXRS42M","GSON1112060435")</f>
        <v>#NAME?</v>
      </c>
      <c r="I872" s="28" t="e">
        <f ca="1">[1]!BexGetData("DP_1","003N8EMH8GTFRCSWKMPXRSAE6","GSON1112060435")</f>
        <v>#NAME?</v>
      </c>
      <c r="J872" s="24" t="e">
        <f ca="1">[1]!BexGetData("DP_1","003N8EMH8GTFRCSWKMPXRSGPQ","GSON1112060435")</f>
        <v>#NAME?</v>
      </c>
      <c r="K872" s="28" t="e">
        <f ca="1">[1]!BexGetData("DP_1","003N8EMH8GTFRIVNUPY288VJH","GSON1112060435")</f>
        <v>#NAME?</v>
      </c>
      <c r="L872" s="28" t="e">
        <f ca="1">[1]!BexGetData("DP_1","003N8EMH8GTFRIVNUPY2891V1","GSON1112060435")</f>
        <v>#NAME?</v>
      </c>
      <c r="M872" s="28" t="e">
        <f ca="1">[1]!BexGetData("DP_1","003N8EMH8GTFRIVOG7KG9IQXA","GSON1112060435")</f>
        <v>#NAME?</v>
      </c>
      <c r="N872" s="28" t="e">
        <f ca="1">[1]!BexGetData("DP_1","003N8EMH8GTFRIVOG7KG9IX8U","GSON1112060435")</f>
        <v>#NAME?</v>
      </c>
      <c r="O872" s="28" t="e">
        <f ca="1">[1]!BexGetData("DP_1","003N8EMH8GTFRIVOG7KG9J3KE","GSON1112060435")</f>
        <v>#NAME?</v>
      </c>
      <c r="P872" s="28" t="e">
        <f ca="1">[1]!BexGetData("DP_1","003N8EMH8GTFRIVOG7KG9J9VY","GSON1112060435")</f>
        <v>#NAME?</v>
      </c>
      <c r="Q872" s="24" t="e">
        <f ca="1">[1]!BexGetData("DP_1","00O2TNJGODT0G5Z4TTKYMM5MT","GSON1112060435")</f>
        <v>#NAME?</v>
      </c>
      <c r="R872" s="28" t="e">
        <f ca="1">[1]!BexGetData("DP_1","00O2TNJGODT0G5Z4TTKYMMBYD","GSON1112060435")</f>
        <v>#NAME?</v>
      </c>
      <c r="S872" s="28" t="e">
        <f ca="1">[1]!BexGetData("DP_1","00O2TNJGODT0G5Z4TTKYMMI9X","GSON1112060435")</f>
        <v>#NAME?</v>
      </c>
      <c r="T872" s="28" t="e">
        <f ca="1">[1]!BexGetData("DP_1","00O2TNJGODT0G5Z4TTKYMMOLH","GSON1112060435")</f>
        <v>#NAME?</v>
      </c>
      <c r="U872" s="28" t="e">
        <f ca="1">[1]!BexGetData("DP_1","00O2TNJGODT0G5Z4TTKYMMUX1","GSON1112060435")</f>
        <v>#NAME?</v>
      </c>
      <c r="V872" s="28" t="e">
        <f ca="1">[1]!BexGetData("DP_1","00O2TNJGODT0G5Z4TTKYMN18L","GSON1112060435")</f>
        <v>#NAME?</v>
      </c>
      <c r="W872" s="28" t="e">
        <f ca="1">[1]!BexGetData("DP_1","00O2TNJGODT0G5Z4TTKYMN7K5","GSON1112060435")</f>
        <v>#NAME?</v>
      </c>
    </row>
    <row r="873" spans="1:23" x14ac:dyDescent="0.2">
      <c r="A873" s="36" t="s">
        <v>3130</v>
      </c>
      <c r="B873" s="27" t="s">
        <v>3131</v>
      </c>
      <c r="C873" s="23" t="e">
        <f ca="1">[1]!BexGetData("DP_1","003N8EMH8GTFRCSWKMPXRR8GU","GSON1112060440")</f>
        <v>#NAME?</v>
      </c>
      <c r="D873" s="23" t="e">
        <f ca="1">[1]!BexGetData("DP_1","003N8EMH8GTFRCSWKMPXRRESE","GSON1112060440")</f>
        <v>#NAME?</v>
      </c>
      <c r="E873" s="23" t="e">
        <f ca="1">[1]!BexGetData("DP_1","003N8EMH8GTFRCSWKMPXRRL3Y","GSON1112060440")</f>
        <v>#NAME?</v>
      </c>
      <c r="F873" s="23" t="e">
        <f ca="1">[1]!BexGetData("DP_1","003N8EMH8GTFRCSWKMPXRRRFI","GSON1112060440")</f>
        <v>#NAME?</v>
      </c>
      <c r="G873" s="23" t="e">
        <f ca="1">[1]!BexGetData("DP_1","003N8EMH8GTFRCSWKMPXRRXR2","GSON1112060440")</f>
        <v>#NAME?</v>
      </c>
      <c r="H873" s="23" t="e">
        <f ca="1">[1]!BexGetData("DP_1","003N8EMH8GTFRCSWKMPXRS42M","GSON1112060440")</f>
        <v>#NAME?</v>
      </c>
      <c r="I873" s="23" t="e">
        <f ca="1">[1]!BexGetData("DP_1","003N8EMH8GTFRCSWKMPXRSAE6","GSON1112060440")</f>
        <v>#NAME?</v>
      </c>
      <c r="J873" s="23" t="e">
        <f ca="1">[1]!BexGetData("DP_1","003N8EMH8GTFRCSWKMPXRSGPQ","GSON1112060440")</f>
        <v>#NAME?</v>
      </c>
      <c r="K873" s="23" t="e">
        <f ca="1">[1]!BexGetData("DP_1","003N8EMH8GTFRIVNUPY288VJH","GSON1112060440")</f>
        <v>#NAME?</v>
      </c>
      <c r="L873" s="23" t="e">
        <f ca="1">[1]!BexGetData("DP_1","003N8EMH8GTFRIVNUPY2891V1","GSON1112060440")</f>
        <v>#NAME?</v>
      </c>
      <c r="M873" s="23" t="e">
        <f ca="1">[1]!BexGetData("DP_1","003N8EMH8GTFRIVOG7KG9IQXA","GSON1112060440")</f>
        <v>#NAME?</v>
      </c>
      <c r="N873" s="28" t="e">
        <f ca="1">[1]!BexGetData("DP_1","003N8EMH8GTFRIVOG7KG9IX8U","GSON1112060440")</f>
        <v>#NAME?</v>
      </c>
      <c r="O873" s="23" t="e">
        <f ca="1">[1]!BexGetData("DP_1","003N8EMH8GTFRIVOG7KG9J3KE","GSON1112060440")</f>
        <v>#NAME?</v>
      </c>
      <c r="P873" s="28" t="e">
        <f ca="1">[1]!BexGetData("DP_1","003N8EMH8GTFRIVOG7KG9J9VY","GSON1112060440")</f>
        <v>#NAME?</v>
      </c>
      <c r="Q873" s="23" t="e">
        <f ca="1">[1]!BexGetData("DP_1","00O2TNJGODT0G5Z4TTKYMM5MT","GSON1112060440")</f>
        <v>#NAME?</v>
      </c>
      <c r="R873" s="23" t="e">
        <f ca="1">[1]!BexGetData("DP_1","00O2TNJGODT0G5Z4TTKYMMBYD","GSON1112060440")</f>
        <v>#NAME?</v>
      </c>
      <c r="S873" s="23" t="e">
        <f ca="1">[1]!BexGetData("DP_1","00O2TNJGODT0G5Z4TTKYMMI9X","GSON1112060440")</f>
        <v>#NAME?</v>
      </c>
      <c r="T873" s="23" t="e">
        <f ca="1">[1]!BexGetData("DP_1","00O2TNJGODT0G5Z4TTKYMMOLH","GSON1112060440")</f>
        <v>#NAME?</v>
      </c>
      <c r="U873" s="28" t="e">
        <f ca="1">[1]!BexGetData("DP_1","00O2TNJGODT0G5Z4TTKYMMUX1","GSON1112060440")</f>
        <v>#NAME?</v>
      </c>
      <c r="V873" s="23" t="e">
        <f ca="1">[1]!BexGetData("DP_1","00O2TNJGODT0G5Z4TTKYMN18L","GSON1112060440")</f>
        <v>#NAME?</v>
      </c>
      <c r="W873" s="28" t="e">
        <f ca="1">[1]!BexGetData("DP_1","00O2TNJGODT0G5Z4TTKYMN7K5","GSON1112060440")</f>
        <v>#NAME?</v>
      </c>
    </row>
    <row r="874" spans="1:23" x14ac:dyDescent="0.2">
      <c r="A874" s="36" t="s">
        <v>3132</v>
      </c>
      <c r="B874" s="27" t="s">
        <v>3133</v>
      </c>
      <c r="C874" s="28" t="e">
        <f ca="1">[1]!BexGetData("DP_1","003N8EMH8GTFRCSWKMPXRR8GU","GSON1112060441")</f>
        <v>#NAME?</v>
      </c>
      <c r="D874" s="28" t="e">
        <f ca="1">[1]!BexGetData("DP_1","003N8EMH8GTFRCSWKMPXRRESE","GSON1112060441")</f>
        <v>#NAME?</v>
      </c>
      <c r="E874" s="28" t="e">
        <f ca="1">[1]!BexGetData("DP_1","003N8EMH8GTFRCSWKMPXRRL3Y","GSON1112060441")</f>
        <v>#NAME?</v>
      </c>
      <c r="F874" s="28" t="e">
        <f ca="1">[1]!BexGetData("DP_1","003N8EMH8GTFRCSWKMPXRRRFI","GSON1112060441")</f>
        <v>#NAME?</v>
      </c>
      <c r="G874" s="23" t="e">
        <f ca="1">[1]!BexGetData("DP_1","003N8EMH8GTFRCSWKMPXRRXR2","GSON1112060441")</f>
        <v>#NAME?</v>
      </c>
      <c r="H874" s="23" t="e">
        <f ca="1">[1]!BexGetData("DP_1","003N8EMH8GTFRCSWKMPXRS42M","GSON1112060441")</f>
        <v>#NAME?</v>
      </c>
      <c r="I874" s="28" t="e">
        <f ca="1">[1]!BexGetData("DP_1","003N8EMH8GTFRCSWKMPXRSAE6","GSON1112060441")</f>
        <v>#NAME?</v>
      </c>
      <c r="J874" s="24" t="e">
        <f ca="1">[1]!BexGetData("DP_1","003N8EMH8GTFRCSWKMPXRSGPQ","GSON1112060441")</f>
        <v>#NAME?</v>
      </c>
      <c r="K874" s="28" t="e">
        <f ca="1">[1]!BexGetData("DP_1","003N8EMH8GTFRIVNUPY288VJH","GSON1112060441")</f>
        <v>#NAME?</v>
      </c>
      <c r="L874" s="28" t="e">
        <f ca="1">[1]!BexGetData("DP_1","003N8EMH8GTFRIVNUPY2891V1","GSON1112060441")</f>
        <v>#NAME?</v>
      </c>
      <c r="M874" s="28" t="e">
        <f ca="1">[1]!BexGetData("DP_1","003N8EMH8GTFRIVOG7KG9IQXA","GSON1112060441")</f>
        <v>#NAME?</v>
      </c>
      <c r="N874" s="28" t="e">
        <f ca="1">[1]!BexGetData("DP_1","003N8EMH8GTFRIVOG7KG9IX8U","GSON1112060441")</f>
        <v>#NAME?</v>
      </c>
      <c r="O874" s="28" t="e">
        <f ca="1">[1]!BexGetData("DP_1","003N8EMH8GTFRIVOG7KG9J3KE","GSON1112060441")</f>
        <v>#NAME?</v>
      </c>
      <c r="P874" s="28" t="e">
        <f ca="1">[1]!BexGetData("DP_1","003N8EMH8GTFRIVOG7KG9J9VY","GSON1112060441")</f>
        <v>#NAME?</v>
      </c>
      <c r="Q874" s="24" t="e">
        <f ca="1">[1]!BexGetData("DP_1","00O2TNJGODT0G5Z4TTKYMM5MT","GSON1112060441")</f>
        <v>#NAME?</v>
      </c>
      <c r="R874" s="28" t="e">
        <f ca="1">[1]!BexGetData("DP_1","00O2TNJGODT0G5Z4TTKYMMBYD","GSON1112060441")</f>
        <v>#NAME?</v>
      </c>
      <c r="S874" s="28" t="e">
        <f ca="1">[1]!BexGetData("DP_1","00O2TNJGODT0G5Z4TTKYMMI9X","GSON1112060441")</f>
        <v>#NAME?</v>
      </c>
      <c r="T874" s="28" t="e">
        <f ca="1">[1]!BexGetData("DP_1","00O2TNJGODT0G5Z4TTKYMMOLH","GSON1112060441")</f>
        <v>#NAME?</v>
      </c>
      <c r="U874" s="28" t="e">
        <f ca="1">[1]!BexGetData("DP_1","00O2TNJGODT0G5Z4TTKYMMUX1","GSON1112060441")</f>
        <v>#NAME?</v>
      </c>
      <c r="V874" s="28" t="e">
        <f ca="1">[1]!BexGetData("DP_1","00O2TNJGODT0G5Z4TTKYMN18L","GSON1112060441")</f>
        <v>#NAME?</v>
      </c>
      <c r="W874" s="28" t="e">
        <f ca="1">[1]!BexGetData("DP_1","00O2TNJGODT0G5Z4TTKYMN7K5","GSON1112060441")</f>
        <v>#NAME?</v>
      </c>
    </row>
    <row r="875" spans="1:23" x14ac:dyDescent="0.2">
      <c r="A875" s="36" t="s">
        <v>3134</v>
      </c>
      <c r="B875" s="27" t="s">
        <v>3135</v>
      </c>
      <c r="C875" s="23" t="e">
        <f ca="1">[1]!BexGetData("DP_1","003N8EMH8GTFRCSWKMPXRR8GU","GSON1112060444")</f>
        <v>#NAME?</v>
      </c>
      <c r="D875" s="23" t="e">
        <f ca="1">[1]!BexGetData("DP_1","003N8EMH8GTFRCSWKMPXRRESE","GSON1112060444")</f>
        <v>#NAME?</v>
      </c>
      <c r="E875" s="28" t="e">
        <f ca="1">[1]!BexGetData("DP_1","003N8EMH8GTFRCSWKMPXRRL3Y","GSON1112060444")</f>
        <v>#NAME?</v>
      </c>
      <c r="F875" s="28" t="e">
        <f ca="1">[1]!BexGetData("DP_1","003N8EMH8GTFRCSWKMPXRRRFI","GSON1112060444")</f>
        <v>#NAME?</v>
      </c>
      <c r="G875" s="23" t="e">
        <f ca="1">[1]!BexGetData("DP_1","003N8EMH8GTFRCSWKMPXRRXR2","GSON1112060444")</f>
        <v>#NAME?</v>
      </c>
      <c r="H875" s="23" t="e">
        <f ca="1">[1]!BexGetData("DP_1","003N8EMH8GTFRCSWKMPXRS42M","GSON1112060444")</f>
        <v>#NAME?</v>
      </c>
      <c r="I875" s="28" t="e">
        <f ca="1">[1]!BexGetData("DP_1","003N8EMH8GTFRCSWKMPXRSAE6","GSON1112060444")</f>
        <v>#NAME?</v>
      </c>
      <c r="J875" s="24" t="e">
        <f ca="1">[1]!BexGetData("DP_1","003N8EMH8GTFRCSWKMPXRSGPQ","GSON1112060444")</f>
        <v>#NAME?</v>
      </c>
      <c r="K875" s="28" t="e">
        <f ca="1">[1]!BexGetData("DP_1","003N8EMH8GTFRIVNUPY288VJH","GSON1112060444")</f>
        <v>#NAME?</v>
      </c>
      <c r="L875" s="28" t="e">
        <f ca="1">[1]!BexGetData("DP_1","003N8EMH8GTFRIVNUPY2891V1","GSON1112060444")</f>
        <v>#NAME?</v>
      </c>
      <c r="M875" s="28" t="e">
        <f ca="1">[1]!BexGetData("DP_1","003N8EMH8GTFRIVOG7KG9IQXA","GSON1112060444")</f>
        <v>#NAME?</v>
      </c>
      <c r="N875" s="28" t="e">
        <f ca="1">[1]!BexGetData("DP_1","003N8EMH8GTFRIVOG7KG9IX8U","GSON1112060444")</f>
        <v>#NAME?</v>
      </c>
      <c r="O875" s="28" t="e">
        <f ca="1">[1]!BexGetData("DP_1","003N8EMH8GTFRIVOG7KG9J3KE","GSON1112060444")</f>
        <v>#NAME?</v>
      </c>
      <c r="P875" s="28" t="e">
        <f ca="1">[1]!BexGetData("DP_1","003N8EMH8GTFRIVOG7KG9J9VY","GSON1112060444")</f>
        <v>#NAME?</v>
      </c>
      <c r="Q875" s="24" t="e">
        <f ca="1">[1]!BexGetData("DP_1","00O2TNJGODT0G5Z4TTKYMM5MT","GSON1112060444")</f>
        <v>#NAME?</v>
      </c>
      <c r="R875" s="28" t="e">
        <f ca="1">[1]!BexGetData("DP_1","00O2TNJGODT0G5Z4TTKYMMBYD","GSON1112060444")</f>
        <v>#NAME?</v>
      </c>
      <c r="S875" s="28" t="e">
        <f ca="1">[1]!BexGetData("DP_1","00O2TNJGODT0G5Z4TTKYMMI9X","GSON1112060444")</f>
        <v>#NAME?</v>
      </c>
      <c r="T875" s="28" t="e">
        <f ca="1">[1]!BexGetData("DP_1","00O2TNJGODT0G5Z4TTKYMMOLH","GSON1112060444")</f>
        <v>#NAME?</v>
      </c>
      <c r="U875" s="28" t="e">
        <f ca="1">[1]!BexGetData("DP_1","00O2TNJGODT0G5Z4TTKYMMUX1","GSON1112060444")</f>
        <v>#NAME?</v>
      </c>
      <c r="V875" s="28" t="e">
        <f ca="1">[1]!BexGetData("DP_1","00O2TNJGODT0G5Z4TTKYMN18L","GSON1112060444")</f>
        <v>#NAME?</v>
      </c>
      <c r="W875" s="28" t="e">
        <f ca="1">[1]!BexGetData("DP_1","00O2TNJGODT0G5Z4TTKYMN7K5","GSON1112060444")</f>
        <v>#NAME?</v>
      </c>
    </row>
    <row r="876" spans="1:23" x14ac:dyDescent="0.2">
      <c r="A876" s="36" t="s">
        <v>3136</v>
      </c>
      <c r="B876" s="27" t="s">
        <v>3137</v>
      </c>
      <c r="C876" s="23" t="e">
        <f ca="1">[1]!BexGetData("DP_1","003N8EMH8GTFRCSWKMPXRR8GU","GSON1112060445")</f>
        <v>#NAME?</v>
      </c>
      <c r="D876" s="23" t="e">
        <f ca="1">[1]!BexGetData("DP_1","003N8EMH8GTFRCSWKMPXRRESE","GSON1112060445")</f>
        <v>#NAME?</v>
      </c>
      <c r="E876" s="28" t="e">
        <f ca="1">[1]!BexGetData("DP_1","003N8EMH8GTFRCSWKMPXRRL3Y","GSON1112060445")</f>
        <v>#NAME?</v>
      </c>
      <c r="F876" s="28" t="e">
        <f ca="1">[1]!BexGetData("DP_1","003N8EMH8GTFRCSWKMPXRRRFI","GSON1112060445")</f>
        <v>#NAME?</v>
      </c>
      <c r="G876" s="23" t="e">
        <f ca="1">[1]!BexGetData("DP_1","003N8EMH8GTFRCSWKMPXRRXR2","GSON1112060445")</f>
        <v>#NAME?</v>
      </c>
      <c r="H876" s="23" t="e">
        <f ca="1">[1]!BexGetData("DP_1","003N8EMH8GTFRCSWKMPXRS42M","GSON1112060445")</f>
        <v>#NAME?</v>
      </c>
      <c r="I876" s="28" t="e">
        <f ca="1">[1]!BexGetData("DP_1","003N8EMH8GTFRCSWKMPXRSAE6","GSON1112060445")</f>
        <v>#NAME?</v>
      </c>
      <c r="J876" s="24" t="e">
        <f ca="1">[1]!BexGetData("DP_1","003N8EMH8GTFRCSWKMPXRSGPQ","GSON1112060445")</f>
        <v>#NAME?</v>
      </c>
      <c r="K876" s="28" t="e">
        <f ca="1">[1]!BexGetData("DP_1","003N8EMH8GTFRIVNUPY288VJH","GSON1112060445")</f>
        <v>#NAME?</v>
      </c>
      <c r="L876" s="28" t="e">
        <f ca="1">[1]!BexGetData("DP_1","003N8EMH8GTFRIVNUPY2891V1","GSON1112060445")</f>
        <v>#NAME?</v>
      </c>
      <c r="M876" s="28" t="e">
        <f ca="1">[1]!BexGetData("DP_1","003N8EMH8GTFRIVOG7KG9IQXA","GSON1112060445")</f>
        <v>#NAME?</v>
      </c>
      <c r="N876" s="28" t="e">
        <f ca="1">[1]!BexGetData("DP_1","003N8EMH8GTFRIVOG7KG9IX8U","GSON1112060445")</f>
        <v>#NAME?</v>
      </c>
      <c r="O876" s="28" t="e">
        <f ca="1">[1]!BexGetData("DP_1","003N8EMH8GTFRIVOG7KG9J3KE","GSON1112060445")</f>
        <v>#NAME?</v>
      </c>
      <c r="P876" s="28" t="e">
        <f ca="1">[1]!BexGetData("DP_1","003N8EMH8GTFRIVOG7KG9J9VY","GSON1112060445")</f>
        <v>#NAME?</v>
      </c>
      <c r="Q876" s="24" t="e">
        <f ca="1">[1]!BexGetData("DP_1","00O2TNJGODT0G5Z4TTKYMM5MT","GSON1112060445")</f>
        <v>#NAME?</v>
      </c>
      <c r="R876" s="28" t="e">
        <f ca="1">[1]!BexGetData("DP_1","00O2TNJGODT0G5Z4TTKYMMBYD","GSON1112060445")</f>
        <v>#NAME?</v>
      </c>
      <c r="S876" s="28" t="e">
        <f ca="1">[1]!BexGetData("DP_1","00O2TNJGODT0G5Z4TTKYMMI9X","GSON1112060445")</f>
        <v>#NAME?</v>
      </c>
      <c r="T876" s="28" t="e">
        <f ca="1">[1]!BexGetData("DP_1","00O2TNJGODT0G5Z4TTKYMMOLH","GSON1112060445")</f>
        <v>#NAME?</v>
      </c>
      <c r="U876" s="28" t="e">
        <f ca="1">[1]!BexGetData("DP_1","00O2TNJGODT0G5Z4TTKYMMUX1","GSON1112060445")</f>
        <v>#NAME?</v>
      </c>
      <c r="V876" s="28" t="e">
        <f ca="1">[1]!BexGetData("DP_1","00O2TNJGODT0G5Z4TTKYMN18L","GSON1112060445")</f>
        <v>#NAME?</v>
      </c>
      <c r="W876" s="28" t="e">
        <f ca="1">[1]!BexGetData("DP_1","00O2TNJGODT0G5Z4TTKYMN7K5","GSON1112060445")</f>
        <v>#NAME?</v>
      </c>
    </row>
    <row r="877" spans="1:23" x14ac:dyDescent="0.2">
      <c r="A877" s="36" t="s">
        <v>966</v>
      </c>
      <c r="B877" s="27" t="s">
        <v>967</v>
      </c>
      <c r="C877" s="23" t="e">
        <f ca="1">[1]!BexGetData("DP_1","003N8EMH8GTFRCSWKMPXRR8GU","GSON1112060450")</f>
        <v>#NAME?</v>
      </c>
      <c r="D877" s="23" t="e">
        <f ca="1">[1]!BexGetData("DP_1","003N8EMH8GTFRCSWKMPXRRESE","GSON1112060450")</f>
        <v>#NAME?</v>
      </c>
      <c r="E877" s="23" t="e">
        <f ca="1">[1]!BexGetData("DP_1","003N8EMH8GTFRCSWKMPXRRL3Y","GSON1112060450")</f>
        <v>#NAME?</v>
      </c>
      <c r="F877" s="23" t="e">
        <f ca="1">[1]!BexGetData("DP_1","003N8EMH8GTFRCSWKMPXRRRFI","GSON1112060450")</f>
        <v>#NAME?</v>
      </c>
      <c r="G877" s="23" t="e">
        <f ca="1">[1]!BexGetData("DP_1","003N8EMH8GTFRCSWKMPXRRXR2","GSON1112060450")</f>
        <v>#NAME?</v>
      </c>
      <c r="H877" s="23" t="e">
        <f ca="1">[1]!BexGetData("DP_1","003N8EMH8GTFRCSWKMPXRS42M","GSON1112060450")</f>
        <v>#NAME?</v>
      </c>
      <c r="I877" s="23" t="e">
        <f ca="1">[1]!BexGetData("DP_1","003N8EMH8GTFRCSWKMPXRSAE6","GSON1112060450")</f>
        <v>#NAME?</v>
      </c>
      <c r="J877" s="23" t="e">
        <f ca="1">[1]!BexGetData("DP_1","003N8EMH8GTFRCSWKMPXRSGPQ","GSON1112060450")</f>
        <v>#NAME?</v>
      </c>
      <c r="K877" s="23" t="e">
        <f ca="1">[1]!BexGetData("DP_1","003N8EMH8GTFRIVNUPY288VJH","GSON1112060450")</f>
        <v>#NAME?</v>
      </c>
      <c r="L877" s="23" t="e">
        <f ca="1">[1]!BexGetData("DP_1","003N8EMH8GTFRIVNUPY2891V1","GSON1112060450")</f>
        <v>#NAME?</v>
      </c>
      <c r="M877" s="28" t="e">
        <f ca="1">[1]!BexGetData("DP_1","003N8EMH8GTFRIVOG7KG9IQXA","GSON1112060450")</f>
        <v>#NAME?</v>
      </c>
      <c r="N877" s="23" t="e">
        <f ca="1">[1]!BexGetData("DP_1","003N8EMH8GTFRIVOG7KG9IX8U","GSON1112060450")</f>
        <v>#NAME?</v>
      </c>
      <c r="O877" s="28" t="e">
        <f ca="1">[1]!BexGetData("DP_1","003N8EMH8GTFRIVOG7KG9J3KE","GSON1112060450")</f>
        <v>#NAME?</v>
      </c>
      <c r="P877" s="23" t="e">
        <f ca="1">[1]!BexGetData("DP_1","003N8EMH8GTFRIVOG7KG9J9VY","GSON1112060450")</f>
        <v>#NAME?</v>
      </c>
      <c r="Q877" s="23" t="e">
        <f ca="1">[1]!BexGetData("DP_1","00O2TNJGODT0G5Z4TTKYMM5MT","GSON1112060450")</f>
        <v>#NAME?</v>
      </c>
      <c r="R877" s="23" t="e">
        <f ca="1">[1]!BexGetData("DP_1","00O2TNJGODT0G5Z4TTKYMMBYD","GSON1112060450")</f>
        <v>#NAME?</v>
      </c>
      <c r="S877" s="23" t="e">
        <f ca="1">[1]!BexGetData("DP_1","00O2TNJGODT0G5Z4TTKYMMI9X","GSON1112060450")</f>
        <v>#NAME?</v>
      </c>
      <c r="T877" s="23" t="e">
        <f ca="1">[1]!BexGetData("DP_1","00O2TNJGODT0G5Z4TTKYMMOLH","GSON1112060450")</f>
        <v>#NAME?</v>
      </c>
      <c r="U877" s="28" t="e">
        <f ca="1">[1]!BexGetData("DP_1","00O2TNJGODT0G5Z4TTKYMMUX1","GSON1112060450")</f>
        <v>#NAME?</v>
      </c>
      <c r="V877" s="23" t="e">
        <f ca="1">[1]!BexGetData("DP_1","00O2TNJGODT0G5Z4TTKYMN18L","GSON1112060450")</f>
        <v>#NAME?</v>
      </c>
      <c r="W877" s="28" t="e">
        <f ca="1">[1]!BexGetData("DP_1","00O2TNJGODT0G5Z4TTKYMN7K5","GSON1112060450")</f>
        <v>#NAME?</v>
      </c>
    </row>
    <row r="878" spans="1:23" x14ac:dyDescent="0.2">
      <c r="A878" s="36" t="s">
        <v>3138</v>
      </c>
      <c r="B878" s="27" t="s">
        <v>3139</v>
      </c>
      <c r="C878" s="23" t="e">
        <f ca="1">[1]!BexGetData("DP_1","003N8EMH8GTFRCSWKMPXRR8GU","GSON1112060451")</f>
        <v>#NAME?</v>
      </c>
      <c r="D878" s="23" t="e">
        <f ca="1">[1]!BexGetData("DP_1","003N8EMH8GTFRCSWKMPXRRESE","GSON1112060451")</f>
        <v>#NAME?</v>
      </c>
      <c r="E878" s="28" t="e">
        <f ca="1">[1]!BexGetData("DP_1","003N8EMH8GTFRCSWKMPXRRL3Y","GSON1112060451")</f>
        <v>#NAME?</v>
      </c>
      <c r="F878" s="28" t="e">
        <f ca="1">[1]!BexGetData("DP_1","003N8EMH8GTFRCSWKMPXRRRFI","GSON1112060451")</f>
        <v>#NAME?</v>
      </c>
      <c r="G878" s="23" t="e">
        <f ca="1">[1]!BexGetData("DP_1","003N8EMH8GTFRCSWKMPXRRXR2","GSON1112060451")</f>
        <v>#NAME?</v>
      </c>
      <c r="H878" s="23" t="e">
        <f ca="1">[1]!BexGetData("DP_1","003N8EMH8GTFRCSWKMPXRS42M","GSON1112060451")</f>
        <v>#NAME?</v>
      </c>
      <c r="I878" s="28" t="e">
        <f ca="1">[1]!BexGetData("DP_1","003N8EMH8GTFRCSWKMPXRSAE6","GSON1112060451")</f>
        <v>#NAME?</v>
      </c>
      <c r="J878" s="24" t="e">
        <f ca="1">[1]!BexGetData("DP_1","003N8EMH8GTFRCSWKMPXRSGPQ","GSON1112060451")</f>
        <v>#NAME?</v>
      </c>
      <c r="K878" s="28" t="e">
        <f ca="1">[1]!BexGetData("DP_1","003N8EMH8GTFRIVNUPY288VJH","GSON1112060451")</f>
        <v>#NAME?</v>
      </c>
      <c r="L878" s="28" t="e">
        <f ca="1">[1]!BexGetData("DP_1","003N8EMH8GTFRIVNUPY2891V1","GSON1112060451")</f>
        <v>#NAME?</v>
      </c>
      <c r="M878" s="28" t="e">
        <f ca="1">[1]!BexGetData("DP_1","003N8EMH8GTFRIVOG7KG9IQXA","GSON1112060451")</f>
        <v>#NAME?</v>
      </c>
      <c r="N878" s="28" t="e">
        <f ca="1">[1]!BexGetData("DP_1","003N8EMH8GTFRIVOG7KG9IX8U","GSON1112060451")</f>
        <v>#NAME?</v>
      </c>
      <c r="O878" s="28" t="e">
        <f ca="1">[1]!BexGetData("DP_1","003N8EMH8GTFRIVOG7KG9J3KE","GSON1112060451")</f>
        <v>#NAME?</v>
      </c>
      <c r="P878" s="28" t="e">
        <f ca="1">[1]!BexGetData("DP_1","003N8EMH8GTFRIVOG7KG9J9VY","GSON1112060451")</f>
        <v>#NAME?</v>
      </c>
      <c r="Q878" s="24" t="e">
        <f ca="1">[1]!BexGetData("DP_1","00O2TNJGODT0G5Z4TTKYMM5MT","GSON1112060451")</f>
        <v>#NAME?</v>
      </c>
      <c r="R878" s="28" t="e">
        <f ca="1">[1]!BexGetData("DP_1","00O2TNJGODT0G5Z4TTKYMMBYD","GSON1112060451")</f>
        <v>#NAME?</v>
      </c>
      <c r="S878" s="28" t="e">
        <f ca="1">[1]!BexGetData("DP_1","00O2TNJGODT0G5Z4TTKYMMI9X","GSON1112060451")</f>
        <v>#NAME?</v>
      </c>
      <c r="T878" s="28" t="e">
        <f ca="1">[1]!BexGetData("DP_1","00O2TNJGODT0G5Z4TTKYMMOLH","GSON1112060451")</f>
        <v>#NAME?</v>
      </c>
      <c r="U878" s="28" t="e">
        <f ca="1">[1]!BexGetData("DP_1","00O2TNJGODT0G5Z4TTKYMMUX1","GSON1112060451")</f>
        <v>#NAME?</v>
      </c>
      <c r="V878" s="28" t="e">
        <f ca="1">[1]!BexGetData("DP_1","00O2TNJGODT0G5Z4TTKYMN18L","GSON1112060451")</f>
        <v>#NAME?</v>
      </c>
      <c r="W878" s="28" t="e">
        <f ca="1">[1]!BexGetData("DP_1","00O2TNJGODT0G5Z4TTKYMN7K5","GSON1112060451")</f>
        <v>#NAME?</v>
      </c>
    </row>
    <row r="879" spans="1:23" x14ac:dyDescent="0.2">
      <c r="A879" s="36" t="s">
        <v>3140</v>
      </c>
      <c r="B879" s="27" t="s">
        <v>968</v>
      </c>
      <c r="C879" s="23" t="e">
        <f ca="1">[1]!BexGetData("DP_1","003N8EMH8GTFRCSWKMPXRR8GU","GSON1112060452")</f>
        <v>#NAME?</v>
      </c>
      <c r="D879" s="23" t="e">
        <f ca="1">[1]!BexGetData("DP_1","003N8EMH8GTFRCSWKMPXRRESE","GSON1112060452")</f>
        <v>#NAME?</v>
      </c>
      <c r="E879" s="28" t="e">
        <f ca="1">[1]!BexGetData("DP_1","003N8EMH8GTFRCSWKMPXRRL3Y","GSON1112060452")</f>
        <v>#NAME?</v>
      </c>
      <c r="F879" s="28" t="e">
        <f ca="1">[1]!BexGetData("DP_1","003N8EMH8GTFRCSWKMPXRRRFI","GSON1112060452")</f>
        <v>#NAME?</v>
      </c>
      <c r="G879" s="23" t="e">
        <f ca="1">[1]!BexGetData("DP_1","003N8EMH8GTFRCSWKMPXRRXR2","GSON1112060452")</f>
        <v>#NAME?</v>
      </c>
      <c r="H879" s="23" t="e">
        <f ca="1">[1]!BexGetData("DP_1","003N8EMH8GTFRCSWKMPXRS42M","GSON1112060452")</f>
        <v>#NAME?</v>
      </c>
      <c r="I879" s="28" t="e">
        <f ca="1">[1]!BexGetData("DP_1","003N8EMH8GTFRCSWKMPXRSAE6","GSON1112060452")</f>
        <v>#NAME?</v>
      </c>
      <c r="J879" s="23" t="e">
        <f ca="1">[1]!BexGetData("DP_1","003N8EMH8GTFRCSWKMPXRSGPQ","GSON1112060452")</f>
        <v>#NAME?</v>
      </c>
      <c r="K879" s="28" t="e">
        <f ca="1">[1]!BexGetData("DP_1","003N8EMH8GTFRIVNUPY288VJH","GSON1112060452")</f>
        <v>#NAME?</v>
      </c>
      <c r="L879" s="28" t="e">
        <f ca="1">[1]!BexGetData("DP_1","003N8EMH8GTFRIVNUPY2891V1","GSON1112060452")</f>
        <v>#NAME?</v>
      </c>
      <c r="M879" s="28" t="e">
        <f ca="1">[1]!BexGetData("DP_1","003N8EMH8GTFRIVOG7KG9IQXA","GSON1112060452")</f>
        <v>#NAME?</v>
      </c>
      <c r="N879" s="28" t="e">
        <f ca="1">[1]!BexGetData("DP_1","003N8EMH8GTFRIVOG7KG9IX8U","GSON1112060452")</f>
        <v>#NAME?</v>
      </c>
      <c r="O879" s="28" t="e">
        <f ca="1">[1]!BexGetData("DP_1","003N8EMH8GTFRIVOG7KG9J3KE","GSON1112060452")</f>
        <v>#NAME?</v>
      </c>
      <c r="P879" s="28" t="e">
        <f ca="1">[1]!BexGetData("DP_1","003N8EMH8GTFRIVOG7KG9J9VY","GSON1112060452")</f>
        <v>#NAME?</v>
      </c>
      <c r="Q879" s="23" t="e">
        <f ca="1">[1]!BexGetData("DP_1","00O2TNJGODT0G5Z4TTKYMM5MT","GSON1112060452")</f>
        <v>#NAME?</v>
      </c>
      <c r="R879" s="23" t="e">
        <f ca="1">[1]!BexGetData("DP_1","00O2TNJGODT0G5Z4TTKYMMBYD","GSON1112060452")</f>
        <v>#NAME?</v>
      </c>
      <c r="S879" s="23" t="e">
        <f ca="1">[1]!BexGetData("DP_1","00O2TNJGODT0G5Z4TTKYMMI9X","GSON1112060452")</f>
        <v>#NAME?</v>
      </c>
      <c r="T879" s="28" t="e">
        <f ca="1">[1]!BexGetData("DP_1","00O2TNJGODT0G5Z4TTKYMMOLH","GSON1112060452")</f>
        <v>#NAME?</v>
      </c>
      <c r="U879" s="23" t="e">
        <f ca="1">[1]!BexGetData("DP_1","00O2TNJGODT0G5Z4TTKYMMUX1","GSON1112060452")</f>
        <v>#NAME?</v>
      </c>
      <c r="V879" s="28" t="e">
        <f ca="1">[1]!BexGetData("DP_1","00O2TNJGODT0G5Z4TTKYMN18L","GSON1112060452")</f>
        <v>#NAME?</v>
      </c>
      <c r="W879" s="23" t="e">
        <f ca="1">[1]!BexGetData("DP_1","00O2TNJGODT0G5Z4TTKYMN7K5","GSON1112060452")</f>
        <v>#NAME?</v>
      </c>
    </row>
    <row r="880" spans="1:23" x14ac:dyDescent="0.2">
      <c r="A880" s="36" t="s">
        <v>3141</v>
      </c>
      <c r="B880" s="27" t="s">
        <v>3142</v>
      </c>
      <c r="C880" s="24" t="e">
        <f ca="1">[1]!BexGetData("DP_1","003N8EMH8GTFRCSWKMPXRR8GU","GSON1112060453")</f>
        <v>#NAME?</v>
      </c>
      <c r="D880" s="24" t="e">
        <f ca="1">[1]!BexGetData("DP_1","003N8EMH8GTFRCSWKMPXRRESE","GSON1112060453")</f>
        <v>#NAME?</v>
      </c>
      <c r="E880" s="24" t="e">
        <f ca="1">[1]!BexGetData("DP_1","003N8EMH8GTFRCSWKMPXRRL3Y","GSON1112060453")</f>
        <v>#NAME?</v>
      </c>
      <c r="F880" s="28" t="e">
        <f ca="1">[1]!BexGetData("DP_1","003N8EMH8GTFRCSWKMPXRRRFI","GSON1112060453")</f>
        <v>#NAME?</v>
      </c>
      <c r="G880" s="23" t="e">
        <f ca="1">[1]!BexGetData("DP_1","003N8EMH8GTFRCSWKMPXRRXR2","GSON1112060453")</f>
        <v>#NAME?</v>
      </c>
      <c r="H880" s="23" t="e">
        <f ca="1">[1]!BexGetData("DP_1","003N8EMH8GTFRCSWKMPXRS42M","GSON1112060453")</f>
        <v>#NAME?</v>
      </c>
      <c r="I880" s="28" t="e">
        <f ca="1">[1]!BexGetData("DP_1","003N8EMH8GTFRCSWKMPXRSAE6","GSON1112060453")</f>
        <v>#NAME?</v>
      </c>
      <c r="J880" s="24" t="e">
        <f ca="1">[1]!BexGetData("DP_1","003N8EMH8GTFRCSWKMPXRSGPQ","GSON1112060453")</f>
        <v>#NAME?</v>
      </c>
      <c r="K880" s="28" t="e">
        <f ca="1">[1]!BexGetData("DP_1","003N8EMH8GTFRIVNUPY288VJH","GSON1112060453")</f>
        <v>#NAME?</v>
      </c>
      <c r="L880" s="28" t="e">
        <f ca="1">[1]!BexGetData("DP_1","003N8EMH8GTFRIVNUPY2891V1","GSON1112060453")</f>
        <v>#NAME?</v>
      </c>
      <c r="M880" s="28" t="e">
        <f ca="1">[1]!BexGetData("DP_1","003N8EMH8GTFRIVOG7KG9IQXA","GSON1112060453")</f>
        <v>#NAME?</v>
      </c>
      <c r="N880" s="28" t="e">
        <f ca="1">[1]!BexGetData("DP_1","003N8EMH8GTFRIVOG7KG9IX8U","GSON1112060453")</f>
        <v>#NAME?</v>
      </c>
      <c r="O880" s="28" t="e">
        <f ca="1">[1]!BexGetData("DP_1","003N8EMH8GTFRIVOG7KG9J3KE","GSON1112060453")</f>
        <v>#NAME?</v>
      </c>
      <c r="P880" s="28" t="e">
        <f ca="1">[1]!BexGetData("DP_1","003N8EMH8GTFRIVOG7KG9J9VY","GSON1112060453")</f>
        <v>#NAME?</v>
      </c>
      <c r="Q880" s="24" t="e">
        <f ca="1">[1]!BexGetData("DP_1","00O2TNJGODT0G5Z4TTKYMM5MT","GSON1112060453")</f>
        <v>#NAME?</v>
      </c>
      <c r="R880" s="28" t="e">
        <f ca="1">[1]!BexGetData("DP_1","00O2TNJGODT0G5Z4TTKYMMBYD","GSON1112060453")</f>
        <v>#NAME?</v>
      </c>
      <c r="S880" s="28" t="e">
        <f ca="1">[1]!BexGetData("DP_1","00O2TNJGODT0G5Z4TTKYMMI9X","GSON1112060453")</f>
        <v>#NAME?</v>
      </c>
      <c r="T880" s="28" t="e">
        <f ca="1">[1]!BexGetData("DP_1","00O2TNJGODT0G5Z4TTKYMMOLH","GSON1112060453")</f>
        <v>#NAME?</v>
      </c>
      <c r="U880" s="28" t="e">
        <f ca="1">[1]!BexGetData("DP_1","00O2TNJGODT0G5Z4TTKYMMUX1","GSON1112060453")</f>
        <v>#NAME?</v>
      </c>
      <c r="V880" s="28" t="e">
        <f ca="1">[1]!BexGetData("DP_1","00O2TNJGODT0G5Z4TTKYMN18L","GSON1112060453")</f>
        <v>#NAME?</v>
      </c>
      <c r="W880" s="28" t="e">
        <f ca="1">[1]!BexGetData("DP_1","00O2TNJGODT0G5Z4TTKYMN7K5","GSON1112060453")</f>
        <v>#NAME?</v>
      </c>
    </row>
    <row r="881" spans="1:23" x14ac:dyDescent="0.2">
      <c r="A881" s="36" t="s">
        <v>3143</v>
      </c>
      <c r="B881" s="27" t="s">
        <v>3144</v>
      </c>
      <c r="C881" s="23" t="e">
        <f ca="1">[1]!BexGetData("DP_1","003N8EMH8GTFRCSWKMPXRR8GU","GSON1112060454")</f>
        <v>#NAME?</v>
      </c>
      <c r="D881" s="23" t="e">
        <f ca="1">[1]!BexGetData("DP_1","003N8EMH8GTFRCSWKMPXRRESE","GSON1112060454")</f>
        <v>#NAME?</v>
      </c>
      <c r="E881" s="28" t="e">
        <f ca="1">[1]!BexGetData("DP_1","003N8EMH8GTFRCSWKMPXRRL3Y","GSON1112060454")</f>
        <v>#NAME?</v>
      </c>
      <c r="F881" s="28" t="e">
        <f ca="1">[1]!BexGetData("DP_1","003N8EMH8GTFRCSWKMPXRRRFI","GSON1112060454")</f>
        <v>#NAME?</v>
      </c>
      <c r="G881" s="23" t="e">
        <f ca="1">[1]!BexGetData("DP_1","003N8EMH8GTFRCSWKMPXRRXR2","GSON1112060454")</f>
        <v>#NAME?</v>
      </c>
      <c r="H881" s="23" t="e">
        <f ca="1">[1]!BexGetData("DP_1","003N8EMH8GTFRCSWKMPXRS42M","GSON1112060454")</f>
        <v>#NAME?</v>
      </c>
      <c r="I881" s="28" t="e">
        <f ca="1">[1]!BexGetData("DP_1","003N8EMH8GTFRCSWKMPXRSAE6","GSON1112060454")</f>
        <v>#NAME?</v>
      </c>
      <c r="J881" s="24" t="e">
        <f ca="1">[1]!BexGetData("DP_1","003N8EMH8GTFRCSWKMPXRSGPQ","GSON1112060454")</f>
        <v>#NAME?</v>
      </c>
      <c r="K881" s="28" t="e">
        <f ca="1">[1]!BexGetData("DP_1","003N8EMH8GTFRIVNUPY288VJH","GSON1112060454")</f>
        <v>#NAME?</v>
      </c>
      <c r="L881" s="28" t="e">
        <f ca="1">[1]!BexGetData("DP_1","003N8EMH8GTFRIVNUPY2891V1","GSON1112060454")</f>
        <v>#NAME?</v>
      </c>
      <c r="M881" s="28" t="e">
        <f ca="1">[1]!BexGetData("DP_1","003N8EMH8GTFRIVOG7KG9IQXA","GSON1112060454")</f>
        <v>#NAME?</v>
      </c>
      <c r="N881" s="28" t="e">
        <f ca="1">[1]!BexGetData("DP_1","003N8EMH8GTFRIVOG7KG9IX8U","GSON1112060454")</f>
        <v>#NAME?</v>
      </c>
      <c r="O881" s="28" t="e">
        <f ca="1">[1]!BexGetData("DP_1","003N8EMH8GTFRIVOG7KG9J3KE","GSON1112060454")</f>
        <v>#NAME?</v>
      </c>
      <c r="P881" s="28" t="e">
        <f ca="1">[1]!BexGetData("DP_1","003N8EMH8GTFRIVOG7KG9J9VY","GSON1112060454")</f>
        <v>#NAME?</v>
      </c>
      <c r="Q881" s="24" t="e">
        <f ca="1">[1]!BexGetData("DP_1","00O2TNJGODT0G5Z4TTKYMM5MT","GSON1112060454")</f>
        <v>#NAME?</v>
      </c>
      <c r="R881" s="28" t="e">
        <f ca="1">[1]!BexGetData("DP_1","00O2TNJGODT0G5Z4TTKYMMBYD","GSON1112060454")</f>
        <v>#NAME?</v>
      </c>
      <c r="S881" s="28" t="e">
        <f ca="1">[1]!BexGetData("DP_1","00O2TNJGODT0G5Z4TTKYMMI9X","GSON1112060454")</f>
        <v>#NAME?</v>
      </c>
      <c r="T881" s="28" t="e">
        <f ca="1">[1]!BexGetData("DP_1","00O2TNJGODT0G5Z4TTKYMMOLH","GSON1112060454")</f>
        <v>#NAME?</v>
      </c>
      <c r="U881" s="28" t="e">
        <f ca="1">[1]!BexGetData("DP_1","00O2TNJGODT0G5Z4TTKYMMUX1","GSON1112060454")</f>
        <v>#NAME?</v>
      </c>
      <c r="V881" s="28" t="e">
        <f ca="1">[1]!BexGetData("DP_1","00O2TNJGODT0G5Z4TTKYMN18L","GSON1112060454")</f>
        <v>#NAME?</v>
      </c>
      <c r="W881" s="28" t="e">
        <f ca="1">[1]!BexGetData("DP_1","00O2TNJGODT0G5Z4TTKYMN7K5","GSON1112060454")</f>
        <v>#NAME?</v>
      </c>
    </row>
    <row r="882" spans="1:23" x14ac:dyDescent="0.2">
      <c r="A882" s="36" t="s">
        <v>3145</v>
      </c>
      <c r="B882" s="27" t="s">
        <v>3146</v>
      </c>
      <c r="C882" s="23" t="e">
        <f ca="1">[1]!BexGetData("DP_1","003N8EMH8GTFRCSWKMPXRR8GU","GSON1112060455")</f>
        <v>#NAME?</v>
      </c>
      <c r="D882" s="23" t="e">
        <f ca="1">[1]!BexGetData("DP_1","003N8EMH8GTFRCSWKMPXRRESE","GSON1112060455")</f>
        <v>#NAME?</v>
      </c>
      <c r="E882" s="28" t="e">
        <f ca="1">[1]!BexGetData("DP_1","003N8EMH8GTFRCSWKMPXRRL3Y","GSON1112060455")</f>
        <v>#NAME?</v>
      </c>
      <c r="F882" s="28" t="e">
        <f ca="1">[1]!BexGetData("DP_1","003N8EMH8GTFRCSWKMPXRRRFI","GSON1112060455")</f>
        <v>#NAME?</v>
      </c>
      <c r="G882" s="23" t="e">
        <f ca="1">[1]!BexGetData("DP_1","003N8EMH8GTFRCSWKMPXRRXR2","GSON1112060455")</f>
        <v>#NAME?</v>
      </c>
      <c r="H882" s="23" t="e">
        <f ca="1">[1]!BexGetData("DP_1","003N8EMH8GTFRCSWKMPXRS42M","GSON1112060455")</f>
        <v>#NAME?</v>
      </c>
      <c r="I882" s="28" t="e">
        <f ca="1">[1]!BexGetData("DP_1","003N8EMH8GTFRCSWKMPXRSAE6","GSON1112060455")</f>
        <v>#NAME?</v>
      </c>
      <c r="J882" s="24" t="e">
        <f ca="1">[1]!BexGetData("DP_1","003N8EMH8GTFRCSWKMPXRSGPQ","GSON1112060455")</f>
        <v>#NAME?</v>
      </c>
      <c r="K882" s="28" t="e">
        <f ca="1">[1]!BexGetData("DP_1","003N8EMH8GTFRIVNUPY288VJH","GSON1112060455")</f>
        <v>#NAME?</v>
      </c>
      <c r="L882" s="28" t="e">
        <f ca="1">[1]!BexGetData("DP_1","003N8EMH8GTFRIVNUPY2891V1","GSON1112060455")</f>
        <v>#NAME?</v>
      </c>
      <c r="M882" s="28" t="e">
        <f ca="1">[1]!BexGetData("DP_1","003N8EMH8GTFRIVOG7KG9IQXA","GSON1112060455")</f>
        <v>#NAME?</v>
      </c>
      <c r="N882" s="28" t="e">
        <f ca="1">[1]!BexGetData("DP_1","003N8EMH8GTFRIVOG7KG9IX8U","GSON1112060455")</f>
        <v>#NAME?</v>
      </c>
      <c r="O882" s="28" t="e">
        <f ca="1">[1]!BexGetData("DP_1","003N8EMH8GTFRIVOG7KG9J3KE","GSON1112060455")</f>
        <v>#NAME?</v>
      </c>
      <c r="P882" s="28" t="e">
        <f ca="1">[1]!BexGetData("DP_1","003N8EMH8GTFRIVOG7KG9J9VY","GSON1112060455")</f>
        <v>#NAME?</v>
      </c>
      <c r="Q882" s="24" t="e">
        <f ca="1">[1]!BexGetData("DP_1","00O2TNJGODT0G5Z4TTKYMM5MT","GSON1112060455")</f>
        <v>#NAME?</v>
      </c>
      <c r="R882" s="28" t="e">
        <f ca="1">[1]!BexGetData("DP_1","00O2TNJGODT0G5Z4TTKYMMBYD","GSON1112060455")</f>
        <v>#NAME?</v>
      </c>
      <c r="S882" s="28" t="e">
        <f ca="1">[1]!BexGetData("DP_1","00O2TNJGODT0G5Z4TTKYMMI9X","GSON1112060455")</f>
        <v>#NAME?</v>
      </c>
      <c r="T882" s="28" t="e">
        <f ca="1">[1]!BexGetData("DP_1","00O2TNJGODT0G5Z4TTKYMMOLH","GSON1112060455")</f>
        <v>#NAME?</v>
      </c>
      <c r="U882" s="28" t="e">
        <f ca="1">[1]!BexGetData("DP_1","00O2TNJGODT0G5Z4TTKYMMUX1","GSON1112060455")</f>
        <v>#NAME?</v>
      </c>
      <c r="V882" s="28" t="e">
        <f ca="1">[1]!BexGetData("DP_1","00O2TNJGODT0G5Z4TTKYMN18L","GSON1112060455")</f>
        <v>#NAME?</v>
      </c>
      <c r="W882" s="28" t="e">
        <f ca="1">[1]!BexGetData("DP_1","00O2TNJGODT0G5Z4TTKYMN7K5","GSON1112060455")</f>
        <v>#NAME?</v>
      </c>
    </row>
    <row r="883" spans="1:23" x14ac:dyDescent="0.2">
      <c r="A883" s="36" t="s">
        <v>3147</v>
      </c>
      <c r="B883" s="27" t="s">
        <v>3148</v>
      </c>
      <c r="C883" s="28" t="e">
        <f ca="1">[1]!BexGetData("DP_1","003N8EMH8GTFRCSWKMPXRR8GU","GSON1112060460")</f>
        <v>#NAME?</v>
      </c>
      <c r="D883" s="23" t="e">
        <f ca="1">[1]!BexGetData("DP_1","003N8EMH8GTFRCSWKMPXRRESE","GSON1112060460")</f>
        <v>#NAME?</v>
      </c>
      <c r="E883" s="28" t="e">
        <f ca="1">[1]!BexGetData("DP_1","003N8EMH8GTFRCSWKMPXRRL3Y","GSON1112060460")</f>
        <v>#NAME?</v>
      </c>
      <c r="F883" s="23" t="e">
        <f ca="1">[1]!BexGetData("DP_1","003N8EMH8GTFRCSWKMPXRRRFI","GSON1112060460")</f>
        <v>#NAME?</v>
      </c>
      <c r="G883" s="23" t="e">
        <f ca="1">[1]!BexGetData("DP_1","003N8EMH8GTFRCSWKMPXRRXR2","GSON1112060460")</f>
        <v>#NAME?</v>
      </c>
      <c r="H883" s="23" t="e">
        <f ca="1">[1]!BexGetData("DP_1","003N8EMH8GTFRCSWKMPXRS42M","GSON1112060460")</f>
        <v>#NAME?</v>
      </c>
      <c r="I883" s="23" t="e">
        <f ca="1">[1]!BexGetData("DP_1","003N8EMH8GTFRCSWKMPXRSAE6","GSON1112060460")</f>
        <v>#NAME?</v>
      </c>
      <c r="J883" s="23" t="e">
        <f ca="1">[1]!BexGetData("DP_1","003N8EMH8GTFRCSWKMPXRSGPQ","GSON1112060460")</f>
        <v>#NAME?</v>
      </c>
      <c r="K883" s="23" t="e">
        <f ca="1">[1]!BexGetData("DP_1","003N8EMH8GTFRIVNUPY288VJH","GSON1112060460")</f>
        <v>#NAME?</v>
      </c>
      <c r="L883" s="23" t="e">
        <f ca="1">[1]!BexGetData("DP_1","003N8EMH8GTFRIVNUPY2891V1","GSON1112060460")</f>
        <v>#NAME?</v>
      </c>
      <c r="M883" s="23" t="e">
        <f ca="1">[1]!BexGetData("DP_1","003N8EMH8GTFRIVOG7KG9IQXA","GSON1112060460")</f>
        <v>#NAME?</v>
      </c>
      <c r="N883" s="28" t="e">
        <f ca="1">[1]!BexGetData("DP_1","003N8EMH8GTFRIVOG7KG9IX8U","GSON1112060460")</f>
        <v>#NAME?</v>
      </c>
      <c r="O883" s="23" t="e">
        <f ca="1">[1]!BexGetData("DP_1","003N8EMH8GTFRIVOG7KG9J3KE","GSON1112060460")</f>
        <v>#NAME?</v>
      </c>
      <c r="P883" s="28" t="e">
        <f ca="1">[1]!BexGetData("DP_1","003N8EMH8GTFRIVOG7KG9J9VY","GSON1112060460")</f>
        <v>#NAME?</v>
      </c>
      <c r="Q883" s="23" t="e">
        <f ca="1">[1]!BexGetData("DP_1","00O2TNJGODT0G5Z4TTKYMM5MT","GSON1112060460")</f>
        <v>#NAME?</v>
      </c>
      <c r="R883" s="23" t="e">
        <f ca="1">[1]!BexGetData("DP_1","00O2TNJGODT0G5Z4TTKYMMBYD","GSON1112060460")</f>
        <v>#NAME?</v>
      </c>
      <c r="S883" s="23" t="e">
        <f ca="1">[1]!BexGetData("DP_1","00O2TNJGODT0G5Z4TTKYMMI9X","GSON1112060460")</f>
        <v>#NAME?</v>
      </c>
      <c r="T883" s="23" t="e">
        <f ca="1">[1]!BexGetData("DP_1","00O2TNJGODT0G5Z4TTKYMMOLH","GSON1112060460")</f>
        <v>#NAME?</v>
      </c>
      <c r="U883" s="28" t="e">
        <f ca="1">[1]!BexGetData("DP_1","00O2TNJGODT0G5Z4TTKYMMUX1","GSON1112060460")</f>
        <v>#NAME?</v>
      </c>
      <c r="V883" s="23" t="e">
        <f ca="1">[1]!BexGetData("DP_1","00O2TNJGODT0G5Z4TTKYMN18L","GSON1112060460")</f>
        <v>#NAME?</v>
      </c>
      <c r="W883" s="28" t="e">
        <f ca="1">[1]!BexGetData("DP_1","00O2TNJGODT0G5Z4TTKYMN7K5","GSON1112060460")</f>
        <v>#NAME?</v>
      </c>
    </row>
    <row r="884" spans="1:23" x14ac:dyDescent="0.2">
      <c r="A884" s="36" t="s">
        <v>3149</v>
      </c>
      <c r="B884" s="27" t="s">
        <v>3150</v>
      </c>
      <c r="C884" s="28" t="e">
        <f ca="1">[1]!BexGetData("DP_1","003N8EMH8GTFRCSWKMPXRR8GU","GSON1112060461")</f>
        <v>#NAME?</v>
      </c>
      <c r="D884" s="28" t="e">
        <f ca="1">[1]!BexGetData("DP_1","003N8EMH8GTFRCSWKMPXRRESE","GSON1112060461")</f>
        <v>#NAME?</v>
      </c>
      <c r="E884" s="28" t="e">
        <f ca="1">[1]!BexGetData("DP_1","003N8EMH8GTFRCSWKMPXRRL3Y","GSON1112060461")</f>
        <v>#NAME?</v>
      </c>
      <c r="F884" s="28" t="e">
        <f ca="1">[1]!BexGetData("DP_1","003N8EMH8GTFRCSWKMPXRRRFI","GSON1112060461")</f>
        <v>#NAME?</v>
      </c>
      <c r="G884" s="23" t="e">
        <f ca="1">[1]!BexGetData("DP_1","003N8EMH8GTFRCSWKMPXRRXR2","GSON1112060461")</f>
        <v>#NAME?</v>
      </c>
      <c r="H884" s="23" t="e">
        <f ca="1">[1]!BexGetData("DP_1","003N8EMH8GTFRCSWKMPXRS42M","GSON1112060461")</f>
        <v>#NAME?</v>
      </c>
      <c r="I884" s="28" t="e">
        <f ca="1">[1]!BexGetData("DP_1","003N8EMH8GTFRCSWKMPXRSAE6","GSON1112060461")</f>
        <v>#NAME?</v>
      </c>
      <c r="J884" s="24" t="e">
        <f ca="1">[1]!BexGetData("DP_1","003N8EMH8GTFRCSWKMPXRSGPQ","GSON1112060461")</f>
        <v>#NAME?</v>
      </c>
      <c r="K884" s="28" t="e">
        <f ca="1">[1]!BexGetData("DP_1","003N8EMH8GTFRIVNUPY288VJH","GSON1112060461")</f>
        <v>#NAME?</v>
      </c>
      <c r="L884" s="28" t="e">
        <f ca="1">[1]!BexGetData("DP_1","003N8EMH8GTFRIVNUPY2891V1","GSON1112060461")</f>
        <v>#NAME?</v>
      </c>
      <c r="M884" s="28" t="e">
        <f ca="1">[1]!BexGetData("DP_1","003N8EMH8GTFRIVOG7KG9IQXA","GSON1112060461")</f>
        <v>#NAME?</v>
      </c>
      <c r="N884" s="28" t="e">
        <f ca="1">[1]!BexGetData("DP_1","003N8EMH8GTFRIVOG7KG9IX8U","GSON1112060461")</f>
        <v>#NAME?</v>
      </c>
      <c r="O884" s="28" t="e">
        <f ca="1">[1]!BexGetData("DP_1","003N8EMH8GTFRIVOG7KG9J3KE","GSON1112060461")</f>
        <v>#NAME?</v>
      </c>
      <c r="P884" s="28" t="e">
        <f ca="1">[1]!BexGetData("DP_1","003N8EMH8GTFRIVOG7KG9J9VY","GSON1112060461")</f>
        <v>#NAME?</v>
      </c>
      <c r="Q884" s="24" t="e">
        <f ca="1">[1]!BexGetData("DP_1","00O2TNJGODT0G5Z4TTKYMM5MT","GSON1112060461")</f>
        <v>#NAME?</v>
      </c>
      <c r="R884" s="28" t="e">
        <f ca="1">[1]!BexGetData("DP_1","00O2TNJGODT0G5Z4TTKYMMBYD","GSON1112060461")</f>
        <v>#NAME?</v>
      </c>
      <c r="S884" s="28" t="e">
        <f ca="1">[1]!BexGetData("DP_1","00O2TNJGODT0G5Z4TTKYMMI9X","GSON1112060461")</f>
        <v>#NAME?</v>
      </c>
      <c r="T884" s="28" t="e">
        <f ca="1">[1]!BexGetData("DP_1","00O2TNJGODT0G5Z4TTKYMMOLH","GSON1112060461")</f>
        <v>#NAME?</v>
      </c>
      <c r="U884" s="28" t="e">
        <f ca="1">[1]!BexGetData("DP_1","00O2TNJGODT0G5Z4TTKYMMUX1","GSON1112060461")</f>
        <v>#NAME?</v>
      </c>
      <c r="V884" s="28" t="e">
        <f ca="1">[1]!BexGetData("DP_1","00O2TNJGODT0G5Z4TTKYMN18L","GSON1112060461")</f>
        <v>#NAME?</v>
      </c>
      <c r="W884" s="28" t="e">
        <f ca="1">[1]!BexGetData("DP_1","00O2TNJGODT0G5Z4TTKYMN7K5","GSON1112060461")</f>
        <v>#NAME?</v>
      </c>
    </row>
    <row r="885" spans="1:23" x14ac:dyDescent="0.2">
      <c r="A885" s="36" t="s">
        <v>3151</v>
      </c>
      <c r="B885" s="27" t="s">
        <v>3152</v>
      </c>
      <c r="C885" s="24" t="e">
        <f ca="1">[1]!BexGetData("DP_1","003N8EMH8GTFRCSWKMPXRR8GU","GSON1112060463")</f>
        <v>#NAME?</v>
      </c>
      <c r="D885" s="24" t="e">
        <f ca="1">[1]!BexGetData("DP_1","003N8EMH8GTFRCSWKMPXRRESE","GSON1112060463")</f>
        <v>#NAME?</v>
      </c>
      <c r="E885" s="24" t="e">
        <f ca="1">[1]!BexGetData("DP_1","003N8EMH8GTFRCSWKMPXRRL3Y","GSON1112060463")</f>
        <v>#NAME?</v>
      </c>
      <c r="F885" s="28" t="e">
        <f ca="1">[1]!BexGetData("DP_1","003N8EMH8GTFRCSWKMPXRRRFI","GSON1112060463")</f>
        <v>#NAME?</v>
      </c>
      <c r="G885" s="23" t="e">
        <f ca="1">[1]!BexGetData("DP_1","003N8EMH8GTFRCSWKMPXRRXR2","GSON1112060463")</f>
        <v>#NAME?</v>
      </c>
      <c r="H885" s="23" t="e">
        <f ca="1">[1]!BexGetData("DP_1","003N8EMH8GTFRCSWKMPXRS42M","GSON1112060463")</f>
        <v>#NAME?</v>
      </c>
      <c r="I885" s="28" t="e">
        <f ca="1">[1]!BexGetData("DP_1","003N8EMH8GTFRCSWKMPXRSAE6","GSON1112060463")</f>
        <v>#NAME?</v>
      </c>
      <c r="J885" s="24" t="e">
        <f ca="1">[1]!BexGetData("DP_1","003N8EMH8GTFRCSWKMPXRSGPQ","GSON1112060463")</f>
        <v>#NAME?</v>
      </c>
      <c r="K885" s="28" t="e">
        <f ca="1">[1]!BexGetData("DP_1","003N8EMH8GTFRIVNUPY288VJH","GSON1112060463")</f>
        <v>#NAME?</v>
      </c>
      <c r="L885" s="28" t="e">
        <f ca="1">[1]!BexGetData("DP_1","003N8EMH8GTFRIVNUPY2891V1","GSON1112060463")</f>
        <v>#NAME?</v>
      </c>
      <c r="M885" s="28" t="e">
        <f ca="1">[1]!BexGetData("DP_1","003N8EMH8GTFRIVOG7KG9IQXA","GSON1112060463")</f>
        <v>#NAME?</v>
      </c>
      <c r="N885" s="28" t="e">
        <f ca="1">[1]!BexGetData("DP_1","003N8EMH8GTFRIVOG7KG9IX8U","GSON1112060463")</f>
        <v>#NAME?</v>
      </c>
      <c r="O885" s="28" t="e">
        <f ca="1">[1]!BexGetData("DP_1","003N8EMH8GTFRIVOG7KG9J3KE","GSON1112060463")</f>
        <v>#NAME?</v>
      </c>
      <c r="P885" s="28" t="e">
        <f ca="1">[1]!BexGetData("DP_1","003N8EMH8GTFRIVOG7KG9J9VY","GSON1112060463")</f>
        <v>#NAME?</v>
      </c>
      <c r="Q885" s="24" t="e">
        <f ca="1">[1]!BexGetData("DP_1","00O2TNJGODT0G5Z4TTKYMM5MT","GSON1112060463")</f>
        <v>#NAME?</v>
      </c>
      <c r="R885" s="28" t="e">
        <f ca="1">[1]!BexGetData("DP_1","00O2TNJGODT0G5Z4TTKYMMBYD","GSON1112060463")</f>
        <v>#NAME?</v>
      </c>
      <c r="S885" s="28" t="e">
        <f ca="1">[1]!BexGetData("DP_1","00O2TNJGODT0G5Z4TTKYMMI9X","GSON1112060463")</f>
        <v>#NAME?</v>
      </c>
      <c r="T885" s="28" t="e">
        <f ca="1">[1]!BexGetData("DP_1","00O2TNJGODT0G5Z4TTKYMMOLH","GSON1112060463")</f>
        <v>#NAME?</v>
      </c>
      <c r="U885" s="28" t="e">
        <f ca="1">[1]!BexGetData("DP_1","00O2TNJGODT0G5Z4TTKYMMUX1","GSON1112060463")</f>
        <v>#NAME?</v>
      </c>
      <c r="V885" s="28" t="e">
        <f ca="1">[1]!BexGetData("DP_1","00O2TNJGODT0G5Z4TTKYMN18L","GSON1112060463")</f>
        <v>#NAME?</v>
      </c>
      <c r="W885" s="28" t="e">
        <f ca="1">[1]!BexGetData("DP_1","00O2TNJGODT0G5Z4TTKYMN7K5","GSON1112060463")</f>
        <v>#NAME?</v>
      </c>
    </row>
    <row r="886" spans="1:23" x14ac:dyDescent="0.2">
      <c r="A886" s="36" t="s">
        <v>3153</v>
      </c>
      <c r="B886" s="27" t="s">
        <v>3154</v>
      </c>
      <c r="C886" s="23" t="e">
        <f ca="1">[1]!BexGetData("DP_1","003N8EMH8GTFRCSWKMPXRR8GU","GSON1112060464")</f>
        <v>#NAME?</v>
      </c>
      <c r="D886" s="23" t="e">
        <f ca="1">[1]!BexGetData("DP_1","003N8EMH8GTFRCSWKMPXRRESE","GSON1112060464")</f>
        <v>#NAME?</v>
      </c>
      <c r="E886" s="28" t="e">
        <f ca="1">[1]!BexGetData("DP_1","003N8EMH8GTFRCSWKMPXRRL3Y","GSON1112060464")</f>
        <v>#NAME?</v>
      </c>
      <c r="F886" s="28" t="e">
        <f ca="1">[1]!BexGetData("DP_1","003N8EMH8GTFRCSWKMPXRRRFI","GSON1112060464")</f>
        <v>#NAME?</v>
      </c>
      <c r="G886" s="23" t="e">
        <f ca="1">[1]!BexGetData("DP_1","003N8EMH8GTFRCSWKMPXRRXR2","GSON1112060464")</f>
        <v>#NAME?</v>
      </c>
      <c r="H886" s="23" t="e">
        <f ca="1">[1]!BexGetData("DP_1","003N8EMH8GTFRCSWKMPXRS42M","GSON1112060464")</f>
        <v>#NAME?</v>
      </c>
      <c r="I886" s="28" t="e">
        <f ca="1">[1]!BexGetData("DP_1","003N8EMH8GTFRCSWKMPXRSAE6","GSON1112060464")</f>
        <v>#NAME?</v>
      </c>
      <c r="J886" s="24" t="e">
        <f ca="1">[1]!BexGetData("DP_1","003N8EMH8GTFRCSWKMPXRSGPQ","GSON1112060464")</f>
        <v>#NAME?</v>
      </c>
      <c r="K886" s="28" t="e">
        <f ca="1">[1]!BexGetData("DP_1","003N8EMH8GTFRIVNUPY288VJH","GSON1112060464")</f>
        <v>#NAME?</v>
      </c>
      <c r="L886" s="28" t="e">
        <f ca="1">[1]!BexGetData("DP_1","003N8EMH8GTFRIVNUPY2891V1","GSON1112060464")</f>
        <v>#NAME?</v>
      </c>
      <c r="M886" s="28" t="e">
        <f ca="1">[1]!BexGetData("DP_1","003N8EMH8GTFRIVOG7KG9IQXA","GSON1112060464")</f>
        <v>#NAME?</v>
      </c>
      <c r="N886" s="28" t="e">
        <f ca="1">[1]!BexGetData("DP_1","003N8EMH8GTFRIVOG7KG9IX8U","GSON1112060464")</f>
        <v>#NAME?</v>
      </c>
      <c r="O886" s="28" t="e">
        <f ca="1">[1]!BexGetData("DP_1","003N8EMH8GTFRIVOG7KG9J3KE","GSON1112060464")</f>
        <v>#NAME?</v>
      </c>
      <c r="P886" s="28" t="e">
        <f ca="1">[1]!BexGetData("DP_1","003N8EMH8GTFRIVOG7KG9J9VY","GSON1112060464")</f>
        <v>#NAME?</v>
      </c>
      <c r="Q886" s="24" t="e">
        <f ca="1">[1]!BexGetData("DP_1","00O2TNJGODT0G5Z4TTKYMM5MT","GSON1112060464")</f>
        <v>#NAME?</v>
      </c>
      <c r="R886" s="28" t="e">
        <f ca="1">[1]!BexGetData("DP_1","00O2TNJGODT0G5Z4TTKYMMBYD","GSON1112060464")</f>
        <v>#NAME?</v>
      </c>
      <c r="S886" s="28" t="e">
        <f ca="1">[1]!BexGetData("DP_1","00O2TNJGODT0G5Z4TTKYMMI9X","GSON1112060464")</f>
        <v>#NAME?</v>
      </c>
      <c r="T886" s="28" t="e">
        <f ca="1">[1]!BexGetData("DP_1","00O2TNJGODT0G5Z4TTKYMMOLH","GSON1112060464")</f>
        <v>#NAME?</v>
      </c>
      <c r="U886" s="28" t="e">
        <f ca="1">[1]!BexGetData("DP_1","00O2TNJGODT0G5Z4TTKYMMUX1","GSON1112060464")</f>
        <v>#NAME?</v>
      </c>
      <c r="V886" s="28" t="e">
        <f ca="1">[1]!BexGetData("DP_1","00O2TNJGODT0G5Z4TTKYMN18L","GSON1112060464")</f>
        <v>#NAME?</v>
      </c>
      <c r="W886" s="28" t="e">
        <f ca="1">[1]!BexGetData("DP_1","00O2TNJGODT0G5Z4TTKYMN7K5","GSON1112060464")</f>
        <v>#NAME?</v>
      </c>
    </row>
    <row r="887" spans="1:23" x14ac:dyDescent="0.2">
      <c r="A887" s="36" t="s">
        <v>3155</v>
      </c>
      <c r="B887" s="27" t="s">
        <v>3156</v>
      </c>
      <c r="C887" s="28" t="e">
        <f ca="1">[1]!BexGetData("DP_1","003N8EMH8GTFRCSWKMPXRR8GU","GSON1112060465")</f>
        <v>#NAME?</v>
      </c>
      <c r="D887" s="28" t="e">
        <f ca="1">[1]!BexGetData("DP_1","003N8EMH8GTFRCSWKMPXRRESE","GSON1112060465")</f>
        <v>#NAME?</v>
      </c>
      <c r="E887" s="28" t="e">
        <f ca="1">[1]!BexGetData("DP_1","003N8EMH8GTFRCSWKMPXRRL3Y","GSON1112060465")</f>
        <v>#NAME?</v>
      </c>
      <c r="F887" s="28" t="e">
        <f ca="1">[1]!BexGetData("DP_1","003N8EMH8GTFRCSWKMPXRRRFI","GSON1112060465")</f>
        <v>#NAME?</v>
      </c>
      <c r="G887" s="23" t="e">
        <f ca="1">[1]!BexGetData("DP_1","003N8EMH8GTFRCSWKMPXRRXR2","GSON1112060465")</f>
        <v>#NAME?</v>
      </c>
      <c r="H887" s="23" t="e">
        <f ca="1">[1]!BexGetData("DP_1","003N8EMH8GTFRCSWKMPXRS42M","GSON1112060465")</f>
        <v>#NAME?</v>
      </c>
      <c r="I887" s="28" t="e">
        <f ca="1">[1]!BexGetData("DP_1","003N8EMH8GTFRCSWKMPXRSAE6","GSON1112060465")</f>
        <v>#NAME?</v>
      </c>
      <c r="J887" s="24" t="e">
        <f ca="1">[1]!BexGetData("DP_1","003N8EMH8GTFRCSWKMPXRSGPQ","GSON1112060465")</f>
        <v>#NAME?</v>
      </c>
      <c r="K887" s="28" t="e">
        <f ca="1">[1]!BexGetData("DP_1","003N8EMH8GTFRIVNUPY288VJH","GSON1112060465")</f>
        <v>#NAME?</v>
      </c>
      <c r="L887" s="28" t="e">
        <f ca="1">[1]!BexGetData("DP_1","003N8EMH8GTFRIVNUPY2891V1","GSON1112060465")</f>
        <v>#NAME?</v>
      </c>
      <c r="M887" s="28" t="e">
        <f ca="1">[1]!BexGetData("DP_1","003N8EMH8GTFRIVOG7KG9IQXA","GSON1112060465")</f>
        <v>#NAME?</v>
      </c>
      <c r="N887" s="28" t="e">
        <f ca="1">[1]!BexGetData("DP_1","003N8EMH8GTFRIVOG7KG9IX8U","GSON1112060465")</f>
        <v>#NAME?</v>
      </c>
      <c r="O887" s="28" t="e">
        <f ca="1">[1]!BexGetData("DP_1","003N8EMH8GTFRIVOG7KG9J3KE","GSON1112060465")</f>
        <v>#NAME?</v>
      </c>
      <c r="P887" s="28" t="e">
        <f ca="1">[1]!BexGetData("DP_1","003N8EMH8GTFRIVOG7KG9J9VY","GSON1112060465")</f>
        <v>#NAME?</v>
      </c>
      <c r="Q887" s="24" t="e">
        <f ca="1">[1]!BexGetData("DP_1","00O2TNJGODT0G5Z4TTKYMM5MT","GSON1112060465")</f>
        <v>#NAME?</v>
      </c>
      <c r="R887" s="28" t="e">
        <f ca="1">[1]!BexGetData("DP_1","00O2TNJGODT0G5Z4TTKYMMBYD","GSON1112060465")</f>
        <v>#NAME?</v>
      </c>
      <c r="S887" s="28" t="e">
        <f ca="1">[1]!BexGetData("DP_1","00O2TNJGODT0G5Z4TTKYMMI9X","GSON1112060465")</f>
        <v>#NAME?</v>
      </c>
      <c r="T887" s="28" t="e">
        <f ca="1">[1]!BexGetData("DP_1","00O2TNJGODT0G5Z4TTKYMMOLH","GSON1112060465")</f>
        <v>#NAME?</v>
      </c>
      <c r="U887" s="28" t="e">
        <f ca="1">[1]!BexGetData("DP_1","00O2TNJGODT0G5Z4TTKYMMUX1","GSON1112060465")</f>
        <v>#NAME?</v>
      </c>
      <c r="V887" s="28" t="e">
        <f ca="1">[1]!BexGetData("DP_1","00O2TNJGODT0G5Z4TTKYMN18L","GSON1112060465")</f>
        <v>#NAME?</v>
      </c>
      <c r="W887" s="28" t="e">
        <f ca="1">[1]!BexGetData("DP_1","00O2TNJGODT0G5Z4TTKYMN7K5","GSON1112060465")</f>
        <v>#NAME?</v>
      </c>
    </row>
    <row r="888" spans="1:23" x14ac:dyDescent="0.2">
      <c r="A888" s="36" t="s">
        <v>3157</v>
      </c>
      <c r="B888" s="27" t="s">
        <v>3158</v>
      </c>
      <c r="C888" s="23" t="e">
        <f ca="1">[1]!BexGetData("DP_1","003N8EMH8GTFRCSWKMPXRR8GU","GSON1112060470")</f>
        <v>#NAME?</v>
      </c>
      <c r="D888" s="23" t="e">
        <f ca="1">[1]!BexGetData("DP_1","003N8EMH8GTFRCSWKMPXRRESE","GSON1112060470")</f>
        <v>#NAME?</v>
      </c>
      <c r="E888" s="23" t="e">
        <f ca="1">[1]!BexGetData("DP_1","003N8EMH8GTFRCSWKMPXRRL3Y","GSON1112060470")</f>
        <v>#NAME?</v>
      </c>
      <c r="F888" s="23" t="e">
        <f ca="1">[1]!BexGetData("DP_1","003N8EMH8GTFRCSWKMPXRRRFI","GSON1112060470")</f>
        <v>#NAME?</v>
      </c>
      <c r="G888" s="23" t="e">
        <f ca="1">[1]!BexGetData("DP_1","003N8EMH8GTFRCSWKMPXRRXR2","GSON1112060470")</f>
        <v>#NAME?</v>
      </c>
      <c r="H888" s="23" t="e">
        <f ca="1">[1]!BexGetData("DP_1","003N8EMH8GTFRCSWKMPXRS42M","GSON1112060470")</f>
        <v>#NAME?</v>
      </c>
      <c r="I888" s="23" t="e">
        <f ca="1">[1]!BexGetData("DP_1","003N8EMH8GTFRCSWKMPXRSAE6","GSON1112060470")</f>
        <v>#NAME?</v>
      </c>
      <c r="J888" s="23" t="e">
        <f ca="1">[1]!BexGetData("DP_1","003N8EMH8GTFRCSWKMPXRSGPQ","GSON1112060470")</f>
        <v>#NAME?</v>
      </c>
      <c r="K888" s="23" t="e">
        <f ca="1">[1]!BexGetData("DP_1","003N8EMH8GTFRIVNUPY288VJH","GSON1112060470")</f>
        <v>#NAME?</v>
      </c>
      <c r="L888" s="23" t="e">
        <f ca="1">[1]!BexGetData("DP_1","003N8EMH8GTFRIVNUPY2891V1","GSON1112060470")</f>
        <v>#NAME?</v>
      </c>
      <c r="M888" s="28" t="e">
        <f ca="1">[1]!BexGetData("DP_1","003N8EMH8GTFRIVOG7KG9IQXA","GSON1112060470")</f>
        <v>#NAME?</v>
      </c>
      <c r="N888" s="23" t="e">
        <f ca="1">[1]!BexGetData("DP_1","003N8EMH8GTFRIVOG7KG9IX8U","GSON1112060470")</f>
        <v>#NAME?</v>
      </c>
      <c r="O888" s="28" t="e">
        <f ca="1">[1]!BexGetData("DP_1","003N8EMH8GTFRIVOG7KG9J3KE","GSON1112060470")</f>
        <v>#NAME?</v>
      </c>
      <c r="P888" s="23" t="e">
        <f ca="1">[1]!BexGetData("DP_1","003N8EMH8GTFRIVOG7KG9J9VY","GSON1112060470")</f>
        <v>#NAME?</v>
      </c>
      <c r="Q888" s="23" t="e">
        <f ca="1">[1]!BexGetData("DP_1","00O2TNJGODT0G5Z4TTKYMM5MT","GSON1112060470")</f>
        <v>#NAME?</v>
      </c>
      <c r="R888" s="23" t="e">
        <f ca="1">[1]!BexGetData("DP_1","00O2TNJGODT0G5Z4TTKYMMBYD","GSON1112060470")</f>
        <v>#NAME?</v>
      </c>
      <c r="S888" s="23" t="e">
        <f ca="1">[1]!BexGetData("DP_1","00O2TNJGODT0G5Z4TTKYMMI9X","GSON1112060470")</f>
        <v>#NAME?</v>
      </c>
      <c r="T888" s="28" t="e">
        <f ca="1">[1]!BexGetData("DP_1","00O2TNJGODT0G5Z4TTKYMMOLH","GSON1112060470")</f>
        <v>#NAME?</v>
      </c>
      <c r="U888" s="23" t="e">
        <f ca="1">[1]!BexGetData("DP_1","00O2TNJGODT0G5Z4TTKYMMUX1","GSON1112060470")</f>
        <v>#NAME?</v>
      </c>
      <c r="V888" s="28" t="e">
        <f ca="1">[1]!BexGetData("DP_1","00O2TNJGODT0G5Z4TTKYMN18L","GSON1112060470")</f>
        <v>#NAME?</v>
      </c>
      <c r="W888" s="23" t="e">
        <f ca="1">[1]!BexGetData("DP_1","00O2TNJGODT0G5Z4TTKYMN7K5","GSON1112060470")</f>
        <v>#NAME?</v>
      </c>
    </row>
    <row r="889" spans="1:23" x14ac:dyDescent="0.2">
      <c r="A889" s="36" t="s">
        <v>3159</v>
      </c>
      <c r="B889" s="27" t="s">
        <v>3160</v>
      </c>
      <c r="C889" s="28" t="e">
        <f ca="1">[1]!BexGetData("DP_1","003N8EMH8GTFRCSWKMPXRR8GU","GSON1112060471")</f>
        <v>#NAME?</v>
      </c>
      <c r="D889" s="28" t="e">
        <f ca="1">[1]!BexGetData("DP_1","003N8EMH8GTFRCSWKMPXRRESE","GSON1112060471")</f>
        <v>#NAME?</v>
      </c>
      <c r="E889" s="28" t="e">
        <f ca="1">[1]!BexGetData("DP_1","003N8EMH8GTFRCSWKMPXRRL3Y","GSON1112060471")</f>
        <v>#NAME?</v>
      </c>
      <c r="F889" s="28" t="e">
        <f ca="1">[1]!BexGetData("DP_1","003N8EMH8GTFRCSWKMPXRRRFI","GSON1112060471")</f>
        <v>#NAME?</v>
      </c>
      <c r="G889" s="23" t="e">
        <f ca="1">[1]!BexGetData("DP_1","003N8EMH8GTFRCSWKMPXRRXR2","GSON1112060471")</f>
        <v>#NAME?</v>
      </c>
      <c r="H889" s="23" t="e">
        <f ca="1">[1]!BexGetData("DP_1","003N8EMH8GTFRCSWKMPXRS42M","GSON1112060471")</f>
        <v>#NAME?</v>
      </c>
      <c r="I889" s="28" t="e">
        <f ca="1">[1]!BexGetData("DP_1","003N8EMH8GTFRCSWKMPXRSAE6","GSON1112060471")</f>
        <v>#NAME?</v>
      </c>
      <c r="J889" s="24" t="e">
        <f ca="1">[1]!BexGetData("DP_1","003N8EMH8GTFRCSWKMPXRSGPQ","GSON1112060471")</f>
        <v>#NAME?</v>
      </c>
      <c r="K889" s="28" t="e">
        <f ca="1">[1]!BexGetData("DP_1","003N8EMH8GTFRIVNUPY288VJH","GSON1112060471")</f>
        <v>#NAME?</v>
      </c>
      <c r="L889" s="28" t="e">
        <f ca="1">[1]!BexGetData("DP_1","003N8EMH8GTFRIVNUPY2891V1","GSON1112060471")</f>
        <v>#NAME?</v>
      </c>
      <c r="M889" s="28" t="e">
        <f ca="1">[1]!BexGetData("DP_1","003N8EMH8GTFRIVOG7KG9IQXA","GSON1112060471")</f>
        <v>#NAME?</v>
      </c>
      <c r="N889" s="28" t="e">
        <f ca="1">[1]!BexGetData("DP_1","003N8EMH8GTFRIVOG7KG9IX8U","GSON1112060471")</f>
        <v>#NAME?</v>
      </c>
      <c r="O889" s="28" t="e">
        <f ca="1">[1]!BexGetData("DP_1","003N8EMH8GTFRIVOG7KG9J3KE","GSON1112060471")</f>
        <v>#NAME?</v>
      </c>
      <c r="P889" s="28" t="e">
        <f ca="1">[1]!BexGetData("DP_1","003N8EMH8GTFRIVOG7KG9J9VY","GSON1112060471")</f>
        <v>#NAME?</v>
      </c>
      <c r="Q889" s="24" t="e">
        <f ca="1">[1]!BexGetData("DP_1","00O2TNJGODT0G5Z4TTKYMM5MT","GSON1112060471")</f>
        <v>#NAME?</v>
      </c>
      <c r="R889" s="28" t="e">
        <f ca="1">[1]!BexGetData("DP_1","00O2TNJGODT0G5Z4TTKYMMBYD","GSON1112060471")</f>
        <v>#NAME?</v>
      </c>
      <c r="S889" s="28" t="e">
        <f ca="1">[1]!BexGetData("DP_1","00O2TNJGODT0G5Z4TTKYMMI9X","GSON1112060471")</f>
        <v>#NAME?</v>
      </c>
      <c r="T889" s="28" t="e">
        <f ca="1">[1]!BexGetData("DP_1","00O2TNJGODT0G5Z4TTKYMMOLH","GSON1112060471")</f>
        <v>#NAME?</v>
      </c>
      <c r="U889" s="28" t="e">
        <f ca="1">[1]!BexGetData("DP_1","00O2TNJGODT0G5Z4TTKYMMUX1","GSON1112060471")</f>
        <v>#NAME?</v>
      </c>
      <c r="V889" s="28" t="e">
        <f ca="1">[1]!BexGetData("DP_1","00O2TNJGODT0G5Z4TTKYMN18L","GSON1112060471")</f>
        <v>#NAME?</v>
      </c>
      <c r="W889" s="28" t="e">
        <f ca="1">[1]!BexGetData("DP_1","00O2TNJGODT0G5Z4TTKYMN7K5","GSON1112060471")</f>
        <v>#NAME?</v>
      </c>
    </row>
    <row r="890" spans="1:23" x14ac:dyDescent="0.2">
      <c r="A890" s="36" t="s">
        <v>3161</v>
      </c>
      <c r="B890" s="27" t="s">
        <v>3162</v>
      </c>
      <c r="C890" s="24" t="e">
        <f ca="1">[1]!BexGetData("DP_1","003N8EMH8GTFRCSWKMPXRR8GU","GSON1112060473")</f>
        <v>#NAME?</v>
      </c>
      <c r="D890" s="24" t="e">
        <f ca="1">[1]!BexGetData("DP_1","003N8EMH8GTFRCSWKMPXRRESE","GSON1112060473")</f>
        <v>#NAME?</v>
      </c>
      <c r="E890" s="24" t="e">
        <f ca="1">[1]!BexGetData("DP_1","003N8EMH8GTFRCSWKMPXRRL3Y","GSON1112060473")</f>
        <v>#NAME?</v>
      </c>
      <c r="F890" s="28" t="e">
        <f ca="1">[1]!BexGetData("DP_1","003N8EMH8GTFRCSWKMPXRRRFI","GSON1112060473")</f>
        <v>#NAME?</v>
      </c>
      <c r="G890" s="23" t="e">
        <f ca="1">[1]!BexGetData("DP_1","003N8EMH8GTFRCSWKMPXRRXR2","GSON1112060473")</f>
        <v>#NAME?</v>
      </c>
      <c r="H890" s="23" t="e">
        <f ca="1">[1]!BexGetData("DP_1","003N8EMH8GTFRCSWKMPXRS42M","GSON1112060473")</f>
        <v>#NAME?</v>
      </c>
      <c r="I890" s="28" t="e">
        <f ca="1">[1]!BexGetData("DP_1","003N8EMH8GTFRCSWKMPXRSAE6","GSON1112060473")</f>
        <v>#NAME?</v>
      </c>
      <c r="J890" s="24" t="e">
        <f ca="1">[1]!BexGetData("DP_1","003N8EMH8GTFRCSWKMPXRSGPQ","GSON1112060473")</f>
        <v>#NAME?</v>
      </c>
      <c r="K890" s="28" t="e">
        <f ca="1">[1]!BexGetData("DP_1","003N8EMH8GTFRIVNUPY288VJH","GSON1112060473")</f>
        <v>#NAME?</v>
      </c>
      <c r="L890" s="28" t="e">
        <f ca="1">[1]!BexGetData("DP_1","003N8EMH8GTFRIVNUPY2891V1","GSON1112060473")</f>
        <v>#NAME?</v>
      </c>
      <c r="M890" s="28" t="e">
        <f ca="1">[1]!BexGetData("DP_1","003N8EMH8GTFRIVOG7KG9IQXA","GSON1112060473")</f>
        <v>#NAME?</v>
      </c>
      <c r="N890" s="28" t="e">
        <f ca="1">[1]!BexGetData("DP_1","003N8EMH8GTFRIVOG7KG9IX8U","GSON1112060473")</f>
        <v>#NAME?</v>
      </c>
      <c r="O890" s="28" t="e">
        <f ca="1">[1]!BexGetData("DP_1","003N8EMH8GTFRIVOG7KG9J3KE","GSON1112060473")</f>
        <v>#NAME?</v>
      </c>
      <c r="P890" s="28" t="e">
        <f ca="1">[1]!BexGetData("DP_1","003N8EMH8GTFRIVOG7KG9J9VY","GSON1112060473")</f>
        <v>#NAME?</v>
      </c>
      <c r="Q890" s="24" t="e">
        <f ca="1">[1]!BexGetData("DP_1","00O2TNJGODT0G5Z4TTKYMM5MT","GSON1112060473")</f>
        <v>#NAME?</v>
      </c>
      <c r="R890" s="28" t="e">
        <f ca="1">[1]!BexGetData("DP_1","00O2TNJGODT0G5Z4TTKYMMBYD","GSON1112060473")</f>
        <v>#NAME?</v>
      </c>
      <c r="S890" s="28" t="e">
        <f ca="1">[1]!BexGetData("DP_1","00O2TNJGODT0G5Z4TTKYMMI9X","GSON1112060473")</f>
        <v>#NAME?</v>
      </c>
      <c r="T890" s="28" t="e">
        <f ca="1">[1]!BexGetData("DP_1","00O2TNJGODT0G5Z4TTKYMMOLH","GSON1112060473")</f>
        <v>#NAME?</v>
      </c>
      <c r="U890" s="28" t="e">
        <f ca="1">[1]!BexGetData("DP_1","00O2TNJGODT0G5Z4TTKYMMUX1","GSON1112060473")</f>
        <v>#NAME?</v>
      </c>
      <c r="V890" s="28" t="e">
        <f ca="1">[1]!BexGetData("DP_1","00O2TNJGODT0G5Z4TTKYMN18L","GSON1112060473")</f>
        <v>#NAME?</v>
      </c>
      <c r="W890" s="28" t="e">
        <f ca="1">[1]!BexGetData("DP_1","00O2TNJGODT0G5Z4TTKYMN7K5","GSON1112060473")</f>
        <v>#NAME?</v>
      </c>
    </row>
    <row r="891" spans="1:23" x14ac:dyDescent="0.2">
      <c r="A891" s="36" t="s">
        <v>3163</v>
      </c>
      <c r="B891" s="27" t="s">
        <v>3164</v>
      </c>
      <c r="C891" s="23" t="e">
        <f ca="1">[1]!BexGetData("DP_1","003N8EMH8GTFRCSWKMPXRR8GU","GSON1112060474")</f>
        <v>#NAME?</v>
      </c>
      <c r="D891" s="23" t="e">
        <f ca="1">[1]!BexGetData("DP_1","003N8EMH8GTFRCSWKMPXRRESE","GSON1112060474")</f>
        <v>#NAME?</v>
      </c>
      <c r="E891" s="28" t="e">
        <f ca="1">[1]!BexGetData("DP_1","003N8EMH8GTFRCSWKMPXRRL3Y","GSON1112060474")</f>
        <v>#NAME?</v>
      </c>
      <c r="F891" s="28" t="e">
        <f ca="1">[1]!BexGetData("DP_1","003N8EMH8GTFRCSWKMPXRRRFI","GSON1112060474")</f>
        <v>#NAME?</v>
      </c>
      <c r="G891" s="23" t="e">
        <f ca="1">[1]!BexGetData("DP_1","003N8EMH8GTFRCSWKMPXRRXR2","GSON1112060474")</f>
        <v>#NAME?</v>
      </c>
      <c r="H891" s="23" t="e">
        <f ca="1">[1]!BexGetData("DP_1","003N8EMH8GTFRCSWKMPXRS42M","GSON1112060474")</f>
        <v>#NAME?</v>
      </c>
      <c r="I891" s="28" t="e">
        <f ca="1">[1]!BexGetData("DP_1","003N8EMH8GTFRCSWKMPXRSAE6","GSON1112060474")</f>
        <v>#NAME?</v>
      </c>
      <c r="J891" s="24" t="e">
        <f ca="1">[1]!BexGetData("DP_1","003N8EMH8GTFRCSWKMPXRSGPQ","GSON1112060474")</f>
        <v>#NAME?</v>
      </c>
      <c r="K891" s="28" t="e">
        <f ca="1">[1]!BexGetData("DP_1","003N8EMH8GTFRIVNUPY288VJH","GSON1112060474")</f>
        <v>#NAME?</v>
      </c>
      <c r="L891" s="28" t="e">
        <f ca="1">[1]!BexGetData("DP_1","003N8EMH8GTFRIVNUPY2891V1","GSON1112060474")</f>
        <v>#NAME?</v>
      </c>
      <c r="M891" s="28" t="e">
        <f ca="1">[1]!BexGetData("DP_1","003N8EMH8GTFRIVOG7KG9IQXA","GSON1112060474")</f>
        <v>#NAME?</v>
      </c>
      <c r="N891" s="28" t="e">
        <f ca="1">[1]!BexGetData("DP_1","003N8EMH8GTFRIVOG7KG9IX8U","GSON1112060474")</f>
        <v>#NAME?</v>
      </c>
      <c r="O891" s="28" t="e">
        <f ca="1">[1]!BexGetData("DP_1","003N8EMH8GTFRIVOG7KG9J3KE","GSON1112060474")</f>
        <v>#NAME?</v>
      </c>
      <c r="P891" s="28" t="e">
        <f ca="1">[1]!BexGetData("DP_1","003N8EMH8GTFRIVOG7KG9J9VY","GSON1112060474")</f>
        <v>#NAME?</v>
      </c>
      <c r="Q891" s="24" t="e">
        <f ca="1">[1]!BexGetData("DP_1","00O2TNJGODT0G5Z4TTKYMM5MT","GSON1112060474")</f>
        <v>#NAME?</v>
      </c>
      <c r="R891" s="28" t="e">
        <f ca="1">[1]!BexGetData("DP_1","00O2TNJGODT0G5Z4TTKYMMBYD","GSON1112060474")</f>
        <v>#NAME?</v>
      </c>
      <c r="S891" s="28" t="e">
        <f ca="1">[1]!BexGetData("DP_1","00O2TNJGODT0G5Z4TTKYMMI9X","GSON1112060474")</f>
        <v>#NAME?</v>
      </c>
      <c r="T891" s="28" t="e">
        <f ca="1">[1]!BexGetData("DP_1","00O2TNJGODT0G5Z4TTKYMMOLH","GSON1112060474")</f>
        <v>#NAME?</v>
      </c>
      <c r="U891" s="28" t="e">
        <f ca="1">[1]!BexGetData("DP_1","00O2TNJGODT0G5Z4TTKYMMUX1","GSON1112060474")</f>
        <v>#NAME?</v>
      </c>
      <c r="V891" s="28" t="e">
        <f ca="1">[1]!BexGetData("DP_1","00O2TNJGODT0G5Z4TTKYMN18L","GSON1112060474")</f>
        <v>#NAME?</v>
      </c>
      <c r="W891" s="28" t="e">
        <f ca="1">[1]!BexGetData("DP_1","00O2TNJGODT0G5Z4TTKYMN7K5","GSON1112060474")</f>
        <v>#NAME?</v>
      </c>
    </row>
    <row r="892" spans="1:23" x14ac:dyDescent="0.2">
      <c r="A892" s="36" t="s">
        <v>3165</v>
      </c>
      <c r="B892" s="27" t="s">
        <v>3166</v>
      </c>
      <c r="C892" s="23" t="e">
        <f ca="1">[1]!BexGetData("DP_1","003N8EMH8GTFRCSWKMPXRR8GU","GSON1112060475")</f>
        <v>#NAME?</v>
      </c>
      <c r="D892" s="23" t="e">
        <f ca="1">[1]!BexGetData("DP_1","003N8EMH8GTFRCSWKMPXRRESE","GSON1112060475")</f>
        <v>#NAME?</v>
      </c>
      <c r="E892" s="28" t="e">
        <f ca="1">[1]!BexGetData("DP_1","003N8EMH8GTFRCSWKMPXRRL3Y","GSON1112060475")</f>
        <v>#NAME?</v>
      </c>
      <c r="F892" s="28" t="e">
        <f ca="1">[1]!BexGetData("DP_1","003N8EMH8GTFRCSWKMPXRRRFI","GSON1112060475")</f>
        <v>#NAME?</v>
      </c>
      <c r="G892" s="23" t="e">
        <f ca="1">[1]!BexGetData("DP_1","003N8EMH8GTFRCSWKMPXRRXR2","GSON1112060475")</f>
        <v>#NAME?</v>
      </c>
      <c r="H892" s="23" t="e">
        <f ca="1">[1]!BexGetData("DP_1","003N8EMH8GTFRCSWKMPXRS42M","GSON1112060475")</f>
        <v>#NAME?</v>
      </c>
      <c r="I892" s="28" t="e">
        <f ca="1">[1]!BexGetData("DP_1","003N8EMH8GTFRCSWKMPXRSAE6","GSON1112060475")</f>
        <v>#NAME?</v>
      </c>
      <c r="J892" s="24" t="e">
        <f ca="1">[1]!BexGetData("DP_1","003N8EMH8GTFRCSWKMPXRSGPQ","GSON1112060475")</f>
        <v>#NAME?</v>
      </c>
      <c r="K892" s="28" t="e">
        <f ca="1">[1]!BexGetData("DP_1","003N8EMH8GTFRIVNUPY288VJH","GSON1112060475")</f>
        <v>#NAME?</v>
      </c>
      <c r="L892" s="28" t="e">
        <f ca="1">[1]!BexGetData("DP_1","003N8EMH8GTFRIVNUPY2891V1","GSON1112060475")</f>
        <v>#NAME?</v>
      </c>
      <c r="M892" s="28" t="e">
        <f ca="1">[1]!BexGetData("DP_1","003N8EMH8GTFRIVOG7KG9IQXA","GSON1112060475")</f>
        <v>#NAME?</v>
      </c>
      <c r="N892" s="28" t="e">
        <f ca="1">[1]!BexGetData("DP_1","003N8EMH8GTFRIVOG7KG9IX8U","GSON1112060475")</f>
        <v>#NAME?</v>
      </c>
      <c r="O892" s="28" t="e">
        <f ca="1">[1]!BexGetData("DP_1","003N8EMH8GTFRIVOG7KG9J3KE","GSON1112060475")</f>
        <v>#NAME?</v>
      </c>
      <c r="P892" s="28" t="e">
        <f ca="1">[1]!BexGetData("DP_1","003N8EMH8GTFRIVOG7KG9J9VY","GSON1112060475")</f>
        <v>#NAME?</v>
      </c>
      <c r="Q892" s="24" t="e">
        <f ca="1">[1]!BexGetData("DP_1","00O2TNJGODT0G5Z4TTKYMM5MT","GSON1112060475")</f>
        <v>#NAME?</v>
      </c>
      <c r="R892" s="28" t="e">
        <f ca="1">[1]!BexGetData("DP_1","00O2TNJGODT0G5Z4TTKYMMBYD","GSON1112060475")</f>
        <v>#NAME?</v>
      </c>
      <c r="S892" s="28" t="e">
        <f ca="1">[1]!BexGetData("DP_1","00O2TNJGODT0G5Z4TTKYMMI9X","GSON1112060475")</f>
        <v>#NAME?</v>
      </c>
      <c r="T892" s="28" t="e">
        <f ca="1">[1]!BexGetData("DP_1","00O2TNJGODT0G5Z4TTKYMMOLH","GSON1112060475")</f>
        <v>#NAME?</v>
      </c>
      <c r="U892" s="28" t="e">
        <f ca="1">[1]!BexGetData("DP_1","00O2TNJGODT0G5Z4TTKYMMUX1","GSON1112060475")</f>
        <v>#NAME?</v>
      </c>
      <c r="V892" s="28" t="e">
        <f ca="1">[1]!BexGetData("DP_1","00O2TNJGODT0G5Z4TTKYMN18L","GSON1112060475")</f>
        <v>#NAME?</v>
      </c>
      <c r="W892" s="28" t="e">
        <f ca="1">[1]!BexGetData("DP_1","00O2TNJGODT0G5Z4TTKYMN7K5","GSON1112060475")</f>
        <v>#NAME?</v>
      </c>
    </row>
    <row r="893" spans="1:23" x14ac:dyDescent="0.2">
      <c r="A893" s="36" t="s">
        <v>3167</v>
      </c>
      <c r="B893" s="27" t="s">
        <v>3168</v>
      </c>
      <c r="C893" s="23" t="e">
        <f ca="1">[1]!BexGetData("DP_1","003N8EMH8GTFRCSWKMPXRR8GU","GSON1112060480")</f>
        <v>#NAME?</v>
      </c>
      <c r="D893" s="23" t="e">
        <f ca="1">[1]!BexGetData("DP_1","003N8EMH8GTFRCSWKMPXRRESE","GSON1112060480")</f>
        <v>#NAME?</v>
      </c>
      <c r="E893" s="23" t="e">
        <f ca="1">[1]!BexGetData("DP_1","003N8EMH8GTFRCSWKMPXRRL3Y","GSON1112060480")</f>
        <v>#NAME?</v>
      </c>
      <c r="F893" s="23" t="e">
        <f ca="1">[1]!BexGetData("DP_1","003N8EMH8GTFRCSWKMPXRRRFI","GSON1112060480")</f>
        <v>#NAME?</v>
      </c>
      <c r="G893" s="23" t="e">
        <f ca="1">[1]!BexGetData("DP_1","003N8EMH8GTFRCSWKMPXRRXR2","GSON1112060480")</f>
        <v>#NAME?</v>
      </c>
      <c r="H893" s="23" t="e">
        <f ca="1">[1]!BexGetData("DP_1","003N8EMH8GTFRCSWKMPXRS42M","GSON1112060480")</f>
        <v>#NAME?</v>
      </c>
      <c r="I893" s="23" t="e">
        <f ca="1">[1]!BexGetData("DP_1","003N8EMH8GTFRCSWKMPXRSAE6","GSON1112060480")</f>
        <v>#NAME?</v>
      </c>
      <c r="J893" s="23" t="e">
        <f ca="1">[1]!BexGetData("DP_1","003N8EMH8GTFRCSWKMPXRSGPQ","GSON1112060480")</f>
        <v>#NAME?</v>
      </c>
      <c r="K893" s="23" t="e">
        <f ca="1">[1]!BexGetData("DP_1","003N8EMH8GTFRIVNUPY288VJH","GSON1112060480")</f>
        <v>#NAME?</v>
      </c>
      <c r="L893" s="23" t="e">
        <f ca="1">[1]!BexGetData("DP_1","003N8EMH8GTFRIVNUPY2891V1","GSON1112060480")</f>
        <v>#NAME?</v>
      </c>
      <c r="M893" s="23" t="e">
        <f ca="1">[1]!BexGetData("DP_1","003N8EMH8GTFRIVOG7KG9IQXA","GSON1112060480")</f>
        <v>#NAME?</v>
      </c>
      <c r="N893" s="28" t="e">
        <f ca="1">[1]!BexGetData("DP_1","003N8EMH8GTFRIVOG7KG9IX8U","GSON1112060480")</f>
        <v>#NAME?</v>
      </c>
      <c r="O893" s="23" t="e">
        <f ca="1">[1]!BexGetData("DP_1","003N8EMH8GTFRIVOG7KG9J3KE","GSON1112060480")</f>
        <v>#NAME?</v>
      </c>
      <c r="P893" s="28" t="e">
        <f ca="1">[1]!BexGetData("DP_1","003N8EMH8GTFRIVOG7KG9J9VY","GSON1112060480")</f>
        <v>#NAME?</v>
      </c>
      <c r="Q893" s="23" t="e">
        <f ca="1">[1]!BexGetData("DP_1","00O2TNJGODT0G5Z4TTKYMM5MT","GSON1112060480")</f>
        <v>#NAME?</v>
      </c>
      <c r="R893" s="23" t="e">
        <f ca="1">[1]!BexGetData("DP_1","00O2TNJGODT0G5Z4TTKYMMBYD","GSON1112060480")</f>
        <v>#NAME?</v>
      </c>
      <c r="S893" s="23" t="e">
        <f ca="1">[1]!BexGetData("DP_1","00O2TNJGODT0G5Z4TTKYMMI9X","GSON1112060480")</f>
        <v>#NAME?</v>
      </c>
      <c r="T893" s="23" t="e">
        <f ca="1">[1]!BexGetData("DP_1","00O2TNJGODT0G5Z4TTKYMMOLH","GSON1112060480")</f>
        <v>#NAME?</v>
      </c>
      <c r="U893" s="28" t="e">
        <f ca="1">[1]!BexGetData("DP_1","00O2TNJGODT0G5Z4TTKYMMUX1","GSON1112060480")</f>
        <v>#NAME?</v>
      </c>
      <c r="V893" s="23" t="e">
        <f ca="1">[1]!BexGetData("DP_1","00O2TNJGODT0G5Z4TTKYMN18L","GSON1112060480")</f>
        <v>#NAME?</v>
      </c>
      <c r="W893" s="28" t="e">
        <f ca="1">[1]!BexGetData("DP_1","00O2TNJGODT0G5Z4TTKYMN7K5","GSON1112060480")</f>
        <v>#NAME?</v>
      </c>
    </row>
    <row r="894" spans="1:23" x14ac:dyDescent="0.2">
      <c r="A894" s="36" t="s">
        <v>3169</v>
      </c>
      <c r="B894" s="27" t="s">
        <v>3170</v>
      </c>
      <c r="C894" s="23" t="e">
        <f ca="1">[1]!BexGetData("DP_1","003N8EMH8GTFRCSWKMPXRR8GU","GSON1112060481")</f>
        <v>#NAME?</v>
      </c>
      <c r="D894" s="23" t="e">
        <f ca="1">[1]!BexGetData("DP_1","003N8EMH8GTFRCSWKMPXRRESE","GSON1112060481")</f>
        <v>#NAME?</v>
      </c>
      <c r="E894" s="28" t="e">
        <f ca="1">[1]!BexGetData("DP_1","003N8EMH8GTFRCSWKMPXRRL3Y","GSON1112060481")</f>
        <v>#NAME?</v>
      </c>
      <c r="F894" s="28" t="e">
        <f ca="1">[1]!BexGetData("DP_1","003N8EMH8GTFRCSWKMPXRRRFI","GSON1112060481")</f>
        <v>#NAME?</v>
      </c>
      <c r="G894" s="23" t="e">
        <f ca="1">[1]!BexGetData("DP_1","003N8EMH8GTFRCSWKMPXRRXR2","GSON1112060481")</f>
        <v>#NAME?</v>
      </c>
      <c r="H894" s="23" t="e">
        <f ca="1">[1]!BexGetData("DP_1","003N8EMH8GTFRCSWKMPXRS42M","GSON1112060481")</f>
        <v>#NAME?</v>
      </c>
      <c r="I894" s="28" t="e">
        <f ca="1">[1]!BexGetData("DP_1","003N8EMH8GTFRCSWKMPXRSAE6","GSON1112060481")</f>
        <v>#NAME?</v>
      </c>
      <c r="J894" s="24" t="e">
        <f ca="1">[1]!BexGetData("DP_1","003N8EMH8GTFRCSWKMPXRSGPQ","GSON1112060481")</f>
        <v>#NAME?</v>
      </c>
      <c r="K894" s="28" t="e">
        <f ca="1">[1]!BexGetData("DP_1","003N8EMH8GTFRIVNUPY288VJH","GSON1112060481")</f>
        <v>#NAME?</v>
      </c>
      <c r="L894" s="28" t="e">
        <f ca="1">[1]!BexGetData("DP_1","003N8EMH8GTFRIVNUPY2891V1","GSON1112060481")</f>
        <v>#NAME?</v>
      </c>
      <c r="M894" s="28" t="e">
        <f ca="1">[1]!BexGetData("DP_1","003N8EMH8GTFRIVOG7KG9IQXA","GSON1112060481")</f>
        <v>#NAME?</v>
      </c>
      <c r="N894" s="28" t="e">
        <f ca="1">[1]!BexGetData("DP_1","003N8EMH8GTFRIVOG7KG9IX8U","GSON1112060481")</f>
        <v>#NAME?</v>
      </c>
      <c r="O894" s="28" t="e">
        <f ca="1">[1]!BexGetData("DP_1","003N8EMH8GTFRIVOG7KG9J3KE","GSON1112060481")</f>
        <v>#NAME?</v>
      </c>
      <c r="P894" s="28" t="e">
        <f ca="1">[1]!BexGetData("DP_1","003N8EMH8GTFRIVOG7KG9J9VY","GSON1112060481")</f>
        <v>#NAME?</v>
      </c>
      <c r="Q894" s="24" t="e">
        <f ca="1">[1]!BexGetData("DP_1","00O2TNJGODT0G5Z4TTKYMM5MT","GSON1112060481")</f>
        <v>#NAME?</v>
      </c>
      <c r="R894" s="28" t="e">
        <f ca="1">[1]!BexGetData("DP_1","00O2TNJGODT0G5Z4TTKYMMBYD","GSON1112060481")</f>
        <v>#NAME?</v>
      </c>
      <c r="S894" s="28" t="e">
        <f ca="1">[1]!BexGetData("DP_1","00O2TNJGODT0G5Z4TTKYMMI9X","GSON1112060481")</f>
        <v>#NAME?</v>
      </c>
      <c r="T894" s="28" t="e">
        <f ca="1">[1]!BexGetData("DP_1","00O2TNJGODT0G5Z4TTKYMMOLH","GSON1112060481")</f>
        <v>#NAME?</v>
      </c>
      <c r="U894" s="28" t="e">
        <f ca="1">[1]!BexGetData("DP_1","00O2TNJGODT0G5Z4TTKYMMUX1","GSON1112060481")</f>
        <v>#NAME?</v>
      </c>
      <c r="V894" s="28" t="e">
        <f ca="1">[1]!BexGetData("DP_1","00O2TNJGODT0G5Z4TTKYMN18L","GSON1112060481")</f>
        <v>#NAME?</v>
      </c>
      <c r="W894" s="28" t="e">
        <f ca="1">[1]!BexGetData("DP_1","00O2TNJGODT0G5Z4TTKYMN7K5","GSON1112060481")</f>
        <v>#NAME?</v>
      </c>
    </row>
    <row r="895" spans="1:23" x14ac:dyDescent="0.2">
      <c r="A895" s="36" t="s">
        <v>3171</v>
      </c>
      <c r="B895" s="27" t="s">
        <v>1671</v>
      </c>
      <c r="C895" s="28" t="e">
        <f ca="1">[1]!BexGetData("DP_1","003N8EMH8GTFRCSWKMPXRR8GU","GSON1112060482")</f>
        <v>#NAME?</v>
      </c>
      <c r="D895" s="28" t="e">
        <f ca="1">[1]!BexGetData("DP_1","003N8EMH8GTFRCSWKMPXRRESE","GSON1112060482")</f>
        <v>#NAME?</v>
      </c>
      <c r="E895" s="28" t="e">
        <f ca="1">[1]!BexGetData("DP_1","003N8EMH8GTFRCSWKMPXRRL3Y","GSON1112060482")</f>
        <v>#NAME?</v>
      </c>
      <c r="F895" s="28" t="e">
        <f ca="1">[1]!BexGetData("DP_1","003N8EMH8GTFRCSWKMPXRRRFI","GSON1112060482")</f>
        <v>#NAME?</v>
      </c>
      <c r="G895" s="23" t="e">
        <f ca="1">[1]!BexGetData("DP_1","003N8EMH8GTFRCSWKMPXRRXR2","GSON1112060482")</f>
        <v>#NAME?</v>
      </c>
      <c r="H895" s="23" t="e">
        <f ca="1">[1]!BexGetData("DP_1","003N8EMH8GTFRCSWKMPXRS42M","GSON1112060482")</f>
        <v>#NAME?</v>
      </c>
      <c r="I895" s="28" t="e">
        <f ca="1">[1]!BexGetData("DP_1","003N8EMH8GTFRCSWKMPXRSAE6","GSON1112060482")</f>
        <v>#NAME?</v>
      </c>
      <c r="J895" s="23" t="e">
        <f ca="1">[1]!BexGetData("DP_1","003N8EMH8GTFRCSWKMPXRSGPQ","GSON1112060482")</f>
        <v>#NAME?</v>
      </c>
      <c r="K895" s="28" t="e">
        <f ca="1">[1]!BexGetData("DP_1","003N8EMH8GTFRIVNUPY288VJH","GSON1112060482")</f>
        <v>#NAME?</v>
      </c>
      <c r="L895" s="28" t="e">
        <f ca="1">[1]!BexGetData("DP_1","003N8EMH8GTFRIVNUPY2891V1","GSON1112060482")</f>
        <v>#NAME?</v>
      </c>
      <c r="M895" s="28" t="e">
        <f ca="1">[1]!BexGetData("DP_1","003N8EMH8GTFRIVOG7KG9IQXA","GSON1112060482")</f>
        <v>#NAME?</v>
      </c>
      <c r="N895" s="28" t="e">
        <f ca="1">[1]!BexGetData("DP_1","003N8EMH8GTFRIVOG7KG9IX8U","GSON1112060482")</f>
        <v>#NAME?</v>
      </c>
      <c r="O895" s="28" t="e">
        <f ca="1">[1]!BexGetData("DP_1","003N8EMH8GTFRIVOG7KG9J3KE","GSON1112060482")</f>
        <v>#NAME?</v>
      </c>
      <c r="P895" s="28" t="e">
        <f ca="1">[1]!BexGetData("DP_1","003N8EMH8GTFRIVOG7KG9J9VY","GSON1112060482")</f>
        <v>#NAME?</v>
      </c>
      <c r="Q895" s="23" t="e">
        <f ca="1">[1]!BexGetData("DP_1","00O2TNJGODT0G5Z4TTKYMM5MT","GSON1112060482")</f>
        <v>#NAME?</v>
      </c>
      <c r="R895" s="23" t="e">
        <f ca="1">[1]!BexGetData("DP_1","00O2TNJGODT0G5Z4TTKYMMBYD","GSON1112060482")</f>
        <v>#NAME?</v>
      </c>
      <c r="S895" s="23" t="e">
        <f ca="1">[1]!BexGetData("DP_1","00O2TNJGODT0G5Z4TTKYMMI9X","GSON1112060482")</f>
        <v>#NAME?</v>
      </c>
      <c r="T895" s="28" t="e">
        <f ca="1">[1]!BexGetData("DP_1","00O2TNJGODT0G5Z4TTKYMMOLH","GSON1112060482")</f>
        <v>#NAME?</v>
      </c>
      <c r="U895" s="23" t="e">
        <f ca="1">[1]!BexGetData("DP_1","00O2TNJGODT0G5Z4TTKYMMUX1","GSON1112060482")</f>
        <v>#NAME?</v>
      </c>
      <c r="V895" s="28" t="e">
        <f ca="1">[1]!BexGetData("DP_1","00O2TNJGODT0G5Z4TTKYMN18L","GSON1112060482")</f>
        <v>#NAME?</v>
      </c>
      <c r="W895" s="23" t="e">
        <f ca="1">[1]!BexGetData("DP_1","00O2TNJGODT0G5Z4TTKYMN7K5","GSON1112060482")</f>
        <v>#NAME?</v>
      </c>
    </row>
    <row r="896" spans="1:23" x14ac:dyDescent="0.2">
      <c r="A896" s="36" t="s">
        <v>3172</v>
      </c>
      <c r="B896" s="27" t="s">
        <v>3173</v>
      </c>
      <c r="C896" s="23" t="e">
        <f ca="1">[1]!BexGetData("DP_1","003N8EMH8GTFRCSWKMPXRR8GU","GSON1112060483")</f>
        <v>#NAME?</v>
      </c>
      <c r="D896" s="23" t="e">
        <f ca="1">[1]!BexGetData("DP_1","003N8EMH8GTFRCSWKMPXRRESE","GSON1112060483")</f>
        <v>#NAME?</v>
      </c>
      <c r="E896" s="28" t="e">
        <f ca="1">[1]!BexGetData("DP_1","003N8EMH8GTFRCSWKMPXRRL3Y","GSON1112060483")</f>
        <v>#NAME?</v>
      </c>
      <c r="F896" s="28" t="e">
        <f ca="1">[1]!BexGetData("DP_1","003N8EMH8GTFRCSWKMPXRRRFI","GSON1112060483")</f>
        <v>#NAME?</v>
      </c>
      <c r="G896" s="23" t="e">
        <f ca="1">[1]!BexGetData("DP_1","003N8EMH8GTFRCSWKMPXRRXR2","GSON1112060483")</f>
        <v>#NAME?</v>
      </c>
      <c r="H896" s="23" t="e">
        <f ca="1">[1]!BexGetData("DP_1","003N8EMH8GTFRCSWKMPXRS42M","GSON1112060483")</f>
        <v>#NAME?</v>
      </c>
      <c r="I896" s="28" t="e">
        <f ca="1">[1]!BexGetData("DP_1","003N8EMH8GTFRCSWKMPXRSAE6","GSON1112060483")</f>
        <v>#NAME?</v>
      </c>
      <c r="J896" s="24" t="e">
        <f ca="1">[1]!BexGetData("DP_1","003N8EMH8GTFRCSWKMPXRSGPQ","GSON1112060483")</f>
        <v>#NAME?</v>
      </c>
      <c r="K896" s="28" t="e">
        <f ca="1">[1]!BexGetData("DP_1","003N8EMH8GTFRIVNUPY288VJH","GSON1112060483")</f>
        <v>#NAME?</v>
      </c>
      <c r="L896" s="28" t="e">
        <f ca="1">[1]!BexGetData("DP_1","003N8EMH8GTFRIVNUPY2891V1","GSON1112060483")</f>
        <v>#NAME?</v>
      </c>
      <c r="M896" s="28" t="e">
        <f ca="1">[1]!BexGetData("DP_1","003N8EMH8GTFRIVOG7KG9IQXA","GSON1112060483")</f>
        <v>#NAME?</v>
      </c>
      <c r="N896" s="28" t="e">
        <f ca="1">[1]!BexGetData("DP_1","003N8EMH8GTFRIVOG7KG9IX8U","GSON1112060483")</f>
        <v>#NAME?</v>
      </c>
      <c r="O896" s="28" t="e">
        <f ca="1">[1]!BexGetData("DP_1","003N8EMH8GTFRIVOG7KG9J3KE","GSON1112060483")</f>
        <v>#NAME?</v>
      </c>
      <c r="P896" s="28" t="e">
        <f ca="1">[1]!BexGetData("DP_1","003N8EMH8GTFRIVOG7KG9J9VY","GSON1112060483")</f>
        <v>#NAME?</v>
      </c>
      <c r="Q896" s="24" t="e">
        <f ca="1">[1]!BexGetData("DP_1","00O2TNJGODT0G5Z4TTKYMM5MT","GSON1112060483")</f>
        <v>#NAME?</v>
      </c>
      <c r="R896" s="28" t="e">
        <f ca="1">[1]!BexGetData("DP_1","00O2TNJGODT0G5Z4TTKYMMBYD","GSON1112060483")</f>
        <v>#NAME?</v>
      </c>
      <c r="S896" s="28" t="e">
        <f ca="1">[1]!BexGetData("DP_1","00O2TNJGODT0G5Z4TTKYMMI9X","GSON1112060483")</f>
        <v>#NAME?</v>
      </c>
      <c r="T896" s="28" t="e">
        <f ca="1">[1]!BexGetData("DP_1","00O2TNJGODT0G5Z4TTKYMMOLH","GSON1112060483")</f>
        <v>#NAME?</v>
      </c>
      <c r="U896" s="28" t="e">
        <f ca="1">[1]!BexGetData("DP_1","00O2TNJGODT0G5Z4TTKYMMUX1","GSON1112060483")</f>
        <v>#NAME?</v>
      </c>
      <c r="V896" s="28" t="e">
        <f ca="1">[1]!BexGetData("DP_1","00O2TNJGODT0G5Z4TTKYMN18L","GSON1112060483")</f>
        <v>#NAME?</v>
      </c>
      <c r="W896" s="28" t="e">
        <f ca="1">[1]!BexGetData("DP_1","00O2TNJGODT0G5Z4TTKYMN7K5","GSON1112060483")</f>
        <v>#NAME?</v>
      </c>
    </row>
    <row r="897" spans="1:23" x14ac:dyDescent="0.2">
      <c r="A897" s="36" t="s">
        <v>3174</v>
      </c>
      <c r="B897" s="27" t="s">
        <v>3175</v>
      </c>
      <c r="C897" s="23" t="e">
        <f ca="1">[1]!BexGetData("DP_1","003N8EMH8GTFRCSWKMPXRR8GU","GSON1112060484")</f>
        <v>#NAME?</v>
      </c>
      <c r="D897" s="23" t="e">
        <f ca="1">[1]!BexGetData("DP_1","003N8EMH8GTFRCSWKMPXRRESE","GSON1112060484")</f>
        <v>#NAME?</v>
      </c>
      <c r="E897" s="28" t="e">
        <f ca="1">[1]!BexGetData("DP_1","003N8EMH8GTFRCSWKMPXRRL3Y","GSON1112060484")</f>
        <v>#NAME?</v>
      </c>
      <c r="F897" s="28" t="e">
        <f ca="1">[1]!BexGetData("DP_1","003N8EMH8GTFRCSWKMPXRRRFI","GSON1112060484")</f>
        <v>#NAME?</v>
      </c>
      <c r="G897" s="23" t="e">
        <f ca="1">[1]!BexGetData("DP_1","003N8EMH8GTFRCSWKMPXRRXR2","GSON1112060484")</f>
        <v>#NAME?</v>
      </c>
      <c r="H897" s="23" t="e">
        <f ca="1">[1]!BexGetData("DP_1","003N8EMH8GTFRCSWKMPXRS42M","GSON1112060484")</f>
        <v>#NAME?</v>
      </c>
      <c r="I897" s="28" t="e">
        <f ca="1">[1]!BexGetData("DP_1","003N8EMH8GTFRCSWKMPXRSAE6","GSON1112060484")</f>
        <v>#NAME?</v>
      </c>
      <c r="J897" s="24" t="e">
        <f ca="1">[1]!BexGetData("DP_1","003N8EMH8GTFRCSWKMPXRSGPQ","GSON1112060484")</f>
        <v>#NAME?</v>
      </c>
      <c r="K897" s="28" t="e">
        <f ca="1">[1]!BexGetData("DP_1","003N8EMH8GTFRIVNUPY288VJH","GSON1112060484")</f>
        <v>#NAME?</v>
      </c>
      <c r="L897" s="28" t="e">
        <f ca="1">[1]!BexGetData("DP_1","003N8EMH8GTFRIVNUPY2891V1","GSON1112060484")</f>
        <v>#NAME?</v>
      </c>
      <c r="M897" s="28" t="e">
        <f ca="1">[1]!BexGetData("DP_1","003N8EMH8GTFRIVOG7KG9IQXA","GSON1112060484")</f>
        <v>#NAME?</v>
      </c>
      <c r="N897" s="28" t="e">
        <f ca="1">[1]!BexGetData("DP_1","003N8EMH8GTFRIVOG7KG9IX8U","GSON1112060484")</f>
        <v>#NAME?</v>
      </c>
      <c r="O897" s="28" t="e">
        <f ca="1">[1]!BexGetData("DP_1","003N8EMH8GTFRIVOG7KG9J3KE","GSON1112060484")</f>
        <v>#NAME?</v>
      </c>
      <c r="P897" s="28" t="e">
        <f ca="1">[1]!BexGetData("DP_1","003N8EMH8GTFRIVOG7KG9J9VY","GSON1112060484")</f>
        <v>#NAME?</v>
      </c>
      <c r="Q897" s="24" t="e">
        <f ca="1">[1]!BexGetData("DP_1","00O2TNJGODT0G5Z4TTKYMM5MT","GSON1112060484")</f>
        <v>#NAME?</v>
      </c>
      <c r="R897" s="28" t="e">
        <f ca="1">[1]!BexGetData("DP_1","00O2TNJGODT0G5Z4TTKYMMBYD","GSON1112060484")</f>
        <v>#NAME?</v>
      </c>
      <c r="S897" s="28" t="e">
        <f ca="1">[1]!BexGetData("DP_1","00O2TNJGODT0G5Z4TTKYMMI9X","GSON1112060484")</f>
        <v>#NAME?</v>
      </c>
      <c r="T897" s="28" t="e">
        <f ca="1">[1]!BexGetData("DP_1","00O2TNJGODT0G5Z4TTKYMMOLH","GSON1112060484")</f>
        <v>#NAME?</v>
      </c>
      <c r="U897" s="28" t="e">
        <f ca="1">[1]!BexGetData("DP_1","00O2TNJGODT0G5Z4TTKYMMUX1","GSON1112060484")</f>
        <v>#NAME?</v>
      </c>
      <c r="V897" s="28" t="e">
        <f ca="1">[1]!BexGetData("DP_1","00O2TNJGODT0G5Z4TTKYMN18L","GSON1112060484")</f>
        <v>#NAME?</v>
      </c>
      <c r="W897" s="28" t="e">
        <f ca="1">[1]!BexGetData("DP_1","00O2TNJGODT0G5Z4TTKYMN7K5","GSON1112060484")</f>
        <v>#NAME?</v>
      </c>
    </row>
    <row r="898" spans="1:23" x14ac:dyDescent="0.2">
      <c r="A898" s="36" t="s">
        <v>3176</v>
      </c>
      <c r="B898" s="27" t="s">
        <v>3177</v>
      </c>
      <c r="C898" s="23" t="e">
        <f ca="1">[1]!BexGetData("DP_1","003N8EMH8GTFRCSWKMPXRR8GU","GSON1112060485")</f>
        <v>#NAME?</v>
      </c>
      <c r="D898" s="23" t="e">
        <f ca="1">[1]!BexGetData("DP_1","003N8EMH8GTFRCSWKMPXRRESE","GSON1112060485")</f>
        <v>#NAME?</v>
      </c>
      <c r="E898" s="28" t="e">
        <f ca="1">[1]!BexGetData("DP_1","003N8EMH8GTFRCSWKMPXRRL3Y","GSON1112060485")</f>
        <v>#NAME?</v>
      </c>
      <c r="F898" s="28" t="e">
        <f ca="1">[1]!BexGetData("DP_1","003N8EMH8GTFRCSWKMPXRRRFI","GSON1112060485")</f>
        <v>#NAME?</v>
      </c>
      <c r="G898" s="23" t="e">
        <f ca="1">[1]!BexGetData("DP_1","003N8EMH8GTFRCSWKMPXRRXR2","GSON1112060485")</f>
        <v>#NAME?</v>
      </c>
      <c r="H898" s="23" t="e">
        <f ca="1">[1]!BexGetData("DP_1","003N8EMH8GTFRCSWKMPXRS42M","GSON1112060485")</f>
        <v>#NAME?</v>
      </c>
      <c r="I898" s="28" t="e">
        <f ca="1">[1]!BexGetData("DP_1","003N8EMH8GTFRCSWKMPXRSAE6","GSON1112060485")</f>
        <v>#NAME?</v>
      </c>
      <c r="J898" s="24" t="e">
        <f ca="1">[1]!BexGetData("DP_1","003N8EMH8GTFRCSWKMPXRSGPQ","GSON1112060485")</f>
        <v>#NAME?</v>
      </c>
      <c r="K898" s="28" t="e">
        <f ca="1">[1]!BexGetData("DP_1","003N8EMH8GTFRIVNUPY288VJH","GSON1112060485")</f>
        <v>#NAME?</v>
      </c>
      <c r="L898" s="28" t="e">
        <f ca="1">[1]!BexGetData("DP_1","003N8EMH8GTFRIVNUPY2891V1","GSON1112060485")</f>
        <v>#NAME?</v>
      </c>
      <c r="M898" s="28" t="e">
        <f ca="1">[1]!BexGetData("DP_1","003N8EMH8GTFRIVOG7KG9IQXA","GSON1112060485")</f>
        <v>#NAME?</v>
      </c>
      <c r="N898" s="28" t="e">
        <f ca="1">[1]!BexGetData("DP_1","003N8EMH8GTFRIVOG7KG9IX8U","GSON1112060485")</f>
        <v>#NAME?</v>
      </c>
      <c r="O898" s="28" t="e">
        <f ca="1">[1]!BexGetData("DP_1","003N8EMH8GTFRIVOG7KG9J3KE","GSON1112060485")</f>
        <v>#NAME?</v>
      </c>
      <c r="P898" s="28" t="e">
        <f ca="1">[1]!BexGetData("DP_1","003N8EMH8GTFRIVOG7KG9J9VY","GSON1112060485")</f>
        <v>#NAME?</v>
      </c>
      <c r="Q898" s="24" t="e">
        <f ca="1">[1]!BexGetData("DP_1","00O2TNJGODT0G5Z4TTKYMM5MT","GSON1112060485")</f>
        <v>#NAME?</v>
      </c>
      <c r="R898" s="28" t="e">
        <f ca="1">[1]!BexGetData("DP_1","00O2TNJGODT0G5Z4TTKYMMBYD","GSON1112060485")</f>
        <v>#NAME?</v>
      </c>
      <c r="S898" s="28" t="e">
        <f ca="1">[1]!BexGetData("DP_1","00O2TNJGODT0G5Z4TTKYMMI9X","GSON1112060485")</f>
        <v>#NAME?</v>
      </c>
      <c r="T898" s="28" t="e">
        <f ca="1">[1]!BexGetData("DP_1","00O2TNJGODT0G5Z4TTKYMMOLH","GSON1112060485")</f>
        <v>#NAME?</v>
      </c>
      <c r="U898" s="28" t="e">
        <f ca="1">[1]!BexGetData("DP_1","00O2TNJGODT0G5Z4TTKYMMUX1","GSON1112060485")</f>
        <v>#NAME?</v>
      </c>
      <c r="V898" s="28" t="e">
        <f ca="1">[1]!BexGetData("DP_1","00O2TNJGODT0G5Z4TTKYMN18L","GSON1112060485")</f>
        <v>#NAME?</v>
      </c>
      <c r="W898" s="28" t="e">
        <f ca="1">[1]!BexGetData("DP_1","00O2TNJGODT0G5Z4TTKYMN7K5","GSON1112060485")</f>
        <v>#NAME?</v>
      </c>
    </row>
    <row r="899" spans="1:23" x14ac:dyDescent="0.2">
      <c r="A899" s="36" t="s">
        <v>3178</v>
      </c>
      <c r="B899" s="27" t="s">
        <v>3179</v>
      </c>
      <c r="C899" s="23" t="e">
        <f ca="1">[1]!BexGetData("DP_1","003N8EMH8GTFRCSWKMPXRR8GU","GSON1112060490")</f>
        <v>#NAME?</v>
      </c>
      <c r="D899" s="23" t="e">
        <f ca="1">[1]!BexGetData("DP_1","003N8EMH8GTFRCSWKMPXRRESE","GSON1112060490")</f>
        <v>#NAME?</v>
      </c>
      <c r="E899" s="23" t="e">
        <f ca="1">[1]!BexGetData("DP_1","003N8EMH8GTFRCSWKMPXRRL3Y","GSON1112060490")</f>
        <v>#NAME?</v>
      </c>
      <c r="F899" s="23" t="e">
        <f ca="1">[1]!BexGetData("DP_1","003N8EMH8GTFRCSWKMPXRRRFI","GSON1112060490")</f>
        <v>#NAME?</v>
      </c>
      <c r="G899" s="23" t="e">
        <f ca="1">[1]!BexGetData("DP_1","003N8EMH8GTFRCSWKMPXRRXR2","GSON1112060490")</f>
        <v>#NAME?</v>
      </c>
      <c r="H899" s="23" t="e">
        <f ca="1">[1]!BexGetData("DP_1","003N8EMH8GTFRCSWKMPXRS42M","GSON1112060490")</f>
        <v>#NAME?</v>
      </c>
      <c r="I899" s="23" t="e">
        <f ca="1">[1]!BexGetData("DP_1","003N8EMH8GTFRCSWKMPXRSAE6","GSON1112060490")</f>
        <v>#NAME?</v>
      </c>
      <c r="J899" s="23" t="e">
        <f ca="1">[1]!BexGetData("DP_1","003N8EMH8GTFRCSWKMPXRSGPQ","GSON1112060490")</f>
        <v>#NAME?</v>
      </c>
      <c r="K899" s="23" t="e">
        <f ca="1">[1]!BexGetData("DP_1","003N8EMH8GTFRIVNUPY288VJH","GSON1112060490")</f>
        <v>#NAME?</v>
      </c>
      <c r="L899" s="23" t="e">
        <f ca="1">[1]!BexGetData("DP_1","003N8EMH8GTFRIVNUPY2891V1","GSON1112060490")</f>
        <v>#NAME?</v>
      </c>
      <c r="M899" s="23" t="e">
        <f ca="1">[1]!BexGetData("DP_1","003N8EMH8GTFRIVOG7KG9IQXA","GSON1112060490")</f>
        <v>#NAME?</v>
      </c>
      <c r="N899" s="28" t="e">
        <f ca="1">[1]!BexGetData("DP_1","003N8EMH8GTFRIVOG7KG9IX8U","GSON1112060490")</f>
        <v>#NAME?</v>
      </c>
      <c r="O899" s="23" t="e">
        <f ca="1">[1]!BexGetData("DP_1","003N8EMH8GTFRIVOG7KG9J3KE","GSON1112060490")</f>
        <v>#NAME?</v>
      </c>
      <c r="P899" s="28" t="e">
        <f ca="1">[1]!BexGetData("DP_1","003N8EMH8GTFRIVOG7KG9J9VY","GSON1112060490")</f>
        <v>#NAME?</v>
      </c>
      <c r="Q899" s="23" t="e">
        <f ca="1">[1]!BexGetData("DP_1","00O2TNJGODT0G5Z4TTKYMM5MT","GSON1112060490")</f>
        <v>#NAME?</v>
      </c>
      <c r="R899" s="23" t="e">
        <f ca="1">[1]!BexGetData("DP_1","00O2TNJGODT0G5Z4TTKYMMBYD","GSON1112060490")</f>
        <v>#NAME?</v>
      </c>
      <c r="S899" s="23" t="e">
        <f ca="1">[1]!BexGetData("DP_1","00O2TNJGODT0G5Z4TTKYMMI9X","GSON1112060490")</f>
        <v>#NAME?</v>
      </c>
      <c r="T899" s="28" t="e">
        <f ca="1">[1]!BexGetData("DP_1","00O2TNJGODT0G5Z4TTKYMMOLH","GSON1112060490")</f>
        <v>#NAME?</v>
      </c>
      <c r="U899" s="23" t="e">
        <f ca="1">[1]!BexGetData("DP_1","00O2TNJGODT0G5Z4TTKYMMUX1","GSON1112060490")</f>
        <v>#NAME?</v>
      </c>
      <c r="V899" s="28" t="e">
        <f ca="1">[1]!BexGetData("DP_1","00O2TNJGODT0G5Z4TTKYMN18L","GSON1112060490")</f>
        <v>#NAME?</v>
      </c>
      <c r="W899" s="23" t="e">
        <f ca="1">[1]!BexGetData("DP_1","00O2TNJGODT0G5Z4TTKYMN7K5","GSON1112060490")</f>
        <v>#NAME?</v>
      </c>
    </row>
    <row r="900" spans="1:23" x14ac:dyDescent="0.2">
      <c r="A900" s="36" t="s">
        <v>3180</v>
      </c>
      <c r="B900" s="27" t="s">
        <v>3181</v>
      </c>
      <c r="C900" s="28" t="e">
        <f ca="1">[1]!BexGetData("DP_1","003N8EMH8GTFRCSWKMPXRR8GU","GSON1112060491")</f>
        <v>#NAME?</v>
      </c>
      <c r="D900" s="28" t="e">
        <f ca="1">[1]!BexGetData("DP_1","003N8EMH8GTFRCSWKMPXRRESE","GSON1112060491")</f>
        <v>#NAME?</v>
      </c>
      <c r="E900" s="28" t="e">
        <f ca="1">[1]!BexGetData("DP_1","003N8EMH8GTFRCSWKMPXRRL3Y","GSON1112060491")</f>
        <v>#NAME?</v>
      </c>
      <c r="F900" s="28" t="e">
        <f ca="1">[1]!BexGetData("DP_1","003N8EMH8GTFRCSWKMPXRRRFI","GSON1112060491")</f>
        <v>#NAME?</v>
      </c>
      <c r="G900" s="23" t="e">
        <f ca="1">[1]!BexGetData("DP_1","003N8EMH8GTFRCSWKMPXRRXR2","GSON1112060491")</f>
        <v>#NAME?</v>
      </c>
      <c r="H900" s="23" t="e">
        <f ca="1">[1]!BexGetData("DP_1","003N8EMH8GTFRCSWKMPXRS42M","GSON1112060491")</f>
        <v>#NAME?</v>
      </c>
      <c r="I900" s="28" t="e">
        <f ca="1">[1]!BexGetData("DP_1","003N8EMH8GTFRCSWKMPXRSAE6","GSON1112060491")</f>
        <v>#NAME?</v>
      </c>
      <c r="J900" s="24" t="e">
        <f ca="1">[1]!BexGetData("DP_1","003N8EMH8GTFRCSWKMPXRSGPQ","GSON1112060491")</f>
        <v>#NAME?</v>
      </c>
      <c r="K900" s="28" t="e">
        <f ca="1">[1]!BexGetData("DP_1","003N8EMH8GTFRIVNUPY288VJH","GSON1112060491")</f>
        <v>#NAME?</v>
      </c>
      <c r="L900" s="28" t="e">
        <f ca="1">[1]!BexGetData("DP_1","003N8EMH8GTFRIVNUPY2891V1","GSON1112060491")</f>
        <v>#NAME?</v>
      </c>
      <c r="M900" s="28" t="e">
        <f ca="1">[1]!BexGetData("DP_1","003N8EMH8GTFRIVOG7KG9IQXA","GSON1112060491")</f>
        <v>#NAME?</v>
      </c>
      <c r="N900" s="28" t="e">
        <f ca="1">[1]!BexGetData("DP_1","003N8EMH8GTFRIVOG7KG9IX8U","GSON1112060491")</f>
        <v>#NAME?</v>
      </c>
      <c r="O900" s="28" t="e">
        <f ca="1">[1]!BexGetData("DP_1","003N8EMH8GTFRIVOG7KG9J3KE","GSON1112060491")</f>
        <v>#NAME?</v>
      </c>
      <c r="P900" s="28" t="e">
        <f ca="1">[1]!BexGetData("DP_1","003N8EMH8GTFRIVOG7KG9J9VY","GSON1112060491")</f>
        <v>#NAME?</v>
      </c>
      <c r="Q900" s="24" t="e">
        <f ca="1">[1]!BexGetData("DP_1","00O2TNJGODT0G5Z4TTKYMM5MT","GSON1112060491")</f>
        <v>#NAME?</v>
      </c>
      <c r="R900" s="28" t="e">
        <f ca="1">[1]!BexGetData("DP_1","00O2TNJGODT0G5Z4TTKYMMBYD","GSON1112060491")</f>
        <v>#NAME?</v>
      </c>
      <c r="S900" s="28" t="e">
        <f ca="1">[1]!BexGetData("DP_1","00O2TNJGODT0G5Z4TTKYMMI9X","GSON1112060491")</f>
        <v>#NAME?</v>
      </c>
      <c r="T900" s="28" t="e">
        <f ca="1">[1]!BexGetData("DP_1","00O2TNJGODT0G5Z4TTKYMMOLH","GSON1112060491")</f>
        <v>#NAME?</v>
      </c>
      <c r="U900" s="28" t="e">
        <f ca="1">[1]!BexGetData("DP_1","00O2TNJGODT0G5Z4TTKYMMUX1","GSON1112060491")</f>
        <v>#NAME?</v>
      </c>
      <c r="V900" s="28" t="e">
        <f ca="1">[1]!BexGetData("DP_1","00O2TNJGODT0G5Z4TTKYMN18L","GSON1112060491")</f>
        <v>#NAME?</v>
      </c>
      <c r="W900" s="28" t="e">
        <f ca="1">[1]!BexGetData("DP_1","00O2TNJGODT0G5Z4TTKYMN7K5","GSON1112060491")</f>
        <v>#NAME?</v>
      </c>
    </row>
    <row r="901" spans="1:23" x14ac:dyDescent="0.2">
      <c r="A901" s="36" t="s">
        <v>3182</v>
      </c>
      <c r="B901" s="27" t="s">
        <v>3183</v>
      </c>
      <c r="C901" s="24" t="e">
        <f ca="1">[1]!BexGetData("DP_1","003N8EMH8GTFRCSWKMPXRR8GU","GSON1112060493")</f>
        <v>#NAME?</v>
      </c>
      <c r="D901" s="24" t="e">
        <f ca="1">[1]!BexGetData("DP_1","003N8EMH8GTFRCSWKMPXRRESE","GSON1112060493")</f>
        <v>#NAME?</v>
      </c>
      <c r="E901" s="24" t="e">
        <f ca="1">[1]!BexGetData("DP_1","003N8EMH8GTFRCSWKMPXRRL3Y","GSON1112060493")</f>
        <v>#NAME?</v>
      </c>
      <c r="F901" s="28" t="e">
        <f ca="1">[1]!BexGetData("DP_1","003N8EMH8GTFRCSWKMPXRRRFI","GSON1112060493")</f>
        <v>#NAME?</v>
      </c>
      <c r="G901" s="23" t="e">
        <f ca="1">[1]!BexGetData("DP_1","003N8EMH8GTFRCSWKMPXRRXR2","GSON1112060493")</f>
        <v>#NAME?</v>
      </c>
      <c r="H901" s="23" t="e">
        <f ca="1">[1]!BexGetData("DP_1","003N8EMH8GTFRCSWKMPXRS42M","GSON1112060493")</f>
        <v>#NAME?</v>
      </c>
      <c r="I901" s="28" t="e">
        <f ca="1">[1]!BexGetData("DP_1","003N8EMH8GTFRCSWKMPXRSAE6","GSON1112060493")</f>
        <v>#NAME?</v>
      </c>
      <c r="J901" s="24" t="e">
        <f ca="1">[1]!BexGetData("DP_1","003N8EMH8GTFRCSWKMPXRSGPQ","GSON1112060493")</f>
        <v>#NAME?</v>
      </c>
      <c r="K901" s="28" t="e">
        <f ca="1">[1]!BexGetData("DP_1","003N8EMH8GTFRIVNUPY288VJH","GSON1112060493")</f>
        <v>#NAME?</v>
      </c>
      <c r="L901" s="28" t="e">
        <f ca="1">[1]!BexGetData("DP_1","003N8EMH8GTFRIVNUPY2891V1","GSON1112060493")</f>
        <v>#NAME?</v>
      </c>
      <c r="M901" s="28" t="e">
        <f ca="1">[1]!BexGetData("DP_1","003N8EMH8GTFRIVOG7KG9IQXA","GSON1112060493")</f>
        <v>#NAME?</v>
      </c>
      <c r="N901" s="28" t="e">
        <f ca="1">[1]!BexGetData("DP_1","003N8EMH8GTFRIVOG7KG9IX8U","GSON1112060493")</f>
        <v>#NAME?</v>
      </c>
      <c r="O901" s="28" t="e">
        <f ca="1">[1]!BexGetData("DP_1","003N8EMH8GTFRIVOG7KG9J3KE","GSON1112060493")</f>
        <v>#NAME?</v>
      </c>
      <c r="P901" s="28" t="e">
        <f ca="1">[1]!BexGetData("DP_1","003N8EMH8GTFRIVOG7KG9J9VY","GSON1112060493")</f>
        <v>#NAME?</v>
      </c>
      <c r="Q901" s="24" t="e">
        <f ca="1">[1]!BexGetData("DP_1","00O2TNJGODT0G5Z4TTKYMM5MT","GSON1112060493")</f>
        <v>#NAME?</v>
      </c>
      <c r="R901" s="28" t="e">
        <f ca="1">[1]!BexGetData("DP_1","00O2TNJGODT0G5Z4TTKYMMBYD","GSON1112060493")</f>
        <v>#NAME?</v>
      </c>
      <c r="S901" s="28" t="e">
        <f ca="1">[1]!BexGetData("DP_1","00O2TNJGODT0G5Z4TTKYMMI9X","GSON1112060493")</f>
        <v>#NAME?</v>
      </c>
      <c r="T901" s="28" t="e">
        <f ca="1">[1]!BexGetData("DP_1","00O2TNJGODT0G5Z4TTKYMMOLH","GSON1112060493")</f>
        <v>#NAME?</v>
      </c>
      <c r="U901" s="28" t="e">
        <f ca="1">[1]!BexGetData("DP_1","00O2TNJGODT0G5Z4TTKYMMUX1","GSON1112060493")</f>
        <v>#NAME?</v>
      </c>
      <c r="V901" s="28" t="e">
        <f ca="1">[1]!BexGetData("DP_1","00O2TNJGODT0G5Z4TTKYMN18L","GSON1112060493")</f>
        <v>#NAME?</v>
      </c>
      <c r="W901" s="28" t="e">
        <f ca="1">[1]!BexGetData("DP_1","00O2TNJGODT0G5Z4TTKYMN7K5","GSON1112060493")</f>
        <v>#NAME?</v>
      </c>
    </row>
    <row r="902" spans="1:23" x14ac:dyDescent="0.2">
      <c r="A902" s="36" t="s">
        <v>3184</v>
      </c>
      <c r="B902" s="27" t="s">
        <v>3185</v>
      </c>
      <c r="C902" s="23" t="e">
        <f ca="1">[1]!BexGetData("DP_1","003N8EMH8GTFRCSWKMPXRR8GU","GSON1112060494")</f>
        <v>#NAME?</v>
      </c>
      <c r="D902" s="23" t="e">
        <f ca="1">[1]!BexGetData("DP_1","003N8EMH8GTFRCSWKMPXRRESE","GSON1112060494")</f>
        <v>#NAME?</v>
      </c>
      <c r="E902" s="28" t="e">
        <f ca="1">[1]!BexGetData("DP_1","003N8EMH8GTFRCSWKMPXRRL3Y","GSON1112060494")</f>
        <v>#NAME?</v>
      </c>
      <c r="F902" s="28" t="e">
        <f ca="1">[1]!BexGetData("DP_1","003N8EMH8GTFRCSWKMPXRRRFI","GSON1112060494")</f>
        <v>#NAME?</v>
      </c>
      <c r="G902" s="23" t="e">
        <f ca="1">[1]!BexGetData("DP_1","003N8EMH8GTFRCSWKMPXRRXR2","GSON1112060494")</f>
        <v>#NAME?</v>
      </c>
      <c r="H902" s="23" t="e">
        <f ca="1">[1]!BexGetData("DP_1","003N8EMH8GTFRCSWKMPXRS42M","GSON1112060494")</f>
        <v>#NAME?</v>
      </c>
      <c r="I902" s="28" t="e">
        <f ca="1">[1]!BexGetData("DP_1","003N8EMH8GTFRCSWKMPXRSAE6","GSON1112060494")</f>
        <v>#NAME?</v>
      </c>
      <c r="J902" s="24" t="e">
        <f ca="1">[1]!BexGetData("DP_1","003N8EMH8GTFRCSWKMPXRSGPQ","GSON1112060494")</f>
        <v>#NAME?</v>
      </c>
      <c r="K902" s="28" t="e">
        <f ca="1">[1]!BexGetData("DP_1","003N8EMH8GTFRIVNUPY288VJH","GSON1112060494")</f>
        <v>#NAME?</v>
      </c>
      <c r="L902" s="28" t="e">
        <f ca="1">[1]!BexGetData("DP_1","003N8EMH8GTFRIVNUPY2891V1","GSON1112060494")</f>
        <v>#NAME?</v>
      </c>
      <c r="M902" s="28" t="e">
        <f ca="1">[1]!BexGetData("DP_1","003N8EMH8GTFRIVOG7KG9IQXA","GSON1112060494")</f>
        <v>#NAME?</v>
      </c>
      <c r="N902" s="28" t="e">
        <f ca="1">[1]!BexGetData("DP_1","003N8EMH8GTFRIVOG7KG9IX8U","GSON1112060494")</f>
        <v>#NAME?</v>
      </c>
      <c r="O902" s="28" t="e">
        <f ca="1">[1]!BexGetData("DP_1","003N8EMH8GTFRIVOG7KG9J3KE","GSON1112060494")</f>
        <v>#NAME?</v>
      </c>
      <c r="P902" s="28" t="e">
        <f ca="1">[1]!BexGetData("DP_1","003N8EMH8GTFRIVOG7KG9J9VY","GSON1112060494")</f>
        <v>#NAME?</v>
      </c>
      <c r="Q902" s="24" t="e">
        <f ca="1">[1]!BexGetData("DP_1","00O2TNJGODT0G5Z4TTKYMM5MT","GSON1112060494")</f>
        <v>#NAME?</v>
      </c>
      <c r="R902" s="28" t="e">
        <f ca="1">[1]!BexGetData("DP_1","00O2TNJGODT0G5Z4TTKYMMBYD","GSON1112060494")</f>
        <v>#NAME?</v>
      </c>
      <c r="S902" s="28" t="e">
        <f ca="1">[1]!BexGetData("DP_1","00O2TNJGODT0G5Z4TTKYMMI9X","GSON1112060494")</f>
        <v>#NAME?</v>
      </c>
      <c r="T902" s="28" t="e">
        <f ca="1">[1]!BexGetData("DP_1","00O2TNJGODT0G5Z4TTKYMMOLH","GSON1112060494")</f>
        <v>#NAME?</v>
      </c>
      <c r="U902" s="28" t="e">
        <f ca="1">[1]!BexGetData("DP_1","00O2TNJGODT0G5Z4TTKYMMUX1","GSON1112060494")</f>
        <v>#NAME?</v>
      </c>
      <c r="V902" s="28" t="e">
        <f ca="1">[1]!BexGetData("DP_1","00O2TNJGODT0G5Z4TTKYMN18L","GSON1112060494")</f>
        <v>#NAME?</v>
      </c>
      <c r="W902" s="28" t="e">
        <f ca="1">[1]!BexGetData("DP_1","00O2TNJGODT0G5Z4TTKYMN7K5","GSON1112060494")</f>
        <v>#NAME?</v>
      </c>
    </row>
    <row r="903" spans="1:23" x14ac:dyDescent="0.2">
      <c r="A903" s="36" t="s">
        <v>3186</v>
      </c>
      <c r="B903" s="27" t="s">
        <v>3187</v>
      </c>
      <c r="C903" s="24" t="e">
        <f ca="1">[1]!BexGetData("DP_1","003N8EMH8GTFRCSWKMPXRR8GU","GSON1112060495")</f>
        <v>#NAME?</v>
      </c>
      <c r="D903" s="24" t="e">
        <f ca="1">[1]!BexGetData("DP_1","003N8EMH8GTFRCSWKMPXRRESE","GSON1112060495")</f>
        <v>#NAME?</v>
      </c>
      <c r="E903" s="24" t="e">
        <f ca="1">[1]!BexGetData("DP_1","003N8EMH8GTFRCSWKMPXRRL3Y","GSON1112060495")</f>
        <v>#NAME?</v>
      </c>
      <c r="F903" s="28" t="e">
        <f ca="1">[1]!BexGetData("DP_1","003N8EMH8GTFRCSWKMPXRRRFI","GSON1112060495")</f>
        <v>#NAME?</v>
      </c>
      <c r="G903" s="23" t="e">
        <f ca="1">[1]!BexGetData("DP_1","003N8EMH8GTFRCSWKMPXRRXR2","GSON1112060495")</f>
        <v>#NAME?</v>
      </c>
      <c r="H903" s="23" t="e">
        <f ca="1">[1]!BexGetData("DP_1","003N8EMH8GTFRCSWKMPXRS42M","GSON1112060495")</f>
        <v>#NAME?</v>
      </c>
      <c r="I903" s="28" t="e">
        <f ca="1">[1]!BexGetData("DP_1","003N8EMH8GTFRCSWKMPXRSAE6","GSON1112060495")</f>
        <v>#NAME?</v>
      </c>
      <c r="J903" s="24" t="e">
        <f ca="1">[1]!BexGetData("DP_1","003N8EMH8GTFRCSWKMPXRSGPQ","GSON1112060495")</f>
        <v>#NAME?</v>
      </c>
      <c r="K903" s="28" t="e">
        <f ca="1">[1]!BexGetData("DP_1","003N8EMH8GTFRIVNUPY288VJH","GSON1112060495")</f>
        <v>#NAME?</v>
      </c>
      <c r="L903" s="28" t="e">
        <f ca="1">[1]!BexGetData("DP_1","003N8EMH8GTFRIVNUPY2891V1","GSON1112060495")</f>
        <v>#NAME?</v>
      </c>
      <c r="M903" s="28" t="e">
        <f ca="1">[1]!BexGetData("DP_1","003N8EMH8GTFRIVOG7KG9IQXA","GSON1112060495")</f>
        <v>#NAME?</v>
      </c>
      <c r="N903" s="28" t="e">
        <f ca="1">[1]!BexGetData("DP_1","003N8EMH8GTFRIVOG7KG9IX8U","GSON1112060495")</f>
        <v>#NAME?</v>
      </c>
      <c r="O903" s="28" t="e">
        <f ca="1">[1]!BexGetData("DP_1","003N8EMH8GTFRIVOG7KG9J3KE","GSON1112060495")</f>
        <v>#NAME?</v>
      </c>
      <c r="P903" s="28" t="e">
        <f ca="1">[1]!BexGetData("DP_1","003N8EMH8GTFRIVOG7KG9J9VY","GSON1112060495")</f>
        <v>#NAME?</v>
      </c>
      <c r="Q903" s="24" t="e">
        <f ca="1">[1]!BexGetData("DP_1","00O2TNJGODT0G5Z4TTKYMM5MT","GSON1112060495")</f>
        <v>#NAME?</v>
      </c>
      <c r="R903" s="28" t="e">
        <f ca="1">[1]!BexGetData("DP_1","00O2TNJGODT0G5Z4TTKYMMBYD","GSON1112060495")</f>
        <v>#NAME?</v>
      </c>
      <c r="S903" s="28" t="e">
        <f ca="1">[1]!BexGetData("DP_1","00O2TNJGODT0G5Z4TTKYMMI9X","GSON1112060495")</f>
        <v>#NAME?</v>
      </c>
      <c r="T903" s="28" t="e">
        <f ca="1">[1]!BexGetData("DP_1","00O2TNJGODT0G5Z4TTKYMMOLH","GSON1112060495")</f>
        <v>#NAME?</v>
      </c>
      <c r="U903" s="28" t="e">
        <f ca="1">[1]!BexGetData("DP_1","00O2TNJGODT0G5Z4TTKYMMUX1","GSON1112060495")</f>
        <v>#NAME?</v>
      </c>
      <c r="V903" s="28" t="e">
        <f ca="1">[1]!BexGetData("DP_1","00O2TNJGODT0G5Z4TTKYMN18L","GSON1112060495")</f>
        <v>#NAME?</v>
      </c>
      <c r="W903" s="28" t="e">
        <f ca="1">[1]!BexGetData("DP_1","00O2TNJGODT0G5Z4TTKYMN7K5","GSON1112060495")</f>
        <v>#NAME?</v>
      </c>
    </row>
    <row r="904" spans="1:23" x14ac:dyDescent="0.2">
      <c r="A904" s="36" t="s">
        <v>3188</v>
      </c>
      <c r="B904" s="27" t="s">
        <v>3189</v>
      </c>
      <c r="C904" s="23" t="e">
        <f ca="1">[1]!BexGetData("DP_1","003N8EMH8GTFRCSWKMPXRR8GU","GSON1112060651")</f>
        <v>#NAME?</v>
      </c>
      <c r="D904" s="23" t="e">
        <f ca="1">[1]!BexGetData("DP_1","003N8EMH8GTFRCSWKMPXRRESE","GSON1112060651")</f>
        <v>#NAME?</v>
      </c>
      <c r="E904" s="23" t="e">
        <f ca="1">[1]!BexGetData("DP_1","003N8EMH8GTFRCSWKMPXRRL3Y","GSON1112060651")</f>
        <v>#NAME?</v>
      </c>
      <c r="F904" s="23" t="e">
        <f ca="1">[1]!BexGetData("DP_1","003N8EMH8GTFRCSWKMPXRRRFI","GSON1112060651")</f>
        <v>#NAME?</v>
      </c>
      <c r="G904" s="28" t="e">
        <f ca="1">[1]!BexGetData("DP_1","003N8EMH8GTFRCSWKMPXRRXR2","GSON1112060651")</f>
        <v>#NAME?</v>
      </c>
      <c r="H904" s="28" t="e">
        <f ca="1">[1]!BexGetData("DP_1","003N8EMH8GTFRCSWKMPXRS42M","GSON1112060651")</f>
        <v>#NAME?</v>
      </c>
      <c r="I904" s="23" t="e">
        <f ca="1">[1]!BexGetData("DP_1","003N8EMH8GTFRCSWKMPXRSAE6","GSON1112060651")</f>
        <v>#NAME?</v>
      </c>
      <c r="J904" s="23" t="e">
        <f ca="1">[1]!BexGetData("DP_1","003N8EMH8GTFRCSWKMPXRSGPQ","GSON1112060651")</f>
        <v>#NAME?</v>
      </c>
      <c r="K904" s="28" t="e">
        <f ca="1">[1]!BexGetData("DP_1","003N8EMH8GTFRIVNUPY288VJH","GSON1112060651")</f>
        <v>#NAME?</v>
      </c>
      <c r="L904" s="28" t="e">
        <f ca="1">[1]!BexGetData("DP_1","003N8EMH8GTFRIVNUPY2891V1","GSON1112060651")</f>
        <v>#NAME?</v>
      </c>
      <c r="M904" s="28" t="e">
        <f ca="1">[1]!BexGetData("DP_1","003N8EMH8GTFRIVOG7KG9IQXA","GSON1112060651")</f>
        <v>#NAME?</v>
      </c>
      <c r="N904" s="28" t="e">
        <f ca="1">[1]!BexGetData("DP_1","003N8EMH8GTFRIVOG7KG9IX8U","GSON1112060651")</f>
        <v>#NAME?</v>
      </c>
      <c r="O904" s="28" t="e">
        <f ca="1">[1]!BexGetData("DP_1","003N8EMH8GTFRIVOG7KG9J3KE","GSON1112060651")</f>
        <v>#NAME?</v>
      </c>
      <c r="P904" s="28" t="e">
        <f ca="1">[1]!BexGetData("DP_1","003N8EMH8GTFRIVOG7KG9J9VY","GSON1112060651")</f>
        <v>#NAME?</v>
      </c>
      <c r="Q904" s="23" t="e">
        <f ca="1">[1]!BexGetData("DP_1","00O2TNJGODT0G5Z4TTKYMM5MT","GSON1112060651")</f>
        <v>#NAME?</v>
      </c>
      <c r="R904" s="28" t="e">
        <f ca="1">[1]!BexGetData("DP_1","00O2TNJGODT0G5Z4TTKYMMBYD","GSON1112060651")</f>
        <v>#NAME?</v>
      </c>
      <c r="S904" s="28" t="e">
        <f ca="1">[1]!BexGetData("DP_1","00O2TNJGODT0G5Z4TTKYMMI9X","GSON1112060651")</f>
        <v>#NAME?</v>
      </c>
      <c r="T904" s="28" t="e">
        <f ca="1">[1]!BexGetData("DP_1","00O2TNJGODT0G5Z4TTKYMMOLH","GSON1112060651")</f>
        <v>#NAME?</v>
      </c>
      <c r="U904" s="28" t="e">
        <f ca="1">[1]!BexGetData("DP_1","00O2TNJGODT0G5Z4TTKYMMUX1","GSON1112060651")</f>
        <v>#NAME?</v>
      </c>
      <c r="V904" s="28" t="e">
        <f ca="1">[1]!BexGetData("DP_1","00O2TNJGODT0G5Z4TTKYMN18L","GSON1112060651")</f>
        <v>#NAME?</v>
      </c>
      <c r="W904" s="28" t="e">
        <f ca="1">[1]!BexGetData("DP_1","00O2TNJGODT0G5Z4TTKYMN7K5","GSON1112060651")</f>
        <v>#NAME?</v>
      </c>
    </row>
    <row r="905" spans="1:23" x14ac:dyDescent="0.2">
      <c r="A905" s="36" t="s">
        <v>3190</v>
      </c>
      <c r="B905" s="27" t="s">
        <v>3191</v>
      </c>
      <c r="C905" s="28" t="e">
        <f ca="1">[1]!BexGetData("DP_1","003N8EMH8GTFRCSWKMPXRR8GU","GSON1112060653")</f>
        <v>#NAME?</v>
      </c>
      <c r="D905" s="28" t="e">
        <f ca="1">[1]!BexGetData("DP_1","003N8EMH8GTFRCSWKMPXRRESE","GSON1112060653")</f>
        <v>#NAME?</v>
      </c>
      <c r="E905" s="28" t="e">
        <f ca="1">[1]!BexGetData("DP_1","003N8EMH8GTFRCSWKMPXRRL3Y","GSON1112060653")</f>
        <v>#NAME?</v>
      </c>
      <c r="F905" s="28" t="e">
        <f ca="1">[1]!BexGetData("DP_1","003N8EMH8GTFRCSWKMPXRRRFI","GSON1112060653")</f>
        <v>#NAME?</v>
      </c>
      <c r="G905" s="23" t="e">
        <f ca="1">[1]!BexGetData("DP_1","003N8EMH8GTFRCSWKMPXRRXR2","GSON1112060653")</f>
        <v>#NAME?</v>
      </c>
      <c r="H905" s="23" t="e">
        <f ca="1">[1]!BexGetData("DP_1","003N8EMH8GTFRCSWKMPXRS42M","GSON1112060653")</f>
        <v>#NAME?</v>
      </c>
      <c r="I905" s="28" t="e">
        <f ca="1">[1]!BexGetData("DP_1","003N8EMH8GTFRCSWKMPXRSAE6","GSON1112060653")</f>
        <v>#NAME?</v>
      </c>
      <c r="J905" s="24" t="e">
        <f ca="1">[1]!BexGetData("DP_1","003N8EMH8GTFRCSWKMPXRSGPQ","GSON1112060653")</f>
        <v>#NAME?</v>
      </c>
      <c r="K905" s="28" t="e">
        <f ca="1">[1]!BexGetData("DP_1","003N8EMH8GTFRIVNUPY288VJH","GSON1112060653")</f>
        <v>#NAME?</v>
      </c>
      <c r="L905" s="28" t="e">
        <f ca="1">[1]!BexGetData("DP_1","003N8EMH8GTFRIVNUPY2891V1","GSON1112060653")</f>
        <v>#NAME?</v>
      </c>
      <c r="M905" s="28" t="e">
        <f ca="1">[1]!BexGetData("DP_1","003N8EMH8GTFRIVOG7KG9IQXA","GSON1112060653")</f>
        <v>#NAME?</v>
      </c>
      <c r="N905" s="28" t="e">
        <f ca="1">[1]!BexGetData("DP_1","003N8EMH8GTFRIVOG7KG9IX8U","GSON1112060653")</f>
        <v>#NAME?</v>
      </c>
      <c r="O905" s="28" t="e">
        <f ca="1">[1]!BexGetData("DP_1","003N8EMH8GTFRIVOG7KG9J3KE","GSON1112060653")</f>
        <v>#NAME?</v>
      </c>
      <c r="P905" s="28" t="e">
        <f ca="1">[1]!BexGetData("DP_1","003N8EMH8GTFRIVOG7KG9J9VY","GSON1112060653")</f>
        <v>#NAME?</v>
      </c>
      <c r="Q905" s="24" t="e">
        <f ca="1">[1]!BexGetData("DP_1","00O2TNJGODT0G5Z4TTKYMM5MT","GSON1112060653")</f>
        <v>#NAME?</v>
      </c>
      <c r="R905" s="28" t="e">
        <f ca="1">[1]!BexGetData("DP_1","00O2TNJGODT0G5Z4TTKYMMBYD","GSON1112060653")</f>
        <v>#NAME?</v>
      </c>
      <c r="S905" s="28" t="e">
        <f ca="1">[1]!BexGetData("DP_1","00O2TNJGODT0G5Z4TTKYMMI9X","GSON1112060653")</f>
        <v>#NAME?</v>
      </c>
      <c r="T905" s="28" t="e">
        <f ca="1">[1]!BexGetData("DP_1","00O2TNJGODT0G5Z4TTKYMMOLH","GSON1112060653")</f>
        <v>#NAME?</v>
      </c>
      <c r="U905" s="28" t="e">
        <f ca="1">[1]!BexGetData("DP_1","00O2TNJGODT0G5Z4TTKYMMUX1","GSON1112060653")</f>
        <v>#NAME?</v>
      </c>
      <c r="V905" s="28" t="e">
        <f ca="1">[1]!BexGetData("DP_1","00O2TNJGODT0G5Z4TTKYMN18L","GSON1112060653")</f>
        <v>#NAME?</v>
      </c>
      <c r="W905" s="28" t="e">
        <f ca="1">[1]!BexGetData("DP_1","00O2TNJGODT0G5Z4TTKYMN7K5","GSON1112060653")</f>
        <v>#NAME?</v>
      </c>
    </row>
    <row r="906" spans="1:23" x14ac:dyDescent="0.2">
      <c r="A906" s="36" t="s">
        <v>3192</v>
      </c>
      <c r="B906" s="27" t="s">
        <v>3193</v>
      </c>
      <c r="C906" s="23" t="e">
        <f ca="1">[1]!BexGetData("DP_1","003N8EMH8GTFRCSWKMPXRR8GU","GSON1112060660")</f>
        <v>#NAME?</v>
      </c>
      <c r="D906" s="23" t="e">
        <f ca="1">[1]!BexGetData("DP_1","003N8EMH8GTFRCSWKMPXRRESE","GSON1112060660")</f>
        <v>#NAME?</v>
      </c>
      <c r="E906" s="23" t="e">
        <f ca="1">[1]!BexGetData("DP_1","003N8EMH8GTFRCSWKMPXRRL3Y","GSON1112060660")</f>
        <v>#NAME?</v>
      </c>
      <c r="F906" s="23" t="e">
        <f ca="1">[1]!BexGetData("DP_1","003N8EMH8GTFRCSWKMPXRRRFI","GSON1112060660")</f>
        <v>#NAME?</v>
      </c>
      <c r="G906" s="23" t="e">
        <f ca="1">[1]!BexGetData("DP_1","003N8EMH8GTFRCSWKMPXRRXR2","GSON1112060660")</f>
        <v>#NAME?</v>
      </c>
      <c r="H906" s="23" t="e">
        <f ca="1">[1]!BexGetData("DP_1","003N8EMH8GTFRCSWKMPXRS42M","GSON1112060660")</f>
        <v>#NAME?</v>
      </c>
      <c r="I906" s="23" t="e">
        <f ca="1">[1]!BexGetData("DP_1","003N8EMH8GTFRCSWKMPXRSAE6","GSON1112060660")</f>
        <v>#NAME?</v>
      </c>
      <c r="J906" s="23" t="e">
        <f ca="1">[1]!BexGetData("DP_1","003N8EMH8GTFRCSWKMPXRSGPQ","GSON1112060660")</f>
        <v>#NAME?</v>
      </c>
      <c r="K906" s="23" t="e">
        <f ca="1">[1]!BexGetData("DP_1","003N8EMH8GTFRIVNUPY288VJH","GSON1112060660")</f>
        <v>#NAME?</v>
      </c>
      <c r="L906" s="23" t="e">
        <f ca="1">[1]!BexGetData("DP_1","003N8EMH8GTFRIVNUPY2891V1","GSON1112060660")</f>
        <v>#NAME?</v>
      </c>
      <c r="M906" s="28" t="e">
        <f ca="1">[1]!BexGetData("DP_1","003N8EMH8GTFRIVOG7KG9IQXA","GSON1112060660")</f>
        <v>#NAME?</v>
      </c>
      <c r="N906" s="23" t="e">
        <f ca="1">[1]!BexGetData("DP_1","003N8EMH8GTFRIVOG7KG9IX8U","GSON1112060660")</f>
        <v>#NAME?</v>
      </c>
      <c r="O906" s="28" t="e">
        <f ca="1">[1]!BexGetData("DP_1","003N8EMH8GTFRIVOG7KG9J3KE","GSON1112060660")</f>
        <v>#NAME?</v>
      </c>
      <c r="P906" s="23" t="e">
        <f ca="1">[1]!BexGetData("DP_1","003N8EMH8GTFRIVOG7KG9J9VY","GSON1112060660")</f>
        <v>#NAME?</v>
      </c>
      <c r="Q906" s="23" t="e">
        <f ca="1">[1]!BexGetData("DP_1","00O2TNJGODT0G5Z4TTKYMM5MT","GSON1112060660")</f>
        <v>#NAME?</v>
      </c>
      <c r="R906" s="23" t="e">
        <f ca="1">[1]!BexGetData("DP_1","00O2TNJGODT0G5Z4TTKYMMBYD","GSON1112060660")</f>
        <v>#NAME?</v>
      </c>
      <c r="S906" s="23" t="e">
        <f ca="1">[1]!BexGetData("DP_1","00O2TNJGODT0G5Z4TTKYMMI9X","GSON1112060660")</f>
        <v>#NAME?</v>
      </c>
      <c r="T906" s="23" t="e">
        <f ca="1">[1]!BexGetData("DP_1","00O2TNJGODT0G5Z4TTKYMMOLH","GSON1112060660")</f>
        <v>#NAME?</v>
      </c>
      <c r="U906" s="28" t="e">
        <f ca="1">[1]!BexGetData("DP_1","00O2TNJGODT0G5Z4TTKYMMUX1","GSON1112060660")</f>
        <v>#NAME?</v>
      </c>
      <c r="V906" s="23" t="e">
        <f ca="1">[1]!BexGetData("DP_1","00O2TNJGODT0G5Z4TTKYMN18L","GSON1112060660")</f>
        <v>#NAME?</v>
      </c>
      <c r="W906" s="28" t="e">
        <f ca="1">[1]!BexGetData("DP_1","00O2TNJGODT0G5Z4TTKYMN7K5","GSON1112060660")</f>
        <v>#NAME?</v>
      </c>
    </row>
    <row r="907" spans="1:23" x14ac:dyDescent="0.2">
      <c r="A907" s="36" t="s">
        <v>3194</v>
      </c>
      <c r="B907" s="27" t="s">
        <v>3195</v>
      </c>
      <c r="C907" s="23" t="e">
        <f ca="1">[1]!BexGetData("DP_1","003N8EMH8GTFRCSWKMPXRR8GU","GSON1112060661")</f>
        <v>#NAME?</v>
      </c>
      <c r="D907" s="23" t="e">
        <f ca="1">[1]!BexGetData("DP_1","003N8EMH8GTFRCSWKMPXRRESE","GSON1112060661")</f>
        <v>#NAME?</v>
      </c>
      <c r="E907" s="28" t="e">
        <f ca="1">[1]!BexGetData("DP_1","003N8EMH8GTFRCSWKMPXRRL3Y","GSON1112060661")</f>
        <v>#NAME?</v>
      </c>
      <c r="F907" s="28" t="e">
        <f ca="1">[1]!BexGetData("DP_1","003N8EMH8GTFRCSWKMPXRRRFI","GSON1112060661")</f>
        <v>#NAME?</v>
      </c>
      <c r="G907" s="23" t="e">
        <f ca="1">[1]!BexGetData("DP_1","003N8EMH8GTFRCSWKMPXRRXR2","GSON1112060661")</f>
        <v>#NAME?</v>
      </c>
      <c r="H907" s="23" t="e">
        <f ca="1">[1]!BexGetData("DP_1","003N8EMH8GTFRCSWKMPXRS42M","GSON1112060661")</f>
        <v>#NAME?</v>
      </c>
      <c r="I907" s="28" t="e">
        <f ca="1">[1]!BexGetData("DP_1","003N8EMH8GTFRCSWKMPXRSAE6","GSON1112060661")</f>
        <v>#NAME?</v>
      </c>
      <c r="J907" s="24" t="e">
        <f ca="1">[1]!BexGetData("DP_1","003N8EMH8GTFRCSWKMPXRSGPQ","GSON1112060661")</f>
        <v>#NAME?</v>
      </c>
      <c r="K907" s="28" t="e">
        <f ca="1">[1]!BexGetData("DP_1","003N8EMH8GTFRIVNUPY288VJH","GSON1112060661")</f>
        <v>#NAME?</v>
      </c>
      <c r="L907" s="28" t="e">
        <f ca="1">[1]!BexGetData("DP_1","003N8EMH8GTFRIVNUPY2891V1","GSON1112060661")</f>
        <v>#NAME?</v>
      </c>
      <c r="M907" s="28" t="e">
        <f ca="1">[1]!BexGetData("DP_1","003N8EMH8GTFRIVOG7KG9IQXA","GSON1112060661")</f>
        <v>#NAME?</v>
      </c>
      <c r="N907" s="28" t="e">
        <f ca="1">[1]!BexGetData("DP_1","003N8EMH8GTFRIVOG7KG9IX8U","GSON1112060661")</f>
        <v>#NAME?</v>
      </c>
      <c r="O907" s="28" t="e">
        <f ca="1">[1]!BexGetData("DP_1","003N8EMH8GTFRIVOG7KG9J3KE","GSON1112060661")</f>
        <v>#NAME?</v>
      </c>
      <c r="P907" s="28" t="e">
        <f ca="1">[1]!BexGetData("DP_1","003N8EMH8GTFRIVOG7KG9J9VY","GSON1112060661")</f>
        <v>#NAME?</v>
      </c>
      <c r="Q907" s="24" t="e">
        <f ca="1">[1]!BexGetData("DP_1","00O2TNJGODT0G5Z4TTKYMM5MT","GSON1112060661")</f>
        <v>#NAME?</v>
      </c>
      <c r="R907" s="28" t="e">
        <f ca="1">[1]!BexGetData("DP_1","00O2TNJGODT0G5Z4TTKYMMBYD","GSON1112060661")</f>
        <v>#NAME?</v>
      </c>
      <c r="S907" s="28" t="e">
        <f ca="1">[1]!BexGetData("DP_1","00O2TNJGODT0G5Z4TTKYMMI9X","GSON1112060661")</f>
        <v>#NAME?</v>
      </c>
      <c r="T907" s="28" t="e">
        <f ca="1">[1]!BexGetData("DP_1","00O2TNJGODT0G5Z4TTKYMMOLH","GSON1112060661")</f>
        <v>#NAME?</v>
      </c>
      <c r="U907" s="28" t="e">
        <f ca="1">[1]!BexGetData("DP_1","00O2TNJGODT0G5Z4TTKYMMUX1","GSON1112060661")</f>
        <v>#NAME?</v>
      </c>
      <c r="V907" s="28" t="e">
        <f ca="1">[1]!BexGetData("DP_1","00O2TNJGODT0G5Z4TTKYMN18L","GSON1112060661")</f>
        <v>#NAME?</v>
      </c>
      <c r="W907" s="28" t="e">
        <f ca="1">[1]!BexGetData("DP_1","00O2TNJGODT0G5Z4TTKYMN7K5","GSON1112060661")</f>
        <v>#NAME?</v>
      </c>
    </row>
    <row r="908" spans="1:23" x14ac:dyDescent="0.2">
      <c r="A908" s="36" t="s">
        <v>3196</v>
      </c>
      <c r="B908" s="27" t="s">
        <v>3197</v>
      </c>
      <c r="C908" s="24" t="e">
        <f ca="1">[1]!BexGetData("DP_1","003N8EMH8GTFRCSWKMPXRR8GU","GSON1112060663")</f>
        <v>#NAME?</v>
      </c>
      <c r="D908" s="24" t="e">
        <f ca="1">[1]!BexGetData("DP_1","003N8EMH8GTFRCSWKMPXRRESE","GSON1112060663")</f>
        <v>#NAME?</v>
      </c>
      <c r="E908" s="24" t="e">
        <f ca="1">[1]!BexGetData("DP_1","003N8EMH8GTFRCSWKMPXRRL3Y","GSON1112060663")</f>
        <v>#NAME?</v>
      </c>
      <c r="F908" s="28" t="e">
        <f ca="1">[1]!BexGetData("DP_1","003N8EMH8GTFRCSWKMPXRRRFI","GSON1112060663")</f>
        <v>#NAME?</v>
      </c>
      <c r="G908" s="23" t="e">
        <f ca="1">[1]!BexGetData("DP_1","003N8EMH8GTFRCSWKMPXRRXR2","GSON1112060663")</f>
        <v>#NAME?</v>
      </c>
      <c r="H908" s="23" t="e">
        <f ca="1">[1]!BexGetData("DP_1","003N8EMH8GTFRCSWKMPXRS42M","GSON1112060663")</f>
        <v>#NAME?</v>
      </c>
      <c r="I908" s="28" t="e">
        <f ca="1">[1]!BexGetData("DP_1","003N8EMH8GTFRCSWKMPXRSAE6","GSON1112060663")</f>
        <v>#NAME?</v>
      </c>
      <c r="J908" s="24" t="e">
        <f ca="1">[1]!BexGetData("DP_1","003N8EMH8GTFRCSWKMPXRSGPQ","GSON1112060663")</f>
        <v>#NAME?</v>
      </c>
      <c r="K908" s="28" t="e">
        <f ca="1">[1]!BexGetData("DP_1","003N8EMH8GTFRIVNUPY288VJH","GSON1112060663")</f>
        <v>#NAME?</v>
      </c>
      <c r="L908" s="28" t="e">
        <f ca="1">[1]!BexGetData("DP_1","003N8EMH8GTFRIVNUPY2891V1","GSON1112060663")</f>
        <v>#NAME?</v>
      </c>
      <c r="M908" s="28" t="e">
        <f ca="1">[1]!BexGetData("DP_1","003N8EMH8GTFRIVOG7KG9IQXA","GSON1112060663")</f>
        <v>#NAME?</v>
      </c>
      <c r="N908" s="28" t="e">
        <f ca="1">[1]!BexGetData("DP_1","003N8EMH8GTFRIVOG7KG9IX8U","GSON1112060663")</f>
        <v>#NAME?</v>
      </c>
      <c r="O908" s="28" t="e">
        <f ca="1">[1]!BexGetData("DP_1","003N8EMH8GTFRIVOG7KG9J3KE","GSON1112060663")</f>
        <v>#NAME?</v>
      </c>
      <c r="P908" s="28" t="e">
        <f ca="1">[1]!BexGetData("DP_1","003N8EMH8GTFRIVOG7KG9J9VY","GSON1112060663")</f>
        <v>#NAME?</v>
      </c>
      <c r="Q908" s="24" t="e">
        <f ca="1">[1]!BexGetData("DP_1","00O2TNJGODT0G5Z4TTKYMM5MT","GSON1112060663")</f>
        <v>#NAME?</v>
      </c>
      <c r="R908" s="28" t="e">
        <f ca="1">[1]!BexGetData("DP_1","00O2TNJGODT0G5Z4TTKYMMBYD","GSON1112060663")</f>
        <v>#NAME?</v>
      </c>
      <c r="S908" s="28" t="e">
        <f ca="1">[1]!BexGetData("DP_1","00O2TNJGODT0G5Z4TTKYMMI9X","GSON1112060663")</f>
        <v>#NAME?</v>
      </c>
      <c r="T908" s="28" t="e">
        <f ca="1">[1]!BexGetData("DP_1","00O2TNJGODT0G5Z4TTKYMMOLH","GSON1112060663")</f>
        <v>#NAME?</v>
      </c>
      <c r="U908" s="28" t="e">
        <f ca="1">[1]!BexGetData("DP_1","00O2TNJGODT0G5Z4TTKYMMUX1","GSON1112060663")</f>
        <v>#NAME?</v>
      </c>
      <c r="V908" s="28" t="e">
        <f ca="1">[1]!BexGetData("DP_1","00O2TNJGODT0G5Z4TTKYMN18L","GSON1112060663")</f>
        <v>#NAME?</v>
      </c>
      <c r="W908" s="28" t="e">
        <f ca="1">[1]!BexGetData("DP_1","00O2TNJGODT0G5Z4TTKYMN7K5","GSON1112060663")</f>
        <v>#NAME?</v>
      </c>
    </row>
    <row r="909" spans="1:23" x14ac:dyDescent="0.2">
      <c r="A909" s="36" t="s">
        <v>3198</v>
      </c>
      <c r="B909" s="27" t="s">
        <v>3199</v>
      </c>
      <c r="C909" s="23" t="e">
        <f ca="1">[1]!BexGetData("DP_1","003N8EMH8GTFRCSWKMPXRR8GU","GSON1112060664")</f>
        <v>#NAME?</v>
      </c>
      <c r="D909" s="23" t="e">
        <f ca="1">[1]!BexGetData("DP_1","003N8EMH8GTFRCSWKMPXRRESE","GSON1112060664")</f>
        <v>#NAME?</v>
      </c>
      <c r="E909" s="28" t="e">
        <f ca="1">[1]!BexGetData("DP_1","003N8EMH8GTFRCSWKMPXRRL3Y","GSON1112060664")</f>
        <v>#NAME?</v>
      </c>
      <c r="F909" s="28" t="e">
        <f ca="1">[1]!BexGetData("DP_1","003N8EMH8GTFRCSWKMPXRRRFI","GSON1112060664")</f>
        <v>#NAME?</v>
      </c>
      <c r="G909" s="23" t="e">
        <f ca="1">[1]!BexGetData("DP_1","003N8EMH8GTFRCSWKMPXRRXR2","GSON1112060664")</f>
        <v>#NAME?</v>
      </c>
      <c r="H909" s="23" t="e">
        <f ca="1">[1]!BexGetData("DP_1","003N8EMH8GTFRCSWKMPXRS42M","GSON1112060664")</f>
        <v>#NAME?</v>
      </c>
      <c r="I909" s="28" t="e">
        <f ca="1">[1]!BexGetData("DP_1","003N8EMH8GTFRCSWKMPXRSAE6","GSON1112060664")</f>
        <v>#NAME?</v>
      </c>
      <c r="J909" s="24" t="e">
        <f ca="1">[1]!BexGetData("DP_1","003N8EMH8GTFRCSWKMPXRSGPQ","GSON1112060664")</f>
        <v>#NAME?</v>
      </c>
      <c r="K909" s="28" t="e">
        <f ca="1">[1]!BexGetData("DP_1","003N8EMH8GTFRIVNUPY288VJH","GSON1112060664")</f>
        <v>#NAME?</v>
      </c>
      <c r="L909" s="28" t="e">
        <f ca="1">[1]!BexGetData("DP_1","003N8EMH8GTFRIVNUPY2891V1","GSON1112060664")</f>
        <v>#NAME?</v>
      </c>
      <c r="M909" s="28" t="e">
        <f ca="1">[1]!BexGetData("DP_1","003N8EMH8GTFRIVOG7KG9IQXA","GSON1112060664")</f>
        <v>#NAME?</v>
      </c>
      <c r="N909" s="28" t="e">
        <f ca="1">[1]!BexGetData("DP_1","003N8EMH8GTFRIVOG7KG9IX8U","GSON1112060664")</f>
        <v>#NAME?</v>
      </c>
      <c r="O909" s="28" t="e">
        <f ca="1">[1]!BexGetData("DP_1","003N8EMH8GTFRIVOG7KG9J3KE","GSON1112060664")</f>
        <v>#NAME?</v>
      </c>
      <c r="P909" s="28" t="e">
        <f ca="1">[1]!BexGetData("DP_1","003N8EMH8GTFRIVOG7KG9J9VY","GSON1112060664")</f>
        <v>#NAME?</v>
      </c>
      <c r="Q909" s="24" t="e">
        <f ca="1">[1]!BexGetData("DP_1","00O2TNJGODT0G5Z4TTKYMM5MT","GSON1112060664")</f>
        <v>#NAME?</v>
      </c>
      <c r="R909" s="28" t="e">
        <f ca="1">[1]!BexGetData("DP_1","00O2TNJGODT0G5Z4TTKYMMBYD","GSON1112060664")</f>
        <v>#NAME?</v>
      </c>
      <c r="S909" s="28" t="e">
        <f ca="1">[1]!BexGetData("DP_1","00O2TNJGODT0G5Z4TTKYMMI9X","GSON1112060664")</f>
        <v>#NAME?</v>
      </c>
      <c r="T909" s="28" t="e">
        <f ca="1">[1]!BexGetData("DP_1","00O2TNJGODT0G5Z4TTKYMMOLH","GSON1112060664")</f>
        <v>#NAME?</v>
      </c>
      <c r="U909" s="28" t="e">
        <f ca="1">[1]!BexGetData("DP_1","00O2TNJGODT0G5Z4TTKYMMUX1","GSON1112060664")</f>
        <v>#NAME?</v>
      </c>
      <c r="V909" s="28" t="e">
        <f ca="1">[1]!BexGetData("DP_1","00O2TNJGODT0G5Z4TTKYMN18L","GSON1112060664")</f>
        <v>#NAME?</v>
      </c>
      <c r="W909" s="28" t="e">
        <f ca="1">[1]!BexGetData("DP_1","00O2TNJGODT0G5Z4TTKYMN7K5","GSON1112060664")</f>
        <v>#NAME?</v>
      </c>
    </row>
    <row r="910" spans="1:23" x14ac:dyDescent="0.2">
      <c r="A910" s="36" t="s">
        <v>3200</v>
      </c>
      <c r="B910" s="27" t="s">
        <v>3201</v>
      </c>
      <c r="C910" s="23" t="e">
        <f ca="1">[1]!BexGetData("DP_1","003N8EMH8GTFRCSWKMPXRR8GU","GSON1112060665")</f>
        <v>#NAME?</v>
      </c>
      <c r="D910" s="23" t="e">
        <f ca="1">[1]!BexGetData("DP_1","003N8EMH8GTFRCSWKMPXRRESE","GSON1112060665")</f>
        <v>#NAME?</v>
      </c>
      <c r="E910" s="28" t="e">
        <f ca="1">[1]!BexGetData("DP_1","003N8EMH8GTFRCSWKMPXRRL3Y","GSON1112060665")</f>
        <v>#NAME?</v>
      </c>
      <c r="F910" s="23" t="e">
        <f ca="1">[1]!BexGetData("DP_1","003N8EMH8GTFRCSWKMPXRRRFI","GSON1112060665")</f>
        <v>#NAME?</v>
      </c>
      <c r="G910" s="23" t="e">
        <f ca="1">[1]!BexGetData("DP_1","003N8EMH8GTFRCSWKMPXRRXR2","GSON1112060665")</f>
        <v>#NAME?</v>
      </c>
      <c r="H910" s="23" t="e">
        <f ca="1">[1]!BexGetData("DP_1","003N8EMH8GTFRCSWKMPXRS42M","GSON1112060665")</f>
        <v>#NAME?</v>
      </c>
      <c r="I910" s="23" t="e">
        <f ca="1">[1]!BexGetData("DP_1","003N8EMH8GTFRCSWKMPXRSAE6","GSON1112060665")</f>
        <v>#NAME?</v>
      </c>
      <c r="J910" s="24" t="e">
        <f ca="1">[1]!BexGetData("DP_1","003N8EMH8GTFRCSWKMPXRSGPQ","GSON1112060665")</f>
        <v>#NAME?</v>
      </c>
      <c r="K910" s="23" t="e">
        <f ca="1">[1]!BexGetData("DP_1","003N8EMH8GTFRIVNUPY288VJH","GSON1112060665")</f>
        <v>#NAME?</v>
      </c>
      <c r="L910" s="23" t="e">
        <f ca="1">[1]!BexGetData("DP_1","003N8EMH8GTFRIVNUPY2891V1","GSON1112060665")</f>
        <v>#NAME?</v>
      </c>
      <c r="M910" s="28" t="e">
        <f ca="1">[1]!BexGetData("DP_1","003N8EMH8GTFRIVOG7KG9IQXA","GSON1112060665")</f>
        <v>#NAME?</v>
      </c>
      <c r="N910" s="23" t="e">
        <f ca="1">[1]!BexGetData("DP_1","003N8EMH8GTFRIVOG7KG9IX8U","GSON1112060665")</f>
        <v>#NAME?</v>
      </c>
      <c r="O910" s="28" t="e">
        <f ca="1">[1]!BexGetData("DP_1","003N8EMH8GTFRIVOG7KG9J3KE","GSON1112060665")</f>
        <v>#NAME?</v>
      </c>
      <c r="P910" s="23" t="e">
        <f ca="1">[1]!BexGetData("DP_1","003N8EMH8GTFRIVOG7KG9J9VY","GSON1112060665")</f>
        <v>#NAME?</v>
      </c>
      <c r="Q910" s="24" t="e">
        <f ca="1">[1]!BexGetData("DP_1","00O2TNJGODT0G5Z4TTKYMM5MT","GSON1112060665")</f>
        <v>#NAME?</v>
      </c>
      <c r="R910" s="23" t="e">
        <f ca="1">[1]!BexGetData("DP_1","00O2TNJGODT0G5Z4TTKYMMBYD","GSON1112060665")</f>
        <v>#NAME?</v>
      </c>
      <c r="S910" s="23" t="e">
        <f ca="1">[1]!BexGetData("DP_1","00O2TNJGODT0G5Z4TTKYMMI9X","GSON1112060665")</f>
        <v>#NAME?</v>
      </c>
      <c r="T910" s="23" t="e">
        <f ca="1">[1]!BexGetData("DP_1","00O2TNJGODT0G5Z4TTKYMMOLH","GSON1112060665")</f>
        <v>#NAME?</v>
      </c>
      <c r="U910" s="28" t="e">
        <f ca="1">[1]!BexGetData("DP_1","00O2TNJGODT0G5Z4TTKYMMUX1","GSON1112060665")</f>
        <v>#NAME?</v>
      </c>
      <c r="V910" s="23" t="e">
        <f ca="1">[1]!BexGetData("DP_1","00O2TNJGODT0G5Z4TTKYMN18L","GSON1112060665")</f>
        <v>#NAME?</v>
      </c>
      <c r="W910" s="28" t="e">
        <f ca="1">[1]!BexGetData("DP_1","00O2TNJGODT0G5Z4TTKYMN7K5","GSON1112060665")</f>
        <v>#NAME?</v>
      </c>
    </row>
    <row r="911" spans="1:23" x14ac:dyDescent="0.2">
      <c r="A911" s="36" t="s">
        <v>969</v>
      </c>
      <c r="B911" s="27" t="s">
        <v>970</v>
      </c>
      <c r="C911" s="23" t="e">
        <f ca="1">[1]!BexGetData("DP_1","003N8EMH8GTFRCSWKMPXRR8GU","GSON1112060670")</f>
        <v>#NAME?</v>
      </c>
      <c r="D911" s="23" t="e">
        <f ca="1">[1]!BexGetData("DP_1","003N8EMH8GTFRCSWKMPXRRESE","GSON1112060670")</f>
        <v>#NAME?</v>
      </c>
      <c r="E911" s="23" t="e">
        <f ca="1">[1]!BexGetData("DP_1","003N8EMH8GTFRCSWKMPXRRL3Y","GSON1112060670")</f>
        <v>#NAME?</v>
      </c>
      <c r="F911" s="23" t="e">
        <f ca="1">[1]!BexGetData("DP_1","003N8EMH8GTFRCSWKMPXRRRFI","GSON1112060670")</f>
        <v>#NAME?</v>
      </c>
      <c r="G911" s="23" t="e">
        <f ca="1">[1]!BexGetData("DP_1","003N8EMH8GTFRCSWKMPXRRXR2","GSON1112060670")</f>
        <v>#NAME?</v>
      </c>
      <c r="H911" s="23" t="e">
        <f ca="1">[1]!BexGetData("DP_1","003N8EMH8GTFRCSWKMPXRS42M","GSON1112060670")</f>
        <v>#NAME?</v>
      </c>
      <c r="I911" s="23" t="e">
        <f ca="1">[1]!BexGetData("DP_1","003N8EMH8GTFRCSWKMPXRSAE6","GSON1112060670")</f>
        <v>#NAME?</v>
      </c>
      <c r="J911" s="23" t="e">
        <f ca="1">[1]!BexGetData("DP_1","003N8EMH8GTFRCSWKMPXRSGPQ","GSON1112060670")</f>
        <v>#NAME?</v>
      </c>
      <c r="K911" s="23" t="e">
        <f ca="1">[1]!BexGetData("DP_1","003N8EMH8GTFRIVNUPY288VJH","GSON1112060670")</f>
        <v>#NAME?</v>
      </c>
      <c r="L911" s="23" t="e">
        <f ca="1">[1]!BexGetData("DP_1","003N8EMH8GTFRIVNUPY2891V1","GSON1112060670")</f>
        <v>#NAME?</v>
      </c>
      <c r="M911" s="28" t="e">
        <f ca="1">[1]!BexGetData("DP_1","003N8EMH8GTFRIVOG7KG9IQXA","GSON1112060670")</f>
        <v>#NAME?</v>
      </c>
      <c r="N911" s="23" t="e">
        <f ca="1">[1]!BexGetData("DP_1","003N8EMH8GTFRIVOG7KG9IX8U","GSON1112060670")</f>
        <v>#NAME?</v>
      </c>
      <c r="O911" s="28" t="e">
        <f ca="1">[1]!BexGetData("DP_1","003N8EMH8GTFRIVOG7KG9J3KE","GSON1112060670")</f>
        <v>#NAME?</v>
      </c>
      <c r="P911" s="23" t="e">
        <f ca="1">[1]!BexGetData("DP_1","003N8EMH8GTFRIVOG7KG9J9VY","GSON1112060670")</f>
        <v>#NAME?</v>
      </c>
      <c r="Q911" s="23" t="e">
        <f ca="1">[1]!BexGetData("DP_1","00O2TNJGODT0G5Z4TTKYMM5MT","GSON1112060670")</f>
        <v>#NAME?</v>
      </c>
      <c r="R911" s="23" t="e">
        <f ca="1">[1]!BexGetData("DP_1","00O2TNJGODT0G5Z4TTKYMMBYD","GSON1112060670")</f>
        <v>#NAME?</v>
      </c>
      <c r="S911" s="23" t="e">
        <f ca="1">[1]!BexGetData("DP_1","00O2TNJGODT0G5Z4TTKYMMI9X","GSON1112060670")</f>
        <v>#NAME?</v>
      </c>
      <c r="T911" s="28" t="e">
        <f ca="1">[1]!BexGetData("DP_1","00O2TNJGODT0G5Z4TTKYMMOLH","GSON1112060670")</f>
        <v>#NAME?</v>
      </c>
      <c r="U911" s="23" t="e">
        <f ca="1">[1]!BexGetData("DP_1","00O2TNJGODT0G5Z4TTKYMMUX1","GSON1112060670")</f>
        <v>#NAME?</v>
      </c>
      <c r="V911" s="28" t="e">
        <f ca="1">[1]!BexGetData("DP_1","00O2TNJGODT0G5Z4TTKYMN18L","GSON1112060670")</f>
        <v>#NAME?</v>
      </c>
      <c r="W911" s="23" t="e">
        <f ca="1">[1]!BexGetData("DP_1","00O2TNJGODT0G5Z4TTKYMN7K5","GSON1112060670")</f>
        <v>#NAME?</v>
      </c>
    </row>
    <row r="912" spans="1:23" x14ac:dyDescent="0.2">
      <c r="A912" s="36" t="s">
        <v>419</v>
      </c>
      <c r="B912" s="27" t="s">
        <v>420</v>
      </c>
      <c r="C912" s="23" t="e">
        <f ca="1">[1]!BexGetData("DP_1","003N8EMH8GTFRCSWKMPXRR8GU","GSON1112060671")</f>
        <v>#NAME?</v>
      </c>
      <c r="D912" s="23" t="e">
        <f ca="1">[1]!BexGetData("DP_1","003N8EMH8GTFRCSWKMPXRRESE","GSON1112060671")</f>
        <v>#NAME?</v>
      </c>
      <c r="E912" s="23" t="e">
        <f ca="1">[1]!BexGetData("DP_1","003N8EMH8GTFRCSWKMPXRRL3Y","GSON1112060671")</f>
        <v>#NAME?</v>
      </c>
      <c r="F912" s="23" t="e">
        <f ca="1">[1]!BexGetData("DP_1","003N8EMH8GTFRCSWKMPXRRRFI","GSON1112060671")</f>
        <v>#NAME?</v>
      </c>
      <c r="G912" s="23" t="e">
        <f ca="1">[1]!BexGetData("DP_1","003N8EMH8GTFRCSWKMPXRRXR2","GSON1112060671")</f>
        <v>#NAME?</v>
      </c>
      <c r="H912" s="23" t="e">
        <f ca="1">[1]!BexGetData("DP_1","003N8EMH8GTFRCSWKMPXRS42M","GSON1112060671")</f>
        <v>#NAME?</v>
      </c>
      <c r="I912" s="23" t="e">
        <f ca="1">[1]!BexGetData("DP_1","003N8EMH8GTFRCSWKMPXRSAE6","GSON1112060671")</f>
        <v>#NAME?</v>
      </c>
      <c r="J912" s="24" t="e">
        <f ca="1">[1]!BexGetData("DP_1","003N8EMH8GTFRCSWKMPXRSGPQ","GSON1112060671")</f>
        <v>#NAME?</v>
      </c>
      <c r="K912" s="23" t="e">
        <f ca="1">[1]!BexGetData("DP_1","003N8EMH8GTFRIVNUPY288VJH","GSON1112060671")</f>
        <v>#NAME?</v>
      </c>
      <c r="L912" s="23" t="e">
        <f ca="1">[1]!BexGetData("DP_1","003N8EMH8GTFRIVNUPY2891V1","GSON1112060671")</f>
        <v>#NAME?</v>
      </c>
      <c r="M912" s="23" t="e">
        <f ca="1">[1]!BexGetData("DP_1","003N8EMH8GTFRIVOG7KG9IQXA","GSON1112060671")</f>
        <v>#NAME?</v>
      </c>
      <c r="N912" s="28" t="e">
        <f ca="1">[1]!BexGetData("DP_1","003N8EMH8GTFRIVOG7KG9IX8U","GSON1112060671")</f>
        <v>#NAME?</v>
      </c>
      <c r="O912" s="23" t="e">
        <f ca="1">[1]!BexGetData("DP_1","003N8EMH8GTFRIVOG7KG9J3KE","GSON1112060671")</f>
        <v>#NAME?</v>
      </c>
      <c r="P912" s="28" t="e">
        <f ca="1">[1]!BexGetData("DP_1","003N8EMH8GTFRIVOG7KG9J9VY","GSON1112060671")</f>
        <v>#NAME?</v>
      </c>
      <c r="Q912" s="24" t="e">
        <f ca="1">[1]!BexGetData("DP_1","00O2TNJGODT0G5Z4TTKYMM5MT","GSON1112060671")</f>
        <v>#NAME?</v>
      </c>
      <c r="R912" s="23" t="e">
        <f ca="1">[1]!BexGetData("DP_1","00O2TNJGODT0G5Z4TTKYMMBYD","GSON1112060671")</f>
        <v>#NAME?</v>
      </c>
      <c r="S912" s="23" t="e">
        <f ca="1">[1]!BexGetData("DP_1","00O2TNJGODT0G5Z4TTKYMMI9X","GSON1112060671")</f>
        <v>#NAME?</v>
      </c>
      <c r="T912" s="28" t="e">
        <f ca="1">[1]!BexGetData("DP_1","00O2TNJGODT0G5Z4TTKYMMOLH","GSON1112060671")</f>
        <v>#NAME?</v>
      </c>
      <c r="U912" s="23" t="e">
        <f ca="1">[1]!BexGetData("DP_1","00O2TNJGODT0G5Z4TTKYMMUX1","GSON1112060671")</f>
        <v>#NAME?</v>
      </c>
      <c r="V912" s="28" t="e">
        <f ca="1">[1]!BexGetData("DP_1","00O2TNJGODT0G5Z4TTKYMN18L","GSON1112060671")</f>
        <v>#NAME?</v>
      </c>
      <c r="W912" s="23" t="e">
        <f ca="1">[1]!BexGetData("DP_1","00O2TNJGODT0G5Z4TTKYMN7K5","GSON1112060671")</f>
        <v>#NAME?</v>
      </c>
    </row>
    <row r="913" spans="1:23" x14ac:dyDescent="0.2">
      <c r="A913" s="36" t="s">
        <v>3202</v>
      </c>
      <c r="B913" s="27" t="s">
        <v>971</v>
      </c>
      <c r="C913" s="28" t="e">
        <f ca="1">[1]!BexGetData("DP_1","003N8EMH8GTFRCSWKMPXRR8GU","GSON1112060672")</f>
        <v>#NAME?</v>
      </c>
      <c r="D913" s="28" t="e">
        <f ca="1">[1]!BexGetData("DP_1","003N8EMH8GTFRCSWKMPXRRESE","GSON1112060672")</f>
        <v>#NAME?</v>
      </c>
      <c r="E913" s="28" t="e">
        <f ca="1">[1]!BexGetData("DP_1","003N8EMH8GTFRCSWKMPXRRL3Y","GSON1112060672")</f>
        <v>#NAME?</v>
      </c>
      <c r="F913" s="28" t="e">
        <f ca="1">[1]!BexGetData("DP_1","003N8EMH8GTFRCSWKMPXRRRFI","GSON1112060672")</f>
        <v>#NAME?</v>
      </c>
      <c r="G913" s="23" t="e">
        <f ca="1">[1]!BexGetData("DP_1","003N8EMH8GTFRCSWKMPXRRXR2","GSON1112060672")</f>
        <v>#NAME?</v>
      </c>
      <c r="H913" s="23" t="e">
        <f ca="1">[1]!BexGetData("DP_1","003N8EMH8GTFRCSWKMPXRS42M","GSON1112060672")</f>
        <v>#NAME?</v>
      </c>
      <c r="I913" s="28" t="e">
        <f ca="1">[1]!BexGetData("DP_1","003N8EMH8GTFRCSWKMPXRSAE6","GSON1112060672")</f>
        <v>#NAME?</v>
      </c>
      <c r="J913" s="24" t="e">
        <f ca="1">[1]!BexGetData("DP_1","003N8EMH8GTFRCSWKMPXRSGPQ","GSON1112060672")</f>
        <v>#NAME?</v>
      </c>
      <c r="K913" s="28" t="e">
        <f ca="1">[1]!BexGetData("DP_1","003N8EMH8GTFRIVNUPY288VJH","GSON1112060672")</f>
        <v>#NAME?</v>
      </c>
      <c r="L913" s="28" t="e">
        <f ca="1">[1]!BexGetData("DP_1","003N8EMH8GTFRIVNUPY2891V1","GSON1112060672")</f>
        <v>#NAME?</v>
      </c>
      <c r="M913" s="28" t="e">
        <f ca="1">[1]!BexGetData("DP_1","003N8EMH8GTFRIVOG7KG9IQXA","GSON1112060672")</f>
        <v>#NAME?</v>
      </c>
      <c r="N913" s="28" t="e">
        <f ca="1">[1]!BexGetData("DP_1","003N8EMH8GTFRIVOG7KG9IX8U","GSON1112060672")</f>
        <v>#NAME?</v>
      </c>
      <c r="O913" s="28" t="e">
        <f ca="1">[1]!BexGetData("DP_1","003N8EMH8GTFRIVOG7KG9J3KE","GSON1112060672")</f>
        <v>#NAME?</v>
      </c>
      <c r="P913" s="28" t="e">
        <f ca="1">[1]!BexGetData("DP_1","003N8EMH8GTFRIVOG7KG9J9VY","GSON1112060672")</f>
        <v>#NAME?</v>
      </c>
      <c r="Q913" s="24" t="e">
        <f ca="1">[1]!BexGetData("DP_1","00O2TNJGODT0G5Z4TTKYMM5MT","GSON1112060672")</f>
        <v>#NAME?</v>
      </c>
      <c r="R913" s="28" t="e">
        <f ca="1">[1]!BexGetData("DP_1","00O2TNJGODT0G5Z4TTKYMMBYD","GSON1112060672")</f>
        <v>#NAME?</v>
      </c>
      <c r="S913" s="28" t="e">
        <f ca="1">[1]!BexGetData("DP_1","00O2TNJGODT0G5Z4TTKYMMI9X","GSON1112060672")</f>
        <v>#NAME?</v>
      </c>
      <c r="T913" s="28" t="e">
        <f ca="1">[1]!BexGetData("DP_1","00O2TNJGODT0G5Z4TTKYMMOLH","GSON1112060672")</f>
        <v>#NAME?</v>
      </c>
      <c r="U913" s="28" t="e">
        <f ca="1">[1]!BexGetData("DP_1","00O2TNJGODT0G5Z4TTKYMMUX1","GSON1112060672")</f>
        <v>#NAME?</v>
      </c>
      <c r="V913" s="28" t="e">
        <f ca="1">[1]!BexGetData("DP_1","00O2TNJGODT0G5Z4TTKYMN18L","GSON1112060672")</f>
        <v>#NAME?</v>
      </c>
      <c r="W913" s="28" t="e">
        <f ca="1">[1]!BexGetData("DP_1","00O2TNJGODT0G5Z4TTKYMN7K5","GSON1112060672")</f>
        <v>#NAME?</v>
      </c>
    </row>
    <row r="914" spans="1:23" x14ac:dyDescent="0.2">
      <c r="A914" s="36" t="s">
        <v>972</v>
      </c>
      <c r="B914" s="27" t="s">
        <v>973</v>
      </c>
      <c r="C914" s="23" t="e">
        <f ca="1">[1]!BexGetData("DP_1","003N8EMH8GTFRCSWKMPXRR8GU","GSON1112060673")</f>
        <v>#NAME?</v>
      </c>
      <c r="D914" s="23" t="e">
        <f ca="1">[1]!BexGetData("DP_1","003N8EMH8GTFRCSWKMPXRRESE","GSON1112060673")</f>
        <v>#NAME?</v>
      </c>
      <c r="E914" s="28" t="e">
        <f ca="1">[1]!BexGetData("DP_1","003N8EMH8GTFRCSWKMPXRRL3Y","GSON1112060673")</f>
        <v>#NAME?</v>
      </c>
      <c r="F914" s="28" t="e">
        <f ca="1">[1]!BexGetData("DP_1","003N8EMH8GTFRCSWKMPXRRRFI","GSON1112060673")</f>
        <v>#NAME?</v>
      </c>
      <c r="G914" s="23" t="e">
        <f ca="1">[1]!BexGetData("DP_1","003N8EMH8GTFRCSWKMPXRRXR2","GSON1112060673")</f>
        <v>#NAME?</v>
      </c>
      <c r="H914" s="23" t="e">
        <f ca="1">[1]!BexGetData("DP_1","003N8EMH8GTFRCSWKMPXRS42M","GSON1112060673")</f>
        <v>#NAME?</v>
      </c>
      <c r="I914" s="28" t="e">
        <f ca="1">[1]!BexGetData("DP_1","003N8EMH8GTFRCSWKMPXRSAE6","GSON1112060673")</f>
        <v>#NAME?</v>
      </c>
      <c r="J914" s="24" t="e">
        <f ca="1">[1]!BexGetData("DP_1","003N8EMH8GTFRCSWKMPXRSGPQ","GSON1112060673")</f>
        <v>#NAME?</v>
      </c>
      <c r="K914" s="28" t="e">
        <f ca="1">[1]!BexGetData("DP_1","003N8EMH8GTFRIVNUPY288VJH","GSON1112060673")</f>
        <v>#NAME?</v>
      </c>
      <c r="L914" s="28" t="e">
        <f ca="1">[1]!BexGetData("DP_1","003N8EMH8GTFRIVNUPY2891V1","GSON1112060673")</f>
        <v>#NAME?</v>
      </c>
      <c r="M914" s="28" t="e">
        <f ca="1">[1]!BexGetData("DP_1","003N8EMH8GTFRIVOG7KG9IQXA","GSON1112060673")</f>
        <v>#NAME?</v>
      </c>
      <c r="N914" s="28" t="e">
        <f ca="1">[1]!BexGetData("DP_1","003N8EMH8GTFRIVOG7KG9IX8U","GSON1112060673")</f>
        <v>#NAME?</v>
      </c>
      <c r="O914" s="28" t="e">
        <f ca="1">[1]!BexGetData("DP_1","003N8EMH8GTFRIVOG7KG9J3KE","GSON1112060673")</f>
        <v>#NAME?</v>
      </c>
      <c r="P914" s="28" t="e">
        <f ca="1">[1]!BexGetData("DP_1","003N8EMH8GTFRIVOG7KG9J9VY","GSON1112060673")</f>
        <v>#NAME?</v>
      </c>
      <c r="Q914" s="24" t="e">
        <f ca="1">[1]!BexGetData("DP_1","00O2TNJGODT0G5Z4TTKYMM5MT","GSON1112060673")</f>
        <v>#NAME?</v>
      </c>
      <c r="R914" s="28" t="e">
        <f ca="1">[1]!BexGetData("DP_1","00O2TNJGODT0G5Z4TTKYMMBYD","GSON1112060673")</f>
        <v>#NAME?</v>
      </c>
      <c r="S914" s="28" t="e">
        <f ca="1">[1]!BexGetData("DP_1","00O2TNJGODT0G5Z4TTKYMMI9X","GSON1112060673")</f>
        <v>#NAME?</v>
      </c>
      <c r="T914" s="28" t="e">
        <f ca="1">[1]!BexGetData("DP_1","00O2TNJGODT0G5Z4TTKYMMOLH","GSON1112060673")</f>
        <v>#NAME?</v>
      </c>
      <c r="U914" s="28" t="e">
        <f ca="1">[1]!BexGetData("DP_1","00O2TNJGODT0G5Z4TTKYMMUX1","GSON1112060673")</f>
        <v>#NAME?</v>
      </c>
      <c r="V914" s="28" t="e">
        <f ca="1">[1]!BexGetData("DP_1","00O2TNJGODT0G5Z4TTKYMN18L","GSON1112060673")</f>
        <v>#NAME?</v>
      </c>
      <c r="W914" s="28" t="e">
        <f ca="1">[1]!BexGetData("DP_1","00O2TNJGODT0G5Z4TTKYMN7K5","GSON1112060673")</f>
        <v>#NAME?</v>
      </c>
    </row>
    <row r="915" spans="1:23" x14ac:dyDescent="0.2">
      <c r="A915" s="36" t="s">
        <v>3203</v>
      </c>
      <c r="B915" s="27" t="s">
        <v>974</v>
      </c>
      <c r="C915" s="23" t="e">
        <f ca="1">[1]!BexGetData("DP_1","003N8EMH8GTFRCSWKMPXRR8GU","GSON1112060674")</f>
        <v>#NAME?</v>
      </c>
      <c r="D915" s="23" t="e">
        <f ca="1">[1]!BexGetData("DP_1","003N8EMH8GTFRCSWKMPXRRESE","GSON1112060674")</f>
        <v>#NAME?</v>
      </c>
      <c r="E915" s="28" t="e">
        <f ca="1">[1]!BexGetData("DP_1","003N8EMH8GTFRCSWKMPXRRL3Y","GSON1112060674")</f>
        <v>#NAME?</v>
      </c>
      <c r="F915" s="28" t="e">
        <f ca="1">[1]!BexGetData("DP_1","003N8EMH8GTFRCSWKMPXRRRFI","GSON1112060674")</f>
        <v>#NAME?</v>
      </c>
      <c r="G915" s="23" t="e">
        <f ca="1">[1]!BexGetData("DP_1","003N8EMH8GTFRCSWKMPXRRXR2","GSON1112060674")</f>
        <v>#NAME?</v>
      </c>
      <c r="H915" s="23" t="e">
        <f ca="1">[1]!BexGetData("DP_1","003N8EMH8GTFRCSWKMPXRS42M","GSON1112060674")</f>
        <v>#NAME?</v>
      </c>
      <c r="I915" s="28" t="e">
        <f ca="1">[1]!BexGetData("DP_1","003N8EMH8GTFRCSWKMPXRSAE6","GSON1112060674")</f>
        <v>#NAME?</v>
      </c>
      <c r="J915" s="24" t="e">
        <f ca="1">[1]!BexGetData("DP_1","003N8EMH8GTFRCSWKMPXRSGPQ","GSON1112060674")</f>
        <v>#NAME?</v>
      </c>
      <c r="K915" s="28" t="e">
        <f ca="1">[1]!BexGetData("DP_1","003N8EMH8GTFRIVNUPY288VJH","GSON1112060674")</f>
        <v>#NAME?</v>
      </c>
      <c r="L915" s="28" t="e">
        <f ca="1">[1]!BexGetData("DP_1","003N8EMH8GTFRIVNUPY2891V1","GSON1112060674")</f>
        <v>#NAME?</v>
      </c>
      <c r="M915" s="28" t="e">
        <f ca="1">[1]!BexGetData("DP_1","003N8EMH8GTFRIVOG7KG9IQXA","GSON1112060674")</f>
        <v>#NAME?</v>
      </c>
      <c r="N915" s="28" t="e">
        <f ca="1">[1]!BexGetData("DP_1","003N8EMH8GTFRIVOG7KG9IX8U","GSON1112060674")</f>
        <v>#NAME?</v>
      </c>
      <c r="O915" s="28" t="e">
        <f ca="1">[1]!BexGetData("DP_1","003N8EMH8GTFRIVOG7KG9J3KE","GSON1112060674")</f>
        <v>#NAME?</v>
      </c>
      <c r="P915" s="28" t="e">
        <f ca="1">[1]!BexGetData("DP_1","003N8EMH8GTFRIVOG7KG9J9VY","GSON1112060674")</f>
        <v>#NAME?</v>
      </c>
      <c r="Q915" s="24" t="e">
        <f ca="1">[1]!BexGetData("DP_1","00O2TNJGODT0G5Z4TTKYMM5MT","GSON1112060674")</f>
        <v>#NAME?</v>
      </c>
      <c r="R915" s="28" t="e">
        <f ca="1">[1]!BexGetData("DP_1","00O2TNJGODT0G5Z4TTKYMMBYD","GSON1112060674")</f>
        <v>#NAME?</v>
      </c>
      <c r="S915" s="28" t="e">
        <f ca="1">[1]!BexGetData("DP_1","00O2TNJGODT0G5Z4TTKYMMI9X","GSON1112060674")</f>
        <v>#NAME?</v>
      </c>
      <c r="T915" s="28" t="e">
        <f ca="1">[1]!BexGetData("DP_1","00O2TNJGODT0G5Z4TTKYMMOLH","GSON1112060674")</f>
        <v>#NAME?</v>
      </c>
      <c r="U915" s="28" t="e">
        <f ca="1">[1]!BexGetData("DP_1","00O2TNJGODT0G5Z4TTKYMMUX1","GSON1112060674")</f>
        <v>#NAME?</v>
      </c>
      <c r="V915" s="28" t="e">
        <f ca="1">[1]!BexGetData("DP_1","00O2TNJGODT0G5Z4TTKYMN18L","GSON1112060674")</f>
        <v>#NAME?</v>
      </c>
      <c r="W915" s="28" t="e">
        <f ca="1">[1]!BexGetData("DP_1","00O2TNJGODT0G5Z4TTKYMN7K5","GSON1112060674")</f>
        <v>#NAME?</v>
      </c>
    </row>
    <row r="916" spans="1:23" x14ac:dyDescent="0.2">
      <c r="A916" s="36" t="s">
        <v>975</v>
      </c>
      <c r="B916" s="27" t="s">
        <v>976</v>
      </c>
      <c r="C916" s="23" t="e">
        <f ca="1">[1]!BexGetData("DP_1","003N8EMH8GTFRCSWKMPXRR8GU","GSON1112060675")</f>
        <v>#NAME?</v>
      </c>
      <c r="D916" s="23" t="e">
        <f ca="1">[1]!BexGetData("DP_1","003N8EMH8GTFRCSWKMPXRRESE","GSON1112060675")</f>
        <v>#NAME?</v>
      </c>
      <c r="E916" s="28" t="e">
        <f ca="1">[1]!BexGetData("DP_1","003N8EMH8GTFRCSWKMPXRRL3Y","GSON1112060675")</f>
        <v>#NAME?</v>
      </c>
      <c r="F916" s="23" t="e">
        <f ca="1">[1]!BexGetData("DP_1","003N8EMH8GTFRCSWKMPXRRRFI","GSON1112060675")</f>
        <v>#NAME?</v>
      </c>
      <c r="G916" s="23" t="e">
        <f ca="1">[1]!BexGetData("DP_1","003N8EMH8GTFRCSWKMPXRRXR2","GSON1112060675")</f>
        <v>#NAME?</v>
      </c>
      <c r="H916" s="23" t="e">
        <f ca="1">[1]!BexGetData("DP_1","003N8EMH8GTFRCSWKMPXRS42M","GSON1112060675")</f>
        <v>#NAME?</v>
      </c>
      <c r="I916" s="23" t="e">
        <f ca="1">[1]!BexGetData("DP_1","003N8EMH8GTFRCSWKMPXRSAE6","GSON1112060675")</f>
        <v>#NAME?</v>
      </c>
      <c r="J916" s="24" t="e">
        <f ca="1">[1]!BexGetData("DP_1","003N8EMH8GTFRCSWKMPXRSGPQ","GSON1112060675")</f>
        <v>#NAME?</v>
      </c>
      <c r="K916" s="23" t="e">
        <f ca="1">[1]!BexGetData("DP_1","003N8EMH8GTFRIVNUPY288VJH","GSON1112060675")</f>
        <v>#NAME?</v>
      </c>
      <c r="L916" s="23" t="e">
        <f ca="1">[1]!BexGetData("DP_1","003N8EMH8GTFRIVNUPY2891V1","GSON1112060675")</f>
        <v>#NAME?</v>
      </c>
      <c r="M916" s="28" t="e">
        <f ca="1">[1]!BexGetData("DP_1","003N8EMH8GTFRIVOG7KG9IQXA","GSON1112060675")</f>
        <v>#NAME?</v>
      </c>
      <c r="N916" s="23" t="e">
        <f ca="1">[1]!BexGetData("DP_1","003N8EMH8GTFRIVOG7KG9IX8U","GSON1112060675")</f>
        <v>#NAME?</v>
      </c>
      <c r="O916" s="28" t="e">
        <f ca="1">[1]!BexGetData("DP_1","003N8EMH8GTFRIVOG7KG9J3KE","GSON1112060675")</f>
        <v>#NAME?</v>
      </c>
      <c r="P916" s="23" t="e">
        <f ca="1">[1]!BexGetData("DP_1","003N8EMH8GTFRIVOG7KG9J9VY","GSON1112060675")</f>
        <v>#NAME?</v>
      </c>
      <c r="Q916" s="24" t="e">
        <f ca="1">[1]!BexGetData("DP_1","00O2TNJGODT0G5Z4TTKYMM5MT","GSON1112060675")</f>
        <v>#NAME?</v>
      </c>
      <c r="R916" s="23" t="e">
        <f ca="1">[1]!BexGetData("DP_1","00O2TNJGODT0G5Z4TTKYMMBYD","GSON1112060675")</f>
        <v>#NAME?</v>
      </c>
      <c r="S916" s="23" t="e">
        <f ca="1">[1]!BexGetData("DP_1","00O2TNJGODT0G5Z4TTKYMMI9X","GSON1112060675")</f>
        <v>#NAME?</v>
      </c>
      <c r="T916" s="23" t="e">
        <f ca="1">[1]!BexGetData("DP_1","00O2TNJGODT0G5Z4TTKYMMOLH","GSON1112060675")</f>
        <v>#NAME?</v>
      </c>
      <c r="U916" s="28" t="e">
        <f ca="1">[1]!BexGetData("DP_1","00O2TNJGODT0G5Z4TTKYMMUX1","GSON1112060675")</f>
        <v>#NAME?</v>
      </c>
      <c r="V916" s="23" t="e">
        <f ca="1">[1]!BexGetData("DP_1","00O2TNJGODT0G5Z4TTKYMN18L","GSON1112060675")</f>
        <v>#NAME?</v>
      </c>
      <c r="W916" s="28" t="e">
        <f ca="1">[1]!BexGetData("DP_1","00O2TNJGODT0G5Z4TTKYMN7K5","GSON1112060675")</f>
        <v>#NAME?</v>
      </c>
    </row>
    <row r="917" spans="1:23" x14ac:dyDescent="0.2">
      <c r="A917" s="36" t="s">
        <v>3204</v>
      </c>
      <c r="B917" s="27" t="s">
        <v>3205</v>
      </c>
      <c r="C917" s="23" t="e">
        <f ca="1">[1]!BexGetData("DP_1","003N8EMH8GTFRCSWKMPXRR8GU","GSON1112060690")</f>
        <v>#NAME?</v>
      </c>
      <c r="D917" s="23" t="e">
        <f ca="1">[1]!BexGetData("DP_1","003N8EMH8GTFRCSWKMPXRRESE","GSON1112060690")</f>
        <v>#NAME?</v>
      </c>
      <c r="E917" s="23" t="e">
        <f ca="1">[1]!BexGetData("DP_1","003N8EMH8GTFRCSWKMPXRRL3Y","GSON1112060690")</f>
        <v>#NAME?</v>
      </c>
      <c r="F917" s="23" t="e">
        <f ca="1">[1]!BexGetData("DP_1","003N8EMH8GTFRCSWKMPXRRRFI","GSON1112060690")</f>
        <v>#NAME?</v>
      </c>
      <c r="G917" s="23" t="e">
        <f ca="1">[1]!BexGetData("DP_1","003N8EMH8GTFRCSWKMPXRRXR2","GSON1112060690")</f>
        <v>#NAME?</v>
      </c>
      <c r="H917" s="23" t="e">
        <f ca="1">[1]!BexGetData("DP_1","003N8EMH8GTFRCSWKMPXRS42M","GSON1112060690")</f>
        <v>#NAME?</v>
      </c>
      <c r="I917" s="23" t="e">
        <f ca="1">[1]!BexGetData("DP_1","003N8EMH8GTFRCSWKMPXRSAE6","GSON1112060690")</f>
        <v>#NAME?</v>
      </c>
      <c r="J917" s="23" t="e">
        <f ca="1">[1]!BexGetData("DP_1","003N8EMH8GTFRCSWKMPXRSGPQ","GSON1112060690")</f>
        <v>#NAME?</v>
      </c>
      <c r="K917" s="23" t="e">
        <f ca="1">[1]!BexGetData("DP_1","003N8EMH8GTFRIVNUPY288VJH","GSON1112060690")</f>
        <v>#NAME?</v>
      </c>
      <c r="L917" s="23" t="e">
        <f ca="1">[1]!BexGetData("DP_1","003N8EMH8GTFRIVNUPY2891V1","GSON1112060690")</f>
        <v>#NAME?</v>
      </c>
      <c r="M917" s="28" t="e">
        <f ca="1">[1]!BexGetData("DP_1","003N8EMH8GTFRIVOG7KG9IQXA","GSON1112060690")</f>
        <v>#NAME?</v>
      </c>
      <c r="N917" s="23" t="e">
        <f ca="1">[1]!BexGetData("DP_1","003N8EMH8GTFRIVOG7KG9IX8U","GSON1112060690")</f>
        <v>#NAME?</v>
      </c>
      <c r="O917" s="28" t="e">
        <f ca="1">[1]!BexGetData("DP_1","003N8EMH8GTFRIVOG7KG9J3KE","GSON1112060690")</f>
        <v>#NAME?</v>
      </c>
      <c r="P917" s="23" t="e">
        <f ca="1">[1]!BexGetData("DP_1","003N8EMH8GTFRIVOG7KG9J9VY","GSON1112060690")</f>
        <v>#NAME?</v>
      </c>
      <c r="Q917" s="23" t="e">
        <f ca="1">[1]!BexGetData("DP_1","00O2TNJGODT0G5Z4TTKYMM5MT","GSON1112060690")</f>
        <v>#NAME?</v>
      </c>
      <c r="R917" s="23" t="e">
        <f ca="1">[1]!BexGetData("DP_1","00O2TNJGODT0G5Z4TTKYMMBYD","GSON1112060690")</f>
        <v>#NAME?</v>
      </c>
      <c r="S917" s="23" t="e">
        <f ca="1">[1]!BexGetData("DP_1","00O2TNJGODT0G5Z4TTKYMMI9X","GSON1112060690")</f>
        <v>#NAME?</v>
      </c>
      <c r="T917" s="28" t="e">
        <f ca="1">[1]!BexGetData("DP_1","00O2TNJGODT0G5Z4TTKYMMOLH","GSON1112060690")</f>
        <v>#NAME?</v>
      </c>
      <c r="U917" s="23" t="e">
        <f ca="1">[1]!BexGetData("DP_1","00O2TNJGODT0G5Z4TTKYMMUX1","GSON1112060690")</f>
        <v>#NAME?</v>
      </c>
      <c r="V917" s="28" t="e">
        <f ca="1">[1]!BexGetData("DP_1","00O2TNJGODT0G5Z4TTKYMN18L","GSON1112060690")</f>
        <v>#NAME?</v>
      </c>
      <c r="W917" s="23" t="e">
        <f ca="1">[1]!BexGetData("DP_1","00O2TNJGODT0G5Z4TTKYMN7K5","GSON1112060690")</f>
        <v>#NAME?</v>
      </c>
    </row>
    <row r="918" spans="1:23" x14ac:dyDescent="0.2">
      <c r="A918" s="36" t="s">
        <v>3206</v>
      </c>
      <c r="B918" s="27" t="s">
        <v>3207</v>
      </c>
      <c r="C918" s="23" t="e">
        <f ca="1">[1]!BexGetData("DP_1","003N8EMH8GTFRCSWKMPXRR8GU","GSON1112060691")</f>
        <v>#NAME?</v>
      </c>
      <c r="D918" s="23" t="e">
        <f ca="1">[1]!BexGetData("DP_1","003N8EMH8GTFRCSWKMPXRRESE","GSON1112060691")</f>
        <v>#NAME?</v>
      </c>
      <c r="E918" s="23" t="e">
        <f ca="1">[1]!BexGetData("DP_1","003N8EMH8GTFRCSWKMPXRRL3Y","GSON1112060691")</f>
        <v>#NAME?</v>
      </c>
      <c r="F918" s="23" t="e">
        <f ca="1">[1]!BexGetData("DP_1","003N8EMH8GTFRCSWKMPXRRRFI","GSON1112060691")</f>
        <v>#NAME?</v>
      </c>
      <c r="G918" s="23" t="e">
        <f ca="1">[1]!BexGetData("DP_1","003N8EMH8GTFRCSWKMPXRRXR2","GSON1112060691")</f>
        <v>#NAME?</v>
      </c>
      <c r="H918" s="23" t="e">
        <f ca="1">[1]!BexGetData("DP_1","003N8EMH8GTFRCSWKMPXRS42M","GSON1112060691")</f>
        <v>#NAME?</v>
      </c>
      <c r="I918" s="23" t="e">
        <f ca="1">[1]!BexGetData("DP_1","003N8EMH8GTFRCSWKMPXRSAE6","GSON1112060691")</f>
        <v>#NAME?</v>
      </c>
      <c r="J918" s="23" t="e">
        <f ca="1">[1]!BexGetData("DP_1","003N8EMH8GTFRCSWKMPXRSGPQ","GSON1112060691")</f>
        <v>#NAME?</v>
      </c>
      <c r="K918" s="23" t="e">
        <f ca="1">[1]!BexGetData("DP_1","003N8EMH8GTFRIVNUPY288VJH","GSON1112060691")</f>
        <v>#NAME?</v>
      </c>
      <c r="L918" s="23" t="e">
        <f ca="1">[1]!BexGetData("DP_1","003N8EMH8GTFRIVNUPY2891V1","GSON1112060691")</f>
        <v>#NAME?</v>
      </c>
      <c r="M918" s="28" t="e">
        <f ca="1">[1]!BexGetData("DP_1","003N8EMH8GTFRIVOG7KG9IQXA","GSON1112060691")</f>
        <v>#NAME?</v>
      </c>
      <c r="N918" s="23" t="e">
        <f ca="1">[1]!BexGetData("DP_1","003N8EMH8GTFRIVOG7KG9IX8U","GSON1112060691")</f>
        <v>#NAME?</v>
      </c>
      <c r="O918" s="28" t="e">
        <f ca="1">[1]!BexGetData("DP_1","003N8EMH8GTFRIVOG7KG9J3KE","GSON1112060691")</f>
        <v>#NAME?</v>
      </c>
      <c r="P918" s="23" t="e">
        <f ca="1">[1]!BexGetData("DP_1","003N8EMH8GTFRIVOG7KG9J9VY","GSON1112060691")</f>
        <v>#NAME?</v>
      </c>
      <c r="Q918" s="23" t="e">
        <f ca="1">[1]!BexGetData("DP_1","00O2TNJGODT0G5Z4TTKYMM5MT","GSON1112060691")</f>
        <v>#NAME?</v>
      </c>
      <c r="R918" s="23" t="e">
        <f ca="1">[1]!BexGetData("DP_1","00O2TNJGODT0G5Z4TTKYMMBYD","GSON1112060691")</f>
        <v>#NAME?</v>
      </c>
      <c r="S918" s="23" t="e">
        <f ca="1">[1]!BexGetData("DP_1","00O2TNJGODT0G5Z4TTKYMMI9X","GSON1112060691")</f>
        <v>#NAME?</v>
      </c>
      <c r="T918" s="23" t="e">
        <f ca="1">[1]!BexGetData("DP_1","00O2TNJGODT0G5Z4TTKYMMOLH","GSON1112060691")</f>
        <v>#NAME?</v>
      </c>
      <c r="U918" s="28" t="e">
        <f ca="1">[1]!BexGetData("DP_1","00O2TNJGODT0G5Z4TTKYMMUX1","GSON1112060691")</f>
        <v>#NAME?</v>
      </c>
      <c r="V918" s="23" t="e">
        <f ca="1">[1]!BexGetData("DP_1","00O2TNJGODT0G5Z4TTKYMN18L","GSON1112060691")</f>
        <v>#NAME?</v>
      </c>
      <c r="W918" s="28" t="e">
        <f ca="1">[1]!BexGetData("DP_1","00O2TNJGODT0G5Z4TTKYMN7K5","GSON1112060691")</f>
        <v>#NAME?</v>
      </c>
    </row>
    <row r="919" spans="1:23" x14ac:dyDescent="0.2">
      <c r="A919" s="36" t="s">
        <v>3208</v>
      </c>
      <c r="B919" s="27" t="s">
        <v>3209</v>
      </c>
      <c r="C919" s="23" t="e">
        <f ca="1">[1]!BexGetData("DP_1","003N8EMH8GTFRCSWKMPXRR8GU","GSON1112060693")</f>
        <v>#NAME?</v>
      </c>
      <c r="D919" s="23" t="e">
        <f ca="1">[1]!BexGetData("DP_1","003N8EMH8GTFRCSWKMPXRRESE","GSON1112060693")</f>
        <v>#NAME?</v>
      </c>
      <c r="E919" s="28" t="e">
        <f ca="1">[1]!BexGetData("DP_1","003N8EMH8GTFRCSWKMPXRRL3Y","GSON1112060693")</f>
        <v>#NAME?</v>
      </c>
      <c r="F919" s="23" t="e">
        <f ca="1">[1]!BexGetData("DP_1","003N8EMH8GTFRCSWKMPXRRRFI","GSON1112060693")</f>
        <v>#NAME?</v>
      </c>
      <c r="G919" s="23" t="e">
        <f ca="1">[1]!BexGetData("DP_1","003N8EMH8GTFRCSWKMPXRRXR2","GSON1112060693")</f>
        <v>#NAME?</v>
      </c>
      <c r="H919" s="23" t="e">
        <f ca="1">[1]!BexGetData("DP_1","003N8EMH8GTFRCSWKMPXRS42M","GSON1112060693")</f>
        <v>#NAME?</v>
      </c>
      <c r="I919" s="23" t="e">
        <f ca="1">[1]!BexGetData("DP_1","003N8EMH8GTFRCSWKMPXRSAE6","GSON1112060693")</f>
        <v>#NAME?</v>
      </c>
      <c r="J919" s="24" t="e">
        <f ca="1">[1]!BexGetData("DP_1","003N8EMH8GTFRCSWKMPXRSGPQ","GSON1112060693")</f>
        <v>#NAME?</v>
      </c>
      <c r="K919" s="23" t="e">
        <f ca="1">[1]!BexGetData("DP_1","003N8EMH8GTFRIVNUPY288VJH","GSON1112060693")</f>
        <v>#NAME?</v>
      </c>
      <c r="L919" s="23" t="e">
        <f ca="1">[1]!BexGetData("DP_1","003N8EMH8GTFRIVNUPY2891V1","GSON1112060693")</f>
        <v>#NAME?</v>
      </c>
      <c r="M919" s="23" t="e">
        <f ca="1">[1]!BexGetData("DP_1","003N8EMH8GTFRIVOG7KG9IQXA","GSON1112060693")</f>
        <v>#NAME?</v>
      </c>
      <c r="N919" s="28" t="e">
        <f ca="1">[1]!BexGetData("DP_1","003N8EMH8GTFRIVOG7KG9IX8U","GSON1112060693")</f>
        <v>#NAME?</v>
      </c>
      <c r="O919" s="23" t="e">
        <f ca="1">[1]!BexGetData("DP_1","003N8EMH8GTFRIVOG7KG9J3KE","GSON1112060693")</f>
        <v>#NAME?</v>
      </c>
      <c r="P919" s="28" t="e">
        <f ca="1">[1]!BexGetData("DP_1","003N8EMH8GTFRIVOG7KG9J9VY","GSON1112060693")</f>
        <v>#NAME?</v>
      </c>
      <c r="Q919" s="24" t="e">
        <f ca="1">[1]!BexGetData("DP_1","00O2TNJGODT0G5Z4TTKYMM5MT","GSON1112060693")</f>
        <v>#NAME?</v>
      </c>
      <c r="R919" s="23" t="e">
        <f ca="1">[1]!BexGetData("DP_1","00O2TNJGODT0G5Z4TTKYMMBYD","GSON1112060693")</f>
        <v>#NAME?</v>
      </c>
      <c r="S919" s="23" t="e">
        <f ca="1">[1]!BexGetData("DP_1","00O2TNJGODT0G5Z4TTKYMMI9X","GSON1112060693")</f>
        <v>#NAME?</v>
      </c>
      <c r="T919" s="28" t="e">
        <f ca="1">[1]!BexGetData("DP_1","00O2TNJGODT0G5Z4TTKYMMOLH","GSON1112060693")</f>
        <v>#NAME?</v>
      </c>
      <c r="U919" s="23" t="e">
        <f ca="1">[1]!BexGetData("DP_1","00O2TNJGODT0G5Z4TTKYMMUX1","GSON1112060693")</f>
        <v>#NAME?</v>
      </c>
      <c r="V919" s="28" t="e">
        <f ca="1">[1]!BexGetData("DP_1","00O2TNJGODT0G5Z4TTKYMN18L","GSON1112060693")</f>
        <v>#NAME?</v>
      </c>
      <c r="W919" s="23" t="e">
        <f ca="1">[1]!BexGetData("DP_1","00O2TNJGODT0G5Z4TTKYMN7K5","GSON1112060693")</f>
        <v>#NAME?</v>
      </c>
    </row>
    <row r="920" spans="1:23" x14ac:dyDescent="0.2">
      <c r="A920" s="36" t="s">
        <v>3210</v>
      </c>
      <c r="B920" s="27" t="s">
        <v>3211</v>
      </c>
      <c r="C920" s="23" t="e">
        <f ca="1">[1]!BexGetData("DP_1","003N8EMH8GTFRCSWKMPXRR8GU","GSON1112060694")</f>
        <v>#NAME?</v>
      </c>
      <c r="D920" s="23" t="e">
        <f ca="1">[1]!BexGetData("DP_1","003N8EMH8GTFRCSWKMPXRRESE","GSON1112060694")</f>
        <v>#NAME?</v>
      </c>
      <c r="E920" s="28" t="e">
        <f ca="1">[1]!BexGetData("DP_1","003N8EMH8GTFRCSWKMPXRRL3Y","GSON1112060694")</f>
        <v>#NAME?</v>
      </c>
      <c r="F920" s="28" t="e">
        <f ca="1">[1]!BexGetData("DP_1","003N8EMH8GTFRCSWKMPXRRRFI","GSON1112060694")</f>
        <v>#NAME?</v>
      </c>
      <c r="G920" s="23" t="e">
        <f ca="1">[1]!BexGetData("DP_1","003N8EMH8GTFRCSWKMPXRRXR2","GSON1112060694")</f>
        <v>#NAME?</v>
      </c>
      <c r="H920" s="23" t="e">
        <f ca="1">[1]!BexGetData("DP_1","003N8EMH8GTFRCSWKMPXRS42M","GSON1112060694")</f>
        <v>#NAME?</v>
      </c>
      <c r="I920" s="28" t="e">
        <f ca="1">[1]!BexGetData("DP_1","003N8EMH8GTFRCSWKMPXRSAE6","GSON1112060694")</f>
        <v>#NAME?</v>
      </c>
      <c r="J920" s="24" t="e">
        <f ca="1">[1]!BexGetData("DP_1","003N8EMH8GTFRCSWKMPXRSGPQ","GSON1112060694")</f>
        <v>#NAME?</v>
      </c>
      <c r="K920" s="28" t="e">
        <f ca="1">[1]!BexGetData("DP_1","003N8EMH8GTFRIVNUPY288VJH","GSON1112060694")</f>
        <v>#NAME?</v>
      </c>
      <c r="L920" s="28" t="e">
        <f ca="1">[1]!BexGetData("DP_1","003N8EMH8GTFRIVNUPY2891V1","GSON1112060694")</f>
        <v>#NAME?</v>
      </c>
      <c r="M920" s="28" t="e">
        <f ca="1">[1]!BexGetData("DP_1","003N8EMH8GTFRIVOG7KG9IQXA","GSON1112060694")</f>
        <v>#NAME?</v>
      </c>
      <c r="N920" s="28" t="e">
        <f ca="1">[1]!BexGetData("DP_1","003N8EMH8GTFRIVOG7KG9IX8U","GSON1112060694")</f>
        <v>#NAME?</v>
      </c>
      <c r="O920" s="28" t="e">
        <f ca="1">[1]!BexGetData("DP_1","003N8EMH8GTFRIVOG7KG9J3KE","GSON1112060694")</f>
        <v>#NAME?</v>
      </c>
      <c r="P920" s="28" t="e">
        <f ca="1">[1]!BexGetData("DP_1","003N8EMH8GTFRIVOG7KG9J9VY","GSON1112060694")</f>
        <v>#NAME?</v>
      </c>
      <c r="Q920" s="24" t="e">
        <f ca="1">[1]!BexGetData("DP_1","00O2TNJGODT0G5Z4TTKYMM5MT","GSON1112060694")</f>
        <v>#NAME?</v>
      </c>
      <c r="R920" s="28" t="e">
        <f ca="1">[1]!BexGetData("DP_1","00O2TNJGODT0G5Z4TTKYMMBYD","GSON1112060694")</f>
        <v>#NAME?</v>
      </c>
      <c r="S920" s="28" t="e">
        <f ca="1">[1]!BexGetData("DP_1","00O2TNJGODT0G5Z4TTKYMMI9X","GSON1112060694")</f>
        <v>#NAME?</v>
      </c>
      <c r="T920" s="28" t="e">
        <f ca="1">[1]!BexGetData("DP_1","00O2TNJGODT0G5Z4TTKYMMOLH","GSON1112060694")</f>
        <v>#NAME?</v>
      </c>
      <c r="U920" s="28" t="e">
        <f ca="1">[1]!BexGetData("DP_1","00O2TNJGODT0G5Z4TTKYMMUX1","GSON1112060694")</f>
        <v>#NAME?</v>
      </c>
      <c r="V920" s="28" t="e">
        <f ca="1">[1]!BexGetData("DP_1","00O2TNJGODT0G5Z4TTKYMN18L","GSON1112060694")</f>
        <v>#NAME?</v>
      </c>
      <c r="W920" s="28" t="e">
        <f ca="1">[1]!BexGetData("DP_1","00O2TNJGODT0G5Z4TTKYMN7K5","GSON1112060694")</f>
        <v>#NAME?</v>
      </c>
    </row>
    <row r="921" spans="1:23" x14ac:dyDescent="0.2">
      <c r="A921" s="36" t="s">
        <v>3212</v>
      </c>
      <c r="B921" s="27" t="s">
        <v>3213</v>
      </c>
      <c r="C921" s="23" t="e">
        <f ca="1">[1]!BexGetData("DP_1","003N8EMH8GTFRCSWKMPXRR8GU","GSON1112060695")</f>
        <v>#NAME?</v>
      </c>
      <c r="D921" s="23" t="e">
        <f ca="1">[1]!BexGetData("DP_1","003N8EMH8GTFRCSWKMPXRRESE","GSON1112060695")</f>
        <v>#NAME?</v>
      </c>
      <c r="E921" s="28" t="e">
        <f ca="1">[1]!BexGetData("DP_1","003N8EMH8GTFRCSWKMPXRRL3Y","GSON1112060695")</f>
        <v>#NAME?</v>
      </c>
      <c r="F921" s="23" t="e">
        <f ca="1">[1]!BexGetData("DP_1","003N8EMH8GTFRCSWKMPXRRRFI","GSON1112060695")</f>
        <v>#NAME?</v>
      </c>
      <c r="G921" s="23" t="e">
        <f ca="1">[1]!BexGetData("DP_1","003N8EMH8GTFRCSWKMPXRRXR2","GSON1112060695")</f>
        <v>#NAME?</v>
      </c>
      <c r="H921" s="23" t="e">
        <f ca="1">[1]!BexGetData("DP_1","003N8EMH8GTFRCSWKMPXRS42M","GSON1112060695")</f>
        <v>#NAME?</v>
      </c>
      <c r="I921" s="23" t="e">
        <f ca="1">[1]!BexGetData("DP_1","003N8EMH8GTFRCSWKMPXRSAE6","GSON1112060695")</f>
        <v>#NAME?</v>
      </c>
      <c r="J921" s="24" t="e">
        <f ca="1">[1]!BexGetData("DP_1","003N8EMH8GTFRCSWKMPXRSGPQ","GSON1112060695")</f>
        <v>#NAME?</v>
      </c>
      <c r="K921" s="23" t="e">
        <f ca="1">[1]!BexGetData("DP_1","003N8EMH8GTFRIVNUPY288VJH","GSON1112060695")</f>
        <v>#NAME?</v>
      </c>
      <c r="L921" s="23" t="e">
        <f ca="1">[1]!BexGetData("DP_1","003N8EMH8GTFRIVNUPY2891V1","GSON1112060695")</f>
        <v>#NAME?</v>
      </c>
      <c r="M921" s="28" t="e">
        <f ca="1">[1]!BexGetData("DP_1","003N8EMH8GTFRIVOG7KG9IQXA","GSON1112060695")</f>
        <v>#NAME?</v>
      </c>
      <c r="N921" s="23" t="e">
        <f ca="1">[1]!BexGetData("DP_1","003N8EMH8GTFRIVOG7KG9IX8U","GSON1112060695")</f>
        <v>#NAME?</v>
      </c>
      <c r="O921" s="28" t="e">
        <f ca="1">[1]!BexGetData("DP_1","003N8EMH8GTFRIVOG7KG9J3KE","GSON1112060695")</f>
        <v>#NAME?</v>
      </c>
      <c r="P921" s="23" t="e">
        <f ca="1">[1]!BexGetData("DP_1","003N8EMH8GTFRIVOG7KG9J9VY","GSON1112060695")</f>
        <v>#NAME?</v>
      </c>
      <c r="Q921" s="24" t="e">
        <f ca="1">[1]!BexGetData("DP_1","00O2TNJGODT0G5Z4TTKYMM5MT","GSON1112060695")</f>
        <v>#NAME?</v>
      </c>
      <c r="R921" s="23" t="e">
        <f ca="1">[1]!BexGetData("DP_1","00O2TNJGODT0G5Z4TTKYMMBYD","GSON1112060695")</f>
        <v>#NAME?</v>
      </c>
      <c r="S921" s="23" t="e">
        <f ca="1">[1]!BexGetData("DP_1","00O2TNJGODT0G5Z4TTKYMMI9X","GSON1112060695")</f>
        <v>#NAME?</v>
      </c>
      <c r="T921" s="23" t="e">
        <f ca="1">[1]!BexGetData("DP_1","00O2TNJGODT0G5Z4TTKYMMOLH","GSON1112060695")</f>
        <v>#NAME?</v>
      </c>
      <c r="U921" s="28" t="e">
        <f ca="1">[1]!BexGetData("DP_1","00O2TNJGODT0G5Z4TTKYMMUX1","GSON1112060695")</f>
        <v>#NAME?</v>
      </c>
      <c r="V921" s="23" t="e">
        <f ca="1">[1]!BexGetData("DP_1","00O2TNJGODT0G5Z4TTKYMN18L","GSON1112060695")</f>
        <v>#NAME?</v>
      </c>
      <c r="W921" s="28" t="e">
        <f ca="1">[1]!BexGetData("DP_1","00O2TNJGODT0G5Z4TTKYMN7K5","GSON1112060695")</f>
        <v>#NAME?</v>
      </c>
    </row>
    <row r="922" spans="1:23" x14ac:dyDescent="0.2">
      <c r="A922" s="36" t="s">
        <v>977</v>
      </c>
      <c r="B922" s="27" t="s">
        <v>978</v>
      </c>
      <c r="C922" s="23" t="e">
        <f ca="1">[1]!BexGetData("DP_1","003N8EMH8GTFRCSWKMPXRR8GU","GSON1112060700")</f>
        <v>#NAME?</v>
      </c>
      <c r="D922" s="23" t="e">
        <f ca="1">[1]!BexGetData("DP_1","003N8EMH8GTFRCSWKMPXRRESE","GSON1112060700")</f>
        <v>#NAME?</v>
      </c>
      <c r="E922" s="23" t="e">
        <f ca="1">[1]!BexGetData("DP_1","003N8EMH8GTFRCSWKMPXRRL3Y","GSON1112060700")</f>
        <v>#NAME?</v>
      </c>
      <c r="F922" s="23" t="e">
        <f ca="1">[1]!BexGetData("DP_1","003N8EMH8GTFRCSWKMPXRRRFI","GSON1112060700")</f>
        <v>#NAME?</v>
      </c>
      <c r="G922" s="23" t="e">
        <f ca="1">[1]!BexGetData("DP_1","003N8EMH8GTFRCSWKMPXRRXR2","GSON1112060700")</f>
        <v>#NAME?</v>
      </c>
      <c r="H922" s="23" t="e">
        <f ca="1">[1]!BexGetData("DP_1","003N8EMH8GTFRCSWKMPXRS42M","GSON1112060700")</f>
        <v>#NAME?</v>
      </c>
      <c r="I922" s="23" t="e">
        <f ca="1">[1]!BexGetData("DP_1","003N8EMH8GTFRCSWKMPXRSAE6","GSON1112060700")</f>
        <v>#NAME?</v>
      </c>
      <c r="J922" s="23" t="e">
        <f ca="1">[1]!BexGetData("DP_1","003N8EMH8GTFRCSWKMPXRSGPQ","GSON1112060700")</f>
        <v>#NAME?</v>
      </c>
      <c r="K922" s="23" t="e">
        <f ca="1">[1]!BexGetData("DP_1","003N8EMH8GTFRIVNUPY288VJH","GSON1112060700")</f>
        <v>#NAME?</v>
      </c>
      <c r="L922" s="23" t="e">
        <f ca="1">[1]!BexGetData("DP_1","003N8EMH8GTFRIVNUPY2891V1","GSON1112060700")</f>
        <v>#NAME?</v>
      </c>
      <c r="M922" s="28" t="e">
        <f ca="1">[1]!BexGetData("DP_1","003N8EMH8GTFRIVOG7KG9IQXA","GSON1112060700")</f>
        <v>#NAME?</v>
      </c>
      <c r="N922" s="23" t="e">
        <f ca="1">[1]!BexGetData("DP_1","003N8EMH8GTFRIVOG7KG9IX8U","GSON1112060700")</f>
        <v>#NAME?</v>
      </c>
      <c r="O922" s="28" t="e">
        <f ca="1">[1]!BexGetData("DP_1","003N8EMH8GTFRIVOG7KG9J3KE","GSON1112060700")</f>
        <v>#NAME?</v>
      </c>
      <c r="P922" s="23" t="e">
        <f ca="1">[1]!BexGetData("DP_1","003N8EMH8GTFRIVOG7KG9J9VY","GSON1112060700")</f>
        <v>#NAME?</v>
      </c>
      <c r="Q922" s="23" t="e">
        <f ca="1">[1]!BexGetData("DP_1","00O2TNJGODT0G5Z4TTKYMM5MT","GSON1112060700")</f>
        <v>#NAME?</v>
      </c>
      <c r="R922" s="23" t="e">
        <f ca="1">[1]!BexGetData("DP_1","00O2TNJGODT0G5Z4TTKYMMBYD","GSON1112060700")</f>
        <v>#NAME?</v>
      </c>
      <c r="S922" s="23" t="e">
        <f ca="1">[1]!BexGetData("DP_1","00O2TNJGODT0G5Z4TTKYMMI9X","GSON1112060700")</f>
        <v>#NAME?</v>
      </c>
      <c r="T922" s="28" t="e">
        <f ca="1">[1]!BexGetData("DP_1","00O2TNJGODT0G5Z4TTKYMMOLH","GSON1112060700")</f>
        <v>#NAME?</v>
      </c>
      <c r="U922" s="23" t="e">
        <f ca="1">[1]!BexGetData("DP_1","00O2TNJGODT0G5Z4TTKYMMUX1","GSON1112060700")</f>
        <v>#NAME?</v>
      </c>
      <c r="V922" s="28" t="e">
        <f ca="1">[1]!BexGetData("DP_1","00O2TNJGODT0G5Z4TTKYMN18L","GSON1112060700")</f>
        <v>#NAME?</v>
      </c>
      <c r="W922" s="23" t="e">
        <f ca="1">[1]!BexGetData("DP_1","00O2TNJGODT0G5Z4TTKYMN7K5","GSON1112060700")</f>
        <v>#NAME?</v>
      </c>
    </row>
    <row r="923" spans="1:23" x14ac:dyDescent="0.2">
      <c r="A923" s="36" t="s">
        <v>979</v>
      </c>
      <c r="B923" s="27" t="s">
        <v>980</v>
      </c>
      <c r="C923" s="23" t="e">
        <f ca="1">[1]!BexGetData("DP_1","003N8EMH8GTFRCSWKMPXRR8GU","GSON1112060701")</f>
        <v>#NAME?</v>
      </c>
      <c r="D923" s="23" t="e">
        <f ca="1">[1]!BexGetData("DP_1","003N8EMH8GTFRCSWKMPXRRESE","GSON1112060701")</f>
        <v>#NAME?</v>
      </c>
      <c r="E923" s="23" t="e">
        <f ca="1">[1]!BexGetData("DP_1","003N8EMH8GTFRCSWKMPXRRL3Y","GSON1112060701")</f>
        <v>#NAME?</v>
      </c>
      <c r="F923" s="23" t="e">
        <f ca="1">[1]!BexGetData("DP_1","003N8EMH8GTFRCSWKMPXRRRFI","GSON1112060701")</f>
        <v>#NAME?</v>
      </c>
      <c r="G923" s="23" t="e">
        <f ca="1">[1]!BexGetData("DP_1","003N8EMH8GTFRCSWKMPXRRXR2","GSON1112060701")</f>
        <v>#NAME?</v>
      </c>
      <c r="H923" s="23" t="e">
        <f ca="1">[1]!BexGetData("DP_1","003N8EMH8GTFRCSWKMPXRS42M","GSON1112060701")</f>
        <v>#NAME?</v>
      </c>
      <c r="I923" s="23" t="e">
        <f ca="1">[1]!BexGetData("DP_1","003N8EMH8GTFRCSWKMPXRSAE6","GSON1112060701")</f>
        <v>#NAME?</v>
      </c>
      <c r="J923" s="23" t="e">
        <f ca="1">[1]!BexGetData("DP_1","003N8EMH8GTFRCSWKMPXRSGPQ","GSON1112060701")</f>
        <v>#NAME?</v>
      </c>
      <c r="K923" s="23" t="e">
        <f ca="1">[1]!BexGetData("DP_1","003N8EMH8GTFRIVNUPY288VJH","GSON1112060701")</f>
        <v>#NAME?</v>
      </c>
      <c r="L923" s="23" t="e">
        <f ca="1">[1]!BexGetData("DP_1","003N8EMH8GTFRIVNUPY2891V1","GSON1112060701")</f>
        <v>#NAME?</v>
      </c>
      <c r="M923" s="23" t="e">
        <f ca="1">[1]!BexGetData("DP_1","003N8EMH8GTFRIVOG7KG9IQXA","GSON1112060701")</f>
        <v>#NAME?</v>
      </c>
      <c r="N923" s="28" t="e">
        <f ca="1">[1]!BexGetData("DP_1","003N8EMH8GTFRIVOG7KG9IX8U","GSON1112060701")</f>
        <v>#NAME?</v>
      </c>
      <c r="O923" s="23" t="e">
        <f ca="1">[1]!BexGetData("DP_1","003N8EMH8GTFRIVOG7KG9J3KE","GSON1112060701")</f>
        <v>#NAME?</v>
      </c>
      <c r="P923" s="28" t="e">
        <f ca="1">[1]!BexGetData("DP_1","003N8EMH8GTFRIVOG7KG9J9VY","GSON1112060701")</f>
        <v>#NAME?</v>
      </c>
      <c r="Q923" s="23" t="e">
        <f ca="1">[1]!BexGetData("DP_1","00O2TNJGODT0G5Z4TTKYMM5MT","GSON1112060701")</f>
        <v>#NAME?</v>
      </c>
      <c r="R923" s="23" t="e">
        <f ca="1">[1]!BexGetData("DP_1","00O2TNJGODT0G5Z4TTKYMMBYD","GSON1112060701")</f>
        <v>#NAME?</v>
      </c>
      <c r="S923" s="23" t="e">
        <f ca="1">[1]!BexGetData("DP_1","00O2TNJGODT0G5Z4TTKYMMI9X","GSON1112060701")</f>
        <v>#NAME?</v>
      </c>
      <c r="T923" s="28" t="e">
        <f ca="1">[1]!BexGetData("DP_1","00O2TNJGODT0G5Z4TTKYMMOLH","GSON1112060701")</f>
        <v>#NAME?</v>
      </c>
      <c r="U923" s="23" t="e">
        <f ca="1">[1]!BexGetData("DP_1","00O2TNJGODT0G5Z4TTKYMMUX1","GSON1112060701")</f>
        <v>#NAME?</v>
      </c>
      <c r="V923" s="28" t="e">
        <f ca="1">[1]!BexGetData("DP_1","00O2TNJGODT0G5Z4TTKYMN18L","GSON1112060701")</f>
        <v>#NAME?</v>
      </c>
      <c r="W923" s="23" t="e">
        <f ca="1">[1]!BexGetData("DP_1","00O2TNJGODT0G5Z4TTKYMN7K5","GSON1112060701")</f>
        <v>#NAME?</v>
      </c>
    </row>
    <row r="924" spans="1:23" x14ac:dyDescent="0.2">
      <c r="A924" s="36" t="s">
        <v>3214</v>
      </c>
      <c r="B924" s="27" t="s">
        <v>3215</v>
      </c>
      <c r="C924" s="23" t="e">
        <f ca="1">[1]!BexGetData("DP_1","003N8EMH8GTFRCSWKMPXRR8GU","GSON1112060702")</f>
        <v>#NAME?</v>
      </c>
      <c r="D924" s="23" t="e">
        <f ca="1">[1]!BexGetData("DP_1","003N8EMH8GTFRCSWKMPXRRESE","GSON1112060702")</f>
        <v>#NAME?</v>
      </c>
      <c r="E924" s="28" t="e">
        <f ca="1">[1]!BexGetData("DP_1","003N8EMH8GTFRCSWKMPXRRL3Y","GSON1112060702")</f>
        <v>#NAME?</v>
      </c>
      <c r="F924" s="24" t="e">
        <f ca="1">[1]!BexGetData("DP_1","003N8EMH8GTFRCSWKMPXRRRFI","GSON1112060702")</f>
        <v>#NAME?</v>
      </c>
      <c r="G924" s="24" t="e">
        <f ca="1">[1]!BexGetData("DP_1","003N8EMH8GTFRCSWKMPXRRXR2","GSON1112060702")</f>
        <v>#NAME?</v>
      </c>
      <c r="H924" s="24" t="e">
        <f ca="1">[1]!BexGetData("DP_1","003N8EMH8GTFRCSWKMPXRS42M","GSON1112060702")</f>
        <v>#NAME?</v>
      </c>
      <c r="I924" s="24" t="e">
        <f ca="1">[1]!BexGetData("DP_1","003N8EMH8GTFRCSWKMPXRSAE6","GSON1112060702")</f>
        <v>#NAME?</v>
      </c>
      <c r="J924" s="24" t="e">
        <f ca="1">[1]!BexGetData("DP_1","003N8EMH8GTFRCSWKMPXRSGPQ","GSON1112060702")</f>
        <v>#NAME?</v>
      </c>
      <c r="K924" s="28" t="e">
        <f ca="1">[1]!BexGetData("DP_1","003N8EMH8GTFRIVNUPY288VJH","GSON1112060702")</f>
        <v>#NAME?</v>
      </c>
      <c r="L924" s="28" t="e">
        <f ca="1">[1]!BexGetData("DP_1","003N8EMH8GTFRIVNUPY2891V1","GSON1112060702")</f>
        <v>#NAME?</v>
      </c>
      <c r="M924" s="28" t="e">
        <f ca="1">[1]!BexGetData("DP_1","003N8EMH8GTFRIVOG7KG9IQXA","GSON1112060702")</f>
        <v>#NAME?</v>
      </c>
      <c r="N924" s="28" t="e">
        <f ca="1">[1]!BexGetData("DP_1","003N8EMH8GTFRIVOG7KG9IX8U","GSON1112060702")</f>
        <v>#NAME?</v>
      </c>
      <c r="O924" s="28" t="e">
        <f ca="1">[1]!BexGetData("DP_1","003N8EMH8GTFRIVOG7KG9J3KE","GSON1112060702")</f>
        <v>#NAME?</v>
      </c>
      <c r="P924" s="28" t="e">
        <f ca="1">[1]!BexGetData("DP_1","003N8EMH8GTFRIVOG7KG9J9VY","GSON1112060702")</f>
        <v>#NAME?</v>
      </c>
      <c r="Q924" s="24" t="e">
        <f ca="1">[1]!BexGetData("DP_1","00O2TNJGODT0G5Z4TTKYMM5MT","GSON1112060702")</f>
        <v>#NAME?</v>
      </c>
      <c r="R924" s="24" t="e">
        <f ca="1">[1]!BexGetData("DP_1","00O2TNJGODT0G5Z4TTKYMMBYD","GSON1112060702")</f>
        <v>#NAME?</v>
      </c>
      <c r="S924" s="24" t="e">
        <f ca="1">[1]!BexGetData("DP_1","00O2TNJGODT0G5Z4TTKYMMI9X","GSON1112060702")</f>
        <v>#NAME?</v>
      </c>
      <c r="T924" s="24" t="e">
        <f ca="1">[1]!BexGetData("DP_1","00O2TNJGODT0G5Z4TTKYMMOLH","GSON1112060702")</f>
        <v>#NAME?</v>
      </c>
      <c r="U924" s="24" t="e">
        <f ca="1">[1]!BexGetData("DP_1","00O2TNJGODT0G5Z4TTKYMMUX1","GSON1112060702")</f>
        <v>#NAME?</v>
      </c>
      <c r="V924" s="24" t="e">
        <f ca="1">[1]!BexGetData("DP_1","00O2TNJGODT0G5Z4TTKYMN18L","GSON1112060702")</f>
        <v>#NAME?</v>
      </c>
      <c r="W924" s="24" t="e">
        <f ca="1">[1]!BexGetData("DP_1","00O2TNJGODT0G5Z4TTKYMN7K5","GSON1112060702")</f>
        <v>#NAME?</v>
      </c>
    </row>
    <row r="925" spans="1:23" x14ac:dyDescent="0.2">
      <c r="A925" s="36" t="s">
        <v>3216</v>
      </c>
      <c r="B925" s="27" t="s">
        <v>3217</v>
      </c>
      <c r="C925" s="23" t="e">
        <f ca="1">[1]!BexGetData("DP_1","003N8EMH8GTFRCSWKMPXRR8GU","GSON1112060703")</f>
        <v>#NAME?</v>
      </c>
      <c r="D925" s="23" t="e">
        <f ca="1">[1]!BexGetData("DP_1","003N8EMH8GTFRCSWKMPXRRESE","GSON1112060703")</f>
        <v>#NAME?</v>
      </c>
      <c r="E925" s="23" t="e">
        <f ca="1">[1]!BexGetData("DP_1","003N8EMH8GTFRCSWKMPXRRL3Y","GSON1112060703")</f>
        <v>#NAME?</v>
      </c>
      <c r="F925" s="28" t="e">
        <f ca="1">[1]!BexGetData("DP_1","003N8EMH8GTFRCSWKMPXRRRFI","GSON1112060703")</f>
        <v>#NAME?</v>
      </c>
      <c r="G925" s="23" t="e">
        <f ca="1">[1]!BexGetData("DP_1","003N8EMH8GTFRCSWKMPXRRXR2","GSON1112060703")</f>
        <v>#NAME?</v>
      </c>
      <c r="H925" s="23" t="e">
        <f ca="1">[1]!BexGetData("DP_1","003N8EMH8GTFRCSWKMPXRS42M","GSON1112060703")</f>
        <v>#NAME?</v>
      </c>
      <c r="I925" s="28" t="e">
        <f ca="1">[1]!BexGetData("DP_1","003N8EMH8GTFRCSWKMPXRSAE6","GSON1112060703")</f>
        <v>#NAME?</v>
      </c>
      <c r="J925" s="24" t="e">
        <f ca="1">[1]!BexGetData("DP_1","003N8EMH8GTFRCSWKMPXRSGPQ","GSON1112060703")</f>
        <v>#NAME?</v>
      </c>
      <c r="K925" s="23" t="e">
        <f ca="1">[1]!BexGetData("DP_1","003N8EMH8GTFRIVNUPY288VJH","GSON1112060703")</f>
        <v>#NAME?</v>
      </c>
      <c r="L925" s="23" t="e">
        <f ca="1">[1]!BexGetData("DP_1","003N8EMH8GTFRIVNUPY2891V1","GSON1112060703")</f>
        <v>#NAME?</v>
      </c>
      <c r="M925" s="28" t="e">
        <f ca="1">[1]!BexGetData("DP_1","003N8EMH8GTFRIVOG7KG9IQXA","GSON1112060703")</f>
        <v>#NAME?</v>
      </c>
      <c r="N925" s="23" t="e">
        <f ca="1">[1]!BexGetData("DP_1","003N8EMH8GTFRIVOG7KG9IX8U","GSON1112060703")</f>
        <v>#NAME?</v>
      </c>
      <c r="O925" s="28" t="e">
        <f ca="1">[1]!BexGetData("DP_1","003N8EMH8GTFRIVOG7KG9J3KE","GSON1112060703")</f>
        <v>#NAME?</v>
      </c>
      <c r="P925" s="23" t="e">
        <f ca="1">[1]!BexGetData("DP_1","003N8EMH8GTFRIVOG7KG9J9VY","GSON1112060703")</f>
        <v>#NAME?</v>
      </c>
      <c r="Q925" s="24" t="e">
        <f ca="1">[1]!BexGetData("DP_1","00O2TNJGODT0G5Z4TTKYMM5MT","GSON1112060703")</f>
        <v>#NAME?</v>
      </c>
      <c r="R925" s="28" t="e">
        <f ca="1">[1]!BexGetData("DP_1","00O2TNJGODT0G5Z4TTKYMMBYD","GSON1112060703")</f>
        <v>#NAME?</v>
      </c>
      <c r="S925" s="28" t="e">
        <f ca="1">[1]!BexGetData("DP_1","00O2TNJGODT0G5Z4TTKYMMI9X","GSON1112060703")</f>
        <v>#NAME?</v>
      </c>
      <c r="T925" s="28" t="e">
        <f ca="1">[1]!BexGetData("DP_1","00O2TNJGODT0G5Z4TTKYMMOLH","GSON1112060703")</f>
        <v>#NAME?</v>
      </c>
      <c r="U925" s="28" t="e">
        <f ca="1">[1]!BexGetData("DP_1","00O2TNJGODT0G5Z4TTKYMMUX1","GSON1112060703")</f>
        <v>#NAME?</v>
      </c>
      <c r="V925" s="28" t="e">
        <f ca="1">[1]!BexGetData("DP_1","00O2TNJGODT0G5Z4TTKYMN18L","GSON1112060703")</f>
        <v>#NAME?</v>
      </c>
      <c r="W925" s="28" t="e">
        <f ca="1">[1]!BexGetData("DP_1","00O2TNJGODT0G5Z4TTKYMN7K5","GSON1112060703")</f>
        <v>#NAME?</v>
      </c>
    </row>
    <row r="926" spans="1:23" x14ac:dyDescent="0.2">
      <c r="A926" s="36" t="s">
        <v>3218</v>
      </c>
      <c r="B926" s="27" t="s">
        <v>3219</v>
      </c>
      <c r="C926" s="23" t="e">
        <f ca="1">[1]!BexGetData("DP_1","003N8EMH8GTFRCSWKMPXRR8GU","GSON1112060704")</f>
        <v>#NAME?</v>
      </c>
      <c r="D926" s="23" t="e">
        <f ca="1">[1]!BexGetData("DP_1","003N8EMH8GTFRCSWKMPXRRESE","GSON1112060704")</f>
        <v>#NAME?</v>
      </c>
      <c r="E926" s="28" t="e">
        <f ca="1">[1]!BexGetData("DP_1","003N8EMH8GTFRCSWKMPXRRL3Y","GSON1112060704")</f>
        <v>#NAME?</v>
      </c>
      <c r="F926" s="28" t="e">
        <f ca="1">[1]!BexGetData("DP_1","003N8EMH8GTFRCSWKMPXRRRFI","GSON1112060704")</f>
        <v>#NAME?</v>
      </c>
      <c r="G926" s="23" t="e">
        <f ca="1">[1]!BexGetData("DP_1","003N8EMH8GTFRCSWKMPXRRXR2","GSON1112060704")</f>
        <v>#NAME?</v>
      </c>
      <c r="H926" s="23" t="e">
        <f ca="1">[1]!BexGetData("DP_1","003N8EMH8GTFRCSWKMPXRS42M","GSON1112060704")</f>
        <v>#NAME?</v>
      </c>
      <c r="I926" s="28" t="e">
        <f ca="1">[1]!BexGetData("DP_1","003N8EMH8GTFRCSWKMPXRSAE6","GSON1112060704")</f>
        <v>#NAME?</v>
      </c>
      <c r="J926" s="24" t="e">
        <f ca="1">[1]!BexGetData("DP_1","003N8EMH8GTFRCSWKMPXRSGPQ","GSON1112060704")</f>
        <v>#NAME?</v>
      </c>
      <c r="K926" s="28" t="e">
        <f ca="1">[1]!BexGetData("DP_1","003N8EMH8GTFRIVNUPY288VJH","GSON1112060704")</f>
        <v>#NAME?</v>
      </c>
      <c r="L926" s="28" t="e">
        <f ca="1">[1]!BexGetData("DP_1","003N8EMH8GTFRIVNUPY2891V1","GSON1112060704")</f>
        <v>#NAME?</v>
      </c>
      <c r="M926" s="28" t="e">
        <f ca="1">[1]!BexGetData("DP_1","003N8EMH8GTFRIVOG7KG9IQXA","GSON1112060704")</f>
        <v>#NAME?</v>
      </c>
      <c r="N926" s="28" t="e">
        <f ca="1">[1]!BexGetData("DP_1","003N8EMH8GTFRIVOG7KG9IX8U","GSON1112060704")</f>
        <v>#NAME?</v>
      </c>
      <c r="O926" s="28" t="e">
        <f ca="1">[1]!BexGetData("DP_1","003N8EMH8GTFRIVOG7KG9J3KE","GSON1112060704")</f>
        <v>#NAME?</v>
      </c>
      <c r="P926" s="28" t="e">
        <f ca="1">[1]!BexGetData("DP_1","003N8EMH8GTFRIVOG7KG9J9VY","GSON1112060704")</f>
        <v>#NAME?</v>
      </c>
      <c r="Q926" s="24" t="e">
        <f ca="1">[1]!BexGetData("DP_1","00O2TNJGODT0G5Z4TTKYMM5MT","GSON1112060704")</f>
        <v>#NAME?</v>
      </c>
      <c r="R926" s="28" t="e">
        <f ca="1">[1]!BexGetData("DP_1","00O2TNJGODT0G5Z4TTKYMMBYD","GSON1112060704")</f>
        <v>#NAME?</v>
      </c>
      <c r="S926" s="28" t="e">
        <f ca="1">[1]!BexGetData("DP_1","00O2TNJGODT0G5Z4TTKYMMI9X","GSON1112060704")</f>
        <v>#NAME?</v>
      </c>
      <c r="T926" s="28" t="e">
        <f ca="1">[1]!BexGetData("DP_1","00O2TNJGODT0G5Z4TTKYMMOLH","GSON1112060704")</f>
        <v>#NAME?</v>
      </c>
      <c r="U926" s="28" t="e">
        <f ca="1">[1]!BexGetData("DP_1","00O2TNJGODT0G5Z4TTKYMMUX1","GSON1112060704")</f>
        <v>#NAME?</v>
      </c>
      <c r="V926" s="28" t="e">
        <f ca="1">[1]!BexGetData("DP_1","00O2TNJGODT0G5Z4TTKYMN18L","GSON1112060704")</f>
        <v>#NAME?</v>
      </c>
      <c r="W926" s="28" t="e">
        <f ca="1">[1]!BexGetData("DP_1","00O2TNJGODT0G5Z4TTKYMN7K5","GSON1112060704")</f>
        <v>#NAME?</v>
      </c>
    </row>
    <row r="927" spans="1:23" x14ac:dyDescent="0.2">
      <c r="A927" s="36" t="s">
        <v>3220</v>
      </c>
      <c r="B927" s="27" t="s">
        <v>3221</v>
      </c>
      <c r="C927" s="23" t="e">
        <f ca="1">[1]!BexGetData("DP_1","003N8EMH8GTFRCSWKMPXRR8GU","GSON1112060705")</f>
        <v>#NAME?</v>
      </c>
      <c r="D927" s="23" t="e">
        <f ca="1">[1]!BexGetData("DP_1","003N8EMH8GTFRCSWKMPXRRESE","GSON1112060705")</f>
        <v>#NAME?</v>
      </c>
      <c r="E927" s="28" t="e">
        <f ca="1">[1]!BexGetData("DP_1","003N8EMH8GTFRCSWKMPXRRL3Y","GSON1112060705")</f>
        <v>#NAME?</v>
      </c>
      <c r="F927" s="23" t="e">
        <f ca="1">[1]!BexGetData("DP_1","003N8EMH8GTFRCSWKMPXRRRFI","GSON1112060705")</f>
        <v>#NAME?</v>
      </c>
      <c r="G927" s="23" t="e">
        <f ca="1">[1]!BexGetData("DP_1","003N8EMH8GTFRCSWKMPXRRXR2","GSON1112060705")</f>
        <v>#NAME?</v>
      </c>
      <c r="H927" s="23" t="e">
        <f ca="1">[1]!BexGetData("DP_1","003N8EMH8GTFRCSWKMPXRS42M","GSON1112060705")</f>
        <v>#NAME?</v>
      </c>
      <c r="I927" s="23" t="e">
        <f ca="1">[1]!BexGetData("DP_1","003N8EMH8GTFRCSWKMPXRSAE6","GSON1112060705")</f>
        <v>#NAME?</v>
      </c>
      <c r="J927" s="24" t="e">
        <f ca="1">[1]!BexGetData("DP_1","003N8EMH8GTFRCSWKMPXRSGPQ","GSON1112060705")</f>
        <v>#NAME?</v>
      </c>
      <c r="K927" s="23" t="e">
        <f ca="1">[1]!BexGetData("DP_1","003N8EMH8GTFRIVNUPY288VJH","GSON1112060705")</f>
        <v>#NAME?</v>
      </c>
      <c r="L927" s="23" t="e">
        <f ca="1">[1]!BexGetData("DP_1","003N8EMH8GTFRIVNUPY2891V1","GSON1112060705")</f>
        <v>#NAME?</v>
      </c>
      <c r="M927" s="28" t="e">
        <f ca="1">[1]!BexGetData("DP_1","003N8EMH8GTFRIVOG7KG9IQXA","GSON1112060705")</f>
        <v>#NAME?</v>
      </c>
      <c r="N927" s="23" t="e">
        <f ca="1">[1]!BexGetData("DP_1","003N8EMH8GTFRIVOG7KG9IX8U","GSON1112060705")</f>
        <v>#NAME?</v>
      </c>
      <c r="O927" s="28" t="e">
        <f ca="1">[1]!BexGetData("DP_1","003N8EMH8GTFRIVOG7KG9J3KE","GSON1112060705")</f>
        <v>#NAME?</v>
      </c>
      <c r="P927" s="23" t="e">
        <f ca="1">[1]!BexGetData("DP_1","003N8EMH8GTFRIVOG7KG9J9VY","GSON1112060705")</f>
        <v>#NAME?</v>
      </c>
      <c r="Q927" s="24" t="e">
        <f ca="1">[1]!BexGetData("DP_1","00O2TNJGODT0G5Z4TTKYMM5MT","GSON1112060705")</f>
        <v>#NAME?</v>
      </c>
      <c r="R927" s="23" t="e">
        <f ca="1">[1]!BexGetData("DP_1","00O2TNJGODT0G5Z4TTKYMMBYD","GSON1112060705")</f>
        <v>#NAME?</v>
      </c>
      <c r="S927" s="23" t="e">
        <f ca="1">[1]!BexGetData("DP_1","00O2TNJGODT0G5Z4TTKYMMI9X","GSON1112060705")</f>
        <v>#NAME?</v>
      </c>
      <c r="T927" s="23" t="e">
        <f ca="1">[1]!BexGetData("DP_1","00O2TNJGODT0G5Z4TTKYMMOLH","GSON1112060705")</f>
        <v>#NAME?</v>
      </c>
      <c r="U927" s="28" t="e">
        <f ca="1">[1]!BexGetData("DP_1","00O2TNJGODT0G5Z4TTKYMMUX1","GSON1112060705")</f>
        <v>#NAME?</v>
      </c>
      <c r="V927" s="23" t="e">
        <f ca="1">[1]!BexGetData("DP_1","00O2TNJGODT0G5Z4TTKYMN18L","GSON1112060705")</f>
        <v>#NAME?</v>
      </c>
      <c r="W927" s="28" t="e">
        <f ca="1">[1]!BexGetData("DP_1","00O2TNJGODT0G5Z4TTKYMN7K5","GSON1112060705")</f>
        <v>#NAME?</v>
      </c>
    </row>
    <row r="928" spans="1:23" x14ac:dyDescent="0.2">
      <c r="A928" s="36" t="s">
        <v>3222</v>
      </c>
      <c r="B928" s="27" t="s">
        <v>3223</v>
      </c>
      <c r="C928" s="23" t="e">
        <f ca="1">[1]!BexGetData("DP_1","003N8EMH8GTFRCSWKMPXRR8GU","GSON1112060710")</f>
        <v>#NAME?</v>
      </c>
      <c r="D928" s="23" t="e">
        <f ca="1">[1]!BexGetData("DP_1","003N8EMH8GTFRCSWKMPXRRESE","GSON1112060710")</f>
        <v>#NAME?</v>
      </c>
      <c r="E928" s="23" t="e">
        <f ca="1">[1]!BexGetData("DP_1","003N8EMH8GTFRCSWKMPXRRL3Y","GSON1112060710")</f>
        <v>#NAME?</v>
      </c>
      <c r="F928" s="23" t="e">
        <f ca="1">[1]!BexGetData("DP_1","003N8EMH8GTFRCSWKMPXRRRFI","GSON1112060710")</f>
        <v>#NAME?</v>
      </c>
      <c r="G928" s="23" t="e">
        <f ca="1">[1]!BexGetData("DP_1","003N8EMH8GTFRCSWKMPXRRXR2","GSON1112060710")</f>
        <v>#NAME?</v>
      </c>
      <c r="H928" s="23" t="e">
        <f ca="1">[1]!BexGetData("DP_1","003N8EMH8GTFRCSWKMPXRS42M","GSON1112060710")</f>
        <v>#NAME?</v>
      </c>
      <c r="I928" s="23" t="e">
        <f ca="1">[1]!BexGetData("DP_1","003N8EMH8GTFRCSWKMPXRSAE6","GSON1112060710")</f>
        <v>#NAME?</v>
      </c>
      <c r="J928" s="23" t="e">
        <f ca="1">[1]!BexGetData("DP_1","003N8EMH8GTFRCSWKMPXRSGPQ","GSON1112060710")</f>
        <v>#NAME?</v>
      </c>
      <c r="K928" s="23" t="e">
        <f ca="1">[1]!BexGetData("DP_1","003N8EMH8GTFRIVNUPY288VJH","GSON1112060710")</f>
        <v>#NAME?</v>
      </c>
      <c r="L928" s="23" t="e">
        <f ca="1">[1]!BexGetData("DP_1","003N8EMH8GTFRIVNUPY2891V1","GSON1112060710")</f>
        <v>#NAME?</v>
      </c>
      <c r="M928" s="28" t="e">
        <f ca="1">[1]!BexGetData("DP_1","003N8EMH8GTFRIVOG7KG9IQXA","GSON1112060710")</f>
        <v>#NAME?</v>
      </c>
      <c r="N928" s="23" t="e">
        <f ca="1">[1]!BexGetData("DP_1","003N8EMH8GTFRIVOG7KG9IX8U","GSON1112060710")</f>
        <v>#NAME?</v>
      </c>
      <c r="O928" s="28" t="e">
        <f ca="1">[1]!BexGetData("DP_1","003N8EMH8GTFRIVOG7KG9J3KE","GSON1112060710")</f>
        <v>#NAME?</v>
      </c>
      <c r="P928" s="23" t="e">
        <f ca="1">[1]!BexGetData("DP_1","003N8EMH8GTFRIVOG7KG9J9VY","GSON1112060710")</f>
        <v>#NAME?</v>
      </c>
      <c r="Q928" s="23" t="e">
        <f ca="1">[1]!BexGetData("DP_1","00O2TNJGODT0G5Z4TTKYMM5MT","GSON1112060710")</f>
        <v>#NAME?</v>
      </c>
      <c r="R928" s="23" t="e">
        <f ca="1">[1]!BexGetData("DP_1","00O2TNJGODT0G5Z4TTKYMMBYD","GSON1112060710")</f>
        <v>#NAME?</v>
      </c>
      <c r="S928" s="23" t="e">
        <f ca="1">[1]!BexGetData("DP_1","00O2TNJGODT0G5Z4TTKYMMI9X","GSON1112060710")</f>
        <v>#NAME?</v>
      </c>
      <c r="T928" s="28" t="e">
        <f ca="1">[1]!BexGetData("DP_1","00O2TNJGODT0G5Z4TTKYMMOLH","GSON1112060710")</f>
        <v>#NAME?</v>
      </c>
      <c r="U928" s="23" t="e">
        <f ca="1">[1]!BexGetData("DP_1","00O2TNJGODT0G5Z4TTKYMMUX1","GSON1112060710")</f>
        <v>#NAME?</v>
      </c>
      <c r="V928" s="28" t="e">
        <f ca="1">[1]!BexGetData("DP_1","00O2TNJGODT0G5Z4TTKYMN18L","GSON1112060710")</f>
        <v>#NAME?</v>
      </c>
      <c r="W928" s="23" t="e">
        <f ca="1">[1]!BexGetData("DP_1","00O2TNJGODT0G5Z4TTKYMN7K5","GSON1112060710")</f>
        <v>#NAME?</v>
      </c>
    </row>
    <row r="929" spans="1:23" x14ac:dyDescent="0.2">
      <c r="A929" s="36" t="s">
        <v>3224</v>
      </c>
      <c r="B929" s="27" t="s">
        <v>3225</v>
      </c>
      <c r="C929" s="23" t="e">
        <f ca="1">[1]!BexGetData("DP_1","003N8EMH8GTFRCSWKMPXRR8GU","GSON1112060711")</f>
        <v>#NAME?</v>
      </c>
      <c r="D929" s="23" t="e">
        <f ca="1">[1]!BexGetData("DP_1","003N8EMH8GTFRCSWKMPXRRESE","GSON1112060711")</f>
        <v>#NAME?</v>
      </c>
      <c r="E929" s="28" t="e">
        <f ca="1">[1]!BexGetData("DP_1","003N8EMH8GTFRCSWKMPXRRL3Y","GSON1112060711")</f>
        <v>#NAME?</v>
      </c>
      <c r="F929" s="28" t="e">
        <f ca="1">[1]!BexGetData("DP_1","003N8EMH8GTFRCSWKMPXRRRFI","GSON1112060711")</f>
        <v>#NAME?</v>
      </c>
      <c r="G929" s="23" t="e">
        <f ca="1">[1]!BexGetData("DP_1","003N8EMH8GTFRCSWKMPXRRXR2","GSON1112060711")</f>
        <v>#NAME?</v>
      </c>
      <c r="H929" s="23" t="e">
        <f ca="1">[1]!BexGetData("DP_1","003N8EMH8GTFRCSWKMPXRS42M","GSON1112060711")</f>
        <v>#NAME?</v>
      </c>
      <c r="I929" s="28" t="e">
        <f ca="1">[1]!BexGetData("DP_1","003N8EMH8GTFRCSWKMPXRSAE6","GSON1112060711")</f>
        <v>#NAME?</v>
      </c>
      <c r="J929" s="24" t="e">
        <f ca="1">[1]!BexGetData("DP_1","003N8EMH8GTFRCSWKMPXRSGPQ","GSON1112060711")</f>
        <v>#NAME?</v>
      </c>
      <c r="K929" s="28" t="e">
        <f ca="1">[1]!BexGetData("DP_1","003N8EMH8GTFRIVNUPY288VJH","GSON1112060711")</f>
        <v>#NAME?</v>
      </c>
      <c r="L929" s="28" t="e">
        <f ca="1">[1]!BexGetData("DP_1","003N8EMH8GTFRIVNUPY2891V1","GSON1112060711")</f>
        <v>#NAME?</v>
      </c>
      <c r="M929" s="28" t="e">
        <f ca="1">[1]!BexGetData("DP_1","003N8EMH8GTFRIVOG7KG9IQXA","GSON1112060711")</f>
        <v>#NAME?</v>
      </c>
      <c r="N929" s="28" t="e">
        <f ca="1">[1]!BexGetData("DP_1","003N8EMH8GTFRIVOG7KG9IX8U","GSON1112060711")</f>
        <v>#NAME?</v>
      </c>
      <c r="O929" s="28" t="e">
        <f ca="1">[1]!BexGetData("DP_1","003N8EMH8GTFRIVOG7KG9J3KE","GSON1112060711")</f>
        <v>#NAME?</v>
      </c>
      <c r="P929" s="28" t="e">
        <f ca="1">[1]!BexGetData("DP_1","003N8EMH8GTFRIVOG7KG9J9VY","GSON1112060711")</f>
        <v>#NAME?</v>
      </c>
      <c r="Q929" s="24" t="e">
        <f ca="1">[1]!BexGetData("DP_1","00O2TNJGODT0G5Z4TTKYMM5MT","GSON1112060711")</f>
        <v>#NAME?</v>
      </c>
      <c r="R929" s="28" t="e">
        <f ca="1">[1]!BexGetData("DP_1","00O2TNJGODT0G5Z4TTKYMMBYD","GSON1112060711")</f>
        <v>#NAME?</v>
      </c>
      <c r="S929" s="28" t="e">
        <f ca="1">[1]!BexGetData("DP_1","00O2TNJGODT0G5Z4TTKYMMI9X","GSON1112060711")</f>
        <v>#NAME?</v>
      </c>
      <c r="T929" s="28" t="e">
        <f ca="1">[1]!BexGetData("DP_1","00O2TNJGODT0G5Z4TTKYMMOLH","GSON1112060711")</f>
        <v>#NAME?</v>
      </c>
      <c r="U929" s="28" t="e">
        <f ca="1">[1]!BexGetData("DP_1","00O2TNJGODT0G5Z4TTKYMMUX1","GSON1112060711")</f>
        <v>#NAME?</v>
      </c>
      <c r="V929" s="28" t="e">
        <f ca="1">[1]!BexGetData("DP_1","00O2TNJGODT0G5Z4TTKYMN18L","GSON1112060711")</f>
        <v>#NAME?</v>
      </c>
      <c r="W929" s="28" t="e">
        <f ca="1">[1]!BexGetData("DP_1","00O2TNJGODT0G5Z4TTKYMN7K5","GSON1112060711")</f>
        <v>#NAME?</v>
      </c>
    </row>
    <row r="930" spans="1:23" x14ac:dyDescent="0.2">
      <c r="A930" s="36" t="s">
        <v>3226</v>
      </c>
      <c r="B930" s="27" t="s">
        <v>3227</v>
      </c>
      <c r="C930" s="23" t="e">
        <f ca="1">[1]!BexGetData("DP_1","003N8EMH8GTFRCSWKMPXRR8GU","GSON1112060713")</f>
        <v>#NAME?</v>
      </c>
      <c r="D930" s="23" t="e">
        <f ca="1">[1]!BexGetData("DP_1","003N8EMH8GTFRCSWKMPXRRESE","GSON1112060713")</f>
        <v>#NAME?</v>
      </c>
      <c r="E930" s="28" t="e">
        <f ca="1">[1]!BexGetData("DP_1","003N8EMH8GTFRCSWKMPXRRL3Y","GSON1112060713")</f>
        <v>#NAME?</v>
      </c>
      <c r="F930" s="28" t="e">
        <f ca="1">[1]!BexGetData("DP_1","003N8EMH8GTFRCSWKMPXRRRFI","GSON1112060713")</f>
        <v>#NAME?</v>
      </c>
      <c r="G930" s="23" t="e">
        <f ca="1">[1]!BexGetData("DP_1","003N8EMH8GTFRCSWKMPXRRXR2","GSON1112060713")</f>
        <v>#NAME?</v>
      </c>
      <c r="H930" s="23" t="e">
        <f ca="1">[1]!BexGetData("DP_1","003N8EMH8GTFRCSWKMPXRS42M","GSON1112060713")</f>
        <v>#NAME?</v>
      </c>
      <c r="I930" s="28" t="e">
        <f ca="1">[1]!BexGetData("DP_1","003N8EMH8GTFRCSWKMPXRSAE6","GSON1112060713")</f>
        <v>#NAME?</v>
      </c>
      <c r="J930" s="24" t="e">
        <f ca="1">[1]!BexGetData("DP_1","003N8EMH8GTFRCSWKMPXRSGPQ","GSON1112060713")</f>
        <v>#NAME?</v>
      </c>
      <c r="K930" s="28" t="e">
        <f ca="1">[1]!BexGetData("DP_1","003N8EMH8GTFRIVNUPY288VJH","GSON1112060713")</f>
        <v>#NAME?</v>
      </c>
      <c r="L930" s="28" t="e">
        <f ca="1">[1]!BexGetData("DP_1","003N8EMH8GTFRIVNUPY2891V1","GSON1112060713")</f>
        <v>#NAME?</v>
      </c>
      <c r="M930" s="28" t="e">
        <f ca="1">[1]!BexGetData("DP_1","003N8EMH8GTFRIVOG7KG9IQXA","GSON1112060713")</f>
        <v>#NAME?</v>
      </c>
      <c r="N930" s="28" t="e">
        <f ca="1">[1]!BexGetData("DP_1","003N8EMH8GTFRIVOG7KG9IX8U","GSON1112060713")</f>
        <v>#NAME?</v>
      </c>
      <c r="O930" s="28" t="e">
        <f ca="1">[1]!BexGetData("DP_1","003N8EMH8GTFRIVOG7KG9J3KE","GSON1112060713")</f>
        <v>#NAME?</v>
      </c>
      <c r="P930" s="28" t="e">
        <f ca="1">[1]!BexGetData("DP_1","003N8EMH8GTFRIVOG7KG9J9VY","GSON1112060713")</f>
        <v>#NAME?</v>
      </c>
      <c r="Q930" s="24" t="e">
        <f ca="1">[1]!BexGetData("DP_1","00O2TNJGODT0G5Z4TTKYMM5MT","GSON1112060713")</f>
        <v>#NAME?</v>
      </c>
      <c r="R930" s="28" t="e">
        <f ca="1">[1]!BexGetData("DP_1","00O2TNJGODT0G5Z4TTKYMMBYD","GSON1112060713")</f>
        <v>#NAME?</v>
      </c>
      <c r="S930" s="28" t="e">
        <f ca="1">[1]!BexGetData("DP_1","00O2TNJGODT0G5Z4TTKYMMI9X","GSON1112060713")</f>
        <v>#NAME?</v>
      </c>
      <c r="T930" s="28" t="e">
        <f ca="1">[1]!BexGetData("DP_1","00O2TNJGODT0G5Z4TTKYMMOLH","GSON1112060713")</f>
        <v>#NAME?</v>
      </c>
      <c r="U930" s="28" t="e">
        <f ca="1">[1]!BexGetData("DP_1","00O2TNJGODT0G5Z4TTKYMMUX1","GSON1112060713")</f>
        <v>#NAME?</v>
      </c>
      <c r="V930" s="28" t="e">
        <f ca="1">[1]!BexGetData("DP_1","00O2TNJGODT0G5Z4TTKYMN18L","GSON1112060713")</f>
        <v>#NAME?</v>
      </c>
      <c r="W930" s="28" t="e">
        <f ca="1">[1]!BexGetData("DP_1","00O2TNJGODT0G5Z4TTKYMN7K5","GSON1112060713")</f>
        <v>#NAME?</v>
      </c>
    </row>
    <row r="931" spans="1:23" x14ac:dyDescent="0.2">
      <c r="A931" s="36" t="s">
        <v>3228</v>
      </c>
      <c r="B931" s="27" t="s">
        <v>3229</v>
      </c>
      <c r="C931" s="23" t="e">
        <f ca="1">[1]!BexGetData("DP_1","003N8EMH8GTFRCSWKMPXRR8GU","GSON1112060714")</f>
        <v>#NAME?</v>
      </c>
      <c r="D931" s="23" t="e">
        <f ca="1">[1]!BexGetData("DP_1","003N8EMH8GTFRCSWKMPXRRESE","GSON1112060714")</f>
        <v>#NAME?</v>
      </c>
      <c r="E931" s="28" t="e">
        <f ca="1">[1]!BexGetData("DP_1","003N8EMH8GTFRCSWKMPXRRL3Y","GSON1112060714")</f>
        <v>#NAME?</v>
      </c>
      <c r="F931" s="28" t="e">
        <f ca="1">[1]!BexGetData("DP_1","003N8EMH8GTFRCSWKMPXRRRFI","GSON1112060714")</f>
        <v>#NAME?</v>
      </c>
      <c r="G931" s="23" t="e">
        <f ca="1">[1]!BexGetData("DP_1","003N8EMH8GTFRCSWKMPXRRXR2","GSON1112060714")</f>
        <v>#NAME?</v>
      </c>
      <c r="H931" s="23" t="e">
        <f ca="1">[1]!BexGetData("DP_1","003N8EMH8GTFRCSWKMPXRS42M","GSON1112060714")</f>
        <v>#NAME?</v>
      </c>
      <c r="I931" s="28" t="e">
        <f ca="1">[1]!BexGetData("DP_1","003N8EMH8GTFRCSWKMPXRSAE6","GSON1112060714")</f>
        <v>#NAME?</v>
      </c>
      <c r="J931" s="24" t="e">
        <f ca="1">[1]!BexGetData("DP_1","003N8EMH8GTFRCSWKMPXRSGPQ","GSON1112060714")</f>
        <v>#NAME?</v>
      </c>
      <c r="K931" s="28" t="e">
        <f ca="1">[1]!BexGetData("DP_1","003N8EMH8GTFRIVNUPY288VJH","GSON1112060714")</f>
        <v>#NAME?</v>
      </c>
      <c r="L931" s="28" t="e">
        <f ca="1">[1]!BexGetData("DP_1","003N8EMH8GTFRIVNUPY2891V1","GSON1112060714")</f>
        <v>#NAME?</v>
      </c>
      <c r="M931" s="28" t="e">
        <f ca="1">[1]!BexGetData("DP_1","003N8EMH8GTFRIVOG7KG9IQXA","GSON1112060714")</f>
        <v>#NAME?</v>
      </c>
      <c r="N931" s="28" t="e">
        <f ca="1">[1]!BexGetData("DP_1","003N8EMH8GTFRIVOG7KG9IX8U","GSON1112060714")</f>
        <v>#NAME?</v>
      </c>
      <c r="O931" s="28" t="e">
        <f ca="1">[1]!BexGetData("DP_1","003N8EMH8GTFRIVOG7KG9J3KE","GSON1112060714")</f>
        <v>#NAME?</v>
      </c>
      <c r="P931" s="28" t="e">
        <f ca="1">[1]!BexGetData("DP_1","003N8EMH8GTFRIVOG7KG9J9VY","GSON1112060714")</f>
        <v>#NAME?</v>
      </c>
      <c r="Q931" s="24" t="e">
        <f ca="1">[1]!BexGetData("DP_1","00O2TNJGODT0G5Z4TTKYMM5MT","GSON1112060714")</f>
        <v>#NAME?</v>
      </c>
      <c r="R931" s="28" t="e">
        <f ca="1">[1]!BexGetData("DP_1","00O2TNJGODT0G5Z4TTKYMMBYD","GSON1112060714")</f>
        <v>#NAME?</v>
      </c>
      <c r="S931" s="28" t="e">
        <f ca="1">[1]!BexGetData("DP_1","00O2TNJGODT0G5Z4TTKYMMI9X","GSON1112060714")</f>
        <v>#NAME?</v>
      </c>
      <c r="T931" s="28" t="e">
        <f ca="1">[1]!BexGetData("DP_1","00O2TNJGODT0G5Z4TTKYMMOLH","GSON1112060714")</f>
        <v>#NAME?</v>
      </c>
      <c r="U931" s="28" t="e">
        <f ca="1">[1]!BexGetData("DP_1","00O2TNJGODT0G5Z4TTKYMMUX1","GSON1112060714")</f>
        <v>#NAME?</v>
      </c>
      <c r="V931" s="28" t="e">
        <f ca="1">[1]!BexGetData("DP_1","00O2TNJGODT0G5Z4TTKYMN18L","GSON1112060714")</f>
        <v>#NAME?</v>
      </c>
      <c r="W931" s="28" t="e">
        <f ca="1">[1]!BexGetData("DP_1","00O2TNJGODT0G5Z4TTKYMN7K5","GSON1112060714")</f>
        <v>#NAME?</v>
      </c>
    </row>
    <row r="932" spans="1:23" x14ac:dyDescent="0.2">
      <c r="A932" s="36" t="s">
        <v>1672</v>
      </c>
      <c r="B932" s="27" t="s">
        <v>1673</v>
      </c>
      <c r="C932" s="23" t="e">
        <f ca="1">[1]!BexGetData("DP_1","003N8EMH8GTFRCSWKMPXRR8GU","GSON1112060720")</f>
        <v>#NAME?</v>
      </c>
      <c r="D932" s="23" t="e">
        <f ca="1">[1]!BexGetData("DP_1","003N8EMH8GTFRCSWKMPXRRESE","GSON1112060720")</f>
        <v>#NAME?</v>
      </c>
      <c r="E932" s="23" t="e">
        <f ca="1">[1]!BexGetData("DP_1","003N8EMH8GTFRCSWKMPXRRL3Y","GSON1112060720")</f>
        <v>#NAME?</v>
      </c>
      <c r="F932" s="23" t="e">
        <f ca="1">[1]!BexGetData("DP_1","003N8EMH8GTFRCSWKMPXRRRFI","GSON1112060720")</f>
        <v>#NAME?</v>
      </c>
      <c r="G932" s="23" t="e">
        <f ca="1">[1]!BexGetData("DP_1","003N8EMH8GTFRCSWKMPXRRXR2","GSON1112060720")</f>
        <v>#NAME?</v>
      </c>
      <c r="H932" s="23" t="e">
        <f ca="1">[1]!BexGetData("DP_1","003N8EMH8GTFRCSWKMPXRS42M","GSON1112060720")</f>
        <v>#NAME?</v>
      </c>
      <c r="I932" s="23" t="e">
        <f ca="1">[1]!BexGetData("DP_1","003N8EMH8GTFRCSWKMPXRSAE6","GSON1112060720")</f>
        <v>#NAME?</v>
      </c>
      <c r="J932" s="23" t="e">
        <f ca="1">[1]!BexGetData("DP_1","003N8EMH8GTFRCSWKMPXRSGPQ","GSON1112060720")</f>
        <v>#NAME?</v>
      </c>
      <c r="K932" s="23" t="e">
        <f ca="1">[1]!BexGetData("DP_1","003N8EMH8GTFRIVNUPY288VJH","GSON1112060720")</f>
        <v>#NAME?</v>
      </c>
      <c r="L932" s="23" t="e">
        <f ca="1">[1]!BexGetData("DP_1","003N8EMH8GTFRIVNUPY2891V1","GSON1112060720")</f>
        <v>#NAME?</v>
      </c>
      <c r="M932" s="23" t="e">
        <f ca="1">[1]!BexGetData("DP_1","003N8EMH8GTFRIVOG7KG9IQXA","GSON1112060720")</f>
        <v>#NAME?</v>
      </c>
      <c r="N932" s="28" t="e">
        <f ca="1">[1]!BexGetData("DP_1","003N8EMH8GTFRIVOG7KG9IX8U","GSON1112060720")</f>
        <v>#NAME?</v>
      </c>
      <c r="O932" s="23" t="e">
        <f ca="1">[1]!BexGetData("DP_1","003N8EMH8GTFRIVOG7KG9J3KE","GSON1112060720")</f>
        <v>#NAME?</v>
      </c>
      <c r="P932" s="28" t="e">
        <f ca="1">[1]!BexGetData("DP_1","003N8EMH8GTFRIVOG7KG9J9VY","GSON1112060720")</f>
        <v>#NAME?</v>
      </c>
      <c r="Q932" s="23" t="e">
        <f ca="1">[1]!BexGetData("DP_1","00O2TNJGODT0G5Z4TTKYMM5MT","GSON1112060720")</f>
        <v>#NAME?</v>
      </c>
      <c r="R932" s="23" t="e">
        <f ca="1">[1]!BexGetData("DP_1","00O2TNJGODT0G5Z4TTKYMMBYD","GSON1112060720")</f>
        <v>#NAME?</v>
      </c>
      <c r="S932" s="23" t="e">
        <f ca="1">[1]!BexGetData("DP_1","00O2TNJGODT0G5Z4TTKYMMI9X","GSON1112060720")</f>
        <v>#NAME?</v>
      </c>
      <c r="T932" s="28" t="e">
        <f ca="1">[1]!BexGetData("DP_1","00O2TNJGODT0G5Z4TTKYMMOLH","GSON1112060720")</f>
        <v>#NAME?</v>
      </c>
      <c r="U932" s="23" t="e">
        <f ca="1">[1]!BexGetData("DP_1","00O2TNJGODT0G5Z4TTKYMMUX1","GSON1112060720")</f>
        <v>#NAME?</v>
      </c>
      <c r="V932" s="28" t="e">
        <f ca="1">[1]!BexGetData("DP_1","00O2TNJGODT0G5Z4TTKYMN18L","GSON1112060720")</f>
        <v>#NAME?</v>
      </c>
      <c r="W932" s="23" t="e">
        <f ca="1">[1]!BexGetData("DP_1","00O2TNJGODT0G5Z4TTKYMN7K5","GSON1112060720")</f>
        <v>#NAME?</v>
      </c>
    </row>
    <row r="933" spans="1:23" x14ac:dyDescent="0.2">
      <c r="A933" s="36" t="s">
        <v>3230</v>
      </c>
      <c r="B933" s="27" t="s">
        <v>3231</v>
      </c>
      <c r="C933" s="23" t="e">
        <f ca="1">[1]!BexGetData("DP_1","003N8EMH8GTFRCSWKMPXRR8GU","GSON1112060721")</f>
        <v>#NAME?</v>
      </c>
      <c r="D933" s="23" t="e">
        <f ca="1">[1]!BexGetData("DP_1","003N8EMH8GTFRCSWKMPXRRESE","GSON1112060721")</f>
        <v>#NAME?</v>
      </c>
      <c r="E933" s="28" t="e">
        <f ca="1">[1]!BexGetData("DP_1","003N8EMH8GTFRCSWKMPXRRL3Y","GSON1112060721")</f>
        <v>#NAME?</v>
      </c>
      <c r="F933" s="28" t="e">
        <f ca="1">[1]!BexGetData("DP_1","003N8EMH8GTFRCSWKMPXRRRFI","GSON1112060721")</f>
        <v>#NAME?</v>
      </c>
      <c r="G933" s="23" t="e">
        <f ca="1">[1]!BexGetData("DP_1","003N8EMH8GTFRCSWKMPXRRXR2","GSON1112060721")</f>
        <v>#NAME?</v>
      </c>
      <c r="H933" s="23" t="e">
        <f ca="1">[1]!BexGetData("DP_1","003N8EMH8GTFRCSWKMPXRS42M","GSON1112060721")</f>
        <v>#NAME?</v>
      </c>
      <c r="I933" s="28" t="e">
        <f ca="1">[1]!BexGetData("DP_1","003N8EMH8GTFRCSWKMPXRSAE6","GSON1112060721")</f>
        <v>#NAME?</v>
      </c>
      <c r="J933" s="24" t="e">
        <f ca="1">[1]!BexGetData("DP_1","003N8EMH8GTFRCSWKMPXRSGPQ","GSON1112060721")</f>
        <v>#NAME?</v>
      </c>
      <c r="K933" s="28" t="e">
        <f ca="1">[1]!BexGetData("DP_1","003N8EMH8GTFRIVNUPY288VJH","GSON1112060721")</f>
        <v>#NAME?</v>
      </c>
      <c r="L933" s="28" t="e">
        <f ca="1">[1]!BexGetData("DP_1","003N8EMH8GTFRIVNUPY2891V1","GSON1112060721")</f>
        <v>#NAME?</v>
      </c>
      <c r="M933" s="28" t="e">
        <f ca="1">[1]!BexGetData("DP_1","003N8EMH8GTFRIVOG7KG9IQXA","GSON1112060721")</f>
        <v>#NAME?</v>
      </c>
      <c r="N933" s="28" t="e">
        <f ca="1">[1]!BexGetData("DP_1","003N8EMH8GTFRIVOG7KG9IX8U","GSON1112060721")</f>
        <v>#NAME?</v>
      </c>
      <c r="O933" s="28" t="e">
        <f ca="1">[1]!BexGetData("DP_1","003N8EMH8GTFRIVOG7KG9J3KE","GSON1112060721")</f>
        <v>#NAME?</v>
      </c>
      <c r="P933" s="28" t="e">
        <f ca="1">[1]!BexGetData("DP_1","003N8EMH8GTFRIVOG7KG9J9VY","GSON1112060721")</f>
        <v>#NAME?</v>
      </c>
      <c r="Q933" s="24" t="e">
        <f ca="1">[1]!BexGetData("DP_1","00O2TNJGODT0G5Z4TTKYMM5MT","GSON1112060721")</f>
        <v>#NAME?</v>
      </c>
      <c r="R933" s="28" t="e">
        <f ca="1">[1]!BexGetData("DP_1","00O2TNJGODT0G5Z4TTKYMMBYD","GSON1112060721")</f>
        <v>#NAME?</v>
      </c>
      <c r="S933" s="28" t="e">
        <f ca="1">[1]!BexGetData("DP_1","00O2TNJGODT0G5Z4TTKYMMI9X","GSON1112060721")</f>
        <v>#NAME?</v>
      </c>
      <c r="T933" s="28" t="e">
        <f ca="1">[1]!BexGetData("DP_1","00O2TNJGODT0G5Z4TTKYMMOLH","GSON1112060721")</f>
        <v>#NAME?</v>
      </c>
      <c r="U933" s="28" t="e">
        <f ca="1">[1]!BexGetData("DP_1","00O2TNJGODT0G5Z4TTKYMMUX1","GSON1112060721")</f>
        <v>#NAME?</v>
      </c>
      <c r="V933" s="28" t="e">
        <f ca="1">[1]!BexGetData("DP_1","00O2TNJGODT0G5Z4TTKYMN18L","GSON1112060721")</f>
        <v>#NAME?</v>
      </c>
      <c r="W933" s="28" t="e">
        <f ca="1">[1]!BexGetData("DP_1","00O2TNJGODT0G5Z4TTKYMN7K5","GSON1112060721")</f>
        <v>#NAME?</v>
      </c>
    </row>
    <row r="934" spans="1:23" x14ac:dyDescent="0.2">
      <c r="A934" s="36" t="s">
        <v>3232</v>
      </c>
      <c r="B934" s="27" t="s">
        <v>3233</v>
      </c>
      <c r="C934" s="23" t="e">
        <f ca="1">[1]!BexGetData("DP_1","003N8EMH8GTFRCSWKMPXRR8GU","GSON1112060722")</f>
        <v>#NAME?</v>
      </c>
      <c r="D934" s="23" t="e">
        <f ca="1">[1]!BexGetData("DP_1","003N8EMH8GTFRCSWKMPXRRESE","GSON1112060722")</f>
        <v>#NAME?</v>
      </c>
      <c r="E934" s="28" t="e">
        <f ca="1">[1]!BexGetData("DP_1","003N8EMH8GTFRCSWKMPXRRL3Y","GSON1112060722")</f>
        <v>#NAME?</v>
      </c>
      <c r="F934" s="28" t="e">
        <f ca="1">[1]!BexGetData("DP_1","003N8EMH8GTFRCSWKMPXRRRFI","GSON1112060722")</f>
        <v>#NAME?</v>
      </c>
      <c r="G934" s="23" t="e">
        <f ca="1">[1]!BexGetData("DP_1","003N8EMH8GTFRCSWKMPXRRXR2","GSON1112060722")</f>
        <v>#NAME?</v>
      </c>
      <c r="H934" s="23" t="e">
        <f ca="1">[1]!BexGetData("DP_1","003N8EMH8GTFRCSWKMPXRS42M","GSON1112060722")</f>
        <v>#NAME?</v>
      </c>
      <c r="I934" s="28" t="e">
        <f ca="1">[1]!BexGetData("DP_1","003N8EMH8GTFRCSWKMPXRSAE6","GSON1112060722")</f>
        <v>#NAME?</v>
      </c>
      <c r="J934" s="24" t="e">
        <f ca="1">[1]!BexGetData("DP_1","003N8EMH8GTFRCSWKMPXRSGPQ","GSON1112060722")</f>
        <v>#NAME?</v>
      </c>
      <c r="K934" s="28" t="e">
        <f ca="1">[1]!BexGetData("DP_1","003N8EMH8GTFRIVNUPY288VJH","GSON1112060722")</f>
        <v>#NAME?</v>
      </c>
      <c r="L934" s="28" t="e">
        <f ca="1">[1]!BexGetData("DP_1","003N8EMH8GTFRIVNUPY2891V1","GSON1112060722")</f>
        <v>#NAME?</v>
      </c>
      <c r="M934" s="28" t="e">
        <f ca="1">[1]!BexGetData("DP_1","003N8EMH8GTFRIVOG7KG9IQXA","GSON1112060722")</f>
        <v>#NAME?</v>
      </c>
      <c r="N934" s="28" t="e">
        <f ca="1">[1]!BexGetData("DP_1","003N8EMH8GTFRIVOG7KG9IX8U","GSON1112060722")</f>
        <v>#NAME?</v>
      </c>
      <c r="O934" s="28" t="e">
        <f ca="1">[1]!BexGetData("DP_1","003N8EMH8GTFRIVOG7KG9J3KE","GSON1112060722")</f>
        <v>#NAME?</v>
      </c>
      <c r="P934" s="28" t="e">
        <f ca="1">[1]!BexGetData("DP_1","003N8EMH8GTFRIVOG7KG9J9VY","GSON1112060722")</f>
        <v>#NAME?</v>
      </c>
      <c r="Q934" s="24" t="e">
        <f ca="1">[1]!BexGetData("DP_1","00O2TNJGODT0G5Z4TTKYMM5MT","GSON1112060722")</f>
        <v>#NAME?</v>
      </c>
      <c r="R934" s="28" t="e">
        <f ca="1">[1]!BexGetData("DP_1","00O2TNJGODT0G5Z4TTKYMMBYD","GSON1112060722")</f>
        <v>#NAME?</v>
      </c>
      <c r="S934" s="28" t="e">
        <f ca="1">[1]!BexGetData("DP_1","00O2TNJGODT0G5Z4TTKYMMI9X","GSON1112060722")</f>
        <v>#NAME?</v>
      </c>
      <c r="T934" s="28" t="e">
        <f ca="1">[1]!BexGetData("DP_1","00O2TNJGODT0G5Z4TTKYMMOLH","GSON1112060722")</f>
        <v>#NAME?</v>
      </c>
      <c r="U934" s="28" t="e">
        <f ca="1">[1]!BexGetData("DP_1","00O2TNJGODT0G5Z4TTKYMMUX1","GSON1112060722")</f>
        <v>#NAME?</v>
      </c>
      <c r="V934" s="28" t="e">
        <f ca="1">[1]!BexGetData("DP_1","00O2TNJGODT0G5Z4TTKYMN18L","GSON1112060722")</f>
        <v>#NAME?</v>
      </c>
      <c r="W934" s="28" t="e">
        <f ca="1">[1]!BexGetData("DP_1","00O2TNJGODT0G5Z4TTKYMN7K5","GSON1112060722")</f>
        <v>#NAME?</v>
      </c>
    </row>
    <row r="935" spans="1:23" x14ac:dyDescent="0.2">
      <c r="A935" s="36" t="s">
        <v>1674</v>
      </c>
      <c r="B935" s="27" t="s">
        <v>1675</v>
      </c>
      <c r="C935" s="23" t="e">
        <f ca="1">[1]!BexGetData("DP_1","003N8EMH8GTFRCSWKMPXRR8GU","GSON1112060723")</f>
        <v>#NAME?</v>
      </c>
      <c r="D935" s="23" t="e">
        <f ca="1">[1]!BexGetData("DP_1","003N8EMH8GTFRCSWKMPXRRESE","GSON1112060723")</f>
        <v>#NAME?</v>
      </c>
      <c r="E935" s="28" t="e">
        <f ca="1">[1]!BexGetData("DP_1","003N8EMH8GTFRCSWKMPXRRL3Y","GSON1112060723")</f>
        <v>#NAME?</v>
      </c>
      <c r="F935" s="24" t="e">
        <f ca="1">[1]!BexGetData("DP_1","003N8EMH8GTFRCSWKMPXRRRFI","GSON1112060723")</f>
        <v>#NAME?</v>
      </c>
      <c r="G935" s="24" t="e">
        <f ca="1">[1]!BexGetData("DP_1","003N8EMH8GTFRCSWKMPXRRXR2","GSON1112060723")</f>
        <v>#NAME?</v>
      </c>
      <c r="H935" s="24" t="e">
        <f ca="1">[1]!BexGetData("DP_1","003N8EMH8GTFRCSWKMPXRS42M","GSON1112060723")</f>
        <v>#NAME?</v>
      </c>
      <c r="I935" s="24" t="e">
        <f ca="1">[1]!BexGetData("DP_1","003N8EMH8GTFRCSWKMPXRSAE6","GSON1112060723")</f>
        <v>#NAME?</v>
      </c>
      <c r="J935" s="24" t="e">
        <f ca="1">[1]!BexGetData("DP_1","003N8EMH8GTFRCSWKMPXRSGPQ","GSON1112060723")</f>
        <v>#NAME?</v>
      </c>
      <c r="K935" s="28" t="e">
        <f ca="1">[1]!BexGetData("DP_1","003N8EMH8GTFRIVNUPY288VJH","GSON1112060723")</f>
        <v>#NAME?</v>
      </c>
      <c r="L935" s="28" t="e">
        <f ca="1">[1]!BexGetData("DP_1","003N8EMH8GTFRIVNUPY2891V1","GSON1112060723")</f>
        <v>#NAME?</v>
      </c>
      <c r="M935" s="28" t="e">
        <f ca="1">[1]!BexGetData("DP_1","003N8EMH8GTFRIVOG7KG9IQXA","GSON1112060723")</f>
        <v>#NAME?</v>
      </c>
      <c r="N935" s="28" t="e">
        <f ca="1">[1]!BexGetData("DP_1","003N8EMH8GTFRIVOG7KG9IX8U","GSON1112060723")</f>
        <v>#NAME?</v>
      </c>
      <c r="O935" s="28" t="e">
        <f ca="1">[1]!BexGetData("DP_1","003N8EMH8GTFRIVOG7KG9J3KE","GSON1112060723")</f>
        <v>#NAME?</v>
      </c>
      <c r="P935" s="28" t="e">
        <f ca="1">[1]!BexGetData("DP_1","003N8EMH8GTFRIVOG7KG9J9VY","GSON1112060723")</f>
        <v>#NAME?</v>
      </c>
      <c r="Q935" s="24" t="e">
        <f ca="1">[1]!BexGetData("DP_1","00O2TNJGODT0G5Z4TTKYMM5MT","GSON1112060723")</f>
        <v>#NAME?</v>
      </c>
      <c r="R935" s="24" t="e">
        <f ca="1">[1]!BexGetData("DP_1","00O2TNJGODT0G5Z4TTKYMMBYD","GSON1112060723")</f>
        <v>#NAME?</v>
      </c>
      <c r="S935" s="24" t="e">
        <f ca="1">[1]!BexGetData("DP_1","00O2TNJGODT0G5Z4TTKYMMI9X","GSON1112060723")</f>
        <v>#NAME?</v>
      </c>
      <c r="T935" s="24" t="e">
        <f ca="1">[1]!BexGetData("DP_1","00O2TNJGODT0G5Z4TTKYMMOLH","GSON1112060723")</f>
        <v>#NAME?</v>
      </c>
      <c r="U935" s="24" t="e">
        <f ca="1">[1]!BexGetData("DP_1","00O2TNJGODT0G5Z4TTKYMMUX1","GSON1112060723")</f>
        <v>#NAME?</v>
      </c>
      <c r="V935" s="24" t="e">
        <f ca="1">[1]!BexGetData("DP_1","00O2TNJGODT0G5Z4TTKYMN18L","GSON1112060723")</f>
        <v>#NAME?</v>
      </c>
      <c r="W935" s="24" t="e">
        <f ca="1">[1]!BexGetData("DP_1","00O2TNJGODT0G5Z4TTKYMN7K5","GSON1112060723")</f>
        <v>#NAME?</v>
      </c>
    </row>
    <row r="936" spans="1:23" x14ac:dyDescent="0.2">
      <c r="A936" s="36" t="s">
        <v>3234</v>
      </c>
      <c r="B936" s="27" t="s">
        <v>3235</v>
      </c>
      <c r="C936" s="23" t="e">
        <f ca="1">[1]!BexGetData("DP_1","003N8EMH8GTFRCSWKMPXRR8GU","GSON1112060724")</f>
        <v>#NAME?</v>
      </c>
      <c r="D936" s="23" t="e">
        <f ca="1">[1]!BexGetData("DP_1","003N8EMH8GTFRCSWKMPXRRESE","GSON1112060724")</f>
        <v>#NAME?</v>
      </c>
      <c r="E936" s="28" t="e">
        <f ca="1">[1]!BexGetData("DP_1","003N8EMH8GTFRCSWKMPXRRL3Y","GSON1112060724")</f>
        <v>#NAME?</v>
      </c>
      <c r="F936" s="28" t="e">
        <f ca="1">[1]!BexGetData("DP_1","003N8EMH8GTFRCSWKMPXRRRFI","GSON1112060724")</f>
        <v>#NAME?</v>
      </c>
      <c r="G936" s="23" t="e">
        <f ca="1">[1]!BexGetData("DP_1","003N8EMH8GTFRCSWKMPXRRXR2","GSON1112060724")</f>
        <v>#NAME?</v>
      </c>
      <c r="H936" s="23" t="e">
        <f ca="1">[1]!BexGetData("DP_1","003N8EMH8GTFRCSWKMPXRS42M","GSON1112060724")</f>
        <v>#NAME?</v>
      </c>
      <c r="I936" s="28" t="e">
        <f ca="1">[1]!BexGetData("DP_1","003N8EMH8GTFRCSWKMPXRSAE6","GSON1112060724")</f>
        <v>#NAME?</v>
      </c>
      <c r="J936" s="24" t="e">
        <f ca="1">[1]!BexGetData("DP_1","003N8EMH8GTFRCSWKMPXRSGPQ","GSON1112060724")</f>
        <v>#NAME?</v>
      </c>
      <c r="K936" s="28" t="e">
        <f ca="1">[1]!BexGetData("DP_1","003N8EMH8GTFRIVNUPY288VJH","GSON1112060724")</f>
        <v>#NAME?</v>
      </c>
      <c r="L936" s="28" t="e">
        <f ca="1">[1]!BexGetData("DP_1","003N8EMH8GTFRIVNUPY2891V1","GSON1112060724")</f>
        <v>#NAME?</v>
      </c>
      <c r="M936" s="28" t="e">
        <f ca="1">[1]!BexGetData("DP_1","003N8EMH8GTFRIVOG7KG9IQXA","GSON1112060724")</f>
        <v>#NAME?</v>
      </c>
      <c r="N936" s="28" t="e">
        <f ca="1">[1]!BexGetData("DP_1","003N8EMH8GTFRIVOG7KG9IX8U","GSON1112060724")</f>
        <v>#NAME?</v>
      </c>
      <c r="O936" s="28" t="e">
        <f ca="1">[1]!BexGetData("DP_1","003N8EMH8GTFRIVOG7KG9J3KE","GSON1112060724")</f>
        <v>#NAME?</v>
      </c>
      <c r="P936" s="28" t="e">
        <f ca="1">[1]!BexGetData("DP_1","003N8EMH8GTFRIVOG7KG9J9VY","GSON1112060724")</f>
        <v>#NAME?</v>
      </c>
      <c r="Q936" s="24" t="e">
        <f ca="1">[1]!BexGetData("DP_1","00O2TNJGODT0G5Z4TTKYMM5MT","GSON1112060724")</f>
        <v>#NAME?</v>
      </c>
      <c r="R936" s="28" t="e">
        <f ca="1">[1]!BexGetData("DP_1","00O2TNJGODT0G5Z4TTKYMMBYD","GSON1112060724")</f>
        <v>#NAME?</v>
      </c>
      <c r="S936" s="28" t="e">
        <f ca="1">[1]!BexGetData("DP_1","00O2TNJGODT0G5Z4TTKYMMI9X","GSON1112060724")</f>
        <v>#NAME?</v>
      </c>
      <c r="T936" s="28" t="e">
        <f ca="1">[1]!BexGetData("DP_1","00O2TNJGODT0G5Z4TTKYMMOLH","GSON1112060724")</f>
        <v>#NAME?</v>
      </c>
      <c r="U936" s="28" t="e">
        <f ca="1">[1]!BexGetData("DP_1","00O2TNJGODT0G5Z4TTKYMMUX1","GSON1112060724")</f>
        <v>#NAME?</v>
      </c>
      <c r="V936" s="28" t="e">
        <f ca="1">[1]!BexGetData("DP_1","00O2TNJGODT0G5Z4TTKYMN18L","GSON1112060724")</f>
        <v>#NAME?</v>
      </c>
      <c r="W936" s="28" t="e">
        <f ca="1">[1]!BexGetData("DP_1","00O2TNJGODT0G5Z4TTKYMN7K5","GSON1112060724")</f>
        <v>#NAME?</v>
      </c>
    </row>
    <row r="937" spans="1:23" x14ac:dyDescent="0.2">
      <c r="A937" s="36" t="s">
        <v>3236</v>
      </c>
      <c r="B937" s="27" t="s">
        <v>3237</v>
      </c>
      <c r="C937" s="23" t="e">
        <f ca="1">[1]!BexGetData("DP_1","003N8EMH8GTFRCSWKMPXRR8GU","GSON1112060730")</f>
        <v>#NAME?</v>
      </c>
      <c r="D937" s="23" t="e">
        <f ca="1">[1]!BexGetData("DP_1","003N8EMH8GTFRCSWKMPXRRESE","GSON1112060730")</f>
        <v>#NAME?</v>
      </c>
      <c r="E937" s="23" t="e">
        <f ca="1">[1]!BexGetData("DP_1","003N8EMH8GTFRCSWKMPXRRL3Y","GSON1112060730")</f>
        <v>#NAME?</v>
      </c>
      <c r="F937" s="23" t="e">
        <f ca="1">[1]!BexGetData("DP_1","003N8EMH8GTFRCSWKMPXRRRFI","GSON1112060730")</f>
        <v>#NAME?</v>
      </c>
      <c r="G937" s="23" t="e">
        <f ca="1">[1]!BexGetData("DP_1","003N8EMH8GTFRCSWKMPXRRXR2","GSON1112060730")</f>
        <v>#NAME?</v>
      </c>
      <c r="H937" s="23" t="e">
        <f ca="1">[1]!BexGetData("DP_1","003N8EMH8GTFRCSWKMPXRS42M","GSON1112060730")</f>
        <v>#NAME?</v>
      </c>
      <c r="I937" s="23" t="e">
        <f ca="1">[1]!BexGetData("DP_1","003N8EMH8GTFRCSWKMPXRSAE6","GSON1112060730")</f>
        <v>#NAME?</v>
      </c>
      <c r="J937" s="23" t="e">
        <f ca="1">[1]!BexGetData("DP_1","003N8EMH8GTFRCSWKMPXRSGPQ","GSON1112060730")</f>
        <v>#NAME?</v>
      </c>
      <c r="K937" s="23" t="e">
        <f ca="1">[1]!BexGetData("DP_1","003N8EMH8GTFRIVNUPY288VJH","GSON1112060730")</f>
        <v>#NAME?</v>
      </c>
      <c r="L937" s="23" t="e">
        <f ca="1">[1]!BexGetData("DP_1","003N8EMH8GTFRIVNUPY2891V1","GSON1112060730")</f>
        <v>#NAME?</v>
      </c>
      <c r="M937" s="28" t="e">
        <f ca="1">[1]!BexGetData("DP_1","003N8EMH8GTFRIVOG7KG9IQXA","GSON1112060730")</f>
        <v>#NAME?</v>
      </c>
      <c r="N937" s="23" t="e">
        <f ca="1">[1]!BexGetData("DP_1","003N8EMH8GTFRIVOG7KG9IX8U","GSON1112060730")</f>
        <v>#NAME?</v>
      </c>
      <c r="O937" s="28" t="e">
        <f ca="1">[1]!BexGetData("DP_1","003N8EMH8GTFRIVOG7KG9J3KE","GSON1112060730")</f>
        <v>#NAME?</v>
      </c>
      <c r="P937" s="23" t="e">
        <f ca="1">[1]!BexGetData("DP_1","003N8EMH8GTFRIVOG7KG9J9VY","GSON1112060730")</f>
        <v>#NAME?</v>
      </c>
      <c r="Q937" s="23" t="e">
        <f ca="1">[1]!BexGetData("DP_1","00O2TNJGODT0G5Z4TTKYMM5MT","GSON1112060730")</f>
        <v>#NAME?</v>
      </c>
      <c r="R937" s="23" t="e">
        <f ca="1">[1]!BexGetData("DP_1","00O2TNJGODT0G5Z4TTKYMMBYD","GSON1112060730")</f>
        <v>#NAME?</v>
      </c>
      <c r="S937" s="23" t="e">
        <f ca="1">[1]!BexGetData("DP_1","00O2TNJGODT0G5Z4TTKYMMI9X","GSON1112060730")</f>
        <v>#NAME?</v>
      </c>
      <c r="T937" s="23" t="e">
        <f ca="1">[1]!BexGetData("DP_1","00O2TNJGODT0G5Z4TTKYMMOLH","GSON1112060730")</f>
        <v>#NAME?</v>
      </c>
      <c r="U937" s="28" t="e">
        <f ca="1">[1]!BexGetData("DP_1","00O2TNJGODT0G5Z4TTKYMMUX1","GSON1112060730")</f>
        <v>#NAME?</v>
      </c>
      <c r="V937" s="23" t="e">
        <f ca="1">[1]!BexGetData("DP_1","00O2TNJGODT0G5Z4TTKYMN18L","GSON1112060730")</f>
        <v>#NAME?</v>
      </c>
      <c r="W937" s="28" t="e">
        <f ca="1">[1]!BexGetData("DP_1","00O2TNJGODT0G5Z4TTKYMN7K5","GSON1112060730")</f>
        <v>#NAME?</v>
      </c>
    </row>
    <row r="938" spans="1:23" x14ac:dyDescent="0.2">
      <c r="A938" s="36" t="s">
        <v>3238</v>
      </c>
      <c r="B938" s="27" t="s">
        <v>3239</v>
      </c>
      <c r="C938" s="23" t="e">
        <f ca="1">[1]!BexGetData("DP_1","003N8EMH8GTFRCSWKMPXRR8GU","GSON1112060731")</f>
        <v>#NAME?</v>
      </c>
      <c r="D938" s="23" t="e">
        <f ca="1">[1]!BexGetData("DP_1","003N8EMH8GTFRCSWKMPXRRESE","GSON1112060731")</f>
        <v>#NAME?</v>
      </c>
      <c r="E938" s="28" t="e">
        <f ca="1">[1]!BexGetData("DP_1","003N8EMH8GTFRCSWKMPXRRL3Y","GSON1112060731")</f>
        <v>#NAME?</v>
      </c>
      <c r="F938" s="23" t="e">
        <f ca="1">[1]!BexGetData("DP_1","003N8EMH8GTFRCSWKMPXRRRFI","GSON1112060731")</f>
        <v>#NAME?</v>
      </c>
      <c r="G938" s="23" t="e">
        <f ca="1">[1]!BexGetData("DP_1","003N8EMH8GTFRCSWKMPXRRXR2","GSON1112060731")</f>
        <v>#NAME?</v>
      </c>
      <c r="H938" s="23" t="e">
        <f ca="1">[1]!BexGetData("DP_1","003N8EMH8GTFRCSWKMPXRS42M","GSON1112060731")</f>
        <v>#NAME?</v>
      </c>
      <c r="I938" s="23" t="e">
        <f ca="1">[1]!BexGetData("DP_1","003N8EMH8GTFRCSWKMPXRSAE6","GSON1112060731")</f>
        <v>#NAME?</v>
      </c>
      <c r="J938" s="24" t="e">
        <f ca="1">[1]!BexGetData("DP_1","003N8EMH8GTFRCSWKMPXRSGPQ","GSON1112060731")</f>
        <v>#NAME?</v>
      </c>
      <c r="K938" s="23" t="e">
        <f ca="1">[1]!BexGetData("DP_1","003N8EMH8GTFRIVNUPY288VJH","GSON1112060731")</f>
        <v>#NAME?</v>
      </c>
      <c r="L938" s="23" t="e">
        <f ca="1">[1]!BexGetData("DP_1","003N8EMH8GTFRIVNUPY2891V1","GSON1112060731")</f>
        <v>#NAME?</v>
      </c>
      <c r="M938" s="28" t="e">
        <f ca="1">[1]!BexGetData("DP_1","003N8EMH8GTFRIVOG7KG9IQXA","GSON1112060731")</f>
        <v>#NAME?</v>
      </c>
      <c r="N938" s="23" t="e">
        <f ca="1">[1]!BexGetData("DP_1","003N8EMH8GTFRIVOG7KG9IX8U","GSON1112060731")</f>
        <v>#NAME?</v>
      </c>
      <c r="O938" s="28" t="e">
        <f ca="1">[1]!BexGetData("DP_1","003N8EMH8GTFRIVOG7KG9J3KE","GSON1112060731")</f>
        <v>#NAME?</v>
      </c>
      <c r="P938" s="23" t="e">
        <f ca="1">[1]!BexGetData("DP_1","003N8EMH8GTFRIVOG7KG9J9VY","GSON1112060731")</f>
        <v>#NAME?</v>
      </c>
      <c r="Q938" s="24" t="e">
        <f ca="1">[1]!BexGetData("DP_1","00O2TNJGODT0G5Z4TTKYMM5MT","GSON1112060731")</f>
        <v>#NAME?</v>
      </c>
      <c r="R938" s="23" t="e">
        <f ca="1">[1]!BexGetData("DP_1","00O2TNJGODT0G5Z4TTKYMMBYD","GSON1112060731")</f>
        <v>#NAME?</v>
      </c>
      <c r="S938" s="23" t="e">
        <f ca="1">[1]!BexGetData("DP_1","00O2TNJGODT0G5Z4TTKYMMI9X","GSON1112060731")</f>
        <v>#NAME?</v>
      </c>
      <c r="T938" s="23" t="e">
        <f ca="1">[1]!BexGetData("DP_1","00O2TNJGODT0G5Z4TTKYMMOLH","GSON1112060731")</f>
        <v>#NAME?</v>
      </c>
      <c r="U938" s="28" t="e">
        <f ca="1">[1]!BexGetData("DP_1","00O2TNJGODT0G5Z4TTKYMMUX1","GSON1112060731")</f>
        <v>#NAME?</v>
      </c>
      <c r="V938" s="23" t="e">
        <f ca="1">[1]!BexGetData("DP_1","00O2TNJGODT0G5Z4TTKYMN18L","GSON1112060731")</f>
        <v>#NAME?</v>
      </c>
      <c r="W938" s="28" t="e">
        <f ca="1">[1]!BexGetData("DP_1","00O2TNJGODT0G5Z4TTKYMN7K5","GSON1112060731")</f>
        <v>#NAME?</v>
      </c>
    </row>
    <row r="939" spans="1:23" x14ac:dyDescent="0.2">
      <c r="A939" s="36" t="s">
        <v>3240</v>
      </c>
      <c r="B939" s="27" t="s">
        <v>3241</v>
      </c>
      <c r="C939" s="23" t="e">
        <f ca="1">[1]!BexGetData("DP_1","003N8EMH8GTFRCSWKMPXRR8GU","GSON1112060733")</f>
        <v>#NAME?</v>
      </c>
      <c r="D939" s="23" t="e">
        <f ca="1">[1]!BexGetData("DP_1","003N8EMH8GTFRCSWKMPXRRESE","GSON1112060733")</f>
        <v>#NAME?</v>
      </c>
      <c r="E939" s="28" t="e">
        <f ca="1">[1]!BexGetData("DP_1","003N8EMH8GTFRCSWKMPXRRL3Y","GSON1112060733")</f>
        <v>#NAME?</v>
      </c>
      <c r="F939" s="28" t="e">
        <f ca="1">[1]!BexGetData("DP_1","003N8EMH8GTFRCSWKMPXRRRFI","GSON1112060733")</f>
        <v>#NAME?</v>
      </c>
      <c r="G939" s="23" t="e">
        <f ca="1">[1]!BexGetData("DP_1","003N8EMH8GTFRCSWKMPXRRXR2","GSON1112060733")</f>
        <v>#NAME?</v>
      </c>
      <c r="H939" s="23" t="e">
        <f ca="1">[1]!BexGetData("DP_1","003N8EMH8GTFRCSWKMPXRS42M","GSON1112060733")</f>
        <v>#NAME?</v>
      </c>
      <c r="I939" s="28" t="e">
        <f ca="1">[1]!BexGetData("DP_1","003N8EMH8GTFRCSWKMPXRSAE6","GSON1112060733")</f>
        <v>#NAME?</v>
      </c>
      <c r="J939" s="24" t="e">
        <f ca="1">[1]!BexGetData("DP_1","003N8EMH8GTFRCSWKMPXRSGPQ","GSON1112060733")</f>
        <v>#NAME?</v>
      </c>
      <c r="K939" s="28" t="e">
        <f ca="1">[1]!BexGetData("DP_1","003N8EMH8GTFRIVNUPY288VJH","GSON1112060733")</f>
        <v>#NAME?</v>
      </c>
      <c r="L939" s="28" t="e">
        <f ca="1">[1]!BexGetData("DP_1","003N8EMH8GTFRIVNUPY2891V1","GSON1112060733")</f>
        <v>#NAME?</v>
      </c>
      <c r="M939" s="28" t="e">
        <f ca="1">[1]!BexGetData("DP_1","003N8EMH8GTFRIVOG7KG9IQXA","GSON1112060733")</f>
        <v>#NAME?</v>
      </c>
      <c r="N939" s="28" t="e">
        <f ca="1">[1]!BexGetData("DP_1","003N8EMH8GTFRIVOG7KG9IX8U","GSON1112060733")</f>
        <v>#NAME?</v>
      </c>
      <c r="O939" s="28" t="e">
        <f ca="1">[1]!BexGetData("DP_1","003N8EMH8GTFRIVOG7KG9J3KE","GSON1112060733")</f>
        <v>#NAME?</v>
      </c>
      <c r="P939" s="28" t="e">
        <f ca="1">[1]!BexGetData("DP_1","003N8EMH8GTFRIVOG7KG9J9VY","GSON1112060733")</f>
        <v>#NAME?</v>
      </c>
      <c r="Q939" s="24" t="e">
        <f ca="1">[1]!BexGetData("DP_1","00O2TNJGODT0G5Z4TTKYMM5MT","GSON1112060733")</f>
        <v>#NAME?</v>
      </c>
      <c r="R939" s="28" t="e">
        <f ca="1">[1]!BexGetData("DP_1","00O2TNJGODT0G5Z4TTKYMMBYD","GSON1112060733")</f>
        <v>#NAME?</v>
      </c>
      <c r="S939" s="28" t="e">
        <f ca="1">[1]!BexGetData("DP_1","00O2TNJGODT0G5Z4TTKYMMI9X","GSON1112060733")</f>
        <v>#NAME?</v>
      </c>
      <c r="T939" s="28" t="e">
        <f ca="1">[1]!BexGetData("DP_1","00O2TNJGODT0G5Z4TTKYMMOLH","GSON1112060733")</f>
        <v>#NAME?</v>
      </c>
      <c r="U939" s="28" t="e">
        <f ca="1">[1]!BexGetData("DP_1","00O2TNJGODT0G5Z4TTKYMMUX1","GSON1112060733")</f>
        <v>#NAME?</v>
      </c>
      <c r="V939" s="28" t="e">
        <f ca="1">[1]!BexGetData("DP_1","00O2TNJGODT0G5Z4TTKYMN18L","GSON1112060733")</f>
        <v>#NAME?</v>
      </c>
      <c r="W939" s="28" t="e">
        <f ca="1">[1]!BexGetData("DP_1","00O2TNJGODT0G5Z4TTKYMN7K5","GSON1112060733")</f>
        <v>#NAME?</v>
      </c>
    </row>
    <row r="940" spans="1:23" x14ac:dyDescent="0.2">
      <c r="A940" s="36" t="s">
        <v>3242</v>
      </c>
      <c r="B940" s="27" t="s">
        <v>3243</v>
      </c>
      <c r="C940" s="23" t="e">
        <f ca="1">[1]!BexGetData("DP_1","003N8EMH8GTFRCSWKMPXRR8GU","GSON1112060734")</f>
        <v>#NAME?</v>
      </c>
      <c r="D940" s="23" t="e">
        <f ca="1">[1]!BexGetData("DP_1","003N8EMH8GTFRCSWKMPXRRESE","GSON1112060734")</f>
        <v>#NAME?</v>
      </c>
      <c r="E940" s="28" t="e">
        <f ca="1">[1]!BexGetData("DP_1","003N8EMH8GTFRCSWKMPXRRL3Y","GSON1112060734")</f>
        <v>#NAME?</v>
      </c>
      <c r="F940" s="28" t="e">
        <f ca="1">[1]!BexGetData("DP_1","003N8EMH8GTFRCSWKMPXRRRFI","GSON1112060734")</f>
        <v>#NAME?</v>
      </c>
      <c r="G940" s="23" t="e">
        <f ca="1">[1]!BexGetData("DP_1","003N8EMH8GTFRCSWKMPXRRXR2","GSON1112060734")</f>
        <v>#NAME?</v>
      </c>
      <c r="H940" s="23" t="e">
        <f ca="1">[1]!BexGetData("DP_1","003N8EMH8GTFRCSWKMPXRS42M","GSON1112060734")</f>
        <v>#NAME?</v>
      </c>
      <c r="I940" s="28" t="e">
        <f ca="1">[1]!BexGetData("DP_1","003N8EMH8GTFRCSWKMPXRSAE6","GSON1112060734")</f>
        <v>#NAME?</v>
      </c>
      <c r="J940" s="24" t="e">
        <f ca="1">[1]!BexGetData("DP_1","003N8EMH8GTFRCSWKMPXRSGPQ","GSON1112060734")</f>
        <v>#NAME?</v>
      </c>
      <c r="K940" s="28" t="e">
        <f ca="1">[1]!BexGetData("DP_1","003N8EMH8GTFRIVNUPY288VJH","GSON1112060734")</f>
        <v>#NAME?</v>
      </c>
      <c r="L940" s="28" t="e">
        <f ca="1">[1]!BexGetData("DP_1","003N8EMH8GTFRIVNUPY2891V1","GSON1112060734")</f>
        <v>#NAME?</v>
      </c>
      <c r="M940" s="28" t="e">
        <f ca="1">[1]!BexGetData("DP_1","003N8EMH8GTFRIVOG7KG9IQXA","GSON1112060734")</f>
        <v>#NAME?</v>
      </c>
      <c r="N940" s="28" t="e">
        <f ca="1">[1]!BexGetData("DP_1","003N8EMH8GTFRIVOG7KG9IX8U","GSON1112060734")</f>
        <v>#NAME?</v>
      </c>
      <c r="O940" s="28" t="e">
        <f ca="1">[1]!BexGetData("DP_1","003N8EMH8GTFRIVOG7KG9J3KE","GSON1112060734")</f>
        <v>#NAME?</v>
      </c>
      <c r="P940" s="28" t="e">
        <f ca="1">[1]!BexGetData("DP_1","003N8EMH8GTFRIVOG7KG9J9VY","GSON1112060734")</f>
        <v>#NAME?</v>
      </c>
      <c r="Q940" s="24" t="e">
        <f ca="1">[1]!BexGetData("DP_1","00O2TNJGODT0G5Z4TTKYMM5MT","GSON1112060734")</f>
        <v>#NAME?</v>
      </c>
      <c r="R940" s="28" t="e">
        <f ca="1">[1]!BexGetData("DP_1","00O2TNJGODT0G5Z4TTKYMMBYD","GSON1112060734")</f>
        <v>#NAME?</v>
      </c>
      <c r="S940" s="28" t="e">
        <f ca="1">[1]!BexGetData("DP_1","00O2TNJGODT0G5Z4TTKYMMI9X","GSON1112060734")</f>
        <v>#NAME?</v>
      </c>
      <c r="T940" s="28" t="e">
        <f ca="1">[1]!BexGetData("DP_1","00O2TNJGODT0G5Z4TTKYMMOLH","GSON1112060734")</f>
        <v>#NAME?</v>
      </c>
      <c r="U940" s="28" t="e">
        <f ca="1">[1]!BexGetData("DP_1","00O2TNJGODT0G5Z4TTKYMMUX1","GSON1112060734")</f>
        <v>#NAME?</v>
      </c>
      <c r="V940" s="28" t="e">
        <f ca="1">[1]!BexGetData("DP_1","00O2TNJGODT0G5Z4TTKYMN18L","GSON1112060734")</f>
        <v>#NAME?</v>
      </c>
      <c r="W940" s="28" t="e">
        <f ca="1">[1]!BexGetData("DP_1","00O2TNJGODT0G5Z4TTKYMN7K5","GSON1112060734")</f>
        <v>#NAME?</v>
      </c>
    </row>
    <row r="941" spans="1:23" x14ac:dyDescent="0.2">
      <c r="A941" s="36" t="s">
        <v>3244</v>
      </c>
      <c r="B941" s="27" t="s">
        <v>3245</v>
      </c>
      <c r="C941" s="28" t="e">
        <f ca="1">[1]!BexGetData("DP_1","003N8EMH8GTFRCSWKMPXRR8GU","GSON1112060740")</f>
        <v>#NAME?</v>
      </c>
      <c r="D941" s="23" t="e">
        <f ca="1">[1]!BexGetData("DP_1","003N8EMH8GTFRCSWKMPXRRESE","GSON1112060740")</f>
        <v>#NAME?</v>
      </c>
      <c r="E941" s="23" t="e">
        <f ca="1">[1]!BexGetData("DP_1","003N8EMH8GTFRCSWKMPXRRL3Y","GSON1112060740")</f>
        <v>#NAME?</v>
      </c>
      <c r="F941" s="23" t="e">
        <f ca="1">[1]!BexGetData("DP_1","003N8EMH8GTFRCSWKMPXRRRFI","GSON1112060740")</f>
        <v>#NAME?</v>
      </c>
      <c r="G941" s="23" t="e">
        <f ca="1">[1]!BexGetData("DP_1","003N8EMH8GTFRCSWKMPXRRXR2","GSON1112060740")</f>
        <v>#NAME?</v>
      </c>
      <c r="H941" s="23" t="e">
        <f ca="1">[1]!BexGetData("DP_1","003N8EMH8GTFRCSWKMPXRS42M","GSON1112060740")</f>
        <v>#NAME?</v>
      </c>
      <c r="I941" s="23" t="e">
        <f ca="1">[1]!BexGetData("DP_1","003N8EMH8GTFRCSWKMPXRSAE6","GSON1112060740")</f>
        <v>#NAME?</v>
      </c>
      <c r="J941" s="23" t="e">
        <f ca="1">[1]!BexGetData("DP_1","003N8EMH8GTFRCSWKMPXRSGPQ","GSON1112060740")</f>
        <v>#NAME?</v>
      </c>
      <c r="K941" s="23" t="e">
        <f ca="1">[1]!BexGetData("DP_1","003N8EMH8GTFRIVNUPY288VJH","GSON1112060740")</f>
        <v>#NAME?</v>
      </c>
      <c r="L941" s="23" t="e">
        <f ca="1">[1]!BexGetData("DP_1","003N8EMH8GTFRIVNUPY2891V1","GSON1112060740")</f>
        <v>#NAME?</v>
      </c>
      <c r="M941" s="23" t="e">
        <f ca="1">[1]!BexGetData("DP_1","003N8EMH8GTFRIVOG7KG9IQXA","GSON1112060740")</f>
        <v>#NAME?</v>
      </c>
      <c r="N941" s="28" t="e">
        <f ca="1">[1]!BexGetData("DP_1","003N8EMH8GTFRIVOG7KG9IX8U","GSON1112060740")</f>
        <v>#NAME?</v>
      </c>
      <c r="O941" s="23" t="e">
        <f ca="1">[1]!BexGetData("DP_1","003N8EMH8GTFRIVOG7KG9J3KE","GSON1112060740")</f>
        <v>#NAME?</v>
      </c>
      <c r="P941" s="28" t="e">
        <f ca="1">[1]!BexGetData("DP_1","003N8EMH8GTFRIVOG7KG9J9VY","GSON1112060740")</f>
        <v>#NAME?</v>
      </c>
      <c r="Q941" s="23" t="e">
        <f ca="1">[1]!BexGetData("DP_1","00O2TNJGODT0G5Z4TTKYMM5MT","GSON1112060740")</f>
        <v>#NAME?</v>
      </c>
      <c r="R941" s="23" t="e">
        <f ca="1">[1]!BexGetData("DP_1","00O2TNJGODT0G5Z4TTKYMMBYD","GSON1112060740")</f>
        <v>#NAME?</v>
      </c>
      <c r="S941" s="23" t="e">
        <f ca="1">[1]!BexGetData("DP_1","00O2TNJGODT0G5Z4TTKYMMI9X","GSON1112060740")</f>
        <v>#NAME?</v>
      </c>
      <c r="T941" s="28" t="e">
        <f ca="1">[1]!BexGetData("DP_1","00O2TNJGODT0G5Z4TTKYMMOLH","GSON1112060740")</f>
        <v>#NAME?</v>
      </c>
      <c r="U941" s="23" t="e">
        <f ca="1">[1]!BexGetData("DP_1","00O2TNJGODT0G5Z4TTKYMMUX1","GSON1112060740")</f>
        <v>#NAME?</v>
      </c>
      <c r="V941" s="28" t="e">
        <f ca="1">[1]!BexGetData("DP_1","00O2TNJGODT0G5Z4TTKYMN18L","GSON1112060740")</f>
        <v>#NAME?</v>
      </c>
      <c r="W941" s="23" t="e">
        <f ca="1">[1]!BexGetData("DP_1","00O2TNJGODT0G5Z4TTKYMN7K5","GSON1112060740")</f>
        <v>#NAME?</v>
      </c>
    </row>
    <row r="942" spans="1:23" x14ac:dyDescent="0.2">
      <c r="A942" s="36" t="s">
        <v>3246</v>
      </c>
      <c r="B942" s="27" t="s">
        <v>3247</v>
      </c>
      <c r="C942" s="28" t="e">
        <f ca="1">[1]!BexGetData("DP_1","003N8EMH8GTFRCSWKMPXRR8GU","GSON1112060741")</f>
        <v>#NAME?</v>
      </c>
      <c r="D942" s="28" t="e">
        <f ca="1">[1]!BexGetData("DP_1","003N8EMH8GTFRCSWKMPXRRESE","GSON1112060741")</f>
        <v>#NAME?</v>
      </c>
      <c r="E942" s="28" t="e">
        <f ca="1">[1]!BexGetData("DP_1","003N8EMH8GTFRCSWKMPXRRL3Y","GSON1112060741")</f>
        <v>#NAME?</v>
      </c>
      <c r="F942" s="28" t="e">
        <f ca="1">[1]!BexGetData("DP_1","003N8EMH8GTFRCSWKMPXRRRFI","GSON1112060741")</f>
        <v>#NAME?</v>
      </c>
      <c r="G942" s="23" t="e">
        <f ca="1">[1]!BexGetData("DP_1","003N8EMH8GTFRCSWKMPXRRXR2","GSON1112060741")</f>
        <v>#NAME?</v>
      </c>
      <c r="H942" s="23" t="e">
        <f ca="1">[1]!BexGetData("DP_1","003N8EMH8GTFRCSWKMPXRS42M","GSON1112060741")</f>
        <v>#NAME?</v>
      </c>
      <c r="I942" s="28" t="e">
        <f ca="1">[1]!BexGetData("DP_1","003N8EMH8GTFRCSWKMPXRSAE6","GSON1112060741")</f>
        <v>#NAME?</v>
      </c>
      <c r="J942" s="24" t="e">
        <f ca="1">[1]!BexGetData("DP_1","003N8EMH8GTFRCSWKMPXRSGPQ","GSON1112060741")</f>
        <v>#NAME?</v>
      </c>
      <c r="K942" s="28" t="e">
        <f ca="1">[1]!BexGetData("DP_1","003N8EMH8GTFRIVNUPY288VJH","GSON1112060741")</f>
        <v>#NAME?</v>
      </c>
      <c r="L942" s="28" t="e">
        <f ca="1">[1]!BexGetData("DP_1","003N8EMH8GTFRIVNUPY2891V1","GSON1112060741")</f>
        <v>#NAME?</v>
      </c>
      <c r="M942" s="28" t="e">
        <f ca="1">[1]!BexGetData("DP_1","003N8EMH8GTFRIVOG7KG9IQXA","GSON1112060741")</f>
        <v>#NAME?</v>
      </c>
      <c r="N942" s="28" t="e">
        <f ca="1">[1]!BexGetData("DP_1","003N8EMH8GTFRIVOG7KG9IX8U","GSON1112060741")</f>
        <v>#NAME?</v>
      </c>
      <c r="O942" s="28" t="e">
        <f ca="1">[1]!BexGetData("DP_1","003N8EMH8GTFRIVOG7KG9J3KE","GSON1112060741")</f>
        <v>#NAME?</v>
      </c>
      <c r="P942" s="28" t="e">
        <f ca="1">[1]!BexGetData("DP_1","003N8EMH8GTFRIVOG7KG9J9VY","GSON1112060741")</f>
        <v>#NAME?</v>
      </c>
      <c r="Q942" s="24" t="e">
        <f ca="1">[1]!BexGetData("DP_1","00O2TNJGODT0G5Z4TTKYMM5MT","GSON1112060741")</f>
        <v>#NAME?</v>
      </c>
      <c r="R942" s="28" t="e">
        <f ca="1">[1]!BexGetData("DP_1","00O2TNJGODT0G5Z4TTKYMMBYD","GSON1112060741")</f>
        <v>#NAME?</v>
      </c>
      <c r="S942" s="28" t="e">
        <f ca="1">[1]!BexGetData("DP_1","00O2TNJGODT0G5Z4TTKYMMI9X","GSON1112060741")</f>
        <v>#NAME?</v>
      </c>
      <c r="T942" s="28" t="e">
        <f ca="1">[1]!BexGetData("DP_1","00O2TNJGODT0G5Z4TTKYMMOLH","GSON1112060741")</f>
        <v>#NAME?</v>
      </c>
      <c r="U942" s="28" t="e">
        <f ca="1">[1]!BexGetData("DP_1","00O2TNJGODT0G5Z4TTKYMMUX1","GSON1112060741")</f>
        <v>#NAME?</v>
      </c>
      <c r="V942" s="28" t="e">
        <f ca="1">[1]!BexGetData("DP_1","00O2TNJGODT0G5Z4TTKYMN18L","GSON1112060741")</f>
        <v>#NAME?</v>
      </c>
      <c r="W942" s="28" t="e">
        <f ca="1">[1]!BexGetData("DP_1","00O2TNJGODT0G5Z4TTKYMN7K5","GSON1112060741")</f>
        <v>#NAME?</v>
      </c>
    </row>
    <row r="943" spans="1:23" x14ac:dyDescent="0.2">
      <c r="A943" s="36" t="s">
        <v>3248</v>
      </c>
      <c r="B943" s="27" t="s">
        <v>3249</v>
      </c>
      <c r="C943" s="23" t="e">
        <f ca="1">[1]!BexGetData("DP_1","003N8EMH8GTFRCSWKMPXRR8GU","GSON1112060744")</f>
        <v>#NAME?</v>
      </c>
      <c r="D943" s="23" t="e">
        <f ca="1">[1]!BexGetData("DP_1","003N8EMH8GTFRCSWKMPXRRESE","GSON1112060744")</f>
        <v>#NAME?</v>
      </c>
      <c r="E943" s="28" t="e">
        <f ca="1">[1]!BexGetData("DP_1","003N8EMH8GTFRCSWKMPXRRL3Y","GSON1112060744")</f>
        <v>#NAME?</v>
      </c>
      <c r="F943" s="28" t="e">
        <f ca="1">[1]!BexGetData("DP_1","003N8EMH8GTFRCSWKMPXRRRFI","GSON1112060744")</f>
        <v>#NAME?</v>
      </c>
      <c r="G943" s="23" t="e">
        <f ca="1">[1]!BexGetData("DP_1","003N8EMH8GTFRCSWKMPXRRXR2","GSON1112060744")</f>
        <v>#NAME?</v>
      </c>
      <c r="H943" s="23" t="e">
        <f ca="1">[1]!BexGetData("DP_1","003N8EMH8GTFRCSWKMPXRS42M","GSON1112060744")</f>
        <v>#NAME?</v>
      </c>
      <c r="I943" s="28" t="e">
        <f ca="1">[1]!BexGetData("DP_1","003N8EMH8GTFRCSWKMPXRSAE6","GSON1112060744")</f>
        <v>#NAME?</v>
      </c>
      <c r="J943" s="24" t="e">
        <f ca="1">[1]!BexGetData("DP_1","003N8EMH8GTFRCSWKMPXRSGPQ","GSON1112060744")</f>
        <v>#NAME?</v>
      </c>
      <c r="K943" s="28" t="e">
        <f ca="1">[1]!BexGetData("DP_1","003N8EMH8GTFRIVNUPY288VJH","GSON1112060744")</f>
        <v>#NAME?</v>
      </c>
      <c r="L943" s="28" t="e">
        <f ca="1">[1]!BexGetData("DP_1","003N8EMH8GTFRIVNUPY2891V1","GSON1112060744")</f>
        <v>#NAME?</v>
      </c>
      <c r="M943" s="28" t="e">
        <f ca="1">[1]!BexGetData("DP_1","003N8EMH8GTFRIVOG7KG9IQXA","GSON1112060744")</f>
        <v>#NAME?</v>
      </c>
      <c r="N943" s="28" t="e">
        <f ca="1">[1]!BexGetData("DP_1","003N8EMH8GTFRIVOG7KG9IX8U","GSON1112060744")</f>
        <v>#NAME?</v>
      </c>
      <c r="O943" s="28" t="e">
        <f ca="1">[1]!BexGetData("DP_1","003N8EMH8GTFRIVOG7KG9J3KE","GSON1112060744")</f>
        <v>#NAME?</v>
      </c>
      <c r="P943" s="28" t="e">
        <f ca="1">[1]!BexGetData("DP_1","003N8EMH8GTFRIVOG7KG9J9VY","GSON1112060744")</f>
        <v>#NAME?</v>
      </c>
      <c r="Q943" s="24" t="e">
        <f ca="1">[1]!BexGetData("DP_1","00O2TNJGODT0G5Z4TTKYMM5MT","GSON1112060744")</f>
        <v>#NAME?</v>
      </c>
      <c r="R943" s="28" t="e">
        <f ca="1">[1]!BexGetData("DP_1","00O2TNJGODT0G5Z4TTKYMMBYD","GSON1112060744")</f>
        <v>#NAME?</v>
      </c>
      <c r="S943" s="28" t="e">
        <f ca="1">[1]!BexGetData("DP_1","00O2TNJGODT0G5Z4TTKYMMI9X","GSON1112060744")</f>
        <v>#NAME?</v>
      </c>
      <c r="T943" s="28" t="e">
        <f ca="1">[1]!BexGetData("DP_1","00O2TNJGODT0G5Z4TTKYMMOLH","GSON1112060744")</f>
        <v>#NAME?</v>
      </c>
      <c r="U943" s="28" t="e">
        <f ca="1">[1]!BexGetData("DP_1","00O2TNJGODT0G5Z4TTKYMMUX1","GSON1112060744")</f>
        <v>#NAME?</v>
      </c>
      <c r="V943" s="28" t="e">
        <f ca="1">[1]!BexGetData("DP_1","00O2TNJGODT0G5Z4TTKYMN18L","GSON1112060744")</f>
        <v>#NAME?</v>
      </c>
      <c r="W943" s="28" t="e">
        <f ca="1">[1]!BexGetData("DP_1","00O2TNJGODT0G5Z4TTKYMN7K5","GSON1112060744")</f>
        <v>#NAME?</v>
      </c>
    </row>
    <row r="944" spans="1:23" x14ac:dyDescent="0.2">
      <c r="A944" s="36" t="s">
        <v>3250</v>
      </c>
      <c r="B944" s="27" t="s">
        <v>3251</v>
      </c>
      <c r="C944" s="23" t="e">
        <f ca="1">[1]!BexGetData("DP_1","003N8EMH8GTFRCSWKMPXRR8GU","GSON1112060760")</f>
        <v>#NAME?</v>
      </c>
      <c r="D944" s="23" t="e">
        <f ca="1">[1]!BexGetData("DP_1","003N8EMH8GTFRCSWKMPXRRESE","GSON1112060760")</f>
        <v>#NAME?</v>
      </c>
      <c r="E944" s="23" t="e">
        <f ca="1">[1]!BexGetData("DP_1","003N8EMH8GTFRCSWKMPXRRL3Y","GSON1112060760")</f>
        <v>#NAME?</v>
      </c>
      <c r="F944" s="23" t="e">
        <f ca="1">[1]!BexGetData("DP_1","003N8EMH8GTFRCSWKMPXRRRFI","GSON1112060760")</f>
        <v>#NAME?</v>
      </c>
      <c r="G944" s="23" t="e">
        <f ca="1">[1]!BexGetData("DP_1","003N8EMH8GTFRCSWKMPXRRXR2","GSON1112060760")</f>
        <v>#NAME?</v>
      </c>
      <c r="H944" s="23" t="e">
        <f ca="1">[1]!BexGetData("DP_1","003N8EMH8GTFRCSWKMPXRS42M","GSON1112060760")</f>
        <v>#NAME?</v>
      </c>
      <c r="I944" s="23" t="e">
        <f ca="1">[1]!BexGetData("DP_1","003N8EMH8GTFRCSWKMPXRSAE6","GSON1112060760")</f>
        <v>#NAME?</v>
      </c>
      <c r="J944" s="23" t="e">
        <f ca="1">[1]!BexGetData("DP_1","003N8EMH8GTFRCSWKMPXRSGPQ","GSON1112060760")</f>
        <v>#NAME?</v>
      </c>
      <c r="K944" s="23" t="e">
        <f ca="1">[1]!BexGetData("DP_1","003N8EMH8GTFRIVNUPY288VJH","GSON1112060760")</f>
        <v>#NAME?</v>
      </c>
      <c r="L944" s="23" t="e">
        <f ca="1">[1]!BexGetData("DP_1","003N8EMH8GTFRIVNUPY2891V1","GSON1112060760")</f>
        <v>#NAME?</v>
      </c>
      <c r="M944" s="28" t="e">
        <f ca="1">[1]!BexGetData("DP_1","003N8EMH8GTFRIVOG7KG9IQXA","GSON1112060760")</f>
        <v>#NAME?</v>
      </c>
      <c r="N944" s="23" t="e">
        <f ca="1">[1]!BexGetData("DP_1","003N8EMH8GTFRIVOG7KG9IX8U","GSON1112060760")</f>
        <v>#NAME?</v>
      </c>
      <c r="O944" s="28" t="e">
        <f ca="1">[1]!BexGetData("DP_1","003N8EMH8GTFRIVOG7KG9J3KE","GSON1112060760")</f>
        <v>#NAME?</v>
      </c>
      <c r="P944" s="23" t="e">
        <f ca="1">[1]!BexGetData("DP_1","003N8EMH8GTFRIVOG7KG9J9VY","GSON1112060760")</f>
        <v>#NAME?</v>
      </c>
      <c r="Q944" s="23" t="e">
        <f ca="1">[1]!BexGetData("DP_1","00O2TNJGODT0G5Z4TTKYMM5MT","GSON1112060760")</f>
        <v>#NAME?</v>
      </c>
      <c r="R944" s="23" t="e">
        <f ca="1">[1]!BexGetData("DP_1","00O2TNJGODT0G5Z4TTKYMMBYD","GSON1112060760")</f>
        <v>#NAME?</v>
      </c>
      <c r="S944" s="23" t="e">
        <f ca="1">[1]!BexGetData("DP_1","00O2TNJGODT0G5Z4TTKYMMI9X","GSON1112060760")</f>
        <v>#NAME?</v>
      </c>
      <c r="T944" s="23" t="e">
        <f ca="1">[1]!BexGetData("DP_1","00O2TNJGODT0G5Z4TTKYMMOLH","GSON1112060760")</f>
        <v>#NAME?</v>
      </c>
      <c r="U944" s="28" t="e">
        <f ca="1">[1]!BexGetData("DP_1","00O2TNJGODT0G5Z4TTKYMMUX1","GSON1112060760")</f>
        <v>#NAME?</v>
      </c>
      <c r="V944" s="23" t="e">
        <f ca="1">[1]!BexGetData("DP_1","00O2TNJGODT0G5Z4TTKYMN18L","GSON1112060760")</f>
        <v>#NAME?</v>
      </c>
      <c r="W944" s="28" t="e">
        <f ca="1">[1]!BexGetData("DP_1","00O2TNJGODT0G5Z4TTKYMN7K5","GSON1112060760")</f>
        <v>#NAME?</v>
      </c>
    </row>
    <row r="945" spans="1:23" x14ac:dyDescent="0.2">
      <c r="A945" s="36" t="s">
        <v>421</v>
      </c>
      <c r="B945" s="27" t="s">
        <v>422</v>
      </c>
      <c r="C945" s="23" t="e">
        <f ca="1">[1]!BexGetData("DP_1","003N8EMH8GTFRCSWKMPXRR8GU","GSON1112060761")</f>
        <v>#NAME?</v>
      </c>
      <c r="D945" s="23" t="e">
        <f ca="1">[1]!BexGetData("DP_1","003N8EMH8GTFRCSWKMPXRRESE","GSON1112060761")</f>
        <v>#NAME?</v>
      </c>
      <c r="E945" s="23" t="e">
        <f ca="1">[1]!BexGetData("DP_1","003N8EMH8GTFRCSWKMPXRRL3Y","GSON1112060761")</f>
        <v>#NAME?</v>
      </c>
      <c r="F945" s="23" t="e">
        <f ca="1">[1]!BexGetData("DP_1","003N8EMH8GTFRCSWKMPXRRRFI","GSON1112060761")</f>
        <v>#NAME?</v>
      </c>
      <c r="G945" s="23" t="e">
        <f ca="1">[1]!BexGetData("DP_1","003N8EMH8GTFRCSWKMPXRRXR2","GSON1112060761")</f>
        <v>#NAME?</v>
      </c>
      <c r="H945" s="23" t="e">
        <f ca="1">[1]!BexGetData("DP_1","003N8EMH8GTFRCSWKMPXRS42M","GSON1112060761")</f>
        <v>#NAME?</v>
      </c>
      <c r="I945" s="23" t="e">
        <f ca="1">[1]!BexGetData("DP_1","003N8EMH8GTFRCSWKMPXRSAE6","GSON1112060761")</f>
        <v>#NAME?</v>
      </c>
      <c r="J945" s="23" t="e">
        <f ca="1">[1]!BexGetData("DP_1","003N8EMH8GTFRCSWKMPXRSGPQ","GSON1112060761")</f>
        <v>#NAME?</v>
      </c>
      <c r="K945" s="23" t="e">
        <f ca="1">[1]!BexGetData("DP_1","003N8EMH8GTFRIVNUPY288VJH","GSON1112060761")</f>
        <v>#NAME?</v>
      </c>
      <c r="L945" s="23" t="e">
        <f ca="1">[1]!BexGetData("DP_1","003N8EMH8GTFRIVNUPY2891V1","GSON1112060761")</f>
        <v>#NAME?</v>
      </c>
      <c r="M945" s="28" t="e">
        <f ca="1">[1]!BexGetData("DP_1","003N8EMH8GTFRIVOG7KG9IQXA","GSON1112060761")</f>
        <v>#NAME?</v>
      </c>
      <c r="N945" s="23" t="e">
        <f ca="1">[1]!BexGetData("DP_1","003N8EMH8GTFRIVOG7KG9IX8U","GSON1112060761")</f>
        <v>#NAME?</v>
      </c>
      <c r="O945" s="28" t="e">
        <f ca="1">[1]!BexGetData("DP_1","003N8EMH8GTFRIVOG7KG9J3KE","GSON1112060761")</f>
        <v>#NAME?</v>
      </c>
      <c r="P945" s="23" t="e">
        <f ca="1">[1]!BexGetData("DP_1","003N8EMH8GTFRIVOG7KG9J9VY","GSON1112060761")</f>
        <v>#NAME?</v>
      </c>
      <c r="Q945" s="23" t="e">
        <f ca="1">[1]!BexGetData("DP_1","00O2TNJGODT0G5Z4TTKYMM5MT","GSON1112060761")</f>
        <v>#NAME?</v>
      </c>
      <c r="R945" s="23" t="e">
        <f ca="1">[1]!BexGetData("DP_1","00O2TNJGODT0G5Z4TTKYMMBYD","GSON1112060761")</f>
        <v>#NAME?</v>
      </c>
      <c r="S945" s="23" t="e">
        <f ca="1">[1]!BexGetData("DP_1","00O2TNJGODT0G5Z4TTKYMMI9X","GSON1112060761")</f>
        <v>#NAME?</v>
      </c>
      <c r="T945" s="23" t="e">
        <f ca="1">[1]!BexGetData("DP_1","00O2TNJGODT0G5Z4TTKYMMOLH","GSON1112060761")</f>
        <v>#NAME?</v>
      </c>
      <c r="U945" s="28" t="e">
        <f ca="1">[1]!BexGetData("DP_1","00O2TNJGODT0G5Z4TTKYMMUX1","GSON1112060761")</f>
        <v>#NAME?</v>
      </c>
      <c r="V945" s="23" t="e">
        <f ca="1">[1]!BexGetData("DP_1","00O2TNJGODT0G5Z4TTKYMN18L","GSON1112060761")</f>
        <v>#NAME?</v>
      </c>
      <c r="W945" s="28" t="e">
        <f ca="1">[1]!BexGetData("DP_1","00O2TNJGODT0G5Z4TTKYMN7K5","GSON1112060761")</f>
        <v>#NAME?</v>
      </c>
    </row>
    <row r="946" spans="1:23" x14ac:dyDescent="0.2">
      <c r="A946" s="36" t="s">
        <v>3252</v>
      </c>
      <c r="B946" s="27" t="s">
        <v>3253</v>
      </c>
      <c r="C946" s="23" t="e">
        <f ca="1">[1]!BexGetData("DP_1","003N8EMH8GTFRCSWKMPXRR8GU","GSON1112060763")</f>
        <v>#NAME?</v>
      </c>
      <c r="D946" s="23" t="e">
        <f ca="1">[1]!BexGetData("DP_1","003N8EMH8GTFRCSWKMPXRRESE","GSON1112060763")</f>
        <v>#NAME?</v>
      </c>
      <c r="E946" s="28" t="e">
        <f ca="1">[1]!BexGetData("DP_1","003N8EMH8GTFRCSWKMPXRRL3Y","GSON1112060763")</f>
        <v>#NAME?</v>
      </c>
      <c r="F946" s="28" t="e">
        <f ca="1">[1]!BexGetData("DP_1","003N8EMH8GTFRCSWKMPXRRRFI","GSON1112060763")</f>
        <v>#NAME?</v>
      </c>
      <c r="G946" s="23" t="e">
        <f ca="1">[1]!BexGetData("DP_1","003N8EMH8GTFRCSWKMPXRRXR2","GSON1112060763")</f>
        <v>#NAME?</v>
      </c>
      <c r="H946" s="23" t="e">
        <f ca="1">[1]!BexGetData("DP_1","003N8EMH8GTFRCSWKMPXRS42M","GSON1112060763")</f>
        <v>#NAME?</v>
      </c>
      <c r="I946" s="28" t="e">
        <f ca="1">[1]!BexGetData("DP_1","003N8EMH8GTFRCSWKMPXRSAE6","GSON1112060763")</f>
        <v>#NAME?</v>
      </c>
      <c r="J946" s="24" t="e">
        <f ca="1">[1]!BexGetData("DP_1","003N8EMH8GTFRCSWKMPXRSGPQ","GSON1112060763")</f>
        <v>#NAME?</v>
      </c>
      <c r="K946" s="28" t="e">
        <f ca="1">[1]!BexGetData("DP_1","003N8EMH8GTFRIVNUPY288VJH","GSON1112060763")</f>
        <v>#NAME?</v>
      </c>
      <c r="L946" s="28" t="e">
        <f ca="1">[1]!BexGetData("DP_1","003N8EMH8GTFRIVNUPY2891V1","GSON1112060763")</f>
        <v>#NAME?</v>
      </c>
      <c r="M946" s="28" t="e">
        <f ca="1">[1]!BexGetData("DP_1","003N8EMH8GTFRIVOG7KG9IQXA","GSON1112060763")</f>
        <v>#NAME?</v>
      </c>
      <c r="N946" s="28" t="e">
        <f ca="1">[1]!BexGetData("DP_1","003N8EMH8GTFRIVOG7KG9IX8U","GSON1112060763")</f>
        <v>#NAME?</v>
      </c>
      <c r="O946" s="28" t="e">
        <f ca="1">[1]!BexGetData("DP_1","003N8EMH8GTFRIVOG7KG9J3KE","GSON1112060763")</f>
        <v>#NAME?</v>
      </c>
      <c r="P946" s="28" t="e">
        <f ca="1">[1]!BexGetData("DP_1","003N8EMH8GTFRIVOG7KG9J9VY","GSON1112060763")</f>
        <v>#NAME?</v>
      </c>
      <c r="Q946" s="24" t="e">
        <f ca="1">[1]!BexGetData("DP_1","00O2TNJGODT0G5Z4TTKYMM5MT","GSON1112060763")</f>
        <v>#NAME?</v>
      </c>
      <c r="R946" s="28" t="e">
        <f ca="1">[1]!BexGetData("DP_1","00O2TNJGODT0G5Z4TTKYMMBYD","GSON1112060763")</f>
        <v>#NAME?</v>
      </c>
      <c r="S946" s="28" t="e">
        <f ca="1">[1]!BexGetData("DP_1","00O2TNJGODT0G5Z4TTKYMMI9X","GSON1112060763")</f>
        <v>#NAME?</v>
      </c>
      <c r="T946" s="28" t="e">
        <f ca="1">[1]!BexGetData("DP_1","00O2TNJGODT0G5Z4TTKYMMOLH","GSON1112060763")</f>
        <v>#NAME?</v>
      </c>
      <c r="U946" s="28" t="e">
        <f ca="1">[1]!BexGetData("DP_1","00O2TNJGODT0G5Z4TTKYMMUX1","GSON1112060763")</f>
        <v>#NAME?</v>
      </c>
      <c r="V946" s="28" t="e">
        <f ca="1">[1]!BexGetData("DP_1","00O2TNJGODT0G5Z4TTKYMN18L","GSON1112060763")</f>
        <v>#NAME?</v>
      </c>
      <c r="W946" s="28" t="e">
        <f ca="1">[1]!BexGetData("DP_1","00O2TNJGODT0G5Z4TTKYMN7K5","GSON1112060763")</f>
        <v>#NAME?</v>
      </c>
    </row>
    <row r="947" spans="1:23" x14ac:dyDescent="0.2">
      <c r="A947" s="36" t="s">
        <v>3254</v>
      </c>
      <c r="B947" s="27" t="s">
        <v>3255</v>
      </c>
      <c r="C947" s="23" t="e">
        <f ca="1">[1]!BexGetData("DP_1","003N8EMH8GTFRCSWKMPXRR8GU","GSON1112060764")</f>
        <v>#NAME?</v>
      </c>
      <c r="D947" s="23" t="e">
        <f ca="1">[1]!BexGetData("DP_1","003N8EMH8GTFRCSWKMPXRRESE","GSON1112060764")</f>
        <v>#NAME?</v>
      </c>
      <c r="E947" s="28" t="e">
        <f ca="1">[1]!BexGetData("DP_1","003N8EMH8GTFRCSWKMPXRRL3Y","GSON1112060764")</f>
        <v>#NAME?</v>
      </c>
      <c r="F947" s="23" t="e">
        <f ca="1">[1]!BexGetData("DP_1","003N8EMH8GTFRCSWKMPXRRRFI","GSON1112060764")</f>
        <v>#NAME?</v>
      </c>
      <c r="G947" s="23" t="e">
        <f ca="1">[1]!BexGetData("DP_1","003N8EMH8GTFRCSWKMPXRRXR2","GSON1112060764")</f>
        <v>#NAME?</v>
      </c>
      <c r="H947" s="23" t="e">
        <f ca="1">[1]!BexGetData("DP_1","003N8EMH8GTFRCSWKMPXRS42M","GSON1112060764")</f>
        <v>#NAME?</v>
      </c>
      <c r="I947" s="23" t="e">
        <f ca="1">[1]!BexGetData("DP_1","003N8EMH8GTFRCSWKMPXRSAE6","GSON1112060764")</f>
        <v>#NAME?</v>
      </c>
      <c r="J947" s="24" t="e">
        <f ca="1">[1]!BexGetData("DP_1","003N8EMH8GTFRCSWKMPXRSGPQ","GSON1112060764")</f>
        <v>#NAME?</v>
      </c>
      <c r="K947" s="23" t="e">
        <f ca="1">[1]!BexGetData("DP_1","003N8EMH8GTFRIVNUPY288VJH","GSON1112060764")</f>
        <v>#NAME?</v>
      </c>
      <c r="L947" s="23" t="e">
        <f ca="1">[1]!BexGetData("DP_1","003N8EMH8GTFRIVNUPY2891V1","GSON1112060764")</f>
        <v>#NAME?</v>
      </c>
      <c r="M947" s="28" t="e">
        <f ca="1">[1]!BexGetData("DP_1","003N8EMH8GTFRIVOG7KG9IQXA","GSON1112060764")</f>
        <v>#NAME?</v>
      </c>
      <c r="N947" s="23" t="e">
        <f ca="1">[1]!BexGetData("DP_1","003N8EMH8GTFRIVOG7KG9IX8U","GSON1112060764")</f>
        <v>#NAME?</v>
      </c>
      <c r="O947" s="28" t="e">
        <f ca="1">[1]!BexGetData("DP_1","003N8EMH8GTFRIVOG7KG9J3KE","GSON1112060764")</f>
        <v>#NAME?</v>
      </c>
      <c r="P947" s="23" t="e">
        <f ca="1">[1]!BexGetData("DP_1","003N8EMH8GTFRIVOG7KG9J9VY","GSON1112060764")</f>
        <v>#NAME?</v>
      </c>
      <c r="Q947" s="24" t="e">
        <f ca="1">[1]!BexGetData("DP_1","00O2TNJGODT0G5Z4TTKYMM5MT","GSON1112060764")</f>
        <v>#NAME?</v>
      </c>
      <c r="R947" s="23" t="e">
        <f ca="1">[1]!BexGetData("DP_1","00O2TNJGODT0G5Z4TTKYMMBYD","GSON1112060764")</f>
        <v>#NAME?</v>
      </c>
      <c r="S947" s="23" t="e">
        <f ca="1">[1]!BexGetData("DP_1","00O2TNJGODT0G5Z4TTKYMMI9X","GSON1112060764")</f>
        <v>#NAME?</v>
      </c>
      <c r="T947" s="23" t="e">
        <f ca="1">[1]!BexGetData("DP_1","00O2TNJGODT0G5Z4TTKYMMOLH","GSON1112060764")</f>
        <v>#NAME?</v>
      </c>
      <c r="U947" s="28" t="e">
        <f ca="1">[1]!BexGetData("DP_1","00O2TNJGODT0G5Z4TTKYMMUX1","GSON1112060764")</f>
        <v>#NAME?</v>
      </c>
      <c r="V947" s="23" t="e">
        <f ca="1">[1]!BexGetData("DP_1","00O2TNJGODT0G5Z4TTKYMN18L","GSON1112060764")</f>
        <v>#NAME?</v>
      </c>
      <c r="W947" s="28" t="e">
        <f ca="1">[1]!BexGetData("DP_1","00O2TNJGODT0G5Z4TTKYMN7K5","GSON1112060764")</f>
        <v>#NAME?</v>
      </c>
    </row>
    <row r="948" spans="1:23" x14ac:dyDescent="0.2">
      <c r="A948" s="36" t="s">
        <v>3256</v>
      </c>
      <c r="B948" s="27" t="s">
        <v>3257</v>
      </c>
      <c r="C948" s="23" t="e">
        <f ca="1">[1]!BexGetData("DP_1","003N8EMH8GTFRCSWKMPXRR8GU","GSON1112060780")</f>
        <v>#NAME?</v>
      </c>
      <c r="D948" s="23" t="e">
        <f ca="1">[1]!BexGetData("DP_1","003N8EMH8GTFRCSWKMPXRRESE","GSON1112060780")</f>
        <v>#NAME?</v>
      </c>
      <c r="E948" s="28" t="e">
        <f ca="1">[1]!BexGetData("DP_1","003N8EMH8GTFRCSWKMPXRRL3Y","GSON1112060780")</f>
        <v>#NAME?</v>
      </c>
      <c r="F948" s="23" t="e">
        <f ca="1">[1]!BexGetData("DP_1","003N8EMH8GTFRCSWKMPXRRRFI","GSON1112060780")</f>
        <v>#NAME?</v>
      </c>
      <c r="G948" s="23" t="e">
        <f ca="1">[1]!BexGetData("DP_1","003N8EMH8GTFRCSWKMPXRRXR2","GSON1112060780")</f>
        <v>#NAME?</v>
      </c>
      <c r="H948" s="23" t="e">
        <f ca="1">[1]!BexGetData("DP_1","003N8EMH8GTFRCSWKMPXRS42M","GSON1112060780")</f>
        <v>#NAME?</v>
      </c>
      <c r="I948" s="23" t="e">
        <f ca="1">[1]!BexGetData("DP_1","003N8EMH8GTFRCSWKMPXRSAE6","GSON1112060780")</f>
        <v>#NAME?</v>
      </c>
      <c r="J948" s="23" t="e">
        <f ca="1">[1]!BexGetData("DP_1","003N8EMH8GTFRCSWKMPXRSGPQ","GSON1112060780")</f>
        <v>#NAME?</v>
      </c>
      <c r="K948" s="23" t="e">
        <f ca="1">[1]!BexGetData("DP_1","003N8EMH8GTFRIVNUPY288VJH","GSON1112060780")</f>
        <v>#NAME?</v>
      </c>
      <c r="L948" s="23" t="e">
        <f ca="1">[1]!BexGetData("DP_1","003N8EMH8GTFRIVNUPY2891V1","GSON1112060780")</f>
        <v>#NAME?</v>
      </c>
      <c r="M948" s="23" t="e">
        <f ca="1">[1]!BexGetData("DP_1","003N8EMH8GTFRIVOG7KG9IQXA","GSON1112060780")</f>
        <v>#NAME?</v>
      </c>
      <c r="N948" s="28" t="e">
        <f ca="1">[1]!BexGetData("DP_1","003N8EMH8GTFRIVOG7KG9IX8U","GSON1112060780")</f>
        <v>#NAME?</v>
      </c>
      <c r="O948" s="23" t="e">
        <f ca="1">[1]!BexGetData("DP_1","003N8EMH8GTFRIVOG7KG9J3KE","GSON1112060780")</f>
        <v>#NAME?</v>
      </c>
      <c r="P948" s="28" t="e">
        <f ca="1">[1]!BexGetData("DP_1","003N8EMH8GTFRIVOG7KG9J9VY","GSON1112060780")</f>
        <v>#NAME?</v>
      </c>
      <c r="Q948" s="23" t="e">
        <f ca="1">[1]!BexGetData("DP_1","00O2TNJGODT0G5Z4TTKYMM5MT","GSON1112060780")</f>
        <v>#NAME?</v>
      </c>
      <c r="R948" s="23" t="e">
        <f ca="1">[1]!BexGetData("DP_1","00O2TNJGODT0G5Z4TTKYMMBYD","GSON1112060780")</f>
        <v>#NAME?</v>
      </c>
      <c r="S948" s="23" t="e">
        <f ca="1">[1]!BexGetData("DP_1","00O2TNJGODT0G5Z4TTKYMMI9X","GSON1112060780")</f>
        <v>#NAME?</v>
      </c>
      <c r="T948" s="23" t="e">
        <f ca="1">[1]!BexGetData("DP_1","00O2TNJGODT0G5Z4TTKYMMOLH","GSON1112060780")</f>
        <v>#NAME?</v>
      </c>
      <c r="U948" s="28" t="e">
        <f ca="1">[1]!BexGetData("DP_1","00O2TNJGODT0G5Z4TTKYMMUX1","GSON1112060780")</f>
        <v>#NAME?</v>
      </c>
      <c r="V948" s="23" t="e">
        <f ca="1">[1]!BexGetData("DP_1","00O2TNJGODT0G5Z4TTKYMN18L","GSON1112060780")</f>
        <v>#NAME?</v>
      </c>
      <c r="W948" s="28" t="e">
        <f ca="1">[1]!BexGetData("DP_1","00O2TNJGODT0G5Z4TTKYMN7K5","GSON1112060780")</f>
        <v>#NAME?</v>
      </c>
    </row>
    <row r="949" spans="1:23" x14ac:dyDescent="0.2">
      <c r="A949" s="36" t="s">
        <v>3258</v>
      </c>
      <c r="B949" s="27" t="s">
        <v>3259</v>
      </c>
      <c r="C949" s="28" t="e">
        <f ca="1">[1]!BexGetData("DP_1","003N8EMH8GTFRCSWKMPXRR8GU","GSON1112060781")</f>
        <v>#NAME?</v>
      </c>
      <c r="D949" s="28" t="e">
        <f ca="1">[1]!BexGetData("DP_1","003N8EMH8GTFRCSWKMPXRRESE","GSON1112060781")</f>
        <v>#NAME?</v>
      </c>
      <c r="E949" s="28" t="e">
        <f ca="1">[1]!BexGetData("DP_1","003N8EMH8GTFRCSWKMPXRRL3Y","GSON1112060781")</f>
        <v>#NAME?</v>
      </c>
      <c r="F949" s="28" t="e">
        <f ca="1">[1]!BexGetData("DP_1","003N8EMH8GTFRCSWKMPXRRRFI","GSON1112060781")</f>
        <v>#NAME?</v>
      </c>
      <c r="G949" s="23" t="e">
        <f ca="1">[1]!BexGetData("DP_1","003N8EMH8GTFRCSWKMPXRRXR2","GSON1112060781")</f>
        <v>#NAME?</v>
      </c>
      <c r="H949" s="23" t="e">
        <f ca="1">[1]!BexGetData("DP_1","003N8EMH8GTFRCSWKMPXRS42M","GSON1112060781")</f>
        <v>#NAME?</v>
      </c>
      <c r="I949" s="28" t="e">
        <f ca="1">[1]!BexGetData("DP_1","003N8EMH8GTFRCSWKMPXRSAE6","GSON1112060781")</f>
        <v>#NAME?</v>
      </c>
      <c r="J949" s="24" t="e">
        <f ca="1">[1]!BexGetData("DP_1","003N8EMH8GTFRCSWKMPXRSGPQ","GSON1112060781")</f>
        <v>#NAME?</v>
      </c>
      <c r="K949" s="28" t="e">
        <f ca="1">[1]!BexGetData("DP_1","003N8EMH8GTFRIVNUPY288VJH","GSON1112060781")</f>
        <v>#NAME?</v>
      </c>
      <c r="L949" s="28" t="e">
        <f ca="1">[1]!BexGetData("DP_1","003N8EMH8GTFRIVNUPY2891V1","GSON1112060781")</f>
        <v>#NAME?</v>
      </c>
      <c r="M949" s="28" t="e">
        <f ca="1">[1]!BexGetData("DP_1","003N8EMH8GTFRIVOG7KG9IQXA","GSON1112060781")</f>
        <v>#NAME?</v>
      </c>
      <c r="N949" s="28" t="e">
        <f ca="1">[1]!BexGetData("DP_1","003N8EMH8GTFRIVOG7KG9IX8U","GSON1112060781")</f>
        <v>#NAME?</v>
      </c>
      <c r="O949" s="28" t="e">
        <f ca="1">[1]!BexGetData("DP_1","003N8EMH8GTFRIVOG7KG9J3KE","GSON1112060781")</f>
        <v>#NAME?</v>
      </c>
      <c r="P949" s="28" t="e">
        <f ca="1">[1]!BexGetData("DP_1","003N8EMH8GTFRIVOG7KG9J9VY","GSON1112060781")</f>
        <v>#NAME?</v>
      </c>
      <c r="Q949" s="24" t="e">
        <f ca="1">[1]!BexGetData("DP_1","00O2TNJGODT0G5Z4TTKYMM5MT","GSON1112060781")</f>
        <v>#NAME?</v>
      </c>
      <c r="R949" s="28" t="e">
        <f ca="1">[1]!BexGetData("DP_1","00O2TNJGODT0G5Z4TTKYMMBYD","GSON1112060781")</f>
        <v>#NAME?</v>
      </c>
      <c r="S949" s="28" t="e">
        <f ca="1">[1]!BexGetData("DP_1","00O2TNJGODT0G5Z4TTKYMMI9X","GSON1112060781")</f>
        <v>#NAME?</v>
      </c>
      <c r="T949" s="28" t="e">
        <f ca="1">[1]!BexGetData("DP_1","00O2TNJGODT0G5Z4TTKYMMOLH","GSON1112060781")</f>
        <v>#NAME?</v>
      </c>
      <c r="U949" s="28" t="e">
        <f ca="1">[1]!BexGetData("DP_1","00O2TNJGODT0G5Z4TTKYMMUX1","GSON1112060781")</f>
        <v>#NAME?</v>
      </c>
      <c r="V949" s="28" t="e">
        <f ca="1">[1]!BexGetData("DP_1","00O2TNJGODT0G5Z4TTKYMN18L","GSON1112060781")</f>
        <v>#NAME?</v>
      </c>
      <c r="W949" s="28" t="e">
        <f ca="1">[1]!BexGetData("DP_1","00O2TNJGODT0G5Z4TTKYMN7K5","GSON1112060781")</f>
        <v>#NAME?</v>
      </c>
    </row>
    <row r="950" spans="1:23" x14ac:dyDescent="0.2">
      <c r="A950" s="36" t="s">
        <v>3260</v>
      </c>
      <c r="B950" s="27" t="s">
        <v>3261</v>
      </c>
      <c r="C950" s="24" t="e">
        <f ca="1">[1]!BexGetData("DP_1","003N8EMH8GTFRCSWKMPXRR8GU","GSON1112060782")</f>
        <v>#NAME?</v>
      </c>
      <c r="D950" s="24" t="e">
        <f ca="1">[1]!BexGetData("DP_1","003N8EMH8GTFRCSWKMPXRRESE","GSON1112060782")</f>
        <v>#NAME?</v>
      </c>
      <c r="E950" s="24" t="e">
        <f ca="1">[1]!BexGetData("DP_1","003N8EMH8GTFRCSWKMPXRRL3Y","GSON1112060782")</f>
        <v>#NAME?</v>
      </c>
      <c r="F950" s="28" t="e">
        <f ca="1">[1]!BexGetData("DP_1","003N8EMH8GTFRCSWKMPXRRRFI","GSON1112060782")</f>
        <v>#NAME?</v>
      </c>
      <c r="G950" s="23" t="e">
        <f ca="1">[1]!BexGetData("DP_1","003N8EMH8GTFRCSWKMPXRRXR2","GSON1112060782")</f>
        <v>#NAME?</v>
      </c>
      <c r="H950" s="23" t="e">
        <f ca="1">[1]!BexGetData("DP_1","003N8EMH8GTFRCSWKMPXRS42M","GSON1112060782")</f>
        <v>#NAME?</v>
      </c>
      <c r="I950" s="28" t="e">
        <f ca="1">[1]!BexGetData("DP_1","003N8EMH8GTFRCSWKMPXRSAE6","GSON1112060782")</f>
        <v>#NAME?</v>
      </c>
      <c r="J950" s="23" t="e">
        <f ca="1">[1]!BexGetData("DP_1","003N8EMH8GTFRCSWKMPXRSGPQ","GSON1112060782")</f>
        <v>#NAME?</v>
      </c>
      <c r="K950" s="28" t="e">
        <f ca="1">[1]!BexGetData("DP_1","003N8EMH8GTFRIVNUPY288VJH","GSON1112060782")</f>
        <v>#NAME?</v>
      </c>
      <c r="L950" s="28" t="e">
        <f ca="1">[1]!BexGetData("DP_1","003N8EMH8GTFRIVNUPY2891V1","GSON1112060782")</f>
        <v>#NAME?</v>
      </c>
      <c r="M950" s="28" t="e">
        <f ca="1">[1]!BexGetData("DP_1","003N8EMH8GTFRIVOG7KG9IQXA","GSON1112060782")</f>
        <v>#NAME?</v>
      </c>
      <c r="N950" s="28" t="e">
        <f ca="1">[1]!BexGetData("DP_1","003N8EMH8GTFRIVOG7KG9IX8U","GSON1112060782")</f>
        <v>#NAME?</v>
      </c>
      <c r="O950" s="28" t="e">
        <f ca="1">[1]!BexGetData("DP_1","003N8EMH8GTFRIVOG7KG9J3KE","GSON1112060782")</f>
        <v>#NAME?</v>
      </c>
      <c r="P950" s="28" t="e">
        <f ca="1">[1]!BexGetData("DP_1","003N8EMH8GTFRIVOG7KG9J9VY","GSON1112060782")</f>
        <v>#NAME?</v>
      </c>
      <c r="Q950" s="23" t="e">
        <f ca="1">[1]!BexGetData("DP_1","00O2TNJGODT0G5Z4TTKYMM5MT","GSON1112060782")</f>
        <v>#NAME?</v>
      </c>
      <c r="R950" s="23" t="e">
        <f ca="1">[1]!BexGetData("DP_1","00O2TNJGODT0G5Z4TTKYMMBYD","GSON1112060782")</f>
        <v>#NAME?</v>
      </c>
      <c r="S950" s="23" t="e">
        <f ca="1">[1]!BexGetData("DP_1","00O2TNJGODT0G5Z4TTKYMMI9X","GSON1112060782")</f>
        <v>#NAME?</v>
      </c>
      <c r="T950" s="28" t="e">
        <f ca="1">[1]!BexGetData("DP_1","00O2TNJGODT0G5Z4TTKYMMOLH","GSON1112060782")</f>
        <v>#NAME?</v>
      </c>
      <c r="U950" s="23" t="e">
        <f ca="1">[1]!BexGetData("DP_1","00O2TNJGODT0G5Z4TTKYMMUX1","GSON1112060782")</f>
        <v>#NAME?</v>
      </c>
      <c r="V950" s="28" t="e">
        <f ca="1">[1]!BexGetData("DP_1","00O2TNJGODT0G5Z4TTKYMN18L","GSON1112060782")</f>
        <v>#NAME?</v>
      </c>
      <c r="W950" s="23" t="e">
        <f ca="1">[1]!BexGetData("DP_1","00O2TNJGODT0G5Z4TTKYMN7K5","GSON1112060782")</f>
        <v>#NAME?</v>
      </c>
    </row>
    <row r="951" spans="1:23" x14ac:dyDescent="0.2">
      <c r="A951" s="36" t="s">
        <v>3262</v>
      </c>
      <c r="B951" s="27" t="s">
        <v>3263</v>
      </c>
      <c r="C951" s="24" t="e">
        <f ca="1">[1]!BexGetData("DP_1","003N8EMH8GTFRCSWKMPXRR8GU","GSON1112060783")</f>
        <v>#NAME?</v>
      </c>
      <c r="D951" s="24" t="e">
        <f ca="1">[1]!BexGetData("DP_1","003N8EMH8GTFRCSWKMPXRRESE","GSON1112060783")</f>
        <v>#NAME?</v>
      </c>
      <c r="E951" s="24" t="e">
        <f ca="1">[1]!BexGetData("DP_1","003N8EMH8GTFRCSWKMPXRRL3Y","GSON1112060783")</f>
        <v>#NAME?</v>
      </c>
      <c r="F951" s="28" t="e">
        <f ca="1">[1]!BexGetData("DP_1","003N8EMH8GTFRCSWKMPXRRRFI","GSON1112060783")</f>
        <v>#NAME?</v>
      </c>
      <c r="G951" s="23" t="e">
        <f ca="1">[1]!BexGetData("DP_1","003N8EMH8GTFRCSWKMPXRRXR2","GSON1112060783")</f>
        <v>#NAME?</v>
      </c>
      <c r="H951" s="23" t="e">
        <f ca="1">[1]!BexGetData("DP_1","003N8EMH8GTFRCSWKMPXRS42M","GSON1112060783")</f>
        <v>#NAME?</v>
      </c>
      <c r="I951" s="28" t="e">
        <f ca="1">[1]!BexGetData("DP_1","003N8EMH8GTFRCSWKMPXRSAE6","GSON1112060783")</f>
        <v>#NAME?</v>
      </c>
      <c r="J951" s="24" t="e">
        <f ca="1">[1]!BexGetData("DP_1","003N8EMH8GTFRCSWKMPXRSGPQ","GSON1112060783")</f>
        <v>#NAME?</v>
      </c>
      <c r="K951" s="28" t="e">
        <f ca="1">[1]!BexGetData("DP_1","003N8EMH8GTFRIVNUPY288VJH","GSON1112060783")</f>
        <v>#NAME?</v>
      </c>
      <c r="L951" s="28" t="e">
        <f ca="1">[1]!BexGetData("DP_1","003N8EMH8GTFRIVNUPY2891V1","GSON1112060783")</f>
        <v>#NAME?</v>
      </c>
      <c r="M951" s="28" t="e">
        <f ca="1">[1]!BexGetData("DP_1","003N8EMH8GTFRIVOG7KG9IQXA","GSON1112060783")</f>
        <v>#NAME?</v>
      </c>
      <c r="N951" s="28" t="e">
        <f ca="1">[1]!BexGetData("DP_1","003N8EMH8GTFRIVOG7KG9IX8U","GSON1112060783")</f>
        <v>#NAME?</v>
      </c>
      <c r="O951" s="28" t="e">
        <f ca="1">[1]!BexGetData("DP_1","003N8EMH8GTFRIVOG7KG9J3KE","GSON1112060783")</f>
        <v>#NAME?</v>
      </c>
      <c r="P951" s="28" t="e">
        <f ca="1">[1]!BexGetData("DP_1","003N8EMH8GTFRIVOG7KG9J9VY","GSON1112060783")</f>
        <v>#NAME?</v>
      </c>
      <c r="Q951" s="24" t="e">
        <f ca="1">[1]!BexGetData("DP_1","00O2TNJGODT0G5Z4TTKYMM5MT","GSON1112060783")</f>
        <v>#NAME?</v>
      </c>
      <c r="R951" s="28" t="e">
        <f ca="1">[1]!BexGetData("DP_1","00O2TNJGODT0G5Z4TTKYMMBYD","GSON1112060783")</f>
        <v>#NAME?</v>
      </c>
      <c r="S951" s="28" t="e">
        <f ca="1">[1]!BexGetData("DP_1","00O2TNJGODT0G5Z4TTKYMMI9X","GSON1112060783")</f>
        <v>#NAME?</v>
      </c>
      <c r="T951" s="28" t="e">
        <f ca="1">[1]!BexGetData("DP_1","00O2TNJGODT0G5Z4TTKYMMOLH","GSON1112060783")</f>
        <v>#NAME?</v>
      </c>
      <c r="U951" s="28" t="e">
        <f ca="1">[1]!BexGetData("DP_1","00O2TNJGODT0G5Z4TTKYMMUX1","GSON1112060783")</f>
        <v>#NAME?</v>
      </c>
      <c r="V951" s="28" t="e">
        <f ca="1">[1]!BexGetData("DP_1","00O2TNJGODT0G5Z4TTKYMN18L","GSON1112060783")</f>
        <v>#NAME?</v>
      </c>
      <c r="W951" s="28" t="e">
        <f ca="1">[1]!BexGetData("DP_1","00O2TNJGODT0G5Z4TTKYMN7K5","GSON1112060783")</f>
        <v>#NAME?</v>
      </c>
    </row>
    <row r="952" spans="1:23" x14ac:dyDescent="0.2">
      <c r="A952" s="36" t="s">
        <v>3264</v>
      </c>
      <c r="B952" s="27" t="s">
        <v>3265</v>
      </c>
      <c r="C952" s="23" t="e">
        <f ca="1">[1]!BexGetData("DP_1","003N8EMH8GTFRCSWKMPXRR8GU","GSON1112060784")</f>
        <v>#NAME?</v>
      </c>
      <c r="D952" s="23" t="e">
        <f ca="1">[1]!BexGetData("DP_1","003N8EMH8GTFRCSWKMPXRRESE","GSON1112060784")</f>
        <v>#NAME?</v>
      </c>
      <c r="E952" s="28" t="e">
        <f ca="1">[1]!BexGetData("DP_1","003N8EMH8GTFRCSWKMPXRRL3Y","GSON1112060784")</f>
        <v>#NAME?</v>
      </c>
      <c r="F952" s="28" t="e">
        <f ca="1">[1]!BexGetData("DP_1","003N8EMH8GTFRCSWKMPXRRRFI","GSON1112060784")</f>
        <v>#NAME?</v>
      </c>
      <c r="G952" s="23" t="e">
        <f ca="1">[1]!BexGetData("DP_1","003N8EMH8GTFRCSWKMPXRRXR2","GSON1112060784")</f>
        <v>#NAME?</v>
      </c>
      <c r="H952" s="23" t="e">
        <f ca="1">[1]!BexGetData("DP_1","003N8EMH8GTFRCSWKMPXRS42M","GSON1112060784")</f>
        <v>#NAME?</v>
      </c>
      <c r="I952" s="28" t="e">
        <f ca="1">[1]!BexGetData("DP_1","003N8EMH8GTFRCSWKMPXRSAE6","GSON1112060784")</f>
        <v>#NAME?</v>
      </c>
      <c r="J952" s="24" t="e">
        <f ca="1">[1]!BexGetData("DP_1","003N8EMH8GTFRCSWKMPXRSGPQ","GSON1112060784")</f>
        <v>#NAME?</v>
      </c>
      <c r="K952" s="28" t="e">
        <f ca="1">[1]!BexGetData("DP_1","003N8EMH8GTFRIVNUPY288VJH","GSON1112060784")</f>
        <v>#NAME?</v>
      </c>
      <c r="L952" s="28" t="e">
        <f ca="1">[1]!BexGetData("DP_1","003N8EMH8GTFRIVNUPY2891V1","GSON1112060784")</f>
        <v>#NAME?</v>
      </c>
      <c r="M952" s="28" t="e">
        <f ca="1">[1]!BexGetData("DP_1","003N8EMH8GTFRIVOG7KG9IQXA","GSON1112060784")</f>
        <v>#NAME?</v>
      </c>
      <c r="N952" s="28" t="e">
        <f ca="1">[1]!BexGetData("DP_1","003N8EMH8GTFRIVOG7KG9IX8U","GSON1112060784")</f>
        <v>#NAME?</v>
      </c>
      <c r="O952" s="28" t="e">
        <f ca="1">[1]!BexGetData("DP_1","003N8EMH8GTFRIVOG7KG9J3KE","GSON1112060784")</f>
        <v>#NAME?</v>
      </c>
      <c r="P952" s="28" t="e">
        <f ca="1">[1]!BexGetData("DP_1","003N8EMH8GTFRIVOG7KG9J9VY","GSON1112060784")</f>
        <v>#NAME?</v>
      </c>
      <c r="Q952" s="24" t="e">
        <f ca="1">[1]!BexGetData("DP_1","00O2TNJGODT0G5Z4TTKYMM5MT","GSON1112060784")</f>
        <v>#NAME?</v>
      </c>
      <c r="R952" s="28" t="e">
        <f ca="1">[1]!BexGetData("DP_1","00O2TNJGODT0G5Z4TTKYMMBYD","GSON1112060784")</f>
        <v>#NAME?</v>
      </c>
      <c r="S952" s="28" t="e">
        <f ca="1">[1]!BexGetData("DP_1","00O2TNJGODT0G5Z4TTKYMMI9X","GSON1112060784")</f>
        <v>#NAME?</v>
      </c>
      <c r="T952" s="28" t="e">
        <f ca="1">[1]!BexGetData("DP_1","00O2TNJGODT0G5Z4TTKYMMOLH","GSON1112060784")</f>
        <v>#NAME?</v>
      </c>
      <c r="U952" s="28" t="e">
        <f ca="1">[1]!BexGetData("DP_1","00O2TNJGODT0G5Z4TTKYMMUX1","GSON1112060784")</f>
        <v>#NAME?</v>
      </c>
      <c r="V952" s="28" t="e">
        <f ca="1">[1]!BexGetData("DP_1","00O2TNJGODT0G5Z4TTKYMN18L","GSON1112060784")</f>
        <v>#NAME?</v>
      </c>
      <c r="W952" s="28" t="e">
        <f ca="1">[1]!BexGetData("DP_1","00O2TNJGODT0G5Z4TTKYMN7K5","GSON1112060784")</f>
        <v>#NAME?</v>
      </c>
    </row>
    <row r="953" spans="1:23" x14ac:dyDescent="0.2">
      <c r="A953" s="36" t="s">
        <v>3266</v>
      </c>
      <c r="B953" s="27" t="s">
        <v>3267</v>
      </c>
      <c r="C953" s="28" t="e">
        <f ca="1">[1]!BexGetData("DP_1","003N8EMH8GTFRCSWKMPXRR8GU","GSON1112060785")</f>
        <v>#NAME?</v>
      </c>
      <c r="D953" s="28" t="e">
        <f ca="1">[1]!BexGetData("DP_1","003N8EMH8GTFRCSWKMPXRRESE","GSON1112060785")</f>
        <v>#NAME?</v>
      </c>
      <c r="E953" s="28" t="e">
        <f ca="1">[1]!BexGetData("DP_1","003N8EMH8GTFRCSWKMPXRRL3Y","GSON1112060785")</f>
        <v>#NAME?</v>
      </c>
      <c r="F953" s="28" t="e">
        <f ca="1">[1]!BexGetData("DP_1","003N8EMH8GTFRCSWKMPXRRRFI","GSON1112060785")</f>
        <v>#NAME?</v>
      </c>
      <c r="G953" s="23" t="e">
        <f ca="1">[1]!BexGetData("DP_1","003N8EMH8GTFRCSWKMPXRRXR2","GSON1112060785")</f>
        <v>#NAME?</v>
      </c>
      <c r="H953" s="23" t="e">
        <f ca="1">[1]!BexGetData("DP_1","003N8EMH8GTFRCSWKMPXRS42M","GSON1112060785")</f>
        <v>#NAME?</v>
      </c>
      <c r="I953" s="28" t="e">
        <f ca="1">[1]!BexGetData("DP_1","003N8EMH8GTFRCSWKMPXRSAE6","GSON1112060785")</f>
        <v>#NAME?</v>
      </c>
      <c r="J953" s="24" t="e">
        <f ca="1">[1]!BexGetData("DP_1","003N8EMH8GTFRCSWKMPXRSGPQ","GSON1112060785")</f>
        <v>#NAME?</v>
      </c>
      <c r="K953" s="28" t="e">
        <f ca="1">[1]!BexGetData("DP_1","003N8EMH8GTFRIVNUPY288VJH","GSON1112060785")</f>
        <v>#NAME?</v>
      </c>
      <c r="L953" s="28" t="e">
        <f ca="1">[1]!BexGetData("DP_1","003N8EMH8GTFRIVNUPY2891V1","GSON1112060785")</f>
        <v>#NAME?</v>
      </c>
      <c r="M953" s="28" t="e">
        <f ca="1">[1]!BexGetData("DP_1","003N8EMH8GTFRIVOG7KG9IQXA","GSON1112060785")</f>
        <v>#NAME?</v>
      </c>
      <c r="N953" s="28" t="e">
        <f ca="1">[1]!BexGetData("DP_1","003N8EMH8GTFRIVOG7KG9IX8U","GSON1112060785")</f>
        <v>#NAME?</v>
      </c>
      <c r="O953" s="28" t="e">
        <f ca="1">[1]!BexGetData("DP_1","003N8EMH8GTFRIVOG7KG9J3KE","GSON1112060785")</f>
        <v>#NAME?</v>
      </c>
      <c r="P953" s="28" t="e">
        <f ca="1">[1]!BexGetData("DP_1","003N8EMH8GTFRIVOG7KG9J9VY","GSON1112060785")</f>
        <v>#NAME?</v>
      </c>
      <c r="Q953" s="24" t="e">
        <f ca="1">[1]!BexGetData("DP_1","00O2TNJGODT0G5Z4TTKYMM5MT","GSON1112060785")</f>
        <v>#NAME?</v>
      </c>
      <c r="R953" s="28" t="e">
        <f ca="1">[1]!BexGetData("DP_1","00O2TNJGODT0G5Z4TTKYMMBYD","GSON1112060785")</f>
        <v>#NAME?</v>
      </c>
      <c r="S953" s="28" t="e">
        <f ca="1">[1]!BexGetData("DP_1","00O2TNJGODT0G5Z4TTKYMMI9X","GSON1112060785")</f>
        <v>#NAME?</v>
      </c>
      <c r="T953" s="28" t="e">
        <f ca="1">[1]!BexGetData("DP_1","00O2TNJGODT0G5Z4TTKYMMOLH","GSON1112060785")</f>
        <v>#NAME?</v>
      </c>
      <c r="U953" s="28" t="e">
        <f ca="1">[1]!BexGetData("DP_1","00O2TNJGODT0G5Z4TTKYMMUX1","GSON1112060785")</f>
        <v>#NAME?</v>
      </c>
      <c r="V953" s="28" t="e">
        <f ca="1">[1]!BexGetData("DP_1","00O2TNJGODT0G5Z4TTKYMN18L","GSON1112060785")</f>
        <v>#NAME?</v>
      </c>
      <c r="W953" s="28" t="e">
        <f ca="1">[1]!BexGetData("DP_1","00O2TNJGODT0G5Z4TTKYMN7K5","GSON1112060785")</f>
        <v>#NAME?</v>
      </c>
    </row>
    <row r="954" spans="1:23" x14ac:dyDescent="0.2">
      <c r="A954" s="36" t="s">
        <v>3268</v>
      </c>
      <c r="B954" s="27" t="s">
        <v>3269</v>
      </c>
      <c r="C954" s="23" t="e">
        <f ca="1">[1]!BexGetData("DP_1","003N8EMH8GTFRCSWKMPXRR8GU","GSON1112060790")</f>
        <v>#NAME?</v>
      </c>
      <c r="D954" s="23" t="e">
        <f ca="1">[1]!BexGetData("DP_1","003N8EMH8GTFRCSWKMPXRRESE","GSON1112060790")</f>
        <v>#NAME?</v>
      </c>
      <c r="E954" s="23" t="e">
        <f ca="1">[1]!BexGetData("DP_1","003N8EMH8GTFRCSWKMPXRRL3Y","GSON1112060790")</f>
        <v>#NAME?</v>
      </c>
      <c r="F954" s="23" t="e">
        <f ca="1">[1]!BexGetData("DP_1","003N8EMH8GTFRCSWKMPXRRRFI","GSON1112060790")</f>
        <v>#NAME?</v>
      </c>
      <c r="G954" s="23" t="e">
        <f ca="1">[1]!BexGetData("DP_1","003N8EMH8GTFRCSWKMPXRRXR2","GSON1112060790")</f>
        <v>#NAME?</v>
      </c>
      <c r="H954" s="23" t="e">
        <f ca="1">[1]!BexGetData("DP_1","003N8EMH8GTFRCSWKMPXRS42M","GSON1112060790")</f>
        <v>#NAME?</v>
      </c>
      <c r="I954" s="23" t="e">
        <f ca="1">[1]!BexGetData("DP_1","003N8EMH8GTFRCSWKMPXRSAE6","GSON1112060790")</f>
        <v>#NAME?</v>
      </c>
      <c r="J954" s="23" t="e">
        <f ca="1">[1]!BexGetData("DP_1","003N8EMH8GTFRCSWKMPXRSGPQ","GSON1112060790")</f>
        <v>#NAME?</v>
      </c>
      <c r="K954" s="23" t="e">
        <f ca="1">[1]!BexGetData("DP_1","003N8EMH8GTFRIVNUPY288VJH","GSON1112060790")</f>
        <v>#NAME?</v>
      </c>
      <c r="L954" s="23" t="e">
        <f ca="1">[1]!BexGetData("DP_1","003N8EMH8GTFRIVNUPY2891V1","GSON1112060790")</f>
        <v>#NAME?</v>
      </c>
      <c r="M954" s="23" t="e">
        <f ca="1">[1]!BexGetData("DP_1","003N8EMH8GTFRIVOG7KG9IQXA","GSON1112060790")</f>
        <v>#NAME?</v>
      </c>
      <c r="N954" s="28" t="e">
        <f ca="1">[1]!BexGetData("DP_1","003N8EMH8GTFRIVOG7KG9IX8U","GSON1112060790")</f>
        <v>#NAME?</v>
      </c>
      <c r="O954" s="23" t="e">
        <f ca="1">[1]!BexGetData("DP_1","003N8EMH8GTFRIVOG7KG9J3KE","GSON1112060790")</f>
        <v>#NAME?</v>
      </c>
      <c r="P954" s="28" t="e">
        <f ca="1">[1]!BexGetData("DP_1","003N8EMH8GTFRIVOG7KG9J9VY","GSON1112060790")</f>
        <v>#NAME?</v>
      </c>
      <c r="Q954" s="23" t="e">
        <f ca="1">[1]!BexGetData("DP_1","00O2TNJGODT0G5Z4TTKYMM5MT","GSON1112060790")</f>
        <v>#NAME?</v>
      </c>
      <c r="R954" s="23" t="e">
        <f ca="1">[1]!BexGetData("DP_1","00O2TNJGODT0G5Z4TTKYMMBYD","GSON1112060790")</f>
        <v>#NAME?</v>
      </c>
      <c r="S954" s="23" t="e">
        <f ca="1">[1]!BexGetData("DP_1","00O2TNJGODT0G5Z4TTKYMMI9X","GSON1112060790")</f>
        <v>#NAME?</v>
      </c>
      <c r="T954" s="23" t="e">
        <f ca="1">[1]!BexGetData("DP_1","00O2TNJGODT0G5Z4TTKYMMOLH","GSON1112060790")</f>
        <v>#NAME?</v>
      </c>
      <c r="U954" s="28" t="e">
        <f ca="1">[1]!BexGetData("DP_1","00O2TNJGODT0G5Z4TTKYMMUX1","GSON1112060790")</f>
        <v>#NAME?</v>
      </c>
      <c r="V954" s="23" t="e">
        <f ca="1">[1]!BexGetData("DP_1","00O2TNJGODT0G5Z4TTKYMN18L","GSON1112060790")</f>
        <v>#NAME?</v>
      </c>
      <c r="W954" s="28" t="e">
        <f ca="1">[1]!BexGetData("DP_1","00O2TNJGODT0G5Z4TTKYMN7K5","GSON1112060790")</f>
        <v>#NAME?</v>
      </c>
    </row>
    <row r="955" spans="1:23" x14ac:dyDescent="0.2">
      <c r="A955" s="36" t="s">
        <v>3270</v>
      </c>
      <c r="B955" s="27" t="s">
        <v>3271</v>
      </c>
      <c r="C955" s="23" t="e">
        <f ca="1">[1]!BexGetData("DP_1","003N8EMH8GTFRCSWKMPXRR8GU","GSON1112060791")</f>
        <v>#NAME?</v>
      </c>
      <c r="D955" s="23" t="e">
        <f ca="1">[1]!BexGetData("DP_1","003N8EMH8GTFRCSWKMPXRRESE","GSON1112060791")</f>
        <v>#NAME?</v>
      </c>
      <c r="E955" s="28" t="e">
        <f ca="1">[1]!BexGetData("DP_1","003N8EMH8GTFRCSWKMPXRRL3Y","GSON1112060791")</f>
        <v>#NAME?</v>
      </c>
      <c r="F955" s="28" t="e">
        <f ca="1">[1]!BexGetData("DP_1","003N8EMH8GTFRCSWKMPXRRRFI","GSON1112060791")</f>
        <v>#NAME?</v>
      </c>
      <c r="G955" s="23" t="e">
        <f ca="1">[1]!BexGetData("DP_1","003N8EMH8GTFRCSWKMPXRRXR2","GSON1112060791")</f>
        <v>#NAME?</v>
      </c>
      <c r="H955" s="23" t="e">
        <f ca="1">[1]!BexGetData("DP_1","003N8EMH8GTFRCSWKMPXRS42M","GSON1112060791")</f>
        <v>#NAME?</v>
      </c>
      <c r="I955" s="28" t="e">
        <f ca="1">[1]!BexGetData("DP_1","003N8EMH8GTFRCSWKMPXRSAE6","GSON1112060791")</f>
        <v>#NAME?</v>
      </c>
      <c r="J955" s="24" t="e">
        <f ca="1">[1]!BexGetData("DP_1","003N8EMH8GTFRCSWKMPXRSGPQ","GSON1112060791")</f>
        <v>#NAME?</v>
      </c>
      <c r="K955" s="28" t="e">
        <f ca="1">[1]!BexGetData("DP_1","003N8EMH8GTFRIVNUPY288VJH","GSON1112060791")</f>
        <v>#NAME?</v>
      </c>
      <c r="L955" s="28" t="e">
        <f ca="1">[1]!BexGetData("DP_1","003N8EMH8GTFRIVNUPY2891V1","GSON1112060791")</f>
        <v>#NAME?</v>
      </c>
      <c r="M955" s="28" t="e">
        <f ca="1">[1]!BexGetData("DP_1","003N8EMH8GTFRIVOG7KG9IQXA","GSON1112060791")</f>
        <v>#NAME?</v>
      </c>
      <c r="N955" s="28" t="e">
        <f ca="1">[1]!BexGetData("DP_1","003N8EMH8GTFRIVOG7KG9IX8U","GSON1112060791")</f>
        <v>#NAME?</v>
      </c>
      <c r="O955" s="28" t="e">
        <f ca="1">[1]!BexGetData("DP_1","003N8EMH8GTFRIVOG7KG9J3KE","GSON1112060791")</f>
        <v>#NAME?</v>
      </c>
      <c r="P955" s="28" t="e">
        <f ca="1">[1]!BexGetData("DP_1","003N8EMH8GTFRIVOG7KG9J9VY","GSON1112060791")</f>
        <v>#NAME?</v>
      </c>
      <c r="Q955" s="24" t="e">
        <f ca="1">[1]!BexGetData("DP_1","00O2TNJGODT0G5Z4TTKYMM5MT","GSON1112060791")</f>
        <v>#NAME?</v>
      </c>
      <c r="R955" s="28" t="e">
        <f ca="1">[1]!BexGetData("DP_1","00O2TNJGODT0G5Z4TTKYMMBYD","GSON1112060791")</f>
        <v>#NAME?</v>
      </c>
      <c r="S955" s="28" t="e">
        <f ca="1">[1]!BexGetData("DP_1","00O2TNJGODT0G5Z4TTKYMMI9X","GSON1112060791")</f>
        <v>#NAME?</v>
      </c>
      <c r="T955" s="28" t="e">
        <f ca="1">[1]!BexGetData("DP_1","00O2TNJGODT0G5Z4TTKYMMOLH","GSON1112060791")</f>
        <v>#NAME?</v>
      </c>
      <c r="U955" s="28" t="e">
        <f ca="1">[1]!BexGetData("DP_1","00O2TNJGODT0G5Z4TTKYMMUX1","GSON1112060791")</f>
        <v>#NAME?</v>
      </c>
      <c r="V955" s="28" t="e">
        <f ca="1">[1]!BexGetData("DP_1","00O2TNJGODT0G5Z4TTKYMN18L","GSON1112060791")</f>
        <v>#NAME?</v>
      </c>
      <c r="W955" s="28" t="e">
        <f ca="1">[1]!BexGetData("DP_1","00O2TNJGODT0G5Z4TTKYMN7K5","GSON1112060791")</f>
        <v>#NAME?</v>
      </c>
    </row>
    <row r="956" spans="1:23" x14ac:dyDescent="0.2">
      <c r="A956" s="36" t="s">
        <v>3272</v>
      </c>
      <c r="B956" s="27" t="s">
        <v>3273</v>
      </c>
      <c r="C956" s="24" t="e">
        <f ca="1">[1]!BexGetData("DP_1","003N8EMH8GTFRCSWKMPXRR8GU","GSON1112060793")</f>
        <v>#NAME?</v>
      </c>
      <c r="D956" s="24" t="e">
        <f ca="1">[1]!BexGetData("DP_1","003N8EMH8GTFRCSWKMPXRRESE","GSON1112060793")</f>
        <v>#NAME?</v>
      </c>
      <c r="E956" s="24" t="e">
        <f ca="1">[1]!BexGetData("DP_1","003N8EMH8GTFRCSWKMPXRRL3Y","GSON1112060793")</f>
        <v>#NAME?</v>
      </c>
      <c r="F956" s="28" t="e">
        <f ca="1">[1]!BexGetData("DP_1","003N8EMH8GTFRCSWKMPXRRRFI","GSON1112060793")</f>
        <v>#NAME?</v>
      </c>
      <c r="G956" s="23" t="e">
        <f ca="1">[1]!BexGetData("DP_1","003N8EMH8GTFRCSWKMPXRRXR2","GSON1112060793")</f>
        <v>#NAME?</v>
      </c>
      <c r="H956" s="23" t="e">
        <f ca="1">[1]!BexGetData("DP_1","003N8EMH8GTFRCSWKMPXRS42M","GSON1112060793")</f>
        <v>#NAME?</v>
      </c>
      <c r="I956" s="28" t="e">
        <f ca="1">[1]!BexGetData("DP_1","003N8EMH8GTFRCSWKMPXRSAE6","GSON1112060793")</f>
        <v>#NAME?</v>
      </c>
      <c r="J956" s="24" t="e">
        <f ca="1">[1]!BexGetData("DP_1","003N8EMH8GTFRCSWKMPXRSGPQ","GSON1112060793")</f>
        <v>#NAME?</v>
      </c>
      <c r="K956" s="28" t="e">
        <f ca="1">[1]!BexGetData("DP_1","003N8EMH8GTFRIVNUPY288VJH","GSON1112060793")</f>
        <v>#NAME?</v>
      </c>
      <c r="L956" s="28" t="e">
        <f ca="1">[1]!BexGetData("DP_1","003N8EMH8GTFRIVNUPY2891V1","GSON1112060793")</f>
        <v>#NAME?</v>
      </c>
      <c r="M956" s="28" t="e">
        <f ca="1">[1]!BexGetData("DP_1","003N8EMH8GTFRIVOG7KG9IQXA","GSON1112060793")</f>
        <v>#NAME?</v>
      </c>
      <c r="N956" s="28" t="e">
        <f ca="1">[1]!BexGetData("DP_1","003N8EMH8GTFRIVOG7KG9IX8U","GSON1112060793")</f>
        <v>#NAME?</v>
      </c>
      <c r="O956" s="28" t="e">
        <f ca="1">[1]!BexGetData("DP_1","003N8EMH8GTFRIVOG7KG9J3KE","GSON1112060793")</f>
        <v>#NAME?</v>
      </c>
      <c r="P956" s="28" t="e">
        <f ca="1">[1]!BexGetData("DP_1","003N8EMH8GTFRIVOG7KG9J9VY","GSON1112060793")</f>
        <v>#NAME?</v>
      </c>
      <c r="Q956" s="24" t="e">
        <f ca="1">[1]!BexGetData("DP_1","00O2TNJGODT0G5Z4TTKYMM5MT","GSON1112060793")</f>
        <v>#NAME?</v>
      </c>
      <c r="R956" s="28" t="e">
        <f ca="1">[1]!BexGetData("DP_1","00O2TNJGODT0G5Z4TTKYMMBYD","GSON1112060793")</f>
        <v>#NAME?</v>
      </c>
      <c r="S956" s="28" t="e">
        <f ca="1">[1]!BexGetData("DP_1","00O2TNJGODT0G5Z4TTKYMMI9X","GSON1112060793")</f>
        <v>#NAME?</v>
      </c>
      <c r="T956" s="28" t="e">
        <f ca="1">[1]!BexGetData("DP_1","00O2TNJGODT0G5Z4TTKYMMOLH","GSON1112060793")</f>
        <v>#NAME?</v>
      </c>
      <c r="U956" s="28" t="e">
        <f ca="1">[1]!BexGetData("DP_1","00O2TNJGODT0G5Z4TTKYMMUX1","GSON1112060793")</f>
        <v>#NAME?</v>
      </c>
      <c r="V956" s="28" t="e">
        <f ca="1">[1]!BexGetData("DP_1","00O2TNJGODT0G5Z4TTKYMN18L","GSON1112060793")</f>
        <v>#NAME?</v>
      </c>
      <c r="W956" s="28" t="e">
        <f ca="1">[1]!BexGetData("DP_1","00O2TNJGODT0G5Z4TTKYMN7K5","GSON1112060793")</f>
        <v>#NAME?</v>
      </c>
    </row>
    <row r="957" spans="1:23" x14ac:dyDescent="0.2">
      <c r="A957" s="36" t="s">
        <v>3274</v>
      </c>
      <c r="B957" s="27" t="s">
        <v>3275</v>
      </c>
      <c r="C957" s="23" t="e">
        <f ca="1">[1]!BexGetData("DP_1","003N8EMH8GTFRCSWKMPXRR8GU","GSON1112060794")</f>
        <v>#NAME?</v>
      </c>
      <c r="D957" s="23" t="e">
        <f ca="1">[1]!BexGetData("DP_1","003N8EMH8GTFRCSWKMPXRRESE","GSON1112060794")</f>
        <v>#NAME?</v>
      </c>
      <c r="E957" s="28" t="e">
        <f ca="1">[1]!BexGetData("DP_1","003N8EMH8GTFRCSWKMPXRRL3Y","GSON1112060794")</f>
        <v>#NAME?</v>
      </c>
      <c r="F957" s="28" t="e">
        <f ca="1">[1]!BexGetData("DP_1","003N8EMH8GTFRCSWKMPXRRRFI","GSON1112060794")</f>
        <v>#NAME?</v>
      </c>
      <c r="G957" s="23" t="e">
        <f ca="1">[1]!BexGetData("DP_1","003N8EMH8GTFRCSWKMPXRRXR2","GSON1112060794")</f>
        <v>#NAME?</v>
      </c>
      <c r="H957" s="23" t="e">
        <f ca="1">[1]!BexGetData("DP_1","003N8EMH8GTFRCSWKMPXRS42M","GSON1112060794")</f>
        <v>#NAME?</v>
      </c>
      <c r="I957" s="28" t="e">
        <f ca="1">[1]!BexGetData("DP_1","003N8EMH8GTFRCSWKMPXRSAE6","GSON1112060794")</f>
        <v>#NAME?</v>
      </c>
      <c r="J957" s="24" t="e">
        <f ca="1">[1]!BexGetData("DP_1","003N8EMH8GTFRCSWKMPXRSGPQ","GSON1112060794")</f>
        <v>#NAME?</v>
      </c>
      <c r="K957" s="28" t="e">
        <f ca="1">[1]!BexGetData("DP_1","003N8EMH8GTFRIVNUPY288VJH","GSON1112060794")</f>
        <v>#NAME?</v>
      </c>
      <c r="L957" s="28" t="e">
        <f ca="1">[1]!BexGetData("DP_1","003N8EMH8GTFRIVNUPY2891V1","GSON1112060794")</f>
        <v>#NAME?</v>
      </c>
      <c r="M957" s="28" t="e">
        <f ca="1">[1]!BexGetData("DP_1","003N8EMH8GTFRIVOG7KG9IQXA","GSON1112060794")</f>
        <v>#NAME?</v>
      </c>
      <c r="N957" s="28" t="e">
        <f ca="1">[1]!BexGetData("DP_1","003N8EMH8GTFRIVOG7KG9IX8U","GSON1112060794")</f>
        <v>#NAME?</v>
      </c>
      <c r="O957" s="28" t="e">
        <f ca="1">[1]!BexGetData("DP_1","003N8EMH8GTFRIVOG7KG9J3KE","GSON1112060794")</f>
        <v>#NAME?</v>
      </c>
      <c r="P957" s="28" t="e">
        <f ca="1">[1]!BexGetData("DP_1","003N8EMH8GTFRIVOG7KG9J9VY","GSON1112060794")</f>
        <v>#NAME?</v>
      </c>
      <c r="Q957" s="24" t="e">
        <f ca="1">[1]!BexGetData("DP_1","00O2TNJGODT0G5Z4TTKYMM5MT","GSON1112060794")</f>
        <v>#NAME?</v>
      </c>
      <c r="R957" s="28" t="e">
        <f ca="1">[1]!BexGetData("DP_1","00O2TNJGODT0G5Z4TTKYMMBYD","GSON1112060794")</f>
        <v>#NAME?</v>
      </c>
      <c r="S957" s="28" t="e">
        <f ca="1">[1]!BexGetData("DP_1","00O2TNJGODT0G5Z4TTKYMMI9X","GSON1112060794")</f>
        <v>#NAME?</v>
      </c>
      <c r="T957" s="28" t="e">
        <f ca="1">[1]!BexGetData("DP_1","00O2TNJGODT0G5Z4TTKYMMOLH","GSON1112060794")</f>
        <v>#NAME?</v>
      </c>
      <c r="U957" s="28" t="e">
        <f ca="1">[1]!BexGetData("DP_1","00O2TNJGODT0G5Z4TTKYMMUX1","GSON1112060794")</f>
        <v>#NAME?</v>
      </c>
      <c r="V957" s="28" t="e">
        <f ca="1">[1]!BexGetData("DP_1","00O2TNJGODT0G5Z4TTKYMN18L","GSON1112060794")</f>
        <v>#NAME?</v>
      </c>
      <c r="W957" s="28" t="e">
        <f ca="1">[1]!BexGetData("DP_1","00O2TNJGODT0G5Z4TTKYMN7K5","GSON1112060794")</f>
        <v>#NAME?</v>
      </c>
    </row>
    <row r="958" spans="1:23" x14ac:dyDescent="0.2">
      <c r="A958" s="36" t="s">
        <v>3276</v>
      </c>
      <c r="B958" s="27" t="s">
        <v>3277</v>
      </c>
      <c r="C958" s="23" t="e">
        <f ca="1">[1]!BexGetData("DP_1","003N8EMH8GTFRCSWKMPXRR8GU","GSON1112060795")</f>
        <v>#NAME?</v>
      </c>
      <c r="D958" s="23" t="e">
        <f ca="1">[1]!BexGetData("DP_1","003N8EMH8GTFRCSWKMPXRRESE","GSON1112060795")</f>
        <v>#NAME?</v>
      </c>
      <c r="E958" s="28" t="e">
        <f ca="1">[1]!BexGetData("DP_1","003N8EMH8GTFRCSWKMPXRRL3Y","GSON1112060795")</f>
        <v>#NAME?</v>
      </c>
      <c r="F958" s="28" t="e">
        <f ca="1">[1]!BexGetData("DP_1","003N8EMH8GTFRCSWKMPXRRRFI","GSON1112060795")</f>
        <v>#NAME?</v>
      </c>
      <c r="G958" s="23" t="e">
        <f ca="1">[1]!BexGetData("DP_1","003N8EMH8GTFRCSWKMPXRRXR2","GSON1112060795")</f>
        <v>#NAME?</v>
      </c>
      <c r="H958" s="23" t="e">
        <f ca="1">[1]!BexGetData("DP_1","003N8EMH8GTFRCSWKMPXRS42M","GSON1112060795")</f>
        <v>#NAME?</v>
      </c>
      <c r="I958" s="28" t="e">
        <f ca="1">[1]!BexGetData("DP_1","003N8EMH8GTFRCSWKMPXRSAE6","GSON1112060795")</f>
        <v>#NAME?</v>
      </c>
      <c r="J958" s="24" t="e">
        <f ca="1">[1]!BexGetData("DP_1","003N8EMH8GTFRCSWKMPXRSGPQ","GSON1112060795")</f>
        <v>#NAME?</v>
      </c>
      <c r="K958" s="28" t="e">
        <f ca="1">[1]!BexGetData("DP_1","003N8EMH8GTFRIVNUPY288VJH","GSON1112060795")</f>
        <v>#NAME?</v>
      </c>
      <c r="L958" s="28" t="e">
        <f ca="1">[1]!BexGetData("DP_1","003N8EMH8GTFRIVNUPY2891V1","GSON1112060795")</f>
        <v>#NAME?</v>
      </c>
      <c r="M958" s="28" t="e">
        <f ca="1">[1]!BexGetData("DP_1","003N8EMH8GTFRIVOG7KG9IQXA","GSON1112060795")</f>
        <v>#NAME?</v>
      </c>
      <c r="N958" s="28" t="e">
        <f ca="1">[1]!BexGetData("DP_1","003N8EMH8GTFRIVOG7KG9IX8U","GSON1112060795")</f>
        <v>#NAME?</v>
      </c>
      <c r="O958" s="28" t="e">
        <f ca="1">[1]!BexGetData("DP_1","003N8EMH8GTFRIVOG7KG9J3KE","GSON1112060795")</f>
        <v>#NAME?</v>
      </c>
      <c r="P958" s="28" t="e">
        <f ca="1">[1]!BexGetData("DP_1","003N8EMH8GTFRIVOG7KG9J9VY","GSON1112060795")</f>
        <v>#NAME?</v>
      </c>
      <c r="Q958" s="24" t="e">
        <f ca="1">[1]!BexGetData("DP_1","00O2TNJGODT0G5Z4TTKYMM5MT","GSON1112060795")</f>
        <v>#NAME?</v>
      </c>
      <c r="R958" s="28" t="e">
        <f ca="1">[1]!BexGetData("DP_1","00O2TNJGODT0G5Z4TTKYMMBYD","GSON1112060795")</f>
        <v>#NAME?</v>
      </c>
      <c r="S958" s="28" t="e">
        <f ca="1">[1]!BexGetData("DP_1","00O2TNJGODT0G5Z4TTKYMMI9X","GSON1112060795")</f>
        <v>#NAME?</v>
      </c>
      <c r="T958" s="28" t="e">
        <f ca="1">[1]!BexGetData("DP_1","00O2TNJGODT0G5Z4TTKYMMOLH","GSON1112060795")</f>
        <v>#NAME?</v>
      </c>
      <c r="U958" s="28" t="e">
        <f ca="1">[1]!BexGetData("DP_1","00O2TNJGODT0G5Z4TTKYMMUX1","GSON1112060795")</f>
        <v>#NAME?</v>
      </c>
      <c r="V958" s="28" t="e">
        <f ca="1">[1]!BexGetData("DP_1","00O2TNJGODT0G5Z4TTKYMN18L","GSON1112060795")</f>
        <v>#NAME?</v>
      </c>
      <c r="W958" s="28" t="e">
        <f ca="1">[1]!BexGetData("DP_1","00O2TNJGODT0G5Z4TTKYMN7K5","GSON1112060795")</f>
        <v>#NAME?</v>
      </c>
    </row>
    <row r="959" spans="1:23" x14ac:dyDescent="0.2">
      <c r="A959" s="36" t="s">
        <v>3278</v>
      </c>
      <c r="B959" s="27" t="s">
        <v>3279</v>
      </c>
      <c r="C959" s="28" t="e">
        <f ca="1">[1]!BexGetData("DP_1","003N8EMH8GTFRCSWKMPXRR8GU","GSON1112060800")</f>
        <v>#NAME?</v>
      </c>
      <c r="D959" s="28" t="e">
        <f ca="1">[1]!BexGetData("DP_1","003N8EMH8GTFRCSWKMPXRRESE","GSON1112060800")</f>
        <v>#NAME?</v>
      </c>
      <c r="E959" s="28" t="e">
        <f ca="1">[1]!BexGetData("DP_1","003N8EMH8GTFRCSWKMPXRRL3Y","GSON1112060800")</f>
        <v>#NAME?</v>
      </c>
      <c r="F959" s="28" t="e">
        <f ca="1">[1]!BexGetData("DP_1","003N8EMH8GTFRCSWKMPXRRRFI","GSON1112060800")</f>
        <v>#NAME?</v>
      </c>
      <c r="G959" s="23" t="e">
        <f ca="1">[1]!BexGetData("DP_1","003N8EMH8GTFRCSWKMPXRRXR2","GSON1112060800")</f>
        <v>#NAME?</v>
      </c>
      <c r="H959" s="23" t="e">
        <f ca="1">[1]!BexGetData("DP_1","003N8EMH8GTFRCSWKMPXRS42M","GSON1112060800")</f>
        <v>#NAME?</v>
      </c>
      <c r="I959" s="28" t="e">
        <f ca="1">[1]!BexGetData("DP_1","003N8EMH8GTFRCSWKMPXRSAE6","GSON1112060800")</f>
        <v>#NAME?</v>
      </c>
      <c r="J959" s="23" t="e">
        <f ca="1">[1]!BexGetData("DP_1","003N8EMH8GTFRCSWKMPXRSGPQ","GSON1112060800")</f>
        <v>#NAME?</v>
      </c>
      <c r="K959" s="28" t="e">
        <f ca="1">[1]!BexGetData("DP_1","003N8EMH8GTFRIVNUPY288VJH","GSON1112060800")</f>
        <v>#NAME?</v>
      </c>
      <c r="L959" s="28" t="e">
        <f ca="1">[1]!BexGetData("DP_1","003N8EMH8GTFRIVNUPY2891V1","GSON1112060800")</f>
        <v>#NAME?</v>
      </c>
      <c r="M959" s="28" t="e">
        <f ca="1">[1]!BexGetData("DP_1","003N8EMH8GTFRIVOG7KG9IQXA","GSON1112060800")</f>
        <v>#NAME?</v>
      </c>
      <c r="N959" s="28" t="e">
        <f ca="1">[1]!BexGetData("DP_1","003N8EMH8GTFRIVOG7KG9IX8U","GSON1112060800")</f>
        <v>#NAME?</v>
      </c>
      <c r="O959" s="28" t="e">
        <f ca="1">[1]!BexGetData("DP_1","003N8EMH8GTFRIVOG7KG9J3KE","GSON1112060800")</f>
        <v>#NAME?</v>
      </c>
      <c r="P959" s="28" t="e">
        <f ca="1">[1]!BexGetData("DP_1","003N8EMH8GTFRIVOG7KG9J9VY","GSON1112060800")</f>
        <v>#NAME?</v>
      </c>
      <c r="Q959" s="23" t="e">
        <f ca="1">[1]!BexGetData("DP_1","00O2TNJGODT0G5Z4TTKYMM5MT","GSON1112060800")</f>
        <v>#NAME?</v>
      </c>
      <c r="R959" s="23" t="e">
        <f ca="1">[1]!BexGetData("DP_1","00O2TNJGODT0G5Z4TTKYMMBYD","GSON1112060800")</f>
        <v>#NAME?</v>
      </c>
      <c r="S959" s="23" t="e">
        <f ca="1">[1]!BexGetData("DP_1","00O2TNJGODT0G5Z4TTKYMMI9X","GSON1112060800")</f>
        <v>#NAME?</v>
      </c>
      <c r="T959" s="23" t="e">
        <f ca="1">[1]!BexGetData("DP_1","00O2TNJGODT0G5Z4TTKYMMOLH","GSON1112060800")</f>
        <v>#NAME?</v>
      </c>
      <c r="U959" s="28" t="e">
        <f ca="1">[1]!BexGetData("DP_1","00O2TNJGODT0G5Z4TTKYMMUX1","GSON1112060800")</f>
        <v>#NAME?</v>
      </c>
      <c r="V959" s="23" t="e">
        <f ca="1">[1]!BexGetData("DP_1","00O2TNJGODT0G5Z4TTKYMN18L","GSON1112060800")</f>
        <v>#NAME?</v>
      </c>
      <c r="W959" s="28" t="e">
        <f ca="1">[1]!BexGetData("DP_1","00O2TNJGODT0G5Z4TTKYMN7K5","GSON1112060800")</f>
        <v>#NAME?</v>
      </c>
    </row>
    <row r="960" spans="1:23" x14ac:dyDescent="0.2">
      <c r="A960" s="36" t="s">
        <v>3280</v>
      </c>
      <c r="B960" s="27" t="s">
        <v>3281</v>
      </c>
      <c r="C960" s="24" t="e">
        <f ca="1">[1]!BexGetData("DP_1","003N8EMH8GTFRCSWKMPXRR8GU","GSON1112060801")</f>
        <v>#NAME?</v>
      </c>
      <c r="D960" s="24" t="e">
        <f ca="1">[1]!BexGetData("DP_1","003N8EMH8GTFRCSWKMPXRRESE","GSON1112060801")</f>
        <v>#NAME?</v>
      </c>
      <c r="E960" s="24" t="e">
        <f ca="1">[1]!BexGetData("DP_1","003N8EMH8GTFRCSWKMPXRRL3Y","GSON1112060801")</f>
        <v>#NAME?</v>
      </c>
      <c r="F960" s="28" t="e">
        <f ca="1">[1]!BexGetData("DP_1","003N8EMH8GTFRCSWKMPXRRRFI","GSON1112060801")</f>
        <v>#NAME?</v>
      </c>
      <c r="G960" s="23" t="e">
        <f ca="1">[1]!BexGetData("DP_1","003N8EMH8GTFRCSWKMPXRRXR2","GSON1112060801")</f>
        <v>#NAME?</v>
      </c>
      <c r="H960" s="23" t="e">
        <f ca="1">[1]!BexGetData("DP_1","003N8EMH8GTFRCSWKMPXRS42M","GSON1112060801")</f>
        <v>#NAME?</v>
      </c>
      <c r="I960" s="28" t="e">
        <f ca="1">[1]!BexGetData("DP_1","003N8EMH8GTFRCSWKMPXRSAE6","GSON1112060801")</f>
        <v>#NAME?</v>
      </c>
      <c r="J960" s="24" t="e">
        <f ca="1">[1]!BexGetData("DP_1","003N8EMH8GTFRCSWKMPXRSGPQ","GSON1112060801")</f>
        <v>#NAME?</v>
      </c>
      <c r="K960" s="28" t="e">
        <f ca="1">[1]!BexGetData("DP_1","003N8EMH8GTFRIVNUPY288VJH","GSON1112060801")</f>
        <v>#NAME?</v>
      </c>
      <c r="L960" s="28" t="e">
        <f ca="1">[1]!BexGetData("DP_1","003N8EMH8GTFRIVNUPY2891V1","GSON1112060801")</f>
        <v>#NAME?</v>
      </c>
      <c r="M960" s="28" t="e">
        <f ca="1">[1]!BexGetData("DP_1","003N8EMH8GTFRIVOG7KG9IQXA","GSON1112060801")</f>
        <v>#NAME?</v>
      </c>
      <c r="N960" s="28" t="e">
        <f ca="1">[1]!BexGetData("DP_1","003N8EMH8GTFRIVOG7KG9IX8U","GSON1112060801")</f>
        <v>#NAME?</v>
      </c>
      <c r="O960" s="28" t="e">
        <f ca="1">[1]!BexGetData("DP_1","003N8EMH8GTFRIVOG7KG9J3KE","GSON1112060801")</f>
        <v>#NAME?</v>
      </c>
      <c r="P960" s="28" t="e">
        <f ca="1">[1]!BexGetData("DP_1","003N8EMH8GTFRIVOG7KG9J9VY","GSON1112060801")</f>
        <v>#NAME?</v>
      </c>
      <c r="Q960" s="24" t="e">
        <f ca="1">[1]!BexGetData("DP_1","00O2TNJGODT0G5Z4TTKYMM5MT","GSON1112060801")</f>
        <v>#NAME?</v>
      </c>
      <c r="R960" s="28" t="e">
        <f ca="1">[1]!BexGetData("DP_1","00O2TNJGODT0G5Z4TTKYMMBYD","GSON1112060801")</f>
        <v>#NAME?</v>
      </c>
      <c r="S960" s="28" t="e">
        <f ca="1">[1]!BexGetData("DP_1","00O2TNJGODT0G5Z4TTKYMMI9X","GSON1112060801")</f>
        <v>#NAME?</v>
      </c>
      <c r="T960" s="28" t="e">
        <f ca="1">[1]!BexGetData("DP_1","00O2TNJGODT0G5Z4TTKYMMOLH","GSON1112060801")</f>
        <v>#NAME?</v>
      </c>
      <c r="U960" s="28" t="e">
        <f ca="1">[1]!BexGetData("DP_1","00O2TNJGODT0G5Z4TTKYMMUX1","GSON1112060801")</f>
        <v>#NAME?</v>
      </c>
      <c r="V960" s="28" t="e">
        <f ca="1">[1]!BexGetData("DP_1","00O2TNJGODT0G5Z4TTKYMN18L","GSON1112060801")</f>
        <v>#NAME?</v>
      </c>
      <c r="W960" s="28" t="e">
        <f ca="1">[1]!BexGetData("DP_1","00O2TNJGODT0G5Z4TTKYMN7K5","GSON1112060801")</f>
        <v>#NAME?</v>
      </c>
    </row>
    <row r="961" spans="1:23" x14ac:dyDescent="0.2">
      <c r="A961" s="36" t="s">
        <v>3282</v>
      </c>
      <c r="B961" s="27" t="s">
        <v>3283</v>
      </c>
      <c r="C961" s="24" t="e">
        <f ca="1">[1]!BexGetData("DP_1","003N8EMH8GTFRCSWKMPXRR8GU","GSON1112060803")</f>
        <v>#NAME?</v>
      </c>
      <c r="D961" s="24" t="e">
        <f ca="1">[1]!BexGetData("DP_1","003N8EMH8GTFRCSWKMPXRRESE","GSON1112060803")</f>
        <v>#NAME?</v>
      </c>
      <c r="E961" s="24" t="e">
        <f ca="1">[1]!BexGetData("DP_1","003N8EMH8GTFRCSWKMPXRRL3Y","GSON1112060803")</f>
        <v>#NAME?</v>
      </c>
      <c r="F961" s="28" t="e">
        <f ca="1">[1]!BexGetData("DP_1","003N8EMH8GTFRCSWKMPXRRRFI","GSON1112060803")</f>
        <v>#NAME?</v>
      </c>
      <c r="G961" s="23" t="e">
        <f ca="1">[1]!BexGetData("DP_1","003N8EMH8GTFRCSWKMPXRRXR2","GSON1112060803")</f>
        <v>#NAME?</v>
      </c>
      <c r="H961" s="23" t="e">
        <f ca="1">[1]!BexGetData("DP_1","003N8EMH8GTFRCSWKMPXRS42M","GSON1112060803")</f>
        <v>#NAME?</v>
      </c>
      <c r="I961" s="28" t="e">
        <f ca="1">[1]!BexGetData("DP_1","003N8EMH8GTFRCSWKMPXRSAE6","GSON1112060803")</f>
        <v>#NAME?</v>
      </c>
      <c r="J961" s="24" t="e">
        <f ca="1">[1]!BexGetData("DP_1","003N8EMH8GTFRCSWKMPXRSGPQ","GSON1112060803")</f>
        <v>#NAME?</v>
      </c>
      <c r="K961" s="28" t="e">
        <f ca="1">[1]!BexGetData("DP_1","003N8EMH8GTFRIVNUPY288VJH","GSON1112060803")</f>
        <v>#NAME?</v>
      </c>
      <c r="L961" s="28" t="e">
        <f ca="1">[1]!BexGetData("DP_1","003N8EMH8GTFRIVNUPY2891V1","GSON1112060803")</f>
        <v>#NAME?</v>
      </c>
      <c r="M961" s="28" t="e">
        <f ca="1">[1]!BexGetData("DP_1","003N8EMH8GTFRIVOG7KG9IQXA","GSON1112060803")</f>
        <v>#NAME?</v>
      </c>
      <c r="N961" s="28" t="e">
        <f ca="1">[1]!BexGetData("DP_1","003N8EMH8GTFRIVOG7KG9IX8U","GSON1112060803")</f>
        <v>#NAME?</v>
      </c>
      <c r="O961" s="28" t="e">
        <f ca="1">[1]!BexGetData("DP_1","003N8EMH8GTFRIVOG7KG9J3KE","GSON1112060803")</f>
        <v>#NAME?</v>
      </c>
      <c r="P961" s="28" t="e">
        <f ca="1">[1]!BexGetData("DP_1","003N8EMH8GTFRIVOG7KG9J9VY","GSON1112060803")</f>
        <v>#NAME?</v>
      </c>
      <c r="Q961" s="24" t="e">
        <f ca="1">[1]!BexGetData("DP_1","00O2TNJGODT0G5Z4TTKYMM5MT","GSON1112060803")</f>
        <v>#NAME?</v>
      </c>
      <c r="R961" s="28" t="e">
        <f ca="1">[1]!BexGetData("DP_1","00O2TNJGODT0G5Z4TTKYMMBYD","GSON1112060803")</f>
        <v>#NAME?</v>
      </c>
      <c r="S961" s="28" t="e">
        <f ca="1">[1]!BexGetData("DP_1","00O2TNJGODT0G5Z4TTKYMMI9X","GSON1112060803")</f>
        <v>#NAME?</v>
      </c>
      <c r="T961" s="28" t="e">
        <f ca="1">[1]!BexGetData("DP_1","00O2TNJGODT0G5Z4TTKYMMOLH","GSON1112060803")</f>
        <v>#NAME?</v>
      </c>
      <c r="U961" s="28" t="e">
        <f ca="1">[1]!BexGetData("DP_1","00O2TNJGODT0G5Z4TTKYMMUX1","GSON1112060803")</f>
        <v>#NAME?</v>
      </c>
      <c r="V961" s="28" t="e">
        <f ca="1">[1]!BexGetData("DP_1","00O2TNJGODT0G5Z4TTKYMN18L","GSON1112060803")</f>
        <v>#NAME?</v>
      </c>
      <c r="W961" s="28" t="e">
        <f ca="1">[1]!BexGetData("DP_1","00O2TNJGODT0G5Z4TTKYMN7K5","GSON1112060803")</f>
        <v>#NAME?</v>
      </c>
    </row>
    <row r="962" spans="1:23" x14ac:dyDescent="0.2">
      <c r="A962" s="36" t="s">
        <v>3284</v>
      </c>
      <c r="B962" s="27" t="s">
        <v>3285</v>
      </c>
      <c r="C962" s="24" t="e">
        <f ca="1">[1]!BexGetData("DP_1","003N8EMH8GTFRCSWKMPXRR8GU","GSON1112060804")</f>
        <v>#NAME?</v>
      </c>
      <c r="D962" s="24" t="e">
        <f ca="1">[1]!BexGetData("DP_1","003N8EMH8GTFRCSWKMPXRRESE","GSON1112060804")</f>
        <v>#NAME?</v>
      </c>
      <c r="E962" s="24" t="e">
        <f ca="1">[1]!BexGetData("DP_1","003N8EMH8GTFRCSWKMPXRRL3Y","GSON1112060804")</f>
        <v>#NAME?</v>
      </c>
      <c r="F962" s="28" t="e">
        <f ca="1">[1]!BexGetData("DP_1","003N8EMH8GTFRCSWKMPXRRRFI","GSON1112060804")</f>
        <v>#NAME?</v>
      </c>
      <c r="G962" s="23" t="e">
        <f ca="1">[1]!BexGetData("DP_1","003N8EMH8GTFRCSWKMPXRRXR2","GSON1112060804")</f>
        <v>#NAME?</v>
      </c>
      <c r="H962" s="23" t="e">
        <f ca="1">[1]!BexGetData("DP_1","003N8EMH8GTFRCSWKMPXRS42M","GSON1112060804")</f>
        <v>#NAME?</v>
      </c>
      <c r="I962" s="28" t="e">
        <f ca="1">[1]!BexGetData("DP_1","003N8EMH8GTFRCSWKMPXRSAE6","GSON1112060804")</f>
        <v>#NAME?</v>
      </c>
      <c r="J962" s="24" t="e">
        <f ca="1">[1]!BexGetData("DP_1","003N8EMH8GTFRCSWKMPXRSGPQ","GSON1112060804")</f>
        <v>#NAME?</v>
      </c>
      <c r="K962" s="28" t="e">
        <f ca="1">[1]!BexGetData("DP_1","003N8EMH8GTFRIVNUPY288VJH","GSON1112060804")</f>
        <v>#NAME?</v>
      </c>
      <c r="L962" s="28" t="e">
        <f ca="1">[1]!BexGetData("DP_1","003N8EMH8GTFRIVNUPY2891V1","GSON1112060804")</f>
        <v>#NAME?</v>
      </c>
      <c r="M962" s="28" t="e">
        <f ca="1">[1]!BexGetData("DP_1","003N8EMH8GTFRIVOG7KG9IQXA","GSON1112060804")</f>
        <v>#NAME?</v>
      </c>
      <c r="N962" s="28" t="e">
        <f ca="1">[1]!BexGetData("DP_1","003N8EMH8GTFRIVOG7KG9IX8U","GSON1112060804")</f>
        <v>#NAME?</v>
      </c>
      <c r="O962" s="28" t="e">
        <f ca="1">[1]!BexGetData("DP_1","003N8EMH8GTFRIVOG7KG9J3KE","GSON1112060804")</f>
        <v>#NAME?</v>
      </c>
      <c r="P962" s="28" t="e">
        <f ca="1">[1]!BexGetData("DP_1","003N8EMH8GTFRIVOG7KG9J9VY","GSON1112060804")</f>
        <v>#NAME?</v>
      </c>
      <c r="Q962" s="24" t="e">
        <f ca="1">[1]!BexGetData("DP_1","00O2TNJGODT0G5Z4TTKYMM5MT","GSON1112060804")</f>
        <v>#NAME?</v>
      </c>
      <c r="R962" s="28" t="e">
        <f ca="1">[1]!BexGetData("DP_1","00O2TNJGODT0G5Z4TTKYMMBYD","GSON1112060804")</f>
        <v>#NAME?</v>
      </c>
      <c r="S962" s="28" t="e">
        <f ca="1">[1]!BexGetData("DP_1","00O2TNJGODT0G5Z4TTKYMMI9X","GSON1112060804")</f>
        <v>#NAME?</v>
      </c>
      <c r="T962" s="28" t="e">
        <f ca="1">[1]!BexGetData("DP_1","00O2TNJGODT0G5Z4TTKYMMOLH","GSON1112060804")</f>
        <v>#NAME?</v>
      </c>
      <c r="U962" s="28" t="e">
        <f ca="1">[1]!BexGetData("DP_1","00O2TNJGODT0G5Z4TTKYMMUX1","GSON1112060804")</f>
        <v>#NAME?</v>
      </c>
      <c r="V962" s="28" t="e">
        <f ca="1">[1]!BexGetData("DP_1","00O2TNJGODT0G5Z4TTKYMN18L","GSON1112060804")</f>
        <v>#NAME?</v>
      </c>
      <c r="W962" s="28" t="e">
        <f ca="1">[1]!BexGetData("DP_1","00O2TNJGODT0G5Z4TTKYMN7K5","GSON1112060804")</f>
        <v>#NAME?</v>
      </c>
    </row>
    <row r="963" spans="1:23" x14ac:dyDescent="0.2">
      <c r="A963" s="36" t="s">
        <v>3286</v>
      </c>
      <c r="B963" s="27" t="s">
        <v>3287</v>
      </c>
      <c r="C963" s="28" t="e">
        <f ca="1">[1]!BexGetData("DP_1","003N8EMH8GTFRCSWKMPXRR8GU","GSON1112060805")</f>
        <v>#NAME?</v>
      </c>
      <c r="D963" s="28" t="e">
        <f ca="1">[1]!BexGetData("DP_1","003N8EMH8GTFRCSWKMPXRRESE","GSON1112060805")</f>
        <v>#NAME?</v>
      </c>
      <c r="E963" s="28" t="e">
        <f ca="1">[1]!BexGetData("DP_1","003N8EMH8GTFRCSWKMPXRRL3Y","GSON1112060805")</f>
        <v>#NAME?</v>
      </c>
      <c r="F963" s="28" t="e">
        <f ca="1">[1]!BexGetData("DP_1","003N8EMH8GTFRCSWKMPXRRRFI","GSON1112060805")</f>
        <v>#NAME?</v>
      </c>
      <c r="G963" s="23" t="e">
        <f ca="1">[1]!BexGetData("DP_1","003N8EMH8GTFRCSWKMPXRRXR2","GSON1112060805")</f>
        <v>#NAME?</v>
      </c>
      <c r="H963" s="23" t="e">
        <f ca="1">[1]!BexGetData("DP_1","003N8EMH8GTFRCSWKMPXRS42M","GSON1112060805")</f>
        <v>#NAME?</v>
      </c>
      <c r="I963" s="28" t="e">
        <f ca="1">[1]!BexGetData("DP_1","003N8EMH8GTFRCSWKMPXRSAE6","GSON1112060805")</f>
        <v>#NAME?</v>
      </c>
      <c r="J963" s="24" t="e">
        <f ca="1">[1]!BexGetData("DP_1","003N8EMH8GTFRCSWKMPXRSGPQ","GSON1112060805")</f>
        <v>#NAME?</v>
      </c>
      <c r="K963" s="28" t="e">
        <f ca="1">[1]!BexGetData("DP_1","003N8EMH8GTFRIVNUPY288VJH","GSON1112060805")</f>
        <v>#NAME?</v>
      </c>
      <c r="L963" s="28" t="e">
        <f ca="1">[1]!BexGetData("DP_1","003N8EMH8GTFRIVNUPY2891V1","GSON1112060805")</f>
        <v>#NAME?</v>
      </c>
      <c r="M963" s="28" t="e">
        <f ca="1">[1]!BexGetData("DP_1","003N8EMH8GTFRIVOG7KG9IQXA","GSON1112060805")</f>
        <v>#NAME?</v>
      </c>
      <c r="N963" s="28" t="e">
        <f ca="1">[1]!BexGetData("DP_1","003N8EMH8GTFRIVOG7KG9IX8U","GSON1112060805")</f>
        <v>#NAME?</v>
      </c>
      <c r="O963" s="28" t="e">
        <f ca="1">[1]!BexGetData("DP_1","003N8EMH8GTFRIVOG7KG9J3KE","GSON1112060805")</f>
        <v>#NAME?</v>
      </c>
      <c r="P963" s="28" t="e">
        <f ca="1">[1]!BexGetData("DP_1","003N8EMH8GTFRIVOG7KG9J9VY","GSON1112060805")</f>
        <v>#NAME?</v>
      </c>
      <c r="Q963" s="24" t="e">
        <f ca="1">[1]!BexGetData("DP_1","00O2TNJGODT0G5Z4TTKYMM5MT","GSON1112060805")</f>
        <v>#NAME?</v>
      </c>
      <c r="R963" s="28" t="e">
        <f ca="1">[1]!BexGetData("DP_1","00O2TNJGODT0G5Z4TTKYMMBYD","GSON1112060805")</f>
        <v>#NAME?</v>
      </c>
      <c r="S963" s="28" t="e">
        <f ca="1">[1]!BexGetData("DP_1","00O2TNJGODT0G5Z4TTKYMMI9X","GSON1112060805")</f>
        <v>#NAME?</v>
      </c>
      <c r="T963" s="28" t="e">
        <f ca="1">[1]!BexGetData("DP_1","00O2TNJGODT0G5Z4TTKYMMOLH","GSON1112060805")</f>
        <v>#NAME?</v>
      </c>
      <c r="U963" s="28" t="e">
        <f ca="1">[1]!BexGetData("DP_1","00O2TNJGODT0G5Z4TTKYMMUX1","GSON1112060805")</f>
        <v>#NAME?</v>
      </c>
      <c r="V963" s="28" t="e">
        <f ca="1">[1]!BexGetData("DP_1","00O2TNJGODT0G5Z4TTKYMN18L","GSON1112060805")</f>
        <v>#NAME?</v>
      </c>
      <c r="W963" s="28" t="e">
        <f ca="1">[1]!BexGetData("DP_1","00O2TNJGODT0G5Z4TTKYMN7K5","GSON1112060805")</f>
        <v>#NAME?</v>
      </c>
    </row>
    <row r="964" spans="1:23" x14ac:dyDescent="0.2">
      <c r="A964" s="36" t="s">
        <v>3288</v>
      </c>
      <c r="B964" s="27" t="s">
        <v>3289</v>
      </c>
      <c r="C964" s="23" t="e">
        <f ca="1">[1]!BexGetData("DP_1","003N8EMH8GTFRCSWKMPXRR8GU","GSON1112060810")</f>
        <v>#NAME?</v>
      </c>
      <c r="D964" s="23" t="e">
        <f ca="1">[1]!BexGetData("DP_1","003N8EMH8GTFRCSWKMPXRRESE","GSON1112060810")</f>
        <v>#NAME?</v>
      </c>
      <c r="E964" s="23" t="e">
        <f ca="1">[1]!BexGetData("DP_1","003N8EMH8GTFRCSWKMPXRRL3Y","GSON1112060810")</f>
        <v>#NAME?</v>
      </c>
      <c r="F964" s="23" t="e">
        <f ca="1">[1]!BexGetData("DP_1","003N8EMH8GTFRCSWKMPXRRRFI","GSON1112060810")</f>
        <v>#NAME?</v>
      </c>
      <c r="G964" s="23" t="e">
        <f ca="1">[1]!BexGetData("DP_1","003N8EMH8GTFRCSWKMPXRRXR2","GSON1112060810")</f>
        <v>#NAME?</v>
      </c>
      <c r="H964" s="23" t="e">
        <f ca="1">[1]!BexGetData("DP_1","003N8EMH8GTFRCSWKMPXRS42M","GSON1112060810")</f>
        <v>#NAME?</v>
      </c>
      <c r="I964" s="23" t="e">
        <f ca="1">[1]!BexGetData("DP_1","003N8EMH8GTFRCSWKMPXRSAE6","GSON1112060810")</f>
        <v>#NAME?</v>
      </c>
      <c r="J964" s="23" t="e">
        <f ca="1">[1]!BexGetData("DP_1","003N8EMH8GTFRCSWKMPXRSGPQ","GSON1112060810")</f>
        <v>#NAME?</v>
      </c>
      <c r="K964" s="23" t="e">
        <f ca="1">[1]!BexGetData("DP_1","003N8EMH8GTFRIVNUPY288VJH","GSON1112060810")</f>
        <v>#NAME?</v>
      </c>
      <c r="L964" s="23" t="e">
        <f ca="1">[1]!BexGetData("DP_1","003N8EMH8GTFRIVNUPY2891V1","GSON1112060810")</f>
        <v>#NAME?</v>
      </c>
      <c r="M964" s="28" t="e">
        <f ca="1">[1]!BexGetData("DP_1","003N8EMH8GTFRIVOG7KG9IQXA","GSON1112060810")</f>
        <v>#NAME?</v>
      </c>
      <c r="N964" s="23" t="e">
        <f ca="1">[1]!BexGetData("DP_1","003N8EMH8GTFRIVOG7KG9IX8U","GSON1112060810")</f>
        <v>#NAME?</v>
      </c>
      <c r="O964" s="28" t="e">
        <f ca="1">[1]!BexGetData("DP_1","003N8EMH8GTFRIVOG7KG9J3KE","GSON1112060810")</f>
        <v>#NAME?</v>
      </c>
      <c r="P964" s="23" t="e">
        <f ca="1">[1]!BexGetData("DP_1","003N8EMH8GTFRIVOG7KG9J9VY","GSON1112060810")</f>
        <v>#NAME?</v>
      </c>
      <c r="Q964" s="23" t="e">
        <f ca="1">[1]!BexGetData("DP_1","00O2TNJGODT0G5Z4TTKYMM5MT","GSON1112060810")</f>
        <v>#NAME?</v>
      </c>
      <c r="R964" s="23" t="e">
        <f ca="1">[1]!BexGetData("DP_1","00O2TNJGODT0G5Z4TTKYMMBYD","GSON1112060810")</f>
        <v>#NAME?</v>
      </c>
      <c r="S964" s="23" t="e">
        <f ca="1">[1]!BexGetData("DP_1","00O2TNJGODT0G5Z4TTKYMMI9X","GSON1112060810")</f>
        <v>#NAME?</v>
      </c>
      <c r="T964" s="23" t="e">
        <f ca="1">[1]!BexGetData("DP_1","00O2TNJGODT0G5Z4TTKYMMOLH","GSON1112060810")</f>
        <v>#NAME?</v>
      </c>
      <c r="U964" s="28" t="e">
        <f ca="1">[1]!BexGetData("DP_1","00O2TNJGODT0G5Z4TTKYMMUX1","GSON1112060810")</f>
        <v>#NAME?</v>
      </c>
      <c r="V964" s="23" t="e">
        <f ca="1">[1]!BexGetData("DP_1","00O2TNJGODT0G5Z4TTKYMN18L","GSON1112060810")</f>
        <v>#NAME?</v>
      </c>
      <c r="W964" s="28" t="e">
        <f ca="1">[1]!BexGetData("DP_1","00O2TNJGODT0G5Z4TTKYMN7K5","GSON1112060810")</f>
        <v>#NAME?</v>
      </c>
    </row>
    <row r="965" spans="1:23" x14ac:dyDescent="0.2">
      <c r="A965" s="36" t="s">
        <v>981</v>
      </c>
      <c r="B965" s="27" t="s">
        <v>982</v>
      </c>
      <c r="C965" s="23" t="e">
        <f ca="1">[1]!BexGetData("DP_1","003N8EMH8GTFRCSWKMPXRR8GU","GSON1112060811")</f>
        <v>#NAME?</v>
      </c>
      <c r="D965" s="23" t="e">
        <f ca="1">[1]!BexGetData("DP_1","003N8EMH8GTFRCSWKMPXRRESE","GSON1112060811")</f>
        <v>#NAME?</v>
      </c>
      <c r="E965" s="28" t="e">
        <f ca="1">[1]!BexGetData("DP_1","003N8EMH8GTFRCSWKMPXRRL3Y","GSON1112060811")</f>
        <v>#NAME?</v>
      </c>
      <c r="F965" s="28" t="e">
        <f ca="1">[1]!BexGetData("DP_1","003N8EMH8GTFRCSWKMPXRRRFI","GSON1112060811")</f>
        <v>#NAME?</v>
      </c>
      <c r="G965" s="23" t="e">
        <f ca="1">[1]!BexGetData("DP_1","003N8EMH8GTFRCSWKMPXRRXR2","GSON1112060811")</f>
        <v>#NAME?</v>
      </c>
      <c r="H965" s="23" t="e">
        <f ca="1">[1]!BexGetData("DP_1","003N8EMH8GTFRCSWKMPXRS42M","GSON1112060811")</f>
        <v>#NAME?</v>
      </c>
      <c r="I965" s="28" t="e">
        <f ca="1">[1]!BexGetData("DP_1","003N8EMH8GTFRCSWKMPXRSAE6","GSON1112060811")</f>
        <v>#NAME?</v>
      </c>
      <c r="J965" s="24" t="e">
        <f ca="1">[1]!BexGetData("DP_1","003N8EMH8GTFRCSWKMPXRSGPQ","GSON1112060811")</f>
        <v>#NAME?</v>
      </c>
      <c r="K965" s="28" t="e">
        <f ca="1">[1]!BexGetData("DP_1","003N8EMH8GTFRIVNUPY288VJH","GSON1112060811")</f>
        <v>#NAME?</v>
      </c>
      <c r="L965" s="28" t="e">
        <f ca="1">[1]!BexGetData("DP_1","003N8EMH8GTFRIVNUPY2891V1","GSON1112060811")</f>
        <v>#NAME?</v>
      </c>
      <c r="M965" s="28" t="e">
        <f ca="1">[1]!BexGetData("DP_1","003N8EMH8GTFRIVOG7KG9IQXA","GSON1112060811")</f>
        <v>#NAME?</v>
      </c>
      <c r="N965" s="28" t="e">
        <f ca="1">[1]!BexGetData("DP_1","003N8EMH8GTFRIVOG7KG9IX8U","GSON1112060811")</f>
        <v>#NAME?</v>
      </c>
      <c r="O965" s="28" t="e">
        <f ca="1">[1]!BexGetData("DP_1","003N8EMH8GTFRIVOG7KG9J3KE","GSON1112060811")</f>
        <v>#NAME?</v>
      </c>
      <c r="P965" s="28" t="e">
        <f ca="1">[1]!BexGetData("DP_1","003N8EMH8GTFRIVOG7KG9J9VY","GSON1112060811")</f>
        <v>#NAME?</v>
      </c>
      <c r="Q965" s="24" t="e">
        <f ca="1">[1]!BexGetData("DP_1","00O2TNJGODT0G5Z4TTKYMM5MT","GSON1112060811")</f>
        <v>#NAME?</v>
      </c>
      <c r="R965" s="28" t="e">
        <f ca="1">[1]!BexGetData("DP_1","00O2TNJGODT0G5Z4TTKYMMBYD","GSON1112060811")</f>
        <v>#NAME?</v>
      </c>
      <c r="S965" s="28" t="e">
        <f ca="1">[1]!BexGetData("DP_1","00O2TNJGODT0G5Z4TTKYMMI9X","GSON1112060811")</f>
        <v>#NAME?</v>
      </c>
      <c r="T965" s="28" t="e">
        <f ca="1">[1]!BexGetData("DP_1","00O2TNJGODT0G5Z4TTKYMMOLH","GSON1112060811")</f>
        <v>#NAME?</v>
      </c>
      <c r="U965" s="28" t="e">
        <f ca="1">[1]!BexGetData("DP_1","00O2TNJGODT0G5Z4TTKYMMUX1","GSON1112060811")</f>
        <v>#NAME?</v>
      </c>
      <c r="V965" s="28" t="e">
        <f ca="1">[1]!BexGetData("DP_1","00O2TNJGODT0G5Z4TTKYMN18L","GSON1112060811")</f>
        <v>#NAME?</v>
      </c>
      <c r="W965" s="28" t="e">
        <f ca="1">[1]!BexGetData("DP_1","00O2TNJGODT0G5Z4TTKYMN7K5","GSON1112060811")</f>
        <v>#NAME?</v>
      </c>
    </row>
    <row r="966" spans="1:23" x14ac:dyDescent="0.2">
      <c r="A966" s="36" t="s">
        <v>3290</v>
      </c>
      <c r="B966" s="27" t="s">
        <v>3291</v>
      </c>
      <c r="C966" s="24" t="e">
        <f ca="1">[1]!BexGetData("DP_1","003N8EMH8GTFRCSWKMPXRR8GU","GSON1112060812")</f>
        <v>#NAME?</v>
      </c>
      <c r="D966" s="24" t="e">
        <f ca="1">[1]!BexGetData("DP_1","003N8EMH8GTFRCSWKMPXRRESE","GSON1112060812")</f>
        <v>#NAME?</v>
      </c>
      <c r="E966" s="24" t="e">
        <f ca="1">[1]!BexGetData("DP_1","003N8EMH8GTFRCSWKMPXRRL3Y","GSON1112060812")</f>
        <v>#NAME?</v>
      </c>
      <c r="F966" s="28" t="e">
        <f ca="1">[1]!BexGetData("DP_1","003N8EMH8GTFRCSWKMPXRRRFI","GSON1112060812")</f>
        <v>#NAME?</v>
      </c>
      <c r="G966" s="23" t="e">
        <f ca="1">[1]!BexGetData("DP_1","003N8EMH8GTFRCSWKMPXRRXR2","GSON1112060812")</f>
        <v>#NAME?</v>
      </c>
      <c r="H966" s="23" t="e">
        <f ca="1">[1]!BexGetData("DP_1","003N8EMH8GTFRCSWKMPXRS42M","GSON1112060812")</f>
        <v>#NAME?</v>
      </c>
      <c r="I966" s="28" t="e">
        <f ca="1">[1]!BexGetData("DP_1","003N8EMH8GTFRCSWKMPXRSAE6","GSON1112060812")</f>
        <v>#NAME?</v>
      </c>
      <c r="J966" s="23" t="e">
        <f ca="1">[1]!BexGetData("DP_1","003N8EMH8GTFRCSWKMPXRSGPQ","GSON1112060812")</f>
        <v>#NAME?</v>
      </c>
      <c r="K966" s="28" t="e">
        <f ca="1">[1]!BexGetData("DP_1","003N8EMH8GTFRIVNUPY288VJH","GSON1112060812")</f>
        <v>#NAME?</v>
      </c>
      <c r="L966" s="28" t="e">
        <f ca="1">[1]!BexGetData("DP_1","003N8EMH8GTFRIVNUPY2891V1","GSON1112060812")</f>
        <v>#NAME?</v>
      </c>
      <c r="M966" s="28" t="e">
        <f ca="1">[1]!BexGetData("DP_1","003N8EMH8GTFRIVOG7KG9IQXA","GSON1112060812")</f>
        <v>#NAME?</v>
      </c>
      <c r="N966" s="28" t="e">
        <f ca="1">[1]!BexGetData("DP_1","003N8EMH8GTFRIVOG7KG9IX8U","GSON1112060812")</f>
        <v>#NAME?</v>
      </c>
      <c r="O966" s="28" t="e">
        <f ca="1">[1]!BexGetData("DP_1","003N8EMH8GTFRIVOG7KG9J3KE","GSON1112060812")</f>
        <v>#NAME?</v>
      </c>
      <c r="P966" s="28" t="e">
        <f ca="1">[1]!BexGetData("DP_1","003N8EMH8GTFRIVOG7KG9J9VY","GSON1112060812")</f>
        <v>#NAME?</v>
      </c>
      <c r="Q966" s="23" t="e">
        <f ca="1">[1]!BexGetData("DP_1","00O2TNJGODT0G5Z4TTKYMM5MT","GSON1112060812")</f>
        <v>#NAME?</v>
      </c>
      <c r="R966" s="23" t="e">
        <f ca="1">[1]!BexGetData("DP_1","00O2TNJGODT0G5Z4TTKYMMBYD","GSON1112060812")</f>
        <v>#NAME?</v>
      </c>
      <c r="S966" s="23" t="e">
        <f ca="1">[1]!BexGetData("DP_1","00O2TNJGODT0G5Z4TTKYMMI9X","GSON1112060812")</f>
        <v>#NAME?</v>
      </c>
      <c r="T966" s="28" t="e">
        <f ca="1">[1]!BexGetData("DP_1","00O2TNJGODT0G5Z4TTKYMMOLH","GSON1112060812")</f>
        <v>#NAME?</v>
      </c>
      <c r="U966" s="23" t="e">
        <f ca="1">[1]!BexGetData("DP_1","00O2TNJGODT0G5Z4TTKYMMUX1","GSON1112060812")</f>
        <v>#NAME?</v>
      </c>
      <c r="V966" s="28" t="e">
        <f ca="1">[1]!BexGetData("DP_1","00O2TNJGODT0G5Z4TTKYMN18L","GSON1112060812")</f>
        <v>#NAME?</v>
      </c>
      <c r="W966" s="23" t="e">
        <f ca="1">[1]!BexGetData("DP_1","00O2TNJGODT0G5Z4TTKYMN7K5","GSON1112060812")</f>
        <v>#NAME?</v>
      </c>
    </row>
    <row r="967" spans="1:23" x14ac:dyDescent="0.2">
      <c r="A967" s="36" t="s">
        <v>3292</v>
      </c>
      <c r="B967" s="27" t="s">
        <v>3293</v>
      </c>
      <c r="C967" s="28" t="e">
        <f ca="1">[1]!BexGetData("DP_1","003N8EMH8GTFRCSWKMPXRR8GU","GSON1112060813")</f>
        <v>#NAME?</v>
      </c>
      <c r="D967" s="28" t="e">
        <f ca="1">[1]!BexGetData("DP_1","003N8EMH8GTFRCSWKMPXRRESE","GSON1112060813")</f>
        <v>#NAME?</v>
      </c>
      <c r="E967" s="28" t="e">
        <f ca="1">[1]!BexGetData("DP_1","003N8EMH8GTFRCSWKMPXRRL3Y","GSON1112060813")</f>
        <v>#NAME?</v>
      </c>
      <c r="F967" s="28" t="e">
        <f ca="1">[1]!BexGetData("DP_1","003N8EMH8GTFRCSWKMPXRRRFI","GSON1112060813")</f>
        <v>#NAME?</v>
      </c>
      <c r="G967" s="23" t="e">
        <f ca="1">[1]!BexGetData("DP_1","003N8EMH8GTFRCSWKMPXRRXR2","GSON1112060813")</f>
        <v>#NAME?</v>
      </c>
      <c r="H967" s="23" t="e">
        <f ca="1">[1]!BexGetData("DP_1","003N8EMH8GTFRCSWKMPXRS42M","GSON1112060813")</f>
        <v>#NAME?</v>
      </c>
      <c r="I967" s="28" t="e">
        <f ca="1">[1]!BexGetData("DP_1","003N8EMH8GTFRCSWKMPXRSAE6","GSON1112060813")</f>
        <v>#NAME?</v>
      </c>
      <c r="J967" s="24" t="e">
        <f ca="1">[1]!BexGetData("DP_1","003N8EMH8GTFRCSWKMPXRSGPQ","GSON1112060813")</f>
        <v>#NAME?</v>
      </c>
      <c r="K967" s="28" t="e">
        <f ca="1">[1]!BexGetData("DP_1","003N8EMH8GTFRIVNUPY288VJH","GSON1112060813")</f>
        <v>#NAME?</v>
      </c>
      <c r="L967" s="28" t="e">
        <f ca="1">[1]!BexGetData("DP_1","003N8EMH8GTFRIVNUPY2891V1","GSON1112060813")</f>
        <v>#NAME?</v>
      </c>
      <c r="M967" s="28" t="e">
        <f ca="1">[1]!BexGetData("DP_1","003N8EMH8GTFRIVOG7KG9IQXA","GSON1112060813")</f>
        <v>#NAME?</v>
      </c>
      <c r="N967" s="28" t="e">
        <f ca="1">[1]!BexGetData("DP_1","003N8EMH8GTFRIVOG7KG9IX8U","GSON1112060813")</f>
        <v>#NAME?</v>
      </c>
      <c r="O967" s="28" t="e">
        <f ca="1">[1]!BexGetData("DP_1","003N8EMH8GTFRIVOG7KG9J3KE","GSON1112060813")</f>
        <v>#NAME?</v>
      </c>
      <c r="P967" s="28" t="e">
        <f ca="1">[1]!BexGetData("DP_1","003N8EMH8GTFRIVOG7KG9J9VY","GSON1112060813")</f>
        <v>#NAME?</v>
      </c>
      <c r="Q967" s="24" t="e">
        <f ca="1">[1]!BexGetData("DP_1","00O2TNJGODT0G5Z4TTKYMM5MT","GSON1112060813")</f>
        <v>#NAME?</v>
      </c>
      <c r="R967" s="28" t="e">
        <f ca="1">[1]!BexGetData("DP_1","00O2TNJGODT0G5Z4TTKYMMBYD","GSON1112060813")</f>
        <v>#NAME?</v>
      </c>
      <c r="S967" s="28" t="e">
        <f ca="1">[1]!BexGetData("DP_1","00O2TNJGODT0G5Z4TTKYMMI9X","GSON1112060813")</f>
        <v>#NAME?</v>
      </c>
      <c r="T967" s="28" t="e">
        <f ca="1">[1]!BexGetData("DP_1","00O2TNJGODT0G5Z4TTKYMMOLH","GSON1112060813")</f>
        <v>#NAME?</v>
      </c>
      <c r="U967" s="28" t="e">
        <f ca="1">[1]!BexGetData("DP_1","00O2TNJGODT0G5Z4TTKYMMUX1","GSON1112060813")</f>
        <v>#NAME?</v>
      </c>
      <c r="V967" s="28" t="e">
        <f ca="1">[1]!BexGetData("DP_1","00O2TNJGODT0G5Z4TTKYMN18L","GSON1112060813")</f>
        <v>#NAME?</v>
      </c>
      <c r="W967" s="28" t="e">
        <f ca="1">[1]!BexGetData("DP_1","00O2TNJGODT0G5Z4TTKYMN7K5","GSON1112060813")</f>
        <v>#NAME?</v>
      </c>
    </row>
    <row r="968" spans="1:23" x14ac:dyDescent="0.2">
      <c r="A968" s="36" t="s">
        <v>3294</v>
      </c>
      <c r="B968" s="27" t="s">
        <v>3295</v>
      </c>
      <c r="C968" s="23" t="e">
        <f ca="1">[1]!BexGetData("DP_1","003N8EMH8GTFRCSWKMPXRR8GU","GSON1112060814")</f>
        <v>#NAME?</v>
      </c>
      <c r="D968" s="23" t="e">
        <f ca="1">[1]!BexGetData("DP_1","003N8EMH8GTFRCSWKMPXRRESE","GSON1112060814")</f>
        <v>#NAME?</v>
      </c>
      <c r="E968" s="28" t="e">
        <f ca="1">[1]!BexGetData("DP_1","003N8EMH8GTFRCSWKMPXRRL3Y","GSON1112060814")</f>
        <v>#NAME?</v>
      </c>
      <c r="F968" s="28" t="e">
        <f ca="1">[1]!BexGetData("DP_1","003N8EMH8GTFRCSWKMPXRRRFI","GSON1112060814")</f>
        <v>#NAME?</v>
      </c>
      <c r="G968" s="23" t="e">
        <f ca="1">[1]!BexGetData("DP_1","003N8EMH8GTFRCSWKMPXRRXR2","GSON1112060814")</f>
        <v>#NAME?</v>
      </c>
      <c r="H968" s="23" t="e">
        <f ca="1">[1]!BexGetData("DP_1","003N8EMH8GTFRCSWKMPXRS42M","GSON1112060814")</f>
        <v>#NAME?</v>
      </c>
      <c r="I968" s="28" t="e">
        <f ca="1">[1]!BexGetData("DP_1","003N8EMH8GTFRCSWKMPXRSAE6","GSON1112060814")</f>
        <v>#NAME?</v>
      </c>
      <c r="J968" s="24" t="e">
        <f ca="1">[1]!BexGetData("DP_1","003N8EMH8GTFRCSWKMPXRSGPQ","GSON1112060814")</f>
        <v>#NAME?</v>
      </c>
      <c r="K968" s="28" t="e">
        <f ca="1">[1]!BexGetData("DP_1","003N8EMH8GTFRIVNUPY288VJH","GSON1112060814")</f>
        <v>#NAME?</v>
      </c>
      <c r="L968" s="28" t="e">
        <f ca="1">[1]!BexGetData("DP_1","003N8EMH8GTFRIVNUPY2891V1","GSON1112060814")</f>
        <v>#NAME?</v>
      </c>
      <c r="M968" s="28" t="e">
        <f ca="1">[1]!BexGetData("DP_1","003N8EMH8GTFRIVOG7KG9IQXA","GSON1112060814")</f>
        <v>#NAME?</v>
      </c>
      <c r="N968" s="28" t="e">
        <f ca="1">[1]!BexGetData("DP_1","003N8EMH8GTFRIVOG7KG9IX8U","GSON1112060814")</f>
        <v>#NAME?</v>
      </c>
      <c r="O968" s="28" t="e">
        <f ca="1">[1]!BexGetData("DP_1","003N8EMH8GTFRIVOG7KG9J3KE","GSON1112060814")</f>
        <v>#NAME?</v>
      </c>
      <c r="P968" s="28" t="e">
        <f ca="1">[1]!BexGetData("DP_1","003N8EMH8GTFRIVOG7KG9J9VY","GSON1112060814")</f>
        <v>#NAME?</v>
      </c>
      <c r="Q968" s="24" t="e">
        <f ca="1">[1]!BexGetData("DP_1","00O2TNJGODT0G5Z4TTKYMM5MT","GSON1112060814")</f>
        <v>#NAME?</v>
      </c>
      <c r="R968" s="28" t="e">
        <f ca="1">[1]!BexGetData("DP_1","00O2TNJGODT0G5Z4TTKYMMBYD","GSON1112060814")</f>
        <v>#NAME?</v>
      </c>
      <c r="S968" s="28" t="e">
        <f ca="1">[1]!BexGetData("DP_1","00O2TNJGODT0G5Z4TTKYMMI9X","GSON1112060814")</f>
        <v>#NAME?</v>
      </c>
      <c r="T968" s="28" t="e">
        <f ca="1">[1]!BexGetData("DP_1","00O2TNJGODT0G5Z4TTKYMMOLH","GSON1112060814")</f>
        <v>#NAME?</v>
      </c>
      <c r="U968" s="28" t="e">
        <f ca="1">[1]!BexGetData("DP_1","00O2TNJGODT0G5Z4TTKYMMUX1","GSON1112060814")</f>
        <v>#NAME?</v>
      </c>
      <c r="V968" s="28" t="e">
        <f ca="1">[1]!BexGetData("DP_1","00O2TNJGODT0G5Z4TTKYMN18L","GSON1112060814")</f>
        <v>#NAME?</v>
      </c>
      <c r="W968" s="28" t="e">
        <f ca="1">[1]!BexGetData("DP_1","00O2TNJGODT0G5Z4TTKYMN7K5","GSON1112060814")</f>
        <v>#NAME?</v>
      </c>
    </row>
    <row r="969" spans="1:23" x14ac:dyDescent="0.2">
      <c r="A969" s="36" t="s">
        <v>3296</v>
      </c>
      <c r="B969" s="27" t="s">
        <v>3297</v>
      </c>
      <c r="C969" s="23" t="e">
        <f ca="1">[1]!BexGetData("DP_1","003N8EMH8GTFRCSWKMPXRR8GU","GSON1112060815")</f>
        <v>#NAME?</v>
      </c>
      <c r="D969" s="23" t="e">
        <f ca="1">[1]!BexGetData("DP_1","003N8EMH8GTFRCSWKMPXRRESE","GSON1112060815")</f>
        <v>#NAME?</v>
      </c>
      <c r="E969" s="28" t="e">
        <f ca="1">[1]!BexGetData("DP_1","003N8EMH8GTFRCSWKMPXRRL3Y","GSON1112060815")</f>
        <v>#NAME?</v>
      </c>
      <c r="F969" s="28" t="e">
        <f ca="1">[1]!BexGetData("DP_1","003N8EMH8GTFRCSWKMPXRRRFI","GSON1112060815")</f>
        <v>#NAME?</v>
      </c>
      <c r="G969" s="23" t="e">
        <f ca="1">[1]!BexGetData("DP_1","003N8EMH8GTFRCSWKMPXRRXR2","GSON1112060815")</f>
        <v>#NAME?</v>
      </c>
      <c r="H969" s="23" t="e">
        <f ca="1">[1]!BexGetData("DP_1","003N8EMH8GTFRCSWKMPXRS42M","GSON1112060815")</f>
        <v>#NAME?</v>
      </c>
      <c r="I969" s="28" t="e">
        <f ca="1">[1]!BexGetData("DP_1","003N8EMH8GTFRCSWKMPXRSAE6","GSON1112060815")</f>
        <v>#NAME?</v>
      </c>
      <c r="J969" s="24" t="e">
        <f ca="1">[1]!BexGetData("DP_1","003N8EMH8GTFRCSWKMPXRSGPQ","GSON1112060815")</f>
        <v>#NAME?</v>
      </c>
      <c r="K969" s="28" t="e">
        <f ca="1">[1]!BexGetData("DP_1","003N8EMH8GTFRIVNUPY288VJH","GSON1112060815")</f>
        <v>#NAME?</v>
      </c>
      <c r="L969" s="28" t="e">
        <f ca="1">[1]!BexGetData("DP_1","003N8EMH8GTFRIVNUPY2891V1","GSON1112060815")</f>
        <v>#NAME?</v>
      </c>
      <c r="M969" s="28" t="e">
        <f ca="1">[1]!BexGetData("DP_1","003N8EMH8GTFRIVOG7KG9IQXA","GSON1112060815")</f>
        <v>#NAME?</v>
      </c>
      <c r="N969" s="28" t="e">
        <f ca="1">[1]!BexGetData("DP_1","003N8EMH8GTFRIVOG7KG9IX8U","GSON1112060815")</f>
        <v>#NAME?</v>
      </c>
      <c r="O969" s="28" t="e">
        <f ca="1">[1]!BexGetData("DP_1","003N8EMH8GTFRIVOG7KG9J3KE","GSON1112060815")</f>
        <v>#NAME?</v>
      </c>
      <c r="P969" s="28" t="e">
        <f ca="1">[1]!BexGetData("DP_1","003N8EMH8GTFRIVOG7KG9J9VY","GSON1112060815")</f>
        <v>#NAME?</v>
      </c>
      <c r="Q969" s="24" t="e">
        <f ca="1">[1]!BexGetData("DP_1","00O2TNJGODT0G5Z4TTKYMM5MT","GSON1112060815")</f>
        <v>#NAME?</v>
      </c>
      <c r="R969" s="28" t="e">
        <f ca="1">[1]!BexGetData("DP_1","00O2TNJGODT0G5Z4TTKYMMBYD","GSON1112060815")</f>
        <v>#NAME?</v>
      </c>
      <c r="S969" s="28" t="e">
        <f ca="1">[1]!BexGetData("DP_1","00O2TNJGODT0G5Z4TTKYMMI9X","GSON1112060815")</f>
        <v>#NAME?</v>
      </c>
      <c r="T969" s="28" t="e">
        <f ca="1">[1]!BexGetData("DP_1","00O2TNJGODT0G5Z4TTKYMMOLH","GSON1112060815")</f>
        <v>#NAME?</v>
      </c>
      <c r="U969" s="28" t="e">
        <f ca="1">[1]!BexGetData("DP_1","00O2TNJGODT0G5Z4TTKYMMUX1","GSON1112060815")</f>
        <v>#NAME?</v>
      </c>
      <c r="V969" s="28" t="e">
        <f ca="1">[1]!BexGetData("DP_1","00O2TNJGODT0G5Z4TTKYMN18L","GSON1112060815")</f>
        <v>#NAME?</v>
      </c>
      <c r="W969" s="28" t="e">
        <f ca="1">[1]!BexGetData("DP_1","00O2TNJGODT0G5Z4TTKYMN7K5","GSON1112060815")</f>
        <v>#NAME?</v>
      </c>
    </row>
    <row r="970" spans="1:23" x14ac:dyDescent="0.2">
      <c r="A970" s="36" t="s">
        <v>3298</v>
      </c>
      <c r="B970" s="27" t="s">
        <v>3299</v>
      </c>
      <c r="C970" s="28" t="e">
        <f ca="1">[1]!BexGetData("DP_1","003N8EMH8GTFRCSWKMPXRR8GU","GSON1112060820")</f>
        <v>#NAME?</v>
      </c>
      <c r="D970" s="23" t="e">
        <f ca="1">[1]!BexGetData("DP_1","003N8EMH8GTFRCSWKMPXRRESE","GSON1112060820")</f>
        <v>#NAME?</v>
      </c>
      <c r="E970" s="28" t="e">
        <f ca="1">[1]!BexGetData("DP_1","003N8EMH8GTFRCSWKMPXRRL3Y","GSON1112060820")</f>
        <v>#NAME?</v>
      </c>
      <c r="F970" s="23" t="e">
        <f ca="1">[1]!BexGetData("DP_1","003N8EMH8GTFRCSWKMPXRRRFI","GSON1112060820")</f>
        <v>#NAME?</v>
      </c>
      <c r="G970" s="23" t="e">
        <f ca="1">[1]!BexGetData("DP_1","003N8EMH8GTFRCSWKMPXRRXR2","GSON1112060820")</f>
        <v>#NAME?</v>
      </c>
      <c r="H970" s="23" t="e">
        <f ca="1">[1]!BexGetData("DP_1","003N8EMH8GTFRCSWKMPXRS42M","GSON1112060820")</f>
        <v>#NAME?</v>
      </c>
      <c r="I970" s="23" t="e">
        <f ca="1">[1]!BexGetData("DP_1","003N8EMH8GTFRCSWKMPXRSAE6","GSON1112060820")</f>
        <v>#NAME?</v>
      </c>
      <c r="J970" s="23" t="e">
        <f ca="1">[1]!BexGetData("DP_1","003N8EMH8GTFRCSWKMPXRSGPQ","GSON1112060820")</f>
        <v>#NAME?</v>
      </c>
      <c r="K970" s="23" t="e">
        <f ca="1">[1]!BexGetData("DP_1","003N8EMH8GTFRIVNUPY288VJH","GSON1112060820")</f>
        <v>#NAME?</v>
      </c>
      <c r="L970" s="23" t="e">
        <f ca="1">[1]!BexGetData("DP_1","003N8EMH8GTFRIVNUPY2891V1","GSON1112060820")</f>
        <v>#NAME?</v>
      </c>
      <c r="M970" s="23" t="e">
        <f ca="1">[1]!BexGetData("DP_1","003N8EMH8GTFRIVOG7KG9IQXA","GSON1112060820")</f>
        <v>#NAME?</v>
      </c>
      <c r="N970" s="28" t="e">
        <f ca="1">[1]!BexGetData("DP_1","003N8EMH8GTFRIVOG7KG9IX8U","GSON1112060820")</f>
        <v>#NAME?</v>
      </c>
      <c r="O970" s="23" t="e">
        <f ca="1">[1]!BexGetData("DP_1","003N8EMH8GTFRIVOG7KG9J3KE","GSON1112060820")</f>
        <v>#NAME?</v>
      </c>
      <c r="P970" s="28" t="e">
        <f ca="1">[1]!BexGetData("DP_1","003N8EMH8GTFRIVOG7KG9J9VY","GSON1112060820")</f>
        <v>#NAME?</v>
      </c>
      <c r="Q970" s="23" t="e">
        <f ca="1">[1]!BexGetData("DP_1","00O2TNJGODT0G5Z4TTKYMM5MT","GSON1112060820")</f>
        <v>#NAME?</v>
      </c>
      <c r="R970" s="23" t="e">
        <f ca="1">[1]!BexGetData("DP_1","00O2TNJGODT0G5Z4TTKYMMBYD","GSON1112060820")</f>
        <v>#NAME?</v>
      </c>
      <c r="S970" s="23" t="e">
        <f ca="1">[1]!BexGetData("DP_1","00O2TNJGODT0G5Z4TTKYMMI9X","GSON1112060820")</f>
        <v>#NAME?</v>
      </c>
      <c r="T970" s="23" t="e">
        <f ca="1">[1]!BexGetData("DP_1","00O2TNJGODT0G5Z4TTKYMMOLH","GSON1112060820")</f>
        <v>#NAME?</v>
      </c>
      <c r="U970" s="28" t="e">
        <f ca="1">[1]!BexGetData("DP_1","00O2TNJGODT0G5Z4TTKYMMUX1","GSON1112060820")</f>
        <v>#NAME?</v>
      </c>
      <c r="V970" s="23" t="e">
        <f ca="1">[1]!BexGetData("DP_1","00O2TNJGODT0G5Z4TTKYMN18L","GSON1112060820")</f>
        <v>#NAME?</v>
      </c>
      <c r="W970" s="28" t="e">
        <f ca="1">[1]!BexGetData("DP_1","00O2TNJGODT0G5Z4TTKYMN7K5","GSON1112060820")</f>
        <v>#NAME?</v>
      </c>
    </row>
    <row r="971" spans="1:23" x14ac:dyDescent="0.2">
      <c r="A971" s="36" t="s">
        <v>3300</v>
      </c>
      <c r="B971" s="27" t="s">
        <v>3301</v>
      </c>
      <c r="C971" s="28" t="e">
        <f ca="1">[1]!BexGetData("DP_1","003N8EMH8GTFRCSWKMPXRR8GU","GSON1112060821")</f>
        <v>#NAME?</v>
      </c>
      <c r="D971" s="28" t="e">
        <f ca="1">[1]!BexGetData("DP_1","003N8EMH8GTFRCSWKMPXRRESE","GSON1112060821")</f>
        <v>#NAME?</v>
      </c>
      <c r="E971" s="28" t="e">
        <f ca="1">[1]!BexGetData("DP_1","003N8EMH8GTFRCSWKMPXRRL3Y","GSON1112060821")</f>
        <v>#NAME?</v>
      </c>
      <c r="F971" s="28" t="e">
        <f ca="1">[1]!BexGetData("DP_1","003N8EMH8GTFRCSWKMPXRRRFI","GSON1112060821")</f>
        <v>#NAME?</v>
      </c>
      <c r="G971" s="23" t="e">
        <f ca="1">[1]!BexGetData("DP_1","003N8EMH8GTFRCSWKMPXRRXR2","GSON1112060821")</f>
        <v>#NAME?</v>
      </c>
      <c r="H971" s="23" t="e">
        <f ca="1">[1]!BexGetData("DP_1","003N8EMH8GTFRCSWKMPXRS42M","GSON1112060821")</f>
        <v>#NAME?</v>
      </c>
      <c r="I971" s="28" t="e">
        <f ca="1">[1]!BexGetData("DP_1","003N8EMH8GTFRCSWKMPXRSAE6","GSON1112060821")</f>
        <v>#NAME?</v>
      </c>
      <c r="J971" s="24" t="e">
        <f ca="1">[1]!BexGetData("DP_1","003N8EMH8GTFRCSWKMPXRSGPQ","GSON1112060821")</f>
        <v>#NAME?</v>
      </c>
      <c r="K971" s="28" t="e">
        <f ca="1">[1]!BexGetData("DP_1","003N8EMH8GTFRIVNUPY288VJH","GSON1112060821")</f>
        <v>#NAME?</v>
      </c>
      <c r="L971" s="28" t="e">
        <f ca="1">[1]!BexGetData("DP_1","003N8EMH8GTFRIVNUPY2891V1","GSON1112060821")</f>
        <v>#NAME?</v>
      </c>
      <c r="M971" s="28" t="e">
        <f ca="1">[1]!BexGetData("DP_1","003N8EMH8GTFRIVOG7KG9IQXA","GSON1112060821")</f>
        <v>#NAME?</v>
      </c>
      <c r="N971" s="28" t="e">
        <f ca="1">[1]!BexGetData("DP_1","003N8EMH8GTFRIVOG7KG9IX8U","GSON1112060821")</f>
        <v>#NAME?</v>
      </c>
      <c r="O971" s="28" t="e">
        <f ca="1">[1]!BexGetData("DP_1","003N8EMH8GTFRIVOG7KG9J3KE","GSON1112060821")</f>
        <v>#NAME?</v>
      </c>
      <c r="P971" s="28" t="e">
        <f ca="1">[1]!BexGetData("DP_1","003N8EMH8GTFRIVOG7KG9J9VY","GSON1112060821")</f>
        <v>#NAME?</v>
      </c>
      <c r="Q971" s="24" t="e">
        <f ca="1">[1]!BexGetData("DP_1","00O2TNJGODT0G5Z4TTKYMM5MT","GSON1112060821")</f>
        <v>#NAME?</v>
      </c>
      <c r="R971" s="28" t="e">
        <f ca="1">[1]!BexGetData("DP_1","00O2TNJGODT0G5Z4TTKYMMBYD","GSON1112060821")</f>
        <v>#NAME?</v>
      </c>
      <c r="S971" s="28" t="e">
        <f ca="1">[1]!BexGetData("DP_1","00O2TNJGODT0G5Z4TTKYMMI9X","GSON1112060821")</f>
        <v>#NAME?</v>
      </c>
      <c r="T971" s="28" t="e">
        <f ca="1">[1]!BexGetData("DP_1","00O2TNJGODT0G5Z4TTKYMMOLH","GSON1112060821")</f>
        <v>#NAME?</v>
      </c>
      <c r="U971" s="28" t="e">
        <f ca="1">[1]!BexGetData("DP_1","00O2TNJGODT0G5Z4TTKYMMUX1","GSON1112060821")</f>
        <v>#NAME?</v>
      </c>
      <c r="V971" s="28" t="e">
        <f ca="1">[1]!BexGetData("DP_1","00O2TNJGODT0G5Z4TTKYMN18L","GSON1112060821")</f>
        <v>#NAME?</v>
      </c>
      <c r="W971" s="28" t="e">
        <f ca="1">[1]!BexGetData("DP_1","00O2TNJGODT0G5Z4TTKYMN7K5","GSON1112060821")</f>
        <v>#NAME?</v>
      </c>
    </row>
    <row r="972" spans="1:23" x14ac:dyDescent="0.2">
      <c r="A972" s="36" t="s">
        <v>3302</v>
      </c>
      <c r="B972" s="27" t="s">
        <v>3303</v>
      </c>
      <c r="C972" s="24" t="e">
        <f ca="1">[1]!BexGetData("DP_1","003N8EMH8GTFRCSWKMPXRR8GU","GSON1112060822")</f>
        <v>#NAME?</v>
      </c>
      <c r="D972" s="24" t="e">
        <f ca="1">[1]!BexGetData("DP_1","003N8EMH8GTFRCSWKMPXRRESE","GSON1112060822")</f>
        <v>#NAME?</v>
      </c>
      <c r="E972" s="24" t="e">
        <f ca="1">[1]!BexGetData("DP_1","003N8EMH8GTFRCSWKMPXRRL3Y","GSON1112060822")</f>
        <v>#NAME?</v>
      </c>
      <c r="F972" s="28" t="e">
        <f ca="1">[1]!BexGetData("DP_1","003N8EMH8GTFRCSWKMPXRRRFI","GSON1112060822")</f>
        <v>#NAME?</v>
      </c>
      <c r="G972" s="23" t="e">
        <f ca="1">[1]!BexGetData("DP_1","003N8EMH8GTFRCSWKMPXRRXR2","GSON1112060822")</f>
        <v>#NAME?</v>
      </c>
      <c r="H972" s="23" t="e">
        <f ca="1">[1]!BexGetData("DP_1","003N8EMH8GTFRCSWKMPXRS42M","GSON1112060822")</f>
        <v>#NAME?</v>
      </c>
      <c r="I972" s="28" t="e">
        <f ca="1">[1]!BexGetData("DP_1","003N8EMH8GTFRCSWKMPXRSAE6","GSON1112060822")</f>
        <v>#NAME?</v>
      </c>
      <c r="J972" s="23" t="e">
        <f ca="1">[1]!BexGetData("DP_1","003N8EMH8GTFRCSWKMPXRSGPQ","GSON1112060822")</f>
        <v>#NAME?</v>
      </c>
      <c r="K972" s="28" t="e">
        <f ca="1">[1]!BexGetData("DP_1","003N8EMH8GTFRIVNUPY288VJH","GSON1112060822")</f>
        <v>#NAME?</v>
      </c>
      <c r="L972" s="28" t="e">
        <f ca="1">[1]!BexGetData("DP_1","003N8EMH8GTFRIVNUPY2891V1","GSON1112060822")</f>
        <v>#NAME?</v>
      </c>
      <c r="M972" s="28" t="e">
        <f ca="1">[1]!BexGetData("DP_1","003N8EMH8GTFRIVOG7KG9IQXA","GSON1112060822")</f>
        <v>#NAME?</v>
      </c>
      <c r="N972" s="28" t="e">
        <f ca="1">[1]!BexGetData("DP_1","003N8EMH8GTFRIVOG7KG9IX8U","GSON1112060822")</f>
        <v>#NAME?</v>
      </c>
      <c r="O972" s="28" t="e">
        <f ca="1">[1]!BexGetData("DP_1","003N8EMH8GTFRIVOG7KG9J3KE","GSON1112060822")</f>
        <v>#NAME?</v>
      </c>
      <c r="P972" s="28" t="e">
        <f ca="1">[1]!BexGetData("DP_1","003N8EMH8GTFRIVOG7KG9J9VY","GSON1112060822")</f>
        <v>#NAME?</v>
      </c>
      <c r="Q972" s="23" t="e">
        <f ca="1">[1]!BexGetData("DP_1","00O2TNJGODT0G5Z4TTKYMM5MT","GSON1112060822")</f>
        <v>#NAME?</v>
      </c>
      <c r="R972" s="23" t="e">
        <f ca="1">[1]!BexGetData("DP_1","00O2TNJGODT0G5Z4TTKYMMBYD","GSON1112060822")</f>
        <v>#NAME?</v>
      </c>
      <c r="S972" s="23" t="e">
        <f ca="1">[1]!BexGetData("DP_1","00O2TNJGODT0G5Z4TTKYMMI9X","GSON1112060822")</f>
        <v>#NAME?</v>
      </c>
      <c r="T972" s="28" t="e">
        <f ca="1">[1]!BexGetData("DP_1","00O2TNJGODT0G5Z4TTKYMMOLH","GSON1112060822")</f>
        <v>#NAME?</v>
      </c>
      <c r="U972" s="23" t="e">
        <f ca="1">[1]!BexGetData("DP_1","00O2TNJGODT0G5Z4TTKYMMUX1","GSON1112060822")</f>
        <v>#NAME?</v>
      </c>
      <c r="V972" s="28" t="e">
        <f ca="1">[1]!BexGetData("DP_1","00O2TNJGODT0G5Z4TTKYMN18L","GSON1112060822")</f>
        <v>#NAME?</v>
      </c>
      <c r="W972" s="23" t="e">
        <f ca="1">[1]!BexGetData("DP_1","00O2TNJGODT0G5Z4TTKYMN7K5","GSON1112060822")</f>
        <v>#NAME?</v>
      </c>
    </row>
    <row r="973" spans="1:23" x14ac:dyDescent="0.2">
      <c r="A973" s="36" t="s">
        <v>3304</v>
      </c>
      <c r="B973" s="27" t="s">
        <v>3305</v>
      </c>
      <c r="C973" s="24" t="e">
        <f ca="1">[1]!BexGetData("DP_1","003N8EMH8GTFRCSWKMPXRR8GU","GSON1112060823")</f>
        <v>#NAME?</v>
      </c>
      <c r="D973" s="24" t="e">
        <f ca="1">[1]!BexGetData("DP_1","003N8EMH8GTFRCSWKMPXRRESE","GSON1112060823")</f>
        <v>#NAME?</v>
      </c>
      <c r="E973" s="24" t="e">
        <f ca="1">[1]!BexGetData("DP_1","003N8EMH8GTFRCSWKMPXRRL3Y","GSON1112060823")</f>
        <v>#NAME?</v>
      </c>
      <c r="F973" s="28" t="e">
        <f ca="1">[1]!BexGetData("DP_1","003N8EMH8GTFRCSWKMPXRRRFI","GSON1112060823")</f>
        <v>#NAME?</v>
      </c>
      <c r="G973" s="23" t="e">
        <f ca="1">[1]!BexGetData("DP_1","003N8EMH8GTFRCSWKMPXRRXR2","GSON1112060823")</f>
        <v>#NAME?</v>
      </c>
      <c r="H973" s="23" t="e">
        <f ca="1">[1]!BexGetData("DP_1","003N8EMH8GTFRCSWKMPXRS42M","GSON1112060823")</f>
        <v>#NAME?</v>
      </c>
      <c r="I973" s="28" t="e">
        <f ca="1">[1]!BexGetData("DP_1","003N8EMH8GTFRCSWKMPXRSAE6","GSON1112060823")</f>
        <v>#NAME?</v>
      </c>
      <c r="J973" s="24" t="e">
        <f ca="1">[1]!BexGetData("DP_1","003N8EMH8GTFRCSWKMPXRSGPQ","GSON1112060823")</f>
        <v>#NAME?</v>
      </c>
      <c r="K973" s="28" t="e">
        <f ca="1">[1]!BexGetData("DP_1","003N8EMH8GTFRIVNUPY288VJH","GSON1112060823")</f>
        <v>#NAME?</v>
      </c>
      <c r="L973" s="28" t="e">
        <f ca="1">[1]!BexGetData("DP_1","003N8EMH8GTFRIVNUPY2891V1","GSON1112060823")</f>
        <v>#NAME?</v>
      </c>
      <c r="M973" s="28" t="e">
        <f ca="1">[1]!BexGetData("DP_1","003N8EMH8GTFRIVOG7KG9IQXA","GSON1112060823")</f>
        <v>#NAME?</v>
      </c>
      <c r="N973" s="28" t="e">
        <f ca="1">[1]!BexGetData("DP_1","003N8EMH8GTFRIVOG7KG9IX8U","GSON1112060823")</f>
        <v>#NAME?</v>
      </c>
      <c r="O973" s="28" t="e">
        <f ca="1">[1]!BexGetData("DP_1","003N8EMH8GTFRIVOG7KG9J3KE","GSON1112060823")</f>
        <v>#NAME?</v>
      </c>
      <c r="P973" s="28" t="e">
        <f ca="1">[1]!BexGetData("DP_1","003N8EMH8GTFRIVOG7KG9J9VY","GSON1112060823")</f>
        <v>#NAME?</v>
      </c>
      <c r="Q973" s="24" t="e">
        <f ca="1">[1]!BexGetData("DP_1","00O2TNJGODT0G5Z4TTKYMM5MT","GSON1112060823")</f>
        <v>#NAME?</v>
      </c>
      <c r="R973" s="28" t="e">
        <f ca="1">[1]!BexGetData("DP_1","00O2TNJGODT0G5Z4TTKYMMBYD","GSON1112060823")</f>
        <v>#NAME?</v>
      </c>
      <c r="S973" s="28" t="e">
        <f ca="1">[1]!BexGetData("DP_1","00O2TNJGODT0G5Z4TTKYMMI9X","GSON1112060823")</f>
        <v>#NAME?</v>
      </c>
      <c r="T973" s="28" t="e">
        <f ca="1">[1]!BexGetData("DP_1","00O2TNJGODT0G5Z4TTKYMMOLH","GSON1112060823")</f>
        <v>#NAME?</v>
      </c>
      <c r="U973" s="28" t="e">
        <f ca="1">[1]!BexGetData("DP_1","00O2TNJGODT0G5Z4TTKYMMUX1","GSON1112060823")</f>
        <v>#NAME?</v>
      </c>
      <c r="V973" s="28" t="e">
        <f ca="1">[1]!BexGetData("DP_1","00O2TNJGODT0G5Z4TTKYMN18L","GSON1112060823")</f>
        <v>#NAME?</v>
      </c>
      <c r="W973" s="28" t="e">
        <f ca="1">[1]!BexGetData("DP_1","00O2TNJGODT0G5Z4TTKYMN7K5","GSON1112060823")</f>
        <v>#NAME?</v>
      </c>
    </row>
    <row r="974" spans="1:23" x14ac:dyDescent="0.2">
      <c r="A974" s="36" t="s">
        <v>3306</v>
      </c>
      <c r="B974" s="27" t="s">
        <v>3307</v>
      </c>
      <c r="C974" s="23" t="e">
        <f ca="1">[1]!BexGetData("DP_1","003N8EMH8GTFRCSWKMPXRR8GU","GSON1112060824")</f>
        <v>#NAME?</v>
      </c>
      <c r="D974" s="23" t="e">
        <f ca="1">[1]!BexGetData("DP_1","003N8EMH8GTFRCSWKMPXRRESE","GSON1112060824")</f>
        <v>#NAME?</v>
      </c>
      <c r="E974" s="28" t="e">
        <f ca="1">[1]!BexGetData("DP_1","003N8EMH8GTFRCSWKMPXRRL3Y","GSON1112060824")</f>
        <v>#NAME?</v>
      </c>
      <c r="F974" s="28" t="e">
        <f ca="1">[1]!BexGetData("DP_1","003N8EMH8GTFRCSWKMPXRRRFI","GSON1112060824")</f>
        <v>#NAME?</v>
      </c>
      <c r="G974" s="23" t="e">
        <f ca="1">[1]!BexGetData("DP_1","003N8EMH8GTFRCSWKMPXRRXR2","GSON1112060824")</f>
        <v>#NAME?</v>
      </c>
      <c r="H974" s="23" t="e">
        <f ca="1">[1]!BexGetData("DP_1","003N8EMH8GTFRCSWKMPXRS42M","GSON1112060824")</f>
        <v>#NAME?</v>
      </c>
      <c r="I974" s="28" t="e">
        <f ca="1">[1]!BexGetData("DP_1","003N8EMH8GTFRCSWKMPXRSAE6","GSON1112060824")</f>
        <v>#NAME?</v>
      </c>
      <c r="J974" s="24" t="e">
        <f ca="1">[1]!BexGetData("DP_1","003N8EMH8GTFRCSWKMPXRSGPQ","GSON1112060824")</f>
        <v>#NAME?</v>
      </c>
      <c r="K974" s="28" t="e">
        <f ca="1">[1]!BexGetData("DP_1","003N8EMH8GTFRIVNUPY288VJH","GSON1112060824")</f>
        <v>#NAME?</v>
      </c>
      <c r="L974" s="28" t="e">
        <f ca="1">[1]!BexGetData("DP_1","003N8EMH8GTFRIVNUPY2891V1","GSON1112060824")</f>
        <v>#NAME?</v>
      </c>
      <c r="M974" s="28" t="e">
        <f ca="1">[1]!BexGetData("DP_1","003N8EMH8GTFRIVOG7KG9IQXA","GSON1112060824")</f>
        <v>#NAME?</v>
      </c>
      <c r="N974" s="28" t="e">
        <f ca="1">[1]!BexGetData("DP_1","003N8EMH8GTFRIVOG7KG9IX8U","GSON1112060824")</f>
        <v>#NAME?</v>
      </c>
      <c r="O974" s="28" t="e">
        <f ca="1">[1]!BexGetData("DP_1","003N8EMH8GTFRIVOG7KG9J3KE","GSON1112060824")</f>
        <v>#NAME?</v>
      </c>
      <c r="P974" s="28" t="e">
        <f ca="1">[1]!BexGetData("DP_1","003N8EMH8GTFRIVOG7KG9J9VY","GSON1112060824")</f>
        <v>#NAME?</v>
      </c>
      <c r="Q974" s="24" t="e">
        <f ca="1">[1]!BexGetData("DP_1","00O2TNJGODT0G5Z4TTKYMM5MT","GSON1112060824")</f>
        <v>#NAME?</v>
      </c>
      <c r="R974" s="28" t="e">
        <f ca="1">[1]!BexGetData("DP_1","00O2TNJGODT0G5Z4TTKYMMBYD","GSON1112060824")</f>
        <v>#NAME?</v>
      </c>
      <c r="S974" s="28" t="e">
        <f ca="1">[1]!BexGetData("DP_1","00O2TNJGODT0G5Z4TTKYMMI9X","GSON1112060824")</f>
        <v>#NAME?</v>
      </c>
      <c r="T974" s="28" t="e">
        <f ca="1">[1]!BexGetData("DP_1","00O2TNJGODT0G5Z4TTKYMMOLH","GSON1112060824")</f>
        <v>#NAME?</v>
      </c>
      <c r="U974" s="28" t="e">
        <f ca="1">[1]!BexGetData("DP_1","00O2TNJGODT0G5Z4TTKYMMUX1","GSON1112060824")</f>
        <v>#NAME?</v>
      </c>
      <c r="V974" s="28" t="e">
        <f ca="1">[1]!BexGetData("DP_1","00O2TNJGODT0G5Z4TTKYMN18L","GSON1112060824")</f>
        <v>#NAME?</v>
      </c>
      <c r="W974" s="28" t="e">
        <f ca="1">[1]!BexGetData("DP_1","00O2TNJGODT0G5Z4TTKYMN7K5","GSON1112060824")</f>
        <v>#NAME?</v>
      </c>
    </row>
    <row r="975" spans="1:23" x14ac:dyDescent="0.2">
      <c r="A975" s="36" t="s">
        <v>3308</v>
      </c>
      <c r="B975" s="27" t="s">
        <v>3309</v>
      </c>
      <c r="C975" s="28" t="e">
        <f ca="1">[1]!BexGetData("DP_1","003N8EMH8GTFRCSWKMPXRR8GU","GSON1112060825")</f>
        <v>#NAME?</v>
      </c>
      <c r="D975" s="28" t="e">
        <f ca="1">[1]!BexGetData("DP_1","003N8EMH8GTFRCSWKMPXRRESE","GSON1112060825")</f>
        <v>#NAME?</v>
      </c>
      <c r="E975" s="28" t="e">
        <f ca="1">[1]!BexGetData("DP_1","003N8EMH8GTFRCSWKMPXRRL3Y","GSON1112060825")</f>
        <v>#NAME?</v>
      </c>
      <c r="F975" s="28" t="e">
        <f ca="1">[1]!BexGetData("DP_1","003N8EMH8GTFRCSWKMPXRRRFI","GSON1112060825")</f>
        <v>#NAME?</v>
      </c>
      <c r="G975" s="23" t="e">
        <f ca="1">[1]!BexGetData("DP_1","003N8EMH8GTFRCSWKMPXRRXR2","GSON1112060825")</f>
        <v>#NAME?</v>
      </c>
      <c r="H975" s="23" t="e">
        <f ca="1">[1]!BexGetData("DP_1","003N8EMH8GTFRCSWKMPXRS42M","GSON1112060825")</f>
        <v>#NAME?</v>
      </c>
      <c r="I975" s="28" t="e">
        <f ca="1">[1]!BexGetData("DP_1","003N8EMH8GTFRCSWKMPXRSAE6","GSON1112060825")</f>
        <v>#NAME?</v>
      </c>
      <c r="J975" s="24" t="e">
        <f ca="1">[1]!BexGetData("DP_1","003N8EMH8GTFRCSWKMPXRSGPQ","GSON1112060825")</f>
        <v>#NAME?</v>
      </c>
      <c r="K975" s="28" t="e">
        <f ca="1">[1]!BexGetData("DP_1","003N8EMH8GTFRIVNUPY288VJH","GSON1112060825")</f>
        <v>#NAME?</v>
      </c>
      <c r="L975" s="28" t="e">
        <f ca="1">[1]!BexGetData("DP_1","003N8EMH8GTFRIVNUPY2891V1","GSON1112060825")</f>
        <v>#NAME?</v>
      </c>
      <c r="M975" s="28" t="e">
        <f ca="1">[1]!BexGetData("DP_1","003N8EMH8GTFRIVOG7KG9IQXA","GSON1112060825")</f>
        <v>#NAME?</v>
      </c>
      <c r="N975" s="28" t="e">
        <f ca="1">[1]!BexGetData("DP_1","003N8EMH8GTFRIVOG7KG9IX8U","GSON1112060825")</f>
        <v>#NAME?</v>
      </c>
      <c r="O975" s="28" t="e">
        <f ca="1">[1]!BexGetData("DP_1","003N8EMH8GTFRIVOG7KG9J3KE","GSON1112060825")</f>
        <v>#NAME?</v>
      </c>
      <c r="P975" s="28" t="e">
        <f ca="1">[1]!BexGetData("DP_1","003N8EMH8GTFRIVOG7KG9J9VY","GSON1112060825")</f>
        <v>#NAME?</v>
      </c>
      <c r="Q975" s="24" t="e">
        <f ca="1">[1]!BexGetData("DP_1","00O2TNJGODT0G5Z4TTKYMM5MT","GSON1112060825")</f>
        <v>#NAME?</v>
      </c>
      <c r="R975" s="28" t="e">
        <f ca="1">[1]!BexGetData("DP_1","00O2TNJGODT0G5Z4TTKYMMBYD","GSON1112060825")</f>
        <v>#NAME?</v>
      </c>
      <c r="S975" s="28" t="e">
        <f ca="1">[1]!BexGetData("DP_1","00O2TNJGODT0G5Z4TTKYMMI9X","GSON1112060825")</f>
        <v>#NAME?</v>
      </c>
      <c r="T975" s="28" t="e">
        <f ca="1">[1]!BexGetData("DP_1","00O2TNJGODT0G5Z4TTKYMMOLH","GSON1112060825")</f>
        <v>#NAME?</v>
      </c>
      <c r="U975" s="28" t="e">
        <f ca="1">[1]!BexGetData("DP_1","00O2TNJGODT0G5Z4TTKYMMUX1","GSON1112060825")</f>
        <v>#NAME?</v>
      </c>
      <c r="V975" s="28" t="e">
        <f ca="1">[1]!BexGetData("DP_1","00O2TNJGODT0G5Z4TTKYMN18L","GSON1112060825")</f>
        <v>#NAME?</v>
      </c>
      <c r="W975" s="28" t="e">
        <f ca="1">[1]!BexGetData("DP_1","00O2TNJGODT0G5Z4TTKYMN7K5","GSON1112060825")</f>
        <v>#NAME?</v>
      </c>
    </row>
    <row r="976" spans="1:23" x14ac:dyDescent="0.2">
      <c r="A976" s="36" t="s">
        <v>3310</v>
      </c>
      <c r="B976" s="27" t="s">
        <v>3311</v>
      </c>
      <c r="C976" s="23" t="e">
        <f ca="1">[1]!BexGetData("DP_1","003N8EMH8GTFRCSWKMPXRR8GU","GSON1112060830")</f>
        <v>#NAME?</v>
      </c>
      <c r="D976" s="23" t="e">
        <f ca="1">[1]!BexGetData("DP_1","003N8EMH8GTFRCSWKMPXRRESE","GSON1112060830")</f>
        <v>#NAME?</v>
      </c>
      <c r="E976" s="23" t="e">
        <f ca="1">[1]!BexGetData("DP_1","003N8EMH8GTFRCSWKMPXRRL3Y","GSON1112060830")</f>
        <v>#NAME?</v>
      </c>
      <c r="F976" s="23" t="e">
        <f ca="1">[1]!BexGetData("DP_1","003N8EMH8GTFRCSWKMPXRRRFI","GSON1112060830")</f>
        <v>#NAME?</v>
      </c>
      <c r="G976" s="23" t="e">
        <f ca="1">[1]!BexGetData("DP_1","003N8EMH8GTFRCSWKMPXRRXR2","GSON1112060830")</f>
        <v>#NAME?</v>
      </c>
      <c r="H976" s="23" t="e">
        <f ca="1">[1]!BexGetData("DP_1","003N8EMH8GTFRCSWKMPXRS42M","GSON1112060830")</f>
        <v>#NAME?</v>
      </c>
      <c r="I976" s="23" t="e">
        <f ca="1">[1]!BexGetData("DP_1","003N8EMH8GTFRCSWKMPXRSAE6","GSON1112060830")</f>
        <v>#NAME?</v>
      </c>
      <c r="J976" s="23" t="e">
        <f ca="1">[1]!BexGetData("DP_1","003N8EMH8GTFRCSWKMPXRSGPQ","GSON1112060830")</f>
        <v>#NAME?</v>
      </c>
      <c r="K976" s="23" t="e">
        <f ca="1">[1]!BexGetData("DP_1","003N8EMH8GTFRIVNUPY288VJH","GSON1112060830")</f>
        <v>#NAME?</v>
      </c>
      <c r="L976" s="23" t="e">
        <f ca="1">[1]!BexGetData("DP_1","003N8EMH8GTFRIVNUPY2891V1","GSON1112060830")</f>
        <v>#NAME?</v>
      </c>
      <c r="M976" s="23" t="e">
        <f ca="1">[1]!BexGetData("DP_1","003N8EMH8GTFRIVOG7KG9IQXA","GSON1112060830")</f>
        <v>#NAME?</v>
      </c>
      <c r="N976" s="28" t="e">
        <f ca="1">[1]!BexGetData("DP_1","003N8EMH8GTFRIVOG7KG9IX8U","GSON1112060830")</f>
        <v>#NAME?</v>
      </c>
      <c r="O976" s="23" t="e">
        <f ca="1">[1]!BexGetData("DP_1","003N8EMH8GTFRIVOG7KG9J3KE","GSON1112060830")</f>
        <v>#NAME?</v>
      </c>
      <c r="P976" s="28" t="e">
        <f ca="1">[1]!BexGetData("DP_1","003N8EMH8GTFRIVOG7KG9J9VY","GSON1112060830")</f>
        <v>#NAME?</v>
      </c>
      <c r="Q976" s="23" t="e">
        <f ca="1">[1]!BexGetData("DP_1","00O2TNJGODT0G5Z4TTKYMM5MT","GSON1112060830")</f>
        <v>#NAME?</v>
      </c>
      <c r="R976" s="23" t="e">
        <f ca="1">[1]!BexGetData("DP_1","00O2TNJGODT0G5Z4TTKYMMBYD","GSON1112060830")</f>
        <v>#NAME?</v>
      </c>
      <c r="S976" s="23" t="e">
        <f ca="1">[1]!BexGetData("DP_1","00O2TNJGODT0G5Z4TTKYMMI9X","GSON1112060830")</f>
        <v>#NAME?</v>
      </c>
      <c r="T976" s="23" t="e">
        <f ca="1">[1]!BexGetData("DP_1","00O2TNJGODT0G5Z4TTKYMMOLH","GSON1112060830")</f>
        <v>#NAME?</v>
      </c>
      <c r="U976" s="28" t="e">
        <f ca="1">[1]!BexGetData("DP_1","00O2TNJGODT0G5Z4TTKYMMUX1","GSON1112060830")</f>
        <v>#NAME?</v>
      </c>
      <c r="V976" s="23" t="e">
        <f ca="1">[1]!BexGetData("DP_1","00O2TNJGODT0G5Z4TTKYMN18L","GSON1112060830")</f>
        <v>#NAME?</v>
      </c>
      <c r="W976" s="28" t="e">
        <f ca="1">[1]!BexGetData("DP_1","00O2TNJGODT0G5Z4TTKYMN7K5","GSON1112060830")</f>
        <v>#NAME?</v>
      </c>
    </row>
    <row r="977" spans="1:23" x14ac:dyDescent="0.2">
      <c r="A977" s="36" t="s">
        <v>3312</v>
      </c>
      <c r="B977" s="27" t="s">
        <v>3313</v>
      </c>
      <c r="C977" s="28" t="e">
        <f ca="1">[1]!BexGetData("DP_1","003N8EMH8GTFRCSWKMPXRR8GU","GSON1112060831")</f>
        <v>#NAME?</v>
      </c>
      <c r="D977" s="28" t="e">
        <f ca="1">[1]!BexGetData("DP_1","003N8EMH8GTFRCSWKMPXRRESE","GSON1112060831")</f>
        <v>#NAME?</v>
      </c>
      <c r="E977" s="28" t="e">
        <f ca="1">[1]!BexGetData("DP_1","003N8EMH8GTFRCSWKMPXRRL3Y","GSON1112060831")</f>
        <v>#NAME?</v>
      </c>
      <c r="F977" s="28" t="e">
        <f ca="1">[1]!BexGetData("DP_1","003N8EMH8GTFRCSWKMPXRRRFI","GSON1112060831")</f>
        <v>#NAME?</v>
      </c>
      <c r="G977" s="23" t="e">
        <f ca="1">[1]!BexGetData("DP_1","003N8EMH8GTFRCSWKMPXRRXR2","GSON1112060831")</f>
        <v>#NAME?</v>
      </c>
      <c r="H977" s="23" t="e">
        <f ca="1">[1]!BexGetData("DP_1","003N8EMH8GTFRCSWKMPXRS42M","GSON1112060831")</f>
        <v>#NAME?</v>
      </c>
      <c r="I977" s="28" t="e">
        <f ca="1">[1]!BexGetData("DP_1","003N8EMH8GTFRCSWKMPXRSAE6","GSON1112060831")</f>
        <v>#NAME?</v>
      </c>
      <c r="J977" s="24" t="e">
        <f ca="1">[1]!BexGetData("DP_1","003N8EMH8GTFRCSWKMPXRSGPQ","GSON1112060831")</f>
        <v>#NAME?</v>
      </c>
      <c r="K977" s="28" t="e">
        <f ca="1">[1]!BexGetData("DP_1","003N8EMH8GTFRIVNUPY288VJH","GSON1112060831")</f>
        <v>#NAME?</v>
      </c>
      <c r="L977" s="28" t="e">
        <f ca="1">[1]!BexGetData("DP_1","003N8EMH8GTFRIVNUPY2891V1","GSON1112060831")</f>
        <v>#NAME?</v>
      </c>
      <c r="M977" s="28" t="e">
        <f ca="1">[1]!BexGetData("DP_1","003N8EMH8GTFRIVOG7KG9IQXA","GSON1112060831")</f>
        <v>#NAME?</v>
      </c>
      <c r="N977" s="28" t="e">
        <f ca="1">[1]!BexGetData("DP_1","003N8EMH8GTFRIVOG7KG9IX8U","GSON1112060831")</f>
        <v>#NAME?</v>
      </c>
      <c r="O977" s="28" t="e">
        <f ca="1">[1]!BexGetData("DP_1","003N8EMH8GTFRIVOG7KG9J3KE","GSON1112060831")</f>
        <v>#NAME?</v>
      </c>
      <c r="P977" s="28" t="e">
        <f ca="1">[1]!BexGetData("DP_1","003N8EMH8GTFRIVOG7KG9J9VY","GSON1112060831")</f>
        <v>#NAME?</v>
      </c>
      <c r="Q977" s="24" t="e">
        <f ca="1">[1]!BexGetData("DP_1","00O2TNJGODT0G5Z4TTKYMM5MT","GSON1112060831")</f>
        <v>#NAME?</v>
      </c>
      <c r="R977" s="28" t="e">
        <f ca="1">[1]!BexGetData("DP_1","00O2TNJGODT0G5Z4TTKYMMBYD","GSON1112060831")</f>
        <v>#NAME?</v>
      </c>
      <c r="S977" s="28" t="e">
        <f ca="1">[1]!BexGetData("DP_1","00O2TNJGODT0G5Z4TTKYMMI9X","GSON1112060831")</f>
        <v>#NAME?</v>
      </c>
      <c r="T977" s="28" t="e">
        <f ca="1">[1]!BexGetData("DP_1","00O2TNJGODT0G5Z4TTKYMMOLH","GSON1112060831")</f>
        <v>#NAME?</v>
      </c>
      <c r="U977" s="28" t="e">
        <f ca="1">[1]!BexGetData("DP_1","00O2TNJGODT0G5Z4TTKYMMUX1","GSON1112060831")</f>
        <v>#NAME?</v>
      </c>
      <c r="V977" s="28" t="e">
        <f ca="1">[1]!BexGetData("DP_1","00O2TNJGODT0G5Z4TTKYMN18L","GSON1112060831")</f>
        <v>#NAME?</v>
      </c>
      <c r="W977" s="28" t="e">
        <f ca="1">[1]!BexGetData("DP_1","00O2TNJGODT0G5Z4TTKYMN7K5","GSON1112060831")</f>
        <v>#NAME?</v>
      </c>
    </row>
    <row r="978" spans="1:23" x14ac:dyDescent="0.2">
      <c r="A978" s="36" t="s">
        <v>3314</v>
      </c>
      <c r="B978" s="27" t="s">
        <v>3315</v>
      </c>
      <c r="C978" s="24" t="e">
        <f ca="1">[1]!BexGetData("DP_1","003N8EMH8GTFRCSWKMPXRR8GU","GSON1112060832")</f>
        <v>#NAME?</v>
      </c>
      <c r="D978" s="24" t="e">
        <f ca="1">[1]!BexGetData("DP_1","003N8EMH8GTFRCSWKMPXRRESE","GSON1112060832")</f>
        <v>#NAME?</v>
      </c>
      <c r="E978" s="24" t="e">
        <f ca="1">[1]!BexGetData("DP_1","003N8EMH8GTFRCSWKMPXRRL3Y","GSON1112060832")</f>
        <v>#NAME?</v>
      </c>
      <c r="F978" s="28" t="e">
        <f ca="1">[1]!BexGetData("DP_1","003N8EMH8GTFRCSWKMPXRRRFI","GSON1112060832")</f>
        <v>#NAME?</v>
      </c>
      <c r="G978" s="23" t="e">
        <f ca="1">[1]!BexGetData("DP_1","003N8EMH8GTFRCSWKMPXRRXR2","GSON1112060832")</f>
        <v>#NAME?</v>
      </c>
      <c r="H978" s="23" t="e">
        <f ca="1">[1]!BexGetData("DP_1","003N8EMH8GTFRCSWKMPXRS42M","GSON1112060832")</f>
        <v>#NAME?</v>
      </c>
      <c r="I978" s="28" t="e">
        <f ca="1">[1]!BexGetData("DP_1","003N8EMH8GTFRCSWKMPXRSAE6","GSON1112060832")</f>
        <v>#NAME?</v>
      </c>
      <c r="J978" s="23" t="e">
        <f ca="1">[1]!BexGetData("DP_1","003N8EMH8GTFRCSWKMPXRSGPQ","GSON1112060832")</f>
        <v>#NAME?</v>
      </c>
      <c r="K978" s="28" t="e">
        <f ca="1">[1]!BexGetData("DP_1","003N8EMH8GTFRIVNUPY288VJH","GSON1112060832")</f>
        <v>#NAME?</v>
      </c>
      <c r="L978" s="28" t="e">
        <f ca="1">[1]!BexGetData("DP_1","003N8EMH8GTFRIVNUPY2891V1","GSON1112060832")</f>
        <v>#NAME?</v>
      </c>
      <c r="M978" s="28" t="e">
        <f ca="1">[1]!BexGetData("DP_1","003N8EMH8GTFRIVOG7KG9IQXA","GSON1112060832")</f>
        <v>#NAME?</v>
      </c>
      <c r="N978" s="28" t="e">
        <f ca="1">[1]!BexGetData("DP_1","003N8EMH8GTFRIVOG7KG9IX8U","GSON1112060832")</f>
        <v>#NAME?</v>
      </c>
      <c r="O978" s="28" t="e">
        <f ca="1">[1]!BexGetData("DP_1","003N8EMH8GTFRIVOG7KG9J3KE","GSON1112060832")</f>
        <v>#NAME?</v>
      </c>
      <c r="P978" s="28" t="e">
        <f ca="1">[1]!BexGetData("DP_1","003N8EMH8GTFRIVOG7KG9J9VY","GSON1112060832")</f>
        <v>#NAME?</v>
      </c>
      <c r="Q978" s="23" t="e">
        <f ca="1">[1]!BexGetData("DP_1","00O2TNJGODT0G5Z4TTKYMM5MT","GSON1112060832")</f>
        <v>#NAME?</v>
      </c>
      <c r="R978" s="23" t="e">
        <f ca="1">[1]!BexGetData("DP_1","00O2TNJGODT0G5Z4TTKYMMBYD","GSON1112060832")</f>
        <v>#NAME?</v>
      </c>
      <c r="S978" s="23" t="e">
        <f ca="1">[1]!BexGetData("DP_1","00O2TNJGODT0G5Z4TTKYMMI9X","GSON1112060832")</f>
        <v>#NAME?</v>
      </c>
      <c r="T978" s="28" t="e">
        <f ca="1">[1]!BexGetData("DP_1","00O2TNJGODT0G5Z4TTKYMMOLH","GSON1112060832")</f>
        <v>#NAME?</v>
      </c>
      <c r="U978" s="23" t="e">
        <f ca="1">[1]!BexGetData("DP_1","00O2TNJGODT0G5Z4TTKYMMUX1","GSON1112060832")</f>
        <v>#NAME?</v>
      </c>
      <c r="V978" s="28" t="e">
        <f ca="1">[1]!BexGetData("DP_1","00O2TNJGODT0G5Z4TTKYMN18L","GSON1112060832")</f>
        <v>#NAME?</v>
      </c>
      <c r="W978" s="23" t="e">
        <f ca="1">[1]!BexGetData("DP_1","00O2TNJGODT0G5Z4TTKYMN7K5","GSON1112060832")</f>
        <v>#NAME?</v>
      </c>
    </row>
    <row r="979" spans="1:23" x14ac:dyDescent="0.2">
      <c r="A979" s="36" t="s">
        <v>3316</v>
      </c>
      <c r="B979" s="27" t="s">
        <v>3317</v>
      </c>
      <c r="C979" s="23" t="e">
        <f ca="1">[1]!BexGetData("DP_1","003N8EMH8GTFRCSWKMPXRR8GU","GSON1112060833")</f>
        <v>#NAME?</v>
      </c>
      <c r="D979" s="23" t="e">
        <f ca="1">[1]!BexGetData("DP_1","003N8EMH8GTFRCSWKMPXRRESE","GSON1112060833")</f>
        <v>#NAME?</v>
      </c>
      <c r="E979" s="28" t="e">
        <f ca="1">[1]!BexGetData("DP_1","003N8EMH8GTFRCSWKMPXRRL3Y","GSON1112060833")</f>
        <v>#NAME?</v>
      </c>
      <c r="F979" s="28" t="e">
        <f ca="1">[1]!BexGetData("DP_1","003N8EMH8GTFRCSWKMPXRRRFI","GSON1112060833")</f>
        <v>#NAME?</v>
      </c>
      <c r="G979" s="23" t="e">
        <f ca="1">[1]!BexGetData("DP_1","003N8EMH8GTFRCSWKMPXRRXR2","GSON1112060833")</f>
        <v>#NAME?</v>
      </c>
      <c r="H979" s="23" t="e">
        <f ca="1">[1]!BexGetData("DP_1","003N8EMH8GTFRCSWKMPXRS42M","GSON1112060833")</f>
        <v>#NAME?</v>
      </c>
      <c r="I979" s="28" t="e">
        <f ca="1">[1]!BexGetData("DP_1","003N8EMH8GTFRCSWKMPXRSAE6","GSON1112060833")</f>
        <v>#NAME?</v>
      </c>
      <c r="J979" s="24" t="e">
        <f ca="1">[1]!BexGetData("DP_1","003N8EMH8GTFRCSWKMPXRSGPQ","GSON1112060833")</f>
        <v>#NAME?</v>
      </c>
      <c r="K979" s="28" t="e">
        <f ca="1">[1]!BexGetData("DP_1","003N8EMH8GTFRIVNUPY288VJH","GSON1112060833")</f>
        <v>#NAME?</v>
      </c>
      <c r="L979" s="28" t="e">
        <f ca="1">[1]!BexGetData("DP_1","003N8EMH8GTFRIVNUPY2891V1","GSON1112060833")</f>
        <v>#NAME?</v>
      </c>
      <c r="M979" s="28" t="e">
        <f ca="1">[1]!BexGetData("DP_1","003N8EMH8GTFRIVOG7KG9IQXA","GSON1112060833")</f>
        <v>#NAME?</v>
      </c>
      <c r="N979" s="28" t="e">
        <f ca="1">[1]!BexGetData("DP_1","003N8EMH8GTFRIVOG7KG9IX8U","GSON1112060833")</f>
        <v>#NAME?</v>
      </c>
      <c r="O979" s="28" t="e">
        <f ca="1">[1]!BexGetData("DP_1","003N8EMH8GTFRIVOG7KG9J3KE","GSON1112060833")</f>
        <v>#NAME?</v>
      </c>
      <c r="P979" s="28" t="e">
        <f ca="1">[1]!BexGetData("DP_1","003N8EMH8GTFRIVOG7KG9J9VY","GSON1112060833")</f>
        <v>#NAME?</v>
      </c>
      <c r="Q979" s="24" t="e">
        <f ca="1">[1]!BexGetData("DP_1","00O2TNJGODT0G5Z4TTKYMM5MT","GSON1112060833")</f>
        <v>#NAME?</v>
      </c>
      <c r="R979" s="28" t="e">
        <f ca="1">[1]!BexGetData("DP_1","00O2TNJGODT0G5Z4TTKYMMBYD","GSON1112060833")</f>
        <v>#NAME?</v>
      </c>
      <c r="S979" s="28" t="e">
        <f ca="1">[1]!BexGetData("DP_1","00O2TNJGODT0G5Z4TTKYMMI9X","GSON1112060833")</f>
        <v>#NAME?</v>
      </c>
      <c r="T979" s="28" t="e">
        <f ca="1">[1]!BexGetData("DP_1","00O2TNJGODT0G5Z4TTKYMMOLH","GSON1112060833")</f>
        <v>#NAME?</v>
      </c>
      <c r="U979" s="28" t="e">
        <f ca="1">[1]!BexGetData("DP_1","00O2TNJGODT0G5Z4TTKYMMUX1","GSON1112060833")</f>
        <v>#NAME?</v>
      </c>
      <c r="V979" s="28" t="e">
        <f ca="1">[1]!BexGetData("DP_1","00O2TNJGODT0G5Z4TTKYMN18L","GSON1112060833")</f>
        <v>#NAME?</v>
      </c>
      <c r="W979" s="28" t="e">
        <f ca="1">[1]!BexGetData("DP_1","00O2TNJGODT0G5Z4TTKYMN7K5","GSON1112060833")</f>
        <v>#NAME?</v>
      </c>
    </row>
    <row r="980" spans="1:23" x14ac:dyDescent="0.2">
      <c r="A980" s="36" t="s">
        <v>3318</v>
      </c>
      <c r="B980" s="27" t="s">
        <v>3319</v>
      </c>
      <c r="C980" s="23" t="e">
        <f ca="1">[1]!BexGetData("DP_1","003N8EMH8GTFRCSWKMPXRR8GU","GSON1112060834")</f>
        <v>#NAME?</v>
      </c>
      <c r="D980" s="23" t="e">
        <f ca="1">[1]!BexGetData("DP_1","003N8EMH8GTFRCSWKMPXRRESE","GSON1112060834")</f>
        <v>#NAME?</v>
      </c>
      <c r="E980" s="28" t="e">
        <f ca="1">[1]!BexGetData("DP_1","003N8EMH8GTFRCSWKMPXRRL3Y","GSON1112060834")</f>
        <v>#NAME?</v>
      </c>
      <c r="F980" s="28" t="e">
        <f ca="1">[1]!BexGetData("DP_1","003N8EMH8GTFRCSWKMPXRRRFI","GSON1112060834")</f>
        <v>#NAME?</v>
      </c>
      <c r="G980" s="23" t="e">
        <f ca="1">[1]!BexGetData("DP_1","003N8EMH8GTFRCSWKMPXRRXR2","GSON1112060834")</f>
        <v>#NAME?</v>
      </c>
      <c r="H980" s="23" t="e">
        <f ca="1">[1]!BexGetData("DP_1","003N8EMH8GTFRCSWKMPXRS42M","GSON1112060834")</f>
        <v>#NAME?</v>
      </c>
      <c r="I980" s="28" t="e">
        <f ca="1">[1]!BexGetData("DP_1","003N8EMH8GTFRCSWKMPXRSAE6","GSON1112060834")</f>
        <v>#NAME?</v>
      </c>
      <c r="J980" s="24" t="e">
        <f ca="1">[1]!BexGetData("DP_1","003N8EMH8GTFRCSWKMPXRSGPQ","GSON1112060834")</f>
        <v>#NAME?</v>
      </c>
      <c r="K980" s="28" t="e">
        <f ca="1">[1]!BexGetData("DP_1","003N8EMH8GTFRIVNUPY288VJH","GSON1112060834")</f>
        <v>#NAME?</v>
      </c>
      <c r="L980" s="28" t="e">
        <f ca="1">[1]!BexGetData("DP_1","003N8EMH8GTFRIVNUPY2891V1","GSON1112060834")</f>
        <v>#NAME?</v>
      </c>
      <c r="M980" s="28" t="e">
        <f ca="1">[1]!BexGetData("DP_1","003N8EMH8GTFRIVOG7KG9IQXA","GSON1112060834")</f>
        <v>#NAME?</v>
      </c>
      <c r="N980" s="28" t="e">
        <f ca="1">[1]!BexGetData("DP_1","003N8EMH8GTFRIVOG7KG9IX8U","GSON1112060834")</f>
        <v>#NAME?</v>
      </c>
      <c r="O980" s="28" t="e">
        <f ca="1">[1]!BexGetData("DP_1","003N8EMH8GTFRIVOG7KG9J3KE","GSON1112060834")</f>
        <v>#NAME?</v>
      </c>
      <c r="P980" s="28" t="e">
        <f ca="1">[1]!BexGetData("DP_1","003N8EMH8GTFRIVOG7KG9J9VY","GSON1112060834")</f>
        <v>#NAME?</v>
      </c>
      <c r="Q980" s="24" t="e">
        <f ca="1">[1]!BexGetData("DP_1","00O2TNJGODT0G5Z4TTKYMM5MT","GSON1112060834")</f>
        <v>#NAME?</v>
      </c>
      <c r="R980" s="28" t="e">
        <f ca="1">[1]!BexGetData("DP_1","00O2TNJGODT0G5Z4TTKYMMBYD","GSON1112060834")</f>
        <v>#NAME?</v>
      </c>
      <c r="S980" s="28" t="e">
        <f ca="1">[1]!BexGetData("DP_1","00O2TNJGODT0G5Z4TTKYMMI9X","GSON1112060834")</f>
        <v>#NAME?</v>
      </c>
      <c r="T980" s="28" t="e">
        <f ca="1">[1]!BexGetData("DP_1","00O2TNJGODT0G5Z4TTKYMMOLH","GSON1112060834")</f>
        <v>#NAME?</v>
      </c>
      <c r="U980" s="28" t="e">
        <f ca="1">[1]!BexGetData("DP_1","00O2TNJGODT0G5Z4TTKYMMUX1","GSON1112060834")</f>
        <v>#NAME?</v>
      </c>
      <c r="V980" s="28" t="e">
        <f ca="1">[1]!BexGetData("DP_1","00O2TNJGODT0G5Z4TTKYMN18L","GSON1112060834")</f>
        <v>#NAME?</v>
      </c>
      <c r="W980" s="28" t="e">
        <f ca="1">[1]!BexGetData("DP_1","00O2TNJGODT0G5Z4TTKYMN7K5","GSON1112060834")</f>
        <v>#NAME?</v>
      </c>
    </row>
    <row r="981" spans="1:23" x14ac:dyDescent="0.2">
      <c r="A981" s="36" t="s">
        <v>3320</v>
      </c>
      <c r="B981" s="27" t="s">
        <v>3321</v>
      </c>
      <c r="C981" s="23" t="e">
        <f ca="1">[1]!BexGetData("DP_1","003N8EMH8GTFRCSWKMPXRR8GU","GSON1112060835")</f>
        <v>#NAME?</v>
      </c>
      <c r="D981" s="23" t="e">
        <f ca="1">[1]!BexGetData("DP_1","003N8EMH8GTFRCSWKMPXRRESE","GSON1112060835")</f>
        <v>#NAME?</v>
      </c>
      <c r="E981" s="28" t="e">
        <f ca="1">[1]!BexGetData("DP_1","003N8EMH8GTFRCSWKMPXRRL3Y","GSON1112060835")</f>
        <v>#NAME?</v>
      </c>
      <c r="F981" s="28" t="e">
        <f ca="1">[1]!BexGetData("DP_1","003N8EMH8GTFRCSWKMPXRRRFI","GSON1112060835")</f>
        <v>#NAME?</v>
      </c>
      <c r="G981" s="23" t="e">
        <f ca="1">[1]!BexGetData("DP_1","003N8EMH8GTFRCSWKMPXRRXR2","GSON1112060835")</f>
        <v>#NAME?</v>
      </c>
      <c r="H981" s="23" t="e">
        <f ca="1">[1]!BexGetData("DP_1","003N8EMH8GTFRCSWKMPXRS42M","GSON1112060835")</f>
        <v>#NAME?</v>
      </c>
      <c r="I981" s="28" t="e">
        <f ca="1">[1]!BexGetData("DP_1","003N8EMH8GTFRCSWKMPXRSAE6","GSON1112060835")</f>
        <v>#NAME?</v>
      </c>
      <c r="J981" s="24" t="e">
        <f ca="1">[1]!BexGetData("DP_1","003N8EMH8GTFRCSWKMPXRSGPQ","GSON1112060835")</f>
        <v>#NAME?</v>
      </c>
      <c r="K981" s="28" t="e">
        <f ca="1">[1]!BexGetData("DP_1","003N8EMH8GTFRIVNUPY288VJH","GSON1112060835")</f>
        <v>#NAME?</v>
      </c>
      <c r="L981" s="28" t="e">
        <f ca="1">[1]!BexGetData("DP_1","003N8EMH8GTFRIVNUPY2891V1","GSON1112060835")</f>
        <v>#NAME?</v>
      </c>
      <c r="M981" s="28" t="e">
        <f ca="1">[1]!BexGetData("DP_1","003N8EMH8GTFRIVOG7KG9IQXA","GSON1112060835")</f>
        <v>#NAME?</v>
      </c>
      <c r="N981" s="28" t="e">
        <f ca="1">[1]!BexGetData("DP_1","003N8EMH8GTFRIVOG7KG9IX8U","GSON1112060835")</f>
        <v>#NAME?</v>
      </c>
      <c r="O981" s="28" t="e">
        <f ca="1">[1]!BexGetData("DP_1","003N8EMH8GTFRIVOG7KG9J3KE","GSON1112060835")</f>
        <v>#NAME?</v>
      </c>
      <c r="P981" s="28" t="e">
        <f ca="1">[1]!BexGetData("DP_1","003N8EMH8GTFRIVOG7KG9J9VY","GSON1112060835")</f>
        <v>#NAME?</v>
      </c>
      <c r="Q981" s="24" t="e">
        <f ca="1">[1]!BexGetData("DP_1","00O2TNJGODT0G5Z4TTKYMM5MT","GSON1112060835")</f>
        <v>#NAME?</v>
      </c>
      <c r="R981" s="28" t="e">
        <f ca="1">[1]!BexGetData("DP_1","00O2TNJGODT0G5Z4TTKYMMBYD","GSON1112060835")</f>
        <v>#NAME?</v>
      </c>
      <c r="S981" s="28" t="e">
        <f ca="1">[1]!BexGetData("DP_1","00O2TNJGODT0G5Z4TTKYMMI9X","GSON1112060835")</f>
        <v>#NAME?</v>
      </c>
      <c r="T981" s="28" t="e">
        <f ca="1">[1]!BexGetData("DP_1","00O2TNJGODT0G5Z4TTKYMMOLH","GSON1112060835")</f>
        <v>#NAME?</v>
      </c>
      <c r="U981" s="28" t="e">
        <f ca="1">[1]!BexGetData("DP_1","00O2TNJGODT0G5Z4TTKYMMUX1","GSON1112060835")</f>
        <v>#NAME?</v>
      </c>
      <c r="V981" s="28" t="e">
        <f ca="1">[1]!BexGetData("DP_1","00O2TNJGODT0G5Z4TTKYMN18L","GSON1112060835")</f>
        <v>#NAME?</v>
      </c>
      <c r="W981" s="28" t="e">
        <f ca="1">[1]!BexGetData("DP_1","00O2TNJGODT0G5Z4TTKYMN7K5","GSON1112060835")</f>
        <v>#NAME?</v>
      </c>
    </row>
    <row r="982" spans="1:23" x14ac:dyDescent="0.2">
      <c r="A982" s="36" t="s">
        <v>3322</v>
      </c>
      <c r="B982" s="27" t="s">
        <v>3323</v>
      </c>
      <c r="C982" s="23" t="e">
        <f ca="1">[1]!BexGetData("DP_1","003N8EMH8GTFRCSWKMPXRR8GU","GSON1112060840")</f>
        <v>#NAME?</v>
      </c>
      <c r="D982" s="23" t="e">
        <f ca="1">[1]!BexGetData("DP_1","003N8EMH8GTFRCSWKMPXRRESE","GSON1112060840")</f>
        <v>#NAME?</v>
      </c>
      <c r="E982" s="23" t="e">
        <f ca="1">[1]!BexGetData("DP_1","003N8EMH8GTFRCSWKMPXRRL3Y","GSON1112060840")</f>
        <v>#NAME?</v>
      </c>
      <c r="F982" s="23" t="e">
        <f ca="1">[1]!BexGetData("DP_1","003N8EMH8GTFRCSWKMPXRRRFI","GSON1112060840")</f>
        <v>#NAME?</v>
      </c>
      <c r="G982" s="23" t="e">
        <f ca="1">[1]!BexGetData("DP_1","003N8EMH8GTFRCSWKMPXRRXR2","GSON1112060840")</f>
        <v>#NAME?</v>
      </c>
      <c r="H982" s="23" t="e">
        <f ca="1">[1]!BexGetData("DP_1","003N8EMH8GTFRCSWKMPXRS42M","GSON1112060840")</f>
        <v>#NAME?</v>
      </c>
      <c r="I982" s="23" t="e">
        <f ca="1">[1]!BexGetData("DP_1","003N8EMH8GTFRCSWKMPXRSAE6","GSON1112060840")</f>
        <v>#NAME?</v>
      </c>
      <c r="J982" s="24" t="e">
        <f ca="1">[1]!BexGetData("DP_1","003N8EMH8GTFRCSWKMPXRSGPQ","GSON1112060840")</f>
        <v>#NAME?</v>
      </c>
      <c r="K982" s="23" t="e">
        <f ca="1">[1]!BexGetData("DP_1","003N8EMH8GTFRIVNUPY288VJH","GSON1112060840")</f>
        <v>#NAME?</v>
      </c>
      <c r="L982" s="23" t="e">
        <f ca="1">[1]!BexGetData("DP_1","003N8EMH8GTFRIVNUPY2891V1","GSON1112060840")</f>
        <v>#NAME?</v>
      </c>
      <c r="M982" s="23" t="e">
        <f ca="1">[1]!BexGetData("DP_1","003N8EMH8GTFRIVOG7KG9IQXA","GSON1112060840")</f>
        <v>#NAME?</v>
      </c>
      <c r="N982" s="28" t="e">
        <f ca="1">[1]!BexGetData("DP_1","003N8EMH8GTFRIVOG7KG9IX8U","GSON1112060840")</f>
        <v>#NAME?</v>
      </c>
      <c r="O982" s="23" t="e">
        <f ca="1">[1]!BexGetData("DP_1","003N8EMH8GTFRIVOG7KG9J3KE","GSON1112060840")</f>
        <v>#NAME?</v>
      </c>
      <c r="P982" s="28" t="e">
        <f ca="1">[1]!BexGetData("DP_1","003N8EMH8GTFRIVOG7KG9J9VY","GSON1112060840")</f>
        <v>#NAME?</v>
      </c>
      <c r="Q982" s="24" t="e">
        <f ca="1">[1]!BexGetData("DP_1","00O2TNJGODT0G5Z4TTKYMM5MT","GSON1112060840")</f>
        <v>#NAME?</v>
      </c>
      <c r="R982" s="23" t="e">
        <f ca="1">[1]!BexGetData("DP_1","00O2TNJGODT0G5Z4TTKYMMBYD","GSON1112060840")</f>
        <v>#NAME?</v>
      </c>
      <c r="S982" s="23" t="e">
        <f ca="1">[1]!BexGetData("DP_1","00O2TNJGODT0G5Z4TTKYMMI9X","GSON1112060840")</f>
        <v>#NAME?</v>
      </c>
      <c r="T982" s="28" t="e">
        <f ca="1">[1]!BexGetData("DP_1","00O2TNJGODT0G5Z4TTKYMMOLH","GSON1112060840")</f>
        <v>#NAME?</v>
      </c>
      <c r="U982" s="23" t="e">
        <f ca="1">[1]!BexGetData("DP_1","00O2TNJGODT0G5Z4TTKYMMUX1","GSON1112060840")</f>
        <v>#NAME?</v>
      </c>
      <c r="V982" s="28" t="e">
        <f ca="1">[1]!BexGetData("DP_1","00O2TNJGODT0G5Z4TTKYMN18L","GSON1112060840")</f>
        <v>#NAME?</v>
      </c>
      <c r="W982" s="23" t="e">
        <f ca="1">[1]!BexGetData("DP_1","00O2TNJGODT0G5Z4TTKYMN7K5","GSON1112060840")</f>
        <v>#NAME?</v>
      </c>
    </row>
    <row r="983" spans="1:23" x14ac:dyDescent="0.2">
      <c r="A983" s="36" t="s">
        <v>3324</v>
      </c>
      <c r="B983" s="27" t="s">
        <v>3325</v>
      </c>
      <c r="C983" s="23" t="e">
        <f ca="1">[1]!BexGetData("DP_1","003N8EMH8GTFRCSWKMPXRR8GU","GSON1112060841")</f>
        <v>#NAME?</v>
      </c>
      <c r="D983" s="23" t="e">
        <f ca="1">[1]!BexGetData("DP_1","003N8EMH8GTFRCSWKMPXRRESE","GSON1112060841")</f>
        <v>#NAME?</v>
      </c>
      <c r="E983" s="28" t="e">
        <f ca="1">[1]!BexGetData("DP_1","003N8EMH8GTFRCSWKMPXRRL3Y","GSON1112060841")</f>
        <v>#NAME?</v>
      </c>
      <c r="F983" s="28" t="e">
        <f ca="1">[1]!BexGetData("DP_1","003N8EMH8GTFRCSWKMPXRRRFI","GSON1112060841")</f>
        <v>#NAME?</v>
      </c>
      <c r="G983" s="23" t="e">
        <f ca="1">[1]!BexGetData("DP_1","003N8EMH8GTFRCSWKMPXRRXR2","GSON1112060841")</f>
        <v>#NAME?</v>
      </c>
      <c r="H983" s="23" t="e">
        <f ca="1">[1]!BexGetData("DP_1","003N8EMH8GTFRCSWKMPXRS42M","GSON1112060841")</f>
        <v>#NAME?</v>
      </c>
      <c r="I983" s="28" t="e">
        <f ca="1">[1]!BexGetData("DP_1","003N8EMH8GTFRCSWKMPXRSAE6","GSON1112060841")</f>
        <v>#NAME?</v>
      </c>
      <c r="J983" s="24" t="e">
        <f ca="1">[1]!BexGetData("DP_1","003N8EMH8GTFRCSWKMPXRSGPQ","GSON1112060841")</f>
        <v>#NAME?</v>
      </c>
      <c r="K983" s="28" t="e">
        <f ca="1">[1]!BexGetData("DP_1","003N8EMH8GTFRIVNUPY288VJH","GSON1112060841")</f>
        <v>#NAME?</v>
      </c>
      <c r="L983" s="28" t="e">
        <f ca="1">[1]!BexGetData("DP_1","003N8EMH8GTFRIVNUPY2891V1","GSON1112060841")</f>
        <v>#NAME?</v>
      </c>
      <c r="M983" s="28" t="e">
        <f ca="1">[1]!BexGetData("DP_1","003N8EMH8GTFRIVOG7KG9IQXA","GSON1112060841")</f>
        <v>#NAME?</v>
      </c>
      <c r="N983" s="28" t="e">
        <f ca="1">[1]!BexGetData("DP_1","003N8EMH8GTFRIVOG7KG9IX8U","GSON1112060841")</f>
        <v>#NAME?</v>
      </c>
      <c r="O983" s="28" t="e">
        <f ca="1">[1]!BexGetData("DP_1","003N8EMH8GTFRIVOG7KG9J3KE","GSON1112060841")</f>
        <v>#NAME?</v>
      </c>
      <c r="P983" s="28" t="e">
        <f ca="1">[1]!BexGetData("DP_1","003N8EMH8GTFRIVOG7KG9J9VY","GSON1112060841")</f>
        <v>#NAME?</v>
      </c>
      <c r="Q983" s="24" t="e">
        <f ca="1">[1]!BexGetData("DP_1","00O2TNJGODT0G5Z4TTKYMM5MT","GSON1112060841")</f>
        <v>#NAME?</v>
      </c>
      <c r="R983" s="28" t="e">
        <f ca="1">[1]!BexGetData("DP_1","00O2TNJGODT0G5Z4TTKYMMBYD","GSON1112060841")</f>
        <v>#NAME?</v>
      </c>
      <c r="S983" s="28" t="e">
        <f ca="1">[1]!BexGetData("DP_1","00O2TNJGODT0G5Z4TTKYMMI9X","GSON1112060841")</f>
        <v>#NAME?</v>
      </c>
      <c r="T983" s="28" t="e">
        <f ca="1">[1]!BexGetData("DP_1","00O2TNJGODT0G5Z4TTKYMMOLH","GSON1112060841")</f>
        <v>#NAME?</v>
      </c>
      <c r="U983" s="28" t="e">
        <f ca="1">[1]!BexGetData("DP_1","00O2TNJGODT0G5Z4TTKYMMUX1","GSON1112060841")</f>
        <v>#NAME?</v>
      </c>
      <c r="V983" s="28" t="e">
        <f ca="1">[1]!BexGetData("DP_1","00O2TNJGODT0G5Z4TTKYMN18L","GSON1112060841")</f>
        <v>#NAME?</v>
      </c>
      <c r="W983" s="28" t="e">
        <f ca="1">[1]!BexGetData("DP_1","00O2TNJGODT0G5Z4TTKYMN7K5","GSON1112060841")</f>
        <v>#NAME?</v>
      </c>
    </row>
    <row r="984" spans="1:23" x14ac:dyDescent="0.2">
      <c r="A984" s="36" t="s">
        <v>3326</v>
      </c>
      <c r="B984" s="27" t="s">
        <v>3327</v>
      </c>
      <c r="C984" s="23" t="e">
        <f ca="1">[1]!BexGetData("DP_1","003N8EMH8GTFRCSWKMPXRR8GU","GSON1112060842")</f>
        <v>#NAME?</v>
      </c>
      <c r="D984" s="23" t="e">
        <f ca="1">[1]!BexGetData("DP_1","003N8EMH8GTFRCSWKMPXRRESE","GSON1112060842")</f>
        <v>#NAME?</v>
      </c>
      <c r="E984" s="28" t="e">
        <f ca="1">[1]!BexGetData("DP_1","003N8EMH8GTFRCSWKMPXRRL3Y","GSON1112060842")</f>
        <v>#NAME?</v>
      </c>
      <c r="F984" s="23" t="e">
        <f ca="1">[1]!BexGetData("DP_1","003N8EMH8GTFRCSWKMPXRRRFI","GSON1112060842")</f>
        <v>#NAME?</v>
      </c>
      <c r="G984" s="23" t="e">
        <f ca="1">[1]!BexGetData("DP_1","003N8EMH8GTFRCSWKMPXRRXR2","GSON1112060842")</f>
        <v>#NAME?</v>
      </c>
      <c r="H984" s="23" t="e">
        <f ca="1">[1]!BexGetData("DP_1","003N8EMH8GTFRCSWKMPXRS42M","GSON1112060842")</f>
        <v>#NAME?</v>
      </c>
      <c r="I984" s="23" t="e">
        <f ca="1">[1]!BexGetData("DP_1","003N8EMH8GTFRCSWKMPXRSAE6","GSON1112060842")</f>
        <v>#NAME?</v>
      </c>
      <c r="J984" s="24" t="e">
        <f ca="1">[1]!BexGetData("DP_1","003N8EMH8GTFRCSWKMPXRSGPQ","GSON1112060842")</f>
        <v>#NAME?</v>
      </c>
      <c r="K984" s="23" t="e">
        <f ca="1">[1]!BexGetData("DP_1","003N8EMH8GTFRIVNUPY288VJH","GSON1112060842")</f>
        <v>#NAME?</v>
      </c>
      <c r="L984" s="23" t="e">
        <f ca="1">[1]!BexGetData("DP_1","003N8EMH8GTFRIVNUPY2891V1","GSON1112060842")</f>
        <v>#NAME?</v>
      </c>
      <c r="M984" s="28" t="e">
        <f ca="1">[1]!BexGetData("DP_1","003N8EMH8GTFRIVOG7KG9IQXA","GSON1112060842")</f>
        <v>#NAME?</v>
      </c>
      <c r="N984" s="23" t="e">
        <f ca="1">[1]!BexGetData("DP_1","003N8EMH8GTFRIVOG7KG9IX8U","GSON1112060842")</f>
        <v>#NAME?</v>
      </c>
      <c r="O984" s="28" t="e">
        <f ca="1">[1]!BexGetData("DP_1","003N8EMH8GTFRIVOG7KG9J3KE","GSON1112060842")</f>
        <v>#NAME?</v>
      </c>
      <c r="P984" s="23" t="e">
        <f ca="1">[1]!BexGetData("DP_1","003N8EMH8GTFRIVOG7KG9J9VY","GSON1112060842")</f>
        <v>#NAME?</v>
      </c>
      <c r="Q984" s="24" t="e">
        <f ca="1">[1]!BexGetData("DP_1","00O2TNJGODT0G5Z4TTKYMM5MT","GSON1112060842")</f>
        <v>#NAME?</v>
      </c>
      <c r="R984" s="23" t="e">
        <f ca="1">[1]!BexGetData("DP_1","00O2TNJGODT0G5Z4TTKYMMBYD","GSON1112060842")</f>
        <v>#NAME?</v>
      </c>
      <c r="S984" s="23" t="e">
        <f ca="1">[1]!BexGetData("DP_1","00O2TNJGODT0G5Z4TTKYMMI9X","GSON1112060842")</f>
        <v>#NAME?</v>
      </c>
      <c r="T984" s="23" t="e">
        <f ca="1">[1]!BexGetData("DP_1","00O2TNJGODT0G5Z4TTKYMMOLH","GSON1112060842")</f>
        <v>#NAME?</v>
      </c>
      <c r="U984" s="28" t="e">
        <f ca="1">[1]!BexGetData("DP_1","00O2TNJGODT0G5Z4TTKYMMUX1","GSON1112060842")</f>
        <v>#NAME?</v>
      </c>
      <c r="V984" s="23" t="e">
        <f ca="1">[1]!BexGetData("DP_1","00O2TNJGODT0G5Z4TTKYMN18L","GSON1112060842")</f>
        <v>#NAME?</v>
      </c>
      <c r="W984" s="28" t="e">
        <f ca="1">[1]!BexGetData("DP_1","00O2TNJGODT0G5Z4TTKYMN7K5","GSON1112060842")</f>
        <v>#NAME?</v>
      </c>
    </row>
    <row r="985" spans="1:23" x14ac:dyDescent="0.2">
      <c r="A985" s="36" t="s">
        <v>3328</v>
      </c>
      <c r="B985" s="27" t="s">
        <v>3329</v>
      </c>
      <c r="C985" s="23" t="e">
        <f ca="1">[1]!BexGetData("DP_1","003N8EMH8GTFRCSWKMPXRR8GU","GSON1112060843")</f>
        <v>#NAME?</v>
      </c>
      <c r="D985" s="23" t="e">
        <f ca="1">[1]!BexGetData("DP_1","003N8EMH8GTFRCSWKMPXRRESE","GSON1112060843")</f>
        <v>#NAME?</v>
      </c>
      <c r="E985" s="28" t="e">
        <f ca="1">[1]!BexGetData("DP_1","003N8EMH8GTFRCSWKMPXRRL3Y","GSON1112060843")</f>
        <v>#NAME?</v>
      </c>
      <c r="F985" s="28" t="e">
        <f ca="1">[1]!BexGetData("DP_1","003N8EMH8GTFRCSWKMPXRRRFI","GSON1112060843")</f>
        <v>#NAME?</v>
      </c>
      <c r="G985" s="23" t="e">
        <f ca="1">[1]!BexGetData("DP_1","003N8EMH8GTFRCSWKMPXRRXR2","GSON1112060843")</f>
        <v>#NAME?</v>
      </c>
      <c r="H985" s="23" t="e">
        <f ca="1">[1]!BexGetData("DP_1","003N8EMH8GTFRCSWKMPXRS42M","GSON1112060843")</f>
        <v>#NAME?</v>
      </c>
      <c r="I985" s="28" t="e">
        <f ca="1">[1]!BexGetData("DP_1","003N8EMH8GTFRCSWKMPXRSAE6","GSON1112060843")</f>
        <v>#NAME?</v>
      </c>
      <c r="J985" s="24" t="e">
        <f ca="1">[1]!BexGetData("DP_1","003N8EMH8GTFRCSWKMPXRSGPQ","GSON1112060843")</f>
        <v>#NAME?</v>
      </c>
      <c r="K985" s="28" t="e">
        <f ca="1">[1]!BexGetData("DP_1","003N8EMH8GTFRIVNUPY288VJH","GSON1112060843")</f>
        <v>#NAME?</v>
      </c>
      <c r="L985" s="28" t="e">
        <f ca="1">[1]!BexGetData("DP_1","003N8EMH8GTFRIVNUPY2891V1","GSON1112060843")</f>
        <v>#NAME?</v>
      </c>
      <c r="M985" s="28" t="e">
        <f ca="1">[1]!BexGetData("DP_1","003N8EMH8GTFRIVOG7KG9IQXA","GSON1112060843")</f>
        <v>#NAME?</v>
      </c>
      <c r="N985" s="28" t="e">
        <f ca="1">[1]!BexGetData("DP_1","003N8EMH8GTFRIVOG7KG9IX8U","GSON1112060843")</f>
        <v>#NAME?</v>
      </c>
      <c r="O985" s="28" t="e">
        <f ca="1">[1]!BexGetData("DP_1","003N8EMH8GTFRIVOG7KG9J3KE","GSON1112060843")</f>
        <v>#NAME?</v>
      </c>
      <c r="P985" s="28" t="e">
        <f ca="1">[1]!BexGetData("DP_1","003N8EMH8GTFRIVOG7KG9J9VY","GSON1112060843")</f>
        <v>#NAME?</v>
      </c>
      <c r="Q985" s="24" t="e">
        <f ca="1">[1]!BexGetData("DP_1","00O2TNJGODT0G5Z4TTKYMM5MT","GSON1112060843")</f>
        <v>#NAME?</v>
      </c>
      <c r="R985" s="28" t="e">
        <f ca="1">[1]!BexGetData("DP_1","00O2TNJGODT0G5Z4TTKYMMBYD","GSON1112060843")</f>
        <v>#NAME?</v>
      </c>
      <c r="S985" s="28" t="e">
        <f ca="1">[1]!BexGetData("DP_1","00O2TNJGODT0G5Z4TTKYMMI9X","GSON1112060843")</f>
        <v>#NAME?</v>
      </c>
      <c r="T985" s="28" t="e">
        <f ca="1">[1]!BexGetData("DP_1","00O2TNJGODT0G5Z4TTKYMMOLH","GSON1112060843")</f>
        <v>#NAME?</v>
      </c>
      <c r="U985" s="28" t="e">
        <f ca="1">[1]!BexGetData("DP_1","00O2TNJGODT0G5Z4TTKYMMUX1","GSON1112060843")</f>
        <v>#NAME?</v>
      </c>
      <c r="V985" s="28" t="e">
        <f ca="1">[1]!BexGetData("DP_1","00O2TNJGODT0G5Z4TTKYMN18L","GSON1112060843")</f>
        <v>#NAME?</v>
      </c>
      <c r="W985" s="28" t="e">
        <f ca="1">[1]!BexGetData("DP_1","00O2TNJGODT0G5Z4TTKYMN7K5","GSON1112060843")</f>
        <v>#NAME?</v>
      </c>
    </row>
    <row r="986" spans="1:23" x14ac:dyDescent="0.2">
      <c r="A986" s="36" t="s">
        <v>3330</v>
      </c>
      <c r="B986" s="27" t="s">
        <v>3331</v>
      </c>
      <c r="C986" s="23" t="e">
        <f ca="1">[1]!BexGetData("DP_1","003N8EMH8GTFRCSWKMPXRR8GU","GSON1112060844")</f>
        <v>#NAME?</v>
      </c>
      <c r="D986" s="23" t="e">
        <f ca="1">[1]!BexGetData("DP_1","003N8EMH8GTFRCSWKMPXRRESE","GSON1112060844")</f>
        <v>#NAME?</v>
      </c>
      <c r="E986" s="28" t="e">
        <f ca="1">[1]!BexGetData("DP_1","003N8EMH8GTFRCSWKMPXRRL3Y","GSON1112060844")</f>
        <v>#NAME?</v>
      </c>
      <c r="F986" s="28" t="e">
        <f ca="1">[1]!BexGetData("DP_1","003N8EMH8GTFRCSWKMPXRRRFI","GSON1112060844")</f>
        <v>#NAME?</v>
      </c>
      <c r="G986" s="23" t="e">
        <f ca="1">[1]!BexGetData("DP_1","003N8EMH8GTFRCSWKMPXRRXR2","GSON1112060844")</f>
        <v>#NAME?</v>
      </c>
      <c r="H986" s="23" t="e">
        <f ca="1">[1]!BexGetData("DP_1","003N8EMH8GTFRCSWKMPXRS42M","GSON1112060844")</f>
        <v>#NAME?</v>
      </c>
      <c r="I986" s="28" t="e">
        <f ca="1">[1]!BexGetData("DP_1","003N8EMH8GTFRCSWKMPXRSAE6","GSON1112060844")</f>
        <v>#NAME?</v>
      </c>
      <c r="J986" s="24" t="e">
        <f ca="1">[1]!BexGetData("DP_1","003N8EMH8GTFRCSWKMPXRSGPQ","GSON1112060844")</f>
        <v>#NAME?</v>
      </c>
      <c r="K986" s="28" t="e">
        <f ca="1">[1]!BexGetData("DP_1","003N8EMH8GTFRIVNUPY288VJH","GSON1112060844")</f>
        <v>#NAME?</v>
      </c>
      <c r="L986" s="28" t="e">
        <f ca="1">[1]!BexGetData("DP_1","003N8EMH8GTFRIVNUPY2891V1","GSON1112060844")</f>
        <v>#NAME?</v>
      </c>
      <c r="M986" s="28" t="e">
        <f ca="1">[1]!BexGetData("DP_1","003N8EMH8GTFRIVOG7KG9IQXA","GSON1112060844")</f>
        <v>#NAME?</v>
      </c>
      <c r="N986" s="28" t="e">
        <f ca="1">[1]!BexGetData("DP_1","003N8EMH8GTFRIVOG7KG9IX8U","GSON1112060844")</f>
        <v>#NAME?</v>
      </c>
      <c r="O986" s="28" t="e">
        <f ca="1">[1]!BexGetData("DP_1","003N8EMH8GTFRIVOG7KG9J3KE","GSON1112060844")</f>
        <v>#NAME?</v>
      </c>
      <c r="P986" s="28" t="e">
        <f ca="1">[1]!BexGetData("DP_1","003N8EMH8GTFRIVOG7KG9J9VY","GSON1112060844")</f>
        <v>#NAME?</v>
      </c>
      <c r="Q986" s="24" t="e">
        <f ca="1">[1]!BexGetData("DP_1","00O2TNJGODT0G5Z4TTKYMM5MT","GSON1112060844")</f>
        <v>#NAME?</v>
      </c>
      <c r="R986" s="28" t="e">
        <f ca="1">[1]!BexGetData("DP_1","00O2TNJGODT0G5Z4TTKYMMBYD","GSON1112060844")</f>
        <v>#NAME?</v>
      </c>
      <c r="S986" s="28" t="e">
        <f ca="1">[1]!BexGetData("DP_1","00O2TNJGODT0G5Z4TTKYMMI9X","GSON1112060844")</f>
        <v>#NAME?</v>
      </c>
      <c r="T986" s="28" t="e">
        <f ca="1">[1]!BexGetData("DP_1","00O2TNJGODT0G5Z4TTKYMMOLH","GSON1112060844")</f>
        <v>#NAME?</v>
      </c>
      <c r="U986" s="28" t="e">
        <f ca="1">[1]!BexGetData("DP_1","00O2TNJGODT0G5Z4TTKYMMUX1","GSON1112060844")</f>
        <v>#NAME?</v>
      </c>
      <c r="V986" s="28" t="e">
        <f ca="1">[1]!BexGetData("DP_1","00O2TNJGODT0G5Z4TTKYMN18L","GSON1112060844")</f>
        <v>#NAME?</v>
      </c>
      <c r="W986" s="28" t="e">
        <f ca="1">[1]!BexGetData("DP_1","00O2TNJGODT0G5Z4TTKYMN7K5","GSON1112060844")</f>
        <v>#NAME?</v>
      </c>
    </row>
    <row r="987" spans="1:23" x14ac:dyDescent="0.2">
      <c r="A987" s="36" t="s">
        <v>3332</v>
      </c>
      <c r="B987" s="27" t="s">
        <v>3333</v>
      </c>
      <c r="C987" s="23" t="e">
        <f ca="1">[1]!BexGetData("DP_1","003N8EMH8GTFRCSWKMPXRR8GU","GSON1112060845")</f>
        <v>#NAME?</v>
      </c>
      <c r="D987" s="23" t="e">
        <f ca="1">[1]!BexGetData("DP_1","003N8EMH8GTFRCSWKMPXRRESE","GSON1112060845")</f>
        <v>#NAME?</v>
      </c>
      <c r="E987" s="28" t="e">
        <f ca="1">[1]!BexGetData("DP_1","003N8EMH8GTFRCSWKMPXRRL3Y","GSON1112060845")</f>
        <v>#NAME?</v>
      </c>
      <c r="F987" s="28" t="e">
        <f ca="1">[1]!BexGetData("DP_1","003N8EMH8GTFRCSWKMPXRRRFI","GSON1112060845")</f>
        <v>#NAME?</v>
      </c>
      <c r="G987" s="23" t="e">
        <f ca="1">[1]!BexGetData("DP_1","003N8EMH8GTFRCSWKMPXRRXR2","GSON1112060845")</f>
        <v>#NAME?</v>
      </c>
      <c r="H987" s="23" t="e">
        <f ca="1">[1]!BexGetData("DP_1","003N8EMH8GTFRCSWKMPXRS42M","GSON1112060845")</f>
        <v>#NAME?</v>
      </c>
      <c r="I987" s="28" t="e">
        <f ca="1">[1]!BexGetData("DP_1","003N8EMH8GTFRCSWKMPXRSAE6","GSON1112060845")</f>
        <v>#NAME?</v>
      </c>
      <c r="J987" s="24" t="e">
        <f ca="1">[1]!BexGetData("DP_1","003N8EMH8GTFRCSWKMPXRSGPQ","GSON1112060845")</f>
        <v>#NAME?</v>
      </c>
      <c r="K987" s="28" t="e">
        <f ca="1">[1]!BexGetData("DP_1","003N8EMH8GTFRIVNUPY288VJH","GSON1112060845")</f>
        <v>#NAME?</v>
      </c>
      <c r="L987" s="28" t="e">
        <f ca="1">[1]!BexGetData("DP_1","003N8EMH8GTFRIVNUPY2891V1","GSON1112060845")</f>
        <v>#NAME?</v>
      </c>
      <c r="M987" s="28" t="e">
        <f ca="1">[1]!BexGetData("DP_1","003N8EMH8GTFRIVOG7KG9IQXA","GSON1112060845")</f>
        <v>#NAME?</v>
      </c>
      <c r="N987" s="28" t="e">
        <f ca="1">[1]!BexGetData("DP_1","003N8EMH8GTFRIVOG7KG9IX8U","GSON1112060845")</f>
        <v>#NAME?</v>
      </c>
      <c r="O987" s="28" t="e">
        <f ca="1">[1]!BexGetData("DP_1","003N8EMH8GTFRIVOG7KG9J3KE","GSON1112060845")</f>
        <v>#NAME?</v>
      </c>
      <c r="P987" s="28" t="e">
        <f ca="1">[1]!BexGetData("DP_1","003N8EMH8GTFRIVOG7KG9J9VY","GSON1112060845")</f>
        <v>#NAME?</v>
      </c>
      <c r="Q987" s="24" t="e">
        <f ca="1">[1]!BexGetData("DP_1","00O2TNJGODT0G5Z4TTKYMM5MT","GSON1112060845")</f>
        <v>#NAME?</v>
      </c>
      <c r="R987" s="28" t="e">
        <f ca="1">[1]!BexGetData("DP_1","00O2TNJGODT0G5Z4TTKYMMBYD","GSON1112060845")</f>
        <v>#NAME?</v>
      </c>
      <c r="S987" s="28" t="e">
        <f ca="1">[1]!BexGetData("DP_1","00O2TNJGODT0G5Z4TTKYMMI9X","GSON1112060845")</f>
        <v>#NAME?</v>
      </c>
      <c r="T987" s="28" t="e">
        <f ca="1">[1]!BexGetData("DP_1","00O2TNJGODT0G5Z4TTKYMMOLH","GSON1112060845")</f>
        <v>#NAME?</v>
      </c>
      <c r="U987" s="28" t="e">
        <f ca="1">[1]!BexGetData("DP_1","00O2TNJGODT0G5Z4TTKYMMUX1","GSON1112060845")</f>
        <v>#NAME?</v>
      </c>
      <c r="V987" s="28" t="e">
        <f ca="1">[1]!BexGetData("DP_1","00O2TNJGODT0G5Z4TTKYMN18L","GSON1112060845")</f>
        <v>#NAME?</v>
      </c>
      <c r="W987" s="28" t="e">
        <f ca="1">[1]!BexGetData("DP_1","00O2TNJGODT0G5Z4TTKYMN7K5","GSON1112060845")</f>
        <v>#NAME?</v>
      </c>
    </row>
    <row r="988" spans="1:23" x14ac:dyDescent="0.2">
      <c r="A988" s="36" t="s">
        <v>3334</v>
      </c>
      <c r="B988" s="27" t="s">
        <v>3335</v>
      </c>
      <c r="C988" s="23" t="e">
        <f ca="1">[1]!BexGetData("DP_1","003N8EMH8GTFRCSWKMPXRR8GU","GSON1112060850")</f>
        <v>#NAME?</v>
      </c>
      <c r="D988" s="23" t="e">
        <f ca="1">[1]!BexGetData("DP_1","003N8EMH8GTFRCSWKMPXRRESE","GSON1112060850")</f>
        <v>#NAME?</v>
      </c>
      <c r="E988" s="23" t="e">
        <f ca="1">[1]!BexGetData("DP_1","003N8EMH8GTFRCSWKMPXRRL3Y","GSON1112060850")</f>
        <v>#NAME?</v>
      </c>
      <c r="F988" s="23" t="e">
        <f ca="1">[1]!BexGetData("DP_1","003N8EMH8GTFRCSWKMPXRRRFI","GSON1112060850")</f>
        <v>#NAME?</v>
      </c>
      <c r="G988" s="23" t="e">
        <f ca="1">[1]!BexGetData("DP_1","003N8EMH8GTFRCSWKMPXRRXR2","GSON1112060850")</f>
        <v>#NAME?</v>
      </c>
      <c r="H988" s="23" t="e">
        <f ca="1">[1]!BexGetData("DP_1","003N8EMH8GTFRCSWKMPXRS42M","GSON1112060850")</f>
        <v>#NAME?</v>
      </c>
      <c r="I988" s="23" t="e">
        <f ca="1">[1]!BexGetData("DP_1","003N8EMH8GTFRCSWKMPXRSAE6","GSON1112060850")</f>
        <v>#NAME?</v>
      </c>
      <c r="J988" s="24" t="e">
        <f ca="1">[1]!BexGetData("DP_1","003N8EMH8GTFRCSWKMPXRSGPQ","GSON1112060850")</f>
        <v>#NAME?</v>
      </c>
      <c r="K988" s="23" t="e">
        <f ca="1">[1]!BexGetData("DP_1","003N8EMH8GTFRIVNUPY288VJH","GSON1112060850")</f>
        <v>#NAME?</v>
      </c>
      <c r="L988" s="23" t="e">
        <f ca="1">[1]!BexGetData("DP_1","003N8EMH8GTFRIVNUPY2891V1","GSON1112060850")</f>
        <v>#NAME?</v>
      </c>
      <c r="M988" s="23" t="e">
        <f ca="1">[1]!BexGetData("DP_1","003N8EMH8GTFRIVOG7KG9IQXA","GSON1112060850")</f>
        <v>#NAME?</v>
      </c>
      <c r="N988" s="28" t="e">
        <f ca="1">[1]!BexGetData("DP_1","003N8EMH8GTFRIVOG7KG9IX8U","GSON1112060850")</f>
        <v>#NAME?</v>
      </c>
      <c r="O988" s="23" t="e">
        <f ca="1">[1]!BexGetData("DP_1","003N8EMH8GTFRIVOG7KG9J3KE","GSON1112060850")</f>
        <v>#NAME?</v>
      </c>
      <c r="P988" s="28" t="e">
        <f ca="1">[1]!BexGetData("DP_1","003N8EMH8GTFRIVOG7KG9J9VY","GSON1112060850")</f>
        <v>#NAME?</v>
      </c>
      <c r="Q988" s="24" t="e">
        <f ca="1">[1]!BexGetData("DP_1","00O2TNJGODT0G5Z4TTKYMM5MT","GSON1112060850")</f>
        <v>#NAME?</v>
      </c>
      <c r="R988" s="23" t="e">
        <f ca="1">[1]!BexGetData("DP_1","00O2TNJGODT0G5Z4TTKYMMBYD","GSON1112060850")</f>
        <v>#NAME?</v>
      </c>
      <c r="S988" s="23" t="e">
        <f ca="1">[1]!BexGetData("DP_1","00O2TNJGODT0G5Z4TTKYMMI9X","GSON1112060850")</f>
        <v>#NAME?</v>
      </c>
      <c r="T988" s="28" t="e">
        <f ca="1">[1]!BexGetData("DP_1","00O2TNJGODT0G5Z4TTKYMMOLH","GSON1112060850")</f>
        <v>#NAME?</v>
      </c>
      <c r="U988" s="23" t="e">
        <f ca="1">[1]!BexGetData("DP_1","00O2TNJGODT0G5Z4TTKYMMUX1","GSON1112060850")</f>
        <v>#NAME?</v>
      </c>
      <c r="V988" s="28" t="e">
        <f ca="1">[1]!BexGetData("DP_1","00O2TNJGODT0G5Z4TTKYMN18L","GSON1112060850")</f>
        <v>#NAME?</v>
      </c>
      <c r="W988" s="23" t="e">
        <f ca="1">[1]!BexGetData("DP_1","00O2TNJGODT0G5Z4TTKYMN7K5","GSON1112060850")</f>
        <v>#NAME?</v>
      </c>
    </row>
    <row r="989" spans="1:23" x14ac:dyDescent="0.2">
      <c r="A989" s="36" t="s">
        <v>3336</v>
      </c>
      <c r="B989" s="27" t="s">
        <v>3337</v>
      </c>
      <c r="C989" s="23" t="e">
        <f ca="1">[1]!BexGetData("DP_1","003N8EMH8GTFRCSWKMPXRR8GU","GSON1112060851")</f>
        <v>#NAME?</v>
      </c>
      <c r="D989" s="23" t="e">
        <f ca="1">[1]!BexGetData("DP_1","003N8EMH8GTFRCSWKMPXRRESE","GSON1112060851")</f>
        <v>#NAME?</v>
      </c>
      <c r="E989" s="28" t="e">
        <f ca="1">[1]!BexGetData("DP_1","003N8EMH8GTFRCSWKMPXRRL3Y","GSON1112060851")</f>
        <v>#NAME?</v>
      </c>
      <c r="F989" s="28" t="e">
        <f ca="1">[1]!BexGetData("DP_1","003N8EMH8GTFRCSWKMPXRRRFI","GSON1112060851")</f>
        <v>#NAME?</v>
      </c>
      <c r="G989" s="23" t="e">
        <f ca="1">[1]!BexGetData("DP_1","003N8EMH8GTFRCSWKMPXRRXR2","GSON1112060851")</f>
        <v>#NAME?</v>
      </c>
      <c r="H989" s="23" t="e">
        <f ca="1">[1]!BexGetData("DP_1","003N8EMH8GTFRCSWKMPXRS42M","GSON1112060851")</f>
        <v>#NAME?</v>
      </c>
      <c r="I989" s="28" t="e">
        <f ca="1">[1]!BexGetData("DP_1","003N8EMH8GTFRCSWKMPXRSAE6","GSON1112060851")</f>
        <v>#NAME?</v>
      </c>
      <c r="J989" s="24" t="e">
        <f ca="1">[1]!BexGetData("DP_1","003N8EMH8GTFRCSWKMPXRSGPQ","GSON1112060851")</f>
        <v>#NAME?</v>
      </c>
      <c r="K989" s="28" t="e">
        <f ca="1">[1]!BexGetData("DP_1","003N8EMH8GTFRIVNUPY288VJH","GSON1112060851")</f>
        <v>#NAME?</v>
      </c>
      <c r="L989" s="28" t="e">
        <f ca="1">[1]!BexGetData("DP_1","003N8EMH8GTFRIVNUPY2891V1","GSON1112060851")</f>
        <v>#NAME?</v>
      </c>
      <c r="M989" s="28" t="e">
        <f ca="1">[1]!BexGetData("DP_1","003N8EMH8GTFRIVOG7KG9IQXA","GSON1112060851")</f>
        <v>#NAME?</v>
      </c>
      <c r="N989" s="28" t="e">
        <f ca="1">[1]!BexGetData("DP_1","003N8EMH8GTFRIVOG7KG9IX8U","GSON1112060851")</f>
        <v>#NAME?</v>
      </c>
      <c r="O989" s="28" t="e">
        <f ca="1">[1]!BexGetData("DP_1","003N8EMH8GTFRIVOG7KG9J3KE","GSON1112060851")</f>
        <v>#NAME?</v>
      </c>
      <c r="P989" s="28" t="e">
        <f ca="1">[1]!BexGetData("DP_1","003N8EMH8GTFRIVOG7KG9J9VY","GSON1112060851")</f>
        <v>#NAME?</v>
      </c>
      <c r="Q989" s="24" t="e">
        <f ca="1">[1]!BexGetData("DP_1","00O2TNJGODT0G5Z4TTKYMM5MT","GSON1112060851")</f>
        <v>#NAME?</v>
      </c>
      <c r="R989" s="28" t="e">
        <f ca="1">[1]!BexGetData("DP_1","00O2TNJGODT0G5Z4TTKYMMBYD","GSON1112060851")</f>
        <v>#NAME?</v>
      </c>
      <c r="S989" s="28" t="e">
        <f ca="1">[1]!BexGetData("DP_1","00O2TNJGODT0G5Z4TTKYMMI9X","GSON1112060851")</f>
        <v>#NAME?</v>
      </c>
      <c r="T989" s="28" t="e">
        <f ca="1">[1]!BexGetData("DP_1","00O2TNJGODT0G5Z4TTKYMMOLH","GSON1112060851")</f>
        <v>#NAME?</v>
      </c>
      <c r="U989" s="28" t="e">
        <f ca="1">[1]!BexGetData("DP_1","00O2TNJGODT0G5Z4TTKYMMUX1","GSON1112060851")</f>
        <v>#NAME?</v>
      </c>
      <c r="V989" s="28" t="e">
        <f ca="1">[1]!BexGetData("DP_1","00O2TNJGODT0G5Z4TTKYMN18L","GSON1112060851")</f>
        <v>#NAME?</v>
      </c>
      <c r="W989" s="28" t="e">
        <f ca="1">[1]!BexGetData("DP_1","00O2TNJGODT0G5Z4TTKYMN7K5","GSON1112060851")</f>
        <v>#NAME?</v>
      </c>
    </row>
    <row r="990" spans="1:23" x14ac:dyDescent="0.2">
      <c r="A990" s="36" t="s">
        <v>3338</v>
      </c>
      <c r="B990" s="27" t="s">
        <v>3339</v>
      </c>
      <c r="C990" s="23" t="e">
        <f ca="1">[1]!BexGetData("DP_1","003N8EMH8GTFRCSWKMPXRR8GU","GSON1112060853")</f>
        <v>#NAME?</v>
      </c>
      <c r="D990" s="23" t="e">
        <f ca="1">[1]!BexGetData("DP_1","003N8EMH8GTFRCSWKMPXRRESE","GSON1112060853")</f>
        <v>#NAME?</v>
      </c>
      <c r="E990" s="28" t="e">
        <f ca="1">[1]!BexGetData("DP_1","003N8EMH8GTFRCSWKMPXRRL3Y","GSON1112060853")</f>
        <v>#NAME?</v>
      </c>
      <c r="F990" s="28" t="e">
        <f ca="1">[1]!BexGetData("DP_1","003N8EMH8GTFRCSWKMPXRRRFI","GSON1112060853")</f>
        <v>#NAME?</v>
      </c>
      <c r="G990" s="23" t="e">
        <f ca="1">[1]!BexGetData("DP_1","003N8EMH8GTFRCSWKMPXRRXR2","GSON1112060853")</f>
        <v>#NAME?</v>
      </c>
      <c r="H990" s="23" t="e">
        <f ca="1">[1]!BexGetData("DP_1","003N8EMH8GTFRCSWKMPXRS42M","GSON1112060853")</f>
        <v>#NAME?</v>
      </c>
      <c r="I990" s="28" t="e">
        <f ca="1">[1]!BexGetData("DP_1","003N8EMH8GTFRCSWKMPXRSAE6","GSON1112060853")</f>
        <v>#NAME?</v>
      </c>
      <c r="J990" s="24" t="e">
        <f ca="1">[1]!BexGetData("DP_1","003N8EMH8GTFRCSWKMPXRSGPQ","GSON1112060853")</f>
        <v>#NAME?</v>
      </c>
      <c r="K990" s="28" t="e">
        <f ca="1">[1]!BexGetData("DP_1","003N8EMH8GTFRIVNUPY288VJH","GSON1112060853")</f>
        <v>#NAME?</v>
      </c>
      <c r="L990" s="28" t="e">
        <f ca="1">[1]!BexGetData("DP_1","003N8EMH8GTFRIVNUPY2891V1","GSON1112060853")</f>
        <v>#NAME?</v>
      </c>
      <c r="M990" s="28" t="e">
        <f ca="1">[1]!BexGetData("DP_1","003N8EMH8GTFRIVOG7KG9IQXA","GSON1112060853")</f>
        <v>#NAME?</v>
      </c>
      <c r="N990" s="28" t="e">
        <f ca="1">[1]!BexGetData("DP_1","003N8EMH8GTFRIVOG7KG9IX8U","GSON1112060853")</f>
        <v>#NAME?</v>
      </c>
      <c r="O990" s="28" t="e">
        <f ca="1">[1]!BexGetData("DP_1","003N8EMH8GTFRIVOG7KG9J3KE","GSON1112060853")</f>
        <v>#NAME?</v>
      </c>
      <c r="P990" s="28" t="e">
        <f ca="1">[1]!BexGetData("DP_1","003N8EMH8GTFRIVOG7KG9J9VY","GSON1112060853")</f>
        <v>#NAME?</v>
      </c>
      <c r="Q990" s="24" t="e">
        <f ca="1">[1]!BexGetData("DP_1","00O2TNJGODT0G5Z4TTKYMM5MT","GSON1112060853")</f>
        <v>#NAME?</v>
      </c>
      <c r="R990" s="28" t="e">
        <f ca="1">[1]!BexGetData("DP_1","00O2TNJGODT0G5Z4TTKYMMBYD","GSON1112060853")</f>
        <v>#NAME?</v>
      </c>
      <c r="S990" s="28" t="e">
        <f ca="1">[1]!BexGetData("DP_1","00O2TNJGODT0G5Z4TTKYMMI9X","GSON1112060853")</f>
        <v>#NAME?</v>
      </c>
      <c r="T990" s="28" t="e">
        <f ca="1">[1]!BexGetData("DP_1","00O2TNJGODT0G5Z4TTKYMMOLH","GSON1112060853")</f>
        <v>#NAME?</v>
      </c>
      <c r="U990" s="28" t="e">
        <f ca="1">[1]!BexGetData("DP_1","00O2TNJGODT0G5Z4TTKYMMUX1","GSON1112060853")</f>
        <v>#NAME?</v>
      </c>
      <c r="V990" s="28" t="e">
        <f ca="1">[1]!BexGetData("DP_1","00O2TNJGODT0G5Z4TTKYMN18L","GSON1112060853")</f>
        <v>#NAME?</v>
      </c>
      <c r="W990" s="28" t="e">
        <f ca="1">[1]!BexGetData("DP_1","00O2TNJGODT0G5Z4TTKYMN7K5","GSON1112060853")</f>
        <v>#NAME?</v>
      </c>
    </row>
    <row r="991" spans="1:23" x14ac:dyDescent="0.2">
      <c r="A991" s="36" t="s">
        <v>3340</v>
      </c>
      <c r="B991" s="27" t="s">
        <v>3341</v>
      </c>
      <c r="C991" s="23" t="e">
        <f ca="1">[1]!BexGetData("DP_1","003N8EMH8GTFRCSWKMPXRR8GU","GSON1112060854")</f>
        <v>#NAME?</v>
      </c>
      <c r="D991" s="23" t="e">
        <f ca="1">[1]!BexGetData("DP_1","003N8EMH8GTFRCSWKMPXRRESE","GSON1112060854")</f>
        <v>#NAME?</v>
      </c>
      <c r="E991" s="28" t="e">
        <f ca="1">[1]!BexGetData("DP_1","003N8EMH8GTFRCSWKMPXRRL3Y","GSON1112060854")</f>
        <v>#NAME?</v>
      </c>
      <c r="F991" s="28" t="e">
        <f ca="1">[1]!BexGetData("DP_1","003N8EMH8GTFRCSWKMPXRRRFI","GSON1112060854")</f>
        <v>#NAME?</v>
      </c>
      <c r="G991" s="23" t="e">
        <f ca="1">[1]!BexGetData("DP_1","003N8EMH8GTFRCSWKMPXRRXR2","GSON1112060854")</f>
        <v>#NAME?</v>
      </c>
      <c r="H991" s="23" t="e">
        <f ca="1">[1]!BexGetData("DP_1","003N8EMH8GTFRCSWKMPXRS42M","GSON1112060854")</f>
        <v>#NAME?</v>
      </c>
      <c r="I991" s="28" t="e">
        <f ca="1">[1]!BexGetData("DP_1","003N8EMH8GTFRCSWKMPXRSAE6","GSON1112060854")</f>
        <v>#NAME?</v>
      </c>
      <c r="J991" s="24" t="e">
        <f ca="1">[1]!BexGetData("DP_1","003N8EMH8GTFRCSWKMPXRSGPQ","GSON1112060854")</f>
        <v>#NAME?</v>
      </c>
      <c r="K991" s="28" t="e">
        <f ca="1">[1]!BexGetData("DP_1","003N8EMH8GTFRIVNUPY288VJH","GSON1112060854")</f>
        <v>#NAME?</v>
      </c>
      <c r="L991" s="28" t="e">
        <f ca="1">[1]!BexGetData("DP_1","003N8EMH8GTFRIVNUPY2891V1","GSON1112060854")</f>
        <v>#NAME?</v>
      </c>
      <c r="M991" s="28" t="e">
        <f ca="1">[1]!BexGetData("DP_1","003N8EMH8GTFRIVOG7KG9IQXA","GSON1112060854")</f>
        <v>#NAME?</v>
      </c>
      <c r="N991" s="28" t="e">
        <f ca="1">[1]!BexGetData("DP_1","003N8EMH8GTFRIVOG7KG9IX8U","GSON1112060854")</f>
        <v>#NAME?</v>
      </c>
      <c r="O991" s="28" t="e">
        <f ca="1">[1]!BexGetData("DP_1","003N8EMH8GTFRIVOG7KG9J3KE","GSON1112060854")</f>
        <v>#NAME?</v>
      </c>
      <c r="P991" s="28" t="e">
        <f ca="1">[1]!BexGetData("DP_1","003N8EMH8GTFRIVOG7KG9J9VY","GSON1112060854")</f>
        <v>#NAME?</v>
      </c>
      <c r="Q991" s="24" t="e">
        <f ca="1">[1]!BexGetData("DP_1","00O2TNJGODT0G5Z4TTKYMM5MT","GSON1112060854")</f>
        <v>#NAME?</v>
      </c>
      <c r="R991" s="28" t="e">
        <f ca="1">[1]!BexGetData("DP_1","00O2TNJGODT0G5Z4TTKYMMBYD","GSON1112060854")</f>
        <v>#NAME?</v>
      </c>
      <c r="S991" s="28" t="e">
        <f ca="1">[1]!BexGetData("DP_1","00O2TNJGODT0G5Z4TTKYMMI9X","GSON1112060854")</f>
        <v>#NAME?</v>
      </c>
      <c r="T991" s="28" t="e">
        <f ca="1">[1]!BexGetData("DP_1","00O2TNJGODT0G5Z4TTKYMMOLH","GSON1112060854")</f>
        <v>#NAME?</v>
      </c>
      <c r="U991" s="28" t="e">
        <f ca="1">[1]!BexGetData("DP_1","00O2TNJGODT0G5Z4TTKYMMUX1","GSON1112060854")</f>
        <v>#NAME?</v>
      </c>
      <c r="V991" s="28" t="e">
        <f ca="1">[1]!BexGetData("DP_1","00O2TNJGODT0G5Z4TTKYMN18L","GSON1112060854")</f>
        <v>#NAME?</v>
      </c>
      <c r="W991" s="28" t="e">
        <f ca="1">[1]!BexGetData("DP_1","00O2TNJGODT0G5Z4TTKYMN7K5","GSON1112060854")</f>
        <v>#NAME?</v>
      </c>
    </row>
    <row r="992" spans="1:23" x14ac:dyDescent="0.2">
      <c r="A992" s="36" t="s">
        <v>3342</v>
      </c>
      <c r="B992" s="27" t="s">
        <v>3343</v>
      </c>
      <c r="C992" s="23" t="e">
        <f ca="1">[1]!BexGetData("DP_1","003N8EMH8GTFRCSWKMPXRR8GU","GSON1112060855")</f>
        <v>#NAME?</v>
      </c>
      <c r="D992" s="23" t="e">
        <f ca="1">[1]!BexGetData("DP_1","003N8EMH8GTFRCSWKMPXRRESE","GSON1112060855")</f>
        <v>#NAME?</v>
      </c>
      <c r="E992" s="28" t="e">
        <f ca="1">[1]!BexGetData("DP_1","003N8EMH8GTFRCSWKMPXRRL3Y","GSON1112060855")</f>
        <v>#NAME?</v>
      </c>
      <c r="F992" s="28" t="e">
        <f ca="1">[1]!BexGetData("DP_1","003N8EMH8GTFRCSWKMPXRRRFI","GSON1112060855")</f>
        <v>#NAME?</v>
      </c>
      <c r="G992" s="23" t="e">
        <f ca="1">[1]!BexGetData("DP_1","003N8EMH8GTFRCSWKMPXRRXR2","GSON1112060855")</f>
        <v>#NAME?</v>
      </c>
      <c r="H992" s="23" t="e">
        <f ca="1">[1]!BexGetData("DP_1","003N8EMH8GTFRCSWKMPXRS42M","GSON1112060855")</f>
        <v>#NAME?</v>
      </c>
      <c r="I992" s="28" t="e">
        <f ca="1">[1]!BexGetData("DP_1","003N8EMH8GTFRCSWKMPXRSAE6","GSON1112060855")</f>
        <v>#NAME?</v>
      </c>
      <c r="J992" s="24" t="e">
        <f ca="1">[1]!BexGetData("DP_1","003N8EMH8GTFRCSWKMPXRSGPQ","GSON1112060855")</f>
        <v>#NAME?</v>
      </c>
      <c r="K992" s="28" t="e">
        <f ca="1">[1]!BexGetData("DP_1","003N8EMH8GTFRIVNUPY288VJH","GSON1112060855")</f>
        <v>#NAME?</v>
      </c>
      <c r="L992" s="28" t="e">
        <f ca="1">[1]!BexGetData("DP_1","003N8EMH8GTFRIVNUPY2891V1","GSON1112060855")</f>
        <v>#NAME?</v>
      </c>
      <c r="M992" s="28" t="e">
        <f ca="1">[1]!BexGetData("DP_1","003N8EMH8GTFRIVOG7KG9IQXA","GSON1112060855")</f>
        <v>#NAME?</v>
      </c>
      <c r="N992" s="28" t="e">
        <f ca="1">[1]!BexGetData("DP_1","003N8EMH8GTFRIVOG7KG9IX8U","GSON1112060855")</f>
        <v>#NAME?</v>
      </c>
      <c r="O992" s="28" t="e">
        <f ca="1">[1]!BexGetData("DP_1","003N8EMH8GTFRIVOG7KG9J3KE","GSON1112060855")</f>
        <v>#NAME?</v>
      </c>
      <c r="P992" s="28" t="e">
        <f ca="1">[1]!BexGetData("DP_1","003N8EMH8GTFRIVOG7KG9J9VY","GSON1112060855")</f>
        <v>#NAME?</v>
      </c>
      <c r="Q992" s="24" t="e">
        <f ca="1">[1]!BexGetData("DP_1","00O2TNJGODT0G5Z4TTKYMM5MT","GSON1112060855")</f>
        <v>#NAME?</v>
      </c>
      <c r="R992" s="28" t="e">
        <f ca="1">[1]!BexGetData("DP_1","00O2TNJGODT0G5Z4TTKYMMBYD","GSON1112060855")</f>
        <v>#NAME?</v>
      </c>
      <c r="S992" s="28" t="e">
        <f ca="1">[1]!BexGetData("DP_1","00O2TNJGODT0G5Z4TTKYMMI9X","GSON1112060855")</f>
        <v>#NAME?</v>
      </c>
      <c r="T992" s="28" t="e">
        <f ca="1">[1]!BexGetData("DP_1","00O2TNJGODT0G5Z4TTKYMMOLH","GSON1112060855")</f>
        <v>#NAME?</v>
      </c>
      <c r="U992" s="28" t="e">
        <f ca="1">[1]!BexGetData("DP_1","00O2TNJGODT0G5Z4TTKYMMUX1","GSON1112060855")</f>
        <v>#NAME?</v>
      </c>
      <c r="V992" s="28" t="e">
        <f ca="1">[1]!BexGetData("DP_1","00O2TNJGODT0G5Z4TTKYMN18L","GSON1112060855")</f>
        <v>#NAME?</v>
      </c>
      <c r="W992" s="28" t="e">
        <f ca="1">[1]!BexGetData("DP_1","00O2TNJGODT0G5Z4TTKYMN7K5","GSON1112060855")</f>
        <v>#NAME?</v>
      </c>
    </row>
    <row r="993" spans="1:23" x14ac:dyDescent="0.2">
      <c r="A993" s="36" t="s">
        <v>3344</v>
      </c>
      <c r="B993" s="27" t="s">
        <v>3345</v>
      </c>
      <c r="C993" s="23" t="e">
        <f ca="1">[1]!BexGetData("DP_1","003N8EMH8GTFRCSWKMPXRR8GU","GSON1112060860")</f>
        <v>#NAME?</v>
      </c>
      <c r="D993" s="23" t="e">
        <f ca="1">[1]!BexGetData("DP_1","003N8EMH8GTFRCSWKMPXRRESE","GSON1112060860")</f>
        <v>#NAME?</v>
      </c>
      <c r="E993" s="23" t="e">
        <f ca="1">[1]!BexGetData("DP_1","003N8EMH8GTFRCSWKMPXRRL3Y","GSON1112060860")</f>
        <v>#NAME?</v>
      </c>
      <c r="F993" s="23" t="e">
        <f ca="1">[1]!BexGetData("DP_1","003N8EMH8GTFRCSWKMPXRRRFI","GSON1112060860")</f>
        <v>#NAME?</v>
      </c>
      <c r="G993" s="23" t="e">
        <f ca="1">[1]!BexGetData("DP_1","003N8EMH8GTFRCSWKMPXRRXR2","GSON1112060860")</f>
        <v>#NAME?</v>
      </c>
      <c r="H993" s="23" t="e">
        <f ca="1">[1]!BexGetData("DP_1","003N8EMH8GTFRCSWKMPXRS42M","GSON1112060860")</f>
        <v>#NAME?</v>
      </c>
      <c r="I993" s="23" t="e">
        <f ca="1">[1]!BexGetData("DP_1","003N8EMH8GTFRCSWKMPXRSAE6","GSON1112060860")</f>
        <v>#NAME?</v>
      </c>
      <c r="J993" s="24" t="e">
        <f ca="1">[1]!BexGetData("DP_1","003N8EMH8GTFRCSWKMPXRSGPQ","GSON1112060860")</f>
        <v>#NAME?</v>
      </c>
      <c r="K993" s="23" t="e">
        <f ca="1">[1]!BexGetData("DP_1","003N8EMH8GTFRIVNUPY288VJH","GSON1112060860")</f>
        <v>#NAME?</v>
      </c>
      <c r="L993" s="23" t="e">
        <f ca="1">[1]!BexGetData("DP_1","003N8EMH8GTFRIVNUPY2891V1","GSON1112060860")</f>
        <v>#NAME?</v>
      </c>
      <c r="M993" s="23" t="e">
        <f ca="1">[1]!BexGetData("DP_1","003N8EMH8GTFRIVOG7KG9IQXA","GSON1112060860")</f>
        <v>#NAME?</v>
      </c>
      <c r="N993" s="28" t="e">
        <f ca="1">[1]!BexGetData("DP_1","003N8EMH8GTFRIVOG7KG9IX8U","GSON1112060860")</f>
        <v>#NAME?</v>
      </c>
      <c r="O993" s="23" t="e">
        <f ca="1">[1]!BexGetData("DP_1","003N8EMH8GTFRIVOG7KG9J3KE","GSON1112060860")</f>
        <v>#NAME?</v>
      </c>
      <c r="P993" s="28" t="e">
        <f ca="1">[1]!BexGetData("DP_1","003N8EMH8GTFRIVOG7KG9J9VY","GSON1112060860")</f>
        <v>#NAME?</v>
      </c>
      <c r="Q993" s="24" t="e">
        <f ca="1">[1]!BexGetData("DP_1","00O2TNJGODT0G5Z4TTKYMM5MT","GSON1112060860")</f>
        <v>#NAME?</v>
      </c>
      <c r="R993" s="23" t="e">
        <f ca="1">[1]!BexGetData("DP_1","00O2TNJGODT0G5Z4TTKYMMBYD","GSON1112060860")</f>
        <v>#NAME?</v>
      </c>
      <c r="S993" s="23" t="e">
        <f ca="1">[1]!BexGetData("DP_1","00O2TNJGODT0G5Z4TTKYMMI9X","GSON1112060860")</f>
        <v>#NAME?</v>
      </c>
      <c r="T993" s="28" t="e">
        <f ca="1">[1]!BexGetData("DP_1","00O2TNJGODT0G5Z4TTKYMMOLH","GSON1112060860")</f>
        <v>#NAME?</v>
      </c>
      <c r="U993" s="23" t="e">
        <f ca="1">[1]!BexGetData("DP_1","00O2TNJGODT0G5Z4TTKYMMUX1","GSON1112060860")</f>
        <v>#NAME?</v>
      </c>
      <c r="V993" s="28" t="e">
        <f ca="1">[1]!BexGetData("DP_1","00O2TNJGODT0G5Z4TTKYMN18L","GSON1112060860")</f>
        <v>#NAME?</v>
      </c>
      <c r="W993" s="23" t="e">
        <f ca="1">[1]!BexGetData("DP_1","00O2TNJGODT0G5Z4TTKYMN7K5","GSON1112060860")</f>
        <v>#NAME?</v>
      </c>
    </row>
    <row r="994" spans="1:23" x14ac:dyDescent="0.2">
      <c r="A994" s="36" t="s">
        <v>3346</v>
      </c>
      <c r="B994" s="27" t="s">
        <v>3347</v>
      </c>
      <c r="C994" s="28" t="e">
        <f ca="1">[1]!BexGetData("DP_1","003N8EMH8GTFRCSWKMPXRR8GU","GSON1112060861")</f>
        <v>#NAME?</v>
      </c>
      <c r="D994" s="28" t="e">
        <f ca="1">[1]!BexGetData("DP_1","003N8EMH8GTFRCSWKMPXRRESE","GSON1112060861")</f>
        <v>#NAME?</v>
      </c>
      <c r="E994" s="28" t="e">
        <f ca="1">[1]!BexGetData("DP_1","003N8EMH8GTFRCSWKMPXRRL3Y","GSON1112060861")</f>
        <v>#NAME?</v>
      </c>
      <c r="F994" s="28" t="e">
        <f ca="1">[1]!BexGetData("DP_1","003N8EMH8GTFRCSWKMPXRRRFI","GSON1112060861")</f>
        <v>#NAME?</v>
      </c>
      <c r="G994" s="23" t="e">
        <f ca="1">[1]!BexGetData("DP_1","003N8EMH8GTFRCSWKMPXRRXR2","GSON1112060861")</f>
        <v>#NAME?</v>
      </c>
      <c r="H994" s="23" t="e">
        <f ca="1">[1]!BexGetData("DP_1","003N8EMH8GTFRCSWKMPXRS42M","GSON1112060861")</f>
        <v>#NAME?</v>
      </c>
      <c r="I994" s="28" t="e">
        <f ca="1">[1]!BexGetData("DP_1","003N8EMH8GTFRCSWKMPXRSAE6","GSON1112060861")</f>
        <v>#NAME?</v>
      </c>
      <c r="J994" s="24" t="e">
        <f ca="1">[1]!BexGetData("DP_1","003N8EMH8GTFRCSWKMPXRSGPQ","GSON1112060861")</f>
        <v>#NAME?</v>
      </c>
      <c r="K994" s="28" t="e">
        <f ca="1">[1]!BexGetData("DP_1","003N8EMH8GTFRIVNUPY288VJH","GSON1112060861")</f>
        <v>#NAME?</v>
      </c>
      <c r="L994" s="28" t="e">
        <f ca="1">[1]!BexGetData("DP_1","003N8EMH8GTFRIVNUPY2891V1","GSON1112060861")</f>
        <v>#NAME?</v>
      </c>
      <c r="M994" s="28" t="e">
        <f ca="1">[1]!BexGetData("DP_1","003N8EMH8GTFRIVOG7KG9IQXA","GSON1112060861")</f>
        <v>#NAME?</v>
      </c>
      <c r="N994" s="28" t="e">
        <f ca="1">[1]!BexGetData("DP_1","003N8EMH8GTFRIVOG7KG9IX8U","GSON1112060861")</f>
        <v>#NAME?</v>
      </c>
      <c r="O994" s="28" t="e">
        <f ca="1">[1]!BexGetData("DP_1","003N8EMH8GTFRIVOG7KG9J3KE","GSON1112060861")</f>
        <v>#NAME?</v>
      </c>
      <c r="P994" s="28" t="e">
        <f ca="1">[1]!BexGetData("DP_1","003N8EMH8GTFRIVOG7KG9J9VY","GSON1112060861")</f>
        <v>#NAME?</v>
      </c>
      <c r="Q994" s="24" t="e">
        <f ca="1">[1]!BexGetData("DP_1","00O2TNJGODT0G5Z4TTKYMM5MT","GSON1112060861")</f>
        <v>#NAME?</v>
      </c>
      <c r="R994" s="28" t="e">
        <f ca="1">[1]!BexGetData("DP_1","00O2TNJGODT0G5Z4TTKYMMBYD","GSON1112060861")</f>
        <v>#NAME?</v>
      </c>
      <c r="S994" s="28" t="e">
        <f ca="1">[1]!BexGetData("DP_1","00O2TNJGODT0G5Z4TTKYMMI9X","GSON1112060861")</f>
        <v>#NAME?</v>
      </c>
      <c r="T994" s="28" t="e">
        <f ca="1">[1]!BexGetData("DP_1","00O2TNJGODT0G5Z4TTKYMMOLH","GSON1112060861")</f>
        <v>#NAME?</v>
      </c>
      <c r="U994" s="28" t="e">
        <f ca="1">[1]!BexGetData("DP_1","00O2TNJGODT0G5Z4TTKYMMUX1","GSON1112060861")</f>
        <v>#NAME?</v>
      </c>
      <c r="V994" s="28" t="e">
        <f ca="1">[1]!BexGetData("DP_1","00O2TNJGODT0G5Z4TTKYMN18L","GSON1112060861")</f>
        <v>#NAME?</v>
      </c>
      <c r="W994" s="28" t="e">
        <f ca="1">[1]!BexGetData("DP_1","00O2TNJGODT0G5Z4TTKYMN7K5","GSON1112060861")</f>
        <v>#NAME?</v>
      </c>
    </row>
    <row r="995" spans="1:23" x14ac:dyDescent="0.2">
      <c r="A995" s="36" t="s">
        <v>3348</v>
      </c>
      <c r="B995" s="27" t="s">
        <v>3349</v>
      </c>
      <c r="C995" s="23" t="e">
        <f ca="1">[1]!BexGetData("DP_1","003N8EMH8GTFRCSWKMPXRR8GU","GSON1112060863")</f>
        <v>#NAME?</v>
      </c>
      <c r="D995" s="23" t="e">
        <f ca="1">[1]!BexGetData("DP_1","003N8EMH8GTFRCSWKMPXRRESE","GSON1112060863")</f>
        <v>#NAME?</v>
      </c>
      <c r="E995" s="28" t="e">
        <f ca="1">[1]!BexGetData("DP_1","003N8EMH8GTFRCSWKMPXRRL3Y","GSON1112060863")</f>
        <v>#NAME?</v>
      </c>
      <c r="F995" s="28" t="e">
        <f ca="1">[1]!BexGetData("DP_1","003N8EMH8GTFRCSWKMPXRRRFI","GSON1112060863")</f>
        <v>#NAME?</v>
      </c>
      <c r="G995" s="23" t="e">
        <f ca="1">[1]!BexGetData("DP_1","003N8EMH8GTFRCSWKMPXRRXR2","GSON1112060863")</f>
        <v>#NAME?</v>
      </c>
      <c r="H995" s="23" t="e">
        <f ca="1">[1]!BexGetData("DP_1","003N8EMH8GTFRCSWKMPXRS42M","GSON1112060863")</f>
        <v>#NAME?</v>
      </c>
      <c r="I995" s="28" t="e">
        <f ca="1">[1]!BexGetData("DP_1","003N8EMH8GTFRCSWKMPXRSAE6","GSON1112060863")</f>
        <v>#NAME?</v>
      </c>
      <c r="J995" s="24" t="e">
        <f ca="1">[1]!BexGetData("DP_1","003N8EMH8GTFRCSWKMPXRSGPQ","GSON1112060863")</f>
        <v>#NAME?</v>
      </c>
      <c r="K995" s="28" t="e">
        <f ca="1">[1]!BexGetData("DP_1","003N8EMH8GTFRIVNUPY288VJH","GSON1112060863")</f>
        <v>#NAME?</v>
      </c>
      <c r="L995" s="28" t="e">
        <f ca="1">[1]!BexGetData("DP_1","003N8EMH8GTFRIVNUPY2891V1","GSON1112060863")</f>
        <v>#NAME?</v>
      </c>
      <c r="M995" s="28" t="e">
        <f ca="1">[1]!BexGetData("DP_1","003N8EMH8GTFRIVOG7KG9IQXA","GSON1112060863")</f>
        <v>#NAME?</v>
      </c>
      <c r="N995" s="28" t="e">
        <f ca="1">[1]!BexGetData("DP_1","003N8EMH8GTFRIVOG7KG9IX8U","GSON1112060863")</f>
        <v>#NAME?</v>
      </c>
      <c r="O995" s="28" t="e">
        <f ca="1">[1]!BexGetData("DP_1","003N8EMH8GTFRIVOG7KG9J3KE","GSON1112060863")</f>
        <v>#NAME?</v>
      </c>
      <c r="P995" s="28" t="e">
        <f ca="1">[1]!BexGetData("DP_1","003N8EMH8GTFRIVOG7KG9J9VY","GSON1112060863")</f>
        <v>#NAME?</v>
      </c>
      <c r="Q995" s="24" t="e">
        <f ca="1">[1]!BexGetData("DP_1","00O2TNJGODT0G5Z4TTKYMM5MT","GSON1112060863")</f>
        <v>#NAME?</v>
      </c>
      <c r="R995" s="28" t="e">
        <f ca="1">[1]!BexGetData("DP_1","00O2TNJGODT0G5Z4TTKYMMBYD","GSON1112060863")</f>
        <v>#NAME?</v>
      </c>
      <c r="S995" s="28" t="e">
        <f ca="1">[1]!BexGetData("DP_1","00O2TNJGODT0G5Z4TTKYMMI9X","GSON1112060863")</f>
        <v>#NAME?</v>
      </c>
      <c r="T995" s="28" t="e">
        <f ca="1">[1]!BexGetData("DP_1","00O2TNJGODT0G5Z4TTKYMMOLH","GSON1112060863")</f>
        <v>#NAME?</v>
      </c>
      <c r="U995" s="28" t="e">
        <f ca="1">[1]!BexGetData("DP_1","00O2TNJGODT0G5Z4TTKYMMUX1","GSON1112060863")</f>
        <v>#NAME?</v>
      </c>
      <c r="V995" s="28" t="e">
        <f ca="1">[1]!BexGetData("DP_1","00O2TNJGODT0G5Z4TTKYMN18L","GSON1112060863")</f>
        <v>#NAME?</v>
      </c>
      <c r="W995" s="28" t="e">
        <f ca="1">[1]!BexGetData("DP_1","00O2TNJGODT0G5Z4TTKYMN7K5","GSON1112060863")</f>
        <v>#NAME?</v>
      </c>
    </row>
    <row r="996" spans="1:23" x14ac:dyDescent="0.2">
      <c r="A996" s="36" t="s">
        <v>3350</v>
      </c>
      <c r="B996" s="27" t="s">
        <v>3351</v>
      </c>
      <c r="C996" s="23" t="e">
        <f ca="1">[1]!BexGetData("DP_1","003N8EMH8GTFRCSWKMPXRR8GU","GSON1112060864")</f>
        <v>#NAME?</v>
      </c>
      <c r="D996" s="23" t="e">
        <f ca="1">[1]!BexGetData("DP_1","003N8EMH8GTFRCSWKMPXRRESE","GSON1112060864")</f>
        <v>#NAME?</v>
      </c>
      <c r="E996" s="28" t="e">
        <f ca="1">[1]!BexGetData("DP_1","003N8EMH8GTFRCSWKMPXRRL3Y","GSON1112060864")</f>
        <v>#NAME?</v>
      </c>
      <c r="F996" s="28" t="e">
        <f ca="1">[1]!BexGetData("DP_1","003N8EMH8GTFRCSWKMPXRRRFI","GSON1112060864")</f>
        <v>#NAME?</v>
      </c>
      <c r="G996" s="23" t="e">
        <f ca="1">[1]!BexGetData("DP_1","003N8EMH8GTFRCSWKMPXRRXR2","GSON1112060864")</f>
        <v>#NAME?</v>
      </c>
      <c r="H996" s="23" t="e">
        <f ca="1">[1]!BexGetData("DP_1","003N8EMH8GTFRCSWKMPXRS42M","GSON1112060864")</f>
        <v>#NAME?</v>
      </c>
      <c r="I996" s="28" t="e">
        <f ca="1">[1]!BexGetData("DP_1","003N8EMH8GTFRCSWKMPXRSAE6","GSON1112060864")</f>
        <v>#NAME?</v>
      </c>
      <c r="J996" s="24" t="e">
        <f ca="1">[1]!BexGetData("DP_1","003N8EMH8GTFRCSWKMPXRSGPQ","GSON1112060864")</f>
        <v>#NAME?</v>
      </c>
      <c r="K996" s="28" t="e">
        <f ca="1">[1]!BexGetData("DP_1","003N8EMH8GTFRIVNUPY288VJH","GSON1112060864")</f>
        <v>#NAME?</v>
      </c>
      <c r="L996" s="28" t="e">
        <f ca="1">[1]!BexGetData("DP_1","003N8EMH8GTFRIVNUPY2891V1","GSON1112060864")</f>
        <v>#NAME?</v>
      </c>
      <c r="M996" s="28" t="e">
        <f ca="1">[1]!BexGetData("DP_1","003N8EMH8GTFRIVOG7KG9IQXA","GSON1112060864")</f>
        <v>#NAME?</v>
      </c>
      <c r="N996" s="28" t="e">
        <f ca="1">[1]!BexGetData("DP_1","003N8EMH8GTFRIVOG7KG9IX8U","GSON1112060864")</f>
        <v>#NAME?</v>
      </c>
      <c r="O996" s="28" t="e">
        <f ca="1">[1]!BexGetData("DP_1","003N8EMH8GTFRIVOG7KG9J3KE","GSON1112060864")</f>
        <v>#NAME?</v>
      </c>
      <c r="P996" s="28" t="e">
        <f ca="1">[1]!BexGetData("DP_1","003N8EMH8GTFRIVOG7KG9J9VY","GSON1112060864")</f>
        <v>#NAME?</v>
      </c>
      <c r="Q996" s="24" t="e">
        <f ca="1">[1]!BexGetData("DP_1","00O2TNJGODT0G5Z4TTKYMM5MT","GSON1112060864")</f>
        <v>#NAME?</v>
      </c>
      <c r="R996" s="28" t="e">
        <f ca="1">[1]!BexGetData("DP_1","00O2TNJGODT0G5Z4TTKYMMBYD","GSON1112060864")</f>
        <v>#NAME?</v>
      </c>
      <c r="S996" s="28" t="e">
        <f ca="1">[1]!BexGetData("DP_1","00O2TNJGODT0G5Z4TTKYMMI9X","GSON1112060864")</f>
        <v>#NAME?</v>
      </c>
      <c r="T996" s="28" t="e">
        <f ca="1">[1]!BexGetData("DP_1","00O2TNJGODT0G5Z4TTKYMMOLH","GSON1112060864")</f>
        <v>#NAME?</v>
      </c>
      <c r="U996" s="28" t="e">
        <f ca="1">[1]!BexGetData("DP_1","00O2TNJGODT0G5Z4TTKYMMUX1","GSON1112060864")</f>
        <v>#NAME?</v>
      </c>
      <c r="V996" s="28" t="e">
        <f ca="1">[1]!BexGetData("DP_1","00O2TNJGODT0G5Z4TTKYMN18L","GSON1112060864")</f>
        <v>#NAME?</v>
      </c>
      <c r="W996" s="28" t="e">
        <f ca="1">[1]!BexGetData("DP_1","00O2TNJGODT0G5Z4TTKYMN7K5","GSON1112060864")</f>
        <v>#NAME?</v>
      </c>
    </row>
    <row r="997" spans="1:23" x14ac:dyDescent="0.2">
      <c r="A997" s="36" t="s">
        <v>3352</v>
      </c>
      <c r="B997" s="27" t="s">
        <v>3353</v>
      </c>
      <c r="C997" s="23" t="e">
        <f ca="1">[1]!BexGetData("DP_1","003N8EMH8GTFRCSWKMPXRR8GU","GSON1112060865")</f>
        <v>#NAME?</v>
      </c>
      <c r="D997" s="23" t="e">
        <f ca="1">[1]!BexGetData("DP_1","003N8EMH8GTFRCSWKMPXRRESE","GSON1112060865")</f>
        <v>#NAME?</v>
      </c>
      <c r="E997" s="28" t="e">
        <f ca="1">[1]!BexGetData("DP_1","003N8EMH8GTFRCSWKMPXRRL3Y","GSON1112060865")</f>
        <v>#NAME?</v>
      </c>
      <c r="F997" s="28" t="e">
        <f ca="1">[1]!BexGetData("DP_1","003N8EMH8GTFRCSWKMPXRRRFI","GSON1112060865")</f>
        <v>#NAME?</v>
      </c>
      <c r="G997" s="23" t="e">
        <f ca="1">[1]!BexGetData("DP_1","003N8EMH8GTFRCSWKMPXRRXR2","GSON1112060865")</f>
        <v>#NAME?</v>
      </c>
      <c r="H997" s="23" t="e">
        <f ca="1">[1]!BexGetData("DP_1","003N8EMH8GTFRCSWKMPXRS42M","GSON1112060865")</f>
        <v>#NAME?</v>
      </c>
      <c r="I997" s="28" t="e">
        <f ca="1">[1]!BexGetData("DP_1","003N8EMH8GTFRCSWKMPXRSAE6","GSON1112060865")</f>
        <v>#NAME?</v>
      </c>
      <c r="J997" s="24" t="e">
        <f ca="1">[1]!BexGetData("DP_1","003N8EMH8GTFRCSWKMPXRSGPQ","GSON1112060865")</f>
        <v>#NAME?</v>
      </c>
      <c r="K997" s="28" t="e">
        <f ca="1">[1]!BexGetData("DP_1","003N8EMH8GTFRIVNUPY288VJH","GSON1112060865")</f>
        <v>#NAME?</v>
      </c>
      <c r="L997" s="28" t="e">
        <f ca="1">[1]!BexGetData("DP_1","003N8EMH8GTFRIVNUPY2891V1","GSON1112060865")</f>
        <v>#NAME?</v>
      </c>
      <c r="M997" s="28" t="e">
        <f ca="1">[1]!BexGetData("DP_1","003N8EMH8GTFRIVOG7KG9IQXA","GSON1112060865")</f>
        <v>#NAME?</v>
      </c>
      <c r="N997" s="28" t="e">
        <f ca="1">[1]!BexGetData("DP_1","003N8EMH8GTFRIVOG7KG9IX8U","GSON1112060865")</f>
        <v>#NAME?</v>
      </c>
      <c r="O997" s="28" t="e">
        <f ca="1">[1]!BexGetData("DP_1","003N8EMH8GTFRIVOG7KG9J3KE","GSON1112060865")</f>
        <v>#NAME?</v>
      </c>
      <c r="P997" s="28" t="e">
        <f ca="1">[1]!BexGetData("DP_1","003N8EMH8GTFRIVOG7KG9J9VY","GSON1112060865")</f>
        <v>#NAME?</v>
      </c>
      <c r="Q997" s="24" t="e">
        <f ca="1">[1]!BexGetData("DP_1","00O2TNJGODT0G5Z4TTKYMM5MT","GSON1112060865")</f>
        <v>#NAME?</v>
      </c>
      <c r="R997" s="28" t="e">
        <f ca="1">[1]!BexGetData("DP_1","00O2TNJGODT0G5Z4TTKYMMBYD","GSON1112060865")</f>
        <v>#NAME?</v>
      </c>
      <c r="S997" s="28" t="e">
        <f ca="1">[1]!BexGetData("DP_1","00O2TNJGODT0G5Z4TTKYMMI9X","GSON1112060865")</f>
        <v>#NAME?</v>
      </c>
      <c r="T997" s="28" t="e">
        <f ca="1">[1]!BexGetData("DP_1","00O2TNJGODT0G5Z4TTKYMMOLH","GSON1112060865")</f>
        <v>#NAME?</v>
      </c>
      <c r="U997" s="28" t="e">
        <f ca="1">[1]!BexGetData("DP_1","00O2TNJGODT0G5Z4TTKYMMUX1","GSON1112060865")</f>
        <v>#NAME?</v>
      </c>
      <c r="V997" s="28" t="e">
        <f ca="1">[1]!BexGetData("DP_1","00O2TNJGODT0G5Z4TTKYMN18L","GSON1112060865")</f>
        <v>#NAME?</v>
      </c>
      <c r="W997" s="28" t="e">
        <f ca="1">[1]!BexGetData("DP_1","00O2TNJGODT0G5Z4TTKYMN7K5","GSON1112060865")</f>
        <v>#NAME?</v>
      </c>
    </row>
    <row r="998" spans="1:23" x14ac:dyDescent="0.2">
      <c r="A998" s="36" t="s">
        <v>3354</v>
      </c>
      <c r="B998" s="27" t="s">
        <v>3355</v>
      </c>
      <c r="C998" s="23" t="e">
        <f ca="1">[1]!BexGetData("DP_1","003N8EMH8GTFRCSWKMPXRR8GU","GSON1112060870")</f>
        <v>#NAME?</v>
      </c>
      <c r="D998" s="23" t="e">
        <f ca="1">[1]!BexGetData("DP_1","003N8EMH8GTFRCSWKMPXRRESE","GSON1112060870")</f>
        <v>#NAME?</v>
      </c>
      <c r="E998" s="23" t="e">
        <f ca="1">[1]!BexGetData("DP_1","003N8EMH8GTFRCSWKMPXRRL3Y","GSON1112060870")</f>
        <v>#NAME?</v>
      </c>
      <c r="F998" s="23" t="e">
        <f ca="1">[1]!BexGetData("DP_1","003N8EMH8GTFRCSWKMPXRRRFI","GSON1112060870")</f>
        <v>#NAME?</v>
      </c>
      <c r="G998" s="23" t="e">
        <f ca="1">[1]!BexGetData("DP_1","003N8EMH8GTFRCSWKMPXRRXR2","GSON1112060870")</f>
        <v>#NAME?</v>
      </c>
      <c r="H998" s="23" t="e">
        <f ca="1">[1]!BexGetData("DP_1","003N8EMH8GTFRCSWKMPXRS42M","GSON1112060870")</f>
        <v>#NAME?</v>
      </c>
      <c r="I998" s="23" t="e">
        <f ca="1">[1]!BexGetData("DP_1","003N8EMH8GTFRCSWKMPXRSAE6","GSON1112060870")</f>
        <v>#NAME?</v>
      </c>
      <c r="J998" s="24" t="e">
        <f ca="1">[1]!BexGetData("DP_1","003N8EMH8GTFRCSWKMPXRSGPQ","GSON1112060870")</f>
        <v>#NAME?</v>
      </c>
      <c r="K998" s="23" t="e">
        <f ca="1">[1]!BexGetData("DP_1","003N8EMH8GTFRIVNUPY288VJH","GSON1112060870")</f>
        <v>#NAME?</v>
      </c>
      <c r="L998" s="23" t="e">
        <f ca="1">[1]!BexGetData("DP_1","003N8EMH8GTFRIVNUPY2891V1","GSON1112060870")</f>
        <v>#NAME?</v>
      </c>
      <c r="M998" s="23" t="e">
        <f ca="1">[1]!BexGetData("DP_1","003N8EMH8GTFRIVOG7KG9IQXA","GSON1112060870")</f>
        <v>#NAME?</v>
      </c>
      <c r="N998" s="28" t="e">
        <f ca="1">[1]!BexGetData("DP_1","003N8EMH8GTFRIVOG7KG9IX8U","GSON1112060870")</f>
        <v>#NAME?</v>
      </c>
      <c r="O998" s="23" t="e">
        <f ca="1">[1]!BexGetData("DP_1","003N8EMH8GTFRIVOG7KG9J3KE","GSON1112060870")</f>
        <v>#NAME?</v>
      </c>
      <c r="P998" s="28" t="e">
        <f ca="1">[1]!BexGetData("DP_1","003N8EMH8GTFRIVOG7KG9J9VY","GSON1112060870")</f>
        <v>#NAME?</v>
      </c>
      <c r="Q998" s="24" t="e">
        <f ca="1">[1]!BexGetData("DP_1","00O2TNJGODT0G5Z4TTKYMM5MT","GSON1112060870")</f>
        <v>#NAME?</v>
      </c>
      <c r="R998" s="23" t="e">
        <f ca="1">[1]!BexGetData("DP_1","00O2TNJGODT0G5Z4TTKYMMBYD","GSON1112060870")</f>
        <v>#NAME?</v>
      </c>
      <c r="S998" s="23" t="e">
        <f ca="1">[1]!BexGetData("DP_1","00O2TNJGODT0G5Z4TTKYMMI9X","GSON1112060870")</f>
        <v>#NAME?</v>
      </c>
      <c r="T998" s="28" t="e">
        <f ca="1">[1]!BexGetData("DP_1","00O2TNJGODT0G5Z4TTKYMMOLH","GSON1112060870")</f>
        <v>#NAME?</v>
      </c>
      <c r="U998" s="23" t="e">
        <f ca="1">[1]!BexGetData("DP_1","00O2TNJGODT0G5Z4TTKYMMUX1","GSON1112060870")</f>
        <v>#NAME?</v>
      </c>
      <c r="V998" s="28" t="e">
        <f ca="1">[1]!BexGetData("DP_1","00O2TNJGODT0G5Z4TTKYMN18L","GSON1112060870")</f>
        <v>#NAME?</v>
      </c>
      <c r="W998" s="23" t="e">
        <f ca="1">[1]!BexGetData("DP_1","00O2TNJGODT0G5Z4TTKYMN7K5","GSON1112060870")</f>
        <v>#NAME?</v>
      </c>
    </row>
    <row r="999" spans="1:23" x14ac:dyDescent="0.2">
      <c r="A999" s="36" t="s">
        <v>3356</v>
      </c>
      <c r="B999" s="27" t="s">
        <v>3357</v>
      </c>
      <c r="C999" s="28" t="e">
        <f ca="1">[1]!BexGetData("DP_1","003N8EMH8GTFRCSWKMPXRR8GU","GSON1112060871")</f>
        <v>#NAME?</v>
      </c>
      <c r="D999" s="28" t="e">
        <f ca="1">[1]!BexGetData("DP_1","003N8EMH8GTFRCSWKMPXRRESE","GSON1112060871")</f>
        <v>#NAME?</v>
      </c>
      <c r="E999" s="28" t="e">
        <f ca="1">[1]!BexGetData("DP_1","003N8EMH8GTFRCSWKMPXRRL3Y","GSON1112060871")</f>
        <v>#NAME?</v>
      </c>
      <c r="F999" s="28" t="e">
        <f ca="1">[1]!BexGetData("DP_1","003N8EMH8GTFRCSWKMPXRRRFI","GSON1112060871")</f>
        <v>#NAME?</v>
      </c>
      <c r="G999" s="23" t="e">
        <f ca="1">[1]!BexGetData("DP_1","003N8EMH8GTFRCSWKMPXRRXR2","GSON1112060871")</f>
        <v>#NAME?</v>
      </c>
      <c r="H999" s="23" t="e">
        <f ca="1">[1]!BexGetData("DP_1","003N8EMH8GTFRCSWKMPXRS42M","GSON1112060871")</f>
        <v>#NAME?</v>
      </c>
      <c r="I999" s="28" t="e">
        <f ca="1">[1]!BexGetData("DP_1","003N8EMH8GTFRCSWKMPXRSAE6","GSON1112060871")</f>
        <v>#NAME?</v>
      </c>
      <c r="J999" s="24" t="e">
        <f ca="1">[1]!BexGetData("DP_1","003N8EMH8GTFRCSWKMPXRSGPQ","GSON1112060871")</f>
        <v>#NAME?</v>
      </c>
      <c r="K999" s="28" t="e">
        <f ca="1">[1]!BexGetData("DP_1","003N8EMH8GTFRIVNUPY288VJH","GSON1112060871")</f>
        <v>#NAME?</v>
      </c>
      <c r="L999" s="28" t="e">
        <f ca="1">[1]!BexGetData("DP_1","003N8EMH8GTFRIVNUPY2891V1","GSON1112060871")</f>
        <v>#NAME?</v>
      </c>
      <c r="M999" s="28" t="e">
        <f ca="1">[1]!BexGetData("DP_1","003N8EMH8GTFRIVOG7KG9IQXA","GSON1112060871")</f>
        <v>#NAME?</v>
      </c>
      <c r="N999" s="28" t="e">
        <f ca="1">[1]!BexGetData("DP_1","003N8EMH8GTFRIVOG7KG9IX8U","GSON1112060871")</f>
        <v>#NAME?</v>
      </c>
      <c r="O999" s="28" t="e">
        <f ca="1">[1]!BexGetData("DP_1","003N8EMH8GTFRIVOG7KG9J3KE","GSON1112060871")</f>
        <v>#NAME?</v>
      </c>
      <c r="P999" s="28" t="e">
        <f ca="1">[1]!BexGetData("DP_1","003N8EMH8GTFRIVOG7KG9J9VY","GSON1112060871")</f>
        <v>#NAME?</v>
      </c>
      <c r="Q999" s="24" t="e">
        <f ca="1">[1]!BexGetData("DP_1","00O2TNJGODT0G5Z4TTKYMM5MT","GSON1112060871")</f>
        <v>#NAME?</v>
      </c>
      <c r="R999" s="28" t="e">
        <f ca="1">[1]!BexGetData("DP_1","00O2TNJGODT0G5Z4TTKYMMBYD","GSON1112060871")</f>
        <v>#NAME?</v>
      </c>
      <c r="S999" s="28" t="e">
        <f ca="1">[1]!BexGetData("DP_1","00O2TNJGODT0G5Z4TTKYMMI9X","GSON1112060871")</f>
        <v>#NAME?</v>
      </c>
      <c r="T999" s="28" t="e">
        <f ca="1">[1]!BexGetData("DP_1","00O2TNJGODT0G5Z4TTKYMMOLH","GSON1112060871")</f>
        <v>#NAME?</v>
      </c>
      <c r="U999" s="28" t="e">
        <f ca="1">[1]!BexGetData("DP_1","00O2TNJGODT0G5Z4TTKYMMUX1","GSON1112060871")</f>
        <v>#NAME?</v>
      </c>
      <c r="V999" s="28" t="e">
        <f ca="1">[1]!BexGetData("DP_1","00O2TNJGODT0G5Z4TTKYMN18L","GSON1112060871")</f>
        <v>#NAME?</v>
      </c>
      <c r="W999" s="28" t="e">
        <f ca="1">[1]!BexGetData("DP_1","00O2TNJGODT0G5Z4TTKYMN7K5","GSON1112060871")</f>
        <v>#NAME?</v>
      </c>
    </row>
    <row r="1000" spans="1:23" x14ac:dyDescent="0.2">
      <c r="A1000" s="36" t="s">
        <v>3358</v>
      </c>
      <c r="B1000" s="27" t="s">
        <v>3359</v>
      </c>
      <c r="C1000" s="23" t="e">
        <f ca="1">[1]!BexGetData("DP_1","003N8EMH8GTFRCSWKMPXRR8GU","GSON1112060873")</f>
        <v>#NAME?</v>
      </c>
      <c r="D1000" s="23" t="e">
        <f ca="1">[1]!BexGetData("DP_1","003N8EMH8GTFRCSWKMPXRRESE","GSON1112060873")</f>
        <v>#NAME?</v>
      </c>
      <c r="E1000" s="28" t="e">
        <f ca="1">[1]!BexGetData("DP_1","003N8EMH8GTFRCSWKMPXRRL3Y","GSON1112060873")</f>
        <v>#NAME?</v>
      </c>
      <c r="F1000" s="28" t="e">
        <f ca="1">[1]!BexGetData("DP_1","003N8EMH8GTFRCSWKMPXRRRFI","GSON1112060873")</f>
        <v>#NAME?</v>
      </c>
      <c r="G1000" s="23" t="e">
        <f ca="1">[1]!BexGetData("DP_1","003N8EMH8GTFRCSWKMPXRRXR2","GSON1112060873")</f>
        <v>#NAME?</v>
      </c>
      <c r="H1000" s="23" t="e">
        <f ca="1">[1]!BexGetData("DP_1","003N8EMH8GTFRCSWKMPXRS42M","GSON1112060873")</f>
        <v>#NAME?</v>
      </c>
      <c r="I1000" s="28" t="e">
        <f ca="1">[1]!BexGetData("DP_1","003N8EMH8GTFRCSWKMPXRSAE6","GSON1112060873")</f>
        <v>#NAME?</v>
      </c>
      <c r="J1000" s="24" t="e">
        <f ca="1">[1]!BexGetData("DP_1","003N8EMH8GTFRCSWKMPXRSGPQ","GSON1112060873")</f>
        <v>#NAME?</v>
      </c>
      <c r="K1000" s="28" t="e">
        <f ca="1">[1]!BexGetData("DP_1","003N8EMH8GTFRIVNUPY288VJH","GSON1112060873")</f>
        <v>#NAME?</v>
      </c>
      <c r="L1000" s="28" t="e">
        <f ca="1">[1]!BexGetData("DP_1","003N8EMH8GTFRIVNUPY2891V1","GSON1112060873")</f>
        <v>#NAME?</v>
      </c>
      <c r="M1000" s="28" t="e">
        <f ca="1">[1]!BexGetData("DP_1","003N8EMH8GTFRIVOG7KG9IQXA","GSON1112060873")</f>
        <v>#NAME?</v>
      </c>
      <c r="N1000" s="28" t="e">
        <f ca="1">[1]!BexGetData("DP_1","003N8EMH8GTFRIVOG7KG9IX8U","GSON1112060873")</f>
        <v>#NAME?</v>
      </c>
      <c r="O1000" s="28" t="e">
        <f ca="1">[1]!BexGetData("DP_1","003N8EMH8GTFRIVOG7KG9J3KE","GSON1112060873")</f>
        <v>#NAME?</v>
      </c>
      <c r="P1000" s="28" t="e">
        <f ca="1">[1]!BexGetData("DP_1","003N8EMH8GTFRIVOG7KG9J9VY","GSON1112060873")</f>
        <v>#NAME?</v>
      </c>
      <c r="Q1000" s="24" t="e">
        <f ca="1">[1]!BexGetData("DP_1","00O2TNJGODT0G5Z4TTKYMM5MT","GSON1112060873")</f>
        <v>#NAME?</v>
      </c>
      <c r="R1000" s="28" t="e">
        <f ca="1">[1]!BexGetData("DP_1","00O2TNJGODT0G5Z4TTKYMMBYD","GSON1112060873")</f>
        <v>#NAME?</v>
      </c>
      <c r="S1000" s="28" t="e">
        <f ca="1">[1]!BexGetData("DP_1","00O2TNJGODT0G5Z4TTKYMMI9X","GSON1112060873")</f>
        <v>#NAME?</v>
      </c>
      <c r="T1000" s="28" t="e">
        <f ca="1">[1]!BexGetData("DP_1","00O2TNJGODT0G5Z4TTKYMMOLH","GSON1112060873")</f>
        <v>#NAME?</v>
      </c>
      <c r="U1000" s="28" t="e">
        <f ca="1">[1]!BexGetData("DP_1","00O2TNJGODT0G5Z4TTKYMMUX1","GSON1112060873")</f>
        <v>#NAME?</v>
      </c>
      <c r="V1000" s="28" t="e">
        <f ca="1">[1]!BexGetData("DP_1","00O2TNJGODT0G5Z4TTKYMN18L","GSON1112060873")</f>
        <v>#NAME?</v>
      </c>
      <c r="W1000" s="28" t="e">
        <f ca="1">[1]!BexGetData("DP_1","00O2TNJGODT0G5Z4TTKYMN7K5","GSON1112060873")</f>
        <v>#NAME?</v>
      </c>
    </row>
    <row r="1001" spans="1:23" x14ac:dyDescent="0.2">
      <c r="A1001" s="36" t="s">
        <v>3360</v>
      </c>
      <c r="B1001" s="27" t="s">
        <v>3361</v>
      </c>
      <c r="C1001" s="23" t="e">
        <f ca="1">[1]!BexGetData("DP_1","003N8EMH8GTFRCSWKMPXRR8GU","GSON1112060874")</f>
        <v>#NAME?</v>
      </c>
      <c r="D1001" s="23" t="e">
        <f ca="1">[1]!BexGetData("DP_1","003N8EMH8GTFRCSWKMPXRRESE","GSON1112060874")</f>
        <v>#NAME?</v>
      </c>
      <c r="E1001" s="28" t="e">
        <f ca="1">[1]!BexGetData("DP_1","003N8EMH8GTFRCSWKMPXRRL3Y","GSON1112060874")</f>
        <v>#NAME?</v>
      </c>
      <c r="F1001" s="28" t="e">
        <f ca="1">[1]!BexGetData("DP_1","003N8EMH8GTFRCSWKMPXRRRFI","GSON1112060874")</f>
        <v>#NAME?</v>
      </c>
      <c r="G1001" s="23" t="e">
        <f ca="1">[1]!BexGetData("DP_1","003N8EMH8GTFRCSWKMPXRRXR2","GSON1112060874")</f>
        <v>#NAME?</v>
      </c>
      <c r="H1001" s="23" t="e">
        <f ca="1">[1]!BexGetData("DP_1","003N8EMH8GTFRCSWKMPXRS42M","GSON1112060874")</f>
        <v>#NAME?</v>
      </c>
      <c r="I1001" s="28" t="e">
        <f ca="1">[1]!BexGetData("DP_1","003N8EMH8GTFRCSWKMPXRSAE6","GSON1112060874")</f>
        <v>#NAME?</v>
      </c>
      <c r="J1001" s="24" t="e">
        <f ca="1">[1]!BexGetData("DP_1","003N8EMH8GTFRCSWKMPXRSGPQ","GSON1112060874")</f>
        <v>#NAME?</v>
      </c>
      <c r="K1001" s="28" t="e">
        <f ca="1">[1]!BexGetData("DP_1","003N8EMH8GTFRIVNUPY288VJH","GSON1112060874")</f>
        <v>#NAME?</v>
      </c>
      <c r="L1001" s="28" t="e">
        <f ca="1">[1]!BexGetData("DP_1","003N8EMH8GTFRIVNUPY2891V1","GSON1112060874")</f>
        <v>#NAME?</v>
      </c>
      <c r="M1001" s="28" t="e">
        <f ca="1">[1]!BexGetData("DP_1","003N8EMH8GTFRIVOG7KG9IQXA","GSON1112060874")</f>
        <v>#NAME?</v>
      </c>
      <c r="N1001" s="28" t="e">
        <f ca="1">[1]!BexGetData("DP_1","003N8EMH8GTFRIVOG7KG9IX8U","GSON1112060874")</f>
        <v>#NAME?</v>
      </c>
      <c r="O1001" s="28" t="e">
        <f ca="1">[1]!BexGetData("DP_1","003N8EMH8GTFRIVOG7KG9J3KE","GSON1112060874")</f>
        <v>#NAME?</v>
      </c>
      <c r="P1001" s="28" t="e">
        <f ca="1">[1]!BexGetData("DP_1","003N8EMH8GTFRIVOG7KG9J9VY","GSON1112060874")</f>
        <v>#NAME?</v>
      </c>
      <c r="Q1001" s="24" t="e">
        <f ca="1">[1]!BexGetData("DP_1","00O2TNJGODT0G5Z4TTKYMM5MT","GSON1112060874")</f>
        <v>#NAME?</v>
      </c>
      <c r="R1001" s="28" t="e">
        <f ca="1">[1]!BexGetData("DP_1","00O2TNJGODT0G5Z4TTKYMMBYD","GSON1112060874")</f>
        <v>#NAME?</v>
      </c>
      <c r="S1001" s="28" t="e">
        <f ca="1">[1]!BexGetData("DP_1","00O2TNJGODT0G5Z4TTKYMMI9X","GSON1112060874")</f>
        <v>#NAME?</v>
      </c>
      <c r="T1001" s="28" t="e">
        <f ca="1">[1]!BexGetData("DP_1","00O2TNJGODT0G5Z4TTKYMMOLH","GSON1112060874")</f>
        <v>#NAME?</v>
      </c>
      <c r="U1001" s="28" t="e">
        <f ca="1">[1]!BexGetData("DP_1","00O2TNJGODT0G5Z4TTKYMMUX1","GSON1112060874")</f>
        <v>#NAME?</v>
      </c>
      <c r="V1001" s="28" t="e">
        <f ca="1">[1]!BexGetData("DP_1","00O2TNJGODT0G5Z4TTKYMN18L","GSON1112060874")</f>
        <v>#NAME?</v>
      </c>
      <c r="W1001" s="28" t="e">
        <f ca="1">[1]!BexGetData("DP_1","00O2TNJGODT0G5Z4TTKYMN7K5","GSON1112060874")</f>
        <v>#NAME?</v>
      </c>
    </row>
    <row r="1002" spans="1:23" x14ac:dyDescent="0.2">
      <c r="A1002" s="36" t="s">
        <v>3362</v>
      </c>
      <c r="B1002" s="27" t="s">
        <v>3363</v>
      </c>
      <c r="C1002" s="23" t="e">
        <f ca="1">[1]!BexGetData("DP_1","003N8EMH8GTFRCSWKMPXRR8GU","GSON1112060875")</f>
        <v>#NAME?</v>
      </c>
      <c r="D1002" s="23" t="e">
        <f ca="1">[1]!BexGetData("DP_1","003N8EMH8GTFRCSWKMPXRRESE","GSON1112060875")</f>
        <v>#NAME?</v>
      </c>
      <c r="E1002" s="28" t="e">
        <f ca="1">[1]!BexGetData("DP_1","003N8EMH8GTFRCSWKMPXRRL3Y","GSON1112060875")</f>
        <v>#NAME?</v>
      </c>
      <c r="F1002" s="28" t="e">
        <f ca="1">[1]!BexGetData("DP_1","003N8EMH8GTFRCSWKMPXRRRFI","GSON1112060875")</f>
        <v>#NAME?</v>
      </c>
      <c r="G1002" s="23" t="e">
        <f ca="1">[1]!BexGetData("DP_1","003N8EMH8GTFRCSWKMPXRRXR2","GSON1112060875")</f>
        <v>#NAME?</v>
      </c>
      <c r="H1002" s="23" t="e">
        <f ca="1">[1]!BexGetData("DP_1","003N8EMH8GTFRCSWKMPXRS42M","GSON1112060875")</f>
        <v>#NAME?</v>
      </c>
      <c r="I1002" s="28" t="e">
        <f ca="1">[1]!BexGetData("DP_1","003N8EMH8GTFRCSWKMPXRSAE6","GSON1112060875")</f>
        <v>#NAME?</v>
      </c>
      <c r="J1002" s="24" t="e">
        <f ca="1">[1]!BexGetData("DP_1","003N8EMH8GTFRCSWKMPXRSGPQ","GSON1112060875")</f>
        <v>#NAME?</v>
      </c>
      <c r="K1002" s="28" t="e">
        <f ca="1">[1]!BexGetData("DP_1","003N8EMH8GTFRIVNUPY288VJH","GSON1112060875")</f>
        <v>#NAME?</v>
      </c>
      <c r="L1002" s="28" t="e">
        <f ca="1">[1]!BexGetData("DP_1","003N8EMH8GTFRIVNUPY2891V1","GSON1112060875")</f>
        <v>#NAME?</v>
      </c>
      <c r="M1002" s="28" t="e">
        <f ca="1">[1]!BexGetData("DP_1","003N8EMH8GTFRIVOG7KG9IQXA","GSON1112060875")</f>
        <v>#NAME?</v>
      </c>
      <c r="N1002" s="28" t="e">
        <f ca="1">[1]!BexGetData("DP_1","003N8EMH8GTFRIVOG7KG9IX8U","GSON1112060875")</f>
        <v>#NAME?</v>
      </c>
      <c r="O1002" s="28" t="e">
        <f ca="1">[1]!BexGetData("DP_1","003N8EMH8GTFRIVOG7KG9J3KE","GSON1112060875")</f>
        <v>#NAME?</v>
      </c>
      <c r="P1002" s="28" t="e">
        <f ca="1">[1]!BexGetData("DP_1","003N8EMH8GTFRIVOG7KG9J9VY","GSON1112060875")</f>
        <v>#NAME?</v>
      </c>
      <c r="Q1002" s="24" t="e">
        <f ca="1">[1]!BexGetData("DP_1","00O2TNJGODT0G5Z4TTKYMM5MT","GSON1112060875")</f>
        <v>#NAME?</v>
      </c>
      <c r="R1002" s="28" t="e">
        <f ca="1">[1]!BexGetData("DP_1","00O2TNJGODT0G5Z4TTKYMMBYD","GSON1112060875")</f>
        <v>#NAME?</v>
      </c>
      <c r="S1002" s="28" t="e">
        <f ca="1">[1]!BexGetData("DP_1","00O2TNJGODT0G5Z4TTKYMMI9X","GSON1112060875")</f>
        <v>#NAME?</v>
      </c>
      <c r="T1002" s="28" t="e">
        <f ca="1">[1]!BexGetData("DP_1","00O2TNJGODT0G5Z4TTKYMMOLH","GSON1112060875")</f>
        <v>#NAME?</v>
      </c>
      <c r="U1002" s="28" t="e">
        <f ca="1">[1]!BexGetData("DP_1","00O2TNJGODT0G5Z4TTKYMMUX1","GSON1112060875")</f>
        <v>#NAME?</v>
      </c>
      <c r="V1002" s="28" t="e">
        <f ca="1">[1]!BexGetData("DP_1","00O2TNJGODT0G5Z4TTKYMN18L","GSON1112060875")</f>
        <v>#NAME?</v>
      </c>
      <c r="W1002" s="28" t="e">
        <f ca="1">[1]!BexGetData("DP_1","00O2TNJGODT0G5Z4TTKYMN7K5","GSON1112060875")</f>
        <v>#NAME?</v>
      </c>
    </row>
    <row r="1003" spans="1:23" x14ac:dyDescent="0.2">
      <c r="A1003" s="36" t="s">
        <v>3364</v>
      </c>
      <c r="B1003" s="27" t="s">
        <v>3365</v>
      </c>
      <c r="C1003" s="23" t="e">
        <f ca="1">[1]!BexGetData("DP_1","003N8EMH8GTFRCSWKMPXRR8GU","GSON1112060880")</f>
        <v>#NAME?</v>
      </c>
      <c r="D1003" s="23" t="e">
        <f ca="1">[1]!BexGetData("DP_1","003N8EMH8GTFRCSWKMPXRRESE","GSON1112060880")</f>
        <v>#NAME?</v>
      </c>
      <c r="E1003" s="28" t="e">
        <f ca="1">[1]!BexGetData("DP_1","003N8EMH8GTFRCSWKMPXRRL3Y","GSON1112060880")</f>
        <v>#NAME?</v>
      </c>
      <c r="F1003" s="23" t="e">
        <f ca="1">[1]!BexGetData("DP_1","003N8EMH8GTFRCSWKMPXRRRFI","GSON1112060880")</f>
        <v>#NAME?</v>
      </c>
      <c r="G1003" s="23" t="e">
        <f ca="1">[1]!BexGetData("DP_1","003N8EMH8GTFRCSWKMPXRRXR2","GSON1112060880")</f>
        <v>#NAME?</v>
      </c>
      <c r="H1003" s="23" t="e">
        <f ca="1">[1]!BexGetData("DP_1","003N8EMH8GTFRCSWKMPXRS42M","GSON1112060880")</f>
        <v>#NAME?</v>
      </c>
      <c r="I1003" s="23" t="e">
        <f ca="1">[1]!BexGetData("DP_1","003N8EMH8GTFRCSWKMPXRSAE6","GSON1112060880")</f>
        <v>#NAME?</v>
      </c>
      <c r="J1003" s="24" t="e">
        <f ca="1">[1]!BexGetData("DP_1","003N8EMH8GTFRCSWKMPXRSGPQ","GSON1112060880")</f>
        <v>#NAME?</v>
      </c>
      <c r="K1003" s="23" t="e">
        <f ca="1">[1]!BexGetData("DP_1","003N8EMH8GTFRIVNUPY288VJH","GSON1112060880")</f>
        <v>#NAME?</v>
      </c>
      <c r="L1003" s="23" t="e">
        <f ca="1">[1]!BexGetData("DP_1","003N8EMH8GTFRIVNUPY2891V1","GSON1112060880")</f>
        <v>#NAME?</v>
      </c>
      <c r="M1003" s="23" t="e">
        <f ca="1">[1]!BexGetData("DP_1","003N8EMH8GTFRIVOG7KG9IQXA","GSON1112060880")</f>
        <v>#NAME?</v>
      </c>
      <c r="N1003" s="28" t="e">
        <f ca="1">[1]!BexGetData("DP_1","003N8EMH8GTFRIVOG7KG9IX8U","GSON1112060880")</f>
        <v>#NAME?</v>
      </c>
      <c r="O1003" s="23" t="e">
        <f ca="1">[1]!BexGetData("DP_1","003N8EMH8GTFRIVOG7KG9J3KE","GSON1112060880")</f>
        <v>#NAME?</v>
      </c>
      <c r="P1003" s="28" t="e">
        <f ca="1">[1]!BexGetData("DP_1","003N8EMH8GTFRIVOG7KG9J9VY","GSON1112060880")</f>
        <v>#NAME?</v>
      </c>
      <c r="Q1003" s="24" t="e">
        <f ca="1">[1]!BexGetData("DP_1","00O2TNJGODT0G5Z4TTKYMM5MT","GSON1112060880")</f>
        <v>#NAME?</v>
      </c>
      <c r="R1003" s="23" t="e">
        <f ca="1">[1]!BexGetData("DP_1","00O2TNJGODT0G5Z4TTKYMMBYD","GSON1112060880")</f>
        <v>#NAME?</v>
      </c>
      <c r="S1003" s="23" t="e">
        <f ca="1">[1]!BexGetData("DP_1","00O2TNJGODT0G5Z4TTKYMMI9X","GSON1112060880")</f>
        <v>#NAME?</v>
      </c>
      <c r="T1003" s="28" t="e">
        <f ca="1">[1]!BexGetData("DP_1","00O2TNJGODT0G5Z4TTKYMMOLH","GSON1112060880")</f>
        <v>#NAME?</v>
      </c>
      <c r="U1003" s="23" t="e">
        <f ca="1">[1]!BexGetData("DP_1","00O2TNJGODT0G5Z4TTKYMMUX1","GSON1112060880")</f>
        <v>#NAME?</v>
      </c>
      <c r="V1003" s="28" t="e">
        <f ca="1">[1]!BexGetData("DP_1","00O2TNJGODT0G5Z4TTKYMN18L","GSON1112060880")</f>
        <v>#NAME?</v>
      </c>
      <c r="W1003" s="23" t="e">
        <f ca="1">[1]!BexGetData("DP_1","00O2TNJGODT0G5Z4TTKYMN7K5","GSON1112060880")</f>
        <v>#NAME?</v>
      </c>
    </row>
    <row r="1004" spans="1:23" x14ac:dyDescent="0.2">
      <c r="A1004" s="36" t="s">
        <v>3366</v>
      </c>
      <c r="B1004" s="27" t="s">
        <v>3367</v>
      </c>
      <c r="C1004" s="23" t="e">
        <f ca="1">[1]!BexGetData("DP_1","003N8EMH8GTFRCSWKMPXRR8GU","GSON1112060881")</f>
        <v>#NAME?</v>
      </c>
      <c r="D1004" s="23" t="e">
        <f ca="1">[1]!BexGetData("DP_1","003N8EMH8GTFRCSWKMPXRRESE","GSON1112060881")</f>
        <v>#NAME?</v>
      </c>
      <c r="E1004" s="28" t="e">
        <f ca="1">[1]!BexGetData("DP_1","003N8EMH8GTFRCSWKMPXRRL3Y","GSON1112060881")</f>
        <v>#NAME?</v>
      </c>
      <c r="F1004" s="28" t="e">
        <f ca="1">[1]!BexGetData("DP_1","003N8EMH8GTFRCSWKMPXRRRFI","GSON1112060881")</f>
        <v>#NAME?</v>
      </c>
      <c r="G1004" s="23" t="e">
        <f ca="1">[1]!BexGetData("DP_1","003N8EMH8GTFRCSWKMPXRRXR2","GSON1112060881")</f>
        <v>#NAME?</v>
      </c>
      <c r="H1004" s="23" t="e">
        <f ca="1">[1]!BexGetData("DP_1","003N8EMH8GTFRCSWKMPXRS42M","GSON1112060881")</f>
        <v>#NAME?</v>
      </c>
      <c r="I1004" s="28" t="e">
        <f ca="1">[1]!BexGetData("DP_1","003N8EMH8GTFRCSWKMPXRSAE6","GSON1112060881")</f>
        <v>#NAME?</v>
      </c>
      <c r="J1004" s="24" t="e">
        <f ca="1">[1]!BexGetData("DP_1","003N8EMH8GTFRCSWKMPXRSGPQ","GSON1112060881")</f>
        <v>#NAME?</v>
      </c>
      <c r="K1004" s="28" t="e">
        <f ca="1">[1]!BexGetData("DP_1","003N8EMH8GTFRIVNUPY288VJH","GSON1112060881")</f>
        <v>#NAME?</v>
      </c>
      <c r="L1004" s="28" t="e">
        <f ca="1">[1]!BexGetData("DP_1","003N8EMH8GTFRIVNUPY2891V1","GSON1112060881")</f>
        <v>#NAME?</v>
      </c>
      <c r="M1004" s="28" t="e">
        <f ca="1">[1]!BexGetData("DP_1","003N8EMH8GTFRIVOG7KG9IQXA","GSON1112060881")</f>
        <v>#NAME?</v>
      </c>
      <c r="N1004" s="28" t="e">
        <f ca="1">[1]!BexGetData("DP_1","003N8EMH8GTFRIVOG7KG9IX8U","GSON1112060881")</f>
        <v>#NAME?</v>
      </c>
      <c r="O1004" s="28" t="e">
        <f ca="1">[1]!BexGetData("DP_1","003N8EMH8GTFRIVOG7KG9J3KE","GSON1112060881")</f>
        <v>#NAME?</v>
      </c>
      <c r="P1004" s="28" t="e">
        <f ca="1">[1]!BexGetData("DP_1","003N8EMH8GTFRIVOG7KG9J9VY","GSON1112060881")</f>
        <v>#NAME?</v>
      </c>
      <c r="Q1004" s="24" t="e">
        <f ca="1">[1]!BexGetData("DP_1","00O2TNJGODT0G5Z4TTKYMM5MT","GSON1112060881")</f>
        <v>#NAME?</v>
      </c>
      <c r="R1004" s="28" t="e">
        <f ca="1">[1]!BexGetData("DP_1","00O2TNJGODT0G5Z4TTKYMMBYD","GSON1112060881")</f>
        <v>#NAME?</v>
      </c>
      <c r="S1004" s="28" t="e">
        <f ca="1">[1]!BexGetData("DP_1","00O2TNJGODT0G5Z4TTKYMMI9X","GSON1112060881")</f>
        <v>#NAME?</v>
      </c>
      <c r="T1004" s="28" t="e">
        <f ca="1">[1]!BexGetData("DP_1","00O2TNJGODT0G5Z4TTKYMMOLH","GSON1112060881")</f>
        <v>#NAME?</v>
      </c>
      <c r="U1004" s="28" t="e">
        <f ca="1">[1]!BexGetData("DP_1","00O2TNJGODT0G5Z4TTKYMMUX1","GSON1112060881")</f>
        <v>#NAME?</v>
      </c>
      <c r="V1004" s="28" t="e">
        <f ca="1">[1]!BexGetData("DP_1","00O2TNJGODT0G5Z4TTKYMN18L","GSON1112060881")</f>
        <v>#NAME?</v>
      </c>
      <c r="W1004" s="28" t="e">
        <f ca="1">[1]!BexGetData("DP_1","00O2TNJGODT0G5Z4TTKYMN7K5","GSON1112060881")</f>
        <v>#NAME?</v>
      </c>
    </row>
    <row r="1005" spans="1:23" x14ac:dyDescent="0.2">
      <c r="A1005" s="36" t="s">
        <v>3368</v>
      </c>
      <c r="B1005" s="27" t="s">
        <v>3369</v>
      </c>
      <c r="C1005" s="23" t="e">
        <f ca="1">[1]!BexGetData("DP_1","003N8EMH8GTFRCSWKMPXRR8GU","GSON1112060883")</f>
        <v>#NAME?</v>
      </c>
      <c r="D1005" s="23" t="e">
        <f ca="1">[1]!BexGetData("DP_1","003N8EMH8GTFRCSWKMPXRRESE","GSON1112060883")</f>
        <v>#NAME?</v>
      </c>
      <c r="E1005" s="28" t="e">
        <f ca="1">[1]!BexGetData("DP_1","003N8EMH8GTFRCSWKMPXRRL3Y","GSON1112060883")</f>
        <v>#NAME?</v>
      </c>
      <c r="F1005" s="28" t="e">
        <f ca="1">[1]!BexGetData("DP_1","003N8EMH8GTFRCSWKMPXRRRFI","GSON1112060883")</f>
        <v>#NAME?</v>
      </c>
      <c r="G1005" s="23" t="e">
        <f ca="1">[1]!BexGetData("DP_1","003N8EMH8GTFRCSWKMPXRRXR2","GSON1112060883")</f>
        <v>#NAME?</v>
      </c>
      <c r="H1005" s="23" t="e">
        <f ca="1">[1]!BexGetData("DP_1","003N8EMH8GTFRCSWKMPXRS42M","GSON1112060883")</f>
        <v>#NAME?</v>
      </c>
      <c r="I1005" s="28" t="e">
        <f ca="1">[1]!BexGetData("DP_1","003N8EMH8GTFRCSWKMPXRSAE6","GSON1112060883")</f>
        <v>#NAME?</v>
      </c>
      <c r="J1005" s="24" t="e">
        <f ca="1">[1]!BexGetData("DP_1","003N8EMH8GTFRCSWKMPXRSGPQ","GSON1112060883")</f>
        <v>#NAME?</v>
      </c>
      <c r="K1005" s="28" t="e">
        <f ca="1">[1]!BexGetData("DP_1","003N8EMH8GTFRIVNUPY288VJH","GSON1112060883")</f>
        <v>#NAME?</v>
      </c>
      <c r="L1005" s="28" t="e">
        <f ca="1">[1]!BexGetData("DP_1","003N8EMH8GTFRIVNUPY2891V1","GSON1112060883")</f>
        <v>#NAME?</v>
      </c>
      <c r="M1005" s="28" t="e">
        <f ca="1">[1]!BexGetData("DP_1","003N8EMH8GTFRIVOG7KG9IQXA","GSON1112060883")</f>
        <v>#NAME?</v>
      </c>
      <c r="N1005" s="28" t="e">
        <f ca="1">[1]!BexGetData("DP_1","003N8EMH8GTFRIVOG7KG9IX8U","GSON1112060883")</f>
        <v>#NAME?</v>
      </c>
      <c r="O1005" s="28" t="e">
        <f ca="1">[1]!BexGetData("DP_1","003N8EMH8GTFRIVOG7KG9J3KE","GSON1112060883")</f>
        <v>#NAME?</v>
      </c>
      <c r="P1005" s="28" t="e">
        <f ca="1">[1]!BexGetData("DP_1","003N8EMH8GTFRIVOG7KG9J9VY","GSON1112060883")</f>
        <v>#NAME?</v>
      </c>
      <c r="Q1005" s="24" t="e">
        <f ca="1">[1]!BexGetData("DP_1","00O2TNJGODT0G5Z4TTKYMM5MT","GSON1112060883")</f>
        <v>#NAME?</v>
      </c>
      <c r="R1005" s="28" t="e">
        <f ca="1">[1]!BexGetData("DP_1","00O2TNJGODT0G5Z4TTKYMMBYD","GSON1112060883")</f>
        <v>#NAME?</v>
      </c>
      <c r="S1005" s="28" t="e">
        <f ca="1">[1]!BexGetData("DP_1","00O2TNJGODT0G5Z4TTKYMMI9X","GSON1112060883")</f>
        <v>#NAME?</v>
      </c>
      <c r="T1005" s="28" t="e">
        <f ca="1">[1]!BexGetData("DP_1","00O2TNJGODT0G5Z4TTKYMMOLH","GSON1112060883")</f>
        <v>#NAME?</v>
      </c>
      <c r="U1005" s="28" t="e">
        <f ca="1">[1]!BexGetData("DP_1","00O2TNJGODT0G5Z4TTKYMMUX1","GSON1112060883")</f>
        <v>#NAME?</v>
      </c>
      <c r="V1005" s="28" t="e">
        <f ca="1">[1]!BexGetData("DP_1","00O2TNJGODT0G5Z4TTKYMN18L","GSON1112060883")</f>
        <v>#NAME?</v>
      </c>
      <c r="W1005" s="28" t="e">
        <f ca="1">[1]!BexGetData("DP_1","00O2TNJGODT0G5Z4TTKYMN7K5","GSON1112060883")</f>
        <v>#NAME?</v>
      </c>
    </row>
    <row r="1006" spans="1:23" x14ac:dyDescent="0.2">
      <c r="A1006" s="36" t="s">
        <v>3370</v>
      </c>
      <c r="B1006" s="27" t="s">
        <v>3371</v>
      </c>
      <c r="C1006" s="23" t="e">
        <f ca="1">[1]!BexGetData("DP_1","003N8EMH8GTFRCSWKMPXRR8GU","GSON1112060884")</f>
        <v>#NAME?</v>
      </c>
      <c r="D1006" s="23" t="e">
        <f ca="1">[1]!BexGetData("DP_1","003N8EMH8GTFRCSWKMPXRRESE","GSON1112060884")</f>
        <v>#NAME?</v>
      </c>
      <c r="E1006" s="28" t="e">
        <f ca="1">[1]!BexGetData("DP_1","003N8EMH8GTFRCSWKMPXRRL3Y","GSON1112060884")</f>
        <v>#NAME?</v>
      </c>
      <c r="F1006" s="28" t="e">
        <f ca="1">[1]!BexGetData("DP_1","003N8EMH8GTFRCSWKMPXRRRFI","GSON1112060884")</f>
        <v>#NAME?</v>
      </c>
      <c r="G1006" s="23" t="e">
        <f ca="1">[1]!BexGetData("DP_1","003N8EMH8GTFRCSWKMPXRRXR2","GSON1112060884")</f>
        <v>#NAME?</v>
      </c>
      <c r="H1006" s="23" t="e">
        <f ca="1">[1]!BexGetData("DP_1","003N8EMH8GTFRCSWKMPXRS42M","GSON1112060884")</f>
        <v>#NAME?</v>
      </c>
      <c r="I1006" s="28" t="e">
        <f ca="1">[1]!BexGetData("DP_1","003N8EMH8GTFRCSWKMPXRSAE6","GSON1112060884")</f>
        <v>#NAME?</v>
      </c>
      <c r="J1006" s="24" t="e">
        <f ca="1">[1]!BexGetData("DP_1","003N8EMH8GTFRCSWKMPXRSGPQ","GSON1112060884")</f>
        <v>#NAME?</v>
      </c>
      <c r="K1006" s="28" t="e">
        <f ca="1">[1]!BexGetData("DP_1","003N8EMH8GTFRIVNUPY288VJH","GSON1112060884")</f>
        <v>#NAME?</v>
      </c>
      <c r="L1006" s="28" t="e">
        <f ca="1">[1]!BexGetData("DP_1","003N8EMH8GTFRIVNUPY2891V1","GSON1112060884")</f>
        <v>#NAME?</v>
      </c>
      <c r="M1006" s="28" t="e">
        <f ca="1">[1]!BexGetData("DP_1","003N8EMH8GTFRIVOG7KG9IQXA","GSON1112060884")</f>
        <v>#NAME?</v>
      </c>
      <c r="N1006" s="28" t="e">
        <f ca="1">[1]!BexGetData("DP_1","003N8EMH8GTFRIVOG7KG9IX8U","GSON1112060884")</f>
        <v>#NAME?</v>
      </c>
      <c r="O1006" s="28" t="e">
        <f ca="1">[1]!BexGetData("DP_1","003N8EMH8GTFRIVOG7KG9J3KE","GSON1112060884")</f>
        <v>#NAME?</v>
      </c>
      <c r="P1006" s="28" t="e">
        <f ca="1">[1]!BexGetData("DP_1","003N8EMH8GTFRIVOG7KG9J9VY","GSON1112060884")</f>
        <v>#NAME?</v>
      </c>
      <c r="Q1006" s="24" t="e">
        <f ca="1">[1]!BexGetData("DP_1","00O2TNJGODT0G5Z4TTKYMM5MT","GSON1112060884")</f>
        <v>#NAME?</v>
      </c>
      <c r="R1006" s="28" t="e">
        <f ca="1">[1]!BexGetData("DP_1","00O2TNJGODT0G5Z4TTKYMMBYD","GSON1112060884")</f>
        <v>#NAME?</v>
      </c>
      <c r="S1006" s="28" t="e">
        <f ca="1">[1]!BexGetData("DP_1","00O2TNJGODT0G5Z4TTKYMMI9X","GSON1112060884")</f>
        <v>#NAME?</v>
      </c>
      <c r="T1006" s="28" t="e">
        <f ca="1">[1]!BexGetData("DP_1","00O2TNJGODT0G5Z4TTKYMMOLH","GSON1112060884")</f>
        <v>#NAME?</v>
      </c>
      <c r="U1006" s="28" t="e">
        <f ca="1">[1]!BexGetData("DP_1","00O2TNJGODT0G5Z4TTKYMMUX1","GSON1112060884")</f>
        <v>#NAME?</v>
      </c>
      <c r="V1006" s="28" t="e">
        <f ca="1">[1]!BexGetData("DP_1","00O2TNJGODT0G5Z4TTKYMN18L","GSON1112060884")</f>
        <v>#NAME?</v>
      </c>
      <c r="W1006" s="28" t="e">
        <f ca="1">[1]!BexGetData("DP_1","00O2TNJGODT0G5Z4TTKYMN7K5","GSON1112060884")</f>
        <v>#NAME?</v>
      </c>
    </row>
    <row r="1007" spans="1:23" x14ac:dyDescent="0.2">
      <c r="A1007" s="36" t="s">
        <v>3372</v>
      </c>
      <c r="B1007" s="27" t="s">
        <v>3373</v>
      </c>
      <c r="C1007" s="28" t="e">
        <f ca="1">[1]!BexGetData("DP_1","003N8EMH8GTFRCSWKMPXRR8GU","GSON1112060885")</f>
        <v>#NAME?</v>
      </c>
      <c r="D1007" s="28" t="e">
        <f ca="1">[1]!BexGetData("DP_1","003N8EMH8GTFRCSWKMPXRRESE","GSON1112060885")</f>
        <v>#NAME?</v>
      </c>
      <c r="E1007" s="28" t="e">
        <f ca="1">[1]!BexGetData("DP_1","003N8EMH8GTFRCSWKMPXRRL3Y","GSON1112060885")</f>
        <v>#NAME?</v>
      </c>
      <c r="F1007" s="28" t="e">
        <f ca="1">[1]!BexGetData("DP_1","003N8EMH8GTFRCSWKMPXRRRFI","GSON1112060885")</f>
        <v>#NAME?</v>
      </c>
      <c r="G1007" s="23" t="e">
        <f ca="1">[1]!BexGetData("DP_1","003N8EMH8GTFRCSWKMPXRRXR2","GSON1112060885")</f>
        <v>#NAME?</v>
      </c>
      <c r="H1007" s="23" t="e">
        <f ca="1">[1]!BexGetData("DP_1","003N8EMH8GTFRCSWKMPXRS42M","GSON1112060885")</f>
        <v>#NAME?</v>
      </c>
      <c r="I1007" s="28" t="e">
        <f ca="1">[1]!BexGetData("DP_1","003N8EMH8GTFRCSWKMPXRSAE6","GSON1112060885")</f>
        <v>#NAME?</v>
      </c>
      <c r="J1007" s="24" t="e">
        <f ca="1">[1]!BexGetData("DP_1","003N8EMH8GTFRCSWKMPXRSGPQ","GSON1112060885")</f>
        <v>#NAME?</v>
      </c>
      <c r="K1007" s="28" t="e">
        <f ca="1">[1]!BexGetData("DP_1","003N8EMH8GTFRIVNUPY288VJH","GSON1112060885")</f>
        <v>#NAME?</v>
      </c>
      <c r="L1007" s="28" t="e">
        <f ca="1">[1]!BexGetData("DP_1","003N8EMH8GTFRIVNUPY2891V1","GSON1112060885")</f>
        <v>#NAME?</v>
      </c>
      <c r="M1007" s="28" t="e">
        <f ca="1">[1]!BexGetData("DP_1","003N8EMH8GTFRIVOG7KG9IQXA","GSON1112060885")</f>
        <v>#NAME?</v>
      </c>
      <c r="N1007" s="28" t="e">
        <f ca="1">[1]!BexGetData("DP_1","003N8EMH8GTFRIVOG7KG9IX8U","GSON1112060885")</f>
        <v>#NAME?</v>
      </c>
      <c r="O1007" s="28" t="e">
        <f ca="1">[1]!BexGetData("DP_1","003N8EMH8GTFRIVOG7KG9J3KE","GSON1112060885")</f>
        <v>#NAME?</v>
      </c>
      <c r="P1007" s="28" t="e">
        <f ca="1">[1]!BexGetData("DP_1","003N8EMH8GTFRIVOG7KG9J9VY","GSON1112060885")</f>
        <v>#NAME?</v>
      </c>
      <c r="Q1007" s="24" t="e">
        <f ca="1">[1]!BexGetData("DP_1","00O2TNJGODT0G5Z4TTKYMM5MT","GSON1112060885")</f>
        <v>#NAME?</v>
      </c>
      <c r="R1007" s="28" t="e">
        <f ca="1">[1]!BexGetData("DP_1","00O2TNJGODT0G5Z4TTKYMMBYD","GSON1112060885")</f>
        <v>#NAME?</v>
      </c>
      <c r="S1007" s="28" t="e">
        <f ca="1">[1]!BexGetData("DP_1","00O2TNJGODT0G5Z4TTKYMMI9X","GSON1112060885")</f>
        <v>#NAME?</v>
      </c>
      <c r="T1007" s="28" t="e">
        <f ca="1">[1]!BexGetData("DP_1","00O2TNJGODT0G5Z4TTKYMMOLH","GSON1112060885")</f>
        <v>#NAME?</v>
      </c>
      <c r="U1007" s="28" t="e">
        <f ca="1">[1]!BexGetData("DP_1","00O2TNJGODT0G5Z4TTKYMMUX1","GSON1112060885")</f>
        <v>#NAME?</v>
      </c>
      <c r="V1007" s="28" t="e">
        <f ca="1">[1]!BexGetData("DP_1","00O2TNJGODT0G5Z4TTKYMN18L","GSON1112060885")</f>
        <v>#NAME?</v>
      </c>
      <c r="W1007" s="28" t="e">
        <f ca="1">[1]!BexGetData("DP_1","00O2TNJGODT0G5Z4TTKYMN7K5","GSON1112060885")</f>
        <v>#NAME?</v>
      </c>
    </row>
    <row r="1008" spans="1:23" x14ac:dyDescent="0.2">
      <c r="A1008" s="36" t="s">
        <v>3374</v>
      </c>
      <c r="B1008" s="27" t="s">
        <v>1676</v>
      </c>
      <c r="C1008" s="23" t="e">
        <f ca="1">[1]!BexGetData("DP_1","003N8EMH8GTFRCSWKMPXRR8GU","GSON1112060890")</f>
        <v>#NAME?</v>
      </c>
      <c r="D1008" s="23" t="e">
        <f ca="1">[1]!BexGetData("DP_1","003N8EMH8GTFRCSWKMPXRRESE","GSON1112060890")</f>
        <v>#NAME?</v>
      </c>
      <c r="E1008" s="23" t="e">
        <f ca="1">[1]!BexGetData("DP_1","003N8EMH8GTFRCSWKMPXRRL3Y","GSON1112060890")</f>
        <v>#NAME?</v>
      </c>
      <c r="F1008" s="23" t="e">
        <f ca="1">[1]!BexGetData("DP_1","003N8EMH8GTFRCSWKMPXRRRFI","GSON1112060890")</f>
        <v>#NAME?</v>
      </c>
      <c r="G1008" s="23" t="e">
        <f ca="1">[1]!BexGetData("DP_1","003N8EMH8GTFRCSWKMPXRRXR2","GSON1112060890")</f>
        <v>#NAME?</v>
      </c>
      <c r="H1008" s="23" t="e">
        <f ca="1">[1]!BexGetData("DP_1","003N8EMH8GTFRCSWKMPXRS42M","GSON1112060890")</f>
        <v>#NAME?</v>
      </c>
      <c r="I1008" s="23" t="e">
        <f ca="1">[1]!BexGetData("DP_1","003N8EMH8GTFRCSWKMPXRSAE6","GSON1112060890")</f>
        <v>#NAME?</v>
      </c>
      <c r="J1008" s="24" t="e">
        <f ca="1">[1]!BexGetData("DP_1","003N8EMH8GTFRCSWKMPXRSGPQ","GSON1112060890")</f>
        <v>#NAME?</v>
      </c>
      <c r="K1008" s="23" t="e">
        <f ca="1">[1]!BexGetData("DP_1","003N8EMH8GTFRIVNUPY288VJH","GSON1112060890")</f>
        <v>#NAME?</v>
      </c>
      <c r="L1008" s="23" t="e">
        <f ca="1">[1]!BexGetData("DP_1","003N8EMH8GTFRIVNUPY2891V1","GSON1112060890")</f>
        <v>#NAME?</v>
      </c>
      <c r="M1008" s="23" t="e">
        <f ca="1">[1]!BexGetData("DP_1","003N8EMH8GTFRIVOG7KG9IQXA","GSON1112060890")</f>
        <v>#NAME?</v>
      </c>
      <c r="N1008" s="28" t="e">
        <f ca="1">[1]!BexGetData("DP_1","003N8EMH8GTFRIVOG7KG9IX8U","GSON1112060890")</f>
        <v>#NAME?</v>
      </c>
      <c r="O1008" s="23" t="e">
        <f ca="1">[1]!BexGetData("DP_1","003N8EMH8GTFRIVOG7KG9J3KE","GSON1112060890")</f>
        <v>#NAME?</v>
      </c>
      <c r="P1008" s="28" t="e">
        <f ca="1">[1]!BexGetData("DP_1","003N8EMH8GTFRIVOG7KG9J9VY","GSON1112060890")</f>
        <v>#NAME?</v>
      </c>
      <c r="Q1008" s="24" t="e">
        <f ca="1">[1]!BexGetData("DP_1","00O2TNJGODT0G5Z4TTKYMM5MT","GSON1112060890")</f>
        <v>#NAME?</v>
      </c>
      <c r="R1008" s="23" t="e">
        <f ca="1">[1]!BexGetData("DP_1","00O2TNJGODT0G5Z4TTKYMMBYD","GSON1112060890")</f>
        <v>#NAME?</v>
      </c>
      <c r="S1008" s="23" t="e">
        <f ca="1">[1]!BexGetData("DP_1","00O2TNJGODT0G5Z4TTKYMMI9X","GSON1112060890")</f>
        <v>#NAME?</v>
      </c>
      <c r="T1008" s="28" t="e">
        <f ca="1">[1]!BexGetData("DP_1","00O2TNJGODT0G5Z4TTKYMMOLH","GSON1112060890")</f>
        <v>#NAME?</v>
      </c>
      <c r="U1008" s="23" t="e">
        <f ca="1">[1]!BexGetData("DP_1","00O2TNJGODT0G5Z4TTKYMMUX1","GSON1112060890")</f>
        <v>#NAME?</v>
      </c>
      <c r="V1008" s="28" t="e">
        <f ca="1">[1]!BexGetData("DP_1","00O2TNJGODT0G5Z4TTKYMN18L","GSON1112060890")</f>
        <v>#NAME?</v>
      </c>
      <c r="W1008" s="23" t="e">
        <f ca="1">[1]!BexGetData("DP_1","00O2TNJGODT0G5Z4TTKYMN7K5","GSON1112060890")</f>
        <v>#NAME?</v>
      </c>
    </row>
    <row r="1009" spans="1:23" x14ac:dyDescent="0.2">
      <c r="A1009" s="36" t="s">
        <v>3375</v>
      </c>
      <c r="B1009" s="27" t="s">
        <v>3376</v>
      </c>
      <c r="C1009" s="23" t="e">
        <f ca="1">[1]!BexGetData("DP_1","003N8EMH8GTFRCSWKMPXRR8GU","GSON1112060891")</f>
        <v>#NAME?</v>
      </c>
      <c r="D1009" s="23" t="e">
        <f ca="1">[1]!BexGetData("DP_1","003N8EMH8GTFRCSWKMPXRRESE","GSON1112060891")</f>
        <v>#NAME?</v>
      </c>
      <c r="E1009" s="28" t="e">
        <f ca="1">[1]!BexGetData("DP_1","003N8EMH8GTFRCSWKMPXRRL3Y","GSON1112060891")</f>
        <v>#NAME?</v>
      </c>
      <c r="F1009" s="28" t="e">
        <f ca="1">[1]!BexGetData("DP_1","003N8EMH8GTFRCSWKMPXRRRFI","GSON1112060891")</f>
        <v>#NAME?</v>
      </c>
      <c r="G1009" s="23" t="e">
        <f ca="1">[1]!BexGetData("DP_1","003N8EMH8GTFRCSWKMPXRRXR2","GSON1112060891")</f>
        <v>#NAME?</v>
      </c>
      <c r="H1009" s="23" t="e">
        <f ca="1">[1]!BexGetData("DP_1","003N8EMH8GTFRCSWKMPXRS42M","GSON1112060891")</f>
        <v>#NAME?</v>
      </c>
      <c r="I1009" s="28" t="e">
        <f ca="1">[1]!BexGetData("DP_1","003N8EMH8GTFRCSWKMPXRSAE6","GSON1112060891")</f>
        <v>#NAME?</v>
      </c>
      <c r="J1009" s="24" t="e">
        <f ca="1">[1]!BexGetData("DP_1","003N8EMH8GTFRCSWKMPXRSGPQ","GSON1112060891")</f>
        <v>#NAME?</v>
      </c>
      <c r="K1009" s="28" t="e">
        <f ca="1">[1]!BexGetData("DP_1","003N8EMH8GTFRIVNUPY288VJH","GSON1112060891")</f>
        <v>#NAME?</v>
      </c>
      <c r="L1009" s="28" t="e">
        <f ca="1">[1]!BexGetData("DP_1","003N8EMH8GTFRIVNUPY2891V1","GSON1112060891")</f>
        <v>#NAME?</v>
      </c>
      <c r="M1009" s="28" t="e">
        <f ca="1">[1]!BexGetData("DP_1","003N8EMH8GTFRIVOG7KG9IQXA","GSON1112060891")</f>
        <v>#NAME?</v>
      </c>
      <c r="N1009" s="28" t="e">
        <f ca="1">[1]!BexGetData("DP_1","003N8EMH8GTFRIVOG7KG9IX8U","GSON1112060891")</f>
        <v>#NAME?</v>
      </c>
      <c r="O1009" s="28" t="e">
        <f ca="1">[1]!BexGetData("DP_1","003N8EMH8GTFRIVOG7KG9J3KE","GSON1112060891")</f>
        <v>#NAME?</v>
      </c>
      <c r="P1009" s="28" t="e">
        <f ca="1">[1]!BexGetData("DP_1","003N8EMH8GTFRIVOG7KG9J9VY","GSON1112060891")</f>
        <v>#NAME?</v>
      </c>
      <c r="Q1009" s="24" t="e">
        <f ca="1">[1]!BexGetData("DP_1","00O2TNJGODT0G5Z4TTKYMM5MT","GSON1112060891")</f>
        <v>#NAME?</v>
      </c>
      <c r="R1009" s="28" t="e">
        <f ca="1">[1]!BexGetData("DP_1","00O2TNJGODT0G5Z4TTKYMMBYD","GSON1112060891")</f>
        <v>#NAME?</v>
      </c>
      <c r="S1009" s="28" t="e">
        <f ca="1">[1]!BexGetData("DP_1","00O2TNJGODT0G5Z4TTKYMMI9X","GSON1112060891")</f>
        <v>#NAME?</v>
      </c>
      <c r="T1009" s="28" t="e">
        <f ca="1">[1]!BexGetData("DP_1","00O2TNJGODT0G5Z4TTKYMMOLH","GSON1112060891")</f>
        <v>#NAME?</v>
      </c>
      <c r="U1009" s="28" t="e">
        <f ca="1">[1]!BexGetData("DP_1","00O2TNJGODT0G5Z4TTKYMMUX1","GSON1112060891")</f>
        <v>#NAME?</v>
      </c>
      <c r="V1009" s="28" t="e">
        <f ca="1">[1]!BexGetData("DP_1","00O2TNJGODT0G5Z4TTKYMN18L","GSON1112060891")</f>
        <v>#NAME?</v>
      </c>
      <c r="W1009" s="28" t="e">
        <f ca="1">[1]!BexGetData("DP_1","00O2TNJGODT0G5Z4TTKYMN7K5","GSON1112060891")</f>
        <v>#NAME?</v>
      </c>
    </row>
    <row r="1010" spans="1:23" x14ac:dyDescent="0.2">
      <c r="A1010" s="36" t="s">
        <v>3377</v>
      </c>
      <c r="B1010" s="27" t="s">
        <v>1677</v>
      </c>
      <c r="C1010" s="23" t="e">
        <f ca="1">[1]!BexGetData("DP_1","003N8EMH8GTFRCSWKMPXRR8GU","GSON1112060892")</f>
        <v>#NAME?</v>
      </c>
      <c r="D1010" s="23" t="e">
        <f ca="1">[1]!BexGetData("DP_1","003N8EMH8GTFRCSWKMPXRRESE","GSON1112060892")</f>
        <v>#NAME?</v>
      </c>
      <c r="E1010" s="23" t="e">
        <f ca="1">[1]!BexGetData("DP_1","003N8EMH8GTFRCSWKMPXRRL3Y","GSON1112060892")</f>
        <v>#NAME?</v>
      </c>
      <c r="F1010" s="28" t="e">
        <f ca="1">[1]!BexGetData("DP_1","003N8EMH8GTFRCSWKMPXRRRFI","GSON1112060892")</f>
        <v>#NAME?</v>
      </c>
      <c r="G1010" s="23" t="e">
        <f ca="1">[1]!BexGetData("DP_1","003N8EMH8GTFRCSWKMPXRRXR2","GSON1112060892")</f>
        <v>#NAME?</v>
      </c>
      <c r="H1010" s="23" t="e">
        <f ca="1">[1]!BexGetData("DP_1","003N8EMH8GTFRCSWKMPXRS42M","GSON1112060892")</f>
        <v>#NAME?</v>
      </c>
      <c r="I1010" s="28" t="e">
        <f ca="1">[1]!BexGetData("DP_1","003N8EMH8GTFRCSWKMPXRSAE6","GSON1112060892")</f>
        <v>#NAME?</v>
      </c>
      <c r="J1010" s="24" t="e">
        <f ca="1">[1]!BexGetData("DP_1","003N8EMH8GTFRCSWKMPXRSGPQ","GSON1112060892")</f>
        <v>#NAME?</v>
      </c>
      <c r="K1010" s="23" t="e">
        <f ca="1">[1]!BexGetData("DP_1","003N8EMH8GTFRIVNUPY288VJH","GSON1112060892")</f>
        <v>#NAME?</v>
      </c>
      <c r="L1010" s="23" t="e">
        <f ca="1">[1]!BexGetData("DP_1","003N8EMH8GTFRIVNUPY2891V1","GSON1112060892")</f>
        <v>#NAME?</v>
      </c>
      <c r="M1010" s="23" t="e">
        <f ca="1">[1]!BexGetData("DP_1","003N8EMH8GTFRIVOG7KG9IQXA","GSON1112060892")</f>
        <v>#NAME?</v>
      </c>
      <c r="N1010" s="28" t="e">
        <f ca="1">[1]!BexGetData("DP_1","003N8EMH8GTFRIVOG7KG9IX8U","GSON1112060892")</f>
        <v>#NAME?</v>
      </c>
      <c r="O1010" s="23" t="e">
        <f ca="1">[1]!BexGetData("DP_1","003N8EMH8GTFRIVOG7KG9J3KE","GSON1112060892")</f>
        <v>#NAME?</v>
      </c>
      <c r="P1010" s="28" t="e">
        <f ca="1">[1]!BexGetData("DP_1","003N8EMH8GTFRIVOG7KG9J9VY","GSON1112060892")</f>
        <v>#NAME?</v>
      </c>
      <c r="Q1010" s="24" t="e">
        <f ca="1">[1]!BexGetData("DP_1","00O2TNJGODT0G5Z4TTKYMM5MT","GSON1112060892")</f>
        <v>#NAME?</v>
      </c>
      <c r="R1010" s="28" t="e">
        <f ca="1">[1]!BexGetData("DP_1","00O2TNJGODT0G5Z4TTKYMMBYD","GSON1112060892")</f>
        <v>#NAME?</v>
      </c>
      <c r="S1010" s="28" t="e">
        <f ca="1">[1]!BexGetData("DP_1","00O2TNJGODT0G5Z4TTKYMMI9X","GSON1112060892")</f>
        <v>#NAME?</v>
      </c>
      <c r="T1010" s="28" t="e">
        <f ca="1">[1]!BexGetData("DP_1","00O2TNJGODT0G5Z4TTKYMMOLH","GSON1112060892")</f>
        <v>#NAME?</v>
      </c>
      <c r="U1010" s="28" t="e">
        <f ca="1">[1]!BexGetData("DP_1","00O2TNJGODT0G5Z4TTKYMMUX1","GSON1112060892")</f>
        <v>#NAME?</v>
      </c>
      <c r="V1010" s="28" t="e">
        <f ca="1">[1]!BexGetData("DP_1","00O2TNJGODT0G5Z4TTKYMN18L","GSON1112060892")</f>
        <v>#NAME?</v>
      </c>
      <c r="W1010" s="28" t="e">
        <f ca="1">[1]!BexGetData("DP_1","00O2TNJGODT0G5Z4TTKYMN7K5","GSON1112060892")</f>
        <v>#NAME?</v>
      </c>
    </row>
    <row r="1011" spans="1:23" x14ac:dyDescent="0.2">
      <c r="A1011" s="36" t="s">
        <v>3378</v>
      </c>
      <c r="B1011" s="27" t="s">
        <v>1678</v>
      </c>
      <c r="C1011" s="23" t="e">
        <f ca="1">[1]!BexGetData("DP_1","003N8EMH8GTFRCSWKMPXRR8GU","GSON1112060893")</f>
        <v>#NAME?</v>
      </c>
      <c r="D1011" s="23" t="e">
        <f ca="1">[1]!BexGetData("DP_1","003N8EMH8GTFRCSWKMPXRRESE","GSON1112060893")</f>
        <v>#NAME?</v>
      </c>
      <c r="E1011" s="28" t="e">
        <f ca="1">[1]!BexGetData("DP_1","003N8EMH8GTFRCSWKMPXRRL3Y","GSON1112060893")</f>
        <v>#NAME?</v>
      </c>
      <c r="F1011" s="28" t="e">
        <f ca="1">[1]!BexGetData("DP_1","003N8EMH8GTFRCSWKMPXRRRFI","GSON1112060893")</f>
        <v>#NAME?</v>
      </c>
      <c r="G1011" s="23" t="e">
        <f ca="1">[1]!BexGetData("DP_1","003N8EMH8GTFRCSWKMPXRRXR2","GSON1112060893")</f>
        <v>#NAME?</v>
      </c>
      <c r="H1011" s="23" t="e">
        <f ca="1">[1]!BexGetData("DP_1","003N8EMH8GTFRCSWKMPXRS42M","GSON1112060893")</f>
        <v>#NAME?</v>
      </c>
      <c r="I1011" s="28" t="e">
        <f ca="1">[1]!BexGetData("DP_1","003N8EMH8GTFRCSWKMPXRSAE6","GSON1112060893")</f>
        <v>#NAME?</v>
      </c>
      <c r="J1011" s="24" t="e">
        <f ca="1">[1]!BexGetData("DP_1","003N8EMH8GTFRCSWKMPXRSGPQ","GSON1112060893")</f>
        <v>#NAME?</v>
      </c>
      <c r="K1011" s="28" t="e">
        <f ca="1">[1]!BexGetData("DP_1","003N8EMH8GTFRIVNUPY288VJH","GSON1112060893")</f>
        <v>#NAME?</v>
      </c>
      <c r="L1011" s="28" t="e">
        <f ca="1">[1]!BexGetData("DP_1","003N8EMH8GTFRIVNUPY2891V1","GSON1112060893")</f>
        <v>#NAME?</v>
      </c>
      <c r="M1011" s="28" t="e">
        <f ca="1">[1]!BexGetData("DP_1","003N8EMH8GTFRIVOG7KG9IQXA","GSON1112060893")</f>
        <v>#NAME?</v>
      </c>
      <c r="N1011" s="28" t="e">
        <f ca="1">[1]!BexGetData("DP_1","003N8EMH8GTFRIVOG7KG9IX8U","GSON1112060893")</f>
        <v>#NAME?</v>
      </c>
      <c r="O1011" s="28" t="e">
        <f ca="1">[1]!BexGetData("DP_1","003N8EMH8GTFRIVOG7KG9J3KE","GSON1112060893")</f>
        <v>#NAME?</v>
      </c>
      <c r="P1011" s="28" t="e">
        <f ca="1">[1]!BexGetData("DP_1","003N8EMH8GTFRIVOG7KG9J9VY","GSON1112060893")</f>
        <v>#NAME?</v>
      </c>
      <c r="Q1011" s="24" t="e">
        <f ca="1">[1]!BexGetData("DP_1","00O2TNJGODT0G5Z4TTKYMM5MT","GSON1112060893")</f>
        <v>#NAME?</v>
      </c>
      <c r="R1011" s="28" t="e">
        <f ca="1">[1]!BexGetData("DP_1","00O2TNJGODT0G5Z4TTKYMMBYD","GSON1112060893")</f>
        <v>#NAME?</v>
      </c>
      <c r="S1011" s="28" t="e">
        <f ca="1">[1]!BexGetData("DP_1","00O2TNJGODT0G5Z4TTKYMMI9X","GSON1112060893")</f>
        <v>#NAME?</v>
      </c>
      <c r="T1011" s="28" t="e">
        <f ca="1">[1]!BexGetData("DP_1","00O2TNJGODT0G5Z4TTKYMMOLH","GSON1112060893")</f>
        <v>#NAME?</v>
      </c>
      <c r="U1011" s="28" t="e">
        <f ca="1">[1]!BexGetData("DP_1","00O2TNJGODT0G5Z4TTKYMMUX1","GSON1112060893")</f>
        <v>#NAME?</v>
      </c>
      <c r="V1011" s="28" t="e">
        <f ca="1">[1]!BexGetData("DP_1","00O2TNJGODT0G5Z4TTKYMN18L","GSON1112060893")</f>
        <v>#NAME?</v>
      </c>
      <c r="W1011" s="28" t="e">
        <f ca="1">[1]!BexGetData("DP_1","00O2TNJGODT0G5Z4TTKYMN7K5","GSON1112060893")</f>
        <v>#NAME?</v>
      </c>
    </row>
    <row r="1012" spans="1:23" x14ac:dyDescent="0.2">
      <c r="A1012" s="36" t="s">
        <v>3379</v>
      </c>
      <c r="B1012" s="27" t="s">
        <v>1679</v>
      </c>
      <c r="C1012" s="23" t="e">
        <f ca="1">[1]!BexGetData("DP_1","003N8EMH8GTFRCSWKMPXRR8GU","GSON1112060894")</f>
        <v>#NAME?</v>
      </c>
      <c r="D1012" s="23" t="e">
        <f ca="1">[1]!BexGetData("DP_1","003N8EMH8GTFRCSWKMPXRRESE","GSON1112060894")</f>
        <v>#NAME?</v>
      </c>
      <c r="E1012" s="28" t="e">
        <f ca="1">[1]!BexGetData("DP_1","003N8EMH8GTFRCSWKMPXRRL3Y","GSON1112060894")</f>
        <v>#NAME?</v>
      </c>
      <c r="F1012" s="28" t="e">
        <f ca="1">[1]!BexGetData("DP_1","003N8EMH8GTFRCSWKMPXRRRFI","GSON1112060894")</f>
        <v>#NAME?</v>
      </c>
      <c r="G1012" s="23" t="e">
        <f ca="1">[1]!BexGetData("DP_1","003N8EMH8GTFRCSWKMPXRRXR2","GSON1112060894")</f>
        <v>#NAME?</v>
      </c>
      <c r="H1012" s="23" t="e">
        <f ca="1">[1]!BexGetData("DP_1","003N8EMH8GTFRCSWKMPXRS42M","GSON1112060894")</f>
        <v>#NAME?</v>
      </c>
      <c r="I1012" s="28" t="e">
        <f ca="1">[1]!BexGetData("DP_1","003N8EMH8GTFRCSWKMPXRSAE6","GSON1112060894")</f>
        <v>#NAME?</v>
      </c>
      <c r="J1012" s="24" t="e">
        <f ca="1">[1]!BexGetData("DP_1","003N8EMH8GTFRCSWKMPXRSGPQ","GSON1112060894")</f>
        <v>#NAME?</v>
      </c>
      <c r="K1012" s="28" t="e">
        <f ca="1">[1]!BexGetData("DP_1","003N8EMH8GTFRIVNUPY288VJH","GSON1112060894")</f>
        <v>#NAME?</v>
      </c>
      <c r="L1012" s="28" t="e">
        <f ca="1">[1]!BexGetData("DP_1","003N8EMH8GTFRIVNUPY2891V1","GSON1112060894")</f>
        <v>#NAME?</v>
      </c>
      <c r="M1012" s="28" t="e">
        <f ca="1">[1]!BexGetData("DP_1","003N8EMH8GTFRIVOG7KG9IQXA","GSON1112060894")</f>
        <v>#NAME?</v>
      </c>
      <c r="N1012" s="28" t="e">
        <f ca="1">[1]!BexGetData("DP_1","003N8EMH8GTFRIVOG7KG9IX8U","GSON1112060894")</f>
        <v>#NAME?</v>
      </c>
      <c r="O1012" s="28" t="e">
        <f ca="1">[1]!BexGetData("DP_1","003N8EMH8GTFRIVOG7KG9J3KE","GSON1112060894")</f>
        <v>#NAME?</v>
      </c>
      <c r="P1012" s="28" t="e">
        <f ca="1">[1]!BexGetData("DP_1","003N8EMH8GTFRIVOG7KG9J9VY","GSON1112060894")</f>
        <v>#NAME?</v>
      </c>
      <c r="Q1012" s="24" t="e">
        <f ca="1">[1]!BexGetData("DP_1","00O2TNJGODT0G5Z4TTKYMM5MT","GSON1112060894")</f>
        <v>#NAME?</v>
      </c>
      <c r="R1012" s="28" t="e">
        <f ca="1">[1]!BexGetData("DP_1","00O2TNJGODT0G5Z4TTKYMMBYD","GSON1112060894")</f>
        <v>#NAME?</v>
      </c>
      <c r="S1012" s="28" t="e">
        <f ca="1">[1]!BexGetData("DP_1","00O2TNJGODT0G5Z4TTKYMMI9X","GSON1112060894")</f>
        <v>#NAME?</v>
      </c>
      <c r="T1012" s="28" t="e">
        <f ca="1">[1]!BexGetData("DP_1","00O2TNJGODT0G5Z4TTKYMMOLH","GSON1112060894")</f>
        <v>#NAME?</v>
      </c>
      <c r="U1012" s="28" t="e">
        <f ca="1">[1]!BexGetData("DP_1","00O2TNJGODT0G5Z4TTKYMMUX1","GSON1112060894")</f>
        <v>#NAME?</v>
      </c>
      <c r="V1012" s="28" t="e">
        <f ca="1">[1]!BexGetData("DP_1","00O2TNJGODT0G5Z4TTKYMN18L","GSON1112060894")</f>
        <v>#NAME?</v>
      </c>
      <c r="W1012" s="28" t="e">
        <f ca="1">[1]!BexGetData("DP_1","00O2TNJGODT0G5Z4TTKYMN7K5","GSON1112060894")</f>
        <v>#NAME?</v>
      </c>
    </row>
    <row r="1013" spans="1:23" x14ac:dyDescent="0.2">
      <c r="A1013" s="36" t="s">
        <v>3380</v>
      </c>
      <c r="B1013" s="27" t="s">
        <v>3381</v>
      </c>
      <c r="C1013" s="23" t="e">
        <f ca="1">[1]!BexGetData("DP_1","003N8EMH8GTFRCSWKMPXRR8GU","GSON1112060895")</f>
        <v>#NAME?</v>
      </c>
      <c r="D1013" s="23" t="e">
        <f ca="1">[1]!BexGetData("DP_1","003N8EMH8GTFRCSWKMPXRRESE","GSON1112060895")</f>
        <v>#NAME?</v>
      </c>
      <c r="E1013" s="28" t="e">
        <f ca="1">[1]!BexGetData("DP_1","003N8EMH8GTFRCSWKMPXRRL3Y","GSON1112060895")</f>
        <v>#NAME?</v>
      </c>
      <c r="F1013" s="28" t="e">
        <f ca="1">[1]!BexGetData("DP_1","003N8EMH8GTFRCSWKMPXRRRFI","GSON1112060895")</f>
        <v>#NAME?</v>
      </c>
      <c r="G1013" s="23" t="e">
        <f ca="1">[1]!BexGetData("DP_1","003N8EMH8GTFRCSWKMPXRRXR2","GSON1112060895")</f>
        <v>#NAME?</v>
      </c>
      <c r="H1013" s="23" t="e">
        <f ca="1">[1]!BexGetData("DP_1","003N8EMH8GTFRCSWKMPXRS42M","GSON1112060895")</f>
        <v>#NAME?</v>
      </c>
      <c r="I1013" s="28" t="e">
        <f ca="1">[1]!BexGetData("DP_1","003N8EMH8GTFRCSWKMPXRSAE6","GSON1112060895")</f>
        <v>#NAME?</v>
      </c>
      <c r="J1013" s="24" t="e">
        <f ca="1">[1]!BexGetData("DP_1","003N8EMH8GTFRCSWKMPXRSGPQ","GSON1112060895")</f>
        <v>#NAME?</v>
      </c>
      <c r="K1013" s="28" t="e">
        <f ca="1">[1]!BexGetData("DP_1","003N8EMH8GTFRIVNUPY288VJH","GSON1112060895")</f>
        <v>#NAME?</v>
      </c>
      <c r="L1013" s="28" t="e">
        <f ca="1">[1]!BexGetData("DP_1","003N8EMH8GTFRIVNUPY2891V1","GSON1112060895")</f>
        <v>#NAME?</v>
      </c>
      <c r="M1013" s="28" t="e">
        <f ca="1">[1]!BexGetData("DP_1","003N8EMH8GTFRIVOG7KG9IQXA","GSON1112060895")</f>
        <v>#NAME?</v>
      </c>
      <c r="N1013" s="28" t="e">
        <f ca="1">[1]!BexGetData("DP_1","003N8EMH8GTFRIVOG7KG9IX8U","GSON1112060895")</f>
        <v>#NAME?</v>
      </c>
      <c r="O1013" s="28" t="e">
        <f ca="1">[1]!BexGetData("DP_1","003N8EMH8GTFRIVOG7KG9J3KE","GSON1112060895")</f>
        <v>#NAME?</v>
      </c>
      <c r="P1013" s="28" t="e">
        <f ca="1">[1]!BexGetData("DP_1","003N8EMH8GTFRIVOG7KG9J9VY","GSON1112060895")</f>
        <v>#NAME?</v>
      </c>
      <c r="Q1013" s="24" t="e">
        <f ca="1">[1]!BexGetData("DP_1","00O2TNJGODT0G5Z4TTKYMM5MT","GSON1112060895")</f>
        <v>#NAME?</v>
      </c>
      <c r="R1013" s="28" t="e">
        <f ca="1">[1]!BexGetData("DP_1","00O2TNJGODT0G5Z4TTKYMMBYD","GSON1112060895")</f>
        <v>#NAME?</v>
      </c>
      <c r="S1013" s="28" t="e">
        <f ca="1">[1]!BexGetData("DP_1","00O2TNJGODT0G5Z4TTKYMMI9X","GSON1112060895")</f>
        <v>#NAME?</v>
      </c>
      <c r="T1013" s="28" t="e">
        <f ca="1">[1]!BexGetData("DP_1","00O2TNJGODT0G5Z4TTKYMMOLH","GSON1112060895")</f>
        <v>#NAME?</v>
      </c>
      <c r="U1013" s="28" t="e">
        <f ca="1">[1]!BexGetData("DP_1","00O2TNJGODT0G5Z4TTKYMMUX1","GSON1112060895")</f>
        <v>#NAME?</v>
      </c>
      <c r="V1013" s="28" t="e">
        <f ca="1">[1]!BexGetData("DP_1","00O2TNJGODT0G5Z4TTKYMN18L","GSON1112060895")</f>
        <v>#NAME?</v>
      </c>
      <c r="W1013" s="28" t="e">
        <f ca="1">[1]!BexGetData("DP_1","00O2TNJGODT0G5Z4TTKYMN7K5","GSON1112060895")</f>
        <v>#NAME?</v>
      </c>
    </row>
    <row r="1014" spans="1:23" x14ac:dyDescent="0.2">
      <c r="A1014" s="36" t="s">
        <v>3382</v>
      </c>
      <c r="B1014" s="27" t="s">
        <v>3383</v>
      </c>
      <c r="C1014" s="23" t="e">
        <f ca="1">[1]!BexGetData("DP_1","003N8EMH8GTFRCSWKMPXRR8GU","GSON1112060900")</f>
        <v>#NAME?</v>
      </c>
      <c r="D1014" s="23" t="e">
        <f ca="1">[1]!BexGetData("DP_1","003N8EMH8GTFRCSWKMPXRRESE","GSON1112060900")</f>
        <v>#NAME?</v>
      </c>
      <c r="E1014" s="23" t="e">
        <f ca="1">[1]!BexGetData("DP_1","003N8EMH8GTFRCSWKMPXRRL3Y","GSON1112060900")</f>
        <v>#NAME?</v>
      </c>
      <c r="F1014" s="23" t="e">
        <f ca="1">[1]!BexGetData("DP_1","003N8EMH8GTFRCSWKMPXRRRFI","GSON1112060900")</f>
        <v>#NAME?</v>
      </c>
      <c r="G1014" s="23" t="e">
        <f ca="1">[1]!BexGetData("DP_1","003N8EMH8GTFRCSWKMPXRRXR2","GSON1112060900")</f>
        <v>#NAME?</v>
      </c>
      <c r="H1014" s="23" t="e">
        <f ca="1">[1]!BexGetData("DP_1","003N8EMH8GTFRCSWKMPXRS42M","GSON1112060900")</f>
        <v>#NAME?</v>
      </c>
      <c r="I1014" s="23" t="e">
        <f ca="1">[1]!BexGetData("DP_1","003N8EMH8GTFRCSWKMPXRSAE6","GSON1112060900")</f>
        <v>#NAME?</v>
      </c>
      <c r="J1014" s="24" t="e">
        <f ca="1">[1]!BexGetData("DP_1","003N8EMH8GTFRCSWKMPXRSGPQ","GSON1112060900")</f>
        <v>#NAME?</v>
      </c>
      <c r="K1014" s="23" t="e">
        <f ca="1">[1]!BexGetData("DP_1","003N8EMH8GTFRIVNUPY288VJH","GSON1112060900")</f>
        <v>#NAME?</v>
      </c>
      <c r="L1014" s="23" t="e">
        <f ca="1">[1]!BexGetData("DP_1","003N8EMH8GTFRIVNUPY2891V1","GSON1112060900")</f>
        <v>#NAME?</v>
      </c>
      <c r="M1014" s="23" t="e">
        <f ca="1">[1]!BexGetData("DP_1","003N8EMH8GTFRIVOG7KG9IQXA","GSON1112060900")</f>
        <v>#NAME?</v>
      </c>
      <c r="N1014" s="28" t="e">
        <f ca="1">[1]!BexGetData("DP_1","003N8EMH8GTFRIVOG7KG9IX8U","GSON1112060900")</f>
        <v>#NAME?</v>
      </c>
      <c r="O1014" s="23" t="e">
        <f ca="1">[1]!BexGetData("DP_1","003N8EMH8GTFRIVOG7KG9J3KE","GSON1112060900")</f>
        <v>#NAME?</v>
      </c>
      <c r="P1014" s="28" t="e">
        <f ca="1">[1]!BexGetData("DP_1","003N8EMH8GTFRIVOG7KG9J9VY","GSON1112060900")</f>
        <v>#NAME?</v>
      </c>
      <c r="Q1014" s="24" t="e">
        <f ca="1">[1]!BexGetData("DP_1","00O2TNJGODT0G5Z4TTKYMM5MT","GSON1112060900")</f>
        <v>#NAME?</v>
      </c>
      <c r="R1014" s="23" t="e">
        <f ca="1">[1]!BexGetData("DP_1","00O2TNJGODT0G5Z4TTKYMMBYD","GSON1112060900")</f>
        <v>#NAME?</v>
      </c>
      <c r="S1014" s="23" t="e">
        <f ca="1">[1]!BexGetData("DP_1","00O2TNJGODT0G5Z4TTKYMMI9X","GSON1112060900")</f>
        <v>#NAME?</v>
      </c>
      <c r="T1014" s="28" t="e">
        <f ca="1">[1]!BexGetData("DP_1","00O2TNJGODT0G5Z4TTKYMMOLH","GSON1112060900")</f>
        <v>#NAME?</v>
      </c>
      <c r="U1014" s="23" t="e">
        <f ca="1">[1]!BexGetData("DP_1","00O2TNJGODT0G5Z4TTKYMMUX1","GSON1112060900")</f>
        <v>#NAME?</v>
      </c>
      <c r="V1014" s="28" t="e">
        <f ca="1">[1]!BexGetData("DP_1","00O2TNJGODT0G5Z4TTKYMN18L","GSON1112060900")</f>
        <v>#NAME?</v>
      </c>
      <c r="W1014" s="23" t="e">
        <f ca="1">[1]!BexGetData("DP_1","00O2TNJGODT0G5Z4TTKYMN7K5","GSON1112060900")</f>
        <v>#NAME?</v>
      </c>
    </row>
    <row r="1015" spans="1:23" x14ac:dyDescent="0.2">
      <c r="A1015" s="36" t="s">
        <v>3384</v>
      </c>
      <c r="B1015" s="27" t="s">
        <v>3385</v>
      </c>
      <c r="C1015" s="23" t="e">
        <f ca="1">[1]!BexGetData("DP_1","003N8EMH8GTFRCSWKMPXRR8GU","GSON1112060901")</f>
        <v>#NAME?</v>
      </c>
      <c r="D1015" s="23" t="e">
        <f ca="1">[1]!BexGetData("DP_1","003N8EMH8GTFRCSWKMPXRRESE","GSON1112060901")</f>
        <v>#NAME?</v>
      </c>
      <c r="E1015" s="28" t="e">
        <f ca="1">[1]!BexGetData("DP_1","003N8EMH8GTFRCSWKMPXRRL3Y","GSON1112060901")</f>
        <v>#NAME?</v>
      </c>
      <c r="F1015" s="28" t="e">
        <f ca="1">[1]!BexGetData("DP_1","003N8EMH8GTFRCSWKMPXRRRFI","GSON1112060901")</f>
        <v>#NAME?</v>
      </c>
      <c r="G1015" s="23" t="e">
        <f ca="1">[1]!BexGetData("DP_1","003N8EMH8GTFRCSWKMPXRRXR2","GSON1112060901")</f>
        <v>#NAME?</v>
      </c>
      <c r="H1015" s="23" t="e">
        <f ca="1">[1]!BexGetData("DP_1","003N8EMH8GTFRCSWKMPXRS42M","GSON1112060901")</f>
        <v>#NAME?</v>
      </c>
      <c r="I1015" s="28" t="e">
        <f ca="1">[1]!BexGetData("DP_1","003N8EMH8GTFRCSWKMPXRSAE6","GSON1112060901")</f>
        <v>#NAME?</v>
      </c>
      <c r="J1015" s="24" t="e">
        <f ca="1">[1]!BexGetData("DP_1","003N8EMH8GTFRCSWKMPXRSGPQ","GSON1112060901")</f>
        <v>#NAME?</v>
      </c>
      <c r="K1015" s="28" t="e">
        <f ca="1">[1]!BexGetData("DP_1","003N8EMH8GTFRIVNUPY288VJH","GSON1112060901")</f>
        <v>#NAME?</v>
      </c>
      <c r="L1015" s="28" t="e">
        <f ca="1">[1]!BexGetData("DP_1","003N8EMH8GTFRIVNUPY2891V1","GSON1112060901")</f>
        <v>#NAME?</v>
      </c>
      <c r="M1015" s="28" t="e">
        <f ca="1">[1]!BexGetData("DP_1","003N8EMH8GTFRIVOG7KG9IQXA","GSON1112060901")</f>
        <v>#NAME?</v>
      </c>
      <c r="N1015" s="28" t="e">
        <f ca="1">[1]!BexGetData("DP_1","003N8EMH8GTFRIVOG7KG9IX8U","GSON1112060901")</f>
        <v>#NAME?</v>
      </c>
      <c r="O1015" s="28" t="e">
        <f ca="1">[1]!BexGetData("DP_1","003N8EMH8GTFRIVOG7KG9J3KE","GSON1112060901")</f>
        <v>#NAME?</v>
      </c>
      <c r="P1015" s="28" t="e">
        <f ca="1">[1]!BexGetData("DP_1","003N8EMH8GTFRIVOG7KG9J9VY","GSON1112060901")</f>
        <v>#NAME?</v>
      </c>
      <c r="Q1015" s="24" t="e">
        <f ca="1">[1]!BexGetData("DP_1","00O2TNJGODT0G5Z4TTKYMM5MT","GSON1112060901")</f>
        <v>#NAME?</v>
      </c>
      <c r="R1015" s="28" t="e">
        <f ca="1">[1]!BexGetData("DP_1","00O2TNJGODT0G5Z4TTKYMMBYD","GSON1112060901")</f>
        <v>#NAME?</v>
      </c>
      <c r="S1015" s="28" t="e">
        <f ca="1">[1]!BexGetData("DP_1","00O2TNJGODT0G5Z4TTKYMMI9X","GSON1112060901")</f>
        <v>#NAME?</v>
      </c>
      <c r="T1015" s="28" t="e">
        <f ca="1">[1]!BexGetData("DP_1","00O2TNJGODT0G5Z4TTKYMMOLH","GSON1112060901")</f>
        <v>#NAME?</v>
      </c>
      <c r="U1015" s="28" t="e">
        <f ca="1">[1]!BexGetData("DP_1","00O2TNJGODT0G5Z4TTKYMMUX1","GSON1112060901")</f>
        <v>#NAME?</v>
      </c>
      <c r="V1015" s="28" t="e">
        <f ca="1">[1]!BexGetData("DP_1","00O2TNJGODT0G5Z4TTKYMN18L","GSON1112060901")</f>
        <v>#NAME?</v>
      </c>
      <c r="W1015" s="28" t="e">
        <f ca="1">[1]!BexGetData("DP_1","00O2TNJGODT0G5Z4TTKYMN7K5","GSON1112060901")</f>
        <v>#NAME?</v>
      </c>
    </row>
    <row r="1016" spans="1:23" x14ac:dyDescent="0.2">
      <c r="A1016" s="36" t="s">
        <v>3386</v>
      </c>
      <c r="B1016" s="27" t="s">
        <v>3387</v>
      </c>
      <c r="C1016" s="23" t="e">
        <f ca="1">[1]!BexGetData("DP_1","003N8EMH8GTFRCSWKMPXRR8GU","GSON1112060903")</f>
        <v>#NAME?</v>
      </c>
      <c r="D1016" s="23" t="e">
        <f ca="1">[1]!BexGetData("DP_1","003N8EMH8GTFRCSWKMPXRRESE","GSON1112060903")</f>
        <v>#NAME?</v>
      </c>
      <c r="E1016" s="28" t="e">
        <f ca="1">[1]!BexGetData("DP_1","003N8EMH8GTFRCSWKMPXRRL3Y","GSON1112060903")</f>
        <v>#NAME?</v>
      </c>
      <c r="F1016" s="28" t="e">
        <f ca="1">[1]!BexGetData("DP_1","003N8EMH8GTFRCSWKMPXRRRFI","GSON1112060903")</f>
        <v>#NAME?</v>
      </c>
      <c r="G1016" s="23" t="e">
        <f ca="1">[1]!BexGetData("DP_1","003N8EMH8GTFRCSWKMPXRRXR2","GSON1112060903")</f>
        <v>#NAME?</v>
      </c>
      <c r="H1016" s="23" t="e">
        <f ca="1">[1]!BexGetData("DP_1","003N8EMH8GTFRCSWKMPXRS42M","GSON1112060903")</f>
        <v>#NAME?</v>
      </c>
      <c r="I1016" s="28" t="e">
        <f ca="1">[1]!BexGetData("DP_1","003N8EMH8GTFRCSWKMPXRSAE6","GSON1112060903")</f>
        <v>#NAME?</v>
      </c>
      <c r="J1016" s="24" t="e">
        <f ca="1">[1]!BexGetData("DP_1","003N8EMH8GTFRCSWKMPXRSGPQ","GSON1112060903")</f>
        <v>#NAME?</v>
      </c>
      <c r="K1016" s="28" t="e">
        <f ca="1">[1]!BexGetData("DP_1","003N8EMH8GTFRIVNUPY288VJH","GSON1112060903")</f>
        <v>#NAME?</v>
      </c>
      <c r="L1016" s="28" t="e">
        <f ca="1">[1]!BexGetData("DP_1","003N8EMH8GTFRIVNUPY2891V1","GSON1112060903")</f>
        <v>#NAME?</v>
      </c>
      <c r="M1016" s="28" t="e">
        <f ca="1">[1]!BexGetData("DP_1","003N8EMH8GTFRIVOG7KG9IQXA","GSON1112060903")</f>
        <v>#NAME?</v>
      </c>
      <c r="N1016" s="28" t="e">
        <f ca="1">[1]!BexGetData("DP_1","003N8EMH8GTFRIVOG7KG9IX8U","GSON1112060903")</f>
        <v>#NAME?</v>
      </c>
      <c r="O1016" s="28" t="e">
        <f ca="1">[1]!BexGetData("DP_1","003N8EMH8GTFRIVOG7KG9J3KE","GSON1112060903")</f>
        <v>#NAME?</v>
      </c>
      <c r="P1016" s="28" t="e">
        <f ca="1">[1]!BexGetData("DP_1","003N8EMH8GTFRIVOG7KG9J9VY","GSON1112060903")</f>
        <v>#NAME?</v>
      </c>
      <c r="Q1016" s="24" t="e">
        <f ca="1">[1]!BexGetData("DP_1","00O2TNJGODT0G5Z4TTKYMM5MT","GSON1112060903")</f>
        <v>#NAME?</v>
      </c>
      <c r="R1016" s="28" t="e">
        <f ca="1">[1]!BexGetData("DP_1","00O2TNJGODT0G5Z4TTKYMMBYD","GSON1112060903")</f>
        <v>#NAME?</v>
      </c>
      <c r="S1016" s="28" t="e">
        <f ca="1">[1]!BexGetData("DP_1","00O2TNJGODT0G5Z4TTKYMMI9X","GSON1112060903")</f>
        <v>#NAME?</v>
      </c>
      <c r="T1016" s="28" t="e">
        <f ca="1">[1]!BexGetData("DP_1","00O2TNJGODT0G5Z4TTKYMMOLH","GSON1112060903")</f>
        <v>#NAME?</v>
      </c>
      <c r="U1016" s="28" t="e">
        <f ca="1">[1]!BexGetData("DP_1","00O2TNJGODT0G5Z4TTKYMMUX1","GSON1112060903")</f>
        <v>#NAME?</v>
      </c>
      <c r="V1016" s="28" t="e">
        <f ca="1">[1]!BexGetData("DP_1","00O2TNJGODT0G5Z4TTKYMN18L","GSON1112060903")</f>
        <v>#NAME?</v>
      </c>
      <c r="W1016" s="28" t="e">
        <f ca="1">[1]!BexGetData("DP_1","00O2TNJGODT0G5Z4TTKYMN7K5","GSON1112060903")</f>
        <v>#NAME?</v>
      </c>
    </row>
    <row r="1017" spans="1:23" x14ac:dyDescent="0.2">
      <c r="A1017" s="36" t="s">
        <v>3388</v>
      </c>
      <c r="B1017" s="27" t="s">
        <v>3389</v>
      </c>
      <c r="C1017" s="23" t="e">
        <f ca="1">[1]!BexGetData("DP_1","003N8EMH8GTFRCSWKMPXRR8GU","GSON1112060904")</f>
        <v>#NAME?</v>
      </c>
      <c r="D1017" s="23" t="e">
        <f ca="1">[1]!BexGetData("DP_1","003N8EMH8GTFRCSWKMPXRRESE","GSON1112060904")</f>
        <v>#NAME?</v>
      </c>
      <c r="E1017" s="28" t="e">
        <f ca="1">[1]!BexGetData("DP_1","003N8EMH8GTFRCSWKMPXRRL3Y","GSON1112060904")</f>
        <v>#NAME?</v>
      </c>
      <c r="F1017" s="28" t="e">
        <f ca="1">[1]!BexGetData("DP_1","003N8EMH8GTFRCSWKMPXRRRFI","GSON1112060904")</f>
        <v>#NAME?</v>
      </c>
      <c r="G1017" s="23" t="e">
        <f ca="1">[1]!BexGetData("DP_1","003N8EMH8GTFRCSWKMPXRRXR2","GSON1112060904")</f>
        <v>#NAME?</v>
      </c>
      <c r="H1017" s="23" t="e">
        <f ca="1">[1]!BexGetData("DP_1","003N8EMH8GTFRCSWKMPXRS42M","GSON1112060904")</f>
        <v>#NAME?</v>
      </c>
      <c r="I1017" s="28" t="e">
        <f ca="1">[1]!BexGetData("DP_1","003N8EMH8GTFRCSWKMPXRSAE6","GSON1112060904")</f>
        <v>#NAME?</v>
      </c>
      <c r="J1017" s="24" t="e">
        <f ca="1">[1]!BexGetData("DP_1","003N8EMH8GTFRCSWKMPXRSGPQ","GSON1112060904")</f>
        <v>#NAME?</v>
      </c>
      <c r="K1017" s="28" t="e">
        <f ca="1">[1]!BexGetData("DP_1","003N8EMH8GTFRIVNUPY288VJH","GSON1112060904")</f>
        <v>#NAME?</v>
      </c>
      <c r="L1017" s="28" t="e">
        <f ca="1">[1]!BexGetData("DP_1","003N8EMH8GTFRIVNUPY2891V1","GSON1112060904")</f>
        <v>#NAME?</v>
      </c>
      <c r="M1017" s="28" t="e">
        <f ca="1">[1]!BexGetData("DP_1","003N8EMH8GTFRIVOG7KG9IQXA","GSON1112060904")</f>
        <v>#NAME?</v>
      </c>
      <c r="N1017" s="28" t="e">
        <f ca="1">[1]!BexGetData("DP_1","003N8EMH8GTFRIVOG7KG9IX8U","GSON1112060904")</f>
        <v>#NAME?</v>
      </c>
      <c r="O1017" s="28" t="e">
        <f ca="1">[1]!BexGetData("DP_1","003N8EMH8GTFRIVOG7KG9J3KE","GSON1112060904")</f>
        <v>#NAME?</v>
      </c>
      <c r="P1017" s="28" t="e">
        <f ca="1">[1]!BexGetData("DP_1","003N8EMH8GTFRIVOG7KG9J9VY","GSON1112060904")</f>
        <v>#NAME?</v>
      </c>
      <c r="Q1017" s="24" t="e">
        <f ca="1">[1]!BexGetData("DP_1","00O2TNJGODT0G5Z4TTKYMM5MT","GSON1112060904")</f>
        <v>#NAME?</v>
      </c>
      <c r="R1017" s="28" t="e">
        <f ca="1">[1]!BexGetData("DP_1","00O2TNJGODT0G5Z4TTKYMMBYD","GSON1112060904")</f>
        <v>#NAME?</v>
      </c>
      <c r="S1017" s="28" t="e">
        <f ca="1">[1]!BexGetData("DP_1","00O2TNJGODT0G5Z4TTKYMMI9X","GSON1112060904")</f>
        <v>#NAME?</v>
      </c>
      <c r="T1017" s="28" t="e">
        <f ca="1">[1]!BexGetData("DP_1","00O2TNJGODT0G5Z4TTKYMMOLH","GSON1112060904")</f>
        <v>#NAME?</v>
      </c>
      <c r="U1017" s="28" t="e">
        <f ca="1">[1]!BexGetData("DP_1","00O2TNJGODT0G5Z4TTKYMMUX1","GSON1112060904")</f>
        <v>#NAME?</v>
      </c>
      <c r="V1017" s="28" t="e">
        <f ca="1">[1]!BexGetData("DP_1","00O2TNJGODT0G5Z4TTKYMN18L","GSON1112060904")</f>
        <v>#NAME?</v>
      </c>
      <c r="W1017" s="28" t="e">
        <f ca="1">[1]!BexGetData("DP_1","00O2TNJGODT0G5Z4TTKYMN7K5","GSON1112060904")</f>
        <v>#NAME?</v>
      </c>
    </row>
    <row r="1018" spans="1:23" x14ac:dyDescent="0.2">
      <c r="A1018" s="36" t="s">
        <v>3390</v>
      </c>
      <c r="B1018" s="27" t="s">
        <v>3391</v>
      </c>
      <c r="C1018" s="23" t="e">
        <f ca="1">[1]!BexGetData("DP_1","003N8EMH8GTFRCSWKMPXRR8GU","GSON1112060905")</f>
        <v>#NAME?</v>
      </c>
      <c r="D1018" s="23" t="e">
        <f ca="1">[1]!BexGetData("DP_1","003N8EMH8GTFRCSWKMPXRRESE","GSON1112060905")</f>
        <v>#NAME?</v>
      </c>
      <c r="E1018" s="28" t="e">
        <f ca="1">[1]!BexGetData("DP_1","003N8EMH8GTFRCSWKMPXRRL3Y","GSON1112060905")</f>
        <v>#NAME?</v>
      </c>
      <c r="F1018" s="28" t="e">
        <f ca="1">[1]!BexGetData("DP_1","003N8EMH8GTFRCSWKMPXRRRFI","GSON1112060905")</f>
        <v>#NAME?</v>
      </c>
      <c r="G1018" s="23" t="e">
        <f ca="1">[1]!BexGetData("DP_1","003N8EMH8GTFRCSWKMPXRRXR2","GSON1112060905")</f>
        <v>#NAME?</v>
      </c>
      <c r="H1018" s="23" t="e">
        <f ca="1">[1]!BexGetData("DP_1","003N8EMH8GTFRCSWKMPXRS42M","GSON1112060905")</f>
        <v>#NAME?</v>
      </c>
      <c r="I1018" s="28" t="e">
        <f ca="1">[1]!BexGetData("DP_1","003N8EMH8GTFRCSWKMPXRSAE6","GSON1112060905")</f>
        <v>#NAME?</v>
      </c>
      <c r="J1018" s="24" t="e">
        <f ca="1">[1]!BexGetData("DP_1","003N8EMH8GTFRCSWKMPXRSGPQ","GSON1112060905")</f>
        <v>#NAME?</v>
      </c>
      <c r="K1018" s="28" t="e">
        <f ca="1">[1]!BexGetData("DP_1","003N8EMH8GTFRIVNUPY288VJH","GSON1112060905")</f>
        <v>#NAME?</v>
      </c>
      <c r="L1018" s="28" t="e">
        <f ca="1">[1]!BexGetData("DP_1","003N8EMH8GTFRIVNUPY2891V1","GSON1112060905")</f>
        <v>#NAME?</v>
      </c>
      <c r="M1018" s="28" t="e">
        <f ca="1">[1]!BexGetData("DP_1","003N8EMH8GTFRIVOG7KG9IQXA","GSON1112060905")</f>
        <v>#NAME?</v>
      </c>
      <c r="N1018" s="28" t="e">
        <f ca="1">[1]!BexGetData("DP_1","003N8EMH8GTFRIVOG7KG9IX8U","GSON1112060905")</f>
        <v>#NAME?</v>
      </c>
      <c r="O1018" s="28" t="e">
        <f ca="1">[1]!BexGetData("DP_1","003N8EMH8GTFRIVOG7KG9J3KE","GSON1112060905")</f>
        <v>#NAME?</v>
      </c>
      <c r="P1018" s="28" t="e">
        <f ca="1">[1]!BexGetData("DP_1","003N8EMH8GTFRIVOG7KG9J9VY","GSON1112060905")</f>
        <v>#NAME?</v>
      </c>
      <c r="Q1018" s="24" t="e">
        <f ca="1">[1]!BexGetData("DP_1","00O2TNJGODT0G5Z4TTKYMM5MT","GSON1112060905")</f>
        <v>#NAME?</v>
      </c>
      <c r="R1018" s="28" t="e">
        <f ca="1">[1]!BexGetData("DP_1","00O2TNJGODT0G5Z4TTKYMMBYD","GSON1112060905")</f>
        <v>#NAME?</v>
      </c>
      <c r="S1018" s="28" t="e">
        <f ca="1">[1]!BexGetData("DP_1","00O2TNJGODT0G5Z4TTKYMMI9X","GSON1112060905")</f>
        <v>#NAME?</v>
      </c>
      <c r="T1018" s="28" t="e">
        <f ca="1">[1]!BexGetData("DP_1","00O2TNJGODT0G5Z4TTKYMMOLH","GSON1112060905")</f>
        <v>#NAME?</v>
      </c>
      <c r="U1018" s="28" t="e">
        <f ca="1">[1]!BexGetData("DP_1","00O2TNJGODT0G5Z4TTKYMMUX1","GSON1112060905")</f>
        <v>#NAME?</v>
      </c>
      <c r="V1018" s="28" t="e">
        <f ca="1">[1]!BexGetData("DP_1","00O2TNJGODT0G5Z4TTKYMN18L","GSON1112060905")</f>
        <v>#NAME?</v>
      </c>
      <c r="W1018" s="28" t="e">
        <f ca="1">[1]!BexGetData("DP_1","00O2TNJGODT0G5Z4TTKYMN7K5","GSON1112060905")</f>
        <v>#NAME?</v>
      </c>
    </row>
    <row r="1019" spans="1:23" x14ac:dyDescent="0.2">
      <c r="A1019" s="36" t="s">
        <v>3392</v>
      </c>
      <c r="B1019" s="27" t="s">
        <v>3393</v>
      </c>
      <c r="C1019" s="23" t="e">
        <f ca="1">[1]!BexGetData("DP_1","003N8EMH8GTFRCSWKMPXRR8GU","GSON1112060910")</f>
        <v>#NAME?</v>
      </c>
      <c r="D1019" s="23" t="e">
        <f ca="1">[1]!BexGetData("DP_1","003N8EMH8GTFRCSWKMPXRRESE","GSON1112060910")</f>
        <v>#NAME?</v>
      </c>
      <c r="E1019" s="28" t="e">
        <f ca="1">[1]!BexGetData("DP_1","003N8EMH8GTFRCSWKMPXRRL3Y","GSON1112060910")</f>
        <v>#NAME?</v>
      </c>
      <c r="F1019" s="23" t="e">
        <f ca="1">[1]!BexGetData("DP_1","003N8EMH8GTFRCSWKMPXRRRFI","GSON1112060910")</f>
        <v>#NAME?</v>
      </c>
      <c r="G1019" s="23" t="e">
        <f ca="1">[1]!BexGetData("DP_1","003N8EMH8GTFRCSWKMPXRRXR2","GSON1112060910")</f>
        <v>#NAME?</v>
      </c>
      <c r="H1019" s="23" t="e">
        <f ca="1">[1]!BexGetData("DP_1","003N8EMH8GTFRCSWKMPXRS42M","GSON1112060910")</f>
        <v>#NAME?</v>
      </c>
      <c r="I1019" s="23" t="e">
        <f ca="1">[1]!BexGetData("DP_1","003N8EMH8GTFRCSWKMPXRSAE6","GSON1112060910")</f>
        <v>#NAME?</v>
      </c>
      <c r="J1019" s="24" t="e">
        <f ca="1">[1]!BexGetData("DP_1","003N8EMH8GTFRCSWKMPXRSGPQ","GSON1112060910")</f>
        <v>#NAME?</v>
      </c>
      <c r="K1019" s="23" t="e">
        <f ca="1">[1]!BexGetData("DP_1","003N8EMH8GTFRIVNUPY288VJH","GSON1112060910")</f>
        <v>#NAME?</v>
      </c>
      <c r="L1019" s="23" t="e">
        <f ca="1">[1]!BexGetData("DP_1","003N8EMH8GTFRIVNUPY2891V1","GSON1112060910")</f>
        <v>#NAME?</v>
      </c>
      <c r="M1019" s="23" t="e">
        <f ca="1">[1]!BexGetData("DP_1","003N8EMH8GTFRIVOG7KG9IQXA","GSON1112060910")</f>
        <v>#NAME?</v>
      </c>
      <c r="N1019" s="28" t="e">
        <f ca="1">[1]!BexGetData("DP_1","003N8EMH8GTFRIVOG7KG9IX8U","GSON1112060910")</f>
        <v>#NAME?</v>
      </c>
      <c r="O1019" s="23" t="e">
        <f ca="1">[1]!BexGetData("DP_1","003N8EMH8GTFRIVOG7KG9J3KE","GSON1112060910")</f>
        <v>#NAME?</v>
      </c>
      <c r="P1019" s="28" t="e">
        <f ca="1">[1]!BexGetData("DP_1","003N8EMH8GTFRIVOG7KG9J9VY","GSON1112060910")</f>
        <v>#NAME?</v>
      </c>
      <c r="Q1019" s="24" t="e">
        <f ca="1">[1]!BexGetData("DP_1","00O2TNJGODT0G5Z4TTKYMM5MT","GSON1112060910")</f>
        <v>#NAME?</v>
      </c>
      <c r="R1019" s="23" t="e">
        <f ca="1">[1]!BexGetData("DP_1","00O2TNJGODT0G5Z4TTKYMMBYD","GSON1112060910")</f>
        <v>#NAME?</v>
      </c>
      <c r="S1019" s="23" t="e">
        <f ca="1">[1]!BexGetData("DP_1","00O2TNJGODT0G5Z4TTKYMMI9X","GSON1112060910")</f>
        <v>#NAME?</v>
      </c>
      <c r="T1019" s="28" t="e">
        <f ca="1">[1]!BexGetData("DP_1","00O2TNJGODT0G5Z4TTKYMMOLH","GSON1112060910")</f>
        <v>#NAME?</v>
      </c>
      <c r="U1019" s="23" t="e">
        <f ca="1">[1]!BexGetData("DP_1","00O2TNJGODT0G5Z4TTKYMMUX1","GSON1112060910")</f>
        <v>#NAME?</v>
      </c>
      <c r="V1019" s="28" t="e">
        <f ca="1">[1]!BexGetData("DP_1","00O2TNJGODT0G5Z4TTKYMN18L","GSON1112060910")</f>
        <v>#NAME?</v>
      </c>
      <c r="W1019" s="23" t="e">
        <f ca="1">[1]!BexGetData("DP_1","00O2TNJGODT0G5Z4TTKYMN7K5","GSON1112060910")</f>
        <v>#NAME?</v>
      </c>
    </row>
    <row r="1020" spans="1:23" x14ac:dyDescent="0.2">
      <c r="A1020" s="36" t="s">
        <v>3394</v>
      </c>
      <c r="B1020" s="27" t="s">
        <v>3395</v>
      </c>
      <c r="C1020" s="28" t="e">
        <f ca="1">[1]!BexGetData("DP_1","003N8EMH8GTFRCSWKMPXRR8GU","GSON1112060911")</f>
        <v>#NAME?</v>
      </c>
      <c r="D1020" s="28" t="e">
        <f ca="1">[1]!BexGetData("DP_1","003N8EMH8GTFRCSWKMPXRRESE","GSON1112060911")</f>
        <v>#NAME?</v>
      </c>
      <c r="E1020" s="28" t="e">
        <f ca="1">[1]!BexGetData("DP_1","003N8EMH8GTFRCSWKMPXRRL3Y","GSON1112060911")</f>
        <v>#NAME?</v>
      </c>
      <c r="F1020" s="28" t="e">
        <f ca="1">[1]!BexGetData("DP_1","003N8EMH8GTFRCSWKMPXRRRFI","GSON1112060911")</f>
        <v>#NAME?</v>
      </c>
      <c r="G1020" s="23" t="e">
        <f ca="1">[1]!BexGetData("DP_1","003N8EMH8GTFRCSWKMPXRRXR2","GSON1112060911")</f>
        <v>#NAME?</v>
      </c>
      <c r="H1020" s="23" t="e">
        <f ca="1">[1]!BexGetData("DP_1","003N8EMH8GTFRCSWKMPXRS42M","GSON1112060911")</f>
        <v>#NAME?</v>
      </c>
      <c r="I1020" s="28" t="e">
        <f ca="1">[1]!BexGetData("DP_1","003N8EMH8GTFRCSWKMPXRSAE6","GSON1112060911")</f>
        <v>#NAME?</v>
      </c>
      <c r="J1020" s="24" t="e">
        <f ca="1">[1]!BexGetData("DP_1","003N8EMH8GTFRCSWKMPXRSGPQ","GSON1112060911")</f>
        <v>#NAME?</v>
      </c>
      <c r="K1020" s="28" t="e">
        <f ca="1">[1]!BexGetData("DP_1","003N8EMH8GTFRIVNUPY288VJH","GSON1112060911")</f>
        <v>#NAME?</v>
      </c>
      <c r="L1020" s="28" t="e">
        <f ca="1">[1]!BexGetData("DP_1","003N8EMH8GTFRIVNUPY2891V1","GSON1112060911")</f>
        <v>#NAME?</v>
      </c>
      <c r="M1020" s="28" t="e">
        <f ca="1">[1]!BexGetData("DP_1","003N8EMH8GTFRIVOG7KG9IQXA","GSON1112060911")</f>
        <v>#NAME?</v>
      </c>
      <c r="N1020" s="28" t="e">
        <f ca="1">[1]!BexGetData("DP_1","003N8EMH8GTFRIVOG7KG9IX8U","GSON1112060911")</f>
        <v>#NAME?</v>
      </c>
      <c r="O1020" s="28" t="e">
        <f ca="1">[1]!BexGetData("DP_1","003N8EMH8GTFRIVOG7KG9J3KE","GSON1112060911")</f>
        <v>#NAME?</v>
      </c>
      <c r="P1020" s="28" t="e">
        <f ca="1">[1]!BexGetData("DP_1","003N8EMH8GTFRIVOG7KG9J9VY","GSON1112060911")</f>
        <v>#NAME?</v>
      </c>
      <c r="Q1020" s="24" t="e">
        <f ca="1">[1]!BexGetData("DP_1","00O2TNJGODT0G5Z4TTKYMM5MT","GSON1112060911")</f>
        <v>#NAME?</v>
      </c>
      <c r="R1020" s="28" t="e">
        <f ca="1">[1]!BexGetData("DP_1","00O2TNJGODT0G5Z4TTKYMMBYD","GSON1112060911")</f>
        <v>#NAME?</v>
      </c>
      <c r="S1020" s="28" t="e">
        <f ca="1">[1]!BexGetData("DP_1","00O2TNJGODT0G5Z4TTKYMMI9X","GSON1112060911")</f>
        <v>#NAME?</v>
      </c>
      <c r="T1020" s="28" t="e">
        <f ca="1">[1]!BexGetData("DP_1","00O2TNJGODT0G5Z4TTKYMMOLH","GSON1112060911")</f>
        <v>#NAME?</v>
      </c>
      <c r="U1020" s="28" t="e">
        <f ca="1">[1]!BexGetData("DP_1","00O2TNJGODT0G5Z4TTKYMMUX1","GSON1112060911")</f>
        <v>#NAME?</v>
      </c>
      <c r="V1020" s="28" t="e">
        <f ca="1">[1]!BexGetData("DP_1","00O2TNJGODT0G5Z4TTKYMN18L","GSON1112060911")</f>
        <v>#NAME?</v>
      </c>
      <c r="W1020" s="28" t="e">
        <f ca="1">[1]!BexGetData("DP_1","00O2TNJGODT0G5Z4TTKYMN7K5","GSON1112060911")</f>
        <v>#NAME?</v>
      </c>
    </row>
    <row r="1021" spans="1:23" x14ac:dyDescent="0.2">
      <c r="A1021" s="36" t="s">
        <v>3396</v>
      </c>
      <c r="B1021" s="27" t="s">
        <v>3397</v>
      </c>
      <c r="C1021" s="23" t="e">
        <f ca="1">[1]!BexGetData("DP_1","003N8EMH8GTFRCSWKMPXRR8GU","GSON1112060912")</f>
        <v>#NAME?</v>
      </c>
      <c r="D1021" s="23" t="e">
        <f ca="1">[1]!BexGetData("DP_1","003N8EMH8GTFRCSWKMPXRRESE","GSON1112060912")</f>
        <v>#NAME?</v>
      </c>
      <c r="E1021" s="28" t="e">
        <f ca="1">[1]!BexGetData("DP_1","003N8EMH8GTFRCSWKMPXRRL3Y","GSON1112060912")</f>
        <v>#NAME?</v>
      </c>
      <c r="F1021" s="23" t="e">
        <f ca="1">[1]!BexGetData("DP_1","003N8EMH8GTFRCSWKMPXRRRFI","GSON1112060912")</f>
        <v>#NAME?</v>
      </c>
      <c r="G1021" s="28" t="e">
        <f ca="1">[1]!BexGetData("DP_1","003N8EMH8GTFRCSWKMPXRRXR2","GSON1112060912")</f>
        <v>#NAME?</v>
      </c>
      <c r="H1021" s="23" t="e">
        <f ca="1">[1]!BexGetData("DP_1","003N8EMH8GTFRCSWKMPXRS42M","GSON1112060912")</f>
        <v>#NAME?</v>
      </c>
      <c r="I1021" s="23" t="e">
        <f ca="1">[1]!BexGetData("DP_1","003N8EMH8GTFRCSWKMPXRSAE6","GSON1112060912")</f>
        <v>#NAME?</v>
      </c>
      <c r="J1021" s="24" t="e">
        <f ca="1">[1]!BexGetData("DP_1","003N8EMH8GTFRCSWKMPXRSGPQ","GSON1112060912")</f>
        <v>#NAME?</v>
      </c>
      <c r="K1021" s="23" t="e">
        <f ca="1">[1]!BexGetData("DP_1","003N8EMH8GTFRIVNUPY288VJH","GSON1112060912")</f>
        <v>#NAME?</v>
      </c>
      <c r="L1021" s="23" t="e">
        <f ca="1">[1]!BexGetData("DP_1","003N8EMH8GTFRIVNUPY2891V1","GSON1112060912")</f>
        <v>#NAME?</v>
      </c>
      <c r="M1021" s="28" t="e">
        <f ca="1">[1]!BexGetData("DP_1","003N8EMH8GTFRIVOG7KG9IQXA","GSON1112060912")</f>
        <v>#NAME?</v>
      </c>
      <c r="N1021" s="23" t="e">
        <f ca="1">[1]!BexGetData("DP_1","003N8EMH8GTFRIVOG7KG9IX8U","GSON1112060912")</f>
        <v>#NAME?</v>
      </c>
      <c r="O1021" s="28" t="e">
        <f ca="1">[1]!BexGetData("DP_1","003N8EMH8GTFRIVOG7KG9J3KE","GSON1112060912")</f>
        <v>#NAME?</v>
      </c>
      <c r="P1021" s="23" t="e">
        <f ca="1">[1]!BexGetData("DP_1","003N8EMH8GTFRIVOG7KG9J9VY","GSON1112060912")</f>
        <v>#NAME?</v>
      </c>
      <c r="Q1021" s="24" t="e">
        <f ca="1">[1]!BexGetData("DP_1","00O2TNJGODT0G5Z4TTKYMM5MT","GSON1112060912")</f>
        <v>#NAME?</v>
      </c>
      <c r="R1021" s="23" t="e">
        <f ca="1">[1]!BexGetData("DP_1","00O2TNJGODT0G5Z4TTKYMMBYD","GSON1112060912")</f>
        <v>#NAME?</v>
      </c>
      <c r="S1021" s="23" t="e">
        <f ca="1">[1]!BexGetData("DP_1","00O2TNJGODT0G5Z4TTKYMMI9X","GSON1112060912")</f>
        <v>#NAME?</v>
      </c>
      <c r="T1021" s="23" t="e">
        <f ca="1">[1]!BexGetData("DP_1","00O2TNJGODT0G5Z4TTKYMMOLH","GSON1112060912")</f>
        <v>#NAME?</v>
      </c>
      <c r="U1021" s="28" t="e">
        <f ca="1">[1]!BexGetData("DP_1","00O2TNJGODT0G5Z4TTKYMMUX1","GSON1112060912")</f>
        <v>#NAME?</v>
      </c>
      <c r="V1021" s="23" t="e">
        <f ca="1">[1]!BexGetData("DP_1","00O2TNJGODT0G5Z4TTKYMN18L","GSON1112060912")</f>
        <v>#NAME?</v>
      </c>
      <c r="W1021" s="28" t="e">
        <f ca="1">[1]!BexGetData("DP_1","00O2TNJGODT0G5Z4TTKYMN7K5","GSON1112060912")</f>
        <v>#NAME?</v>
      </c>
    </row>
    <row r="1022" spans="1:23" x14ac:dyDescent="0.2">
      <c r="A1022" s="36" t="s">
        <v>3398</v>
      </c>
      <c r="B1022" s="27" t="s">
        <v>3399</v>
      </c>
      <c r="C1022" s="23" t="e">
        <f ca="1">[1]!BexGetData("DP_1","003N8EMH8GTFRCSWKMPXRR8GU","GSON1112060913")</f>
        <v>#NAME?</v>
      </c>
      <c r="D1022" s="23" t="e">
        <f ca="1">[1]!BexGetData("DP_1","003N8EMH8GTFRCSWKMPXRRESE","GSON1112060913")</f>
        <v>#NAME?</v>
      </c>
      <c r="E1022" s="28" t="e">
        <f ca="1">[1]!BexGetData("DP_1","003N8EMH8GTFRCSWKMPXRRL3Y","GSON1112060913")</f>
        <v>#NAME?</v>
      </c>
      <c r="F1022" s="28" t="e">
        <f ca="1">[1]!BexGetData("DP_1","003N8EMH8GTFRCSWKMPXRRRFI","GSON1112060913")</f>
        <v>#NAME?</v>
      </c>
      <c r="G1022" s="23" t="e">
        <f ca="1">[1]!BexGetData("DP_1","003N8EMH8GTFRCSWKMPXRRXR2","GSON1112060913")</f>
        <v>#NAME?</v>
      </c>
      <c r="H1022" s="23" t="e">
        <f ca="1">[1]!BexGetData("DP_1","003N8EMH8GTFRCSWKMPXRS42M","GSON1112060913")</f>
        <v>#NAME?</v>
      </c>
      <c r="I1022" s="28" t="e">
        <f ca="1">[1]!BexGetData("DP_1","003N8EMH8GTFRCSWKMPXRSAE6","GSON1112060913")</f>
        <v>#NAME?</v>
      </c>
      <c r="J1022" s="24" t="e">
        <f ca="1">[1]!BexGetData("DP_1","003N8EMH8GTFRCSWKMPXRSGPQ","GSON1112060913")</f>
        <v>#NAME?</v>
      </c>
      <c r="K1022" s="28" t="e">
        <f ca="1">[1]!BexGetData("DP_1","003N8EMH8GTFRIVNUPY288VJH","GSON1112060913")</f>
        <v>#NAME?</v>
      </c>
      <c r="L1022" s="28" t="e">
        <f ca="1">[1]!BexGetData("DP_1","003N8EMH8GTFRIVNUPY2891V1","GSON1112060913")</f>
        <v>#NAME?</v>
      </c>
      <c r="M1022" s="28" t="e">
        <f ca="1">[1]!BexGetData("DP_1","003N8EMH8GTFRIVOG7KG9IQXA","GSON1112060913")</f>
        <v>#NAME?</v>
      </c>
      <c r="N1022" s="28" t="e">
        <f ca="1">[1]!BexGetData("DP_1","003N8EMH8GTFRIVOG7KG9IX8U","GSON1112060913")</f>
        <v>#NAME?</v>
      </c>
      <c r="O1022" s="28" t="e">
        <f ca="1">[1]!BexGetData("DP_1","003N8EMH8GTFRIVOG7KG9J3KE","GSON1112060913")</f>
        <v>#NAME?</v>
      </c>
      <c r="P1022" s="28" t="e">
        <f ca="1">[1]!BexGetData("DP_1","003N8EMH8GTFRIVOG7KG9J9VY","GSON1112060913")</f>
        <v>#NAME?</v>
      </c>
      <c r="Q1022" s="24" t="e">
        <f ca="1">[1]!BexGetData("DP_1","00O2TNJGODT0G5Z4TTKYMM5MT","GSON1112060913")</f>
        <v>#NAME?</v>
      </c>
      <c r="R1022" s="28" t="e">
        <f ca="1">[1]!BexGetData("DP_1","00O2TNJGODT0G5Z4TTKYMMBYD","GSON1112060913")</f>
        <v>#NAME?</v>
      </c>
      <c r="S1022" s="28" t="e">
        <f ca="1">[1]!BexGetData("DP_1","00O2TNJGODT0G5Z4TTKYMMI9X","GSON1112060913")</f>
        <v>#NAME?</v>
      </c>
      <c r="T1022" s="28" t="e">
        <f ca="1">[1]!BexGetData("DP_1","00O2TNJGODT0G5Z4TTKYMMOLH","GSON1112060913")</f>
        <v>#NAME?</v>
      </c>
      <c r="U1022" s="28" t="e">
        <f ca="1">[1]!BexGetData("DP_1","00O2TNJGODT0G5Z4TTKYMMUX1","GSON1112060913")</f>
        <v>#NAME?</v>
      </c>
      <c r="V1022" s="28" t="e">
        <f ca="1">[1]!BexGetData("DP_1","00O2TNJGODT0G5Z4TTKYMN18L","GSON1112060913")</f>
        <v>#NAME?</v>
      </c>
      <c r="W1022" s="28" t="e">
        <f ca="1">[1]!BexGetData("DP_1","00O2TNJGODT0G5Z4TTKYMN7K5","GSON1112060913")</f>
        <v>#NAME?</v>
      </c>
    </row>
    <row r="1023" spans="1:23" x14ac:dyDescent="0.2">
      <c r="A1023" s="36" t="s">
        <v>3400</v>
      </c>
      <c r="B1023" s="27" t="s">
        <v>3401</v>
      </c>
      <c r="C1023" s="23" t="e">
        <f ca="1">[1]!BexGetData("DP_1","003N8EMH8GTFRCSWKMPXRR8GU","GSON1112060914")</f>
        <v>#NAME?</v>
      </c>
      <c r="D1023" s="23" t="e">
        <f ca="1">[1]!BexGetData("DP_1","003N8EMH8GTFRCSWKMPXRRESE","GSON1112060914")</f>
        <v>#NAME?</v>
      </c>
      <c r="E1023" s="28" t="e">
        <f ca="1">[1]!BexGetData("DP_1","003N8EMH8GTFRCSWKMPXRRL3Y","GSON1112060914")</f>
        <v>#NAME?</v>
      </c>
      <c r="F1023" s="28" t="e">
        <f ca="1">[1]!BexGetData("DP_1","003N8EMH8GTFRCSWKMPXRRRFI","GSON1112060914")</f>
        <v>#NAME?</v>
      </c>
      <c r="G1023" s="23" t="e">
        <f ca="1">[1]!BexGetData("DP_1","003N8EMH8GTFRCSWKMPXRRXR2","GSON1112060914")</f>
        <v>#NAME?</v>
      </c>
      <c r="H1023" s="23" t="e">
        <f ca="1">[1]!BexGetData("DP_1","003N8EMH8GTFRCSWKMPXRS42M","GSON1112060914")</f>
        <v>#NAME?</v>
      </c>
      <c r="I1023" s="28" t="e">
        <f ca="1">[1]!BexGetData("DP_1","003N8EMH8GTFRCSWKMPXRSAE6","GSON1112060914")</f>
        <v>#NAME?</v>
      </c>
      <c r="J1023" s="24" t="e">
        <f ca="1">[1]!BexGetData("DP_1","003N8EMH8GTFRCSWKMPXRSGPQ","GSON1112060914")</f>
        <v>#NAME?</v>
      </c>
      <c r="K1023" s="28" t="e">
        <f ca="1">[1]!BexGetData("DP_1","003N8EMH8GTFRIVNUPY288VJH","GSON1112060914")</f>
        <v>#NAME?</v>
      </c>
      <c r="L1023" s="28" t="e">
        <f ca="1">[1]!BexGetData("DP_1","003N8EMH8GTFRIVNUPY2891V1","GSON1112060914")</f>
        <v>#NAME?</v>
      </c>
      <c r="M1023" s="28" t="e">
        <f ca="1">[1]!BexGetData("DP_1","003N8EMH8GTFRIVOG7KG9IQXA","GSON1112060914")</f>
        <v>#NAME?</v>
      </c>
      <c r="N1023" s="28" t="e">
        <f ca="1">[1]!BexGetData("DP_1","003N8EMH8GTFRIVOG7KG9IX8U","GSON1112060914")</f>
        <v>#NAME?</v>
      </c>
      <c r="O1023" s="28" t="e">
        <f ca="1">[1]!BexGetData("DP_1","003N8EMH8GTFRIVOG7KG9J3KE","GSON1112060914")</f>
        <v>#NAME?</v>
      </c>
      <c r="P1023" s="28" t="e">
        <f ca="1">[1]!BexGetData("DP_1","003N8EMH8GTFRIVOG7KG9J9VY","GSON1112060914")</f>
        <v>#NAME?</v>
      </c>
      <c r="Q1023" s="24" t="e">
        <f ca="1">[1]!BexGetData("DP_1","00O2TNJGODT0G5Z4TTKYMM5MT","GSON1112060914")</f>
        <v>#NAME?</v>
      </c>
      <c r="R1023" s="28" t="e">
        <f ca="1">[1]!BexGetData("DP_1","00O2TNJGODT0G5Z4TTKYMMBYD","GSON1112060914")</f>
        <v>#NAME?</v>
      </c>
      <c r="S1023" s="28" t="e">
        <f ca="1">[1]!BexGetData("DP_1","00O2TNJGODT0G5Z4TTKYMMI9X","GSON1112060914")</f>
        <v>#NAME?</v>
      </c>
      <c r="T1023" s="28" t="e">
        <f ca="1">[1]!BexGetData("DP_1","00O2TNJGODT0G5Z4TTKYMMOLH","GSON1112060914")</f>
        <v>#NAME?</v>
      </c>
      <c r="U1023" s="28" t="e">
        <f ca="1">[1]!BexGetData("DP_1","00O2TNJGODT0G5Z4TTKYMMUX1","GSON1112060914")</f>
        <v>#NAME?</v>
      </c>
      <c r="V1023" s="28" t="e">
        <f ca="1">[1]!BexGetData("DP_1","00O2TNJGODT0G5Z4TTKYMN18L","GSON1112060914")</f>
        <v>#NAME?</v>
      </c>
      <c r="W1023" s="28" t="e">
        <f ca="1">[1]!BexGetData("DP_1","00O2TNJGODT0G5Z4TTKYMN7K5","GSON1112060914")</f>
        <v>#NAME?</v>
      </c>
    </row>
    <row r="1024" spans="1:23" x14ac:dyDescent="0.2">
      <c r="A1024" s="36" t="s">
        <v>3402</v>
      </c>
      <c r="B1024" s="27" t="s">
        <v>3403</v>
      </c>
      <c r="C1024" s="23" t="e">
        <f ca="1">[1]!BexGetData("DP_1","003N8EMH8GTFRCSWKMPXRR8GU","GSON1112060915")</f>
        <v>#NAME?</v>
      </c>
      <c r="D1024" s="23" t="e">
        <f ca="1">[1]!BexGetData("DP_1","003N8EMH8GTFRCSWKMPXRRESE","GSON1112060915")</f>
        <v>#NAME?</v>
      </c>
      <c r="E1024" s="28" t="e">
        <f ca="1">[1]!BexGetData("DP_1","003N8EMH8GTFRCSWKMPXRRL3Y","GSON1112060915")</f>
        <v>#NAME?</v>
      </c>
      <c r="F1024" s="28" t="e">
        <f ca="1">[1]!BexGetData("DP_1","003N8EMH8GTFRCSWKMPXRRRFI","GSON1112060915")</f>
        <v>#NAME?</v>
      </c>
      <c r="G1024" s="23" t="e">
        <f ca="1">[1]!BexGetData("DP_1","003N8EMH8GTFRCSWKMPXRRXR2","GSON1112060915")</f>
        <v>#NAME?</v>
      </c>
      <c r="H1024" s="23" t="e">
        <f ca="1">[1]!BexGetData("DP_1","003N8EMH8GTFRCSWKMPXRS42M","GSON1112060915")</f>
        <v>#NAME?</v>
      </c>
      <c r="I1024" s="28" t="e">
        <f ca="1">[1]!BexGetData("DP_1","003N8EMH8GTFRCSWKMPXRSAE6","GSON1112060915")</f>
        <v>#NAME?</v>
      </c>
      <c r="J1024" s="24" t="e">
        <f ca="1">[1]!BexGetData("DP_1","003N8EMH8GTFRCSWKMPXRSGPQ","GSON1112060915")</f>
        <v>#NAME?</v>
      </c>
      <c r="K1024" s="28" t="e">
        <f ca="1">[1]!BexGetData("DP_1","003N8EMH8GTFRIVNUPY288VJH","GSON1112060915")</f>
        <v>#NAME?</v>
      </c>
      <c r="L1024" s="28" t="e">
        <f ca="1">[1]!BexGetData("DP_1","003N8EMH8GTFRIVNUPY2891V1","GSON1112060915")</f>
        <v>#NAME?</v>
      </c>
      <c r="M1024" s="28" t="e">
        <f ca="1">[1]!BexGetData("DP_1","003N8EMH8GTFRIVOG7KG9IQXA","GSON1112060915")</f>
        <v>#NAME?</v>
      </c>
      <c r="N1024" s="28" t="e">
        <f ca="1">[1]!BexGetData("DP_1","003N8EMH8GTFRIVOG7KG9IX8U","GSON1112060915")</f>
        <v>#NAME?</v>
      </c>
      <c r="O1024" s="28" t="e">
        <f ca="1">[1]!BexGetData("DP_1","003N8EMH8GTFRIVOG7KG9J3KE","GSON1112060915")</f>
        <v>#NAME?</v>
      </c>
      <c r="P1024" s="28" t="e">
        <f ca="1">[1]!BexGetData("DP_1","003N8EMH8GTFRIVOG7KG9J9VY","GSON1112060915")</f>
        <v>#NAME?</v>
      </c>
      <c r="Q1024" s="24" t="e">
        <f ca="1">[1]!BexGetData("DP_1","00O2TNJGODT0G5Z4TTKYMM5MT","GSON1112060915")</f>
        <v>#NAME?</v>
      </c>
      <c r="R1024" s="28" t="e">
        <f ca="1">[1]!BexGetData("DP_1","00O2TNJGODT0G5Z4TTKYMMBYD","GSON1112060915")</f>
        <v>#NAME?</v>
      </c>
      <c r="S1024" s="28" t="e">
        <f ca="1">[1]!BexGetData("DP_1","00O2TNJGODT0G5Z4TTKYMMI9X","GSON1112060915")</f>
        <v>#NAME?</v>
      </c>
      <c r="T1024" s="28" t="e">
        <f ca="1">[1]!BexGetData("DP_1","00O2TNJGODT0G5Z4TTKYMMOLH","GSON1112060915")</f>
        <v>#NAME?</v>
      </c>
      <c r="U1024" s="28" t="e">
        <f ca="1">[1]!BexGetData("DP_1","00O2TNJGODT0G5Z4TTKYMMUX1","GSON1112060915")</f>
        <v>#NAME?</v>
      </c>
      <c r="V1024" s="28" t="e">
        <f ca="1">[1]!BexGetData("DP_1","00O2TNJGODT0G5Z4TTKYMN18L","GSON1112060915")</f>
        <v>#NAME?</v>
      </c>
      <c r="W1024" s="28" t="e">
        <f ca="1">[1]!BexGetData("DP_1","00O2TNJGODT0G5Z4TTKYMN7K5","GSON1112060915")</f>
        <v>#NAME?</v>
      </c>
    </row>
    <row r="1025" spans="1:23" x14ac:dyDescent="0.2">
      <c r="A1025" s="36" t="s">
        <v>3404</v>
      </c>
      <c r="B1025" s="27" t="s">
        <v>3405</v>
      </c>
      <c r="C1025" s="23" t="e">
        <f ca="1">[1]!BexGetData("DP_1","003N8EMH8GTFRCSWKMPXRR8GU","GSON1112060920")</f>
        <v>#NAME?</v>
      </c>
      <c r="D1025" s="23" t="e">
        <f ca="1">[1]!BexGetData("DP_1","003N8EMH8GTFRCSWKMPXRRESE","GSON1112060920")</f>
        <v>#NAME?</v>
      </c>
      <c r="E1025" s="23" t="e">
        <f ca="1">[1]!BexGetData("DP_1","003N8EMH8GTFRCSWKMPXRRL3Y","GSON1112060920")</f>
        <v>#NAME?</v>
      </c>
      <c r="F1025" s="23" t="e">
        <f ca="1">[1]!BexGetData("DP_1","003N8EMH8GTFRCSWKMPXRRRFI","GSON1112060920")</f>
        <v>#NAME?</v>
      </c>
      <c r="G1025" s="23" t="e">
        <f ca="1">[1]!BexGetData("DP_1","003N8EMH8GTFRCSWKMPXRRXR2","GSON1112060920")</f>
        <v>#NAME?</v>
      </c>
      <c r="H1025" s="23" t="e">
        <f ca="1">[1]!BexGetData("DP_1","003N8EMH8GTFRCSWKMPXRS42M","GSON1112060920")</f>
        <v>#NAME?</v>
      </c>
      <c r="I1025" s="23" t="e">
        <f ca="1">[1]!BexGetData("DP_1","003N8EMH8GTFRCSWKMPXRSAE6","GSON1112060920")</f>
        <v>#NAME?</v>
      </c>
      <c r="J1025" s="24" t="e">
        <f ca="1">[1]!BexGetData("DP_1","003N8EMH8GTFRCSWKMPXRSGPQ","GSON1112060920")</f>
        <v>#NAME?</v>
      </c>
      <c r="K1025" s="23" t="e">
        <f ca="1">[1]!BexGetData("DP_1","003N8EMH8GTFRIVNUPY288VJH","GSON1112060920")</f>
        <v>#NAME?</v>
      </c>
      <c r="L1025" s="23" t="e">
        <f ca="1">[1]!BexGetData("DP_1","003N8EMH8GTFRIVNUPY2891V1","GSON1112060920")</f>
        <v>#NAME?</v>
      </c>
      <c r="M1025" s="23" t="e">
        <f ca="1">[1]!BexGetData("DP_1","003N8EMH8GTFRIVOG7KG9IQXA","GSON1112060920")</f>
        <v>#NAME?</v>
      </c>
      <c r="N1025" s="28" t="e">
        <f ca="1">[1]!BexGetData("DP_1","003N8EMH8GTFRIVOG7KG9IX8U","GSON1112060920")</f>
        <v>#NAME?</v>
      </c>
      <c r="O1025" s="23" t="e">
        <f ca="1">[1]!BexGetData("DP_1","003N8EMH8GTFRIVOG7KG9J3KE","GSON1112060920")</f>
        <v>#NAME?</v>
      </c>
      <c r="P1025" s="28" t="e">
        <f ca="1">[1]!BexGetData("DP_1","003N8EMH8GTFRIVOG7KG9J9VY","GSON1112060920")</f>
        <v>#NAME?</v>
      </c>
      <c r="Q1025" s="24" t="e">
        <f ca="1">[1]!BexGetData("DP_1","00O2TNJGODT0G5Z4TTKYMM5MT","GSON1112060920")</f>
        <v>#NAME?</v>
      </c>
      <c r="R1025" s="23" t="e">
        <f ca="1">[1]!BexGetData("DP_1","00O2TNJGODT0G5Z4TTKYMMBYD","GSON1112060920")</f>
        <v>#NAME?</v>
      </c>
      <c r="S1025" s="23" t="e">
        <f ca="1">[1]!BexGetData("DP_1","00O2TNJGODT0G5Z4TTKYMMI9X","GSON1112060920")</f>
        <v>#NAME?</v>
      </c>
      <c r="T1025" s="28" t="e">
        <f ca="1">[1]!BexGetData("DP_1","00O2TNJGODT0G5Z4TTKYMMOLH","GSON1112060920")</f>
        <v>#NAME?</v>
      </c>
      <c r="U1025" s="23" t="e">
        <f ca="1">[1]!BexGetData("DP_1","00O2TNJGODT0G5Z4TTKYMMUX1","GSON1112060920")</f>
        <v>#NAME?</v>
      </c>
      <c r="V1025" s="28" t="e">
        <f ca="1">[1]!BexGetData("DP_1","00O2TNJGODT0G5Z4TTKYMN18L","GSON1112060920")</f>
        <v>#NAME?</v>
      </c>
      <c r="W1025" s="23" t="e">
        <f ca="1">[1]!BexGetData("DP_1","00O2TNJGODT0G5Z4TTKYMN7K5","GSON1112060920")</f>
        <v>#NAME?</v>
      </c>
    </row>
    <row r="1026" spans="1:23" x14ac:dyDescent="0.2">
      <c r="A1026" s="36" t="s">
        <v>3406</v>
      </c>
      <c r="B1026" s="27" t="s">
        <v>3407</v>
      </c>
      <c r="C1026" s="23" t="e">
        <f ca="1">[1]!BexGetData("DP_1","003N8EMH8GTFRCSWKMPXRR8GU","GSON1112060921")</f>
        <v>#NAME?</v>
      </c>
      <c r="D1026" s="23" t="e">
        <f ca="1">[1]!BexGetData("DP_1","003N8EMH8GTFRCSWKMPXRRESE","GSON1112060921")</f>
        <v>#NAME?</v>
      </c>
      <c r="E1026" s="28" t="e">
        <f ca="1">[1]!BexGetData("DP_1","003N8EMH8GTFRCSWKMPXRRL3Y","GSON1112060921")</f>
        <v>#NAME?</v>
      </c>
      <c r="F1026" s="28" t="e">
        <f ca="1">[1]!BexGetData("DP_1","003N8EMH8GTFRCSWKMPXRRRFI","GSON1112060921")</f>
        <v>#NAME?</v>
      </c>
      <c r="G1026" s="23" t="e">
        <f ca="1">[1]!BexGetData("DP_1","003N8EMH8GTFRCSWKMPXRRXR2","GSON1112060921")</f>
        <v>#NAME?</v>
      </c>
      <c r="H1026" s="23" t="e">
        <f ca="1">[1]!BexGetData("DP_1","003N8EMH8GTFRCSWKMPXRS42M","GSON1112060921")</f>
        <v>#NAME?</v>
      </c>
      <c r="I1026" s="28" t="e">
        <f ca="1">[1]!BexGetData("DP_1","003N8EMH8GTFRCSWKMPXRSAE6","GSON1112060921")</f>
        <v>#NAME?</v>
      </c>
      <c r="J1026" s="24" t="e">
        <f ca="1">[1]!BexGetData("DP_1","003N8EMH8GTFRCSWKMPXRSGPQ","GSON1112060921")</f>
        <v>#NAME?</v>
      </c>
      <c r="K1026" s="28" t="e">
        <f ca="1">[1]!BexGetData("DP_1","003N8EMH8GTFRIVNUPY288VJH","GSON1112060921")</f>
        <v>#NAME?</v>
      </c>
      <c r="L1026" s="28" t="e">
        <f ca="1">[1]!BexGetData("DP_1","003N8EMH8GTFRIVNUPY2891V1","GSON1112060921")</f>
        <v>#NAME?</v>
      </c>
      <c r="M1026" s="28" t="e">
        <f ca="1">[1]!BexGetData("DP_1","003N8EMH8GTFRIVOG7KG9IQXA","GSON1112060921")</f>
        <v>#NAME?</v>
      </c>
      <c r="N1026" s="28" t="e">
        <f ca="1">[1]!BexGetData("DP_1","003N8EMH8GTFRIVOG7KG9IX8U","GSON1112060921")</f>
        <v>#NAME?</v>
      </c>
      <c r="O1026" s="28" t="e">
        <f ca="1">[1]!BexGetData("DP_1","003N8EMH8GTFRIVOG7KG9J3KE","GSON1112060921")</f>
        <v>#NAME?</v>
      </c>
      <c r="P1026" s="28" t="e">
        <f ca="1">[1]!BexGetData("DP_1","003N8EMH8GTFRIVOG7KG9J9VY","GSON1112060921")</f>
        <v>#NAME?</v>
      </c>
      <c r="Q1026" s="24" t="e">
        <f ca="1">[1]!BexGetData("DP_1","00O2TNJGODT0G5Z4TTKYMM5MT","GSON1112060921")</f>
        <v>#NAME?</v>
      </c>
      <c r="R1026" s="28" t="e">
        <f ca="1">[1]!BexGetData("DP_1","00O2TNJGODT0G5Z4TTKYMMBYD","GSON1112060921")</f>
        <v>#NAME?</v>
      </c>
      <c r="S1026" s="28" t="e">
        <f ca="1">[1]!BexGetData("DP_1","00O2TNJGODT0G5Z4TTKYMMI9X","GSON1112060921")</f>
        <v>#NAME?</v>
      </c>
      <c r="T1026" s="28" t="e">
        <f ca="1">[1]!BexGetData("DP_1","00O2TNJGODT0G5Z4TTKYMMOLH","GSON1112060921")</f>
        <v>#NAME?</v>
      </c>
      <c r="U1026" s="28" t="e">
        <f ca="1">[1]!BexGetData("DP_1","00O2TNJGODT0G5Z4TTKYMMUX1","GSON1112060921")</f>
        <v>#NAME?</v>
      </c>
      <c r="V1026" s="28" t="e">
        <f ca="1">[1]!BexGetData("DP_1","00O2TNJGODT0G5Z4TTKYMN18L","GSON1112060921")</f>
        <v>#NAME?</v>
      </c>
      <c r="W1026" s="28" t="e">
        <f ca="1">[1]!BexGetData("DP_1","00O2TNJGODT0G5Z4TTKYMN7K5","GSON1112060921")</f>
        <v>#NAME?</v>
      </c>
    </row>
    <row r="1027" spans="1:23" x14ac:dyDescent="0.2">
      <c r="A1027" s="36" t="s">
        <v>3408</v>
      </c>
      <c r="B1027" s="27" t="s">
        <v>3409</v>
      </c>
      <c r="C1027" s="23" t="e">
        <f ca="1">[1]!BexGetData("DP_1","003N8EMH8GTFRCSWKMPXRR8GU","GSON1112060922")</f>
        <v>#NAME?</v>
      </c>
      <c r="D1027" s="23" t="e">
        <f ca="1">[1]!BexGetData("DP_1","003N8EMH8GTFRCSWKMPXRRESE","GSON1112060922")</f>
        <v>#NAME?</v>
      </c>
      <c r="E1027" s="28" t="e">
        <f ca="1">[1]!BexGetData("DP_1","003N8EMH8GTFRCSWKMPXRRL3Y","GSON1112060922")</f>
        <v>#NAME?</v>
      </c>
      <c r="F1027" s="23" t="e">
        <f ca="1">[1]!BexGetData("DP_1","003N8EMH8GTFRCSWKMPXRRRFI","GSON1112060922")</f>
        <v>#NAME?</v>
      </c>
      <c r="G1027" s="28" t="e">
        <f ca="1">[1]!BexGetData("DP_1","003N8EMH8GTFRCSWKMPXRRXR2","GSON1112060922")</f>
        <v>#NAME?</v>
      </c>
      <c r="H1027" s="23" t="e">
        <f ca="1">[1]!BexGetData("DP_1","003N8EMH8GTFRCSWKMPXRS42M","GSON1112060922")</f>
        <v>#NAME?</v>
      </c>
      <c r="I1027" s="23" t="e">
        <f ca="1">[1]!BexGetData("DP_1","003N8EMH8GTFRCSWKMPXRSAE6","GSON1112060922")</f>
        <v>#NAME?</v>
      </c>
      <c r="J1027" s="24" t="e">
        <f ca="1">[1]!BexGetData("DP_1","003N8EMH8GTFRCSWKMPXRSGPQ","GSON1112060922")</f>
        <v>#NAME?</v>
      </c>
      <c r="K1027" s="23" t="e">
        <f ca="1">[1]!BexGetData("DP_1","003N8EMH8GTFRIVNUPY288VJH","GSON1112060922")</f>
        <v>#NAME?</v>
      </c>
      <c r="L1027" s="23" t="e">
        <f ca="1">[1]!BexGetData("DP_1","003N8EMH8GTFRIVNUPY2891V1","GSON1112060922")</f>
        <v>#NAME?</v>
      </c>
      <c r="M1027" s="28" t="e">
        <f ca="1">[1]!BexGetData("DP_1","003N8EMH8GTFRIVOG7KG9IQXA","GSON1112060922")</f>
        <v>#NAME?</v>
      </c>
      <c r="N1027" s="23" t="e">
        <f ca="1">[1]!BexGetData("DP_1","003N8EMH8GTFRIVOG7KG9IX8U","GSON1112060922")</f>
        <v>#NAME?</v>
      </c>
      <c r="O1027" s="28" t="e">
        <f ca="1">[1]!BexGetData("DP_1","003N8EMH8GTFRIVOG7KG9J3KE","GSON1112060922")</f>
        <v>#NAME?</v>
      </c>
      <c r="P1027" s="23" t="e">
        <f ca="1">[1]!BexGetData("DP_1","003N8EMH8GTFRIVOG7KG9J9VY","GSON1112060922")</f>
        <v>#NAME?</v>
      </c>
      <c r="Q1027" s="24" t="e">
        <f ca="1">[1]!BexGetData("DP_1","00O2TNJGODT0G5Z4TTKYMM5MT","GSON1112060922")</f>
        <v>#NAME?</v>
      </c>
      <c r="R1027" s="23" t="e">
        <f ca="1">[1]!BexGetData("DP_1","00O2TNJGODT0G5Z4TTKYMMBYD","GSON1112060922")</f>
        <v>#NAME?</v>
      </c>
      <c r="S1027" s="23" t="e">
        <f ca="1">[1]!BexGetData("DP_1","00O2TNJGODT0G5Z4TTKYMMI9X","GSON1112060922")</f>
        <v>#NAME?</v>
      </c>
      <c r="T1027" s="23" t="e">
        <f ca="1">[1]!BexGetData("DP_1","00O2TNJGODT0G5Z4TTKYMMOLH","GSON1112060922")</f>
        <v>#NAME?</v>
      </c>
      <c r="U1027" s="28" t="e">
        <f ca="1">[1]!BexGetData("DP_1","00O2TNJGODT0G5Z4TTKYMMUX1","GSON1112060922")</f>
        <v>#NAME?</v>
      </c>
      <c r="V1027" s="23" t="e">
        <f ca="1">[1]!BexGetData("DP_1","00O2TNJGODT0G5Z4TTKYMN18L","GSON1112060922")</f>
        <v>#NAME?</v>
      </c>
      <c r="W1027" s="28" t="e">
        <f ca="1">[1]!BexGetData("DP_1","00O2TNJGODT0G5Z4TTKYMN7K5","GSON1112060922")</f>
        <v>#NAME?</v>
      </c>
    </row>
    <row r="1028" spans="1:23" x14ac:dyDescent="0.2">
      <c r="A1028" s="36" t="s">
        <v>3410</v>
      </c>
      <c r="B1028" s="27" t="s">
        <v>3411</v>
      </c>
      <c r="C1028" s="23" t="e">
        <f ca="1">[1]!BexGetData("DP_1","003N8EMH8GTFRCSWKMPXRR8GU","GSON1112060923")</f>
        <v>#NAME?</v>
      </c>
      <c r="D1028" s="23" t="e">
        <f ca="1">[1]!BexGetData("DP_1","003N8EMH8GTFRCSWKMPXRRESE","GSON1112060923")</f>
        <v>#NAME?</v>
      </c>
      <c r="E1028" s="28" t="e">
        <f ca="1">[1]!BexGetData("DP_1","003N8EMH8GTFRCSWKMPXRRL3Y","GSON1112060923")</f>
        <v>#NAME?</v>
      </c>
      <c r="F1028" s="28" t="e">
        <f ca="1">[1]!BexGetData("DP_1","003N8EMH8GTFRCSWKMPXRRRFI","GSON1112060923")</f>
        <v>#NAME?</v>
      </c>
      <c r="G1028" s="23" t="e">
        <f ca="1">[1]!BexGetData("DP_1","003N8EMH8GTFRCSWKMPXRRXR2","GSON1112060923")</f>
        <v>#NAME?</v>
      </c>
      <c r="H1028" s="23" t="e">
        <f ca="1">[1]!BexGetData("DP_1","003N8EMH8GTFRCSWKMPXRS42M","GSON1112060923")</f>
        <v>#NAME?</v>
      </c>
      <c r="I1028" s="28" t="e">
        <f ca="1">[1]!BexGetData("DP_1","003N8EMH8GTFRCSWKMPXRSAE6","GSON1112060923")</f>
        <v>#NAME?</v>
      </c>
      <c r="J1028" s="24" t="e">
        <f ca="1">[1]!BexGetData("DP_1","003N8EMH8GTFRCSWKMPXRSGPQ","GSON1112060923")</f>
        <v>#NAME?</v>
      </c>
      <c r="K1028" s="28" t="e">
        <f ca="1">[1]!BexGetData("DP_1","003N8EMH8GTFRIVNUPY288VJH","GSON1112060923")</f>
        <v>#NAME?</v>
      </c>
      <c r="L1028" s="28" t="e">
        <f ca="1">[1]!BexGetData("DP_1","003N8EMH8GTFRIVNUPY2891V1","GSON1112060923")</f>
        <v>#NAME?</v>
      </c>
      <c r="M1028" s="28" t="e">
        <f ca="1">[1]!BexGetData("DP_1","003N8EMH8GTFRIVOG7KG9IQXA","GSON1112060923")</f>
        <v>#NAME?</v>
      </c>
      <c r="N1028" s="28" t="e">
        <f ca="1">[1]!BexGetData("DP_1","003N8EMH8GTFRIVOG7KG9IX8U","GSON1112060923")</f>
        <v>#NAME?</v>
      </c>
      <c r="O1028" s="28" t="e">
        <f ca="1">[1]!BexGetData("DP_1","003N8EMH8GTFRIVOG7KG9J3KE","GSON1112060923")</f>
        <v>#NAME?</v>
      </c>
      <c r="P1028" s="28" t="e">
        <f ca="1">[1]!BexGetData("DP_1","003N8EMH8GTFRIVOG7KG9J9VY","GSON1112060923")</f>
        <v>#NAME?</v>
      </c>
      <c r="Q1028" s="24" t="e">
        <f ca="1">[1]!BexGetData("DP_1","00O2TNJGODT0G5Z4TTKYMM5MT","GSON1112060923")</f>
        <v>#NAME?</v>
      </c>
      <c r="R1028" s="28" t="e">
        <f ca="1">[1]!BexGetData("DP_1","00O2TNJGODT0G5Z4TTKYMMBYD","GSON1112060923")</f>
        <v>#NAME?</v>
      </c>
      <c r="S1028" s="28" t="e">
        <f ca="1">[1]!BexGetData("DP_1","00O2TNJGODT0G5Z4TTKYMMI9X","GSON1112060923")</f>
        <v>#NAME?</v>
      </c>
      <c r="T1028" s="28" t="e">
        <f ca="1">[1]!BexGetData("DP_1","00O2TNJGODT0G5Z4TTKYMMOLH","GSON1112060923")</f>
        <v>#NAME?</v>
      </c>
      <c r="U1028" s="28" t="e">
        <f ca="1">[1]!BexGetData("DP_1","00O2TNJGODT0G5Z4TTKYMMUX1","GSON1112060923")</f>
        <v>#NAME?</v>
      </c>
      <c r="V1028" s="28" t="e">
        <f ca="1">[1]!BexGetData("DP_1","00O2TNJGODT0G5Z4TTKYMN18L","GSON1112060923")</f>
        <v>#NAME?</v>
      </c>
      <c r="W1028" s="28" t="e">
        <f ca="1">[1]!BexGetData("DP_1","00O2TNJGODT0G5Z4TTKYMN7K5","GSON1112060923")</f>
        <v>#NAME?</v>
      </c>
    </row>
    <row r="1029" spans="1:23" x14ac:dyDescent="0.2">
      <c r="A1029" s="36" t="s">
        <v>3412</v>
      </c>
      <c r="B1029" s="27" t="s">
        <v>3413</v>
      </c>
      <c r="C1029" s="23" t="e">
        <f ca="1">[1]!BexGetData("DP_1","003N8EMH8GTFRCSWKMPXRR8GU","GSON1112060924")</f>
        <v>#NAME?</v>
      </c>
      <c r="D1029" s="23" t="e">
        <f ca="1">[1]!BexGetData("DP_1","003N8EMH8GTFRCSWKMPXRRESE","GSON1112060924")</f>
        <v>#NAME?</v>
      </c>
      <c r="E1029" s="28" t="e">
        <f ca="1">[1]!BexGetData("DP_1","003N8EMH8GTFRCSWKMPXRRL3Y","GSON1112060924")</f>
        <v>#NAME?</v>
      </c>
      <c r="F1029" s="28" t="e">
        <f ca="1">[1]!BexGetData("DP_1","003N8EMH8GTFRCSWKMPXRRRFI","GSON1112060924")</f>
        <v>#NAME?</v>
      </c>
      <c r="G1029" s="23" t="e">
        <f ca="1">[1]!BexGetData("DP_1","003N8EMH8GTFRCSWKMPXRRXR2","GSON1112060924")</f>
        <v>#NAME?</v>
      </c>
      <c r="H1029" s="23" t="e">
        <f ca="1">[1]!BexGetData("DP_1","003N8EMH8GTFRCSWKMPXRS42M","GSON1112060924")</f>
        <v>#NAME?</v>
      </c>
      <c r="I1029" s="28" t="e">
        <f ca="1">[1]!BexGetData("DP_1","003N8EMH8GTFRCSWKMPXRSAE6","GSON1112060924")</f>
        <v>#NAME?</v>
      </c>
      <c r="J1029" s="24" t="e">
        <f ca="1">[1]!BexGetData("DP_1","003N8EMH8GTFRCSWKMPXRSGPQ","GSON1112060924")</f>
        <v>#NAME?</v>
      </c>
      <c r="K1029" s="28" t="e">
        <f ca="1">[1]!BexGetData("DP_1","003N8EMH8GTFRIVNUPY288VJH","GSON1112060924")</f>
        <v>#NAME?</v>
      </c>
      <c r="L1029" s="28" t="e">
        <f ca="1">[1]!BexGetData("DP_1","003N8EMH8GTFRIVNUPY2891V1","GSON1112060924")</f>
        <v>#NAME?</v>
      </c>
      <c r="M1029" s="28" t="e">
        <f ca="1">[1]!BexGetData("DP_1","003N8EMH8GTFRIVOG7KG9IQXA","GSON1112060924")</f>
        <v>#NAME?</v>
      </c>
      <c r="N1029" s="28" t="e">
        <f ca="1">[1]!BexGetData("DP_1","003N8EMH8GTFRIVOG7KG9IX8U","GSON1112060924")</f>
        <v>#NAME?</v>
      </c>
      <c r="O1029" s="28" t="e">
        <f ca="1">[1]!BexGetData("DP_1","003N8EMH8GTFRIVOG7KG9J3KE","GSON1112060924")</f>
        <v>#NAME?</v>
      </c>
      <c r="P1029" s="28" t="e">
        <f ca="1">[1]!BexGetData("DP_1","003N8EMH8GTFRIVOG7KG9J9VY","GSON1112060924")</f>
        <v>#NAME?</v>
      </c>
      <c r="Q1029" s="24" t="e">
        <f ca="1">[1]!BexGetData("DP_1","00O2TNJGODT0G5Z4TTKYMM5MT","GSON1112060924")</f>
        <v>#NAME?</v>
      </c>
      <c r="R1029" s="28" t="e">
        <f ca="1">[1]!BexGetData("DP_1","00O2TNJGODT0G5Z4TTKYMMBYD","GSON1112060924")</f>
        <v>#NAME?</v>
      </c>
      <c r="S1029" s="28" t="e">
        <f ca="1">[1]!BexGetData("DP_1","00O2TNJGODT0G5Z4TTKYMMI9X","GSON1112060924")</f>
        <v>#NAME?</v>
      </c>
      <c r="T1029" s="28" t="e">
        <f ca="1">[1]!BexGetData("DP_1","00O2TNJGODT0G5Z4TTKYMMOLH","GSON1112060924")</f>
        <v>#NAME?</v>
      </c>
      <c r="U1029" s="28" t="e">
        <f ca="1">[1]!BexGetData("DP_1","00O2TNJGODT0G5Z4TTKYMMUX1","GSON1112060924")</f>
        <v>#NAME?</v>
      </c>
      <c r="V1029" s="28" t="e">
        <f ca="1">[1]!BexGetData("DP_1","00O2TNJGODT0G5Z4TTKYMN18L","GSON1112060924")</f>
        <v>#NAME?</v>
      </c>
      <c r="W1029" s="28" t="e">
        <f ca="1">[1]!BexGetData("DP_1","00O2TNJGODT0G5Z4TTKYMN7K5","GSON1112060924")</f>
        <v>#NAME?</v>
      </c>
    </row>
    <row r="1030" spans="1:23" x14ac:dyDescent="0.2">
      <c r="A1030" s="36" t="s">
        <v>3414</v>
      </c>
      <c r="B1030" s="27" t="s">
        <v>3415</v>
      </c>
      <c r="C1030" s="23" t="e">
        <f ca="1">[1]!BexGetData("DP_1","003N8EMH8GTFRCSWKMPXRR8GU","GSON1112060925")</f>
        <v>#NAME?</v>
      </c>
      <c r="D1030" s="23" t="e">
        <f ca="1">[1]!BexGetData("DP_1","003N8EMH8GTFRCSWKMPXRRESE","GSON1112060925")</f>
        <v>#NAME?</v>
      </c>
      <c r="E1030" s="28" t="e">
        <f ca="1">[1]!BexGetData("DP_1","003N8EMH8GTFRCSWKMPXRRL3Y","GSON1112060925")</f>
        <v>#NAME?</v>
      </c>
      <c r="F1030" s="28" t="e">
        <f ca="1">[1]!BexGetData("DP_1","003N8EMH8GTFRCSWKMPXRRRFI","GSON1112060925")</f>
        <v>#NAME?</v>
      </c>
      <c r="G1030" s="23" t="e">
        <f ca="1">[1]!BexGetData("DP_1","003N8EMH8GTFRCSWKMPXRRXR2","GSON1112060925")</f>
        <v>#NAME?</v>
      </c>
      <c r="H1030" s="23" t="e">
        <f ca="1">[1]!BexGetData("DP_1","003N8EMH8GTFRCSWKMPXRS42M","GSON1112060925")</f>
        <v>#NAME?</v>
      </c>
      <c r="I1030" s="28" t="e">
        <f ca="1">[1]!BexGetData("DP_1","003N8EMH8GTFRCSWKMPXRSAE6","GSON1112060925")</f>
        <v>#NAME?</v>
      </c>
      <c r="J1030" s="24" t="e">
        <f ca="1">[1]!BexGetData("DP_1","003N8EMH8GTFRCSWKMPXRSGPQ","GSON1112060925")</f>
        <v>#NAME?</v>
      </c>
      <c r="K1030" s="28" t="e">
        <f ca="1">[1]!BexGetData("DP_1","003N8EMH8GTFRIVNUPY288VJH","GSON1112060925")</f>
        <v>#NAME?</v>
      </c>
      <c r="L1030" s="28" t="e">
        <f ca="1">[1]!BexGetData("DP_1","003N8EMH8GTFRIVNUPY2891V1","GSON1112060925")</f>
        <v>#NAME?</v>
      </c>
      <c r="M1030" s="28" t="e">
        <f ca="1">[1]!BexGetData("DP_1","003N8EMH8GTFRIVOG7KG9IQXA","GSON1112060925")</f>
        <v>#NAME?</v>
      </c>
      <c r="N1030" s="28" t="e">
        <f ca="1">[1]!BexGetData("DP_1","003N8EMH8GTFRIVOG7KG9IX8U","GSON1112060925")</f>
        <v>#NAME?</v>
      </c>
      <c r="O1030" s="28" t="e">
        <f ca="1">[1]!BexGetData("DP_1","003N8EMH8GTFRIVOG7KG9J3KE","GSON1112060925")</f>
        <v>#NAME?</v>
      </c>
      <c r="P1030" s="28" t="e">
        <f ca="1">[1]!BexGetData("DP_1","003N8EMH8GTFRIVOG7KG9J9VY","GSON1112060925")</f>
        <v>#NAME?</v>
      </c>
      <c r="Q1030" s="24" t="e">
        <f ca="1">[1]!BexGetData("DP_1","00O2TNJGODT0G5Z4TTKYMM5MT","GSON1112060925")</f>
        <v>#NAME?</v>
      </c>
      <c r="R1030" s="28" t="e">
        <f ca="1">[1]!BexGetData("DP_1","00O2TNJGODT0G5Z4TTKYMMBYD","GSON1112060925")</f>
        <v>#NAME?</v>
      </c>
      <c r="S1030" s="28" t="e">
        <f ca="1">[1]!BexGetData("DP_1","00O2TNJGODT0G5Z4TTKYMMI9X","GSON1112060925")</f>
        <v>#NAME?</v>
      </c>
      <c r="T1030" s="28" t="e">
        <f ca="1">[1]!BexGetData("DP_1","00O2TNJGODT0G5Z4TTKYMMOLH","GSON1112060925")</f>
        <v>#NAME?</v>
      </c>
      <c r="U1030" s="28" t="e">
        <f ca="1">[1]!BexGetData("DP_1","00O2TNJGODT0G5Z4TTKYMMUX1","GSON1112060925")</f>
        <v>#NAME?</v>
      </c>
      <c r="V1030" s="28" t="e">
        <f ca="1">[1]!BexGetData("DP_1","00O2TNJGODT0G5Z4TTKYMN18L","GSON1112060925")</f>
        <v>#NAME?</v>
      </c>
      <c r="W1030" s="28" t="e">
        <f ca="1">[1]!BexGetData("DP_1","00O2TNJGODT0G5Z4TTKYMN7K5","GSON1112060925")</f>
        <v>#NAME?</v>
      </c>
    </row>
    <row r="1031" spans="1:23" x14ac:dyDescent="0.2">
      <c r="A1031" s="36" t="s">
        <v>3416</v>
      </c>
      <c r="B1031" s="27" t="s">
        <v>3417</v>
      </c>
      <c r="C1031" s="23" t="e">
        <f ca="1">[1]!BexGetData("DP_1","003N8EMH8GTFRCSWKMPXRR8GU","GSON1112060940")</f>
        <v>#NAME?</v>
      </c>
      <c r="D1031" s="23" t="e">
        <f ca="1">[1]!BexGetData("DP_1","003N8EMH8GTFRCSWKMPXRRESE","GSON1112060940")</f>
        <v>#NAME?</v>
      </c>
      <c r="E1031" s="23" t="e">
        <f ca="1">[1]!BexGetData("DP_1","003N8EMH8GTFRCSWKMPXRRL3Y","GSON1112060940")</f>
        <v>#NAME?</v>
      </c>
      <c r="F1031" s="24" t="e">
        <f ca="1">[1]!BexGetData("DP_1","003N8EMH8GTFRCSWKMPXRRRFI","GSON1112060940")</f>
        <v>#NAME?</v>
      </c>
      <c r="G1031" s="24" t="e">
        <f ca="1">[1]!BexGetData("DP_1","003N8EMH8GTFRCSWKMPXRRXR2","GSON1112060940")</f>
        <v>#NAME?</v>
      </c>
      <c r="H1031" s="24" t="e">
        <f ca="1">[1]!BexGetData("DP_1","003N8EMH8GTFRCSWKMPXRS42M","GSON1112060940")</f>
        <v>#NAME?</v>
      </c>
      <c r="I1031" s="24" t="e">
        <f ca="1">[1]!BexGetData("DP_1","003N8EMH8GTFRCSWKMPXRSAE6","GSON1112060940")</f>
        <v>#NAME?</v>
      </c>
      <c r="J1031" s="24" t="e">
        <f ca="1">[1]!BexGetData("DP_1","003N8EMH8GTFRCSWKMPXRSGPQ","GSON1112060940")</f>
        <v>#NAME?</v>
      </c>
      <c r="K1031" s="23" t="e">
        <f ca="1">[1]!BexGetData("DP_1","003N8EMH8GTFRIVNUPY288VJH","GSON1112060940")</f>
        <v>#NAME?</v>
      </c>
      <c r="L1031" s="23" t="e">
        <f ca="1">[1]!BexGetData("DP_1","003N8EMH8GTFRIVNUPY2891V1","GSON1112060940")</f>
        <v>#NAME?</v>
      </c>
      <c r="M1031" s="28" t="e">
        <f ca="1">[1]!BexGetData("DP_1","003N8EMH8GTFRIVOG7KG9IQXA","GSON1112060940")</f>
        <v>#NAME?</v>
      </c>
      <c r="N1031" s="23" t="e">
        <f ca="1">[1]!BexGetData("DP_1","003N8EMH8GTFRIVOG7KG9IX8U","GSON1112060940")</f>
        <v>#NAME?</v>
      </c>
      <c r="O1031" s="28" t="e">
        <f ca="1">[1]!BexGetData("DP_1","003N8EMH8GTFRIVOG7KG9J3KE","GSON1112060940")</f>
        <v>#NAME?</v>
      </c>
      <c r="P1031" s="23" t="e">
        <f ca="1">[1]!BexGetData("DP_1","003N8EMH8GTFRIVOG7KG9J9VY","GSON1112060940")</f>
        <v>#NAME?</v>
      </c>
      <c r="Q1031" s="24" t="e">
        <f ca="1">[1]!BexGetData("DP_1","00O2TNJGODT0G5Z4TTKYMM5MT","GSON1112060940")</f>
        <v>#NAME?</v>
      </c>
      <c r="R1031" s="24" t="e">
        <f ca="1">[1]!BexGetData("DP_1","00O2TNJGODT0G5Z4TTKYMMBYD","GSON1112060940")</f>
        <v>#NAME?</v>
      </c>
      <c r="S1031" s="24" t="e">
        <f ca="1">[1]!BexGetData("DP_1","00O2TNJGODT0G5Z4TTKYMMI9X","GSON1112060940")</f>
        <v>#NAME?</v>
      </c>
      <c r="T1031" s="24" t="e">
        <f ca="1">[1]!BexGetData("DP_1","00O2TNJGODT0G5Z4TTKYMMOLH","GSON1112060940")</f>
        <v>#NAME?</v>
      </c>
      <c r="U1031" s="24" t="e">
        <f ca="1">[1]!BexGetData("DP_1","00O2TNJGODT0G5Z4TTKYMMUX1","GSON1112060940")</f>
        <v>#NAME?</v>
      </c>
      <c r="V1031" s="24" t="e">
        <f ca="1">[1]!BexGetData("DP_1","00O2TNJGODT0G5Z4TTKYMN18L","GSON1112060940")</f>
        <v>#NAME?</v>
      </c>
      <c r="W1031" s="24" t="e">
        <f ca="1">[1]!BexGetData("DP_1","00O2TNJGODT0G5Z4TTKYMN7K5","GSON1112060940")</f>
        <v>#NAME?</v>
      </c>
    </row>
    <row r="1032" spans="1:23" x14ac:dyDescent="0.2">
      <c r="A1032" s="36" t="s">
        <v>3418</v>
      </c>
      <c r="B1032" s="27" t="s">
        <v>3419</v>
      </c>
      <c r="C1032" s="23" t="e">
        <f ca="1">[1]!BexGetData("DP_1","003N8EMH8GTFRCSWKMPXRR8GU","GSON1112060941")</f>
        <v>#NAME?</v>
      </c>
      <c r="D1032" s="23" t="e">
        <f ca="1">[1]!BexGetData("DP_1","003N8EMH8GTFRCSWKMPXRRESE","GSON1112060941")</f>
        <v>#NAME?</v>
      </c>
      <c r="E1032" s="28" t="e">
        <f ca="1">[1]!BexGetData("DP_1","003N8EMH8GTFRCSWKMPXRRL3Y","GSON1112060941")</f>
        <v>#NAME?</v>
      </c>
      <c r="F1032" s="24" t="e">
        <f ca="1">[1]!BexGetData("DP_1","003N8EMH8GTFRCSWKMPXRRRFI","GSON1112060941")</f>
        <v>#NAME?</v>
      </c>
      <c r="G1032" s="24" t="e">
        <f ca="1">[1]!BexGetData("DP_1","003N8EMH8GTFRCSWKMPXRRXR2","GSON1112060941")</f>
        <v>#NAME?</v>
      </c>
      <c r="H1032" s="24" t="e">
        <f ca="1">[1]!BexGetData("DP_1","003N8EMH8GTFRCSWKMPXRS42M","GSON1112060941")</f>
        <v>#NAME?</v>
      </c>
      <c r="I1032" s="24" t="e">
        <f ca="1">[1]!BexGetData("DP_1","003N8EMH8GTFRCSWKMPXRSAE6","GSON1112060941")</f>
        <v>#NAME?</v>
      </c>
      <c r="J1032" s="24" t="e">
        <f ca="1">[1]!BexGetData("DP_1","003N8EMH8GTFRCSWKMPXRSGPQ","GSON1112060941")</f>
        <v>#NAME?</v>
      </c>
      <c r="K1032" s="28" t="e">
        <f ca="1">[1]!BexGetData("DP_1","003N8EMH8GTFRIVNUPY288VJH","GSON1112060941")</f>
        <v>#NAME?</v>
      </c>
      <c r="L1032" s="28" t="e">
        <f ca="1">[1]!BexGetData("DP_1","003N8EMH8GTFRIVNUPY2891V1","GSON1112060941")</f>
        <v>#NAME?</v>
      </c>
      <c r="M1032" s="28" t="e">
        <f ca="1">[1]!BexGetData("DP_1","003N8EMH8GTFRIVOG7KG9IQXA","GSON1112060941")</f>
        <v>#NAME?</v>
      </c>
      <c r="N1032" s="28" t="e">
        <f ca="1">[1]!BexGetData("DP_1","003N8EMH8GTFRIVOG7KG9IX8U","GSON1112060941")</f>
        <v>#NAME?</v>
      </c>
      <c r="O1032" s="28" t="e">
        <f ca="1">[1]!BexGetData("DP_1","003N8EMH8GTFRIVOG7KG9J3KE","GSON1112060941")</f>
        <v>#NAME?</v>
      </c>
      <c r="P1032" s="28" t="e">
        <f ca="1">[1]!BexGetData("DP_1","003N8EMH8GTFRIVOG7KG9J9VY","GSON1112060941")</f>
        <v>#NAME?</v>
      </c>
      <c r="Q1032" s="24" t="e">
        <f ca="1">[1]!BexGetData("DP_1","00O2TNJGODT0G5Z4TTKYMM5MT","GSON1112060941")</f>
        <v>#NAME?</v>
      </c>
      <c r="R1032" s="24" t="e">
        <f ca="1">[1]!BexGetData("DP_1","00O2TNJGODT0G5Z4TTKYMMBYD","GSON1112060941")</f>
        <v>#NAME?</v>
      </c>
      <c r="S1032" s="24" t="e">
        <f ca="1">[1]!BexGetData("DP_1","00O2TNJGODT0G5Z4TTKYMMI9X","GSON1112060941")</f>
        <v>#NAME?</v>
      </c>
      <c r="T1032" s="24" t="e">
        <f ca="1">[1]!BexGetData("DP_1","00O2TNJGODT0G5Z4TTKYMMOLH","GSON1112060941")</f>
        <v>#NAME?</v>
      </c>
      <c r="U1032" s="24" t="e">
        <f ca="1">[1]!BexGetData("DP_1","00O2TNJGODT0G5Z4TTKYMMUX1","GSON1112060941")</f>
        <v>#NAME?</v>
      </c>
      <c r="V1032" s="24" t="e">
        <f ca="1">[1]!BexGetData("DP_1","00O2TNJGODT0G5Z4TTKYMN18L","GSON1112060941")</f>
        <v>#NAME?</v>
      </c>
      <c r="W1032" s="24" t="e">
        <f ca="1">[1]!BexGetData("DP_1","00O2TNJGODT0G5Z4TTKYMN7K5","GSON1112060941")</f>
        <v>#NAME?</v>
      </c>
    </row>
    <row r="1033" spans="1:23" x14ac:dyDescent="0.2">
      <c r="A1033" s="36" t="s">
        <v>3420</v>
      </c>
      <c r="B1033" s="27" t="s">
        <v>3421</v>
      </c>
      <c r="C1033" s="23" t="e">
        <f ca="1">[1]!BexGetData("DP_1","003N8EMH8GTFRCSWKMPXRR8GU","GSON1112060943")</f>
        <v>#NAME?</v>
      </c>
      <c r="D1033" s="23" t="e">
        <f ca="1">[1]!BexGetData("DP_1","003N8EMH8GTFRCSWKMPXRRESE","GSON1112060943")</f>
        <v>#NAME?</v>
      </c>
      <c r="E1033" s="28" t="e">
        <f ca="1">[1]!BexGetData("DP_1","003N8EMH8GTFRCSWKMPXRRL3Y","GSON1112060943")</f>
        <v>#NAME?</v>
      </c>
      <c r="F1033" s="24" t="e">
        <f ca="1">[1]!BexGetData("DP_1","003N8EMH8GTFRCSWKMPXRRRFI","GSON1112060943")</f>
        <v>#NAME?</v>
      </c>
      <c r="G1033" s="24" t="e">
        <f ca="1">[1]!BexGetData("DP_1","003N8EMH8GTFRCSWKMPXRRXR2","GSON1112060943")</f>
        <v>#NAME?</v>
      </c>
      <c r="H1033" s="24" t="e">
        <f ca="1">[1]!BexGetData("DP_1","003N8EMH8GTFRCSWKMPXRS42M","GSON1112060943")</f>
        <v>#NAME?</v>
      </c>
      <c r="I1033" s="24" t="e">
        <f ca="1">[1]!BexGetData("DP_1","003N8EMH8GTFRCSWKMPXRSAE6","GSON1112060943")</f>
        <v>#NAME?</v>
      </c>
      <c r="J1033" s="24" t="e">
        <f ca="1">[1]!BexGetData("DP_1","003N8EMH8GTFRCSWKMPXRSGPQ","GSON1112060943")</f>
        <v>#NAME?</v>
      </c>
      <c r="K1033" s="28" t="e">
        <f ca="1">[1]!BexGetData("DP_1","003N8EMH8GTFRIVNUPY288VJH","GSON1112060943")</f>
        <v>#NAME?</v>
      </c>
      <c r="L1033" s="28" t="e">
        <f ca="1">[1]!BexGetData("DP_1","003N8EMH8GTFRIVNUPY2891V1","GSON1112060943")</f>
        <v>#NAME?</v>
      </c>
      <c r="M1033" s="28" t="e">
        <f ca="1">[1]!BexGetData("DP_1","003N8EMH8GTFRIVOG7KG9IQXA","GSON1112060943")</f>
        <v>#NAME?</v>
      </c>
      <c r="N1033" s="28" t="e">
        <f ca="1">[1]!BexGetData("DP_1","003N8EMH8GTFRIVOG7KG9IX8U","GSON1112060943")</f>
        <v>#NAME?</v>
      </c>
      <c r="O1033" s="28" t="e">
        <f ca="1">[1]!BexGetData("DP_1","003N8EMH8GTFRIVOG7KG9J3KE","GSON1112060943")</f>
        <v>#NAME?</v>
      </c>
      <c r="P1033" s="28" t="e">
        <f ca="1">[1]!BexGetData("DP_1","003N8EMH8GTFRIVOG7KG9J9VY","GSON1112060943")</f>
        <v>#NAME?</v>
      </c>
      <c r="Q1033" s="24" t="e">
        <f ca="1">[1]!BexGetData("DP_1","00O2TNJGODT0G5Z4TTKYMM5MT","GSON1112060943")</f>
        <v>#NAME?</v>
      </c>
      <c r="R1033" s="24" t="e">
        <f ca="1">[1]!BexGetData("DP_1","00O2TNJGODT0G5Z4TTKYMMBYD","GSON1112060943")</f>
        <v>#NAME?</v>
      </c>
      <c r="S1033" s="24" t="e">
        <f ca="1">[1]!BexGetData("DP_1","00O2TNJGODT0G5Z4TTKYMMI9X","GSON1112060943")</f>
        <v>#NAME?</v>
      </c>
      <c r="T1033" s="24" t="e">
        <f ca="1">[1]!BexGetData("DP_1","00O2TNJGODT0G5Z4TTKYMMOLH","GSON1112060943")</f>
        <v>#NAME?</v>
      </c>
      <c r="U1033" s="24" t="e">
        <f ca="1">[1]!BexGetData("DP_1","00O2TNJGODT0G5Z4TTKYMMUX1","GSON1112060943")</f>
        <v>#NAME?</v>
      </c>
      <c r="V1033" s="24" t="e">
        <f ca="1">[1]!BexGetData("DP_1","00O2TNJGODT0G5Z4TTKYMN18L","GSON1112060943")</f>
        <v>#NAME?</v>
      </c>
      <c r="W1033" s="24" t="e">
        <f ca="1">[1]!BexGetData("DP_1","00O2TNJGODT0G5Z4TTKYMN7K5","GSON1112060943")</f>
        <v>#NAME?</v>
      </c>
    </row>
    <row r="1034" spans="1:23" x14ac:dyDescent="0.2">
      <c r="A1034" s="36" t="s">
        <v>3422</v>
      </c>
      <c r="B1034" s="27" t="s">
        <v>3423</v>
      </c>
      <c r="C1034" s="23" t="e">
        <f ca="1">[1]!BexGetData("DP_1","003N8EMH8GTFRCSWKMPXRR8GU","GSON1112060944")</f>
        <v>#NAME?</v>
      </c>
      <c r="D1034" s="23" t="e">
        <f ca="1">[1]!BexGetData("DP_1","003N8EMH8GTFRCSWKMPXRRESE","GSON1112060944")</f>
        <v>#NAME?</v>
      </c>
      <c r="E1034" s="28" t="e">
        <f ca="1">[1]!BexGetData("DP_1","003N8EMH8GTFRCSWKMPXRRL3Y","GSON1112060944")</f>
        <v>#NAME?</v>
      </c>
      <c r="F1034" s="24" t="e">
        <f ca="1">[1]!BexGetData("DP_1","003N8EMH8GTFRCSWKMPXRRRFI","GSON1112060944")</f>
        <v>#NAME?</v>
      </c>
      <c r="G1034" s="24" t="e">
        <f ca="1">[1]!BexGetData("DP_1","003N8EMH8GTFRCSWKMPXRRXR2","GSON1112060944")</f>
        <v>#NAME?</v>
      </c>
      <c r="H1034" s="24" t="e">
        <f ca="1">[1]!BexGetData("DP_1","003N8EMH8GTFRCSWKMPXRS42M","GSON1112060944")</f>
        <v>#NAME?</v>
      </c>
      <c r="I1034" s="24" t="e">
        <f ca="1">[1]!BexGetData("DP_1","003N8EMH8GTFRCSWKMPXRSAE6","GSON1112060944")</f>
        <v>#NAME?</v>
      </c>
      <c r="J1034" s="24" t="e">
        <f ca="1">[1]!BexGetData("DP_1","003N8EMH8GTFRCSWKMPXRSGPQ","GSON1112060944")</f>
        <v>#NAME?</v>
      </c>
      <c r="K1034" s="28" t="e">
        <f ca="1">[1]!BexGetData("DP_1","003N8EMH8GTFRIVNUPY288VJH","GSON1112060944")</f>
        <v>#NAME?</v>
      </c>
      <c r="L1034" s="28" t="e">
        <f ca="1">[1]!BexGetData("DP_1","003N8EMH8GTFRIVNUPY2891V1","GSON1112060944")</f>
        <v>#NAME?</v>
      </c>
      <c r="M1034" s="28" t="e">
        <f ca="1">[1]!BexGetData("DP_1","003N8EMH8GTFRIVOG7KG9IQXA","GSON1112060944")</f>
        <v>#NAME?</v>
      </c>
      <c r="N1034" s="28" t="e">
        <f ca="1">[1]!BexGetData("DP_1","003N8EMH8GTFRIVOG7KG9IX8U","GSON1112060944")</f>
        <v>#NAME?</v>
      </c>
      <c r="O1034" s="28" t="e">
        <f ca="1">[1]!BexGetData("DP_1","003N8EMH8GTFRIVOG7KG9J3KE","GSON1112060944")</f>
        <v>#NAME?</v>
      </c>
      <c r="P1034" s="28" t="e">
        <f ca="1">[1]!BexGetData("DP_1","003N8EMH8GTFRIVOG7KG9J9VY","GSON1112060944")</f>
        <v>#NAME?</v>
      </c>
      <c r="Q1034" s="24" t="e">
        <f ca="1">[1]!BexGetData("DP_1","00O2TNJGODT0G5Z4TTKYMM5MT","GSON1112060944")</f>
        <v>#NAME?</v>
      </c>
      <c r="R1034" s="24" t="e">
        <f ca="1">[1]!BexGetData("DP_1","00O2TNJGODT0G5Z4TTKYMMBYD","GSON1112060944")</f>
        <v>#NAME?</v>
      </c>
      <c r="S1034" s="24" t="e">
        <f ca="1">[1]!BexGetData("DP_1","00O2TNJGODT0G5Z4TTKYMMI9X","GSON1112060944")</f>
        <v>#NAME?</v>
      </c>
      <c r="T1034" s="24" t="e">
        <f ca="1">[1]!BexGetData("DP_1","00O2TNJGODT0G5Z4TTKYMMOLH","GSON1112060944")</f>
        <v>#NAME?</v>
      </c>
      <c r="U1034" s="24" t="e">
        <f ca="1">[1]!BexGetData("DP_1","00O2TNJGODT0G5Z4TTKYMMUX1","GSON1112060944")</f>
        <v>#NAME?</v>
      </c>
      <c r="V1034" s="24" t="e">
        <f ca="1">[1]!BexGetData("DP_1","00O2TNJGODT0G5Z4TTKYMN18L","GSON1112060944")</f>
        <v>#NAME?</v>
      </c>
      <c r="W1034" s="24" t="e">
        <f ca="1">[1]!BexGetData("DP_1","00O2TNJGODT0G5Z4TTKYMN7K5","GSON1112060944")</f>
        <v>#NAME?</v>
      </c>
    </row>
    <row r="1035" spans="1:23" x14ac:dyDescent="0.2">
      <c r="A1035" s="36" t="s">
        <v>3424</v>
      </c>
      <c r="B1035" s="27" t="s">
        <v>3425</v>
      </c>
      <c r="C1035" s="23" t="e">
        <f ca="1">[1]!BexGetData("DP_1","003N8EMH8GTFRCSWKMPXRR8GU","GSON1112060945")</f>
        <v>#NAME?</v>
      </c>
      <c r="D1035" s="23" t="e">
        <f ca="1">[1]!BexGetData("DP_1","003N8EMH8GTFRCSWKMPXRRESE","GSON1112060945")</f>
        <v>#NAME?</v>
      </c>
      <c r="E1035" s="28" t="e">
        <f ca="1">[1]!BexGetData("DP_1","003N8EMH8GTFRCSWKMPXRRL3Y","GSON1112060945")</f>
        <v>#NAME?</v>
      </c>
      <c r="F1035" s="24" t="e">
        <f ca="1">[1]!BexGetData("DP_1","003N8EMH8GTFRCSWKMPXRRRFI","GSON1112060945")</f>
        <v>#NAME?</v>
      </c>
      <c r="G1035" s="24" t="e">
        <f ca="1">[1]!BexGetData("DP_1","003N8EMH8GTFRCSWKMPXRRXR2","GSON1112060945")</f>
        <v>#NAME?</v>
      </c>
      <c r="H1035" s="24" t="e">
        <f ca="1">[1]!BexGetData("DP_1","003N8EMH8GTFRCSWKMPXRS42M","GSON1112060945")</f>
        <v>#NAME?</v>
      </c>
      <c r="I1035" s="24" t="e">
        <f ca="1">[1]!BexGetData("DP_1","003N8EMH8GTFRCSWKMPXRSAE6","GSON1112060945")</f>
        <v>#NAME?</v>
      </c>
      <c r="J1035" s="24" t="e">
        <f ca="1">[1]!BexGetData("DP_1","003N8EMH8GTFRCSWKMPXRSGPQ","GSON1112060945")</f>
        <v>#NAME?</v>
      </c>
      <c r="K1035" s="28" t="e">
        <f ca="1">[1]!BexGetData("DP_1","003N8EMH8GTFRIVNUPY288VJH","GSON1112060945")</f>
        <v>#NAME?</v>
      </c>
      <c r="L1035" s="28" t="e">
        <f ca="1">[1]!BexGetData("DP_1","003N8EMH8GTFRIVNUPY2891V1","GSON1112060945")</f>
        <v>#NAME?</v>
      </c>
      <c r="M1035" s="28" t="e">
        <f ca="1">[1]!BexGetData("DP_1","003N8EMH8GTFRIVOG7KG9IQXA","GSON1112060945")</f>
        <v>#NAME?</v>
      </c>
      <c r="N1035" s="28" t="e">
        <f ca="1">[1]!BexGetData("DP_1","003N8EMH8GTFRIVOG7KG9IX8U","GSON1112060945")</f>
        <v>#NAME?</v>
      </c>
      <c r="O1035" s="28" t="e">
        <f ca="1">[1]!BexGetData("DP_1","003N8EMH8GTFRIVOG7KG9J3KE","GSON1112060945")</f>
        <v>#NAME?</v>
      </c>
      <c r="P1035" s="28" t="e">
        <f ca="1">[1]!BexGetData("DP_1","003N8EMH8GTFRIVOG7KG9J9VY","GSON1112060945")</f>
        <v>#NAME?</v>
      </c>
      <c r="Q1035" s="24" t="e">
        <f ca="1">[1]!BexGetData("DP_1","00O2TNJGODT0G5Z4TTKYMM5MT","GSON1112060945")</f>
        <v>#NAME?</v>
      </c>
      <c r="R1035" s="24" t="e">
        <f ca="1">[1]!BexGetData("DP_1","00O2TNJGODT0G5Z4TTKYMMBYD","GSON1112060945")</f>
        <v>#NAME?</v>
      </c>
      <c r="S1035" s="24" t="e">
        <f ca="1">[1]!BexGetData("DP_1","00O2TNJGODT0G5Z4TTKYMMI9X","GSON1112060945")</f>
        <v>#NAME?</v>
      </c>
      <c r="T1035" s="24" t="e">
        <f ca="1">[1]!BexGetData("DP_1","00O2TNJGODT0G5Z4TTKYMMOLH","GSON1112060945")</f>
        <v>#NAME?</v>
      </c>
      <c r="U1035" s="24" t="e">
        <f ca="1">[1]!BexGetData("DP_1","00O2TNJGODT0G5Z4TTKYMMUX1","GSON1112060945")</f>
        <v>#NAME?</v>
      </c>
      <c r="V1035" s="24" t="e">
        <f ca="1">[1]!BexGetData("DP_1","00O2TNJGODT0G5Z4TTKYMN18L","GSON1112060945")</f>
        <v>#NAME?</v>
      </c>
      <c r="W1035" s="24" t="e">
        <f ca="1">[1]!BexGetData("DP_1","00O2TNJGODT0G5Z4TTKYMN7K5","GSON1112060945")</f>
        <v>#NAME?</v>
      </c>
    </row>
    <row r="1036" spans="1:23" x14ac:dyDescent="0.2">
      <c r="A1036" s="36" t="s">
        <v>3426</v>
      </c>
      <c r="B1036" s="27" t="s">
        <v>3427</v>
      </c>
      <c r="C1036" s="23" t="e">
        <f ca="1">[1]!BexGetData("DP_1","003N8EMH8GTFRCSWKMPXRR8GU","GSON1112060950")</f>
        <v>#NAME?</v>
      </c>
      <c r="D1036" s="23" t="e">
        <f ca="1">[1]!BexGetData("DP_1","003N8EMH8GTFRCSWKMPXRRESE","GSON1112060950")</f>
        <v>#NAME?</v>
      </c>
      <c r="E1036" s="23" t="e">
        <f ca="1">[1]!BexGetData("DP_1","003N8EMH8GTFRCSWKMPXRRL3Y","GSON1112060950")</f>
        <v>#NAME?</v>
      </c>
      <c r="F1036" s="24" t="e">
        <f ca="1">[1]!BexGetData("DP_1","003N8EMH8GTFRCSWKMPXRRRFI","GSON1112060950")</f>
        <v>#NAME?</v>
      </c>
      <c r="G1036" s="24" t="e">
        <f ca="1">[1]!BexGetData("DP_1","003N8EMH8GTFRCSWKMPXRRXR2","GSON1112060950")</f>
        <v>#NAME?</v>
      </c>
      <c r="H1036" s="24" t="e">
        <f ca="1">[1]!BexGetData("DP_1","003N8EMH8GTFRCSWKMPXRS42M","GSON1112060950")</f>
        <v>#NAME?</v>
      </c>
      <c r="I1036" s="24" t="e">
        <f ca="1">[1]!BexGetData("DP_1","003N8EMH8GTFRCSWKMPXRSAE6","GSON1112060950")</f>
        <v>#NAME?</v>
      </c>
      <c r="J1036" s="24" t="e">
        <f ca="1">[1]!BexGetData("DP_1","003N8EMH8GTFRCSWKMPXRSGPQ","GSON1112060950")</f>
        <v>#NAME?</v>
      </c>
      <c r="K1036" s="23" t="e">
        <f ca="1">[1]!BexGetData("DP_1","003N8EMH8GTFRIVNUPY288VJH","GSON1112060950")</f>
        <v>#NAME?</v>
      </c>
      <c r="L1036" s="23" t="e">
        <f ca="1">[1]!BexGetData("DP_1","003N8EMH8GTFRIVNUPY2891V1","GSON1112060950")</f>
        <v>#NAME?</v>
      </c>
      <c r="M1036" s="28" t="e">
        <f ca="1">[1]!BexGetData("DP_1","003N8EMH8GTFRIVOG7KG9IQXA","GSON1112060950")</f>
        <v>#NAME?</v>
      </c>
      <c r="N1036" s="23" t="e">
        <f ca="1">[1]!BexGetData("DP_1","003N8EMH8GTFRIVOG7KG9IX8U","GSON1112060950")</f>
        <v>#NAME?</v>
      </c>
      <c r="O1036" s="28" t="e">
        <f ca="1">[1]!BexGetData("DP_1","003N8EMH8GTFRIVOG7KG9J3KE","GSON1112060950")</f>
        <v>#NAME?</v>
      </c>
      <c r="P1036" s="23" t="e">
        <f ca="1">[1]!BexGetData("DP_1","003N8EMH8GTFRIVOG7KG9J9VY","GSON1112060950")</f>
        <v>#NAME?</v>
      </c>
      <c r="Q1036" s="24" t="e">
        <f ca="1">[1]!BexGetData("DP_1","00O2TNJGODT0G5Z4TTKYMM5MT","GSON1112060950")</f>
        <v>#NAME?</v>
      </c>
      <c r="R1036" s="24" t="e">
        <f ca="1">[1]!BexGetData("DP_1","00O2TNJGODT0G5Z4TTKYMMBYD","GSON1112060950")</f>
        <v>#NAME?</v>
      </c>
      <c r="S1036" s="24" t="e">
        <f ca="1">[1]!BexGetData("DP_1","00O2TNJGODT0G5Z4TTKYMMI9X","GSON1112060950")</f>
        <v>#NAME?</v>
      </c>
      <c r="T1036" s="24" t="e">
        <f ca="1">[1]!BexGetData("DP_1","00O2TNJGODT0G5Z4TTKYMMOLH","GSON1112060950")</f>
        <v>#NAME?</v>
      </c>
      <c r="U1036" s="24" t="e">
        <f ca="1">[1]!BexGetData("DP_1","00O2TNJGODT0G5Z4TTKYMMUX1","GSON1112060950")</f>
        <v>#NAME?</v>
      </c>
      <c r="V1036" s="24" t="e">
        <f ca="1">[1]!BexGetData("DP_1","00O2TNJGODT0G5Z4TTKYMN18L","GSON1112060950")</f>
        <v>#NAME?</v>
      </c>
      <c r="W1036" s="24" t="e">
        <f ca="1">[1]!BexGetData("DP_1","00O2TNJGODT0G5Z4TTKYMN7K5","GSON1112060950")</f>
        <v>#NAME?</v>
      </c>
    </row>
    <row r="1037" spans="1:23" x14ac:dyDescent="0.2">
      <c r="A1037" s="36" t="s">
        <v>3428</v>
      </c>
      <c r="B1037" s="27" t="s">
        <v>3429</v>
      </c>
      <c r="C1037" s="23" t="e">
        <f ca="1">[1]!BexGetData("DP_1","003N8EMH8GTFRCSWKMPXRR8GU","GSON1112060951")</f>
        <v>#NAME?</v>
      </c>
      <c r="D1037" s="23" t="e">
        <f ca="1">[1]!BexGetData("DP_1","003N8EMH8GTFRCSWKMPXRRESE","GSON1112060951")</f>
        <v>#NAME?</v>
      </c>
      <c r="E1037" s="28" t="e">
        <f ca="1">[1]!BexGetData("DP_1","003N8EMH8GTFRCSWKMPXRRL3Y","GSON1112060951")</f>
        <v>#NAME?</v>
      </c>
      <c r="F1037" s="24" t="e">
        <f ca="1">[1]!BexGetData("DP_1","003N8EMH8GTFRCSWKMPXRRRFI","GSON1112060951")</f>
        <v>#NAME?</v>
      </c>
      <c r="G1037" s="24" t="e">
        <f ca="1">[1]!BexGetData("DP_1","003N8EMH8GTFRCSWKMPXRRXR2","GSON1112060951")</f>
        <v>#NAME?</v>
      </c>
      <c r="H1037" s="24" t="e">
        <f ca="1">[1]!BexGetData("DP_1","003N8EMH8GTFRCSWKMPXRS42M","GSON1112060951")</f>
        <v>#NAME?</v>
      </c>
      <c r="I1037" s="24" t="e">
        <f ca="1">[1]!BexGetData("DP_1","003N8EMH8GTFRCSWKMPXRSAE6","GSON1112060951")</f>
        <v>#NAME?</v>
      </c>
      <c r="J1037" s="24" t="e">
        <f ca="1">[1]!BexGetData("DP_1","003N8EMH8GTFRCSWKMPXRSGPQ","GSON1112060951")</f>
        <v>#NAME?</v>
      </c>
      <c r="K1037" s="28" t="e">
        <f ca="1">[1]!BexGetData("DP_1","003N8EMH8GTFRIVNUPY288VJH","GSON1112060951")</f>
        <v>#NAME?</v>
      </c>
      <c r="L1037" s="28" t="e">
        <f ca="1">[1]!BexGetData("DP_1","003N8EMH8GTFRIVNUPY2891V1","GSON1112060951")</f>
        <v>#NAME?</v>
      </c>
      <c r="M1037" s="28" t="e">
        <f ca="1">[1]!BexGetData("DP_1","003N8EMH8GTFRIVOG7KG9IQXA","GSON1112060951")</f>
        <v>#NAME?</v>
      </c>
      <c r="N1037" s="28" t="e">
        <f ca="1">[1]!BexGetData("DP_1","003N8EMH8GTFRIVOG7KG9IX8U","GSON1112060951")</f>
        <v>#NAME?</v>
      </c>
      <c r="O1037" s="28" t="e">
        <f ca="1">[1]!BexGetData("DP_1","003N8EMH8GTFRIVOG7KG9J3KE","GSON1112060951")</f>
        <v>#NAME?</v>
      </c>
      <c r="P1037" s="28" t="e">
        <f ca="1">[1]!BexGetData("DP_1","003N8EMH8GTFRIVOG7KG9J9VY","GSON1112060951")</f>
        <v>#NAME?</v>
      </c>
      <c r="Q1037" s="24" t="e">
        <f ca="1">[1]!BexGetData("DP_1","00O2TNJGODT0G5Z4TTKYMM5MT","GSON1112060951")</f>
        <v>#NAME?</v>
      </c>
      <c r="R1037" s="24" t="e">
        <f ca="1">[1]!BexGetData("DP_1","00O2TNJGODT0G5Z4TTKYMMBYD","GSON1112060951")</f>
        <v>#NAME?</v>
      </c>
      <c r="S1037" s="24" t="e">
        <f ca="1">[1]!BexGetData("DP_1","00O2TNJGODT0G5Z4TTKYMMI9X","GSON1112060951")</f>
        <v>#NAME?</v>
      </c>
      <c r="T1037" s="24" t="e">
        <f ca="1">[1]!BexGetData("DP_1","00O2TNJGODT0G5Z4TTKYMMOLH","GSON1112060951")</f>
        <v>#NAME?</v>
      </c>
      <c r="U1037" s="24" t="e">
        <f ca="1">[1]!BexGetData("DP_1","00O2TNJGODT0G5Z4TTKYMMUX1","GSON1112060951")</f>
        <v>#NAME?</v>
      </c>
      <c r="V1037" s="24" t="e">
        <f ca="1">[1]!BexGetData("DP_1","00O2TNJGODT0G5Z4TTKYMN18L","GSON1112060951")</f>
        <v>#NAME?</v>
      </c>
      <c r="W1037" s="24" t="e">
        <f ca="1">[1]!BexGetData("DP_1","00O2TNJGODT0G5Z4TTKYMN7K5","GSON1112060951")</f>
        <v>#NAME?</v>
      </c>
    </row>
    <row r="1038" spans="1:23" x14ac:dyDescent="0.2">
      <c r="A1038" s="36" t="s">
        <v>3430</v>
      </c>
      <c r="B1038" s="27" t="s">
        <v>3431</v>
      </c>
      <c r="C1038" s="23" t="e">
        <f ca="1">[1]!BexGetData("DP_1","003N8EMH8GTFRCSWKMPXRR8GU","GSON1112060953")</f>
        <v>#NAME?</v>
      </c>
      <c r="D1038" s="23" t="e">
        <f ca="1">[1]!BexGetData("DP_1","003N8EMH8GTFRCSWKMPXRRESE","GSON1112060953")</f>
        <v>#NAME?</v>
      </c>
      <c r="E1038" s="23" t="e">
        <f ca="1">[1]!BexGetData("DP_1","003N8EMH8GTFRCSWKMPXRRL3Y","GSON1112060953")</f>
        <v>#NAME?</v>
      </c>
      <c r="F1038" s="24" t="e">
        <f ca="1">[1]!BexGetData("DP_1","003N8EMH8GTFRCSWKMPXRRRFI","GSON1112060953")</f>
        <v>#NAME?</v>
      </c>
      <c r="G1038" s="24" t="e">
        <f ca="1">[1]!BexGetData("DP_1","003N8EMH8GTFRCSWKMPXRRXR2","GSON1112060953")</f>
        <v>#NAME?</v>
      </c>
      <c r="H1038" s="24" t="e">
        <f ca="1">[1]!BexGetData("DP_1","003N8EMH8GTFRCSWKMPXRS42M","GSON1112060953")</f>
        <v>#NAME?</v>
      </c>
      <c r="I1038" s="24" t="e">
        <f ca="1">[1]!BexGetData("DP_1","003N8EMH8GTFRCSWKMPXRSAE6","GSON1112060953")</f>
        <v>#NAME?</v>
      </c>
      <c r="J1038" s="24" t="e">
        <f ca="1">[1]!BexGetData("DP_1","003N8EMH8GTFRCSWKMPXRSGPQ","GSON1112060953")</f>
        <v>#NAME?</v>
      </c>
      <c r="K1038" s="23" t="e">
        <f ca="1">[1]!BexGetData("DP_1","003N8EMH8GTFRIVNUPY288VJH","GSON1112060953")</f>
        <v>#NAME?</v>
      </c>
      <c r="L1038" s="23" t="e">
        <f ca="1">[1]!BexGetData("DP_1","003N8EMH8GTFRIVNUPY2891V1","GSON1112060953")</f>
        <v>#NAME?</v>
      </c>
      <c r="M1038" s="23" t="e">
        <f ca="1">[1]!BexGetData("DP_1","003N8EMH8GTFRIVOG7KG9IQXA","GSON1112060953")</f>
        <v>#NAME?</v>
      </c>
      <c r="N1038" s="28" t="e">
        <f ca="1">[1]!BexGetData("DP_1","003N8EMH8GTFRIVOG7KG9IX8U","GSON1112060953")</f>
        <v>#NAME?</v>
      </c>
      <c r="O1038" s="23" t="e">
        <f ca="1">[1]!BexGetData("DP_1","003N8EMH8GTFRIVOG7KG9J3KE","GSON1112060953")</f>
        <v>#NAME?</v>
      </c>
      <c r="P1038" s="28" t="e">
        <f ca="1">[1]!BexGetData("DP_1","003N8EMH8GTFRIVOG7KG9J9VY","GSON1112060953")</f>
        <v>#NAME?</v>
      </c>
      <c r="Q1038" s="24" t="e">
        <f ca="1">[1]!BexGetData("DP_1","00O2TNJGODT0G5Z4TTKYMM5MT","GSON1112060953")</f>
        <v>#NAME?</v>
      </c>
      <c r="R1038" s="24" t="e">
        <f ca="1">[1]!BexGetData("DP_1","00O2TNJGODT0G5Z4TTKYMMBYD","GSON1112060953")</f>
        <v>#NAME?</v>
      </c>
      <c r="S1038" s="24" t="e">
        <f ca="1">[1]!BexGetData("DP_1","00O2TNJGODT0G5Z4TTKYMMI9X","GSON1112060953")</f>
        <v>#NAME?</v>
      </c>
      <c r="T1038" s="24" t="e">
        <f ca="1">[1]!BexGetData("DP_1","00O2TNJGODT0G5Z4TTKYMMOLH","GSON1112060953")</f>
        <v>#NAME?</v>
      </c>
      <c r="U1038" s="24" t="e">
        <f ca="1">[1]!BexGetData("DP_1","00O2TNJGODT0G5Z4TTKYMMUX1","GSON1112060953")</f>
        <v>#NAME?</v>
      </c>
      <c r="V1038" s="24" t="e">
        <f ca="1">[1]!BexGetData("DP_1","00O2TNJGODT0G5Z4TTKYMN18L","GSON1112060953")</f>
        <v>#NAME?</v>
      </c>
      <c r="W1038" s="24" t="e">
        <f ca="1">[1]!BexGetData("DP_1","00O2TNJGODT0G5Z4TTKYMN7K5","GSON1112060953")</f>
        <v>#NAME?</v>
      </c>
    </row>
    <row r="1039" spans="1:23" x14ac:dyDescent="0.2">
      <c r="A1039" s="36" t="s">
        <v>3432</v>
      </c>
      <c r="B1039" s="27" t="s">
        <v>3433</v>
      </c>
      <c r="C1039" s="23" t="e">
        <f ca="1">[1]!BexGetData("DP_1","003N8EMH8GTFRCSWKMPXRR8GU","GSON1112060954")</f>
        <v>#NAME?</v>
      </c>
      <c r="D1039" s="23" t="e">
        <f ca="1">[1]!BexGetData("DP_1","003N8EMH8GTFRCSWKMPXRRESE","GSON1112060954")</f>
        <v>#NAME?</v>
      </c>
      <c r="E1039" s="28" t="e">
        <f ca="1">[1]!BexGetData("DP_1","003N8EMH8GTFRCSWKMPXRRL3Y","GSON1112060954")</f>
        <v>#NAME?</v>
      </c>
      <c r="F1039" s="24" t="e">
        <f ca="1">[1]!BexGetData("DP_1","003N8EMH8GTFRCSWKMPXRRRFI","GSON1112060954")</f>
        <v>#NAME?</v>
      </c>
      <c r="G1039" s="24" t="e">
        <f ca="1">[1]!BexGetData("DP_1","003N8EMH8GTFRCSWKMPXRRXR2","GSON1112060954")</f>
        <v>#NAME?</v>
      </c>
      <c r="H1039" s="24" t="e">
        <f ca="1">[1]!BexGetData("DP_1","003N8EMH8GTFRCSWKMPXRS42M","GSON1112060954")</f>
        <v>#NAME?</v>
      </c>
      <c r="I1039" s="24" t="e">
        <f ca="1">[1]!BexGetData("DP_1","003N8EMH8GTFRCSWKMPXRSAE6","GSON1112060954")</f>
        <v>#NAME?</v>
      </c>
      <c r="J1039" s="24" t="e">
        <f ca="1">[1]!BexGetData("DP_1","003N8EMH8GTFRCSWKMPXRSGPQ","GSON1112060954")</f>
        <v>#NAME?</v>
      </c>
      <c r="K1039" s="28" t="e">
        <f ca="1">[1]!BexGetData("DP_1","003N8EMH8GTFRIVNUPY288VJH","GSON1112060954")</f>
        <v>#NAME?</v>
      </c>
      <c r="L1039" s="28" t="e">
        <f ca="1">[1]!BexGetData("DP_1","003N8EMH8GTFRIVNUPY2891V1","GSON1112060954")</f>
        <v>#NAME?</v>
      </c>
      <c r="M1039" s="28" t="e">
        <f ca="1">[1]!BexGetData("DP_1","003N8EMH8GTFRIVOG7KG9IQXA","GSON1112060954")</f>
        <v>#NAME?</v>
      </c>
      <c r="N1039" s="28" t="e">
        <f ca="1">[1]!BexGetData("DP_1","003N8EMH8GTFRIVOG7KG9IX8U","GSON1112060954")</f>
        <v>#NAME?</v>
      </c>
      <c r="O1039" s="28" t="e">
        <f ca="1">[1]!BexGetData("DP_1","003N8EMH8GTFRIVOG7KG9J3KE","GSON1112060954")</f>
        <v>#NAME?</v>
      </c>
      <c r="P1039" s="28" t="e">
        <f ca="1">[1]!BexGetData("DP_1","003N8EMH8GTFRIVOG7KG9J9VY","GSON1112060954")</f>
        <v>#NAME?</v>
      </c>
      <c r="Q1039" s="24" t="e">
        <f ca="1">[1]!BexGetData("DP_1","00O2TNJGODT0G5Z4TTKYMM5MT","GSON1112060954")</f>
        <v>#NAME?</v>
      </c>
      <c r="R1039" s="24" t="e">
        <f ca="1">[1]!BexGetData("DP_1","00O2TNJGODT0G5Z4TTKYMMBYD","GSON1112060954")</f>
        <v>#NAME?</v>
      </c>
      <c r="S1039" s="24" t="e">
        <f ca="1">[1]!BexGetData("DP_1","00O2TNJGODT0G5Z4TTKYMMI9X","GSON1112060954")</f>
        <v>#NAME?</v>
      </c>
      <c r="T1039" s="24" t="e">
        <f ca="1">[1]!BexGetData("DP_1","00O2TNJGODT0G5Z4TTKYMMOLH","GSON1112060954")</f>
        <v>#NAME?</v>
      </c>
      <c r="U1039" s="24" t="e">
        <f ca="1">[1]!BexGetData("DP_1","00O2TNJGODT0G5Z4TTKYMMUX1","GSON1112060954")</f>
        <v>#NAME?</v>
      </c>
      <c r="V1039" s="24" t="e">
        <f ca="1">[1]!BexGetData("DP_1","00O2TNJGODT0G5Z4TTKYMN18L","GSON1112060954")</f>
        <v>#NAME?</v>
      </c>
      <c r="W1039" s="24" t="e">
        <f ca="1">[1]!BexGetData("DP_1","00O2TNJGODT0G5Z4TTKYMN7K5","GSON1112060954")</f>
        <v>#NAME?</v>
      </c>
    </row>
    <row r="1040" spans="1:23" x14ac:dyDescent="0.2">
      <c r="A1040" s="36" t="s">
        <v>3434</v>
      </c>
      <c r="B1040" s="27" t="s">
        <v>3435</v>
      </c>
      <c r="C1040" s="23" t="e">
        <f ca="1">[1]!BexGetData("DP_1","003N8EMH8GTFRCSWKMPXRR8GU","GSON1112060955")</f>
        <v>#NAME?</v>
      </c>
      <c r="D1040" s="23" t="e">
        <f ca="1">[1]!BexGetData("DP_1","003N8EMH8GTFRCSWKMPXRRESE","GSON1112060955")</f>
        <v>#NAME?</v>
      </c>
      <c r="E1040" s="28" t="e">
        <f ca="1">[1]!BexGetData("DP_1","003N8EMH8GTFRCSWKMPXRRL3Y","GSON1112060955")</f>
        <v>#NAME?</v>
      </c>
      <c r="F1040" s="24" t="e">
        <f ca="1">[1]!BexGetData("DP_1","003N8EMH8GTFRCSWKMPXRRRFI","GSON1112060955")</f>
        <v>#NAME?</v>
      </c>
      <c r="G1040" s="24" t="e">
        <f ca="1">[1]!BexGetData("DP_1","003N8EMH8GTFRCSWKMPXRRXR2","GSON1112060955")</f>
        <v>#NAME?</v>
      </c>
      <c r="H1040" s="24" t="e">
        <f ca="1">[1]!BexGetData("DP_1","003N8EMH8GTFRCSWKMPXRS42M","GSON1112060955")</f>
        <v>#NAME?</v>
      </c>
      <c r="I1040" s="24" t="e">
        <f ca="1">[1]!BexGetData("DP_1","003N8EMH8GTFRCSWKMPXRSAE6","GSON1112060955")</f>
        <v>#NAME?</v>
      </c>
      <c r="J1040" s="24" t="e">
        <f ca="1">[1]!BexGetData("DP_1","003N8EMH8GTFRCSWKMPXRSGPQ","GSON1112060955")</f>
        <v>#NAME?</v>
      </c>
      <c r="K1040" s="28" t="e">
        <f ca="1">[1]!BexGetData("DP_1","003N8EMH8GTFRIVNUPY288VJH","GSON1112060955")</f>
        <v>#NAME?</v>
      </c>
      <c r="L1040" s="28" t="e">
        <f ca="1">[1]!BexGetData("DP_1","003N8EMH8GTFRIVNUPY2891V1","GSON1112060955")</f>
        <v>#NAME?</v>
      </c>
      <c r="M1040" s="28" t="e">
        <f ca="1">[1]!BexGetData("DP_1","003N8EMH8GTFRIVOG7KG9IQXA","GSON1112060955")</f>
        <v>#NAME?</v>
      </c>
      <c r="N1040" s="28" t="e">
        <f ca="1">[1]!BexGetData("DP_1","003N8EMH8GTFRIVOG7KG9IX8U","GSON1112060955")</f>
        <v>#NAME?</v>
      </c>
      <c r="O1040" s="28" t="e">
        <f ca="1">[1]!BexGetData("DP_1","003N8EMH8GTFRIVOG7KG9J3KE","GSON1112060955")</f>
        <v>#NAME?</v>
      </c>
      <c r="P1040" s="28" t="e">
        <f ca="1">[1]!BexGetData("DP_1","003N8EMH8GTFRIVOG7KG9J9VY","GSON1112060955")</f>
        <v>#NAME?</v>
      </c>
      <c r="Q1040" s="24" t="e">
        <f ca="1">[1]!BexGetData("DP_1","00O2TNJGODT0G5Z4TTKYMM5MT","GSON1112060955")</f>
        <v>#NAME?</v>
      </c>
      <c r="R1040" s="24" t="e">
        <f ca="1">[1]!BexGetData("DP_1","00O2TNJGODT0G5Z4TTKYMMBYD","GSON1112060955")</f>
        <v>#NAME?</v>
      </c>
      <c r="S1040" s="24" t="e">
        <f ca="1">[1]!BexGetData("DP_1","00O2TNJGODT0G5Z4TTKYMMI9X","GSON1112060955")</f>
        <v>#NAME?</v>
      </c>
      <c r="T1040" s="24" t="e">
        <f ca="1">[1]!BexGetData("DP_1","00O2TNJGODT0G5Z4TTKYMMOLH","GSON1112060955")</f>
        <v>#NAME?</v>
      </c>
      <c r="U1040" s="24" t="e">
        <f ca="1">[1]!BexGetData("DP_1","00O2TNJGODT0G5Z4TTKYMMUX1","GSON1112060955")</f>
        <v>#NAME?</v>
      </c>
      <c r="V1040" s="24" t="e">
        <f ca="1">[1]!BexGetData("DP_1","00O2TNJGODT0G5Z4TTKYMN18L","GSON1112060955")</f>
        <v>#NAME?</v>
      </c>
      <c r="W1040" s="24" t="e">
        <f ca="1">[1]!BexGetData("DP_1","00O2TNJGODT0G5Z4TTKYMN7K5","GSON1112060955")</f>
        <v>#NAME?</v>
      </c>
    </row>
    <row r="1041" spans="1:23" x14ac:dyDescent="0.2">
      <c r="A1041" s="36" t="s">
        <v>3436</v>
      </c>
      <c r="B1041" s="27" t="s">
        <v>3437</v>
      </c>
      <c r="C1041" s="23" t="e">
        <f ca="1">[1]!BexGetData("DP_1","003N8EMH8GTFRCSWKMPXRR8GU","GSON1112060960")</f>
        <v>#NAME?</v>
      </c>
      <c r="D1041" s="23" t="e">
        <f ca="1">[1]!BexGetData("DP_1","003N8EMH8GTFRCSWKMPXRRESE","GSON1112060960")</f>
        <v>#NAME?</v>
      </c>
      <c r="E1041" s="23" t="e">
        <f ca="1">[1]!BexGetData("DP_1","003N8EMH8GTFRCSWKMPXRRL3Y","GSON1112060960")</f>
        <v>#NAME?</v>
      </c>
      <c r="F1041" s="24" t="e">
        <f ca="1">[1]!BexGetData("DP_1","003N8EMH8GTFRCSWKMPXRRRFI","GSON1112060960")</f>
        <v>#NAME?</v>
      </c>
      <c r="G1041" s="24" t="e">
        <f ca="1">[1]!BexGetData("DP_1","003N8EMH8GTFRCSWKMPXRRXR2","GSON1112060960")</f>
        <v>#NAME?</v>
      </c>
      <c r="H1041" s="24" t="e">
        <f ca="1">[1]!BexGetData("DP_1","003N8EMH8GTFRCSWKMPXRS42M","GSON1112060960")</f>
        <v>#NAME?</v>
      </c>
      <c r="I1041" s="24" t="e">
        <f ca="1">[1]!BexGetData("DP_1","003N8EMH8GTFRCSWKMPXRSAE6","GSON1112060960")</f>
        <v>#NAME?</v>
      </c>
      <c r="J1041" s="24" t="e">
        <f ca="1">[1]!BexGetData("DP_1","003N8EMH8GTFRCSWKMPXRSGPQ","GSON1112060960")</f>
        <v>#NAME?</v>
      </c>
      <c r="K1041" s="23" t="e">
        <f ca="1">[1]!BexGetData("DP_1","003N8EMH8GTFRIVNUPY288VJH","GSON1112060960")</f>
        <v>#NAME?</v>
      </c>
      <c r="L1041" s="23" t="e">
        <f ca="1">[1]!BexGetData("DP_1","003N8EMH8GTFRIVNUPY2891V1","GSON1112060960")</f>
        <v>#NAME?</v>
      </c>
      <c r="M1041" s="28" t="e">
        <f ca="1">[1]!BexGetData("DP_1","003N8EMH8GTFRIVOG7KG9IQXA","GSON1112060960")</f>
        <v>#NAME?</v>
      </c>
      <c r="N1041" s="23" t="e">
        <f ca="1">[1]!BexGetData("DP_1","003N8EMH8GTFRIVOG7KG9IX8U","GSON1112060960")</f>
        <v>#NAME?</v>
      </c>
      <c r="O1041" s="28" t="e">
        <f ca="1">[1]!BexGetData("DP_1","003N8EMH8GTFRIVOG7KG9J3KE","GSON1112060960")</f>
        <v>#NAME?</v>
      </c>
      <c r="P1041" s="23" t="e">
        <f ca="1">[1]!BexGetData("DP_1","003N8EMH8GTFRIVOG7KG9J9VY","GSON1112060960")</f>
        <v>#NAME?</v>
      </c>
      <c r="Q1041" s="24" t="e">
        <f ca="1">[1]!BexGetData("DP_1","00O2TNJGODT0G5Z4TTKYMM5MT","GSON1112060960")</f>
        <v>#NAME?</v>
      </c>
      <c r="R1041" s="24" t="e">
        <f ca="1">[1]!BexGetData("DP_1","00O2TNJGODT0G5Z4TTKYMMBYD","GSON1112060960")</f>
        <v>#NAME?</v>
      </c>
      <c r="S1041" s="24" t="e">
        <f ca="1">[1]!BexGetData("DP_1","00O2TNJGODT0G5Z4TTKYMMI9X","GSON1112060960")</f>
        <v>#NAME?</v>
      </c>
      <c r="T1041" s="24" t="e">
        <f ca="1">[1]!BexGetData("DP_1","00O2TNJGODT0G5Z4TTKYMMOLH","GSON1112060960")</f>
        <v>#NAME?</v>
      </c>
      <c r="U1041" s="24" t="e">
        <f ca="1">[1]!BexGetData("DP_1","00O2TNJGODT0G5Z4TTKYMMUX1","GSON1112060960")</f>
        <v>#NAME?</v>
      </c>
      <c r="V1041" s="24" t="e">
        <f ca="1">[1]!BexGetData("DP_1","00O2TNJGODT0G5Z4TTKYMN18L","GSON1112060960")</f>
        <v>#NAME?</v>
      </c>
      <c r="W1041" s="24" t="e">
        <f ca="1">[1]!BexGetData("DP_1","00O2TNJGODT0G5Z4TTKYMN7K5","GSON1112060960")</f>
        <v>#NAME?</v>
      </c>
    </row>
    <row r="1042" spans="1:23" x14ac:dyDescent="0.2">
      <c r="A1042" s="36" t="s">
        <v>3438</v>
      </c>
      <c r="B1042" s="27" t="s">
        <v>3439</v>
      </c>
      <c r="C1042" s="23" t="e">
        <f ca="1">[1]!BexGetData("DP_1","003N8EMH8GTFRCSWKMPXRR8GU","GSON1112060961")</f>
        <v>#NAME?</v>
      </c>
      <c r="D1042" s="23" t="e">
        <f ca="1">[1]!BexGetData("DP_1","003N8EMH8GTFRCSWKMPXRRESE","GSON1112060961")</f>
        <v>#NAME?</v>
      </c>
      <c r="E1042" s="28" t="e">
        <f ca="1">[1]!BexGetData("DP_1","003N8EMH8GTFRCSWKMPXRRL3Y","GSON1112060961")</f>
        <v>#NAME?</v>
      </c>
      <c r="F1042" s="24" t="e">
        <f ca="1">[1]!BexGetData("DP_1","003N8EMH8GTFRCSWKMPXRRRFI","GSON1112060961")</f>
        <v>#NAME?</v>
      </c>
      <c r="G1042" s="24" t="e">
        <f ca="1">[1]!BexGetData("DP_1","003N8EMH8GTFRCSWKMPXRRXR2","GSON1112060961")</f>
        <v>#NAME?</v>
      </c>
      <c r="H1042" s="24" t="e">
        <f ca="1">[1]!BexGetData("DP_1","003N8EMH8GTFRCSWKMPXRS42M","GSON1112060961")</f>
        <v>#NAME?</v>
      </c>
      <c r="I1042" s="24" t="e">
        <f ca="1">[1]!BexGetData("DP_1","003N8EMH8GTFRCSWKMPXRSAE6","GSON1112060961")</f>
        <v>#NAME?</v>
      </c>
      <c r="J1042" s="24" t="e">
        <f ca="1">[1]!BexGetData("DP_1","003N8EMH8GTFRCSWKMPXRSGPQ","GSON1112060961")</f>
        <v>#NAME?</v>
      </c>
      <c r="K1042" s="28" t="e">
        <f ca="1">[1]!BexGetData("DP_1","003N8EMH8GTFRIVNUPY288VJH","GSON1112060961")</f>
        <v>#NAME?</v>
      </c>
      <c r="L1042" s="28" t="e">
        <f ca="1">[1]!BexGetData("DP_1","003N8EMH8GTFRIVNUPY2891V1","GSON1112060961")</f>
        <v>#NAME?</v>
      </c>
      <c r="M1042" s="28" t="e">
        <f ca="1">[1]!BexGetData("DP_1","003N8EMH8GTFRIVOG7KG9IQXA","GSON1112060961")</f>
        <v>#NAME?</v>
      </c>
      <c r="N1042" s="28" t="e">
        <f ca="1">[1]!BexGetData("DP_1","003N8EMH8GTFRIVOG7KG9IX8U","GSON1112060961")</f>
        <v>#NAME?</v>
      </c>
      <c r="O1042" s="28" t="e">
        <f ca="1">[1]!BexGetData("DP_1","003N8EMH8GTFRIVOG7KG9J3KE","GSON1112060961")</f>
        <v>#NAME?</v>
      </c>
      <c r="P1042" s="28" t="e">
        <f ca="1">[1]!BexGetData("DP_1","003N8EMH8GTFRIVOG7KG9J9VY","GSON1112060961")</f>
        <v>#NAME?</v>
      </c>
      <c r="Q1042" s="24" t="e">
        <f ca="1">[1]!BexGetData("DP_1","00O2TNJGODT0G5Z4TTKYMM5MT","GSON1112060961")</f>
        <v>#NAME?</v>
      </c>
      <c r="R1042" s="24" t="e">
        <f ca="1">[1]!BexGetData("DP_1","00O2TNJGODT0G5Z4TTKYMMBYD","GSON1112060961")</f>
        <v>#NAME?</v>
      </c>
      <c r="S1042" s="24" t="e">
        <f ca="1">[1]!BexGetData("DP_1","00O2TNJGODT0G5Z4TTKYMMI9X","GSON1112060961")</f>
        <v>#NAME?</v>
      </c>
      <c r="T1042" s="24" t="e">
        <f ca="1">[1]!BexGetData("DP_1","00O2TNJGODT0G5Z4TTKYMMOLH","GSON1112060961")</f>
        <v>#NAME?</v>
      </c>
      <c r="U1042" s="24" t="e">
        <f ca="1">[1]!BexGetData("DP_1","00O2TNJGODT0G5Z4TTKYMMUX1","GSON1112060961")</f>
        <v>#NAME?</v>
      </c>
      <c r="V1042" s="24" t="e">
        <f ca="1">[1]!BexGetData("DP_1","00O2TNJGODT0G5Z4TTKYMN18L","GSON1112060961")</f>
        <v>#NAME?</v>
      </c>
      <c r="W1042" s="24" t="e">
        <f ca="1">[1]!BexGetData("DP_1","00O2TNJGODT0G5Z4TTKYMN7K5","GSON1112060961")</f>
        <v>#NAME?</v>
      </c>
    </row>
    <row r="1043" spans="1:23" x14ac:dyDescent="0.2">
      <c r="A1043" s="36" t="s">
        <v>3440</v>
      </c>
      <c r="B1043" s="27" t="s">
        <v>3441</v>
      </c>
      <c r="C1043" s="23" t="e">
        <f ca="1">[1]!BexGetData("DP_1","003N8EMH8GTFRCSWKMPXRR8GU","GSON1112060963")</f>
        <v>#NAME?</v>
      </c>
      <c r="D1043" s="23" t="e">
        <f ca="1">[1]!BexGetData("DP_1","003N8EMH8GTFRCSWKMPXRRESE","GSON1112060963")</f>
        <v>#NAME?</v>
      </c>
      <c r="E1043" s="28" t="e">
        <f ca="1">[1]!BexGetData("DP_1","003N8EMH8GTFRCSWKMPXRRL3Y","GSON1112060963")</f>
        <v>#NAME?</v>
      </c>
      <c r="F1043" s="24" t="e">
        <f ca="1">[1]!BexGetData("DP_1","003N8EMH8GTFRCSWKMPXRRRFI","GSON1112060963")</f>
        <v>#NAME?</v>
      </c>
      <c r="G1043" s="24" t="e">
        <f ca="1">[1]!BexGetData("DP_1","003N8EMH8GTFRCSWKMPXRRXR2","GSON1112060963")</f>
        <v>#NAME?</v>
      </c>
      <c r="H1043" s="24" t="e">
        <f ca="1">[1]!BexGetData("DP_1","003N8EMH8GTFRCSWKMPXRS42M","GSON1112060963")</f>
        <v>#NAME?</v>
      </c>
      <c r="I1043" s="24" t="e">
        <f ca="1">[1]!BexGetData("DP_1","003N8EMH8GTFRCSWKMPXRSAE6","GSON1112060963")</f>
        <v>#NAME?</v>
      </c>
      <c r="J1043" s="24" t="e">
        <f ca="1">[1]!BexGetData("DP_1","003N8EMH8GTFRCSWKMPXRSGPQ","GSON1112060963")</f>
        <v>#NAME?</v>
      </c>
      <c r="K1043" s="28" t="e">
        <f ca="1">[1]!BexGetData("DP_1","003N8EMH8GTFRIVNUPY288VJH","GSON1112060963")</f>
        <v>#NAME?</v>
      </c>
      <c r="L1043" s="28" t="e">
        <f ca="1">[1]!BexGetData("DP_1","003N8EMH8GTFRIVNUPY2891V1","GSON1112060963")</f>
        <v>#NAME?</v>
      </c>
      <c r="M1043" s="28" t="e">
        <f ca="1">[1]!BexGetData("DP_1","003N8EMH8GTFRIVOG7KG9IQXA","GSON1112060963")</f>
        <v>#NAME?</v>
      </c>
      <c r="N1043" s="28" t="e">
        <f ca="1">[1]!BexGetData("DP_1","003N8EMH8GTFRIVOG7KG9IX8U","GSON1112060963")</f>
        <v>#NAME?</v>
      </c>
      <c r="O1043" s="28" t="e">
        <f ca="1">[1]!BexGetData("DP_1","003N8EMH8GTFRIVOG7KG9J3KE","GSON1112060963")</f>
        <v>#NAME?</v>
      </c>
      <c r="P1043" s="28" t="e">
        <f ca="1">[1]!BexGetData("DP_1","003N8EMH8GTFRIVOG7KG9J9VY","GSON1112060963")</f>
        <v>#NAME?</v>
      </c>
      <c r="Q1043" s="24" t="e">
        <f ca="1">[1]!BexGetData("DP_1","00O2TNJGODT0G5Z4TTKYMM5MT","GSON1112060963")</f>
        <v>#NAME?</v>
      </c>
      <c r="R1043" s="24" t="e">
        <f ca="1">[1]!BexGetData("DP_1","00O2TNJGODT0G5Z4TTKYMMBYD","GSON1112060963")</f>
        <v>#NAME?</v>
      </c>
      <c r="S1043" s="24" t="e">
        <f ca="1">[1]!BexGetData("DP_1","00O2TNJGODT0G5Z4TTKYMMI9X","GSON1112060963")</f>
        <v>#NAME?</v>
      </c>
      <c r="T1043" s="24" t="e">
        <f ca="1">[1]!BexGetData("DP_1","00O2TNJGODT0G5Z4TTKYMMOLH","GSON1112060963")</f>
        <v>#NAME?</v>
      </c>
      <c r="U1043" s="24" t="e">
        <f ca="1">[1]!BexGetData("DP_1","00O2TNJGODT0G5Z4TTKYMMUX1","GSON1112060963")</f>
        <v>#NAME?</v>
      </c>
      <c r="V1043" s="24" t="e">
        <f ca="1">[1]!BexGetData("DP_1","00O2TNJGODT0G5Z4TTKYMN18L","GSON1112060963")</f>
        <v>#NAME?</v>
      </c>
      <c r="W1043" s="24" t="e">
        <f ca="1">[1]!BexGetData("DP_1","00O2TNJGODT0G5Z4TTKYMN7K5","GSON1112060963")</f>
        <v>#NAME?</v>
      </c>
    </row>
    <row r="1044" spans="1:23" x14ac:dyDescent="0.2">
      <c r="A1044" s="36" t="s">
        <v>3442</v>
      </c>
      <c r="B1044" s="27" t="s">
        <v>3443</v>
      </c>
      <c r="C1044" s="23" t="e">
        <f ca="1">[1]!BexGetData("DP_1","003N8EMH8GTFRCSWKMPXRR8GU","GSON1112060964")</f>
        <v>#NAME?</v>
      </c>
      <c r="D1044" s="23" t="e">
        <f ca="1">[1]!BexGetData("DP_1","003N8EMH8GTFRCSWKMPXRRESE","GSON1112060964")</f>
        <v>#NAME?</v>
      </c>
      <c r="E1044" s="28" t="e">
        <f ca="1">[1]!BexGetData("DP_1","003N8EMH8GTFRCSWKMPXRRL3Y","GSON1112060964")</f>
        <v>#NAME?</v>
      </c>
      <c r="F1044" s="24" t="e">
        <f ca="1">[1]!BexGetData("DP_1","003N8EMH8GTFRCSWKMPXRRRFI","GSON1112060964")</f>
        <v>#NAME?</v>
      </c>
      <c r="G1044" s="24" t="e">
        <f ca="1">[1]!BexGetData("DP_1","003N8EMH8GTFRCSWKMPXRRXR2","GSON1112060964")</f>
        <v>#NAME?</v>
      </c>
      <c r="H1044" s="24" t="e">
        <f ca="1">[1]!BexGetData("DP_1","003N8EMH8GTFRCSWKMPXRS42M","GSON1112060964")</f>
        <v>#NAME?</v>
      </c>
      <c r="I1044" s="24" t="e">
        <f ca="1">[1]!BexGetData("DP_1","003N8EMH8GTFRCSWKMPXRSAE6","GSON1112060964")</f>
        <v>#NAME?</v>
      </c>
      <c r="J1044" s="24" t="e">
        <f ca="1">[1]!BexGetData("DP_1","003N8EMH8GTFRCSWKMPXRSGPQ","GSON1112060964")</f>
        <v>#NAME?</v>
      </c>
      <c r="K1044" s="28" t="e">
        <f ca="1">[1]!BexGetData("DP_1","003N8EMH8GTFRIVNUPY288VJH","GSON1112060964")</f>
        <v>#NAME?</v>
      </c>
      <c r="L1044" s="28" t="e">
        <f ca="1">[1]!BexGetData("DP_1","003N8EMH8GTFRIVNUPY2891V1","GSON1112060964")</f>
        <v>#NAME?</v>
      </c>
      <c r="M1044" s="28" t="e">
        <f ca="1">[1]!BexGetData("DP_1","003N8EMH8GTFRIVOG7KG9IQXA","GSON1112060964")</f>
        <v>#NAME?</v>
      </c>
      <c r="N1044" s="28" t="e">
        <f ca="1">[1]!BexGetData("DP_1","003N8EMH8GTFRIVOG7KG9IX8U","GSON1112060964")</f>
        <v>#NAME?</v>
      </c>
      <c r="O1044" s="28" t="e">
        <f ca="1">[1]!BexGetData("DP_1","003N8EMH8GTFRIVOG7KG9J3KE","GSON1112060964")</f>
        <v>#NAME?</v>
      </c>
      <c r="P1044" s="28" t="e">
        <f ca="1">[1]!BexGetData("DP_1","003N8EMH8GTFRIVOG7KG9J9VY","GSON1112060964")</f>
        <v>#NAME?</v>
      </c>
      <c r="Q1044" s="24" t="e">
        <f ca="1">[1]!BexGetData("DP_1","00O2TNJGODT0G5Z4TTKYMM5MT","GSON1112060964")</f>
        <v>#NAME?</v>
      </c>
      <c r="R1044" s="24" t="e">
        <f ca="1">[1]!BexGetData("DP_1","00O2TNJGODT0G5Z4TTKYMMBYD","GSON1112060964")</f>
        <v>#NAME?</v>
      </c>
      <c r="S1044" s="24" t="e">
        <f ca="1">[1]!BexGetData("DP_1","00O2TNJGODT0G5Z4TTKYMMI9X","GSON1112060964")</f>
        <v>#NAME?</v>
      </c>
      <c r="T1044" s="24" t="e">
        <f ca="1">[1]!BexGetData("DP_1","00O2TNJGODT0G5Z4TTKYMMOLH","GSON1112060964")</f>
        <v>#NAME?</v>
      </c>
      <c r="U1044" s="24" t="e">
        <f ca="1">[1]!BexGetData("DP_1","00O2TNJGODT0G5Z4TTKYMMUX1","GSON1112060964")</f>
        <v>#NAME?</v>
      </c>
      <c r="V1044" s="24" t="e">
        <f ca="1">[1]!BexGetData("DP_1","00O2TNJGODT0G5Z4TTKYMN18L","GSON1112060964")</f>
        <v>#NAME?</v>
      </c>
      <c r="W1044" s="24" t="e">
        <f ca="1">[1]!BexGetData("DP_1","00O2TNJGODT0G5Z4TTKYMN7K5","GSON1112060964")</f>
        <v>#NAME?</v>
      </c>
    </row>
    <row r="1045" spans="1:23" x14ac:dyDescent="0.2">
      <c r="A1045" s="36" t="s">
        <v>3444</v>
      </c>
      <c r="B1045" s="27" t="s">
        <v>3445</v>
      </c>
      <c r="C1045" s="23" t="e">
        <f ca="1">[1]!BexGetData("DP_1","003N8EMH8GTFRCSWKMPXRR8GU","GSON1112060965")</f>
        <v>#NAME?</v>
      </c>
      <c r="D1045" s="23" t="e">
        <f ca="1">[1]!BexGetData("DP_1","003N8EMH8GTFRCSWKMPXRRESE","GSON1112060965")</f>
        <v>#NAME?</v>
      </c>
      <c r="E1045" s="28" t="e">
        <f ca="1">[1]!BexGetData("DP_1","003N8EMH8GTFRCSWKMPXRRL3Y","GSON1112060965")</f>
        <v>#NAME?</v>
      </c>
      <c r="F1045" s="24" t="e">
        <f ca="1">[1]!BexGetData("DP_1","003N8EMH8GTFRCSWKMPXRRRFI","GSON1112060965")</f>
        <v>#NAME?</v>
      </c>
      <c r="G1045" s="24" t="e">
        <f ca="1">[1]!BexGetData("DP_1","003N8EMH8GTFRCSWKMPXRRXR2","GSON1112060965")</f>
        <v>#NAME?</v>
      </c>
      <c r="H1045" s="24" t="e">
        <f ca="1">[1]!BexGetData("DP_1","003N8EMH8GTFRCSWKMPXRS42M","GSON1112060965")</f>
        <v>#NAME?</v>
      </c>
      <c r="I1045" s="24" t="e">
        <f ca="1">[1]!BexGetData("DP_1","003N8EMH8GTFRCSWKMPXRSAE6","GSON1112060965")</f>
        <v>#NAME?</v>
      </c>
      <c r="J1045" s="24" t="e">
        <f ca="1">[1]!BexGetData("DP_1","003N8EMH8GTFRCSWKMPXRSGPQ","GSON1112060965")</f>
        <v>#NAME?</v>
      </c>
      <c r="K1045" s="28" t="e">
        <f ca="1">[1]!BexGetData("DP_1","003N8EMH8GTFRIVNUPY288VJH","GSON1112060965")</f>
        <v>#NAME?</v>
      </c>
      <c r="L1045" s="28" t="e">
        <f ca="1">[1]!BexGetData("DP_1","003N8EMH8GTFRIVNUPY2891V1","GSON1112060965")</f>
        <v>#NAME?</v>
      </c>
      <c r="M1045" s="28" t="e">
        <f ca="1">[1]!BexGetData("DP_1","003N8EMH8GTFRIVOG7KG9IQXA","GSON1112060965")</f>
        <v>#NAME?</v>
      </c>
      <c r="N1045" s="28" t="e">
        <f ca="1">[1]!BexGetData("DP_1","003N8EMH8GTFRIVOG7KG9IX8U","GSON1112060965")</f>
        <v>#NAME?</v>
      </c>
      <c r="O1045" s="28" t="e">
        <f ca="1">[1]!BexGetData("DP_1","003N8EMH8GTFRIVOG7KG9J3KE","GSON1112060965")</f>
        <v>#NAME?</v>
      </c>
      <c r="P1045" s="28" t="e">
        <f ca="1">[1]!BexGetData("DP_1","003N8EMH8GTFRIVOG7KG9J9VY","GSON1112060965")</f>
        <v>#NAME?</v>
      </c>
      <c r="Q1045" s="24" t="e">
        <f ca="1">[1]!BexGetData("DP_1","00O2TNJGODT0G5Z4TTKYMM5MT","GSON1112060965")</f>
        <v>#NAME?</v>
      </c>
      <c r="R1045" s="24" t="e">
        <f ca="1">[1]!BexGetData("DP_1","00O2TNJGODT0G5Z4TTKYMMBYD","GSON1112060965")</f>
        <v>#NAME?</v>
      </c>
      <c r="S1045" s="24" t="e">
        <f ca="1">[1]!BexGetData("DP_1","00O2TNJGODT0G5Z4TTKYMMI9X","GSON1112060965")</f>
        <v>#NAME?</v>
      </c>
      <c r="T1045" s="24" t="e">
        <f ca="1">[1]!BexGetData("DP_1","00O2TNJGODT0G5Z4TTKYMMOLH","GSON1112060965")</f>
        <v>#NAME?</v>
      </c>
      <c r="U1045" s="24" t="e">
        <f ca="1">[1]!BexGetData("DP_1","00O2TNJGODT0G5Z4TTKYMMUX1","GSON1112060965")</f>
        <v>#NAME?</v>
      </c>
      <c r="V1045" s="24" t="e">
        <f ca="1">[1]!BexGetData("DP_1","00O2TNJGODT0G5Z4TTKYMN18L","GSON1112060965")</f>
        <v>#NAME?</v>
      </c>
      <c r="W1045" s="24" t="e">
        <f ca="1">[1]!BexGetData("DP_1","00O2TNJGODT0G5Z4TTKYMN7K5","GSON1112060965")</f>
        <v>#NAME?</v>
      </c>
    </row>
    <row r="1046" spans="1:23" x14ac:dyDescent="0.2">
      <c r="A1046" s="36" t="s">
        <v>3446</v>
      </c>
      <c r="B1046" s="27" t="s">
        <v>3447</v>
      </c>
      <c r="C1046" s="23" t="e">
        <f ca="1">[1]!BexGetData("DP_1","003N8EMH8GTFRCSWKMPXRR8GU","GSON1112060970")</f>
        <v>#NAME?</v>
      </c>
      <c r="D1046" s="23" t="e">
        <f ca="1">[1]!BexGetData("DP_1","003N8EMH8GTFRCSWKMPXRRESE","GSON1112060970")</f>
        <v>#NAME?</v>
      </c>
      <c r="E1046" s="23" t="e">
        <f ca="1">[1]!BexGetData("DP_1","003N8EMH8GTFRCSWKMPXRRL3Y","GSON1112060970")</f>
        <v>#NAME?</v>
      </c>
      <c r="F1046" s="24" t="e">
        <f ca="1">[1]!BexGetData("DP_1","003N8EMH8GTFRCSWKMPXRRRFI","GSON1112060970")</f>
        <v>#NAME?</v>
      </c>
      <c r="G1046" s="24" t="e">
        <f ca="1">[1]!BexGetData("DP_1","003N8EMH8GTFRCSWKMPXRRXR2","GSON1112060970")</f>
        <v>#NAME?</v>
      </c>
      <c r="H1046" s="24" t="e">
        <f ca="1">[1]!BexGetData("DP_1","003N8EMH8GTFRCSWKMPXRS42M","GSON1112060970")</f>
        <v>#NAME?</v>
      </c>
      <c r="I1046" s="24" t="e">
        <f ca="1">[1]!BexGetData("DP_1","003N8EMH8GTFRCSWKMPXRSAE6","GSON1112060970")</f>
        <v>#NAME?</v>
      </c>
      <c r="J1046" s="24" t="e">
        <f ca="1">[1]!BexGetData("DP_1","003N8EMH8GTFRCSWKMPXRSGPQ","GSON1112060970")</f>
        <v>#NAME?</v>
      </c>
      <c r="K1046" s="23" t="e">
        <f ca="1">[1]!BexGetData("DP_1","003N8EMH8GTFRIVNUPY288VJH","GSON1112060970")</f>
        <v>#NAME?</v>
      </c>
      <c r="L1046" s="23" t="e">
        <f ca="1">[1]!BexGetData("DP_1","003N8EMH8GTFRIVNUPY2891V1","GSON1112060970")</f>
        <v>#NAME?</v>
      </c>
      <c r="M1046" s="28" t="e">
        <f ca="1">[1]!BexGetData("DP_1","003N8EMH8GTFRIVOG7KG9IQXA","GSON1112060970")</f>
        <v>#NAME?</v>
      </c>
      <c r="N1046" s="23" t="e">
        <f ca="1">[1]!BexGetData("DP_1","003N8EMH8GTFRIVOG7KG9IX8U","GSON1112060970")</f>
        <v>#NAME?</v>
      </c>
      <c r="O1046" s="28" t="e">
        <f ca="1">[1]!BexGetData("DP_1","003N8EMH8GTFRIVOG7KG9J3KE","GSON1112060970")</f>
        <v>#NAME?</v>
      </c>
      <c r="P1046" s="23" t="e">
        <f ca="1">[1]!BexGetData("DP_1","003N8EMH8GTFRIVOG7KG9J9VY","GSON1112060970")</f>
        <v>#NAME?</v>
      </c>
      <c r="Q1046" s="24" t="e">
        <f ca="1">[1]!BexGetData("DP_1","00O2TNJGODT0G5Z4TTKYMM5MT","GSON1112060970")</f>
        <v>#NAME?</v>
      </c>
      <c r="R1046" s="24" t="e">
        <f ca="1">[1]!BexGetData("DP_1","00O2TNJGODT0G5Z4TTKYMMBYD","GSON1112060970")</f>
        <v>#NAME?</v>
      </c>
      <c r="S1046" s="24" t="e">
        <f ca="1">[1]!BexGetData("DP_1","00O2TNJGODT0G5Z4TTKYMMI9X","GSON1112060970")</f>
        <v>#NAME?</v>
      </c>
      <c r="T1046" s="24" t="e">
        <f ca="1">[1]!BexGetData("DP_1","00O2TNJGODT0G5Z4TTKYMMOLH","GSON1112060970")</f>
        <v>#NAME?</v>
      </c>
      <c r="U1046" s="24" t="e">
        <f ca="1">[1]!BexGetData("DP_1","00O2TNJGODT0G5Z4TTKYMMUX1","GSON1112060970")</f>
        <v>#NAME?</v>
      </c>
      <c r="V1046" s="24" t="e">
        <f ca="1">[1]!BexGetData("DP_1","00O2TNJGODT0G5Z4TTKYMN18L","GSON1112060970")</f>
        <v>#NAME?</v>
      </c>
      <c r="W1046" s="24" t="e">
        <f ca="1">[1]!BexGetData("DP_1","00O2TNJGODT0G5Z4TTKYMN7K5","GSON1112060970")</f>
        <v>#NAME?</v>
      </c>
    </row>
    <row r="1047" spans="1:23" x14ac:dyDescent="0.2">
      <c r="A1047" s="36" t="s">
        <v>3448</v>
      </c>
      <c r="B1047" s="27" t="s">
        <v>3449</v>
      </c>
      <c r="C1047" s="23" t="e">
        <f ca="1">[1]!BexGetData("DP_1","003N8EMH8GTFRCSWKMPXRR8GU","GSON1112060971")</f>
        <v>#NAME?</v>
      </c>
      <c r="D1047" s="23" t="e">
        <f ca="1">[1]!BexGetData("DP_1","003N8EMH8GTFRCSWKMPXRRESE","GSON1112060971")</f>
        <v>#NAME?</v>
      </c>
      <c r="E1047" s="28" t="e">
        <f ca="1">[1]!BexGetData("DP_1","003N8EMH8GTFRCSWKMPXRRL3Y","GSON1112060971")</f>
        <v>#NAME?</v>
      </c>
      <c r="F1047" s="24" t="e">
        <f ca="1">[1]!BexGetData("DP_1","003N8EMH8GTFRCSWKMPXRRRFI","GSON1112060971")</f>
        <v>#NAME?</v>
      </c>
      <c r="G1047" s="24" t="e">
        <f ca="1">[1]!BexGetData("DP_1","003N8EMH8GTFRCSWKMPXRRXR2","GSON1112060971")</f>
        <v>#NAME?</v>
      </c>
      <c r="H1047" s="24" t="e">
        <f ca="1">[1]!BexGetData("DP_1","003N8EMH8GTFRCSWKMPXRS42M","GSON1112060971")</f>
        <v>#NAME?</v>
      </c>
      <c r="I1047" s="24" t="e">
        <f ca="1">[1]!BexGetData("DP_1","003N8EMH8GTFRCSWKMPXRSAE6","GSON1112060971")</f>
        <v>#NAME?</v>
      </c>
      <c r="J1047" s="24" t="e">
        <f ca="1">[1]!BexGetData("DP_1","003N8EMH8GTFRCSWKMPXRSGPQ","GSON1112060971")</f>
        <v>#NAME?</v>
      </c>
      <c r="K1047" s="28" t="e">
        <f ca="1">[1]!BexGetData("DP_1","003N8EMH8GTFRIVNUPY288VJH","GSON1112060971")</f>
        <v>#NAME?</v>
      </c>
      <c r="L1047" s="28" t="e">
        <f ca="1">[1]!BexGetData("DP_1","003N8EMH8GTFRIVNUPY2891V1","GSON1112060971")</f>
        <v>#NAME?</v>
      </c>
      <c r="M1047" s="28" t="e">
        <f ca="1">[1]!BexGetData("DP_1","003N8EMH8GTFRIVOG7KG9IQXA","GSON1112060971")</f>
        <v>#NAME?</v>
      </c>
      <c r="N1047" s="28" t="e">
        <f ca="1">[1]!BexGetData("DP_1","003N8EMH8GTFRIVOG7KG9IX8U","GSON1112060971")</f>
        <v>#NAME?</v>
      </c>
      <c r="O1047" s="28" t="e">
        <f ca="1">[1]!BexGetData("DP_1","003N8EMH8GTFRIVOG7KG9J3KE","GSON1112060971")</f>
        <v>#NAME?</v>
      </c>
      <c r="P1047" s="28" t="e">
        <f ca="1">[1]!BexGetData("DP_1","003N8EMH8GTFRIVOG7KG9J9VY","GSON1112060971")</f>
        <v>#NAME?</v>
      </c>
      <c r="Q1047" s="24" t="e">
        <f ca="1">[1]!BexGetData("DP_1","00O2TNJGODT0G5Z4TTKYMM5MT","GSON1112060971")</f>
        <v>#NAME?</v>
      </c>
      <c r="R1047" s="24" t="e">
        <f ca="1">[1]!BexGetData("DP_1","00O2TNJGODT0G5Z4TTKYMMBYD","GSON1112060971")</f>
        <v>#NAME?</v>
      </c>
      <c r="S1047" s="24" t="e">
        <f ca="1">[1]!BexGetData("DP_1","00O2TNJGODT0G5Z4TTKYMMI9X","GSON1112060971")</f>
        <v>#NAME?</v>
      </c>
      <c r="T1047" s="24" t="e">
        <f ca="1">[1]!BexGetData("DP_1","00O2TNJGODT0G5Z4TTKYMMOLH","GSON1112060971")</f>
        <v>#NAME?</v>
      </c>
      <c r="U1047" s="24" t="e">
        <f ca="1">[1]!BexGetData("DP_1","00O2TNJGODT0G5Z4TTKYMMUX1","GSON1112060971")</f>
        <v>#NAME?</v>
      </c>
      <c r="V1047" s="24" t="e">
        <f ca="1">[1]!BexGetData("DP_1","00O2TNJGODT0G5Z4TTKYMN18L","GSON1112060971")</f>
        <v>#NAME?</v>
      </c>
      <c r="W1047" s="24" t="e">
        <f ca="1">[1]!BexGetData("DP_1","00O2TNJGODT0G5Z4TTKYMN7K5","GSON1112060971")</f>
        <v>#NAME?</v>
      </c>
    </row>
    <row r="1048" spans="1:23" x14ac:dyDescent="0.2">
      <c r="A1048" s="36" t="s">
        <v>3450</v>
      </c>
      <c r="B1048" s="27" t="s">
        <v>3451</v>
      </c>
      <c r="C1048" s="23" t="e">
        <f ca="1">[1]!BexGetData("DP_1","003N8EMH8GTFRCSWKMPXRR8GU","GSON1112060973")</f>
        <v>#NAME?</v>
      </c>
      <c r="D1048" s="23" t="e">
        <f ca="1">[1]!BexGetData("DP_1","003N8EMH8GTFRCSWKMPXRRESE","GSON1112060973")</f>
        <v>#NAME?</v>
      </c>
      <c r="E1048" s="28" t="e">
        <f ca="1">[1]!BexGetData("DP_1","003N8EMH8GTFRCSWKMPXRRL3Y","GSON1112060973")</f>
        <v>#NAME?</v>
      </c>
      <c r="F1048" s="24" t="e">
        <f ca="1">[1]!BexGetData("DP_1","003N8EMH8GTFRCSWKMPXRRRFI","GSON1112060973")</f>
        <v>#NAME?</v>
      </c>
      <c r="G1048" s="24" t="e">
        <f ca="1">[1]!BexGetData("DP_1","003N8EMH8GTFRCSWKMPXRRXR2","GSON1112060973")</f>
        <v>#NAME?</v>
      </c>
      <c r="H1048" s="24" t="e">
        <f ca="1">[1]!BexGetData("DP_1","003N8EMH8GTFRCSWKMPXRS42M","GSON1112060973")</f>
        <v>#NAME?</v>
      </c>
      <c r="I1048" s="24" t="e">
        <f ca="1">[1]!BexGetData("DP_1","003N8EMH8GTFRCSWKMPXRSAE6","GSON1112060973")</f>
        <v>#NAME?</v>
      </c>
      <c r="J1048" s="24" t="e">
        <f ca="1">[1]!BexGetData("DP_1","003N8EMH8GTFRCSWKMPXRSGPQ","GSON1112060973")</f>
        <v>#NAME?</v>
      </c>
      <c r="K1048" s="28" t="e">
        <f ca="1">[1]!BexGetData("DP_1","003N8EMH8GTFRIVNUPY288VJH","GSON1112060973")</f>
        <v>#NAME?</v>
      </c>
      <c r="L1048" s="28" t="e">
        <f ca="1">[1]!BexGetData("DP_1","003N8EMH8GTFRIVNUPY2891V1","GSON1112060973")</f>
        <v>#NAME?</v>
      </c>
      <c r="M1048" s="28" t="e">
        <f ca="1">[1]!BexGetData("DP_1","003N8EMH8GTFRIVOG7KG9IQXA","GSON1112060973")</f>
        <v>#NAME?</v>
      </c>
      <c r="N1048" s="28" t="e">
        <f ca="1">[1]!BexGetData("DP_1","003N8EMH8GTFRIVOG7KG9IX8U","GSON1112060973")</f>
        <v>#NAME?</v>
      </c>
      <c r="O1048" s="28" t="e">
        <f ca="1">[1]!BexGetData("DP_1","003N8EMH8GTFRIVOG7KG9J3KE","GSON1112060973")</f>
        <v>#NAME?</v>
      </c>
      <c r="P1048" s="28" t="e">
        <f ca="1">[1]!BexGetData("DP_1","003N8EMH8GTFRIVOG7KG9J9VY","GSON1112060973")</f>
        <v>#NAME?</v>
      </c>
      <c r="Q1048" s="24" t="e">
        <f ca="1">[1]!BexGetData("DP_1","00O2TNJGODT0G5Z4TTKYMM5MT","GSON1112060973")</f>
        <v>#NAME?</v>
      </c>
      <c r="R1048" s="24" t="e">
        <f ca="1">[1]!BexGetData("DP_1","00O2TNJGODT0G5Z4TTKYMMBYD","GSON1112060973")</f>
        <v>#NAME?</v>
      </c>
      <c r="S1048" s="24" t="e">
        <f ca="1">[1]!BexGetData("DP_1","00O2TNJGODT0G5Z4TTKYMMI9X","GSON1112060973")</f>
        <v>#NAME?</v>
      </c>
      <c r="T1048" s="24" t="e">
        <f ca="1">[1]!BexGetData("DP_1","00O2TNJGODT0G5Z4TTKYMMOLH","GSON1112060973")</f>
        <v>#NAME?</v>
      </c>
      <c r="U1048" s="24" t="e">
        <f ca="1">[1]!BexGetData("DP_1","00O2TNJGODT0G5Z4TTKYMMUX1","GSON1112060973")</f>
        <v>#NAME?</v>
      </c>
      <c r="V1048" s="24" t="e">
        <f ca="1">[1]!BexGetData("DP_1","00O2TNJGODT0G5Z4TTKYMN18L","GSON1112060973")</f>
        <v>#NAME?</v>
      </c>
      <c r="W1048" s="24" t="e">
        <f ca="1">[1]!BexGetData("DP_1","00O2TNJGODT0G5Z4TTKYMN7K5","GSON1112060973")</f>
        <v>#NAME?</v>
      </c>
    </row>
    <row r="1049" spans="1:23" x14ac:dyDescent="0.2">
      <c r="A1049" s="36" t="s">
        <v>3452</v>
      </c>
      <c r="B1049" s="27" t="s">
        <v>3453</v>
      </c>
      <c r="C1049" s="23" t="e">
        <f ca="1">[1]!BexGetData("DP_1","003N8EMH8GTFRCSWKMPXRR8GU","GSON1112060974")</f>
        <v>#NAME?</v>
      </c>
      <c r="D1049" s="23" t="e">
        <f ca="1">[1]!BexGetData("DP_1","003N8EMH8GTFRCSWKMPXRRESE","GSON1112060974")</f>
        <v>#NAME?</v>
      </c>
      <c r="E1049" s="28" t="e">
        <f ca="1">[1]!BexGetData("DP_1","003N8EMH8GTFRCSWKMPXRRL3Y","GSON1112060974")</f>
        <v>#NAME?</v>
      </c>
      <c r="F1049" s="24" t="e">
        <f ca="1">[1]!BexGetData("DP_1","003N8EMH8GTFRCSWKMPXRRRFI","GSON1112060974")</f>
        <v>#NAME?</v>
      </c>
      <c r="G1049" s="24" t="e">
        <f ca="1">[1]!BexGetData("DP_1","003N8EMH8GTFRCSWKMPXRRXR2","GSON1112060974")</f>
        <v>#NAME?</v>
      </c>
      <c r="H1049" s="24" t="e">
        <f ca="1">[1]!BexGetData("DP_1","003N8EMH8GTFRCSWKMPXRS42M","GSON1112060974")</f>
        <v>#NAME?</v>
      </c>
      <c r="I1049" s="24" t="e">
        <f ca="1">[1]!BexGetData("DP_1","003N8EMH8GTFRCSWKMPXRSAE6","GSON1112060974")</f>
        <v>#NAME?</v>
      </c>
      <c r="J1049" s="24" t="e">
        <f ca="1">[1]!BexGetData("DP_1","003N8EMH8GTFRCSWKMPXRSGPQ","GSON1112060974")</f>
        <v>#NAME?</v>
      </c>
      <c r="K1049" s="28" t="e">
        <f ca="1">[1]!BexGetData("DP_1","003N8EMH8GTFRIVNUPY288VJH","GSON1112060974")</f>
        <v>#NAME?</v>
      </c>
      <c r="L1049" s="28" t="e">
        <f ca="1">[1]!BexGetData("DP_1","003N8EMH8GTFRIVNUPY2891V1","GSON1112060974")</f>
        <v>#NAME?</v>
      </c>
      <c r="M1049" s="28" t="e">
        <f ca="1">[1]!BexGetData("DP_1","003N8EMH8GTFRIVOG7KG9IQXA","GSON1112060974")</f>
        <v>#NAME?</v>
      </c>
      <c r="N1049" s="28" t="e">
        <f ca="1">[1]!BexGetData("DP_1","003N8EMH8GTFRIVOG7KG9IX8U","GSON1112060974")</f>
        <v>#NAME?</v>
      </c>
      <c r="O1049" s="28" t="e">
        <f ca="1">[1]!BexGetData("DP_1","003N8EMH8GTFRIVOG7KG9J3KE","GSON1112060974")</f>
        <v>#NAME?</v>
      </c>
      <c r="P1049" s="28" t="e">
        <f ca="1">[1]!BexGetData("DP_1","003N8EMH8GTFRIVOG7KG9J9VY","GSON1112060974")</f>
        <v>#NAME?</v>
      </c>
      <c r="Q1049" s="24" t="e">
        <f ca="1">[1]!BexGetData("DP_1","00O2TNJGODT0G5Z4TTKYMM5MT","GSON1112060974")</f>
        <v>#NAME?</v>
      </c>
      <c r="R1049" s="24" t="e">
        <f ca="1">[1]!BexGetData("DP_1","00O2TNJGODT0G5Z4TTKYMMBYD","GSON1112060974")</f>
        <v>#NAME?</v>
      </c>
      <c r="S1049" s="24" t="e">
        <f ca="1">[1]!BexGetData("DP_1","00O2TNJGODT0G5Z4TTKYMMI9X","GSON1112060974")</f>
        <v>#NAME?</v>
      </c>
      <c r="T1049" s="24" t="e">
        <f ca="1">[1]!BexGetData("DP_1","00O2TNJGODT0G5Z4TTKYMMOLH","GSON1112060974")</f>
        <v>#NAME?</v>
      </c>
      <c r="U1049" s="24" t="e">
        <f ca="1">[1]!BexGetData("DP_1","00O2TNJGODT0G5Z4TTKYMMUX1","GSON1112060974")</f>
        <v>#NAME?</v>
      </c>
      <c r="V1049" s="24" t="e">
        <f ca="1">[1]!BexGetData("DP_1","00O2TNJGODT0G5Z4TTKYMN18L","GSON1112060974")</f>
        <v>#NAME?</v>
      </c>
      <c r="W1049" s="24" t="e">
        <f ca="1">[1]!BexGetData("DP_1","00O2TNJGODT0G5Z4TTKYMN7K5","GSON1112060974")</f>
        <v>#NAME?</v>
      </c>
    </row>
    <row r="1050" spans="1:23" x14ac:dyDescent="0.2">
      <c r="A1050" s="36" t="s">
        <v>3454</v>
      </c>
      <c r="B1050" s="27" t="s">
        <v>3455</v>
      </c>
      <c r="C1050" s="23" t="e">
        <f ca="1">[1]!BexGetData("DP_1","003N8EMH8GTFRCSWKMPXRR8GU","GSON1112060975")</f>
        <v>#NAME?</v>
      </c>
      <c r="D1050" s="23" t="e">
        <f ca="1">[1]!BexGetData("DP_1","003N8EMH8GTFRCSWKMPXRRESE","GSON1112060975")</f>
        <v>#NAME?</v>
      </c>
      <c r="E1050" s="28" t="e">
        <f ca="1">[1]!BexGetData("DP_1","003N8EMH8GTFRCSWKMPXRRL3Y","GSON1112060975")</f>
        <v>#NAME?</v>
      </c>
      <c r="F1050" s="24" t="e">
        <f ca="1">[1]!BexGetData("DP_1","003N8EMH8GTFRCSWKMPXRRRFI","GSON1112060975")</f>
        <v>#NAME?</v>
      </c>
      <c r="G1050" s="24" t="e">
        <f ca="1">[1]!BexGetData("DP_1","003N8EMH8GTFRCSWKMPXRRXR2","GSON1112060975")</f>
        <v>#NAME?</v>
      </c>
      <c r="H1050" s="24" t="e">
        <f ca="1">[1]!BexGetData("DP_1","003N8EMH8GTFRCSWKMPXRS42M","GSON1112060975")</f>
        <v>#NAME?</v>
      </c>
      <c r="I1050" s="24" t="e">
        <f ca="1">[1]!BexGetData("DP_1","003N8EMH8GTFRCSWKMPXRSAE6","GSON1112060975")</f>
        <v>#NAME?</v>
      </c>
      <c r="J1050" s="24" t="e">
        <f ca="1">[1]!BexGetData("DP_1","003N8EMH8GTFRCSWKMPXRSGPQ","GSON1112060975")</f>
        <v>#NAME?</v>
      </c>
      <c r="K1050" s="28" t="e">
        <f ca="1">[1]!BexGetData("DP_1","003N8EMH8GTFRIVNUPY288VJH","GSON1112060975")</f>
        <v>#NAME?</v>
      </c>
      <c r="L1050" s="28" t="e">
        <f ca="1">[1]!BexGetData("DP_1","003N8EMH8GTFRIVNUPY2891V1","GSON1112060975")</f>
        <v>#NAME?</v>
      </c>
      <c r="M1050" s="28" t="e">
        <f ca="1">[1]!BexGetData("DP_1","003N8EMH8GTFRIVOG7KG9IQXA","GSON1112060975")</f>
        <v>#NAME?</v>
      </c>
      <c r="N1050" s="28" t="e">
        <f ca="1">[1]!BexGetData("DP_1","003N8EMH8GTFRIVOG7KG9IX8U","GSON1112060975")</f>
        <v>#NAME?</v>
      </c>
      <c r="O1050" s="28" t="e">
        <f ca="1">[1]!BexGetData("DP_1","003N8EMH8GTFRIVOG7KG9J3KE","GSON1112060975")</f>
        <v>#NAME?</v>
      </c>
      <c r="P1050" s="28" t="e">
        <f ca="1">[1]!BexGetData("DP_1","003N8EMH8GTFRIVOG7KG9J9VY","GSON1112060975")</f>
        <v>#NAME?</v>
      </c>
      <c r="Q1050" s="24" t="e">
        <f ca="1">[1]!BexGetData("DP_1","00O2TNJGODT0G5Z4TTKYMM5MT","GSON1112060975")</f>
        <v>#NAME?</v>
      </c>
      <c r="R1050" s="24" t="e">
        <f ca="1">[1]!BexGetData("DP_1","00O2TNJGODT0G5Z4TTKYMMBYD","GSON1112060975")</f>
        <v>#NAME?</v>
      </c>
      <c r="S1050" s="24" t="e">
        <f ca="1">[1]!BexGetData("DP_1","00O2TNJGODT0G5Z4TTKYMMI9X","GSON1112060975")</f>
        <v>#NAME?</v>
      </c>
      <c r="T1050" s="24" t="e">
        <f ca="1">[1]!BexGetData("DP_1","00O2TNJGODT0G5Z4TTKYMMOLH","GSON1112060975")</f>
        <v>#NAME?</v>
      </c>
      <c r="U1050" s="24" t="e">
        <f ca="1">[1]!BexGetData("DP_1","00O2TNJGODT0G5Z4TTKYMMUX1","GSON1112060975")</f>
        <v>#NAME?</v>
      </c>
      <c r="V1050" s="24" t="e">
        <f ca="1">[1]!BexGetData("DP_1","00O2TNJGODT0G5Z4TTKYMN18L","GSON1112060975")</f>
        <v>#NAME?</v>
      </c>
      <c r="W1050" s="24" t="e">
        <f ca="1">[1]!BexGetData("DP_1","00O2TNJGODT0G5Z4TTKYMN7K5","GSON1112060975")</f>
        <v>#NAME?</v>
      </c>
    </row>
    <row r="1051" spans="1:23" x14ac:dyDescent="0.2">
      <c r="A1051" s="36" t="s">
        <v>3456</v>
      </c>
      <c r="B1051" s="27" t="s">
        <v>3457</v>
      </c>
      <c r="C1051" s="23" t="e">
        <f ca="1">[1]!BexGetData("DP_1","003N8EMH8GTFRCSWKMPXRR8GU","GSON1112060980")</f>
        <v>#NAME?</v>
      </c>
      <c r="D1051" s="23" t="e">
        <f ca="1">[1]!BexGetData("DP_1","003N8EMH8GTFRCSWKMPXRRESE","GSON1112060980")</f>
        <v>#NAME?</v>
      </c>
      <c r="E1051" s="23" t="e">
        <f ca="1">[1]!BexGetData("DP_1","003N8EMH8GTFRCSWKMPXRRL3Y","GSON1112060980")</f>
        <v>#NAME?</v>
      </c>
      <c r="F1051" s="24" t="e">
        <f ca="1">[1]!BexGetData("DP_1","003N8EMH8GTFRCSWKMPXRRRFI","GSON1112060980")</f>
        <v>#NAME?</v>
      </c>
      <c r="G1051" s="24" t="e">
        <f ca="1">[1]!BexGetData("DP_1","003N8EMH8GTFRCSWKMPXRRXR2","GSON1112060980")</f>
        <v>#NAME?</v>
      </c>
      <c r="H1051" s="24" t="e">
        <f ca="1">[1]!BexGetData("DP_1","003N8EMH8GTFRCSWKMPXRS42M","GSON1112060980")</f>
        <v>#NAME?</v>
      </c>
      <c r="I1051" s="24" t="e">
        <f ca="1">[1]!BexGetData("DP_1","003N8EMH8GTFRCSWKMPXRSAE6","GSON1112060980")</f>
        <v>#NAME?</v>
      </c>
      <c r="J1051" s="24" t="e">
        <f ca="1">[1]!BexGetData("DP_1","003N8EMH8GTFRCSWKMPXRSGPQ","GSON1112060980")</f>
        <v>#NAME?</v>
      </c>
      <c r="K1051" s="23" t="e">
        <f ca="1">[1]!BexGetData("DP_1","003N8EMH8GTFRIVNUPY288VJH","GSON1112060980")</f>
        <v>#NAME?</v>
      </c>
      <c r="L1051" s="23" t="e">
        <f ca="1">[1]!BexGetData("DP_1","003N8EMH8GTFRIVNUPY2891V1","GSON1112060980")</f>
        <v>#NAME?</v>
      </c>
      <c r="M1051" s="28" t="e">
        <f ca="1">[1]!BexGetData("DP_1","003N8EMH8GTFRIVOG7KG9IQXA","GSON1112060980")</f>
        <v>#NAME?</v>
      </c>
      <c r="N1051" s="23" t="e">
        <f ca="1">[1]!BexGetData("DP_1","003N8EMH8GTFRIVOG7KG9IX8U","GSON1112060980")</f>
        <v>#NAME?</v>
      </c>
      <c r="O1051" s="28" t="e">
        <f ca="1">[1]!BexGetData("DP_1","003N8EMH8GTFRIVOG7KG9J3KE","GSON1112060980")</f>
        <v>#NAME?</v>
      </c>
      <c r="P1051" s="23" t="e">
        <f ca="1">[1]!BexGetData("DP_1","003N8EMH8GTFRIVOG7KG9J9VY","GSON1112060980")</f>
        <v>#NAME?</v>
      </c>
      <c r="Q1051" s="24" t="e">
        <f ca="1">[1]!BexGetData("DP_1","00O2TNJGODT0G5Z4TTKYMM5MT","GSON1112060980")</f>
        <v>#NAME?</v>
      </c>
      <c r="R1051" s="24" t="e">
        <f ca="1">[1]!BexGetData("DP_1","00O2TNJGODT0G5Z4TTKYMMBYD","GSON1112060980")</f>
        <v>#NAME?</v>
      </c>
      <c r="S1051" s="24" t="e">
        <f ca="1">[1]!BexGetData("DP_1","00O2TNJGODT0G5Z4TTKYMMI9X","GSON1112060980")</f>
        <v>#NAME?</v>
      </c>
      <c r="T1051" s="24" t="e">
        <f ca="1">[1]!BexGetData("DP_1","00O2TNJGODT0G5Z4TTKYMMOLH","GSON1112060980")</f>
        <v>#NAME?</v>
      </c>
      <c r="U1051" s="24" t="e">
        <f ca="1">[1]!BexGetData("DP_1","00O2TNJGODT0G5Z4TTKYMMUX1","GSON1112060980")</f>
        <v>#NAME?</v>
      </c>
      <c r="V1051" s="24" t="e">
        <f ca="1">[1]!BexGetData("DP_1","00O2TNJGODT0G5Z4TTKYMN18L","GSON1112060980")</f>
        <v>#NAME?</v>
      </c>
      <c r="W1051" s="24" t="e">
        <f ca="1">[1]!BexGetData("DP_1","00O2TNJGODT0G5Z4TTKYMN7K5","GSON1112060980")</f>
        <v>#NAME?</v>
      </c>
    </row>
    <row r="1052" spans="1:23" x14ac:dyDescent="0.2">
      <c r="A1052" s="36" t="s">
        <v>3458</v>
      </c>
      <c r="B1052" s="27" t="s">
        <v>3459</v>
      </c>
      <c r="C1052" s="23" t="e">
        <f ca="1">[1]!BexGetData("DP_1","003N8EMH8GTFRCSWKMPXRR8GU","GSON1112060981")</f>
        <v>#NAME?</v>
      </c>
      <c r="D1052" s="23" t="e">
        <f ca="1">[1]!BexGetData("DP_1","003N8EMH8GTFRCSWKMPXRRESE","GSON1112060981")</f>
        <v>#NAME?</v>
      </c>
      <c r="E1052" s="28" t="e">
        <f ca="1">[1]!BexGetData("DP_1","003N8EMH8GTFRCSWKMPXRRL3Y","GSON1112060981")</f>
        <v>#NAME?</v>
      </c>
      <c r="F1052" s="24" t="e">
        <f ca="1">[1]!BexGetData("DP_1","003N8EMH8GTFRCSWKMPXRRRFI","GSON1112060981")</f>
        <v>#NAME?</v>
      </c>
      <c r="G1052" s="24" t="e">
        <f ca="1">[1]!BexGetData("DP_1","003N8EMH8GTFRCSWKMPXRRXR2","GSON1112060981")</f>
        <v>#NAME?</v>
      </c>
      <c r="H1052" s="24" t="e">
        <f ca="1">[1]!BexGetData("DP_1","003N8EMH8GTFRCSWKMPXRS42M","GSON1112060981")</f>
        <v>#NAME?</v>
      </c>
      <c r="I1052" s="24" t="e">
        <f ca="1">[1]!BexGetData("DP_1","003N8EMH8GTFRCSWKMPXRSAE6","GSON1112060981")</f>
        <v>#NAME?</v>
      </c>
      <c r="J1052" s="24" t="e">
        <f ca="1">[1]!BexGetData("DP_1","003N8EMH8GTFRCSWKMPXRSGPQ","GSON1112060981")</f>
        <v>#NAME?</v>
      </c>
      <c r="K1052" s="28" t="e">
        <f ca="1">[1]!BexGetData("DP_1","003N8EMH8GTFRIVNUPY288VJH","GSON1112060981")</f>
        <v>#NAME?</v>
      </c>
      <c r="L1052" s="28" t="e">
        <f ca="1">[1]!BexGetData("DP_1","003N8EMH8GTFRIVNUPY2891V1","GSON1112060981")</f>
        <v>#NAME?</v>
      </c>
      <c r="M1052" s="28" t="e">
        <f ca="1">[1]!BexGetData("DP_1","003N8EMH8GTFRIVOG7KG9IQXA","GSON1112060981")</f>
        <v>#NAME?</v>
      </c>
      <c r="N1052" s="28" t="e">
        <f ca="1">[1]!BexGetData("DP_1","003N8EMH8GTFRIVOG7KG9IX8U","GSON1112060981")</f>
        <v>#NAME?</v>
      </c>
      <c r="O1052" s="28" t="e">
        <f ca="1">[1]!BexGetData("DP_1","003N8EMH8GTFRIVOG7KG9J3KE","GSON1112060981")</f>
        <v>#NAME?</v>
      </c>
      <c r="P1052" s="28" t="e">
        <f ca="1">[1]!BexGetData("DP_1","003N8EMH8GTFRIVOG7KG9J9VY","GSON1112060981")</f>
        <v>#NAME?</v>
      </c>
      <c r="Q1052" s="24" t="e">
        <f ca="1">[1]!BexGetData("DP_1","00O2TNJGODT0G5Z4TTKYMM5MT","GSON1112060981")</f>
        <v>#NAME?</v>
      </c>
      <c r="R1052" s="24" t="e">
        <f ca="1">[1]!BexGetData("DP_1","00O2TNJGODT0G5Z4TTKYMMBYD","GSON1112060981")</f>
        <v>#NAME?</v>
      </c>
      <c r="S1052" s="24" t="e">
        <f ca="1">[1]!BexGetData("DP_1","00O2TNJGODT0G5Z4TTKYMMI9X","GSON1112060981")</f>
        <v>#NAME?</v>
      </c>
      <c r="T1052" s="24" t="e">
        <f ca="1">[1]!BexGetData("DP_1","00O2TNJGODT0G5Z4TTKYMMOLH","GSON1112060981")</f>
        <v>#NAME?</v>
      </c>
      <c r="U1052" s="24" t="e">
        <f ca="1">[1]!BexGetData("DP_1","00O2TNJGODT0G5Z4TTKYMMUX1","GSON1112060981")</f>
        <v>#NAME?</v>
      </c>
      <c r="V1052" s="24" t="e">
        <f ca="1">[1]!BexGetData("DP_1","00O2TNJGODT0G5Z4TTKYMN18L","GSON1112060981")</f>
        <v>#NAME?</v>
      </c>
      <c r="W1052" s="24" t="e">
        <f ca="1">[1]!BexGetData("DP_1","00O2TNJGODT0G5Z4TTKYMN7K5","GSON1112060981")</f>
        <v>#NAME?</v>
      </c>
    </row>
    <row r="1053" spans="1:23" x14ac:dyDescent="0.2">
      <c r="A1053" s="36" t="s">
        <v>3460</v>
      </c>
      <c r="B1053" s="27" t="s">
        <v>3461</v>
      </c>
      <c r="C1053" s="23" t="e">
        <f ca="1">[1]!BexGetData("DP_1","003N8EMH8GTFRCSWKMPXRR8GU","GSON1112060982")</f>
        <v>#NAME?</v>
      </c>
      <c r="D1053" s="23" t="e">
        <f ca="1">[1]!BexGetData("DP_1","003N8EMH8GTFRCSWKMPXRRESE","GSON1112060982")</f>
        <v>#NAME?</v>
      </c>
      <c r="E1053" s="23" t="e">
        <f ca="1">[1]!BexGetData("DP_1","003N8EMH8GTFRCSWKMPXRRL3Y","GSON1112060982")</f>
        <v>#NAME?</v>
      </c>
      <c r="F1053" s="24" t="e">
        <f ca="1">[1]!BexGetData("DP_1","003N8EMH8GTFRCSWKMPXRRRFI","GSON1112060982")</f>
        <v>#NAME?</v>
      </c>
      <c r="G1053" s="24" t="e">
        <f ca="1">[1]!BexGetData("DP_1","003N8EMH8GTFRCSWKMPXRRXR2","GSON1112060982")</f>
        <v>#NAME?</v>
      </c>
      <c r="H1053" s="24" t="e">
        <f ca="1">[1]!BexGetData("DP_1","003N8EMH8GTFRCSWKMPXRS42M","GSON1112060982")</f>
        <v>#NAME?</v>
      </c>
      <c r="I1053" s="24" t="e">
        <f ca="1">[1]!BexGetData("DP_1","003N8EMH8GTFRCSWKMPXRSAE6","GSON1112060982")</f>
        <v>#NAME?</v>
      </c>
      <c r="J1053" s="24" t="e">
        <f ca="1">[1]!BexGetData("DP_1","003N8EMH8GTFRCSWKMPXRSGPQ","GSON1112060982")</f>
        <v>#NAME?</v>
      </c>
      <c r="K1053" s="23" t="e">
        <f ca="1">[1]!BexGetData("DP_1","003N8EMH8GTFRIVNUPY288VJH","GSON1112060982")</f>
        <v>#NAME?</v>
      </c>
      <c r="L1053" s="23" t="e">
        <f ca="1">[1]!BexGetData("DP_1","003N8EMH8GTFRIVNUPY2891V1","GSON1112060982")</f>
        <v>#NAME?</v>
      </c>
      <c r="M1053" s="23" t="e">
        <f ca="1">[1]!BexGetData("DP_1","003N8EMH8GTFRIVOG7KG9IQXA","GSON1112060982")</f>
        <v>#NAME?</v>
      </c>
      <c r="N1053" s="28" t="e">
        <f ca="1">[1]!BexGetData("DP_1","003N8EMH8GTFRIVOG7KG9IX8U","GSON1112060982")</f>
        <v>#NAME?</v>
      </c>
      <c r="O1053" s="23" t="e">
        <f ca="1">[1]!BexGetData("DP_1","003N8EMH8GTFRIVOG7KG9J3KE","GSON1112060982")</f>
        <v>#NAME?</v>
      </c>
      <c r="P1053" s="28" t="e">
        <f ca="1">[1]!BexGetData("DP_1","003N8EMH8GTFRIVOG7KG9J9VY","GSON1112060982")</f>
        <v>#NAME?</v>
      </c>
      <c r="Q1053" s="24" t="e">
        <f ca="1">[1]!BexGetData("DP_1","00O2TNJGODT0G5Z4TTKYMM5MT","GSON1112060982")</f>
        <v>#NAME?</v>
      </c>
      <c r="R1053" s="24" t="e">
        <f ca="1">[1]!BexGetData("DP_1","00O2TNJGODT0G5Z4TTKYMMBYD","GSON1112060982")</f>
        <v>#NAME?</v>
      </c>
      <c r="S1053" s="24" t="e">
        <f ca="1">[1]!BexGetData("DP_1","00O2TNJGODT0G5Z4TTKYMMI9X","GSON1112060982")</f>
        <v>#NAME?</v>
      </c>
      <c r="T1053" s="24" t="e">
        <f ca="1">[1]!BexGetData("DP_1","00O2TNJGODT0G5Z4TTKYMMOLH","GSON1112060982")</f>
        <v>#NAME?</v>
      </c>
      <c r="U1053" s="24" t="e">
        <f ca="1">[1]!BexGetData("DP_1","00O2TNJGODT0G5Z4TTKYMMUX1","GSON1112060982")</f>
        <v>#NAME?</v>
      </c>
      <c r="V1053" s="24" t="e">
        <f ca="1">[1]!BexGetData("DP_1","00O2TNJGODT0G5Z4TTKYMN18L","GSON1112060982")</f>
        <v>#NAME?</v>
      </c>
      <c r="W1053" s="24" t="e">
        <f ca="1">[1]!BexGetData("DP_1","00O2TNJGODT0G5Z4TTKYMN7K5","GSON1112060982")</f>
        <v>#NAME?</v>
      </c>
    </row>
    <row r="1054" spans="1:23" x14ac:dyDescent="0.2">
      <c r="A1054" s="36" t="s">
        <v>3462</v>
      </c>
      <c r="B1054" s="27" t="s">
        <v>3463</v>
      </c>
      <c r="C1054" s="23" t="e">
        <f ca="1">[1]!BexGetData("DP_1","003N8EMH8GTFRCSWKMPXRR8GU","GSON1112060983")</f>
        <v>#NAME?</v>
      </c>
      <c r="D1054" s="23" t="e">
        <f ca="1">[1]!BexGetData("DP_1","003N8EMH8GTFRCSWKMPXRRESE","GSON1112060983")</f>
        <v>#NAME?</v>
      </c>
      <c r="E1054" s="28" t="e">
        <f ca="1">[1]!BexGetData("DP_1","003N8EMH8GTFRCSWKMPXRRL3Y","GSON1112060983")</f>
        <v>#NAME?</v>
      </c>
      <c r="F1054" s="24" t="e">
        <f ca="1">[1]!BexGetData("DP_1","003N8EMH8GTFRCSWKMPXRRRFI","GSON1112060983")</f>
        <v>#NAME?</v>
      </c>
      <c r="G1054" s="24" t="e">
        <f ca="1">[1]!BexGetData("DP_1","003N8EMH8GTFRCSWKMPXRRXR2","GSON1112060983")</f>
        <v>#NAME?</v>
      </c>
      <c r="H1054" s="24" t="e">
        <f ca="1">[1]!BexGetData("DP_1","003N8EMH8GTFRCSWKMPXRS42M","GSON1112060983")</f>
        <v>#NAME?</v>
      </c>
      <c r="I1054" s="24" t="e">
        <f ca="1">[1]!BexGetData("DP_1","003N8EMH8GTFRCSWKMPXRSAE6","GSON1112060983")</f>
        <v>#NAME?</v>
      </c>
      <c r="J1054" s="24" t="e">
        <f ca="1">[1]!BexGetData("DP_1","003N8EMH8GTFRCSWKMPXRSGPQ","GSON1112060983")</f>
        <v>#NAME?</v>
      </c>
      <c r="K1054" s="28" t="e">
        <f ca="1">[1]!BexGetData("DP_1","003N8EMH8GTFRIVNUPY288VJH","GSON1112060983")</f>
        <v>#NAME?</v>
      </c>
      <c r="L1054" s="28" t="e">
        <f ca="1">[1]!BexGetData("DP_1","003N8EMH8GTFRIVNUPY2891V1","GSON1112060983")</f>
        <v>#NAME?</v>
      </c>
      <c r="M1054" s="28" t="e">
        <f ca="1">[1]!BexGetData("DP_1","003N8EMH8GTFRIVOG7KG9IQXA","GSON1112060983")</f>
        <v>#NAME?</v>
      </c>
      <c r="N1054" s="28" t="e">
        <f ca="1">[1]!BexGetData("DP_1","003N8EMH8GTFRIVOG7KG9IX8U","GSON1112060983")</f>
        <v>#NAME?</v>
      </c>
      <c r="O1054" s="28" t="e">
        <f ca="1">[1]!BexGetData("DP_1","003N8EMH8GTFRIVOG7KG9J3KE","GSON1112060983")</f>
        <v>#NAME?</v>
      </c>
      <c r="P1054" s="28" t="e">
        <f ca="1">[1]!BexGetData("DP_1","003N8EMH8GTFRIVOG7KG9J9VY","GSON1112060983")</f>
        <v>#NAME?</v>
      </c>
      <c r="Q1054" s="24" t="e">
        <f ca="1">[1]!BexGetData("DP_1","00O2TNJGODT0G5Z4TTKYMM5MT","GSON1112060983")</f>
        <v>#NAME?</v>
      </c>
      <c r="R1054" s="24" t="e">
        <f ca="1">[1]!BexGetData("DP_1","00O2TNJGODT0G5Z4TTKYMMBYD","GSON1112060983")</f>
        <v>#NAME?</v>
      </c>
      <c r="S1054" s="24" t="e">
        <f ca="1">[1]!BexGetData("DP_1","00O2TNJGODT0G5Z4TTKYMMI9X","GSON1112060983")</f>
        <v>#NAME?</v>
      </c>
      <c r="T1054" s="24" t="e">
        <f ca="1">[1]!BexGetData("DP_1","00O2TNJGODT0G5Z4TTKYMMOLH","GSON1112060983")</f>
        <v>#NAME?</v>
      </c>
      <c r="U1054" s="24" t="e">
        <f ca="1">[1]!BexGetData("DP_1","00O2TNJGODT0G5Z4TTKYMMUX1","GSON1112060983")</f>
        <v>#NAME?</v>
      </c>
      <c r="V1054" s="24" t="e">
        <f ca="1">[1]!BexGetData("DP_1","00O2TNJGODT0G5Z4TTKYMN18L","GSON1112060983")</f>
        <v>#NAME?</v>
      </c>
      <c r="W1054" s="24" t="e">
        <f ca="1">[1]!BexGetData("DP_1","00O2TNJGODT0G5Z4TTKYMN7K5","GSON1112060983")</f>
        <v>#NAME?</v>
      </c>
    </row>
    <row r="1055" spans="1:23" x14ac:dyDescent="0.2">
      <c r="A1055" s="36" t="s">
        <v>3464</v>
      </c>
      <c r="B1055" s="27" t="s">
        <v>3465</v>
      </c>
      <c r="C1055" s="23" t="e">
        <f ca="1">[1]!BexGetData("DP_1","003N8EMH8GTFRCSWKMPXRR8GU","GSON1112060984")</f>
        <v>#NAME?</v>
      </c>
      <c r="D1055" s="23" t="e">
        <f ca="1">[1]!BexGetData("DP_1","003N8EMH8GTFRCSWKMPXRRESE","GSON1112060984")</f>
        <v>#NAME?</v>
      </c>
      <c r="E1055" s="28" t="e">
        <f ca="1">[1]!BexGetData("DP_1","003N8EMH8GTFRCSWKMPXRRL3Y","GSON1112060984")</f>
        <v>#NAME?</v>
      </c>
      <c r="F1055" s="24" t="e">
        <f ca="1">[1]!BexGetData("DP_1","003N8EMH8GTFRCSWKMPXRRRFI","GSON1112060984")</f>
        <v>#NAME?</v>
      </c>
      <c r="G1055" s="24" t="e">
        <f ca="1">[1]!BexGetData("DP_1","003N8EMH8GTFRCSWKMPXRRXR2","GSON1112060984")</f>
        <v>#NAME?</v>
      </c>
      <c r="H1055" s="24" t="e">
        <f ca="1">[1]!BexGetData("DP_1","003N8EMH8GTFRCSWKMPXRS42M","GSON1112060984")</f>
        <v>#NAME?</v>
      </c>
      <c r="I1055" s="24" t="e">
        <f ca="1">[1]!BexGetData("DP_1","003N8EMH8GTFRCSWKMPXRSAE6","GSON1112060984")</f>
        <v>#NAME?</v>
      </c>
      <c r="J1055" s="24" t="e">
        <f ca="1">[1]!BexGetData("DP_1","003N8EMH8GTFRCSWKMPXRSGPQ","GSON1112060984")</f>
        <v>#NAME?</v>
      </c>
      <c r="K1055" s="28" t="e">
        <f ca="1">[1]!BexGetData("DP_1","003N8EMH8GTFRIVNUPY288VJH","GSON1112060984")</f>
        <v>#NAME?</v>
      </c>
      <c r="L1055" s="28" t="e">
        <f ca="1">[1]!BexGetData("DP_1","003N8EMH8GTFRIVNUPY2891V1","GSON1112060984")</f>
        <v>#NAME?</v>
      </c>
      <c r="M1055" s="28" t="e">
        <f ca="1">[1]!BexGetData("DP_1","003N8EMH8GTFRIVOG7KG9IQXA","GSON1112060984")</f>
        <v>#NAME?</v>
      </c>
      <c r="N1055" s="28" t="e">
        <f ca="1">[1]!BexGetData("DP_1","003N8EMH8GTFRIVOG7KG9IX8U","GSON1112060984")</f>
        <v>#NAME?</v>
      </c>
      <c r="O1055" s="28" t="e">
        <f ca="1">[1]!BexGetData("DP_1","003N8EMH8GTFRIVOG7KG9J3KE","GSON1112060984")</f>
        <v>#NAME?</v>
      </c>
      <c r="P1055" s="28" t="e">
        <f ca="1">[1]!BexGetData("DP_1","003N8EMH8GTFRIVOG7KG9J9VY","GSON1112060984")</f>
        <v>#NAME?</v>
      </c>
      <c r="Q1055" s="24" t="e">
        <f ca="1">[1]!BexGetData("DP_1","00O2TNJGODT0G5Z4TTKYMM5MT","GSON1112060984")</f>
        <v>#NAME?</v>
      </c>
      <c r="R1055" s="24" t="e">
        <f ca="1">[1]!BexGetData("DP_1","00O2TNJGODT0G5Z4TTKYMMBYD","GSON1112060984")</f>
        <v>#NAME?</v>
      </c>
      <c r="S1055" s="24" t="e">
        <f ca="1">[1]!BexGetData("DP_1","00O2TNJGODT0G5Z4TTKYMMI9X","GSON1112060984")</f>
        <v>#NAME?</v>
      </c>
      <c r="T1055" s="24" t="e">
        <f ca="1">[1]!BexGetData("DP_1","00O2TNJGODT0G5Z4TTKYMMOLH","GSON1112060984")</f>
        <v>#NAME?</v>
      </c>
      <c r="U1055" s="24" t="e">
        <f ca="1">[1]!BexGetData("DP_1","00O2TNJGODT0G5Z4TTKYMMUX1","GSON1112060984")</f>
        <v>#NAME?</v>
      </c>
      <c r="V1055" s="24" t="e">
        <f ca="1">[1]!BexGetData("DP_1","00O2TNJGODT0G5Z4TTKYMN18L","GSON1112060984")</f>
        <v>#NAME?</v>
      </c>
      <c r="W1055" s="24" t="e">
        <f ca="1">[1]!BexGetData("DP_1","00O2TNJGODT0G5Z4TTKYMN7K5","GSON1112060984")</f>
        <v>#NAME?</v>
      </c>
    </row>
    <row r="1056" spans="1:23" x14ac:dyDescent="0.2">
      <c r="A1056" s="36" t="s">
        <v>3466</v>
      </c>
      <c r="B1056" s="27" t="s">
        <v>3467</v>
      </c>
      <c r="C1056" s="23" t="e">
        <f ca="1">[1]!BexGetData("DP_1","003N8EMH8GTFRCSWKMPXRR8GU","GSON1112060985")</f>
        <v>#NAME?</v>
      </c>
      <c r="D1056" s="23" t="e">
        <f ca="1">[1]!BexGetData("DP_1","003N8EMH8GTFRCSWKMPXRRESE","GSON1112060985")</f>
        <v>#NAME?</v>
      </c>
      <c r="E1056" s="28" t="e">
        <f ca="1">[1]!BexGetData("DP_1","003N8EMH8GTFRCSWKMPXRRL3Y","GSON1112060985")</f>
        <v>#NAME?</v>
      </c>
      <c r="F1056" s="24" t="e">
        <f ca="1">[1]!BexGetData("DP_1","003N8EMH8GTFRCSWKMPXRRRFI","GSON1112060985")</f>
        <v>#NAME?</v>
      </c>
      <c r="G1056" s="24" t="e">
        <f ca="1">[1]!BexGetData("DP_1","003N8EMH8GTFRCSWKMPXRRXR2","GSON1112060985")</f>
        <v>#NAME?</v>
      </c>
      <c r="H1056" s="24" t="e">
        <f ca="1">[1]!BexGetData("DP_1","003N8EMH8GTFRCSWKMPXRS42M","GSON1112060985")</f>
        <v>#NAME?</v>
      </c>
      <c r="I1056" s="24" t="e">
        <f ca="1">[1]!BexGetData("DP_1","003N8EMH8GTFRCSWKMPXRSAE6","GSON1112060985")</f>
        <v>#NAME?</v>
      </c>
      <c r="J1056" s="24" t="e">
        <f ca="1">[1]!BexGetData("DP_1","003N8EMH8GTFRCSWKMPXRSGPQ","GSON1112060985")</f>
        <v>#NAME?</v>
      </c>
      <c r="K1056" s="28" t="e">
        <f ca="1">[1]!BexGetData("DP_1","003N8EMH8GTFRIVNUPY288VJH","GSON1112060985")</f>
        <v>#NAME?</v>
      </c>
      <c r="L1056" s="28" t="e">
        <f ca="1">[1]!BexGetData("DP_1","003N8EMH8GTFRIVNUPY2891V1","GSON1112060985")</f>
        <v>#NAME?</v>
      </c>
      <c r="M1056" s="28" t="e">
        <f ca="1">[1]!BexGetData("DP_1","003N8EMH8GTFRIVOG7KG9IQXA","GSON1112060985")</f>
        <v>#NAME?</v>
      </c>
      <c r="N1056" s="28" t="e">
        <f ca="1">[1]!BexGetData("DP_1","003N8EMH8GTFRIVOG7KG9IX8U","GSON1112060985")</f>
        <v>#NAME?</v>
      </c>
      <c r="O1056" s="28" t="e">
        <f ca="1">[1]!BexGetData("DP_1","003N8EMH8GTFRIVOG7KG9J3KE","GSON1112060985")</f>
        <v>#NAME?</v>
      </c>
      <c r="P1056" s="28" t="e">
        <f ca="1">[1]!BexGetData("DP_1","003N8EMH8GTFRIVOG7KG9J9VY","GSON1112060985")</f>
        <v>#NAME?</v>
      </c>
      <c r="Q1056" s="24" t="e">
        <f ca="1">[1]!BexGetData("DP_1","00O2TNJGODT0G5Z4TTKYMM5MT","GSON1112060985")</f>
        <v>#NAME?</v>
      </c>
      <c r="R1056" s="24" t="e">
        <f ca="1">[1]!BexGetData("DP_1","00O2TNJGODT0G5Z4TTKYMMBYD","GSON1112060985")</f>
        <v>#NAME?</v>
      </c>
      <c r="S1056" s="24" t="e">
        <f ca="1">[1]!BexGetData("DP_1","00O2TNJGODT0G5Z4TTKYMMI9X","GSON1112060985")</f>
        <v>#NAME?</v>
      </c>
      <c r="T1056" s="24" t="e">
        <f ca="1">[1]!BexGetData("DP_1","00O2TNJGODT0G5Z4TTKYMMOLH","GSON1112060985")</f>
        <v>#NAME?</v>
      </c>
      <c r="U1056" s="24" t="e">
        <f ca="1">[1]!BexGetData("DP_1","00O2TNJGODT0G5Z4TTKYMMUX1","GSON1112060985")</f>
        <v>#NAME?</v>
      </c>
      <c r="V1056" s="24" t="e">
        <f ca="1">[1]!BexGetData("DP_1","00O2TNJGODT0G5Z4TTKYMN18L","GSON1112060985")</f>
        <v>#NAME?</v>
      </c>
      <c r="W1056" s="24" t="e">
        <f ca="1">[1]!BexGetData("DP_1","00O2TNJGODT0G5Z4TTKYMN7K5","GSON1112060985")</f>
        <v>#NAME?</v>
      </c>
    </row>
    <row r="1057" spans="1:23" x14ac:dyDescent="0.2">
      <c r="A1057" s="36" t="s">
        <v>3468</v>
      </c>
      <c r="B1057" s="27" t="s">
        <v>3469</v>
      </c>
      <c r="C1057" s="23" t="e">
        <f ca="1">[1]!BexGetData("DP_1","003N8EMH8GTFRCSWKMPXRR8GU","GSON1112060990")</f>
        <v>#NAME?</v>
      </c>
      <c r="D1057" s="23" t="e">
        <f ca="1">[1]!BexGetData("DP_1","003N8EMH8GTFRCSWKMPXRRESE","GSON1112060990")</f>
        <v>#NAME?</v>
      </c>
      <c r="E1057" s="23" t="e">
        <f ca="1">[1]!BexGetData("DP_1","003N8EMH8GTFRCSWKMPXRRL3Y","GSON1112060990")</f>
        <v>#NAME?</v>
      </c>
      <c r="F1057" s="24" t="e">
        <f ca="1">[1]!BexGetData("DP_1","003N8EMH8GTFRCSWKMPXRRRFI","GSON1112060990")</f>
        <v>#NAME?</v>
      </c>
      <c r="G1057" s="24" t="e">
        <f ca="1">[1]!BexGetData("DP_1","003N8EMH8GTFRCSWKMPXRRXR2","GSON1112060990")</f>
        <v>#NAME?</v>
      </c>
      <c r="H1057" s="24" t="e">
        <f ca="1">[1]!BexGetData("DP_1","003N8EMH8GTFRCSWKMPXRS42M","GSON1112060990")</f>
        <v>#NAME?</v>
      </c>
      <c r="I1057" s="24" t="e">
        <f ca="1">[1]!BexGetData("DP_1","003N8EMH8GTFRCSWKMPXRSAE6","GSON1112060990")</f>
        <v>#NAME?</v>
      </c>
      <c r="J1057" s="24" t="e">
        <f ca="1">[1]!BexGetData("DP_1","003N8EMH8GTFRCSWKMPXRSGPQ","GSON1112060990")</f>
        <v>#NAME?</v>
      </c>
      <c r="K1057" s="23" t="e">
        <f ca="1">[1]!BexGetData("DP_1","003N8EMH8GTFRIVNUPY288VJH","GSON1112060990")</f>
        <v>#NAME?</v>
      </c>
      <c r="L1057" s="23" t="e">
        <f ca="1">[1]!BexGetData("DP_1","003N8EMH8GTFRIVNUPY2891V1","GSON1112060990")</f>
        <v>#NAME?</v>
      </c>
      <c r="M1057" s="28" t="e">
        <f ca="1">[1]!BexGetData("DP_1","003N8EMH8GTFRIVOG7KG9IQXA","GSON1112060990")</f>
        <v>#NAME?</v>
      </c>
      <c r="N1057" s="23" t="e">
        <f ca="1">[1]!BexGetData("DP_1","003N8EMH8GTFRIVOG7KG9IX8U","GSON1112060990")</f>
        <v>#NAME?</v>
      </c>
      <c r="O1057" s="28" t="e">
        <f ca="1">[1]!BexGetData("DP_1","003N8EMH8GTFRIVOG7KG9J3KE","GSON1112060990")</f>
        <v>#NAME?</v>
      </c>
      <c r="P1057" s="23" t="e">
        <f ca="1">[1]!BexGetData("DP_1","003N8EMH8GTFRIVOG7KG9J9VY","GSON1112060990")</f>
        <v>#NAME?</v>
      </c>
      <c r="Q1057" s="24" t="e">
        <f ca="1">[1]!BexGetData("DP_1","00O2TNJGODT0G5Z4TTKYMM5MT","GSON1112060990")</f>
        <v>#NAME?</v>
      </c>
      <c r="R1057" s="24" t="e">
        <f ca="1">[1]!BexGetData("DP_1","00O2TNJGODT0G5Z4TTKYMMBYD","GSON1112060990")</f>
        <v>#NAME?</v>
      </c>
      <c r="S1057" s="24" t="e">
        <f ca="1">[1]!BexGetData("DP_1","00O2TNJGODT0G5Z4TTKYMMI9X","GSON1112060990")</f>
        <v>#NAME?</v>
      </c>
      <c r="T1057" s="24" t="e">
        <f ca="1">[1]!BexGetData("DP_1","00O2TNJGODT0G5Z4TTKYMMOLH","GSON1112060990")</f>
        <v>#NAME?</v>
      </c>
      <c r="U1057" s="24" t="e">
        <f ca="1">[1]!BexGetData("DP_1","00O2TNJGODT0G5Z4TTKYMMUX1","GSON1112060990")</f>
        <v>#NAME?</v>
      </c>
      <c r="V1057" s="24" t="e">
        <f ca="1">[1]!BexGetData("DP_1","00O2TNJGODT0G5Z4TTKYMN18L","GSON1112060990")</f>
        <v>#NAME?</v>
      </c>
      <c r="W1057" s="24" t="e">
        <f ca="1">[1]!BexGetData("DP_1","00O2TNJGODT0G5Z4TTKYMN7K5","GSON1112060990")</f>
        <v>#NAME?</v>
      </c>
    </row>
    <row r="1058" spans="1:23" x14ac:dyDescent="0.2">
      <c r="A1058" s="36" t="s">
        <v>3470</v>
      </c>
      <c r="B1058" s="27" t="s">
        <v>3471</v>
      </c>
      <c r="C1058" s="23" t="e">
        <f ca="1">[1]!BexGetData("DP_1","003N8EMH8GTFRCSWKMPXRR8GU","GSON1112060991")</f>
        <v>#NAME?</v>
      </c>
      <c r="D1058" s="23" t="e">
        <f ca="1">[1]!BexGetData("DP_1","003N8EMH8GTFRCSWKMPXRRESE","GSON1112060991")</f>
        <v>#NAME?</v>
      </c>
      <c r="E1058" s="28" t="e">
        <f ca="1">[1]!BexGetData("DP_1","003N8EMH8GTFRCSWKMPXRRL3Y","GSON1112060991")</f>
        <v>#NAME?</v>
      </c>
      <c r="F1058" s="24" t="e">
        <f ca="1">[1]!BexGetData("DP_1","003N8EMH8GTFRCSWKMPXRRRFI","GSON1112060991")</f>
        <v>#NAME?</v>
      </c>
      <c r="G1058" s="24" t="e">
        <f ca="1">[1]!BexGetData("DP_1","003N8EMH8GTFRCSWKMPXRRXR2","GSON1112060991")</f>
        <v>#NAME?</v>
      </c>
      <c r="H1058" s="24" t="e">
        <f ca="1">[1]!BexGetData("DP_1","003N8EMH8GTFRCSWKMPXRS42M","GSON1112060991")</f>
        <v>#NAME?</v>
      </c>
      <c r="I1058" s="24" t="e">
        <f ca="1">[1]!BexGetData("DP_1","003N8EMH8GTFRCSWKMPXRSAE6","GSON1112060991")</f>
        <v>#NAME?</v>
      </c>
      <c r="J1058" s="24" t="e">
        <f ca="1">[1]!BexGetData("DP_1","003N8EMH8GTFRCSWKMPXRSGPQ","GSON1112060991")</f>
        <v>#NAME?</v>
      </c>
      <c r="K1058" s="28" t="e">
        <f ca="1">[1]!BexGetData("DP_1","003N8EMH8GTFRIVNUPY288VJH","GSON1112060991")</f>
        <v>#NAME?</v>
      </c>
      <c r="L1058" s="28" t="e">
        <f ca="1">[1]!BexGetData("DP_1","003N8EMH8GTFRIVNUPY2891V1","GSON1112060991")</f>
        <v>#NAME?</v>
      </c>
      <c r="M1058" s="28" t="e">
        <f ca="1">[1]!BexGetData("DP_1","003N8EMH8GTFRIVOG7KG9IQXA","GSON1112060991")</f>
        <v>#NAME?</v>
      </c>
      <c r="N1058" s="28" t="e">
        <f ca="1">[1]!BexGetData("DP_1","003N8EMH8GTFRIVOG7KG9IX8U","GSON1112060991")</f>
        <v>#NAME?</v>
      </c>
      <c r="O1058" s="28" t="e">
        <f ca="1">[1]!BexGetData("DP_1","003N8EMH8GTFRIVOG7KG9J3KE","GSON1112060991")</f>
        <v>#NAME?</v>
      </c>
      <c r="P1058" s="28" t="e">
        <f ca="1">[1]!BexGetData("DP_1","003N8EMH8GTFRIVOG7KG9J9VY","GSON1112060991")</f>
        <v>#NAME?</v>
      </c>
      <c r="Q1058" s="24" t="e">
        <f ca="1">[1]!BexGetData("DP_1","00O2TNJGODT0G5Z4TTKYMM5MT","GSON1112060991")</f>
        <v>#NAME?</v>
      </c>
      <c r="R1058" s="24" t="e">
        <f ca="1">[1]!BexGetData("DP_1","00O2TNJGODT0G5Z4TTKYMMBYD","GSON1112060991")</f>
        <v>#NAME?</v>
      </c>
      <c r="S1058" s="24" t="e">
        <f ca="1">[1]!BexGetData("DP_1","00O2TNJGODT0G5Z4TTKYMMI9X","GSON1112060991")</f>
        <v>#NAME?</v>
      </c>
      <c r="T1058" s="24" t="e">
        <f ca="1">[1]!BexGetData("DP_1","00O2TNJGODT0G5Z4TTKYMMOLH","GSON1112060991")</f>
        <v>#NAME?</v>
      </c>
      <c r="U1058" s="24" t="e">
        <f ca="1">[1]!BexGetData("DP_1","00O2TNJGODT0G5Z4TTKYMMUX1","GSON1112060991")</f>
        <v>#NAME?</v>
      </c>
      <c r="V1058" s="24" t="e">
        <f ca="1">[1]!BexGetData("DP_1","00O2TNJGODT0G5Z4TTKYMN18L","GSON1112060991")</f>
        <v>#NAME?</v>
      </c>
      <c r="W1058" s="24" t="e">
        <f ca="1">[1]!BexGetData("DP_1","00O2TNJGODT0G5Z4TTKYMN7K5","GSON1112060991")</f>
        <v>#NAME?</v>
      </c>
    </row>
    <row r="1059" spans="1:23" x14ac:dyDescent="0.2">
      <c r="A1059" s="36" t="s">
        <v>3472</v>
      </c>
      <c r="B1059" s="27" t="s">
        <v>3473</v>
      </c>
      <c r="C1059" s="23" t="e">
        <f ca="1">[1]!BexGetData("DP_1","003N8EMH8GTFRCSWKMPXRR8GU","GSON1112060992")</f>
        <v>#NAME?</v>
      </c>
      <c r="D1059" s="23" t="e">
        <f ca="1">[1]!BexGetData("DP_1","003N8EMH8GTFRCSWKMPXRRESE","GSON1112060992")</f>
        <v>#NAME?</v>
      </c>
      <c r="E1059" s="28" t="e">
        <f ca="1">[1]!BexGetData("DP_1","003N8EMH8GTFRCSWKMPXRRL3Y","GSON1112060992")</f>
        <v>#NAME?</v>
      </c>
      <c r="F1059" s="24" t="e">
        <f ca="1">[1]!BexGetData("DP_1","003N8EMH8GTFRCSWKMPXRRRFI","GSON1112060992")</f>
        <v>#NAME?</v>
      </c>
      <c r="G1059" s="24" t="e">
        <f ca="1">[1]!BexGetData("DP_1","003N8EMH8GTFRCSWKMPXRRXR2","GSON1112060992")</f>
        <v>#NAME?</v>
      </c>
      <c r="H1059" s="24" t="e">
        <f ca="1">[1]!BexGetData("DP_1","003N8EMH8GTFRCSWKMPXRS42M","GSON1112060992")</f>
        <v>#NAME?</v>
      </c>
      <c r="I1059" s="24" t="e">
        <f ca="1">[1]!BexGetData("DP_1","003N8EMH8GTFRCSWKMPXRSAE6","GSON1112060992")</f>
        <v>#NAME?</v>
      </c>
      <c r="J1059" s="24" t="e">
        <f ca="1">[1]!BexGetData("DP_1","003N8EMH8GTFRCSWKMPXRSGPQ","GSON1112060992")</f>
        <v>#NAME?</v>
      </c>
      <c r="K1059" s="28" t="e">
        <f ca="1">[1]!BexGetData("DP_1","003N8EMH8GTFRIVNUPY288VJH","GSON1112060992")</f>
        <v>#NAME?</v>
      </c>
      <c r="L1059" s="28" t="e">
        <f ca="1">[1]!BexGetData("DP_1","003N8EMH8GTFRIVNUPY2891V1","GSON1112060992")</f>
        <v>#NAME?</v>
      </c>
      <c r="M1059" s="28" t="e">
        <f ca="1">[1]!BexGetData("DP_1","003N8EMH8GTFRIVOG7KG9IQXA","GSON1112060992")</f>
        <v>#NAME?</v>
      </c>
      <c r="N1059" s="28" t="e">
        <f ca="1">[1]!BexGetData("DP_1","003N8EMH8GTFRIVOG7KG9IX8U","GSON1112060992")</f>
        <v>#NAME?</v>
      </c>
      <c r="O1059" s="28" t="e">
        <f ca="1">[1]!BexGetData("DP_1","003N8EMH8GTFRIVOG7KG9J3KE","GSON1112060992")</f>
        <v>#NAME?</v>
      </c>
      <c r="P1059" s="28" t="e">
        <f ca="1">[1]!BexGetData("DP_1","003N8EMH8GTFRIVOG7KG9J9VY","GSON1112060992")</f>
        <v>#NAME?</v>
      </c>
      <c r="Q1059" s="24" t="e">
        <f ca="1">[1]!BexGetData("DP_1","00O2TNJGODT0G5Z4TTKYMM5MT","GSON1112060992")</f>
        <v>#NAME?</v>
      </c>
      <c r="R1059" s="24" t="e">
        <f ca="1">[1]!BexGetData("DP_1","00O2TNJGODT0G5Z4TTKYMMBYD","GSON1112060992")</f>
        <v>#NAME?</v>
      </c>
      <c r="S1059" s="24" t="e">
        <f ca="1">[1]!BexGetData("DP_1","00O2TNJGODT0G5Z4TTKYMMI9X","GSON1112060992")</f>
        <v>#NAME?</v>
      </c>
      <c r="T1059" s="24" t="e">
        <f ca="1">[1]!BexGetData("DP_1","00O2TNJGODT0G5Z4TTKYMMOLH","GSON1112060992")</f>
        <v>#NAME?</v>
      </c>
      <c r="U1059" s="24" t="e">
        <f ca="1">[1]!BexGetData("DP_1","00O2TNJGODT0G5Z4TTKYMMUX1","GSON1112060992")</f>
        <v>#NAME?</v>
      </c>
      <c r="V1059" s="24" t="e">
        <f ca="1">[1]!BexGetData("DP_1","00O2TNJGODT0G5Z4TTKYMN18L","GSON1112060992")</f>
        <v>#NAME?</v>
      </c>
      <c r="W1059" s="24" t="e">
        <f ca="1">[1]!BexGetData("DP_1","00O2TNJGODT0G5Z4TTKYMN7K5","GSON1112060992")</f>
        <v>#NAME?</v>
      </c>
    </row>
    <row r="1060" spans="1:23" x14ac:dyDescent="0.2">
      <c r="A1060" s="36" t="s">
        <v>3474</v>
      </c>
      <c r="B1060" s="27" t="s">
        <v>3475</v>
      </c>
      <c r="C1060" s="23" t="e">
        <f ca="1">[1]!BexGetData("DP_1","003N8EMH8GTFRCSWKMPXRR8GU","GSON1112060993")</f>
        <v>#NAME?</v>
      </c>
      <c r="D1060" s="23" t="e">
        <f ca="1">[1]!BexGetData("DP_1","003N8EMH8GTFRCSWKMPXRRESE","GSON1112060993")</f>
        <v>#NAME?</v>
      </c>
      <c r="E1060" s="23" t="e">
        <f ca="1">[1]!BexGetData("DP_1","003N8EMH8GTFRCSWKMPXRRL3Y","GSON1112060993")</f>
        <v>#NAME?</v>
      </c>
      <c r="F1060" s="24" t="e">
        <f ca="1">[1]!BexGetData("DP_1","003N8EMH8GTFRCSWKMPXRRRFI","GSON1112060993")</f>
        <v>#NAME?</v>
      </c>
      <c r="G1060" s="24" t="e">
        <f ca="1">[1]!BexGetData("DP_1","003N8EMH8GTFRCSWKMPXRRXR2","GSON1112060993")</f>
        <v>#NAME?</v>
      </c>
      <c r="H1060" s="24" t="e">
        <f ca="1">[1]!BexGetData("DP_1","003N8EMH8GTFRCSWKMPXRS42M","GSON1112060993")</f>
        <v>#NAME?</v>
      </c>
      <c r="I1060" s="24" t="e">
        <f ca="1">[1]!BexGetData("DP_1","003N8EMH8GTFRCSWKMPXRSAE6","GSON1112060993")</f>
        <v>#NAME?</v>
      </c>
      <c r="J1060" s="24" t="e">
        <f ca="1">[1]!BexGetData("DP_1","003N8EMH8GTFRCSWKMPXRSGPQ","GSON1112060993")</f>
        <v>#NAME?</v>
      </c>
      <c r="K1060" s="23" t="e">
        <f ca="1">[1]!BexGetData("DP_1","003N8EMH8GTFRIVNUPY288VJH","GSON1112060993")</f>
        <v>#NAME?</v>
      </c>
      <c r="L1060" s="23" t="e">
        <f ca="1">[1]!BexGetData("DP_1","003N8EMH8GTFRIVNUPY2891V1","GSON1112060993")</f>
        <v>#NAME?</v>
      </c>
      <c r="M1060" s="23" t="e">
        <f ca="1">[1]!BexGetData("DP_1","003N8EMH8GTFRIVOG7KG9IQXA","GSON1112060993")</f>
        <v>#NAME?</v>
      </c>
      <c r="N1060" s="28" t="e">
        <f ca="1">[1]!BexGetData("DP_1","003N8EMH8GTFRIVOG7KG9IX8U","GSON1112060993")</f>
        <v>#NAME?</v>
      </c>
      <c r="O1060" s="23" t="e">
        <f ca="1">[1]!BexGetData("DP_1","003N8EMH8GTFRIVOG7KG9J3KE","GSON1112060993")</f>
        <v>#NAME?</v>
      </c>
      <c r="P1060" s="28" t="e">
        <f ca="1">[1]!BexGetData("DP_1","003N8EMH8GTFRIVOG7KG9J9VY","GSON1112060993")</f>
        <v>#NAME?</v>
      </c>
      <c r="Q1060" s="24" t="e">
        <f ca="1">[1]!BexGetData("DP_1","00O2TNJGODT0G5Z4TTKYMM5MT","GSON1112060993")</f>
        <v>#NAME?</v>
      </c>
      <c r="R1060" s="24" t="e">
        <f ca="1">[1]!BexGetData("DP_1","00O2TNJGODT0G5Z4TTKYMMBYD","GSON1112060993")</f>
        <v>#NAME?</v>
      </c>
      <c r="S1060" s="24" t="e">
        <f ca="1">[1]!BexGetData("DP_1","00O2TNJGODT0G5Z4TTKYMMI9X","GSON1112060993")</f>
        <v>#NAME?</v>
      </c>
      <c r="T1060" s="24" t="e">
        <f ca="1">[1]!BexGetData("DP_1","00O2TNJGODT0G5Z4TTKYMMOLH","GSON1112060993")</f>
        <v>#NAME?</v>
      </c>
      <c r="U1060" s="24" t="e">
        <f ca="1">[1]!BexGetData("DP_1","00O2TNJGODT0G5Z4TTKYMMUX1","GSON1112060993")</f>
        <v>#NAME?</v>
      </c>
      <c r="V1060" s="24" t="e">
        <f ca="1">[1]!BexGetData("DP_1","00O2TNJGODT0G5Z4TTKYMN18L","GSON1112060993")</f>
        <v>#NAME?</v>
      </c>
      <c r="W1060" s="24" t="e">
        <f ca="1">[1]!BexGetData("DP_1","00O2TNJGODT0G5Z4TTKYMN7K5","GSON1112060993")</f>
        <v>#NAME?</v>
      </c>
    </row>
    <row r="1061" spans="1:23" x14ac:dyDescent="0.2">
      <c r="A1061" s="36" t="s">
        <v>3476</v>
      </c>
      <c r="B1061" s="27" t="s">
        <v>3477</v>
      </c>
      <c r="C1061" s="23" t="e">
        <f ca="1">[1]!BexGetData("DP_1","003N8EMH8GTFRCSWKMPXRR8GU","GSON1112060994")</f>
        <v>#NAME?</v>
      </c>
      <c r="D1061" s="23" t="e">
        <f ca="1">[1]!BexGetData("DP_1","003N8EMH8GTFRCSWKMPXRRESE","GSON1112060994")</f>
        <v>#NAME?</v>
      </c>
      <c r="E1061" s="28" t="e">
        <f ca="1">[1]!BexGetData("DP_1","003N8EMH8GTFRCSWKMPXRRL3Y","GSON1112060994")</f>
        <v>#NAME?</v>
      </c>
      <c r="F1061" s="24" t="e">
        <f ca="1">[1]!BexGetData("DP_1","003N8EMH8GTFRCSWKMPXRRRFI","GSON1112060994")</f>
        <v>#NAME?</v>
      </c>
      <c r="G1061" s="24" t="e">
        <f ca="1">[1]!BexGetData("DP_1","003N8EMH8GTFRCSWKMPXRRXR2","GSON1112060994")</f>
        <v>#NAME?</v>
      </c>
      <c r="H1061" s="24" t="e">
        <f ca="1">[1]!BexGetData("DP_1","003N8EMH8GTFRCSWKMPXRS42M","GSON1112060994")</f>
        <v>#NAME?</v>
      </c>
      <c r="I1061" s="24" t="e">
        <f ca="1">[1]!BexGetData("DP_1","003N8EMH8GTFRCSWKMPXRSAE6","GSON1112060994")</f>
        <v>#NAME?</v>
      </c>
      <c r="J1061" s="24" t="e">
        <f ca="1">[1]!BexGetData("DP_1","003N8EMH8GTFRCSWKMPXRSGPQ","GSON1112060994")</f>
        <v>#NAME?</v>
      </c>
      <c r="K1061" s="28" t="e">
        <f ca="1">[1]!BexGetData("DP_1","003N8EMH8GTFRIVNUPY288VJH","GSON1112060994")</f>
        <v>#NAME?</v>
      </c>
      <c r="L1061" s="28" t="e">
        <f ca="1">[1]!BexGetData("DP_1","003N8EMH8GTFRIVNUPY2891V1","GSON1112060994")</f>
        <v>#NAME?</v>
      </c>
      <c r="M1061" s="28" t="e">
        <f ca="1">[1]!BexGetData("DP_1","003N8EMH8GTFRIVOG7KG9IQXA","GSON1112060994")</f>
        <v>#NAME?</v>
      </c>
      <c r="N1061" s="28" t="e">
        <f ca="1">[1]!BexGetData("DP_1","003N8EMH8GTFRIVOG7KG9IX8U","GSON1112060994")</f>
        <v>#NAME?</v>
      </c>
      <c r="O1061" s="28" t="e">
        <f ca="1">[1]!BexGetData("DP_1","003N8EMH8GTFRIVOG7KG9J3KE","GSON1112060994")</f>
        <v>#NAME?</v>
      </c>
      <c r="P1061" s="28" t="e">
        <f ca="1">[1]!BexGetData("DP_1","003N8EMH8GTFRIVOG7KG9J9VY","GSON1112060994")</f>
        <v>#NAME?</v>
      </c>
      <c r="Q1061" s="24" t="e">
        <f ca="1">[1]!BexGetData("DP_1","00O2TNJGODT0G5Z4TTKYMM5MT","GSON1112060994")</f>
        <v>#NAME?</v>
      </c>
      <c r="R1061" s="24" t="e">
        <f ca="1">[1]!BexGetData("DP_1","00O2TNJGODT0G5Z4TTKYMMBYD","GSON1112060994")</f>
        <v>#NAME?</v>
      </c>
      <c r="S1061" s="24" t="e">
        <f ca="1">[1]!BexGetData("DP_1","00O2TNJGODT0G5Z4TTKYMMI9X","GSON1112060994")</f>
        <v>#NAME?</v>
      </c>
      <c r="T1061" s="24" t="e">
        <f ca="1">[1]!BexGetData("DP_1","00O2TNJGODT0G5Z4TTKYMMOLH","GSON1112060994")</f>
        <v>#NAME?</v>
      </c>
      <c r="U1061" s="24" t="e">
        <f ca="1">[1]!BexGetData("DP_1","00O2TNJGODT0G5Z4TTKYMMUX1","GSON1112060994")</f>
        <v>#NAME?</v>
      </c>
      <c r="V1061" s="24" t="e">
        <f ca="1">[1]!BexGetData("DP_1","00O2TNJGODT0G5Z4TTKYMN18L","GSON1112060994")</f>
        <v>#NAME?</v>
      </c>
      <c r="W1061" s="24" t="e">
        <f ca="1">[1]!BexGetData("DP_1","00O2TNJGODT0G5Z4TTKYMN7K5","GSON1112060994")</f>
        <v>#NAME?</v>
      </c>
    </row>
    <row r="1062" spans="1:23" x14ac:dyDescent="0.2">
      <c r="A1062" s="36" t="s">
        <v>3478</v>
      </c>
      <c r="B1062" s="27" t="s">
        <v>3479</v>
      </c>
      <c r="C1062" s="23" t="e">
        <f ca="1">[1]!BexGetData("DP_1","003N8EMH8GTFRCSWKMPXRR8GU","GSON1112060995")</f>
        <v>#NAME?</v>
      </c>
      <c r="D1062" s="23" t="e">
        <f ca="1">[1]!BexGetData("DP_1","003N8EMH8GTFRCSWKMPXRRESE","GSON1112060995")</f>
        <v>#NAME?</v>
      </c>
      <c r="E1062" s="28" t="e">
        <f ca="1">[1]!BexGetData("DP_1","003N8EMH8GTFRCSWKMPXRRL3Y","GSON1112060995")</f>
        <v>#NAME?</v>
      </c>
      <c r="F1062" s="24" t="e">
        <f ca="1">[1]!BexGetData("DP_1","003N8EMH8GTFRCSWKMPXRRRFI","GSON1112060995")</f>
        <v>#NAME?</v>
      </c>
      <c r="G1062" s="24" t="e">
        <f ca="1">[1]!BexGetData("DP_1","003N8EMH8GTFRCSWKMPXRRXR2","GSON1112060995")</f>
        <v>#NAME?</v>
      </c>
      <c r="H1062" s="24" t="e">
        <f ca="1">[1]!BexGetData("DP_1","003N8EMH8GTFRCSWKMPXRS42M","GSON1112060995")</f>
        <v>#NAME?</v>
      </c>
      <c r="I1062" s="24" t="e">
        <f ca="1">[1]!BexGetData("DP_1","003N8EMH8GTFRCSWKMPXRSAE6","GSON1112060995")</f>
        <v>#NAME?</v>
      </c>
      <c r="J1062" s="24" t="e">
        <f ca="1">[1]!BexGetData("DP_1","003N8EMH8GTFRCSWKMPXRSGPQ","GSON1112060995")</f>
        <v>#NAME?</v>
      </c>
      <c r="K1062" s="28" t="e">
        <f ca="1">[1]!BexGetData("DP_1","003N8EMH8GTFRIVNUPY288VJH","GSON1112060995")</f>
        <v>#NAME?</v>
      </c>
      <c r="L1062" s="28" t="e">
        <f ca="1">[1]!BexGetData("DP_1","003N8EMH8GTFRIVNUPY2891V1","GSON1112060995")</f>
        <v>#NAME?</v>
      </c>
      <c r="M1062" s="28" t="e">
        <f ca="1">[1]!BexGetData("DP_1","003N8EMH8GTFRIVOG7KG9IQXA","GSON1112060995")</f>
        <v>#NAME?</v>
      </c>
      <c r="N1062" s="28" t="e">
        <f ca="1">[1]!BexGetData("DP_1","003N8EMH8GTFRIVOG7KG9IX8U","GSON1112060995")</f>
        <v>#NAME?</v>
      </c>
      <c r="O1062" s="28" t="e">
        <f ca="1">[1]!BexGetData("DP_1","003N8EMH8GTFRIVOG7KG9J3KE","GSON1112060995")</f>
        <v>#NAME?</v>
      </c>
      <c r="P1062" s="28" t="e">
        <f ca="1">[1]!BexGetData("DP_1","003N8EMH8GTFRIVOG7KG9J9VY","GSON1112060995")</f>
        <v>#NAME?</v>
      </c>
      <c r="Q1062" s="24" t="e">
        <f ca="1">[1]!BexGetData("DP_1","00O2TNJGODT0G5Z4TTKYMM5MT","GSON1112060995")</f>
        <v>#NAME?</v>
      </c>
      <c r="R1062" s="24" t="e">
        <f ca="1">[1]!BexGetData("DP_1","00O2TNJGODT0G5Z4TTKYMMBYD","GSON1112060995")</f>
        <v>#NAME?</v>
      </c>
      <c r="S1062" s="24" t="e">
        <f ca="1">[1]!BexGetData("DP_1","00O2TNJGODT0G5Z4TTKYMMI9X","GSON1112060995")</f>
        <v>#NAME?</v>
      </c>
      <c r="T1062" s="24" t="e">
        <f ca="1">[1]!BexGetData("DP_1","00O2TNJGODT0G5Z4TTKYMMOLH","GSON1112060995")</f>
        <v>#NAME?</v>
      </c>
      <c r="U1062" s="24" t="e">
        <f ca="1">[1]!BexGetData("DP_1","00O2TNJGODT0G5Z4TTKYMMUX1","GSON1112060995")</f>
        <v>#NAME?</v>
      </c>
      <c r="V1062" s="24" t="e">
        <f ca="1">[1]!BexGetData("DP_1","00O2TNJGODT0G5Z4TTKYMN18L","GSON1112060995")</f>
        <v>#NAME?</v>
      </c>
      <c r="W1062" s="24" t="e">
        <f ca="1">[1]!BexGetData("DP_1","00O2TNJGODT0G5Z4TTKYMN7K5","GSON1112060995")</f>
        <v>#NAME?</v>
      </c>
    </row>
    <row r="1063" spans="1:23" x14ac:dyDescent="0.2">
      <c r="A1063" s="36" t="s">
        <v>3480</v>
      </c>
      <c r="B1063" s="27" t="s">
        <v>3481</v>
      </c>
      <c r="C1063" s="23" t="e">
        <f ca="1">[1]!BexGetData("DP_1","003N8EMH8GTFRCSWKMPXRR8GU","GSON1112061020")</f>
        <v>#NAME?</v>
      </c>
      <c r="D1063" s="23" t="e">
        <f ca="1">[1]!BexGetData("DP_1","003N8EMH8GTFRCSWKMPXRRESE","GSON1112061020")</f>
        <v>#NAME?</v>
      </c>
      <c r="E1063" s="23" t="e">
        <f ca="1">[1]!BexGetData("DP_1","003N8EMH8GTFRCSWKMPXRRL3Y","GSON1112061020")</f>
        <v>#NAME?</v>
      </c>
      <c r="F1063" s="24" t="e">
        <f ca="1">[1]!BexGetData("DP_1","003N8EMH8GTFRCSWKMPXRRRFI","GSON1112061020")</f>
        <v>#NAME?</v>
      </c>
      <c r="G1063" s="24" t="e">
        <f ca="1">[1]!BexGetData("DP_1","003N8EMH8GTFRCSWKMPXRRXR2","GSON1112061020")</f>
        <v>#NAME?</v>
      </c>
      <c r="H1063" s="24" t="e">
        <f ca="1">[1]!BexGetData("DP_1","003N8EMH8GTFRCSWKMPXRS42M","GSON1112061020")</f>
        <v>#NAME?</v>
      </c>
      <c r="I1063" s="24" t="e">
        <f ca="1">[1]!BexGetData("DP_1","003N8EMH8GTFRCSWKMPXRSAE6","GSON1112061020")</f>
        <v>#NAME?</v>
      </c>
      <c r="J1063" s="24" t="e">
        <f ca="1">[1]!BexGetData("DP_1","003N8EMH8GTFRCSWKMPXRSGPQ","GSON1112061020")</f>
        <v>#NAME?</v>
      </c>
      <c r="K1063" s="23" t="e">
        <f ca="1">[1]!BexGetData("DP_1","003N8EMH8GTFRIVNUPY288VJH","GSON1112061020")</f>
        <v>#NAME?</v>
      </c>
      <c r="L1063" s="23" t="e">
        <f ca="1">[1]!BexGetData("DP_1","003N8EMH8GTFRIVNUPY2891V1","GSON1112061020")</f>
        <v>#NAME?</v>
      </c>
      <c r="M1063" s="28" t="e">
        <f ca="1">[1]!BexGetData("DP_1","003N8EMH8GTFRIVOG7KG9IQXA","GSON1112061020")</f>
        <v>#NAME?</v>
      </c>
      <c r="N1063" s="23" t="e">
        <f ca="1">[1]!BexGetData("DP_1","003N8EMH8GTFRIVOG7KG9IX8U","GSON1112061020")</f>
        <v>#NAME?</v>
      </c>
      <c r="O1063" s="28" t="e">
        <f ca="1">[1]!BexGetData("DP_1","003N8EMH8GTFRIVOG7KG9J3KE","GSON1112061020")</f>
        <v>#NAME?</v>
      </c>
      <c r="P1063" s="23" t="e">
        <f ca="1">[1]!BexGetData("DP_1","003N8EMH8GTFRIVOG7KG9J9VY","GSON1112061020")</f>
        <v>#NAME?</v>
      </c>
      <c r="Q1063" s="24" t="e">
        <f ca="1">[1]!BexGetData("DP_1","00O2TNJGODT0G5Z4TTKYMM5MT","GSON1112061020")</f>
        <v>#NAME?</v>
      </c>
      <c r="R1063" s="24" t="e">
        <f ca="1">[1]!BexGetData("DP_1","00O2TNJGODT0G5Z4TTKYMMBYD","GSON1112061020")</f>
        <v>#NAME?</v>
      </c>
      <c r="S1063" s="24" t="e">
        <f ca="1">[1]!BexGetData("DP_1","00O2TNJGODT0G5Z4TTKYMMI9X","GSON1112061020")</f>
        <v>#NAME?</v>
      </c>
      <c r="T1063" s="24" t="e">
        <f ca="1">[1]!BexGetData("DP_1","00O2TNJGODT0G5Z4TTKYMMOLH","GSON1112061020")</f>
        <v>#NAME?</v>
      </c>
      <c r="U1063" s="24" t="e">
        <f ca="1">[1]!BexGetData("DP_1","00O2TNJGODT0G5Z4TTKYMMUX1","GSON1112061020")</f>
        <v>#NAME?</v>
      </c>
      <c r="V1063" s="24" t="e">
        <f ca="1">[1]!BexGetData("DP_1","00O2TNJGODT0G5Z4TTKYMN18L","GSON1112061020")</f>
        <v>#NAME?</v>
      </c>
      <c r="W1063" s="24" t="e">
        <f ca="1">[1]!BexGetData("DP_1","00O2TNJGODT0G5Z4TTKYMN7K5","GSON1112061020")</f>
        <v>#NAME?</v>
      </c>
    </row>
    <row r="1064" spans="1:23" x14ac:dyDescent="0.2">
      <c r="A1064" s="36" t="s">
        <v>3482</v>
      </c>
      <c r="B1064" s="27" t="s">
        <v>3483</v>
      </c>
      <c r="C1064" s="23" t="e">
        <f ca="1">[1]!BexGetData("DP_1","003N8EMH8GTFRCSWKMPXRR8GU","GSON1112061021")</f>
        <v>#NAME?</v>
      </c>
      <c r="D1064" s="23" t="e">
        <f ca="1">[1]!BexGetData("DP_1","003N8EMH8GTFRCSWKMPXRRESE","GSON1112061021")</f>
        <v>#NAME?</v>
      </c>
      <c r="E1064" s="28" t="e">
        <f ca="1">[1]!BexGetData("DP_1","003N8EMH8GTFRCSWKMPXRRL3Y","GSON1112061021")</f>
        <v>#NAME?</v>
      </c>
      <c r="F1064" s="24" t="e">
        <f ca="1">[1]!BexGetData("DP_1","003N8EMH8GTFRCSWKMPXRRRFI","GSON1112061021")</f>
        <v>#NAME?</v>
      </c>
      <c r="G1064" s="24" t="e">
        <f ca="1">[1]!BexGetData("DP_1","003N8EMH8GTFRCSWKMPXRRXR2","GSON1112061021")</f>
        <v>#NAME?</v>
      </c>
      <c r="H1064" s="24" t="e">
        <f ca="1">[1]!BexGetData("DP_1","003N8EMH8GTFRCSWKMPXRS42M","GSON1112061021")</f>
        <v>#NAME?</v>
      </c>
      <c r="I1064" s="24" t="e">
        <f ca="1">[1]!BexGetData("DP_1","003N8EMH8GTFRCSWKMPXRSAE6","GSON1112061021")</f>
        <v>#NAME?</v>
      </c>
      <c r="J1064" s="24" t="e">
        <f ca="1">[1]!BexGetData("DP_1","003N8EMH8GTFRCSWKMPXRSGPQ","GSON1112061021")</f>
        <v>#NAME?</v>
      </c>
      <c r="K1064" s="28" t="e">
        <f ca="1">[1]!BexGetData("DP_1","003N8EMH8GTFRIVNUPY288VJH","GSON1112061021")</f>
        <v>#NAME?</v>
      </c>
      <c r="L1064" s="28" t="e">
        <f ca="1">[1]!BexGetData("DP_1","003N8EMH8GTFRIVNUPY2891V1","GSON1112061021")</f>
        <v>#NAME?</v>
      </c>
      <c r="M1064" s="28" t="e">
        <f ca="1">[1]!BexGetData("DP_1","003N8EMH8GTFRIVOG7KG9IQXA","GSON1112061021")</f>
        <v>#NAME?</v>
      </c>
      <c r="N1064" s="28" t="e">
        <f ca="1">[1]!BexGetData("DP_1","003N8EMH8GTFRIVOG7KG9IX8U","GSON1112061021")</f>
        <v>#NAME?</v>
      </c>
      <c r="O1064" s="28" t="e">
        <f ca="1">[1]!BexGetData("DP_1","003N8EMH8GTFRIVOG7KG9J3KE","GSON1112061021")</f>
        <v>#NAME?</v>
      </c>
      <c r="P1064" s="28" t="e">
        <f ca="1">[1]!BexGetData("DP_1","003N8EMH8GTFRIVOG7KG9J9VY","GSON1112061021")</f>
        <v>#NAME?</v>
      </c>
      <c r="Q1064" s="24" t="e">
        <f ca="1">[1]!BexGetData("DP_1","00O2TNJGODT0G5Z4TTKYMM5MT","GSON1112061021")</f>
        <v>#NAME?</v>
      </c>
      <c r="R1064" s="24" t="e">
        <f ca="1">[1]!BexGetData("DP_1","00O2TNJGODT0G5Z4TTKYMMBYD","GSON1112061021")</f>
        <v>#NAME?</v>
      </c>
      <c r="S1064" s="24" t="e">
        <f ca="1">[1]!BexGetData("DP_1","00O2TNJGODT0G5Z4TTKYMMI9X","GSON1112061021")</f>
        <v>#NAME?</v>
      </c>
      <c r="T1064" s="24" t="e">
        <f ca="1">[1]!BexGetData("DP_1","00O2TNJGODT0G5Z4TTKYMMOLH","GSON1112061021")</f>
        <v>#NAME?</v>
      </c>
      <c r="U1064" s="24" t="e">
        <f ca="1">[1]!BexGetData("DP_1","00O2TNJGODT0G5Z4TTKYMMUX1","GSON1112061021")</f>
        <v>#NAME?</v>
      </c>
      <c r="V1064" s="24" t="e">
        <f ca="1">[1]!BexGetData("DP_1","00O2TNJGODT0G5Z4TTKYMN18L","GSON1112061021")</f>
        <v>#NAME?</v>
      </c>
      <c r="W1064" s="24" t="e">
        <f ca="1">[1]!BexGetData("DP_1","00O2TNJGODT0G5Z4TTKYMN7K5","GSON1112061021")</f>
        <v>#NAME?</v>
      </c>
    </row>
    <row r="1065" spans="1:23" x14ac:dyDescent="0.2">
      <c r="A1065" s="36" t="s">
        <v>3484</v>
      </c>
      <c r="B1065" s="27" t="s">
        <v>3485</v>
      </c>
      <c r="C1065" s="23" t="e">
        <f ca="1">[1]!BexGetData("DP_1","003N8EMH8GTFRCSWKMPXRR8GU","GSON1112061023")</f>
        <v>#NAME?</v>
      </c>
      <c r="D1065" s="23" t="e">
        <f ca="1">[1]!BexGetData("DP_1","003N8EMH8GTFRCSWKMPXRRESE","GSON1112061023")</f>
        <v>#NAME?</v>
      </c>
      <c r="E1065" s="28" t="e">
        <f ca="1">[1]!BexGetData("DP_1","003N8EMH8GTFRCSWKMPXRRL3Y","GSON1112061023")</f>
        <v>#NAME?</v>
      </c>
      <c r="F1065" s="24" t="e">
        <f ca="1">[1]!BexGetData("DP_1","003N8EMH8GTFRCSWKMPXRRRFI","GSON1112061023")</f>
        <v>#NAME?</v>
      </c>
      <c r="G1065" s="24" t="e">
        <f ca="1">[1]!BexGetData("DP_1","003N8EMH8GTFRCSWKMPXRRXR2","GSON1112061023")</f>
        <v>#NAME?</v>
      </c>
      <c r="H1065" s="24" t="e">
        <f ca="1">[1]!BexGetData("DP_1","003N8EMH8GTFRCSWKMPXRS42M","GSON1112061023")</f>
        <v>#NAME?</v>
      </c>
      <c r="I1065" s="24" t="e">
        <f ca="1">[1]!BexGetData("DP_1","003N8EMH8GTFRCSWKMPXRSAE6","GSON1112061023")</f>
        <v>#NAME?</v>
      </c>
      <c r="J1065" s="24" t="e">
        <f ca="1">[1]!BexGetData("DP_1","003N8EMH8GTFRCSWKMPXRSGPQ","GSON1112061023")</f>
        <v>#NAME?</v>
      </c>
      <c r="K1065" s="28" t="e">
        <f ca="1">[1]!BexGetData("DP_1","003N8EMH8GTFRIVNUPY288VJH","GSON1112061023")</f>
        <v>#NAME?</v>
      </c>
      <c r="L1065" s="28" t="e">
        <f ca="1">[1]!BexGetData("DP_1","003N8EMH8GTFRIVNUPY2891V1","GSON1112061023")</f>
        <v>#NAME?</v>
      </c>
      <c r="M1065" s="28" t="e">
        <f ca="1">[1]!BexGetData("DP_1","003N8EMH8GTFRIVOG7KG9IQXA","GSON1112061023")</f>
        <v>#NAME?</v>
      </c>
      <c r="N1065" s="28" t="e">
        <f ca="1">[1]!BexGetData("DP_1","003N8EMH8GTFRIVOG7KG9IX8U","GSON1112061023")</f>
        <v>#NAME?</v>
      </c>
      <c r="O1065" s="28" t="e">
        <f ca="1">[1]!BexGetData("DP_1","003N8EMH8GTFRIVOG7KG9J3KE","GSON1112061023")</f>
        <v>#NAME?</v>
      </c>
      <c r="P1065" s="28" t="e">
        <f ca="1">[1]!BexGetData("DP_1","003N8EMH8GTFRIVOG7KG9J9VY","GSON1112061023")</f>
        <v>#NAME?</v>
      </c>
      <c r="Q1065" s="24" t="e">
        <f ca="1">[1]!BexGetData("DP_1","00O2TNJGODT0G5Z4TTKYMM5MT","GSON1112061023")</f>
        <v>#NAME?</v>
      </c>
      <c r="R1065" s="24" t="e">
        <f ca="1">[1]!BexGetData("DP_1","00O2TNJGODT0G5Z4TTKYMMBYD","GSON1112061023")</f>
        <v>#NAME?</v>
      </c>
      <c r="S1065" s="24" t="e">
        <f ca="1">[1]!BexGetData("DP_1","00O2TNJGODT0G5Z4TTKYMMI9X","GSON1112061023")</f>
        <v>#NAME?</v>
      </c>
      <c r="T1065" s="24" t="e">
        <f ca="1">[1]!BexGetData("DP_1","00O2TNJGODT0G5Z4TTKYMMOLH","GSON1112061023")</f>
        <v>#NAME?</v>
      </c>
      <c r="U1065" s="24" t="e">
        <f ca="1">[1]!BexGetData("DP_1","00O2TNJGODT0G5Z4TTKYMMUX1","GSON1112061023")</f>
        <v>#NAME?</v>
      </c>
      <c r="V1065" s="24" t="e">
        <f ca="1">[1]!BexGetData("DP_1","00O2TNJGODT0G5Z4TTKYMN18L","GSON1112061023")</f>
        <v>#NAME?</v>
      </c>
      <c r="W1065" s="24" t="e">
        <f ca="1">[1]!BexGetData("DP_1","00O2TNJGODT0G5Z4TTKYMN7K5","GSON1112061023")</f>
        <v>#NAME?</v>
      </c>
    </row>
    <row r="1066" spans="1:23" x14ac:dyDescent="0.2">
      <c r="A1066" s="36" t="s">
        <v>3486</v>
      </c>
      <c r="B1066" s="27" t="s">
        <v>3487</v>
      </c>
      <c r="C1066" s="23" t="e">
        <f ca="1">[1]!BexGetData("DP_1","003N8EMH8GTFRCSWKMPXRR8GU","GSON1112061024")</f>
        <v>#NAME?</v>
      </c>
      <c r="D1066" s="23" t="e">
        <f ca="1">[1]!BexGetData("DP_1","003N8EMH8GTFRCSWKMPXRRESE","GSON1112061024")</f>
        <v>#NAME?</v>
      </c>
      <c r="E1066" s="28" t="e">
        <f ca="1">[1]!BexGetData("DP_1","003N8EMH8GTFRCSWKMPXRRL3Y","GSON1112061024")</f>
        <v>#NAME?</v>
      </c>
      <c r="F1066" s="24" t="e">
        <f ca="1">[1]!BexGetData("DP_1","003N8EMH8GTFRCSWKMPXRRRFI","GSON1112061024")</f>
        <v>#NAME?</v>
      </c>
      <c r="G1066" s="24" t="e">
        <f ca="1">[1]!BexGetData("DP_1","003N8EMH8GTFRCSWKMPXRRXR2","GSON1112061024")</f>
        <v>#NAME?</v>
      </c>
      <c r="H1066" s="24" t="e">
        <f ca="1">[1]!BexGetData("DP_1","003N8EMH8GTFRCSWKMPXRS42M","GSON1112061024")</f>
        <v>#NAME?</v>
      </c>
      <c r="I1066" s="24" t="e">
        <f ca="1">[1]!BexGetData("DP_1","003N8EMH8GTFRCSWKMPXRSAE6","GSON1112061024")</f>
        <v>#NAME?</v>
      </c>
      <c r="J1066" s="24" t="e">
        <f ca="1">[1]!BexGetData("DP_1","003N8EMH8GTFRCSWKMPXRSGPQ","GSON1112061024")</f>
        <v>#NAME?</v>
      </c>
      <c r="K1066" s="28" t="e">
        <f ca="1">[1]!BexGetData("DP_1","003N8EMH8GTFRIVNUPY288VJH","GSON1112061024")</f>
        <v>#NAME?</v>
      </c>
      <c r="L1066" s="28" t="e">
        <f ca="1">[1]!BexGetData("DP_1","003N8EMH8GTFRIVNUPY2891V1","GSON1112061024")</f>
        <v>#NAME?</v>
      </c>
      <c r="M1066" s="28" t="e">
        <f ca="1">[1]!BexGetData("DP_1","003N8EMH8GTFRIVOG7KG9IQXA","GSON1112061024")</f>
        <v>#NAME?</v>
      </c>
      <c r="N1066" s="28" t="e">
        <f ca="1">[1]!BexGetData("DP_1","003N8EMH8GTFRIVOG7KG9IX8U","GSON1112061024")</f>
        <v>#NAME?</v>
      </c>
      <c r="O1066" s="28" t="e">
        <f ca="1">[1]!BexGetData("DP_1","003N8EMH8GTFRIVOG7KG9J3KE","GSON1112061024")</f>
        <v>#NAME?</v>
      </c>
      <c r="P1066" s="28" t="e">
        <f ca="1">[1]!BexGetData("DP_1","003N8EMH8GTFRIVOG7KG9J9VY","GSON1112061024")</f>
        <v>#NAME?</v>
      </c>
      <c r="Q1066" s="24" t="e">
        <f ca="1">[1]!BexGetData("DP_1","00O2TNJGODT0G5Z4TTKYMM5MT","GSON1112061024")</f>
        <v>#NAME?</v>
      </c>
      <c r="R1066" s="24" t="e">
        <f ca="1">[1]!BexGetData("DP_1","00O2TNJGODT0G5Z4TTKYMMBYD","GSON1112061024")</f>
        <v>#NAME?</v>
      </c>
      <c r="S1066" s="24" t="e">
        <f ca="1">[1]!BexGetData("DP_1","00O2TNJGODT0G5Z4TTKYMMI9X","GSON1112061024")</f>
        <v>#NAME?</v>
      </c>
      <c r="T1066" s="24" t="e">
        <f ca="1">[1]!BexGetData("DP_1","00O2TNJGODT0G5Z4TTKYMMOLH","GSON1112061024")</f>
        <v>#NAME?</v>
      </c>
      <c r="U1066" s="24" t="e">
        <f ca="1">[1]!BexGetData("DP_1","00O2TNJGODT0G5Z4TTKYMMUX1","GSON1112061024")</f>
        <v>#NAME?</v>
      </c>
      <c r="V1066" s="24" t="e">
        <f ca="1">[1]!BexGetData("DP_1","00O2TNJGODT0G5Z4TTKYMN18L","GSON1112061024")</f>
        <v>#NAME?</v>
      </c>
      <c r="W1066" s="24" t="e">
        <f ca="1">[1]!BexGetData("DP_1","00O2TNJGODT0G5Z4TTKYMN7K5","GSON1112061024")</f>
        <v>#NAME?</v>
      </c>
    </row>
    <row r="1067" spans="1:23" x14ac:dyDescent="0.2">
      <c r="A1067" s="36" t="s">
        <v>3488</v>
      </c>
      <c r="B1067" s="27" t="s">
        <v>3489</v>
      </c>
      <c r="C1067" s="23" t="e">
        <f ca="1">[1]!BexGetData("DP_1","003N8EMH8GTFRCSWKMPXRR8GU","GSON1112061025")</f>
        <v>#NAME?</v>
      </c>
      <c r="D1067" s="23" t="e">
        <f ca="1">[1]!BexGetData("DP_1","003N8EMH8GTFRCSWKMPXRRESE","GSON1112061025")</f>
        <v>#NAME?</v>
      </c>
      <c r="E1067" s="28" t="e">
        <f ca="1">[1]!BexGetData("DP_1","003N8EMH8GTFRCSWKMPXRRL3Y","GSON1112061025")</f>
        <v>#NAME?</v>
      </c>
      <c r="F1067" s="24" t="e">
        <f ca="1">[1]!BexGetData("DP_1","003N8EMH8GTFRCSWKMPXRRRFI","GSON1112061025")</f>
        <v>#NAME?</v>
      </c>
      <c r="G1067" s="24" t="e">
        <f ca="1">[1]!BexGetData("DP_1","003N8EMH8GTFRCSWKMPXRRXR2","GSON1112061025")</f>
        <v>#NAME?</v>
      </c>
      <c r="H1067" s="24" t="e">
        <f ca="1">[1]!BexGetData("DP_1","003N8EMH8GTFRCSWKMPXRS42M","GSON1112061025")</f>
        <v>#NAME?</v>
      </c>
      <c r="I1067" s="24" t="e">
        <f ca="1">[1]!BexGetData("DP_1","003N8EMH8GTFRCSWKMPXRSAE6","GSON1112061025")</f>
        <v>#NAME?</v>
      </c>
      <c r="J1067" s="24" t="e">
        <f ca="1">[1]!BexGetData("DP_1","003N8EMH8GTFRCSWKMPXRSGPQ","GSON1112061025")</f>
        <v>#NAME?</v>
      </c>
      <c r="K1067" s="28" t="e">
        <f ca="1">[1]!BexGetData("DP_1","003N8EMH8GTFRIVNUPY288VJH","GSON1112061025")</f>
        <v>#NAME?</v>
      </c>
      <c r="L1067" s="28" t="e">
        <f ca="1">[1]!BexGetData("DP_1","003N8EMH8GTFRIVNUPY2891V1","GSON1112061025")</f>
        <v>#NAME?</v>
      </c>
      <c r="M1067" s="28" t="e">
        <f ca="1">[1]!BexGetData("DP_1","003N8EMH8GTFRIVOG7KG9IQXA","GSON1112061025")</f>
        <v>#NAME?</v>
      </c>
      <c r="N1067" s="28" t="e">
        <f ca="1">[1]!BexGetData("DP_1","003N8EMH8GTFRIVOG7KG9IX8U","GSON1112061025")</f>
        <v>#NAME?</v>
      </c>
      <c r="O1067" s="28" t="e">
        <f ca="1">[1]!BexGetData("DP_1","003N8EMH8GTFRIVOG7KG9J3KE","GSON1112061025")</f>
        <v>#NAME?</v>
      </c>
      <c r="P1067" s="28" t="e">
        <f ca="1">[1]!BexGetData("DP_1","003N8EMH8GTFRIVOG7KG9J9VY","GSON1112061025")</f>
        <v>#NAME?</v>
      </c>
      <c r="Q1067" s="24" t="e">
        <f ca="1">[1]!BexGetData("DP_1","00O2TNJGODT0G5Z4TTKYMM5MT","GSON1112061025")</f>
        <v>#NAME?</v>
      </c>
      <c r="R1067" s="24" t="e">
        <f ca="1">[1]!BexGetData("DP_1","00O2TNJGODT0G5Z4TTKYMMBYD","GSON1112061025")</f>
        <v>#NAME?</v>
      </c>
      <c r="S1067" s="24" t="e">
        <f ca="1">[1]!BexGetData("DP_1","00O2TNJGODT0G5Z4TTKYMMI9X","GSON1112061025")</f>
        <v>#NAME?</v>
      </c>
      <c r="T1067" s="24" t="e">
        <f ca="1">[1]!BexGetData("DP_1","00O2TNJGODT0G5Z4TTKYMMOLH","GSON1112061025")</f>
        <v>#NAME?</v>
      </c>
      <c r="U1067" s="24" t="e">
        <f ca="1">[1]!BexGetData("DP_1","00O2TNJGODT0G5Z4TTKYMMUX1","GSON1112061025")</f>
        <v>#NAME?</v>
      </c>
      <c r="V1067" s="24" t="e">
        <f ca="1">[1]!BexGetData("DP_1","00O2TNJGODT0G5Z4TTKYMN18L","GSON1112061025")</f>
        <v>#NAME?</v>
      </c>
      <c r="W1067" s="24" t="e">
        <f ca="1">[1]!BexGetData("DP_1","00O2TNJGODT0G5Z4TTKYMN7K5","GSON1112061025")</f>
        <v>#NAME?</v>
      </c>
    </row>
    <row r="1068" spans="1:23" x14ac:dyDescent="0.2">
      <c r="A1068" s="36" t="s">
        <v>3490</v>
      </c>
      <c r="B1068" s="27" t="s">
        <v>3491</v>
      </c>
      <c r="C1068" s="23" t="e">
        <f ca="1">[1]!BexGetData("DP_1","003N8EMH8GTFRCSWKMPXRR8GU","GSON1112061030")</f>
        <v>#NAME?</v>
      </c>
      <c r="D1068" s="23" t="e">
        <f ca="1">[1]!BexGetData("DP_1","003N8EMH8GTFRCSWKMPXRRESE","GSON1112061030")</f>
        <v>#NAME?</v>
      </c>
      <c r="E1068" s="23" t="e">
        <f ca="1">[1]!BexGetData("DP_1","003N8EMH8GTFRCSWKMPXRRL3Y","GSON1112061030")</f>
        <v>#NAME?</v>
      </c>
      <c r="F1068" s="24" t="e">
        <f ca="1">[1]!BexGetData("DP_1","003N8EMH8GTFRCSWKMPXRRRFI","GSON1112061030")</f>
        <v>#NAME?</v>
      </c>
      <c r="G1068" s="24" t="e">
        <f ca="1">[1]!BexGetData("DP_1","003N8EMH8GTFRCSWKMPXRRXR2","GSON1112061030")</f>
        <v>#NAME?</v>
      </c>
      <c r="H1068" s="24" t="e">
        <f ca="1">[1]!BexGetData("DP_1","003N8EMH8GTFRCSWKMPXRS42M","GSON1112061030")</f>
        <v>#NAME?</v>
      </c>
      <c r="I1068" s="24" t="e">
        <f ca="1">[1]!BexGetData("DP_1","003N8EMH8GTFRCSWKMPXRSAE6","GSON1112061030")</f>
        <v>#NAME?</v>
      </c>
      <c r="J1068" s="24" t="e">
        <f ca="1">[1]!BexGetData("DP_1","003N8EMH8GTFRCSWKMPXRSGPQ","GSON1112061030")</f>
        <v>#NAME?</v>
      </c>
      <c r="K1068" s="23" t="e">
        <f ca="1">[1]!BexGetData("DP_1","003N8EMH8GTFRIVNUPY288VJH","GSON1112061030")</f>
        <v>#NAME?</v>
      </c>
      <c r="L1068" s="23" t="e">
        <f ca="1">[1]!BexGetData("DP_1","003N8EMH8GTFRIVNUPY2891V1","GSON1112061030")</f>
        <v>#NAME?</v>
      </c>
      <c r="M1068" s="28" t="e">
        <f ca="1">[1]!BexGetData("DP_1","003N8EMH8GTFRIVOG7KG9IQXA","GSON1112061030")</f>
        <v>#NAME?</v>
      </c>
      <c r="N1068" s="23" t="e">
        <f ca="1">[1]!BexGetData("DP_1","003N8EMH8GTFRIVOG7KG9IX8U","GSON1112061030")</f>
        <v>#NAME?</v>
      </c>
      <c r="O1068" s="28" t="e">
        <f ca="1">[1]!BexGetData("DP_1","003N8EMH8GTFRIVOG7KG9J3KE","GSON1112061030")</f>
        <v>#NAME?</v>
      </c>
      <c r="P1068" s="23" t="e">
        <f ca="1">[1]!BexGetData("DP_1","003N8EMH8GTFRIVOG7KG9J9VY","GSON1112061030")</f>
        <v>#NAME?</v>
      </c>
      <c r="Q1068" s="24" t="e">
        <f ca="1">[1]!BexGetData("DP_1","00O2TNJGODT0G5Z4TTKYMM5MT","GSON1112061030")</f>
        <v>#NAME?</v>
      </c>
      <c r="R1068" s="24" t="e">
        <f ca="1">[1]!BexGetData("DP_1","00O2TNJGODT0G5Z4TTKYMMBYD","GSON1112061030")</f>
        <v>#NAME?</v>
      </c>
      <c r="S1068" s="24" t="e">
        <f ca="1">[1]!BexGetData("DP_1","00O2TNJGODT0G5Z4TTKYMMI9X","GSON1112061030")</f>
        <v>#NAME?</v>
      </c>
      <c r="T1068" s="24" t="e">
        <f ca="1">[1]!BexGetData("DP_1","00O2TNJGODT0G5Z4TTKYMMOLH","GSON1112061030")</f>
        <v>#NAME?</v>
      </c>
      <c r="U1068" s="24" t="e">
        <f ca="1">[1]!BexGetData("DP_1","00O2TNJGODT0G5Z4TTKYMMUX1","GSON1112061030")</f>
        <v>#NAME?</v>
      </c>
      <c r="V1068" s="24" t="e">
        <f ca="1">[1]!BexGetData("DP_1","00O2TNJGODT0G5Z4TTKYMN18L","GSON1112061030")</f>
        <v>#NAME?</v>
      </c>
      <c r="W1068" s="24" t="e">
        <f ca="1">[1]!BexGetData("DP_1","00O2TNJGODT0G5Z4TTKYMN7K5","GSON1112061030")</f>
        <v>#NAME?</v>
      </c>
    </row>
    <row r="1069" spans="1:23" x14ac:dyDescent="0.2">
      <c r="A1069" s="36" t="s">
        <v>3492</v>
      </c>
      <c r="B1069" s="27" t="s">
        <v>3493</v>
      </c>
      <c r="C1069" s="23" t="e">
        <f ca="1">[1]!BexGetData("DP_1","003N8EMH8GTFRCSWKMPXRR8GU","GSON1112061031")</f>
        <v>#NAME?</v>
      </c>
      <c r="D1069" s="23" t="e">
        <f ca="1">[1]!BexGetData("DP_1","003N8EMH8GTFRCSWKMPXRRESE","GSON1112061031")</f>
        <v>#NAME?</v>
      </c>
      <c r="E1069" s="28" t="e">
        <f ca="1">[1]!BexGetData("DP_1","003N8EMH8GTFRCSWKMPXRRL3Y","GSON1112061031")</f>
        <v>#NAME?</v>
      </c>
      <c r="F1069" s="24" t="e">
        <f ca="1">[1]!BexGetData("DP_1","003N8EMH8GTFRCSWKMPXRRRFI","GSON1112061031")</f>
        <v>#NAME?</v>
      </c>
      <c r="G1069" s="24" t="e">
        <f ca="1">[1]!BexGetData("DP_1","003N8EMH8GTFRCSWKMPXRRXR2","GSON1112061031")</f>
        <v>#NAME?</v>
      </c>
      <c r="H1069" s="24" t="e">
        <f ca="1">[1]!BexGetData("DP_1","003N8EMH8GTFRCSWKMPXRS42M","GSON1112061031")</f>
        <v>#NAME?</v>
      </c>
      <c r="I1069" s="24" t="e">
        <f ca="1">[1]!BexGetData("DP_1","003N8EMH8GTFRCSWKMPXRSAE6","GSON1112061031")</f>
        <v>#NAME?</v>
      </c>
      <c r="J1069" s="24" t="e">
        <f ca="1">[1]!BexGetData("DP_1","003N8EMH8GTFRCSWKMPXRSGPQ","GSON1112061031")</f>
        <v>#NAME?</v>
      </c>
      <c r="K1069" s="28" t="e">
        <f ca="1">[1]!BexGetData("DP_1","003N8EMH8GTFRIVNUPY288VJH","GSON1112061031")</f>
        <v>#NAME?</v>
      </c>
      <c r="L1069" s="28" t="e">
        <f ca="1">[1]!BexGetData("DP_1","003N8EMH8GTFRIVNUPY2891V1","GSON1112061031")</f>
        <v>#NAME?</v>
      </c>
      <c r="M1069" s="28" t="e">
        <f ca="1">[1]!BexGetData("DP_1","003N8EMH8GTFRIVOG7KG9IQXA","GSON1112061031")</f>
        <v>#NAME?</v>
      </c>
      <c r="N1069" s="28" t="e">
        <f ca="1">[1]!BexGetData("DP_1","003N8EMH8GTFRIVOG7KG9IX8U","GSON1112061031")</f>
        <v>#NAME?</v>
      </c>
      <c r="O1069" s="28" t="e">
        <f ca="1">[1]!BexGetData("DP_1","003N8EMH8GTFRIVOG7KG9J3KE","GSON1112061031")</f>
        <v>#NAME?</v>
      </c>
      <c r="P1069" s="28" t="e">
        <f ca="1">[1]!BexGetData("DP_1","003N8EMH8GTFRIVOG7KG9J9VY","GSON1112061031")</f>
        <v>#NAME?</v>
      </c>
      <c r="Q1069" s="24" t="e">
        <f ca="1">[1]!BexGetData("DP_1","00O2TNJGODT0G5Z4TTKYMM5MT","GSON1112061031")</f>
        <v>#NAME?</v>
      </c>
      <c r="R1069" s="24" t="e">
        <f ca="1">[1]!BexGetData("DP_1","00O2TNJGODT0G5Z4TTKYMMBYD","GSON1112061031")</f>
        <v>#NAME?</v>
      </c>
      <c r="S1069" s="24" t="e">
        <f ca="1">[1]!BexGetData("DP_1","00O2TNJGODT0G5Z4TTKYMMI9X","GSON1112061031")</f>
        <v>#NAME?</v>
      </c>
      <c r="T1069" s="24" t="e">
        <f ca="1">[1]!BexGetData("DP_1","00O2TNJGODT0G5Z4TTKYMMOLH","GSON1112061031")</f>
        <v>#NAME?</v>
      </c>
      <c r="U1069" s="24" t="e">
        <f ca="1">[1]!BexGetData("DP_1","00O2TNJGODT0G5Z4TTKYMMUX1","GSON1112061031")</f>
        <v>#NAME?</v>
      </c>
      <c r="V1069" s="24" t="e">
        <f ca="1">[1]!BexGetData("DP_1","00O2TNJGODT0G5Z4TTKYMN18L","GSON1112061031")</f>
        <v>#NAME?</v>
      </c>
      <c r="W1069" s="24" t="e">
        <f ca="1">[1]!BexGetData("DP_1","00O2TNJGODT0G5Z4TTKYMN7K5","GSON1112061031")</f>
        <v>#NAME?</v>
      </c>
    </row>
    <row r="1070" spans="1:23" x14ac:dyDescent="0.2">
      <c r="A1070" s="36" t="s">
        <v>3494</v>
      </c>
      <c r="B1070" s="27" t="s">
        <v>3495</v>
      </c>
      <c r="C1070" s="23" t="e">
        <f ca="1">[1]!BexGetData("DP_1","003N8EMH8GTFRCSWKMPXRR8GU","GSON1112061032")</f>
        <v>#NAME?</v>
      </c>
      <c r="D1070" s="23" t="e">
        <f ca="1">[1]!BexGetData("DP_1","003N8EMH8GTFRCSWKMPXRRESE","GSON1112061032")</f>
        <v>#NAME?</v>
      </c>
      <c r="E1070" s="28" t="e">
        <f ca="1">[1]!BexGetData("DP_1","003N8EMH8GTFRCSWKMPXRRL3Y","GSON1112061032")</f>
        <v>#NAME?</v>
      </c>
      <c r="F1070" s="24" t="e">
        <f ca="1">[1]!BexGetData("DP_1","003N8EMH8GTFRCSWKMPXRRRFI","GSON1112061032")</f>
        <v>#NAME?</v>
      </c>
      <c r="G1070" s="24" t="e">
        <f ca="1">[1]!BexGetData("DP_1","003N8EMH8GTFRCSWKMPXRRXR2","GSON1112061032")</f>
        <v>#NAME?</v>
      </c>
      <c r="H1070" s="24" t="e">
        <f ca="1">[1]!BexGetData("DP_1","003N8EMH8GTFRCSWKMPXRS42M","GSON1112061032")</f>
        <v>#NAME?</v>
      </c>
      <c r="I1070" s="24" t="e">
        <f ca="1">[1]!BexGetData("DP_1","003N8EMH8GTFRCSWKMPXRSAE6","GSON1112061032")</f>
        <v>#NAME?</v>
      </c>
      <c r="J1070" s="24" t="e">
        <f ca="1">[1]!BexGetData("DP_1","003N8EMH8GTFRCSWKMPXRSGPQ","GSON1112061032")</f>
        <v>#NAME?</v>
      </c>
      <c r="K1070" s="28" t="e">
        <f ca="1">[1]!BexGetData("DP_1","003N8EMH8GTFRIVNUPY288VJH","GSON1112061032")</f>
        <v>#NAME?</v>
      </c>
      <c r="L1070" s="28" t="e">
        <f ca="1">[1]!BexGetData("DP_1","003N8EMH8GTFRIVNUPY2891V1","GSON1112061032")</f>
        <v>#NAME?</v>
      </c>
      <c r="M1070" s="28" t="e">
        <f ca="1">[1]!BexGetData("DP_1","003N8EMH8GTFRIVOG7KG9IQXA","GSON1112061032")</f>
        <v>#NAME?</v>
      </c>
      <c r="N1070" s="28" t="e">
        <f ca="1">[1]!BexGetData("DP_1","003N8EMH8GTFRIVOG7KG9IX8U","GSON1112061032")</f>
        <v>#NAME?</v>
      </c>
      <c r="O1070" s="28" t="e">
        <f ca="1">[1]!BexGetData("DP_1","003N8EMH8GTFRIVOG7KG9J3KE","GSON1112061032")</f>
        <v>#NAME?</v>
      </c>
      <c r="P1070" s="28" t="e">
        <f ca="1">[1]!BexGetData("DP_1","003N8EMH8GTFRIVOG7KG9J9VY","GSON1112061032")</f>
        <v>#NAME?</v>
      </c>
      <c r="Q1070" s="24" t="e">
        <f ca="1">[1]!BexGetData("DP_1","00O2TNJGODT0G5Z4TTKYMM5MT","GSON1112061032")</f>
        <v>#NAME?</v>
      </c>
      <c r="R1070" s="24" t="e">
        <f ca="1">[1]!BexGetData("DP_1","00O2TNJGODT0G5Z4TTKYMMBYD","GSON1112061032")</f>
        <v>#NAME?</v>
      </c>
      <c r="S1070" s="24" t="e">
        <f ca="1">[1]!BexGetData("DP_1","00O2TNJGODT0G5Z4TTKYMMI9X","GSON1112061032")</f>
        <v>#NAME?</v>
      </c>
      <c r="T1070" s="24" t="e">
        <f ca="1">[1]!BexGetData("DP_1","00O2TNJGODT0G5Z4TTKYMMOLH","GSON1112061032")</f>
        <v>#NAME?</v>
      </c>
      <c r="U1070" s="24" t="e">
        <f ca="1">[1]!BexGetData("DP_1","00O2TNJGODT0G5Z4TTKYMMUX1","GSON1112061032")</f>
        <v>#NAME?</v>
      </c>
      <c r="V1070" s="24" t="e">
        <f ca="1">[1]!BexGetData("DP_1","00O2TNJGODT0G5Z4TTKYMN18L","GSON1112061032")</f>
        <v>#NAME?</v>
      </c>
      <c r="W1070" s="24" t="e">
        <f ca="1">[1]!BexGetData("DP_1","00O2TNJGODT0G5Z4TTKYMN7K5","GSON1112061032")</f>
        <v>#NAME?</v>
      </c>
    </row>
    <row r="1071" spans="1:23" x14ac:dyDescent="0.2">
      <c r="A1071" s="36" t="s">
        <v>3496</v>
      </c>
      <c r="B1071" s="27" t="s">
        <v>3497</v>
      </c>
      <c r="C1071" s="23" t="e">
        <f ca="1">[1]!BexGetData("DP_1","003N8EMH8GTFRCSWKMPXRR8GU","GSON1112061033")</f>
        <v>#NAME?</v>
      </c>
      <c r="D1071" s="23" t="e">
        <f ca="1">[1]!BexGetData("DP_1","003N8EMH8GTFRCSWKMPXRRESE","GSON1112061033")</f>
        <v>#NAME?</v>
      </c>
      <c r="E1071" s="28" t="e">
        <f ca="1">[1]!BexGetData("DP_1","003N8EMH8GTFRCSWKMPXRRL3Y","GSON1112061033")</f>
        <v>#NAME?</v>
      </c>
      <c r="F1071" s="24" t="e">
        <f ca="1">[1]!BexGetData("DP_1","003N8EMH8GTFRCSWKMPXRRRFI","GSON1112061033")</f>
        <v>#NAME?</v>
      </c>
      <c r="G1071" s="24" t="e">
        <f ca="1">[1]!BexGetData("DP_1","003N8EMH8GTFRCSWKMPXRRXR2","GSON1112061033")</f>
        <v>#NAME?</v>
      </c>
      <c r="H1071" s="24" t="e">
        <f ca="1">[1]!BexGetData("DP_1","003N8EMH8GTFRCSWKMPXRS42M","GSON1112061033")</f>
        <v>#NAME?</v>
      </c>
      <c r="I1071" s="24" t="e">
        <f ca="1">[1]!BexGetData("DP_1","003N8EMH8GTFRCSWKMPXRSAE6","GSON1112061033")</f>
        <v>#NAME?</v>
      </c>
      <c r="J1071" s="24" t="e">
        <f ca="1">[1]!BexGetData("DP_1","003N8EMH8GTFRCSWKMPXRSGPQ","GSON1112061033")</f>
        <v>#NAME?</v>
      </c>
      <c r="K1071" s="28" t="e">
        <f ca="1">[1]!BexGetData("DP_1","003N8EMH8GTFRIVNUPY288VJH","GSON1112061033")</f>
        <v>#NAME?</v>
      </c>
      <c r="L1071" s="28" t="e">
        <f ca="1">[1]!BexGetData("DP_1","003N8EMH8GTFRIVNUPY2891V1","GSON1112061033")</f>
        <v>#NAME?</v>
      </c>
      <c r="M1071" s="28" t="e">
        <f ca="1">[1]!BexGetData("DP_1","003N8EMH8GTFRIVOG7KG9IQXA","GSON1112061033")</f>
        <v>#NAME?</v>
      </c>
      <c r="N1071" s="28" t="e">
        <f ca="1">[1]!BexGetData("DP_1","003N8EMH8GTFRIVOG7KG9IX8U","GSON1112061033")</f>
        <v>#NAME?</v>
      </c>
      <c r="O1071" s="28" t="e">
        <f ca="1">[1]!BexGetData("DP_1","003N8EMH8GTFRIVOG7KG9J3KE","GSON1112061033")</f>
        <v>#NAME?</v>
      </c>
      <c r="P1071" s="28" t="e">
        <f ca="1">[1]!BexGetData("DP_1","003N8EMH8GTFRIVOG7KG9J9VY","GSON1112061033")</f>
        <v>#NAME?</v>
      </c>
      <c r="Q1071" s="24" t="e">
        <f ca="1">[1]!BexGetData("DP_1","00O2TNJGODT0G5Z4TTKYMM5MT","GSON1112061033")</f>
        <v>#NAME?</v>
      </c>
      <c r="R1071" s="24" t="e">
        <f ca="1">[1]!BexGetData("DP_1","00O2TNJGODT0G5Z4TTKYMMBYD","GSON1112061033")</f>
        <v>#NAME?</v>
      </c>
      <c r="S1071" s="24" t="e">
        <f ca="1">[1]!BexGetData("DP_1","00O2TNJGODT0G5Z4TTKYMMI9X","GSON1112061033")</f>
        <v>#NAME?</v>
      </c>
      <c r="T1071" s="24" t="e">
        <f ca="1">[1]!BexGetData("DP_1","00O2TNJGODT0G5Z4TTKYMMOLH","GSON1112061033")</f>
        <v>#NAME?</v>
      </c>
      <c r="U1071" s="24" t="e">
        <f ca="1">[1]!BexGetData("DP_1","00O2TNJGODT0G5Z4TTKYMMUX1","GSON1112061033")</f>
        <v>#NAME?</v>
      </c>
      <c r="V1071" s="24" t="e">
        <f ca="1">[1]!BexGetData("DP_1","00O2TNJGODT0G5Z4TTKYMN18L","GSON1112061033")</f>
        <v>#NAME?</v>
      </c>
      <c r="W1071" s="24" t="e">
        <f ca="1">[1]!BexGetData("DP_1","00O2TNJGODT0G5Z4TTKYMN7K5","GSON1112061033")</f>
        <v>#NAME?</v>
      </c>
    </row>
    <row r="1072" spans="1:23" x14ac:dyDescent="0.2">
      <c r="A1072" s="36" t="s">
        <v>3498</v>
      </c>
      <c r="B1072" s="27" t="s">
        <v>3499</v>
      </c>
      <c r="C1072" s="23" t="e">
        <f ca="1">[1]!BexGetData("DP_1","003N8EMH8GTFRCSWKMPXRR8GU","GSON1112061034")</f>
        <v>#NAME?</v>
      </c>
      <c r="D1072" s="23" t="e">
        <f ca="1">[1]!BexGetData("DP_1","003N8EMH8GTFRCSWKMPXRRESE","GSON1112061034")</f>
        <v>#NAME?</v>
      </c>
      <c r="E1072" s="28" t="e">
        <f ca="1">[1]!BexGetData("DP_1","003N8EMH8GTFRCSWKMPXRRL3Y","GSON1112061034")</f>
        <v>#NAME?</v>
      </c>
      <c r="F1072" s="24" t="e">
        <f ca="1">[1]!BexGetData("DP_1","003N8EMH8GTFRCSWKMPXRRRFI","GSON1112061034")</f>
        <v>#NAME?</v>
      </c>
      <c r="G1072" s="24" t="e">
        <f ca="1">[1]!BexGetData("DP_1","003N8EMH8GTFRCSWKMPXRRXR2","GSON1112061034")</f>
        <v>#NAME?</v>
      </c>
      <c r="H1072" s="24" t="e">
        <f ca="1">[1]!BexGetData("DP_1","003N8EMH8GTFRCSWKMPXRS42M","GSON1112061034")</f>
        <v>#NAME?</v>
      </c>
      <c r="I1072" s="24" t="e">
        <f ca="1">[1]!BexGetData("DP_1","003N8EMH8GTFRCSWKMPXRSAE6","GSON1112061034")</f>
        <v>#NAME?</v>
      </c>
      <c r="J1072" s="24" t="e">
        <f ca="1">[1]!BexGetData("DP_1","003N8EMH8GTFRCSWKMPXRSGPQ","GSON1112061034")</f>
        <v>#NAME?</v>
      </c>
      <c r="K1072" s="28" t="e">
        <f ca="1">[1]!BexGetData("DP_1","003N8EMH8GTFRIVNUPY288VJH","GSON1112061034")</f>
        <v>#NAME?</v>
      </c>
      <c r="L1072" s="28" t="e">
        <f ca="1">[1]!BexGetData("DP_1","003N8EMH8GTFRIVNUPY2891V1","GSON1112061034")</f>
        <v>#NAME?</v>
      </c>
      <c r="M1072" s="28" t="e">
        <f ca="1">[1]!BexGetData("DP_1","003N8EMH8GTFRIVOG7KG9IQXA","GSON1112061034")</f>
        <v>#NAME?</v>
      </c>
      <c r="N1072" s="28" t="e">
        <f ca="1">[1]!BexGetData("DP_1","003N8EMH8GTFRIVOG7KG9IX8U","GSON1112061034")</f>
        <v>#NAME?</v>
      </c>
      <c r="O1072" s="28" t="e">
        <f ca="1">[1]!BexGetData("DP_1","003N8EMH8GTFRIVOG7KG9J3KE","GSON1112061034")</f>
        <v>#NAME?</v>
      </c>
      <c r="P1072" s="28" t="e">
        <f ca="1">[1]!BexGetData("DP_1","003N8EMH8GTFRIVOG7KG9J9VY","GSON1112061034")</f>
        <v>#NAME?</v>
      </c>
      <c r="Q1072" s="24" t="e">
        <f ca="1">[1]!BexGetData("DP_1","00O2TNJGODT0G5Z4TTKYMM5MT","GSON1112061034")</f>
        <v>#NAME?</v>
      </c>
      <c r="R1072" s="24" t="e">
        <f ca="1">[1]!BexGetData("DP_1","00O2TNJGODT0G5Z4TTKYMMBYD","GSON1112061034")</f>
        <v>#NAME?</v>
      </c>
      <c r="S1072" s="24" t="e">
        <f ca="1">[1]!BexGetData("DP_1","00O2TNJGODT0G5Z4TTKYMMI9X","GSON1112061034")</f>
        <v>#NAME?</v>
      </c>
      <c r="T1072" s="24" t="e">
        <f ca="1">[1]!BexGetData("DP_1","00O2TNJGODT0G5Z4TTKYMMOLH","GSON1112061034")</f>
        <v>#NAME?</v>
      </c>
      <c r="U1072" s="24" t="e">
        <f ca="1">[1]!BexGetData("DP_1","00O2TNJGODT0G5Z4TTKYMMUX1","GSON1112061034")</f>
        <v>#NAME?</v>
      </c>
      <c r="V1072" s="24" t="e">
        <f ca="1">[1]!BexGetData("DP_1","00O2TNJGODT0G5Z4TTKYMN18L","GSON1112061034")</f>
        <v>#NAME?</v>
      </c>
      <c r="W1072" s="24" t="e">
        <f ca="1">[1]!BexGetData("DP_1","00O2TNJGODT0G5Z4TTKYMN7K5","GSON1112061034")</f>
        <v>#NAME?</v>
      </c>
    </row>
    <row r="1073" spans="1:23" x14ac:dyDescent="0.2">
      <c r="A1073" s="36" t="s">
        <v>3500</v>
      </c>
      <c r="B1073" s="27" t="s">
        <v>3501</v>
      </c>
      <c r="C1073" s="23" t="e">
        <f ca="1">[1]!BexGetData("DP_1","003N8EMH8GTFRCSWKMPXRR8GU","GSON1112061035")</f>
        <v>#NAME?</v>
      </c>
      <c r="D1073" s="23" t="e">
        <f ca="1">[1]!BexGetData("DP_1","003N8EMH8GTFRCSWKMPXRRESE","GSON1112061035")</f>
        <v>#NAME?</v>
      </c>
      <c r="E1073" s="28" t="e">
        <f ca="1">[1]!BexGetData("DP_1","003N8EMH8GTFRCSWKMPXRRL3Y","GSON1112061035")</f>
        <v>#NAME?</v>
      </c>
      <c r="F1073" s="24" t="e">
        <f ca="1">[1]!BexGetData("DP_1","003N8EMH8GTFRCSWKMPXRRRFI","GSON1112061035")</f>
        <v>#NAME?</v>
      </c>
      <c r="G1073" s="24" t="e">
        <f ca="1">[1]!BexGetData("DP_1","003N8EMH8GTFRCSWKMPXRRXR2","GSON1112061035")</f>
        <v>#NAME?</v>
      </c>
      <c r="H1073" s="24" t="e">
        <f ca="1">[1]!BexGetData("DP_1","003N8EMH8GTFRCSWKMPXRS42M","GSON1112061035")</f>
        <v>#NAME?</v>
      </c>
      <c r="I1073" s="24" t="e">
        <f ca="1">[1]!BexGetData("DP_1","003N8EMH8GTFRCSWKMPXRSAE6","GSON1112061035")</f>
        <v>#NAME?</v>
      </c>
      <c r="J1073" s="24" t="e">
        <f ca="1">[1]!BexGetData("DP_1","003N8EMH8GTFRCSWKMPXRSGPQ","GSON1112061035")</f>
        <v>#NAME?</v>
      </c>
      <c r="K1073" s="28" t="e">
        <f ca="1">[1]!BexGetData("DP_1","003N8EMH8GTFRIVNUPY288VJH","GSON1112061035")</f>
        <v>#NAME?</v>
      </c>
      <c r="L1073" s="28" t="e">
        <f ca="1">[1]!BexGetData("DP_1","003N8EMH8GTFRIVNUPY2891V1","GSON1112061035")</f>
        <v>#NAME?</v>
      </c>
      <c r="M1073" s="28" t="e">
        <f ca="1">[1]!BexGetData("DP_1","003N8EMH8GTFRIVOG7KG9IQXA","GSON1112061035")</f>
        <v>#NAME?</v>
      </c>
      <c r="N1073" s="28" t="e">
        <f ca="1">[1]!BexGetData("DP_1","003N8EMH8GTFRIVOG7KG9IX8U","GSON1112061035")</f>
        <v>#NAME?</v>
      </c>
      <c r="O1073" s="28" t="e">
        <f ca="1">[1]!BexGetData("DP_1","003N8EMH8GTFRIVOG7KG9J3KE","GSON1112061035")</f>
        <v>#NAME?</v>
      </c>
      <c r="P1073" s="28" t="e">
        <f ca="1">[1]!BexGetData("DP_1","003N8EMH8GTFRIVOG7KG9J9VY","GSON1112061035")</f>
        <v>#NAME?</v>
      </c>
      <c r="Q1073" s="24" t="e">
        <f ca="1">[1]!BexGetData("DP_1","00O2TNJGODT0G5Z4TTKYMM5MT","GSON1112061035")</f>
        <v>#NAME?</v>
      </c>
      <c r="R1073" s="24" t="e">
        <f ca="1">[1]!BexGetData("DP_1","00O2TNJGODT0G5Z4TTKYMMBYD","GSON1112061035")</f>
        <v>#NAME?</v>
      </c>
      <c r="S1073" s="24" t="e">
        <f ca="1">[1]!BexGetData("DP_1","00O2TNJGODT0G5Z4TTKYMMI9X","GSON1112061035")</f>
        <v>#NAME?</v>
      </c>
      <c r="T1073" s="24" t="e">
        <f ca="1">[1]!BexGetData("DP_1","00O2TNJGODT0G5Z4TTKYMMOLH","GSON1112061035")</f>
        <v>#NAME?</v>
      </c>
      <c r="U1073" s="24" t="e">
        <f ca="1">[1]!BexGetData("DP_1","00O2TNJGODT0G5Z4TTKYMMUX1","GSON1112061035")</f>
        <v>#NAME?</v>
      </c>
      <c r="V1073" s="24" t="e">
        <f ca="1">[1]!BexGetData("DP_1","00O2TNJGODT0G5Z4TTKYMN18L","GSON1112061035")</f>
        <v>#NAME?</v>
      </c>
      <c r="W1073" s="24" t="e">
        <f ca="1">[1]!BexGetData("DP_1","00O2TNJGODT0G5Z4TTKYMN7K5","GSON1112061035")</f>
        <v>#NAME?</v>
      </c>
    </row>
    <row r="1074" spans="1:23" x14ac:dyDescent="0.2">
      <c r="A1074" s="36" t="s">
        <v>3502</v>
      </c>
      <c r="B1074" s="27" t="s">
        <v>3503</v>
      </c>
      <c r="C1074" s="23" t="e">
        <f ca="1">[1]!BexGetData("DP_1","003N8EMH8GTFRCSWKMPXRR8GU","GSON1112061040")</f>
        <v>#NAME?</v>
      </c>
      <c r="D1074" s="23" t="e">
        <f ca="1">[1]!BexGetData("DP_1","003N8EMH8GTFRCSWKMPXRRESE","GSON1112061040")</f>
        <v>#NAME?</v>
      </c>
      <c r="E1074" s="23" t="e">
        <f ca="1">[1]!BexGetData("DP_1","003N8EMH8GTFRCSWKMPXRRL3Y","GSON1112061040")</f>
        <v>#NAME?</v>
      </c>
      <c r="F1074" s="24" t="e">
        <f ca="1">[1]!BexGetData("DP_1","003N8EMH8GTFRCSWKMPXRRRFI","GSON1112061040")</f>
        <v>#NAME?</v>
      </c>
      <c r="G1074" s="24" t="e">
        <f ca="1">[1]!BexGetData("DP_1","003N8EMH8GTFRCSWKMPXRRXR2","GSON1112061040")</f>
        <v>#NAME?</v>
      </c>
      <c r="H1074" s="24" t="e">
        <f ca="1">[1]!BexGetData("DP_1","003N8EMH8GTFRCSWKMPXRS42M","GSON1112061040")</f>
        <v>#NAME?</v>
      </c>
      <c r="I1074" s="24" t="e">
        <f ca="1">[1]!BexGetData("DP_1","003N8EMH8GTFRCSWKMPXRSAE6","GSON1112061040")</f>
        <v>#NAME?</v>
      </c>
      <c r="J1074" s="24" t="e">
        <f ca="1">[1]!BexGetData("DP_1","003N8EMH8GTFRCSWKMPXRSGPQ","GSON1112061040")</f>
        <v>#NAME?</v>
      </c>
      <c r="K1074" s="23" t="e">
        <f ca="1">[1]!BexGetData("DP_1","003N8EMH8GTFRIVNUPY288VJH","GSON1112061040")</f>
        <v>#NAME?</v>
      </c>
      <c r="L1074" s="23" t="e">
        <f ca="1">[1]!BexGetData("DP_1","003N8EMH8GTFRIVNUPY2891V1","GSON1112061040")</f>
        <v>#NAME?</v>
      </c>
      <c r="M1074" s="28" t="e">
        <f ca="1">[1]!BexGetData("DP_1","003N8EMH8GTFRIVOG7KG9IQXA","GSON1112061040")</f>
        <v>#NAME?</v>
      </c>
      <c r="N1074" s="23" t="e">
        <f ca="1">[1]!BexGetData("DP_1","003N8EMH8GTFRIVOG7KG9IX8U","GSON1112061040")</f>
        <v>#NAME?</v>
      </c>
      <c r="O1074" s="28" t="e">
        <f ca="1">[1]!BexGetData("DP_1","003N8EMH8GTFRIVOG7KG9J3KE","GSON1112061040")</f>
        <v>#NAME?</v>
      </c>
      <c r="P1074" s="23" t="e">
        <f ca="1">[1]!BexGetData("DP_1","003N8EMH8GTFRIVOG7KG9J9VY","GSON1112061040")</f>
        <v>#NAME?</v>
      </c>
      <c r="Q1074" s="24" t="e">
        <f ca="1">[1]!BexGetData("DP_1","00O2TNJGODT0G5Z4TTKYMM5MT","GSON1112061040")</f>
        <v>#NAME?</v>
      </c>
      <c r="R1074" s="24" t="e">
        <f ca="1">[1]!BexGetData("DP_1","00O2TNJGODT0G5Z4TTKYMMBYD","GSON1112061040")</f>
        <v>#NAME?</v>
      </c>
      <c r="S1074" s="24" t="e">
        <f ca="1">[1]!BexGetData("DP_1","00O2TNJGODT0G5Z4TTKYMMI9X","GSON1112061040")</f>
        <v>#NAME?</v>
      </c>
      <c r="T1074" s="24" t="e">
        <f ca="1">[1]!BexGetData("DP_1","00O2TNJGODT0G5Z4TTKYMMOLH","GSON1112061040")</f>
        <v>#NAME?</v>
      </c>
      <c r="U1074" s="24" t="e">
        <f ca="1">[1]!BexGetData("DP_1","00O2TNJGODT0G5Z4TTKYMMUX1","GSON1112061040")</f>
        <v>#NAME?</v>
      </c>
      <c r="V1074" s="24" t="e">
        <f ca="1">[1]!BexGetData("DP_1","00O2TNJGODT0G5Z4TTKYMN18L","GSON1112061040")</f>
        <v>#NAME?</v>
      </c>
      <c r="W1074" s="24" t="e">
        <f ca="1">[1]!BexGetData("DP_1","00O2TNJGODT0G5Z4TTKYMN7K5","GSON1112061040")</f>
        <v>#NAME?</v>
      </c>
    </row>
    <row r="1075" spans="1:23" x14ac:dyDescent="0.2">
      <c r="A1075" s="36" t="s">
        <v>3504</v>
      </c>
      <c r="B1075" s="27" t="s">
        <v>3505</v>
      </c>
      <c r="C1075" s="23" t="e">
        <f ca="1">[1]!BexGetData("DP_1","003N8EMH8GTFRCSWKMPXRR8GU","GSON1112061041")</f>
        <v>#NAME?</v>
      </c>
      <c r="D1075" s="23" t="e">
        <f ca="1">[1]!BexGetData("DP_1","003N8EMH8GTFRCSWKMPXRRESE","GSON1112061041")</f>
        <v>#NAME?</v>
      </c>
      <c r="E1075" s="28" t="e">
        <f ca="1">[1]!BexGetData("DP_1","003N8EMH8GTFRCSWKMPXRRL3Y","GSON1112061041")</f>
        <v>#NAME?</v>
      </c>
      <c r="F1075" s="24" t="e">
        <f ca="1">[1]!BexGetData("DP_1","003N8EMH8GTFRCSWKMPXRRRFI","GSON1112061041")</f>
        <v>#NAME?</v>
      </c>
      <c r="G1075" s="24" t="e">
        <f ca="1">[1]!BexGetData("DP_1","003N8EMH8GTFRCSWKMPXRRXR2","GSON1112061041")</f>
        <v>#NAME?</v>
      </c>
      <c r="H1075" s="24" t="e">
        <f ca="1">[1]!BexGetData("DP_1","003N8EMH8GTFRCSWKMPXRS42M","GSON1112061041")</f>
        <v>#NAME?</v>
      </c>
      <c r="I1075" s="24" t="e">
        <f ca="1">[1]!BexGetData("DP_1","003N8EMH8GTFRCSWKMPXRSAE6","GSON1112061041")</f>
        <v>#NAME?</v>
      </c>
      <c r="J1075" s="24" t="e">
        <f ca="1">[1]!BexGetData("DP_1","003N8EMH8GTFRCSWKMPXRSGPQ","GSON1112061041")</f>
        <v>#NAME?</v>
      </c>
      <c r="K1075" s="28" t="e">
        <f ca="1">[1]!BexGetData("DP_1","003N8EMH8GTFRIVNUPY288VJH","GSON1112061041")</f>
        <v>#NAME?</v>
      </c>
      <c r="L1075" s="28" t="e">
        <f ca="1">[1]!BexGetData("DP_1","003N8EMH8GTFRIVNUPY2891V1","GSON1112061041")</f>
        <v>#NAME?</v>
      </c>
      <c r="M1075" s="28" t="e">
        <f ca="1">[1]!BexGetData("DP_1","003N8EMH8GTFRIVOG7KG9IQXA","GSON1112061041")</f>
        <v>#NAME?</v>
      </c>
      <c r="N1075" s="28" t="e">
        <f ca="1">[1]!BexGetData("DP_1","003N8EMH8GTFRIVOG7KG9IX8U","GSON1112061041")</f>
        <v>#NAME?</v>
      </c>
      <c r="O1075" s="28" t="e">
        <f ca="1">[1]!BexGetData("DP_1","003N8EMH8GTFRIVOG7KG9J3KE","GSON1112061041")</f>
        <v>#NAME?</v>
      </c>
      <c r="P1075" s="28" t="e">
        <f ca="1">[1]!BexGetData("DP_1","003N8EMH8GTFRIVOG7KG9J9VY","GSON1112061041")</f>
        <v>#NAME?</v>
      </c>
      <c r="Q1075" s="24" t="e">
        <f ca="1">[1]!BexGetData("DP_1","00O2TNJGODT0G5Z4TTKYMM5MT","GSON1112061041")</f>
        <v>#NAME?</v>
      </c>
      <c r="R1075" s="24" t="e">
        <f ca="1">[1]!BexGetData("DP_1","00O2TNJGODT0G5Z4TTKYMMBYD","GSON1112061041")</f>
        <v>#NAME?</v>
      </c>
      <c r="S1075" s="24" t="e">
        <f ca="1">[1]!BexGetData("DP_1","00O2TNJGODT0G5Z4TTKYMMI9X","GSON1112061041")</f>
        <v>#NAME?</v>
      </c>
      <c r="T1075" s="24" t="e">
        <f ca="1">[1]!BexGetData("DP_1","00O2TNJGODT0G5Z4TTKYMMOLH","GSON1112061041")</f>
        <v>#NAME?</v>
      </c>
      <c r="U1075" s="24" t="e">
        <f ca="1">[1]!BexGetData("DP_1","00O2TNJGODT0G5Z4TTKYMMUX1","GSON1112061041")</f>
        <v>#NAME?</v>
      </c>
      <c r="V1075" s="24" t="e">
        <f ca="1">[1]!BexGetData("DP_1","00O2TNJGODT0G5Z4TTKYMN18L","GSON1112061041")</f>
        <v>#NAME?</v>
      </c>
      <c r="W1075" s="24" t="e">
        <f ca="1">[1]!BexGetData("DP_1","00O2TNJGODT0G5Z4TTKYMN7K5","GSON1112061041")</f>
        <v>#NAME?</v>
      </c>
    </row>
    <row r="1076" spans="1:23" x14ac:dyDescent="0.2">
      <c r="A1076" s="36" t="s">
        <v>3506</v>
      </c>
      <c r="B1076" s="27" t="s">
        <v>3507</v>
      </c>
      <c r="C1076" s="23" t="e">
        <f ca="1">[1]!BexGetData("DP_1","003N8EMH8GTFRCSWKMPXRR8GU","GSON1112061042")</f>
        <v>#NAME?</v>
      </c>
      <c r="D1076" s="23" t="e">
        <f ca="1">[1]!BexGetData("DP_1","003N8EMH8GTFRCSWKMPXRRESE","GSON1112061042")</f>
        <v>#NAME?</v>
      </c>
      <c r="E1076" s="23" t="e">
        <f ca="1">[1]!BexGetData("DP_1","003N8EMH8GTFRCSWKMPXRRL3Y","GSON1112061042")</f>
        <v>#NAME?</v>
      </c>
      <c r="F1076" s="24" t="e">
        <f ca="1">[1]!BexGetData("DP_1","003N8EMH8GTFRCSWKMPXRRRFI","GSON1112061042")</f>
        <v>#NAME?</v>
      </c>
      <c r="G1076" s="24" t="e">
        <f ca="1">[1]!BexGetData("DP_1","003N8EMH8GTFRCSWKMPXRRXR2","GSON1112061042")</f>
        <v>#NAME?</v>
      </c>
      <c r="H1076" s="24" t="e">
        <f ca="1">[1]!BexGetData("DP_1","003N8EMH8GTFRCSWKMPXRS42M","GSON1112061042")</f>
        <v>#NAME?</v>
      </c>
      <c r="I1076" s="24" t="e">
        <f ca="1">[1]!BexGetData("DP_1","003N8EMH8GTFRCSWKMPXRSAE6","GSON1112061042")</f>
        <v>#NAME?</v>
      </c>
      <c r="J1076" s="24" t="e">
        <f ca="1">[1]!BexGetData("DP_1","003N8EMH8GTFRCSWKMPXRSGPQ","GSON1112061042")</f>
        <v>#NAME?</v>
      </c>
      <c r="K1076" s="23" t="e">
        <f ca="1">[1]!BexGetData("DP_1","003N8EMH8GTFRIVNUPY288VJH","GSON1112061042")</f>
        <v>#NAME?</v>
      </c>
      <c r="L1076" s="23" t="e">
        <f ca="1">[1]!BexGetData("DP_1","003N8EMH8GTFRIVNUPY2891V1","GSON1112061042")</f>
        <v>#NAME?</v>
      </c>
      <c r="M1076" s="23" t="e">
        <f ca="1">[1]!BexGetData("DP_1","003N8EMH8GTFRIVOG7KG9IQXA","GSON1112061042")</f>
        <v>#NAME?</v>
      </c>
      <c r="N1076" s="28" t="e">
        <f ca="1">[1]!BexGetData("DP_1","003N8EMH8GTFRIVOG7KG9IX8U","GSON1112061042")</f>
        <v>#NAME?</v>
      </c>
      <c r="O1076" s="23" t="e">
        <f ca="1">[1]!BexGetData("DP_1","003N8EMH8GTFRIVOG7KG9J3KE","GSON1112061042")</f>
        <v>#NAME?</v>
      </c>
      <c r="P1076" s="28" t="e">
        <f ca="1">[1]!BexGetData("DP_1","003N8EMH8GTFRIVOG7KG9J9VY","GSON1112061042")</f>
        <v>#NAME?</v>
      </c>
      <c r="Q1076" s="24" t="e">
        <f ca="1">[1]!BexGetData("DP_1","00O2TNJGODT0G5Z4TTKYMM5MT","GSON1112061042")</f>
        <v>#NAME?</v>
      </c>
      <c r="R1076" s="24" t="e">
        <f ca="1">[1]!BexGetData("DP_1","00O2TNJGODT0G5Z4TTKYMMBYD","GSON1112061042")</f>
        <v>#NAME?</v>
      </c>
      <c r="S1076" s="24" t="e">
        <f ca="1">[1]!BexGetData("DP_1","00O2TNJGODT0G5Z4TTKYMMI9X","GSON1112061042")</f>
        <v>#NAME?</v>
      </c>
      <c r="T1076" s="24" t="e">
        <f ca="1">[1]!BexGetData("DP_1","00O2TNJGODT0G5Z4TTKYMMOLH","GSON1112061042")</f>
        <v>#NAME?</v>
      </c>
      <c r="U1076" s="24" t="e">
        <f ca="1">[1]!BexGetData("DP_1","00O2TNJGODT0G5Z4TTKYMMUX1","GSON1112061042")</f>
        <v>#NAME?</v>
      </c>
      <c r="V1076" s="24" t="e">
        <f ca="1">[1]!BexGetData("DP_1","00O2TNJGODT0G5Z4TTKYMN18L","GSON1112061042")</f>
        <v>#NAME?</v>
      </c>
      <c r="W1076" s="24" t="e">
        <f ca="1">[1]!BexGetData("DP_1","00O2TNJGODT0G5Z4TTKYMN7K5","GSON1112061042")</f>
        <v>#NAME?</v>
      </c>
    </row>
    <row r="1077" spans="1:23" x14ac:dyDescent="0.2">
      <c r="A1077" s="36" t="s">
        <v>3508</v>
      </c>
      <c r="B1077" s="27" t="s">
        <v>3509</v>
      </c>
      <c r="C1077" s="23" t="e">
        <f ca="1">[1]!BexGetData("DP_1","003N8EMH8GTFRCSWKMPXRR8GU","GSON1112061043")</f>
        <v>#NAME?</v>
      </c>
      <c r="D1077" s="23" t="e">
        <f ca="1">[1]!BexGetData("DP_1","003N8EMH8GTFRCSWKMPXRRESE","GSON1112061043")</f>
        <v>#NAME?</v>
      </c>
      <c r="E1077" s="28" t="e">
        <f ca="1">[1]!BexGetData("DP_1","003N8EMH8GTFRCSWKMPXRRL3Y","GSON1112061043")</f>
        <v>#NAME?</v>
      </c>
      <c r="F1077" s="24" t="e">
        <f ca="1">[1]!BexGetData("DP_1","003N8EMH8GTFRCSWKMPXRRRFI","GSON1112061043")</f>
        <v>#NAME?</v>
      </c>
      <c r="G1077" s="24" t="e">
        <f ca="1">[1]!BexGetData("DP_1","003N8EMH8GTFRCSWKMPXRRXR2","GSON1112061043")</f>
        <v>#NAME?</v>
      </c>
      <c r="H1077" s="24" t="e">
        <f ca="1">[1]!BexGetData("DP_1","003N8EMH8GTFRCSWKMPXRS42M","GSON1112061043")</f>
        <v>#NAME?</v>
      </c>
      <c r="I1077" s="24" t="e">
        <f ca="1">[1]!BexGetData("DP_1","003N8EMH8GTFRCSWKMPXRSAE6","GSON1112061043")</f>
        <v>#NAME?</v>
      </c>
      <c r="J1077" s="24" t="e">
        <f ca="1">[1]!BexGetData("DP_1","003N8EMH8GTFRCSWKMPXRSGPQ","GSON1112061043")</f>
        <v>#NAME?</v>
      </c>
      <c r="K1077" s="28" t="e">
        <f ca="1">[1]!BexGetData("DP_1","003N8EMH8GTFRIVNUPY288VJH","GSON1112061043")</f>
        <v>#NAME?</v>
      </c>
      <c r="L1077" s="28" t="e">
        <f ca="1">[1]!BexGetData("DP_1","003N8EMH8GTFRIVNUPY2891V1","GSON1112061043")</f>
        <v>#NAME?</v>
      </c>
      <c r="M1077" s="28" t="e">
        <f ca="1">[1]!BexGetData("DP_1","003N8EMH8GTFRIVOG7KG9IQXA","GSON1112061043")</f>
        <v>#NAME?</v>
      </c>
      <c r="N1077" s="28" t="e">
        <f ca="1">[1]!BexGetData("DP_1","003N8EMH8GTFRIVOG7KG9IX8U","GSON1112061043")</f>
        <v>#NAME?</v>
      </c>
      <c r="O1077" s="28" t="e">
        <f ca="1">[1]!BexGetData("DP_1","003N8EMH8GTFRIVOG7KG9J3KE","GSON1112061043")</f>
        <v>#NAME?</v>
      </c>
      <c r="P1077" s="28" t="e">
        <f ca="1">[1]!BexGetData("DP_1","003N8EMH8GTFRIVOG7KG9J9VY","GSON1112061043")</f>
        <v>#NAME?</v>
      </c>
      <c r="Q1077" s="24" t="e">
        <f ca="1">[1]!BexGetData("DP_1","00O2TNJGODT0G5Z4TTKYMM5MT","GSON1112061043")</f>
        <v>#NAME?</v>
      </c>
      <c r="R1077" s="24" t="e">
        <f ca="1">[1]!BexGetData("DP_1","00O2TNJGODT0G5Z4TTKYMMBYD","GSON1112061043")</f>
        <v>#NAME?</v>
      </c>
      <c r="S1077" s="24" t="e">
        <f ca="1">[1]!BexGetData("DP_1","00O2TNJGODT0G5Z4TTKYMMI9X","GSON1112061043")</f>
        <v>#NAME?</v>
      </c>
      <c r="T1077" s="24" t="e">
        <f ca="1">[1]!BexGetData("DP_1","00O2TNJGODT0G5Z4TTKYMMOLH","GSON1112061043")</f>
        <v>#NAME?</v>
      </c>
      <c r="U1077" s="24" t="e">
        <f ca="1">[1]!BexGetData("DP_1","00O2TNJGODT0G5Z4TTKYMMUX1","GSON1112061043")</f>
        <v>#NAME?</v>
      </c>
      <c r="V1077" s="24" t="e">
        <f ca="1">[1]!BexGetData("DP_1","00O2TNJGODT0G5Z4TTKYMN18L","GSON1112061043")</f>
        <v>#NAME?</v>
      </c>
      <c r="W1077" s="24" t="e">
        <f ca="1">[1]!BexGetData("DP_1","00O2TNJGODT0G5Z4TTKYMN7K5","GSON1112061043")</f>
        <v>#NAME?</v>
      </c>
    </row>
    <row r="1078" spans="1:23" x14ac:dyDescent="0.2">
      <c r="A1078" s="36" t="s">
        <v>3510</v>
      </c>
      <c r="B1078" s="27" t="s">
        <v>3511</v>
      </c>
      <c r="C1078" s="23" t="e">
        <f ca="1">[1]!BexGetData("DP_1","003N8EMH8GTFRCSWKMPXRR8GU","GSON1112061044")</f>
        <v>#NAME?</v>
      </c>
      <c r="D1078" s="23" t="e">
        <f ca="1">[1]!BexGetData("DP_1","003N8EMH8GTFRCSWKMPXRRESE","GSON1112061044")</f>
        <v>#NAME?</v>
      </c>
      <c r="E1078" s="28" t="e">
        <f ca="1">[1]!BexGetData("DP_1","003N8EMH8GTFRCSWKMPXRRL3Y","GSON1112061044")</f>
        <v>#NAME?</v>
      </c>
      <c r="F1078" s="24" t="e">
        <f ca="1">[1]!BexGetData("DP_1","003N8EMH8GTFRCSWKMPXRRRFI","GSON1112061044")</f>
        <v>#NAME?</v>
      </c>
      <c r="G1078" s="24" t="e">
        <f ca="1">[1]!BexGetData("DP_1","003N8EMH8GTFRCSWKMPXRRXR2","GSON1112061044")</f>
        <v>#NAME?</v>
      </c>
      <c r="H1078" s="24" t="e">
        <f ca="1">[1]!BexGetData("DP_1","003N8EMH8GTFRCSWKMPXRS42M","GSON1112061044")</f>
        <v>#NAME?</v>
      </c>
      <c r="I1078" s="24" t="e">
        <f ca="1">[1]!BexGetData("DP_1","003N8EMH8GTFRCSWKMPXRSAE6","GSON1112061044")</f>
        <v>#NAME?</v>
      </c>
      <c r="J1078" s="24" t="e">
        <f ca="1">[1]!BexGetData("DP_1","003N8EMH8GTFRCSWKMPXRSGPQ","GSON1112061044")</f>
        <v>#NAME?</v>
      </c>
      <c r="K1078" s="28" t="e">
        <f ca="1">[1]!BexGetData("DP_1","003N8EMH8GTFRIVNUPY288VJH","GSON1112061044")</f>
        <v>#NAME?</v>
      </c>
      <c r="L1078" s="28" t="e">
        <f ca="1">[1]!BexGetData("DP_1","003N8EMH8GTFRIVNUPY2891V1","GSON1112061044")</f>
        <v>#NAME?</v>
      </c>
      <c r="M1078" s="28" t="e">
        <f ca="1">[1]!BexGetData("DP_1","003N8EMH8GTFRIVOG7KG9IQXA","GSON1112061044")</f>
        <v>#NAME?</v>
      </c>
      <c r="N1078" s="28" t="e">
        <f ca="1">[1]!BexGetData("DP_1","003N8EMH8GTFRIVOG7KG9IX8U","GSON1112061044")</f>
        <v>#NAME?</v>
      </c>
      <c r="O1078" s="28" t="e">
        <f ca="1">[1]!BexGetData("DP_1","003N8EMH8GTFRIVOG7KG9J3KE","GSON1112061044")</f>
        <v>#NAME?</v>
      </c>
      <c r="P1078" s="28" t="e">
        <f ca="1">[1]!BexGetData("DP_1","003N8EMH8GTFRIVOG7KG9J9VY","GSON1112061044")</f>
        <v>#NAME?</v>
      </c>
      <c r="Q1078" s="24" t="e">
        <f ca="1">[1]!BexGetData("DP_1","00O2TNJGODT0G5Z4TTKYMM5MT","GSON1112061044")</f>
        <v>#NAME?</v>
      </c>
      <c r="R1078" s="24" t="e">
        <f ca="1">[1]!BexGetData("DP_1","00O2TNJGODT0G5Z4TTKYMMBYD","GSON1112061044")</f>
        <v>#NAME?</v>
      </c>
      <c r="S1078" s="24" t="e">
        <f ca="1">[1]!BexGetData("DP_1","00O2TNJGODT0G5Z4TTKYMMI9X","GSON1112061044")</f>
        <v>#NAME?</v>
      </c>
      <c r="T1078" s="24" t="e">
        <f ca="1">[1]!BexGetData("DP_1","00O2TNJGODT0G5Z4TTKYMMOLH","GSON1112061044")</f>
        <v>#NAME?</v>
      </c>
      <c r="U1078" s="24" t="e">
        <f ca="1">[1]!BexGetData("DP_1","00O2TNJGODT0G5Z4TTKYMMUX1","GSON1112061044")</f>
        <v>#NAME?</v>
      </c>
      <c r="V1078" s="24" t="e">
        <f ca="1">[1]!BexGetData("DP_1","00O2TNJGODT0G5Z4TTKYMN18L","GSON1112061044")</f>
        <v>#NAME?</v>
      </c>
      <c r="W1078" s="24" t="e">
        <f ca="1">[1]!BexGetData("DP_1","00O2TNJGODT0G5Z4TTKYMN7K5","GSON1112061044")</f>
        <v>#NAME?</v>
      </c>
    </row>
    <row r="1079" spans="1:23" x14ac:dyDescent="0.2">
      <c r="A1079" s="36" t="s">
        <v>3512</v>
      </c>
      <c r="B1079" s="27" t="s">
        <v>3513</v>
      </c>
      <c r="C1079" s="23" t="e">
        <f ca="1">[1]!BexGetData("DP_1","003N8EMH8GTFRCSWKMPXRR8GU","GSON1112061045")</f>
        <v>#NAME?</v>
      </c>
      <c r="D1079" s="23" t="e">
        <f ca="1">[1]!BexGetData("DP_1","003N8EMH8GTFRCSWKMPXRRESE","GSON1112061045")</f>
        <v>#NAME?</v>
      </c>
      <c r="E1079" s="28" t="e">
        <f ca="1">[1]!BexGetData("DP_1","003N8EMH8GTFRCSWKMPXRRL3Y","GSON1112061045")</f>
        <v>#NAME?</v>
      </c>
      <c r="F1079" s="24" t="e">
        <f ca="1">[1]!BexGetData("DP_1","003N8EMH8GTFRCSWKMPXRRRFI","GSON1112061045")</f>
        <v>#NAME?</v>
      </c>
      <c r="G1079" s="24" t="e">
        <f ca="1">[1]!BexGetData("DP_1","003N8EMH8GTFRCSWKMPXRRXR2","GSON1112061045")</f>
        <v>#NAME?</v>
      </c>
      <c r="H1079" s="24" t="e">
        <f ca="1">[1]!BexGetData("DP_1","003N8EMH8GTFRCSWKMPXRS42M","GSON1112061045")</f>
        <v>#NAME?</v>
      </c>
      <c r="I1079" s="24" t="e">
        <f ca="1">[1]!BexGetData("DP_1","003N8EMH8GTFRCSWKMPXRSAE6","GSON1112061045")</f>
        <v>#NAME?</v>
      </c>
      <c r="J1079" s="24" t="e">
        <f ca="1">[1]!BexGetData("DP_1","003N8EMH8GTFRCSWKMPXRSGPQ","GSON1112061045")</f>
        <v>#NAME?</v>
      </c>
      <c r="K1079" s="28" t="e">
        <f ca="1">[1]!BexGetData("DP_1","003N8EMH8GTFRIVNUPY288VJH","GSON1112061045")</f>
        <v>#NAME?</v>
      </c>
      <c r="L1079" s="28" t="e">
        <f ca="1">[1]!BexGetData("DP_1","003N8EMH8GTFRIVNUPY2891V1","GSON1112061045")</f>
        <v>#NAME?</v>
      </c>
      <c r="M1079" s="28" t="e">
        <f ca="1">[1]!BexGetData("DP_1","003N8EMH8GTFRIVOG7KG9IQXA","GSON1112061045")</f>
        <v>#NAME?</v>
      </c>
      <c r="N1079" s="28" t="e">
        <f ca="1">[1]!BexGetData("DP_1","003N8EMH8GTFRIVOG7KG9IX8U","GSON1112061045")</f>
        <v>#NAME?</v>
      </c>
      <c r="O1079" s="28" t="e">
        <f ca="1">[1]!BexGetData("DP_1","003N8EMH8GTFRIVOG7KG9J3KE","GSON1112061045")</f>
        <v>#NAME?</v>
      </c>
      <c r="P1079" s="28" t="e">
        <f ca="1">[1]!BexGetData("DP_1","003N8EMH8GTFRIVOG7KG9J9VY","GSON1112061045")</f>
        <v>#NAME?</v>
      </c>
      <c r="Q1079" s="24" t="e">
        <f ca="1">[1]!BexGetData("DP_1","00O2TNJGODT0G5Z4TTKYMM5MT","GSON1112061045")</f>
        <v>#NAME?</v>
      </c>
      <c r="R1079" s="24" t="e">
        <f ca="1">[1]!BexGetData("DP_1","00O2TNJGODT0G5Z4TTKYMMBYD","GSON1112061045")</f>
        <v>#NAME?</v>
      </c>
      <c r="S1079" s="24" t="e">
        <f ca="1">[1]!BexGetData("DP_1","00O2TNJGODT0G5Z4TTKYMMI9X","GSON1112061045")</f>
        <v>#NAME?</v>
      </c>
      <c r="T1079" s="24" t="e">
        <f ca="1">[1]!BexGetData("DP_1","00O2TNJGODT0G5Z4TTKYMMOLH","GSON1112061045")</f>
        <v>#NAME?</v>
      </c>
      <c r="U1079" s="24" t="e">
        <f ca="1">[1]!BexGetData("DP_1","00O2TNJGODT0G5Z4TTKYMMUX1","GSON1112061045")</f>
        <v>#NAME?</v>
      </c>
      <c r="V1079" s="24" t="e">
        <f ca="1">[1]!BexGetData("DP_1","00O2TNJGODT0G5Z4TTKYMN18L","GSON1112061045")</f>
        <v>#NAME?</v>
      </c>
      <c r="W1079" s="24" t="e">
        <f ca="1">[1]!BexGetData("DP_1","00O2TNJGODT0G5Z4TTKYMN7K5","GSON1112061045")</f>
        <v>#NAME?</v>
      </c>
    </row>
    <row r="1080" spans="1:23" x14ac:dyDescent="0.2">
      <c r="A1080" s="36" t="s">
        <v>3514</v>
      </c>
      <c r="B1080" s="27" t="s">
        <v>3515</v>
      </c>
      <c r="C1080" s="23" t="e">
        <f ca="1">[1]!BexGetData("DP_1","003N8EMH8GTFRCSWKMPXRR8GU","GSON1112061050")</f>
        <v>#NAME?</v>
      </c>
      <c r="D1080" s="23" t="e">
        <f ca="1">[1]!BexGetData("DP_1","003N8EMH8GTFRCSWKMPXRRESE","GSON1112061050")</f>
        <v>#NAME?</v>
      </c>
      <c r="E1080" s="23" t="e">
        <f ca="1">[1]!BexGetData("DP_1","003N8EMH8GTFRCSWKMPXRRL3Y","GSON1112061050")</f>
        <v>#NAME?</v>
      </c>
      <c r="F1080" s="24" t="e">
        <f ca="1">[1]!BexGetData("DP_1","003N8EMH8GTFRCSWKMPXRRRFI","GSON1112061050")</f>
        <v>#NAME?</v>
      </c>
      <c r="G1080" s="24" t="e">
        <f ca="1">[1]!BexGetData("DP_1","003N8EMH8GTFRCSWKMPXRRXR2","GSON1112061050")</f>
        <v>#NAME?</v>
      </c>
      <c r="H1080" s="24" t="e">
        <f ca="1">[1]!BexGetData("DP_1","003N8EMH8GTFRCSWKMPXRS42M","GSON1112061050")</f>
        <v>#NAME?</v>
      </c>
      <c r="I1080" s="24" t="e">
        <f ca="1">[1]!BexGetData("DP_1","003N8EMH8GTFRCSWKMPXRSAE6","GSON1112061050")</f>
        <v>#NAME?</v>
      </c>
      <c r="J1080" s="24" t="e">
        <f ca="1">[1]!BexGetData("DP_1","003N8EMH8GTFRCSWKMPXRSGPQ","GSON1112061050")</f>
        <v>#NAME?</v>
      </c>
      <c r="K1080" s="23" t="e">
        <f ca="1">[1]!BexGetData("DP_1","003N8EMH8GTFRIVNUPY288VJH","GSON1112061050")</f>
        <v>#NAME?</v>
      </c>
      <c r="L1080" s="23" t="e">
        <f ca="1">[1]!BexGetData("DP_1","003N8EMH8GTFRIVNUPY2891V1","GSON1112061050")</f>
        <v>#NAME?</v>
      </c>
      <c r="M1080" s="28" t="e">
        <f ca="1">[1]!BexGetData("DP_1","003N8EMH8GTFRIVOG7KG9IQXA","GSON1112061050")</f>
        <v>#NAME?</v>
      </c>
      <c r="N1080" s="23" t="e">
        <f ca="1">[1]!BexGetData("DP_1","003N8EMH8GTFRIVOG7KG9IX8U","GSON1112061050")</f>
        <v>#NAME?</v>
      </c>
      <c r="O1080" s="28" t="e">
        <f ca="1">[1]!BexGetData("DP_1","003N8EMH8GTFRIVOG7KG9J3KE","GSON1112061050")</f>
        <v>#NAME?</v>
      </c>
      <c r="P1080" s="23" t="e">
        <f ca="1">[1]!BexGetData("DP_1","003N8EMH8GTFRIVOG7KG9J9VY","GSON1112061050")</f>
        <v>#NAME?</v>
      </c>
      <c r="Q1080" s="24" t="e">
        <f ca="1">[1]!BexGetData("DP_1","00O2TNJGODT0G5Z4TTKYMM5MT","GSON1112061050")</f>
        <v>#NAME?</v>
      </c>
      <c r="R1080" s="24" t="e">
        <f ca="1">[1]!BexGetData("DP_1","00O2TNJGODT0G5Z4TTKYMMBYD","GSON1112061050")</f>
        <v>#NAME?</v>
      </c>
      <c r="S1080" s="24" t="e">
        <f ca="1">[1]!BexGetData("DP_1","00O2TNJGODT0G5Z4TTKYMMI9X","GSON1112061050")</f>
        <v>#NAME?</v>
      </c>
      <c r="T1080" s="24" t="e">
        <f ca="1">[1]!BexGetData("DP_1","00O2TNJGODT0G5Z4TTKYMMOLH","GSON1112061050")</f>
        <v>#NAME?</v>
      </c>
      <c r="U1080" s="24" t="e">
        <f ca="1">[1]!BexGetData("DP_1","00O2TNJGODT0G5Z4TTKYMMUX1","GSON1112061050")</f>
        <v>#NAME?</v>
      </c>
      <c r="V1080" s="24" t="e">
        <f ca="1">[1]!BexGetData("DP_1","00O2TNJGODT0G5Z4TTKYMN18L","GSON1112061050")</f>
        <v>#NAME?</v>
      </c>
      <c r="W1080" s="24" t="e">
        <f ca="1">[1]!BexGetData("DP_1","00O2TNJGODT0G5Z4TTKYMN7K5","GSON1112061050")</f>
        <v>#NAME?</v>
      </c>
    </row>
    <row r="1081" spans="1:23" x14ac:dyDescent="0.2">
      <c r="A1081" s="36" t="s">
        <v>3516</v>
      </c>
      <c r="B1081" s="27" t="s">
        <v>3517</v>
      </c>
      <c r="C1081" s="23" t="e">
        <f ca="1">[1]!BexGetData("DP_1","003N8EMH8GTFRCSWKMPXRR8GU","GSON1112061051")</f>
        <v>#NAME?</v>
      </c>
      <c r="D1081" s="23" t="e">
        <f ca="1">[1]!BexGetData("DP_1","003N8EMH8GTFRCSWKMPXRRESE","GSON1112061051")</f>
        <v>#NAME?</v>
      </c>
      <c r="E1081" s="28" t="e">
        <f ca="1">[1]!BexGetData("DP_1","003N8EMH8GTFRCSWKMPXRRL3Y","GSON1112061051")</f>
        <v>#NAME?</v>
      </c>
      <c r="F1081" s="24" t="e">
        <f ca="1">[1]!BexGetData("DP_1","003N8EMH8GTFRCSWKMPXRRRFI","GSON1112061051")</f>
        <v>#NAME?</v>
      </c>
      <c r="G1081" s="24" t="e">
        <f ca="1">[1]!BexGetData("DP_1","003N8EMH8GTFRCSWKMPXRRXR2","GSON1112061051")</f>
        <v>#NAME?</v>
      </c>
      <c r="H1081" s="24" t="e">
        <f ca="1">[1]!BexGetData("DP_1","003N8EMH8GTFRCSWKMPXRS42M","GSON1112061051")</f>
        <v>#NAME?</v>
      </c>
      <c r="I1081" s="24" t="e">
        <f ca="1">[1]!BexGetData("DP_1","003N8EMH8GTFRCSWKMPXRSAE6","GSON1112061051")</f>
        <v>#NAME?</v>
      </c>
      <c r="J1081" s="24" t="e">
        <f ca="1">[1]!BexGetData("DP_1","003N8EMH8GTFRCSWKMPXRSGPQ","GSON1112061051")</f>
        <v>#NAME?</v>
      </c>
      <c r="K1081" s="28" t="e">
        <f ca="1">[1]!BexGetData("DP_1","003N8EMH8GTFRIVNUPY288VJH","GSON1112061051")</f>
        <v>#NAME?</v>
      </c>
      <c r="L1081" s="28" t="e">
        <f ca="1">[1]!BexGetData("DP_1","003N8EMH8GTFRIVNUPY2891V1","GSON1112061051")</f>
        <v>#NAME?</v>
      </c>
      <c r="M1081" s="28" t="e">
        <f ca="1">[1]!BexGetData("DP_1","003N8EMH8GTFRIVOG7KG9IQXA","GSON1112061051")</f>
        <v>#NAME?</v>
      </c>
      <c r="N1081" s="28" t="e">
        <f ca="1">[1]!BexGetData("DP_1","003N8EMH8GTFRIVOG7KG9IX8U","GSON1112061051")</f>
        <v>#NAME?</v>
      </c>
      <c r="O1081" s="28" t="e">
        <f ca="1">[1]!BexGetData("DP_1","003N8EMH8GTFRIVOG7KG9J3KE","GSON1112061051")</f>
        <v>#NAME?</v>
      </c>
      <c r="P1081" s="28" t="e">
        <f ca="1">[1]!BexGetData("DP_1","003N8EMH8GTFRIVOG7KG9J9VY","GSON1112061051")</f>
        <v>#NAME?</v>
      </c>
      <c r="Q1081" s="24" t="e">
        <f ca="1">[1]!BexGetData("DP_1","00O2TNJGODT0G5Z4TTKYMM5MT","GSON1112061051")</f>
        <v>#NAME?</v>
      </c>
      <c r="R1081" s="24" t="e">
        <f ca="1">[1]!BexGetData("DP_1","00O2TNJGODT0G5Z4TTKYMMBYD","GSON1112061051")</f>
        <v>#NAME?</v>
      </c>
      <c r="S1081" s="24" t="e">
        <f ca="1">[1]!BexGetData("DP_1","00O2TNJGODT0G5Z4TTKYMMI9X","GSON1112061051")</f>
        <v>#NAME?</v>
      </c>
      <c r="T1081" s="24" t="e">
        <f ca="1">[1]!BexGetData("DP_1","00O2TNJGODT0G5Z4TTKYMMOLH","GSON1112061051")</f>
        <v>#NAME?</v>
      </c>
      <c r="U1081" s="24" t="e">
        <f ca="1">[1]!BexGetData("DP_1","00O2TNJGODT0G5Z4TTKYMMUX1","GSON1112061051")</f>
        <v>#NAME?</v>
      </c>
      <c r="V1081" s="24" t="e">
        <f ca="1">[1]!BexGetData("DP_1","00O2TNJGODT0G5Z4TTKYMN18L","GSON1112061051")</f>
        <v>#NAME?</v>
      </c>
      <c r="W1081" s="24" t="e">
        <f ca="1">[1]!BexGetData("DP_1","00O2TNJGODT0G5Z4TTKYMN7K5","GSON1112061051")</f>
        <v>#NAME?</v>
      </c>
    </row>
    <row r="1082" spans="1:23" x14ac:dyDescent="0.2">
      <c r="A1082" s="36" t="s">
        <v>3518</v>
      </c>
      <c r="B1082" s="27" t="s">
        <v>3519</v>
      </c>
      <c r="C1082" s="23" t="e">
        <f ca="1">[1]!BexGetData("DP_1","003N8EMH8GTFRCSWKMPXRR8GU","GSON1112061053")</f>
        <v>#NAME?</v>
      </c>
      <c r="D1082" s="23" t="e">
        <f ca="1">[1]!BexGetData("DP_1","003N8EMH8GTFRCSWKMPXRRESE","GSON1112061053")</f>
        <v>#NAME?</v>
      </c>
      <c r="E1082" s="28" t="e">
        <f ca="1">[1]!BexGetData("DP_1","003N8EMH8GTFRCSWKMPXRRL3Y","GSON1112061053")</f>
        <v>#NAME?</v>
      </c>
      <c r="F1082" s="24" t="e">
        <f ca="1">[1]!BexGetData("DP_1","003N8EMH8GTFRCSWKMPXRRRFI","GSON1112061053")</f>
        <v>#NAME?</v>
      </c>
      <c r="G1082" s="24" t="e">
        <f ca="1">[1]!BexGetData("DP_1","003N8EMH8GTFRCSWKMPXRRXR2","GSON1112061053")</f>
        <v>#NAME?</v>
      </c>
      <c r="H1082" s="24" t="e">
        <f ca="1">[1]!BexGetData("DP_1","003N8EMH8GTFRCSWKMPXRS42M","GSON1112061053")</f>
        <v>#NAME?</v>
      </c>
      <c r="I1082" s="24" t="e">
        <f ca="1">[1]!BexGetData("DP_1","003N8EMH8GTFRCSWKMPXRSAE6","GSON1112061053")</f>
        <v>#NAME?</v>
      </c>
      <c r="J1082" s="24" t="e">
        <f ca="1">[1]!BexGetData("DP_1","003N8EMH8GTFRCSWKMPXRSGPQ","GSON1112061053")</f>
        <v>#NAME?</v>
      </c>
      <c r="K1082" s="28" t="e">
        <f ca="1">[1]!BexGetData("DP_1","003N8EMH8GTFRIVNUPY288VJH","GSON1112061053")</f>
        <v>#NAME?</v>
      </c>
      <c r="L1082" s="28" t="e">
        <f ca="1">[1]!BexGetData("DP_1","003N8EMH8GTFRIVNUPY2891V1","GSON1112061053")</f>
        <v>#NAME?</v>
      </c>
      <c r="M1082" s="28" t="e">
        <f ca="1">[1]!BexGetData("DP_1","003N8EMH8GTFRIVOG7KG9IQXA","GSON1112061053")</f>
        <v>#NAME?</v>
      </c>
      <c r="N1082" s="28" t="e">
        <f ca="1">[1]!BexGetData("DP_1","003N8EMH8GTFRIVOG7KG9IX8U","GSON1112061053")</f>
        <v>#NAME?</v>
      </c>
      <c r="O1082" s="28" t="e">
        <f ca="1">[1]!BexGetData("DP_1","003N8EMH8GTFRIVOG7KG9J3KE","GSON1112061053")</f>
        <v>#NAME?</v>
      </c>
      <c r="P1082" s="28" t="e">
        <f ca="1">[1]!BexGetData("DP_1","003N8EMH8GTFRIVOG7KG9J9VY","GSON1112061053")</f>
        <v>#NAME?</v>
      </c>
      <c r="Q1082" s="24" t="e">
        <f ca="1">[1]!BexGetData("DP_1","00O2TNJGODT0G5Z4TTKYMM5MT","GSON1112061053")</f>
        <v>#NAME?</v>
      </c>
      <c r="R1082" s="24" t="e">
        <f ca="1">[1]!BexGetData("DP_1","00O2TNJGODT0G5Z4TTKYMMBYD","GSON1112061053")</f>
        <v>#NAME?</v>
      </c>
      <c r="S1082" s="24" t="e">
        <f ca="1">[1]!BexGetData("DP_1","00O2TNJGODT0G5Z4TTKYMMI9X","GSON1112061053")</f>
        <v>#NAME?</v>
      </c>
      <c r="T1082" s="24" t="e">
        <f ca="1">[1]!BexGetData("DP_1","00O2TNJGODT0G5Z4TTKYMMOLH","GSON1112061053")</f>
        <v>#NAME?</v>
      </c>
      <c r="U1082" s="24" t="e">
        <f ca="1">[1]!BexGetData("DP_1","00O2TNJGODT0G5Z4TTKYMMUX1","GSON1112061053")</f>
        <v>#NAME?</v>
      </c>
      <c r="V1082" s="24" t="e">
        <f ca="1">[1]!BexGetData("DP_1","00O2TNJGODT0G5Z4TTKYMN18L","GSON1112061053")</f>
        <v>#NAME?</v>
      </c>
      <c r="W1082" s="24" t="e">
        <f ca="1">[1]!BexGetData("DP_1","00O2TNJGODT0G5Z4TTKYMN7K5","GSON1112061053")</f>
        <v>#NAME?</v>
      </c>
    </row>
    <row r="1083" spans="1:23" x14ac:dyDescent="0.2">
      <c r="A1083" s="36" t="s">
        <v>3520</v>
      </c>
      <c r="B1083" s="27" t="s">
        <v>3521</v>
      </c>
      <c r="C1083" s="23" t="e">
        <f ca="1">[1]!BexGetData("DP_1","003N8EMH8GTFRCSWKMPXRR8GU","GSON1112061054")</f>
        <v>#NAME?</v>
      </c>
      <c r="D1083" s="23" t="e">
        <f ca="1">[1]!BexGetData("DP_1","003N8EMH8GTFRCSWKMPXRRESE","GSON1112061054")</f>
        <v>#NAME?</v>
      </c>
      <c r="E1083" s="28" t="e">
        <f ca="1">[1]!BexGetData("DP_1","003N8EMH8GTFRCSWKMPXRRL3Y","GSON1112061054")</f>
        <v>#NAME?</v>
      </c>
      <c r="F1083" s="24" t="e">
        <f ca="1">[1]!BexGetData("DP_1","003N8EMH8GTFRCSWKMPXRRRFI","GSON1112061054")</f>
        <v>#NAME?</v>
      </c>
      <c r="G1083" s="24" t="e">
        <f ca="1">[1]!BexGetData("DP_1","003N8EMH8GTFRCSWKMPXRRXR2","GSON1112061054")</f>
        <v>#NAME?</v>
      </c>
      <c r="H1083" s="24" t="e">
        <f ca="1">[1]!BexGetData("DP_1","003N8EMH8GTFRCSWKMPXRS42M","GSON1112061054")</f>
        <v>#NAME?</v>
      </c>
      <c r="I1083" s="24" t="e">
        <f ca="1">[1]!BexGetData("DP_1","003N8EMH8GTFRCSWKMPXRSAE6","GSON1112061054")</f>
        <v>#NAME?</v>
      </c>
      <c r="J1083" s="24" t="e">
        <f ca="1">[1]!BexGetData("DP_1","003N8EMH8GTFRCSWKMPXRSGPQ","GSON1112061054")</f>
        <v>#NAME?</v>
      </c>
      <c r="K1083" s="28" t="e">
        <f ca="1">[1]!BexGetData("DP_1","003N8EMH8GTFRIVNUPY288VJH","GSON1112061054")</f>
        <v>#NAME?</v>
      </c>
      <c r="L1083" s="28" t="e">
        <f ca="1">[1]!BexGetData("DP_1","003N8EMH8GTFRIVNUPY2891V1","GSON1112061054")</f>
        <v>#NAME?</v>
      </c>
      <c r="M1083" s="28" t="e">
        <f ca="1">[1]!BexGetData("DP_1","003N8EMH8GTFRIVOG7KG9IQXA","GSON1112061054")</f>
        <v>#NAME?</v>
      </c>
      <c r="N1083" s="28" t="e">
        <f ca="1">[1]!BexGetData("DP_1","003N8EMH8GTFRIVOG7KG9IX8U","GSON1112061054")</f>
        <v>#NAME?</v>
      </c>
      <c r="O1083" s="28" t="e">
        <f ca="1">[1]!BexGetData("DP_1","003N8EMH8GTFRIVOG7KG9J3KE","GSON1112061054")</f>
        <v>#NAME?</v>
      </c>
      <c r="P1083" s="28" t="e">
        <f ca="1">[1]!BexGetData("DP_1","003N8EMH8GTFRIVOG7KG9J9VY","GSON1112061054")</f>
        <v>#NAME?</v>
      </c>
      <c r="Q1083" s="24" t="e">
        <f ca="1">[1]!BexGetData("DP_1","00O2TNJGODT0G5Z4TTKYMM5MT","GSON1112061054")</f>
        <v>#NAME?</v>
      </c>
      <c r="R1083" s="24" t="e">
        <f ca="1">[1]!BexGetData("DP_1","00O2TNJGODT0G5Z4TTKYMMBYD","GSON1112061054")</f>
        <v>#NAME?</v>
      </c>
      <c r="S1083" s="24" t="e">
        <f ca="1">[1]!BexGetData("DP_1","00O2TNJGODT0G5Z4TTKYMMI9X","GSON1112061054")</f>
        <v>#NAME?</v>
      </c>
      <c r="T1083" s="24" t="e">
        <f ca="1">[1]!BexGetData("DP_1","00O2TNJGODT0G5Z4TTKYMMOLH","GSON1112061054")</f>
        <v>#NAME?</v>
      </c>
      <c r="U1083" s="24" t="e">
        <f ca="1">[1]!BexGetData("DP_1","00O2TNJGODT0G5Z4TTKYMMUX1","GSON1112061054")</f>
        <v>#NAME?</v>
      </c>
      <c r="V1083" s="24" t="e">
        <f ca="1">[1]!BexGetData("DP_1","00O2TNJGODT0G5Z4TTKYMN18L","GSON1112061054")</f>
        <v>#NAME?</v>
      </c>
      <c r="W1083" s="24" t="e">
        <f ca="1">[1]!BexGetData("DP_1","00O2TNJGODT0G5Z4TTKYMN7K5","GSON1112061054")</f>
        <v>#NAME?</v>
      </c>
    </row>
    <row r="1084" spans="1:23" x14ac:dyDescent="0.2">
      <c r="A1084" s="36" t="s">
        <v>3522</v>
      </c>
      <c r="B1084" s="27" t="s">
        <v>3523</v>
      </c>
      <c r="C1084" s="23" t="e">
        <f ca="1">[1]!BexGetData("DP_1","003N8EMH8GTFRCSWKMPXRR8GU","GSON1112061055")</f>
        <v>#NAME?</v>
      </c>
      <c r="D1084" s="23" t="e">
        <f ca="1">[1]!BexGetData("DP_1","003N8EMH8GTFRCSWKMPXRRESE","GSON1112061055")</f>
        <v>#NAME?</v>
      </c>
      <c r="E1084" s="28" t="e">
        <f ca="1">[1]!BexGetData("DP_1","003N8EMH8GTFRCSWKMPXRRL3Y","GSON1112061055")</f>
        <v>#NAME?</v>
      </c>
      <c r="F1084" s="24" t="e">
        <f ca="1">[1]!BexGetData("DP_1","003N8EMH8GTFRCSWKMPXRRRFI","GSON1112061055")</f>
        <v>#NAME?</v>
      </c>
      <c r="G1084" s="24" t="e">
        <f ca="1">[1]!BexGetData("DP_1","003N8EMH8GTFRCSWKMPXRRXR2","GSON1112061055")</f>
        <v>#NAME?</v>
      </c>
      <c r="H1084" s="24" t="e">
        <f ca="1">[1]!BexGetData("DP_1","003N8EMH8GTFRCSWKMPXRS42M","GSON1112061055")</f>
        <v>#NAME?</v>
      </c>
      <c r="I1084" s="24" t="e">
        <f ca="1">[1]!BexGetData("DP_1","003N8EMH8GTFRCSWKMPXRSAE6","GSON1112061055")</f>
        <v>#NAME?</v>
      </c>
      <c r="J1084" s="24" t="e">
        <f ca="1">[1]!BexGetData("DP_1","003N8EMH8GTFRCSWKMPXRSGPQ","GSON1112061055")</f>
        <v>#NAME?</v>
      </c>
      <c r="K1084" s="28" t="e">
        <f ca="1">[1]!BexGetData("DP_1","003N8EMH8GTFRIVNUPY288VJH","GSON1112061055")</f>
        <v>#NAME?</v>
      </c>
      <c r="L1084" s="28" t="e">
        <f ca="1">[1]!BexGetData("DP_1","003N8EMH8GTFRIVNUPY2891V1","GSON1112061055")</f>
        <v>#NAME?</v>
      </c>
      <c r="M1084" s="28" t="e">
        <f ca="1">[1]!BexGetData("DP_1","003N8EMH8GTFRIVOG7KG9IQXA","GSON1112061055")</f>
        <v>#NAME?</v>
      </c>
      <c r="N1084" s="28" t="e">
        <f ca="1">[1]!BexGetData("DP_1","003N8EMH8GTFRIVOG7KG9IX8U","GSON1112061055")</f>
        <v>#NAME?</v>
      </c>
      <c r="O1084" s="28" t="e">
        <f ca="1">[1]!BexGetData("DP_1","003N8EMH8GTFRIVOG7KG9J3KE","GSON1112061055")</f>
        <v>#NAME?</v>
      </c>
      <c r="P1084" s="28" t="e">
        <f ca="1">[1]!BexGetData("DP_1","003N8EMH8GTFRIVOG7KG9J9VY","GSON1112061055")</f>
        <v>#NAME?</v>
      </c>
      <c r="Q1084" s="24" t="e">
        <f ca="1">[1]!BexGetData("DP_1","00O2TNJGODT0G5Z4TTKYMM5MT","GSON1112061055")</f>
        <v>#NAME?</v>
      </c>
      <c r="R1084" s="24" t="e">
        <f ca="1">[1]!BexGetData("DP_1","00O2TNJGODT0G5Z4TTKYMMBYD","GSON1112061055")</f>
        <v>#NAME?</v>
      </c>
      <c r="S1084" s="24" t="e">
        <f ca="1">[1]!BexGetData("DP_1","00O2TNJGODT0G5Z4TTKYMMI9X","GSON1112061055")</f>
        <v>#NAME?</v>
      </c>
      <c r="T1084" s="24" t="e">
        <f ca="1">[1]!BexGetData("DP_1","00O2TNJGODT0G5Z4TTKYMMOLH","GSON1112061055")</f>
        <v>#NAME?</v>
      </c>
      <c r="U1084" s="24" t="e">
        <f ca="1">[1]!BexGetData("DP_1","00O2TNJGODT0G5Z4TTKYMMUX1","GSON1112061055")</f>
        <v>#NAME?</v>
      </c>
      <c r="V1084" s="24" t="e">
        <f ca="1">[1]!BexGetData("DP_1","00O2TNJGODT0G5Z4TTKYMN18L","GSON1112061055")</f>
        <v>#NAME?</v>
      </c>
      <c r="W1084" s="24" t="e">
        <f ca="1">[1]!BexGetData("DP_1","00O2TNJGODT0G5Z4TTKYMN7K5","GSON1112061055")</f>
        <v>#NAME?</v>
      </c>
    </row>
    <row r="1085" spans="1:23" x14ac:dyDescent="0.2">
      <c r="A1085" s="36" t="s">
        <v>3524</v>
      </c>
      <c r="B1085" s="27" t="s">
        <v>3525</v>
      </c>
      <c r="C1085" s="23" t="e">
        <f ca="1">[1]!BexGetData("DP_1","003N8EMH8GTFRCSWKMPXRR8GU","GSON1112061060")</f>
        <v>#NAME?</v>
      </c>
      <c r="D1085" s="23" t="e">
        <f ca="1">[1]!BexGetData("DP_1","003N8EMH8GTFRCSWKMPXRRESE","GSON1112061060")</f>
        <v>#NAME?</v>
      </c>
      <c r="E1085" s="28" t="e">
        <f ca="1">[1]!BexGetData("DP_1","003N8EMH8GTFRCSWKMPXRRL3Y","GSON1112061060")</f>
        <v>#NAME?</v>
      </c>
      <c r="F1085" s="24" t="e">
        <f ca="1">[1]!BexGetData("DP_1","003N8EMH8GTFRCSWKMPXRRRFI","GSON1112061060")</f>
        <v>#NAME?</v>
      </c>
      <c r="G1085" s="24" t="e">
        <f ca="1">[1]!BexGetData("DP_1","003N8EMH8GTFRCSWKMPXRRXR2","GSON1112061060")</f>
        <v>#NAME?</v>
      </c>
      <c r="H1085" s="24" t="e">
        <f ca="1">[1]!BexGetData("DP_1","003N8EMH8GTFRCSWKMPXRS42M","GSON1112061060")</f>
        <v>#NAME?</v>
      </c>
      <c r="I1085" s="24" t="e">
        <f ca="1">[1]!BexGetData("DP_1","003N8EMH8GTFRCSWKMPXRSAE6","GSON1112061060")</f>
        <v>#NAME?</v>
      </c>
      <c r="J1085" s="24" t="e">
        <f ca="1">[1]!BexGetData("DP_1","003N8EMH8GTFRCSWKMPXRSGPQ","GSON1112061060")</f>
        <v>#NAME?</v>
      </c>
      <c r="K1085" s="28" t="e">
        <f ca="1">[1]!BexGetData("DP_1","003N8EMH8GTFRIVNUPY288VJH","GSON1112061060")</f>
        <v>#NAME?</v>
      </c>
      <c r="L1085" s="28" t="e">
        <f ca="1">[1]!BexGetData("DP_1","003N8EMH8GTFRIVNUPY2891V1","GSON1112061060")</f>
        <v>#NAME?</v>
      </c>
      <c r="M1085" s="28" t="e">
        <f ca="1">[1]!BexGetData("DP_1","003N8EMH8GTFRIVOG7KG9IQXA","GSON1112061060")</f>
        <v>#NAME?</v>
      </c>
      <c r="N1085" s="28" t="e">
        <f ca="1">[1]!BexGetData("DP_1","003N8EMH8GTFRIVOG7KG9IX8U","GSON1112061060")</f>
        <v>#NAME?</v>
      </c>
      <c r="O1085" s="28" t="e">
        <f ca="1">[1]!BexGetData("DP_1","003N8EMH8GTFRIVOG7KG9J3KE","GSON1112061060")</f>
        <v>#NAME?</v>
      </c>
      <c r="P1085" s="28" t="e">
        <f ca="1">[1]!BexGetData("DP_1","003N8EMH8GTFRIVOG7KG9J9VY","GSON1112061060")</f>
        <v>#NAME?</v>
      </c>
      <c r="Q1085" s="24" t="e">
        <f ca="1">[1]!BexGetData("DP_1","00O2TNJGODT0G5Z4TTKYMM5MT","GSON1112061060")</f>
        <v>#NAME?</v>
      </c>
      <c r="R1085" s="24" t="e">
        <f ca="1">[1]!BexGetData("DP_1","00O2TNJGODT0G5Z4TTKYMMBYD","GSON1112061060")</f>
        <v>#NAME?</v>
      </c>
      <c r="S1085" s="24" t="e">
        <f ca="1">[1]!BexGetData("DP_1","00O2TNJGODT0G5Z4TTKYMMI9X","GSON1112061060")</f>
        <v>#NAME?</v>
      </c>
      <c r="T1085" s="24" t="e">
        <f ca="1">[1]!BexGetData("DP_1","00O2TNJGODT0G5Z4TTKYMMOLH","GSON1112061060")</f>
        <v>#NAME?</v>
      </c>
      <c r="U1085" s="24" t="e">
        <f ca="1">[1]!BexGetData("DP_1","00O2TNJGODT0G5Z4TTKYMMUX1","GSON1112061060")</f>
        <v>#NAME?</v>
      </c>
      <c r="V1085" s="24" t="e">
        <f ca="1">[1]!BexGetData("DP_1","00O2TNJGODT0G5Z4TTKYMN18L","GSON1112061060")</f>
        <v>#NAME?</v>
      </c>
      <c r="W1085" s="24" t="e">
        <f ca="1">[1]!BexGetData("DP_1","00O2TNJGODT0G5Z4TTKYMN7K5","GSON1112061060")</f>
        <v>#NAME?</v>
      </c>
    </row>
    <row r="1086" spans="1:23" x14ac:dyDescent="0.2">
      <c r="A1086" s="36" t="s">
        <v>3526</v>
      </c>
      <c r="B1086" s="27" t="s">
        <v>3527</v>
      </c>
      <c r="C1086" s="23" t="e">
        <f ca="1">[1]!BexGetData("DP_1","003N8EMH8GTFRCSWKMPXRR8GU","GSON1112061061")</f>
        <v>#NAME?</v>
      </c>
      <c r="D1086" s="23" t="e">
        <f ca="1">[1]!BexGetData("DP_1","003N8EMH8GTFRCSWKMPXRRESE","GSON1112061061")</f>
        <v>#NAME?</v>
      </c>
      <c r="E1086" s="28" t="e">
        <f ca="1">[1]!BexGetData("DP_1","003N8EMH8GTFRCSWKMPXRRL3Y","GSON1112061061")</f>
        <v>#NAME?</v>
      </c>
      <c r="F1086" s="24" t="e">
        <f ca="1">[1]!BexGetData("DP_1","003N8EMH8GTFRCSWKMPXRRRFI","GSON1112061061")</f>
        <v>#NAME?</v>
      </c>
      <c r="G1086" s="24" t="e">
        <f ca="1">[1]!BexGetData("DP_1","003N8EMH8GTFRCSWKMPXRRXR2","GSON1112061061")</f>
        <v>#NAME?</v>
      </c>
      <c r="H1086" s="24" t="e">
        <f ca="1">[1]!BexGetData("DP_1","003N8EMH8GTFRCSWKMPXRS42M","GSON1112061061")</f>
        <v>#NAME?</v>
      </c>
      <c r="I1086" s="24" t="e">
        <f ca="1">[1]!BexGetData("DP_1","003N8EMH8GTFRCSWKMPXRSAE6","GSON1112061061")</f>
        <v>#NAME?</v>
      </c>
      <c r="J1086" s="24" t="e">
        <f ca="1">[1]!BexGetData("DP_1","003N8EMH8GTFRCSWKMPXRSGPQ","GSON1112061061")</f>
        <v>#NAME?</v>
      </c>
      <c r="K1086" s="28" t="e">
        <f ca="1">[1]!BexGetData("DP_1","003N8EMH8GTFRIVNUPY288VJH","GSON1112061061")</f>
        <v>#NAME?</v>
      </c>
      <c r="L1086" s="28" t="e">
        <f ca="1">[1]!BexGetData("DP_1","003N8EMH8GTFRIVNUPY2891V1","GSON1112061061")</f>
        <v>#NAME?</v>
      </c>
      <c r="M1086" s="28" t="e">
        <f ca="1">[1]!BexGetData("DP_1","003N8EMH8GTFRIVOG7KG9IQXA","GSON1112061061")</f>
        <v>#NAME?</v>
      </c>
      <c r="N1086" s="28" t="e">
        <f ca="1">[1]!BexGetData("DP_1","003N8EMH8GTFRIVOG7KG9IX8U","GSON1112061061")</f>
        <v>#NAME?</v>
      </c>
      <c r="O1086" s="28" t="e">
        <f ca="1">[1]!BexGetData("DP_1","003N8EMH8GTFRIVOG7KG9J3KE","GSON1112061061")</f>
        <v>#NAME?</v>
      </c>
      <c r="P1086" s="28" t="e">
        <f ca="1">[1]!BexGetData("DP_1","003N8EMH8GTFRIVOG7KG9J9VY","GSON1112061061")</f>
        <v>#NAME?</v>
      </c>
      <c r="Q1086" s="24" t="e">
        <f ca="1">[1]!BexGetData("DP_1","00O2TNJGODT0G5Z4TTKYMM5MT","GSON1112061061")</f>
        <v>#NAME?</v>
      </c>
      <c r="R1086" s="24" t="e">
        <f ca="1">[1]!BexGetData("DP_1","00O2TNJGODT0G5Z4TTKYMMBYD","GSON1112061061")</f>
        <v>#NAME?</v>
      </c>
      <c r="S1086" s="24" t="e">
        <f ca="1">[1]!BexGetData("DP_1","00O2TNJGODT0G5Z4TTKYMMI9X","GSON1112061061")</f>
        <v>#NAME?</v>
      </c>
      <c r="T1086" s="24" t="e">
        <f ca="1">[1]!BexGetData("DP_1","00O2TNJGODT0G5Z4TTKYMMOLH","GSON1112061061")</f>
        <v>#NAME?</v>
      </c>
      <c r="U1086" s="24" t="e">
        <f ca="1">[1]!BexGetData("DP_1","00O2TNJGODT0G5Z4TTKYMMUX1","GSON1112061061")</f>
        <v>#NAME?</v>
      </c>
      <c r="V1086" s="24" t="e">
        <f ca="1">[1]!BexGetData("DP_1","00O2TNJGODT0G5Z4TTKYMN18L","GSON1112061061")</f>
        <v>#NAME?</v>
      </c>
      <c r="W1086" s="24" t="e">
        <f ca="1">[1]!BexGetData("DP_1","00O2TNJGODT0G5Z4TTKYMN7K5","GSON1112061061")</f>
        <v>#NAME?</v>
      </c>
    </row>
    <row r="1087" spans="1:23" x14ac:dyDescent="0.2">
      <c r="A1087" s="36" t="s">
        <v>3528</v>
      </c>
      <c r="B1087" s="27" t="s">
        <v>3529</v>
      </c>
      <c r="C1087" s="23" t="e">
        <f ca="1">[1]!BexGetData("DP_1","003N8EMH8GTFRCSWKMPXRR8GU","GSON1112061063")</f>
        <v>#NAME?</v>
      </c>
      <c r="D1087" s="23" t="e">
        <f ca="1">[1]!BexGetData("DP_1","003N8EMH8GTFRCSWKMPXRRESE","GSON1112061063")</f>
        <v>#NAME?</v>
      </c>
      <c r="E1087" s="28" t="e">
        <f ca="1">[1]!BexGetData("DP_1","003N8EMH8GTFRCSWKMPXRRL3Y","GSON1112061063")</f>
        <v>#NAME?</v>
      </c>
      <c r="F1087" s="24" t="e">
        <f ca="1">[1]!BexGetData("DP_1","003N8EMH8GTFRCSWKMPXRRRFI","GSON1112061063")</f>
        <v>#NAME?</v>
      </c>
      <c r="G1087" s="24" t="e">
        <f ca="1">[1]!BexGetData("DP_1","003N8EMH8GTFRCSWKMPXRRXR2","GSON1112061063")</f>
        <v>#NAME?</v>
      </c>
      <c r="H1087" s="24" t="e">
        <f ca="1">[1]!BexGetData("DP_1","003N8EMH8GTFRCSWKMPXRS42M","GSON1112061063")</f>
        <v>#NAME?</v>
      </c>
      <c r="I1087" s="24" t="e">
        <f ca="1">[1]!BexGetData("DP_1","003N8EMH8GTFRCSWKMPXRSAE6","GSON1112061063")</f>
        <v>#NAME?</v>
      </c>
      <c r="J1087" s="24" t="e">
        <f ca="1">[1]!BexGetData("DP_1","003N8EMH8GTFRCSWKMPXRSGPQ","GSON1112061063")</f>
        <v>#NAME?</v>
      </c>
      <c r="K1087" s="28" t="e">
        <f ca="1">[1]!BexGetData("DP_1","003N8EMH8GTFRIVNUPY288VJH","GSON1112061063")</f>
        <v>#NAME?</v>
      </c>
      <c r="L1087" s="28" t="e">
        <f ca="1">[1]!BexGetData("DP_1","003N8EMH8GTFRIVNUPY2891V1","GSON1112061063")</f>
        <v>#NAME?</v>
      </c>
      <c r="M1087" s="28" t="e">
        <f ca="1">[1]!BexGetData("DP_1","003N8EMH8GTFRIVOG7KG9IQXA","GSON1112061063")</f>
        <v>#NAME?</v>
      </c>
      <c r="N1087" s="28" t="e">
        <f ca="1">[1]!BexGetData("DP_1","003N8EMH8GTFRIVOG7KG9IX8U","GSON1112061063")</f>
        <v>#NAME?</v>
      </c>
      <c r="O1087" s="28" t="e">
        <f ca="1">[1]!BexGetData("DP_1","003N8EMH8GTFRIVOG7KG9J3KE","GSON1112061063")</f>
        <v>#NAME?</v>
      </c>
      <c r="P1087" s="28" t="e">
        <f ca="1">[1]!BexGetData("DP_1","003N8EMH8GTFRIVOG7KG9J9VY","GSON1112061063")</f>
        <v>#NAME?</v>
      </c>
      <c r="Q1087" s="24" t="e">
        <f ca="1">[1]!BexGetData("DP_1","00O2TNJGODT0G5Z4TTKYMM5MT","GSON1112061063")</f>
        <v>#NAME?</v>
      </c>
      <c r="R1087" s="24" t="e">
        <f ca="1">[1]!BexGetData("DP_1","00O2TNJGODT0G5Z4TTKYMMBYD","GSON1112061063")</f>
        <v>#NAME?</v>
      </c>
      <c r="S1087" s="24" t="e">
        <f ca="1">[1]!BexGetData("DP_1","00O2TNJGODT0G5Z4TTKYMMI9X","GSON1112061063")</f>
        <v>#NAME?</v>
      </c>
      <c r="T1087" s="24" t="e">
        <f ca="1">[1]!BexGetData("DP_1","00O2TNJGODT0G5Z4TTKYMMOLH","GSON1112061063")</f>
        <v>#NAME?</v>
      </c>
      <c r="U1087" s="24" t="e">
        <f ca="1">[1]!BexGetData("DP_1","00O2TNJGODT0G5Z4TTKYMMUX1","GSON1112061063")</f>
        <v>#NAME?</v>
      </c>
      <c r="V1087" s="24" t="e">
        <f ca="1">[1]!BexGetData("DP_1","00O2TNJGODT0G5Z4TTKYMN18L","GSON1112061063")</f>
        <v>#NAME?</v>
      </c>
      <c r="W1087" s="24" t="e">
        <f ca="1">[1]!BexGetData("DP_1","00O2TNJGODT0G5Z4TTKYMN7K5","GSON1112061063")</f>
        <v>#NAME?</v>
      </c>
    </row>
    <row r="1088" spans="1:23" x14ac:dyDescent="0.2">
      <c r="A1088" s="36" t="s">
        <v>3530</v>
      </c>
      <c r="B1088" s="27" t="s">
        <v>3531</v>
      </c>
      <c r="C1088" s="23" t="e">
        <f ca="1">[1]!BexGetData("DP_1","003N8EMH8GTFRCSWKMPXRR8GU","GSON1112061064")</f>
        <v>#NAME?</v>
      </c>
      <c r="D1088" s="23" t="e">
        <f ca="1">[1]!BexGetData("DP_1","003N8EMH8GTFRCSWKMPXRRESE","GSON1112061064")</f>
        <v>#NAME?</v>
      </c>
      <c r="E1088" s="28" t="e">
        <f ca="1">[1]!BexGetData("DP_1","003N8EMH8GTFRCSWKMPXRRL3Y","GSON1112061064")</f>
        <v>#NAME?</v>
      </c>
      <c r="F1088" s="24" t="e">
        <f ca="1">[1]!BexGetData("DP_1","003N8EMH8GTFRCSWKMPXRRRFI","GSON1112061064")</f>
        <v>#NAME?</v>
      </c>
      <c r="G1088" s="24" t="e">
        <f ca="1">[1]!BexGetData("DP_1","003N8EMH8GTFRCSWKMPXRRXR2","GSON1112061064")</f>
        <v>#NAME?</v>
      </c>
      <c r="H1088" s="24" t="e">
        <f ca="1">[1]!BexGetData("DP_1","003N8EMH8GTFRCSWKMPXRS42M","GSON1112061064")</f>
        <v>#NAME?</v>
      </c>
      <c r="I1088" s="24" t="e">
        <f ca="1">[1]!BexGetData("DP_1","003N8EMH8GTFRCSWKMPXRSAE6","GSON1112061064")</f>
        <v>#NAME?</v>
      </c>
      <c r="J1088" s="24" t="e">
        <f ca="1">[1]!BexGetData("DP_1","003N8EMH8GTFRCSWKMPXRSGPQ","GSON1112061064")</f>
        <v>#NAME?</v>
      </c>
      <c r="K1088" s="28" t="e">
        <f ca="1">[1]!BexGetData("DP_1","003N8EMH8GTFRIVNUPY288VJH","GSON1112061064")</f>
        <v>#NAME?</v>
      </c>
      <c r="L1088" s="28" t="e">
        <f ca="1">[1]!BexGetData("DP_1","003N8EMH8GTFRIVNUPY2891V1","GSON1112061064")</f>
        <v>#NAME?</v>
      </c>
      <c r="M1088" s="28" t="e">
        <f ca="1">[1]!BexGetData("DP_1","003N8EMH8GTFRIVOG7KG9IQXA","GSON1112061064")</f>
        <v>#NAME?</v>
      </c>
      <c r="N1088" s="28" t="e">
        <f ca="1">[1]!BexGetData("DP_1","003N8EMH8GTFRIVOG7KG9IX8U","GSON1112061064")</f>
        <v>#NAME?</v>
      </c>
      <c r="O1088" s="28" t="e">
        <f ca="1">[1]!BexGetData("DP_1","003N8EMH8GTFRIVOG7KG9J3KE","GSON1112061064")</f>
        <v>#NAME?</v>
      </c>
      <c r="P1088" s="28" t="e">
        <f ca="1">[1]!BexGetData("DP_1","003N8EMH8GTFRIVOG7KG9J9VY","GSON1112061064")</f>
        <v>#NAME?</v>
      </c>
      <c r="Q1088" s="24" t="e">
        <f ca="1">[1]!BexGetData("DP_1","00O2TNJGODT0G5Z4TTKYMM5MT","GSON1112061064")</f>
        <v>#NAME?</v>
      </c>
      <c r="R1088" s="24" t="e">
        <f ca="1">[1]!BexGetData("DP_1","00O2TNJGODT0G5Z4TTKYMMBYD","GSON1112061064")</f>
        <v>#NAME?</v>
      </c>
      <c r="S1088" s="24" t="e">
        <f ca="1">[1]!BexGetData("DP_1","00O2TNJGODT0G5Z4TTKYMMI9X","GSON1112061064")</f>
        <v>#NAME?</v>
      </c>
      <c r="T1088" s="24" t="e">
        <f ca="1">[1]!BexGetData("DP_1","00O2TNJGODT0G5Z4TTKYMMOLH","GSON1112061064")</f>
        <v>#NAME?</v>
      </c>
      <c r="U1088" s="24" t="e">
        <f ca="1">[1]!BexGetData("DP_1","00O2TNJGODT0G5Z4TTKYMMUX1","GSON1112061064")</f>
        <v>#NAME?</v>
      </c>
      <c r="V1088" s="24" t="e">
        <f ca="1">[1]!BexGetData("DP_1","00O2TNJGODT0G5Z4TTKYMN18L","GSON1112061064")</f>
        <v>#NAME?</v>
      </c>
      <c r="W1088" s="24" t="e">
        <f ca="1">[1]!BexGetData("DP_1","00O2TNJGODT0G5Z4TTKYMN7K5","GSON1112061064")</f>
        <v>#NAME?</v>
      </c>
    </row>
    <row r="1089" spans="1:23" x14ac:dyDescent="0.2">
      <c r="A1089" s="36" t="s">
        <v>3532</v>
      </c>
      <c r="B1089" s="27" t="s">
        <v>3533</v>
      </c>
      <c r="C1089" s="23" t="e">
        <f ca="1">[1]!BexGetData("DP_1","003N8EMH8GTFRCSWKMPXRR8GU","GSON1112061065")</f>
        <v>#NAME?</v>
      </c>
      <c r="D1089" s="23" t="e">
        <f ca="1">[1]!BexGetData("DP_1","003N8EMH8GTFRCSWKMPXRRESE","GSON1112061065")</f>
        <v>#NAME?</v>
      </c>
      <c r="E1089" s="28" t="e">
        <f ca="1">[1]!BexGetData("DP_1","003N8EMH8GTFRCSWKMPXRRL3Y","GSON1112061065")</f>
        <v>#NAME?</v>
      </c>
      <c r="F1089" s="24" t="e">
        <f ca="1">[1]!BexGetData("DP_1","003N8EMH8GTFRCSWKMPXRRRFI","GSON1112061065")</f>
        <v>#NAME?</v>
      </c>
      <c r="G1089" s="24" t="e">
        <f ca="1">[1]!BexGetData("DP_1","003N8EMH8GTFRCSWKMPXRRXR2","GSON1112061065")</f>
        <v>#NAME?</v>
      </c>
      <c r="H1089" s="24" t="e">
        <f ca="1">[1]!BexGetData("DP_1","003N8EMH8GTFRCSWKMPXRS42M","GSON1112061065")</f>
        <v>#NAME?</v>
      </c>
      <c r="I1089" s="24" t="e">
        <f ca="1">[1]!BexGetData("DP_1","003N8EMH8GTFRCSWKMPXRSAE6","GSON1112061065")</f>
        <v>#NAME?</v>
      </c>
      <c r="J1089" s="24" t="e">
        <f ca="1">[1]!BexGetData("DP_1","003N8EMH8GTFRCSWKMPXRSGPQ","GSON1112061065")</f>
        <v>#NAME?</v>
      </c>
      <c r="K1089" s="28" t="e">
        <f ca="1">[1]!BexGetData("DP_1","003N8EMH8GTFRIVNUPY288VJH","GSON1112061065")</f>
        <v>#NAME?</v>
      </c>
      <c r="L1089" s="28" t="e">
        <f ca="1">[1]!BexGetData("DP_1","003N8EMH8GTFRIVNUPY2891V1","GSON1112061065")</f>
        <v>#NAME?</v>
      </c>
      <c r="M1089" s="28" t="e">
        <f ca="1">[1]!BexGetData("DP_1","003N8EMH8GTFRIVOG7KG9IQXA","GSON1112061065")</f>
        <v>#NAME?</v>
      </c>
      <c r="N1089" s="28" t="e">
        <f ca="1">[1]!BexGetData("DP_1","003N8EMH8GTFRIVOG7KG9IX8U","GSON1112061065")</f>
        <v>#NAME?</v>
      </c>
      <c r="O1089" s="28" t="e">
        <f ca="1">[1]!BexGetData("DP_1","003N8EMH8GTFRIVOG7KG9J3KE","GSON1112061065")</f>
        <v>#NAME?</v>
      </c>
      <c r="P1089" s="28" t="e">
        <f ca="1">[1]!BexGetData("DP_1","003N8EMH8GTFRIVOG7KG9J9VY","GSON1112061065")</f>
        <v>#NAME?</v>
      </c>
      <c r="Q1089" s="24" t="e">
        <f ca="1">[1]!BexGetData("DP_1","00O2TNJGODT0G5Z4TTKYMM5MT","GSON1112061065")</f>
        <v>#NAME?</v>
      </c>
      <c r="R1089" s="24" t="e">
        <f ca="1">[1]!BexGetData("DP_1","00O2TNJGODT0G5Z4TTKYMMBYD","GSON1112061065")</f>
        <v>#NAME?</v>
      </c>
      <c r="S1089" s="24" t="e">
        <f ca="1">[1]!BexGetData("DP_1","00O2TNJGODT0G5Z4TTKYMMI9X","GSON1112061065")</f>
        <v>#NAME?</v>
      </c>
      <c r="T1089" s="24" t="e">
        <f ca="1">[1]!BexGetData("DP_1","00O2TNJGODT0G5Z4TTKYMMOLH","GSON1112061065")</f>
        <v>#NAME?</v>
      </c>
      <c r="U1089" s="24" t="e">
        <f ca="1">[1]!BexGetData("DP_1","00O2TNJGODT0G5Z4TTKYMMUX1","GSON1112061065")</f>
        <v>#NAME?</v>
      </c>
      <c r="V1089" s="24" t="e">
        <f ca="1">[1]!BexGetData("DP_1","00O2TNJGODT0G5Z4TTKYMN18L","GSON1112061065")</f>
        <v>#NAME?</v>
      </c>
      <c r="W1089" s="24" t="e">
        <f ca="1">[1]!BexGetData("DP_1","00O2TNJGODT0G5Z4TTKYMN7K5","GSON1112061065")</f>
        <v>#NAME?</v>
      </c>
    </row>
    <row r="1090" spans="1:23" x14ac:dyDescent="0.2">
      <c r="A1090" s="36" t="s">
        <v>3534</v>
      </c>
      <c r="B1090" s="27" t="s">
        <v>3535</v>
      </c>
      <c r="C1090" s="23" t="e">
        <f ca="1">[1]!BexGetData("DP_1","003N8EMH8GTFRCSWKMPXRR8GU","GSON1112061070")</f>
        <v>#NAME?</v>
      </c>
      <c r="D1090" s="23" t="e">
        <f ca="1">[1]!BexGetData("DP_1","003N8EMH8GTFRCSWKMPXRRESE","GSON1112061070")</f>
        <v>#NAME?</v>
      </c>
      <c r="E1090" s="23" t="e">
        <f ca="1">[1]!BexGetData("DP_1","003N8EMH8GTFRCSWKMPXRRL3Y","GSON1112061070")</f>
        <v>#NAME?</v>
      </c>
      <c r="F1090" s="24" t="e">
        <f ca="1">[1]!BexGetData("DP_1","003N8EMH8GTFRCSWKMPXRRRFI","GSON1112061070")</f>
        <v>#NAME?</v>
      </c>
      <c r="G1090" s="24" t="e">
        <f ca="1">[1]!BexGetData("DP_1","003N8EMH8GTFRCSWKMPXRRXR2","GSON1112061070")</f>
        <v>#NAME?</v>
      </c>
      <c r="H1090" s="24" t="e">
        <f ca="1">[1]!BexGetData("DP_1","003N8EMH8GTFRCSWKMPXRS42M","GSON1112061070")</f>
        <v>#NAME?</v>
      </c>
      <c r="I1090" s="24" t="e">
        <f ca="1">[1]!BexGetData("DP_1","003N8EMH8GTFRCSWKMPXRSAE6","GSON1112061070")</f>
        <v>#NAME?</v>
      </c>
      <c r="J1090" s="24" t="e">
        <f ca="1">[1]!BexGetData("DP_1","003N8EMH8GTFRCSWKMPXRSGPQ","GSON1112061070")</f>
        <v>#NAME?</v>
      </c>
      <c r="K1090" s="23" t="e">
        <f ca="1">[1]!BexGetData("DP_1","003N8EMH8GTFRIVNUPY288VJH","GSON1112061070")</f>
        <v>#NAME?</v>
      </c>
      <c r="L1090" s="23" t="e">
        <f ca="1">[1]!BexGetData("DP_1","003N8EMH8GTFRIVNUPY2891V1","GSON1112061070")</f>
        <v>#NAME?</v>
      </c>
      <c r="M1090" s="28" t="e">
        <f ca="1">[1]!BexGetData("DP_1","003N8EMH8GTFRIVOG7KG9IQXA","GSON1112061070")</f>
        <v>#NAME?</v>
      </c>
      <c r="N1090" s="23" t="e">
        <f ca="1">[1]!BexGetData("DP_1","003N8EMH8GTFRIVOG7KG9IX8U","GSON1112061070")</f>
        <v>#NAME?</v>
      </c>
      <c r="O1090" s="28" t="e">
        <f ca="1">[1]!BexGetData("DP_1","003N8EMH8GTFRIVOG7KG9J3KE","GSON1112061070")</f>
        <v>#NAME?</v>
      </c>
      <c r="P1090" s="23" t="e">
        <f ca="1">[1]!BexGetData("DP_1","003N8EMH8GTFRIVOG7KG9J9VY","GSON1112061070")</f>
        <v>#NAME?</v>
      </c>
      <c r="Q1090" s="24" t="e">
        <f ca="1">[1]!BexGetData("DP_1","00O2TNJGODT0G5Z4TTKYMM5MT","GSON1112061070")</f>
        <v>#NAME?</v>
      </c>
      <c r="R1090" s="24" t="e">
        <f ca="1">[1]!BexGetData("DP_1","00O2TNJGODT0G5Z4TTKYMMBYD","GSON1112061070")</f>
        <v>#NAME?</v>
      </c>
      <c r="S1090" s="24" t="e">
        <f ca="1">[1]!BexGetData("DP_1","00O2TNJGODT0G5Z4TTKYMMI9X","GSON1112061070")</f>
        <v>#NAME?</v>
      </c>
      <c r="T1090" s="24" t="e">
        <f ca="1">[1]!BexGetData("DP_1","00O2TNJGODT0G5Z4TTKYMMOLH","GSON1112061070")</f>
        <v>#NAME?</v>
      </c>
      <c r="U1090" s="24" t="e">
        <f ca="1">[1]!BexGetData("DP_1","00O2TNJGODT0G5Z4TTKYMMUX1","GSON1112061070")</f>
        <v>#NAME?</v>
      </c>
      <c r="V1090" s="24" t="e">
        <f ca="1">[1]!BexGetData("DP_1","00O2TNJGODT0G5Z4TTKYMN18L","GSON1112061070")</f>
        <v>#NAME?</v>
      </c>
      <c r="W1090" s="24" t="e">
        <f ca="1">[1]!BexGetData("DP_1","00O2TNJGODT0G5Z4TTKYMN7K5","GSON1112061070")</f>
        <v>#NAME?</v>
      </c>
    </row>
    <row r="1091" spans="1:23" x14ac:dyDescent="0.2">
      <c r="A1091" s="36" t="s">
        <v>3536</v>
      </c>
      <c r="B1091" s="27" t="s">
        <v>3537</v>
      </c>
      <c r="C1091" s="23" t="e">
        <f ca="1">[1]!BexGetData("DP_1","003N8EMH8GTFRCSWKMPXRR8GU","GSON1112061071")</f>
        <v>#NAME?</v>
      </c>
      <c r="D1091" s="23" t="e">
        <f ca="1">[1]!BexGetData("DP_1","003N8EMH8GTFRCSWKMPXRRESE","GSON1112061071")</f>
        <v>#NAME?</v>
      </c>
      <c r="E1091" s="28" t="e">
        <f ca="1">[1]!BexGetData("DP_1","003N8EMH8GTFRCSWKMPXRRL3Y","GSON1112061071")</f>
        <v>#NAME?</v>
      </c>
      <c r="F1091" s="24" t="e">
        <f ca="1">[1]!BexGetData("DP_1","003N8EMH8GTFRCSWKMPXRRRFI","GSON1112061071")</f>
        <v>#NAME?</v>
      </c>
      <c r="G1091" s="24" t="e">
        <f ca="1">[1]!BexGetData("DP_1","003N8EMH8GTFRCSWKMPXRRXR2","GSON1112061071")</f>
        <v>#NAME?</v>
      </c>
      <c r="H1091" s="24" t="e">
        <f ca="1">[1]!BexGetData("DP_1","003N8EMH8GTFRCSWKMPXRS42M","GSON1112061071")</f>
        <v>#NAME?</v>
      </c>
      <c r="I1091" s="24" t="e">
        <f ca="1">[1]!BexGetData("DP_1","003N8EMH8GTFRCSWKMPXRSAE6","GSON1112061071")</f>
        <v>#NAME?</v>
      </c>
      <c r="J1091" s="24" t="e">
        <f ca="1">[1]!BexGetData("DP_1","003N8EMH8GTFRCSWKMPXRSGPQ","GSON1112061071")</f>
        <v>#NAME?</v>
      </c>
      <c r="K1091" s="28" t="e">
        <f ca="1">[1]!BexGetData("DP_1","003N8EMH8GTFRIVNUPY288VJH","GSON1112061071")</f>
        <v>#NAME?</v>
      </c>
      <c r="L1091" s="28" t="e">
        <f ca="1">[1]!BexGetData("DP_1","003N8EMH8GTFRIVNUPY2891V1","GSON1112061071")</f>
        <v>#NAME?</v>
      </c>
      <c r="M1091" s="28" t="e">
        <f ca="1">[1]!BexGetData("DP_1","003N8EMH8GTFRIVOG7KG9IQXA","GSON1112061071")</f>
        <v>#NAME?</v>
      </c>
      <c r="N1091" s="28" t="e">
        <f ca="1">[1]!BexGetData("DP_1","003N8EMH8GTFRIVOG7KG9IX8U","GSON1112061071")</f>
        <v>#NAME?</v>
      </c>
      <c r="O1091" s="28" t="e">
        <f ca="1">[1]!BexGetData("DP_1","003N8EMH8GTFRIVOG7KG9J3KE","GSON1112061071")</f>
        <v>#NAME?</v>
      </c>
      <c r="P1091" s="28" t="e">
        <f ca="1">[1]!BexGetData("DP_1","003N8EMH8GTFRIVOG7KG9J9VY","GSON1112061071")</f>
        <v>#NAME?</v>
      </c>
      <c r="Q1091" s="24" t="e">
        <f ca="1">[1]!BexGetData("DP_1","00O2TNJGODT0G5Z4TTKYMM5MT","GSON1112061071")</f>
        <v>#NAME?</v>
      </c>
      <c r="R1091" s="24" t="e">
        <f ca="1">[1]!BexGetData("DP_1","00O2TNJGODT0G5Z4TTKYMMBYD","GSON1112061071")</f>
        <v>#NAME?</v>
      </c>
      <c r="S1091" s="24" t="e">
        <f ca="1">[1]!BexGetData("DP_1","00O2TNJGODT0G5Z4TTKYMMI9X","GSON1112061071")</f>
        <v>#NAME?</v>
      </c>
      <c r="T1091" s="24" t="e">
        <f ca="1">[1]!BexGetData("DP_1","00O2TNJGODT0G5Z4TTKYMMOLH","GSON1112061071")</f>
        <v>#NAME?</v>
      </c>
      <c r="U1091" s="24" t="e">
        <f ca="1">[1]!BexGetData("DP_1","00O2TNJGODT0G5Z4TTKYMMUX1","GSON1112061071")</f>
        <v>#NAME?</v>
      </c>
      <c r="V1091" s="24" t="e">
        <f ca="1">[1]!BexGetData("DP_1","00O2TNJGODT0G5Z4TTKYMN18L","GSON1112061071")</f>
        <v>#NAME?</v>
      </c>
      <c r="W1091" s="24" t="e">
        <f ca="1">[1]!BexGetData("DP_1","00O2TNJGODT0G5Z4TTKYMN7K5","GSON1112061071")</f>
        <v>#NAME?</v>
      </c>
    </row>
    <row r="1092" spans="1:23" x14ac:dyDescent="0.2">
      <c r="A1092" s="36" t="s">
        <v>3538</v>
      </c>
      <c r="B1092" s="27" t="s">
        <v>3539</v>
      </c>
      <c r="C1092" s="23" t="e">
        <f ca="1">[1]!BexGetData("DP_1","003N8EMH8GTFRCSWKMPXRR8GU","GSON1112061073")</f>
        <v>#NAME?</v>
      </c>
      <c r="D1092" s="23" t="e">
        <f ca="1">[1]!BexGetData("DP_1","003N8EMH8GTFRCSWKMPXRRESE","GSON1112061073")</f>
        <v>#NAME?</v>
      </c>
      <c r="E1092" s="28" t="e">
        <f ca="1">[1]!BexGetData("DP_1","003N8EMH8GTFRCSWKMPXRRL3Y","GSON1112061073")</f>
        <v>#NAME?</v>
      </c>
      <c r="F1092" s="24" t="e">
        <f ca="1">[1]!BexGetData("DP_1","003N8EMH8GTFRCSWKMPXRRRFI","GSON1112061073")</f>
        <v>#NAME?</v>
      </c>
      <c r="G1092" s="24" t="e">
        <f ca="1">[1]!BexGetData("DP_1","003N8EMH8GTFRCSWKMPXRRXR2","GSON1112061073")</f>
        <v>#NAME?</v>
      </c>
      <c r="H1092" s="24" t="e">
        <f ca="1">[1]!BexGetData("DP_1","003N8EMH8GTFRCSWKMPXRS42M","GSON1112061073")</f>
        <v>#NAME?</v>
      </c>
      <c r="I1092" s="24" t="e">
        <f ca="1">[1]!BexGetData("DP_1","003N8EMH8GTFRCSWKMPXRSAE6","GSON1112061073")</f>
        <v>#NAME?</v>
      </c>
      <c r="J1092" s="24" t="e">
        <f ca="1">[1]!BexGetData("DP_1","003N8EMH8GTFRCSWKMPXRSGPQ","GSON1112061073")</f>
        <v>#NAME?</v>
      </c>
      <c r="K1092" s="28" t="e">
        <f ca="1">[1]!BexGetData("DP_1","003N8EMH8GTFRIVNUPY288VJH","GSON1112061073")</f>
        <v>#NAME?</v>
      </c>
      <c r="L1092" s="28" t="e">
        <f ca="1">[1]!BexGetData("DP_1","003N8EMH8GTFRIVNUPY2891V1","GSON1112061073")</f>
        <v>#NAME?</v>
      </c>
      <c r="M1092" s="28" t="e">
        <f ca="1">[1]!BexGetData("DP_1","003N8EMH8GTFRIVOG7KG9IQXA","GSON1112061073")</f>
        <v>#NAME?</v>
      </c>
      <c r="N1092" s="28" t="e">
        <f ca="1">[1]!BexGetData("DP_1","003N8EMH8GTFRIVOG7KG9IX8U","GSON1112061073")</f>
        <v>#NAME?</v>
      </c>
      <c r="O1092" s="28" t="e">
        <f ca="1">[1]!BexGetData("DP_1","003N8EMH8GTFRIVOG7KG9J3KE","GSON1112061073")</f>
        <v>#NAME?</v>
      </c>
      <c r="P1092" s="28" t="e">
        <f ca="1">[1]!BexGetData("DP_1","003N8EMH8GTFRIVOG7KG9J9VY","GSON1112061073")</f>
        <v>#NAME?</v>
      </c>
      <c r="Q1092" s="24" t="e">
        <f ca="1">[1]!BexGetData("DP_1","00O2TNJGODT0G5Z4TTKYMM5MT","GSON1112061073")</f>
        <v>#NAME?</v>
      </c>
      <c r="R1092" s="24" t="e">
        <f ca="1">[1]!BexGetData("DP_1","00O2TNJGODT0G5Z4TTKYMMBYD","GSON1112061073")</f>
        <v>#NAME?</v>
      </c>
      <c r="S1092" s="24" t="e">
        <f ca="1">[1]!BexGetData("DP_1","00O2TNJGODT0G5Z4TTKYMMI9X","GSON1112061073")</f>
        <v>#NAME?</v>
      </c>
      <c r="T1092" s="24" t="e">
        <f ca="1">[1]!BexGetData("DP_1","00O2TNJGODT0G5Z4TTKYMMOLH","GSON1112061073")</f>
        <v>#NAME?</v>
      </c>
      <c r="U1092" s="24" t="e">
        <f ca="1">[1]!BexGetData("DP_1","00O2TNJGODT0G5Z4TTKYMMUX1","GSON1112061073")</f>
        <v>#NAME?</v>
      </c>
      <c r="V1092" s="24" t="e">
        <f ca="1">[1]!BexGetData("DP_1","00O2TNJGODT0G5Z4TTKYMN18L","GSON1112061073")</f>
        <v>#NAME?</v>
      </c>
      <c r="W1092" s="24" t="e">
        <f ca="1">[1]!BexGetData("DP_1","00O2TNJGODT0G5Z4TTKYMN7K5","GSON1112061073")</f>
        <v>#NAME?</v>
      </c>
    </row>
    <row r="1093" spans="1:23" x14ac:dyDescent="0.2">
      <c r="A1093" s="36" t="s">
        <v>3540</v>
      </c>
      <c r="B1093" s="27" t="s">
        <v>3541</v>
      </c>
      <c r="C1093" s="23" t="e">
        <f ca="1">[1]!BexGetData("DP_1","003N8EMH8GTFRCSWKMPXRR8GU","GSON1112061074")</f>
        <v>#NAME?</v>
      </c>
      <c r="D1093" s="23" t="e">
        <f ca="1">[1]!BexGetData("DP_1","003N8EMH8GTFRCSWKMPXRRESE","GSON1112061074")</f>
        <v>#NAME?</v>
      </c>
      <c r="E1093" s="28" t="e">
        <f ca="1">[1]!BexGetData("DP_1","003N8EMH8GTFRCSWKMPXRRL3Y","GSON1112061074")</f>
        <v>#NAME?</v>
      </c>
      <c r="F1093" s="24" t="e">
        <f ca="1">[1]!BexGetData("DP_1","003N8EMH8GTFRCSWKMPXRRRFI","GSON1112061074")</f>
        <v>#NAME?</v>
      </c>
      <c r="G1093" s="24" t="e">
        <f ca="1">[1]!BexGetData("DP_1","003N8EMH8GTFRCSWKMPXRRXR2","GSON1112061074")</f>
        <v>#NAME?</v>
      </c>
      <c r="H1093" s="24" t="e">
        <f ca="1">[1]!BexGetData("DP_1","003N8EMH8GTFRCSWKMPXRS42M","GSON1112061074")</f>
        <v>#NAME?</v>
      </c>
      <c r="I1093" s="24" t="e">
        <f ca="1">[1]!BexGetData("DP_1","003N8EMH8GTFRCSWKMPXRSAE6","GSON1112061074")</f>
        <v>#NAME?</v>
      </c>
      <c r="J1093" s="24" t="e">
        <f ca="1">[1]!BexGetData("DP_1","003N8EMH8GTFRCSWKMPXRSGPQ","GSON1112061074")</f>
        <v>#NAME?</v>
      </c>
      <c r="K1093" s="28" t="e">
        <f ca="1">[1]!BexGetData("DP_1","003N8EMH8GTFRIVNUPY288VJH","GSON1112061074")</f>
        <v>#NAME?</v>
      </c>
      <c r="L1093" s="28" t="e">
        <f ca="1">[1]!BexGetData("DP_1","003N8EMH8GTFRIVNUPY2891V1","GSON1112061074")</f>
        <v>#NAME?</v>
      </c>
      <c r="M1093" s="28" t="e">
        <f ca="1">[1]!BexGetData("DP_1","003N8EMH8GTFRIVOG7KG9IQXA","GSON1112061074")</f>
        <v>#NAME?</v>
      </c>
      <c r="N1093" s="28" t="e">
        <f ca="1">[1]!BexGetData("DP_1","003N8EMH8GTFRIVOG7KG9IX8U","GSON1112061074")</f>
        <v>#NAME?</v>
      </c>
      <c r="O1093" s="28" t="e">
        <f ca="1">[1]!BexGetData("DP_1","003N8EMH8GTFRIVOG7KG9J3KE","GSON1112061074")</f>
        <v>#NAME?</v>
      </c>
      <c r="P1093" s="28" t="e">
        <f ca="1">[1]!BexGetData("DP_1","003N8EMH8GTFRIVOG7KG9J9VY","GSON1112061074")</f>
        <v>#NAME?</v>
      </c>
      <c r="Q1093" s="24" t="e">
        <f ca="1">[1]!BexGetData("DP_1","00O2TNJGODT0G5Z4TTKYMM5MT","GSON1112061074")</f>
        <v>#NAME?</v>
      </c>
      <c r="R1093" s="24" t="e">
        <f ca="1">[1]!BexGetData("DP_1","00O2TNJGODT0G5Z4TTKYMMBYD","GSON1112061074")</f>
        <v>#NAME?</v>
      </c>
      <c r="S1093" s="24" t="e">
        <f ca="1">[1]!BexGetData("DP_1","00O2TNJGODT0G5Z4TTKYMMI9X","GSON1112061074")</f>
        <v>#NAME?</v>
      </c>
      <c r="T1093" s="24" t="e">
        <f ca="1">[1]!BexGetData("DP_1","00O2TNJGODT0G5Z4TTKYMMOLH","GSON1112061074")</f>
        <v>#NAME?</v>
      </c>
      <c r="U1093" s="24" t="e">
        <f ca="1">[1]!BexGetData("DP_1","00O2TNJGODT0G5Z4TTKYMMUX1","GSON1112061074")</f>
        <v>#NAME?</v>
      </c>
      <c r="V1093" s="24" t="e">
        <f ca="1">[1]!BexGetData("DP_1","00O2TNJGODT0G5Z4TTKYMN18L","GSON1112061074")</f>
        <v>#NAME?</v>
      </c>
      <c r="W1093" s="24" t="e">
        <f ca="1">[1]!BexGetData("DP_1","00O2TNJGODT0G5Z4TTKYMN7K5","GSON1112061074")</f>
        <v>#NAME?</v>
      </c>
    </row>
    <row r="1094" spans="1:23" x14ac:dyDescent="0.2">
      <c r="A1094" s="36" t="s">
        <v>3542</v>
      </c>
      <c r="B1094" s="27" t="s">
        <v>3543</v>
      </c>
      <c r="C1094" s="23" t="e">
        <f ca="1">[1]!BexGetData("DP_1","003N8EMH8GTFRCSWKMPXRR8GU","GSON1112061075")</f>
        <v>#NAME?</v>
      </c>
      <c r="D1094" s="23" t="e">
        <f ca="1">[1]!BexGetData("DP_1","003N8EMH8GTFRCSWKMPXRRESE","GSON1112061075")</f>
        <v>#NAME?</v>
      </c>
      <c r="E1094" s="28" t="e">
        <f ca="1">[1]!BexGetData("DP_1","003N8EMH8GTFRCSWKMPXRRL3Y","GSON1112061075")</f>
        <v>#NAME?</v>
      </c>
      <c r="F1094" s="24" t="e">
        <f ca="1">[1]!BexGetData("DP_1","003N8EMH8GTFRCSWKMPXRRRFI","GSON1112061075")</f>
        <v>#NAME?</v>
      </c>
      <c r="G1094" s="24" t="e">
        <f ca="1">[1]!BexGetData("DP_1","003N8EMH8GTFRCSWKMPXRRXR2","GSON1112061075")</f>
        <v>#NAME?</v>
      </c>
      <c r="H1094" s="24" t="e">
        <f ca="1">[1]!BexGetData("DP_1","003N8EMH8GTFRCSWKMPXRS42M","GSON1112061075")</f>
        <v>#NAME?</v>
      </c>
      <c r="I1094" s="24" t="e">
        <f ca="1">[1]!BexGetData("DP_1","003N8EMH8GTFRCSWKMPXRSAE6","GSON1112061075")</f>
        <v>#NAME?</v>
      </c>
      <c r="J1094" s="24" t="e">
        <f ca="1">[1]!BexGetData("DP_1","003N8EMH8GTFRCSWKMPXRSGPQ","GSON1112061075")</f>
        <v>#NAME?</v>
      </c>
      <c r="K1094" s="28" t="e">
        <f ca="1">[1]!BexGetData("DP_1","003N8EMH8GTFRIVNUPY288VJH","GSON1112061075")</f>
        <v>#NAME?</v>
      </c>
      <c r="L1094" s="28" t="e">
        <f ca="1">[1]!BexGetData("DP_1","003N8EMH8GTFRIVNUPY2891V1","GSON1112061075")</f>
        <v>#NAME?</v>
      </c>
      <c r="M1094" s="28" t="e">
        <f ca="1">[1]!BexGetData("DP_1","003N8EMH8GTFRIVOG7KG9IQXA","GSON1112061075")</f>
        <v>#NAME?</v>
      </c>
      <c r="N1094" s="28" t="e">
        <f ca="1">[1]!BexGetData("DP_1","003N8EMH8GTFRIVOG7KG9IX8U","GSON1112061075")</f>
        <v>#NAME?</v>
      </c>
      <c r="O1094" s="28" t="e">
        <f ca="1">[1]!BexGetData("DP_1","003N8EMH8GTFRIVOG7KG9J3KE","GSON1112061075")</f>
        <v>#NAME?</v>
      </c>
      <c r="P1094" s="28" t="e">
        <f ca="1">[1]!BexGetData("DP_1","003N8EMH8GTFRIVOG7KG9J9VY","GSON1112061075")</f>
        <v>#NAME?</v>
      </c>
      <c r="Q1094" s="24" t="e">
        <f ca="1">[1]!BexGetData("DP_1","00O2TNJGODT0G5Z4TTKYMM5MT","GSON1112061075")</f>
        <v>#NAME?</v>
      </c>
      <c r="R1094" s="24" t="e">
        <f ca="1">[1]!BexGetData("DP_1","00O2TNJGODT0G5Z4TTKYMMBYD","GSON1112061075")</f>
        <v>#NAME?</v>
      </c>
      <c r="S1094" s="24" t="e">
        <f ca="1">[1]!BexGetData("DP_1","00O2TNJGODT0G5Z4TTKYMMI9X","GSON1112061075")</f>
        <v>#NAME?</v>
      </c>
      <c r="T1094" s="24" t="e">
        <f ca="1">[1]!BexGetData("DP_1","00O2TNJGODT0G5Z4TTKYMMOLH","GSON1112061075")</f>
        <v>#NAME?</v>
      </c>
      <c r="U1094" s="24" t="e">
        <f ca="1">[1]!BexGetData("DP_1","00O2TNJGODT0G5Z4TTKYMMUX1","GSON1112061075")</f>
        <v>#NAME?</v>
      </c>
      <c r="V1094" s="24" t="e">
        <f ca="1">[1]!BexGetData("DP_1","00O2TNJGODT0G5Z4TTKYMN18L","GSON1112061075")</f>
        <v>#NAME?</v>
      </c>
      <c r="W1094" s="24" t="e">
        <f ca="1">[1]!BexGetData("DP_1","00O2TNJGODT0G5Z4TTKYMN7K5","GSON1112061075")</f>
        <v>#NAME?</v>
      </c>
    </row>
    <row r="1095" spans="1:23" x14ac:dyDescent="0.2">
      <c r="A1095" s="36" t="s">
        <v>3544</v>
      </c>
      <c r="B1095" s="27" t="s">
        <v>3545</v>
      </c>
      <c r="C1095" s="23" t="e">
        <f ca="1">[1]!BexGetData("DP_1","003N8EMH8GTFRCSWKMPXRR8GU","GSON1112061080")</f>
        <v>#NAME?</v>
      </c>
      <c r="D1095" s="23" t="e">
        <f ca="1">[1]!BexGetData("DP_1","003N8EMH8GTFRCSWKMPXRRESE","GSON1112061080")</f>
        <v>#NAME?</v>
      </c>
      <c r="E1095" s="28" t="e">
        <f ca="1">[1]!BexGetData("DP_1","003N8EMH8GTFRCSWKMPXRRL3Y","GSON1112061080")</f>
        <v>#NAME?</v>
      </c>
      <c r="F1095" s="24" t="e">
        <f ca="1">[1]!BexGetData("DP_1","003N8EMH8GTFRCSWKMPXRRRFI","GSON1112061080")</f>
        <v>#NAME?</v>
      </c>
      <c r="G1095" s="24" t="e">
        <f ca="1">[1]!BexGetData("DP_1","003N8EMH8GTFRCSWKMPXRRXR2","GSON1112061080")</f>
        <v>#NAME?</v>
      </c>
      <c r="H1095" s="24" t="e">
        <f ca="1">[1]!BexGetData("DP_1","003N8EMH8GTFRCSWKMPXRS42M","GSON1112061080")</f>
        <v>#NAME?</v>
      </c>
      <c r="I1095" s="24" t="e">
        <f ca="1">[1]!BexGetData("DP_1","003N8EMH8GTFRCSWKMPXRSAE6","GSON1112061080")</f>
        <v>#NAME?</v>
      </c>
      <c r="J1095" s="24" t="e">
        <f ca="1">[1]!BexGetData("DP_1","003N8EMH8GTFRCSWKMPXRSGPQ","GSON1112061080")</f>
        <v>#NAME?</v>
      </c>
      <c r="K1095" s="28" t="e">
        <f ca="1">[1]!BexGetData("DP_1","003N8EMH8GTFRIVNUPY288VJH","GSON1112061080")</f>
        <v>#NAME?</v>
      </c>
      <c r="L1095" s="28" t="e">
        <f ca="1">[1]!BexGetData("DP_1","003N8EMH8GTFRIVNUPY2891V1","GSON1112061080")</f>
        <v>#NAME?</v>
      </c>
      <c r="M1095" s="28" t="e">
        <f ca="1">[1]!BexGetData("DP_1","003N8EMH8GTFRIVOG7KG9IQXA","GSON1112061080")</f>
        <v>#NAME?</v>
      </c>
      <c r="N1095" s="28" t="e">
        <f ca="1">[1]!BexGetData("DP_1","003N8EMH8GTFRIVOG7KG9IX8U","GSON1112061080")</f>
        <v>#NAME?</v>
      </c>
      <c r="O1095" s="28" t="e">
        <f ca="1">[1]!BexGetData("DP_1","003N8EMH8GTFRIVOG7KG9J3KE","GSON1112061080")</f>
        <v>#NAME?</v>
      </c>
      <c r="P1095" s="28" t="e">
        <f ca="1">[1]!BexGetData("DP_1","003N8EMH8GTFRIVOG7KG9J9VY","GSON1112061080")</f>
        <v>#NAME?</v>
      </c>
      <c r="Q1095" s="24" t="e">
        <f ca="1">[1]!BexGetData("DP_1","00O2TNJGODT0G5Z4TTKYMM5MT","GSON1112061080")</f>
        <v>#NAME?</v>
      </c>
      <c r="R1095" s="24" t="e">
        <f ca="1">[1]!BexGetData("DP_1","00O2TNJGODT0G5Z4TTKYMMBYD","GSON1112061080")</f>
        <v>#NAME?</v>
      </c>
      <c r="S1095" s="24" t="e">
        <f ca="1">[1]!BexGetData("DP_1","00O2TNJGODT0G5Z4TTKYMMI9X","GSON1112061080")</f>
        <v>#NAME?</v>
      </c>
      <c r="T1095" s="24" t="e">
        <f ca="1">[1]!BexGetData("DP_1","00O2TNJGODT0G5Z4TTKYMMOLH","GSON1112061080")</f>
        <v>#NAME?</v>
      </c>
      <c r="U1095" s="24" t="e">
        <f ca="1">[1]!BexGetData("DP_1","00O2TNJGODT0G5Z4TTKYMMUX1","GSON1112061080")</f>
        <v>#NAME?</v>
      </c>
      <c r="V1095" s="24" t="e">
        <f ca="1">[1]!BexGetData("DP_1","00O2TNJGODT0G5Z4TTKYMN18L","GSON1112061080")</f>
        <v>#NAME?</v>
      </c>
      <c r="W1095" s="24" t="e">
        <f ca="1">[1]!BexGetData("DP_1","00O2TNJGODT0G5Z4TTKYMN7K5","GSON1112061080")</f>
        <v>#NAME?</v>
      </c>
    </row>
    <row r="1096" spans="1:23" x14ac:dyDescent="0.2">
      <c r="A1096" s="36" t="s">
        <v>3546</v>
      </c>
      <c r="B1096" s="27" t="s">
        <v>3547</v>
      </c>
      <c r="C1096" s="23" t="e">
        <f ca="1">[1]!BexGetData("DP_1","003N8EMH8GTFRCSWKMPXRR8GU","GSON1112061081")</f>
        <v>#NAME?</v>
      </c>
      <c r="D1096" s="23" t="e">
        <f ca="1">[1]!BexGetData("DP_1","003N8EMH8GTFRCSWKMPXRRESE","GSON1112061081")</f>
        <v>#NAME?</v>
      </c>
      <c r="E1096" s="28" t="e">
        <f ca="1">[1]!BexGetData("DP_1","003N8EMH8GTFRCSWKMPXRRL3Y","GSON1112061081")</f>
        <v>#NAME?</v>
      </c>
      <c r="F1096" s="24" t="e">
        <f ca="1">[1]!BexGetData("DP_1","003N8EMH8GTFRCSWKMPXRRRFI","GSON1112061081")</f>
        <v>#NAME?</v>
      </c>
      <c r="G1096" s="24" t="e">
        <f ca="1">[1]!BexGetData("DP_1","003N8EMH8GTFRCSWKMPXRRXR2","GSON1112061081")</f>
        <v>#NAME?</v>
      </c>
      <c r="H1096" s="24" t="e">
        <f ca="1">[1]!BexGetData("DP_1","003N8EMH8GTFRCSWKMPXRS42M","GSON1112061081")</f>
        <v>#NAME?</v>
      </c>
      <c r="I1096" s="24" t="e">
        <f ca="1">[1]!BexGetData("DP_1","003N8EMH8GTFRCSWKMPXRSAE6","GSON1112061081")</f>
        <v>#NAME?</v>
      </c>
      <c r="J1096" s="24" t="e">
        <f ca="1">[1]!BexGetData("DP_1","003N8EMH8GTFRCSWKMPXRSGPQ","GSON1112061081")</f>
        <v>#NAME?</v>
      </c>
      <c r="K1096" s="28" t="e">
        <f ca="1">[1]!BexGetData("DP_1","003N8EMH8GTFRIVNUPY288VJH","GSON1112061081")</f>
        <v>#NAME?</v>
      </c>
      <c r="L1096" s="28" t="e">
        <f ca="1">[1]!BexGetData("DP_1","003N8EMH8GTFRIVNUPY2891V1","GSON1112061081")</f>
        <v>#NAME?</v>
      </c>
      <c r="M1096" s="28" t="e">
        <f ca="1">[1]!BexGetData("DP_1","003N8EMH8GTFRIVOG7KG9IQXA","GSON1112061081")</f>
        <v>#NAME?</v>
      </c>
      <c r="N1096" s="28" t="e">
        <f ca="1">[1]!BexGetData("DP_1","003N8EMH8GTFRIVOG7KG9IX8U","GSON1112061081")</f>
        <v>#NAME?</v>
      </c>
      <c r="O1096" s="28" t="e">
        <f ca="1">[1]!BexGetData("DP_1","003N8EMH8GTFRIVOG7KG9J3KE","GSON1112061081")</f>
        <v>#NAME?</v>
      </c>
      <c r="P1096" s="28" t="e">
        <f ca="1">[1]!BexGetData("DP_1","003N8EMH8GTFRIVOG7KG9J9VY","GSON1112061081")</f>
        <v>#NAME?</v>
      </c>
      <c r="Q1096" s="24" t="e">
        <f ca="1">[1]!BexGetData("DP_1","00O2TNJGODT0G5Z4TTKYMM5MT","GSON1112061081")</f>
        <v>#NAME?</v>
      </c>
      <c r="R1096" s="24" t="e">
        <f ca="1">[1]!BexGetData("DP_1","00O2TNJGODT0G5Z4TTKYMMBYD","GSON1112061081")</f>
        <v>#NAME?</v>
      </c>
      <c r="S1096" s="24" t="e">
        <f ca="1">[1]!BexGetData("DP_1","00O2TNJGODT0G5Z4TTKYMMI9X","GSON1112061081")</f>
        <v>#NAME?</v>
      </c>
      <c r="T1096" s="24" t="e">
        <f ca="1">[1]!BexGetData("DP_1","00O2TNJGODT0G5Z4TTKYMMOLH","GSON1112061081")</f>
        <v>#NAME?</v>
      </c>
      <c r="U1096" s="24" t="e">
        <f ca="1">[1]!BexGetData("DP_1","00O2TNJGODT0G5Z4TTKYMMUX1","GSON1112061081")</f>
        <v>#NAME?</v>
      </c>
      <c r="V1096" s="24" t="e">
        <f ca="1">[1]!BexGetData("DP_1","00O2TNJGODT0G5Z4TTKYMN18L","GSON1112061081")</f>
        <v>#NAME?</v>
      </c>
      <c r="W1096" s="24" t="e">
        <f ca="1">[1]!BexGetData("DP_1","00O2TNJGODT0G5Z4TTKYMN7K5","GSON1112061081")</f>
        <v>#NAME?</v>
      </c>
    </row>
    <row r="1097" spans="1:23" x14ac:dyDescent="0.2">
      <c r="A1097" s="36" t="s">
        <v>3548</v>
      </c>
      <c r="B1097" s="27" t="s">
        <v>3549</v>
      </c>
      <c r="C1097" s="23" t="e">
        <f ca="1">[1]!BexGetData("DP_1","003N8EMH8GTFRCSWKMPXRR8GU","GSON1112061083")</f>
        <v>#NAME?</v>
      </c>
      <c r="D1097" s="23" t="e">
        <f ca="1">[1]!BexGetData("DP_1","003N8EMH8GTFRCSWKMPXRRESE","GSON1112061083")</f>
        <v>#NAME?</v>
      </c>
      <c r="E1097" s="28" t="e">
        <f ca="1">[1]!BexGetData("DP_1","003N8EMH8GTFRCSWKMPXRRL3Y","GSON1112061083")</f>
        <v>#NAME?</v>
      </c>
      <c r="F1097" s="24" t="e">
        <f ca="1">[1]!BexGetData("DP_1","003N8EMH8GTFRCSWKMPXRRRFI","GSON1112061083")</f>
        <v>#NAME?</v>
      </c>
      <c r="G1097" s="24" t="e">
        <f ca="1">[1]!BexGetData("DP_1","003N8EMH8GTFRCSWKMPXRRXR2","GSON1112061083")</f>
        <v>#NAME?</v>
      </c>
      <c r="H1097" s="24" t="e">
        <f ca="1">[1]!BexGetData("DP_1","003N8EMH8GTFRCSWKMPXRS42M","GSON1112061083")</f>
        <v>#NAME?</v>
      </c>
      <c r="I1097" s="24" t="e">
        <f ca="1">[1]!BexGetData("DP_1","003N8EMH8GTFRCSWKMPXRSAE6","GSON1112061083")</f>
        <v>#NAME?</v>
      </c>
      <c r="J1097" s="24" t="e">
        <f ca="1">[1]!BexGetData("DP_1","003N8EMH8GTFRCSWKMPXRSGPQ","GSON1112061083")</f>
        <v>#NAME?</v>
      </c>
      <c r="K1097" s="28" t="e">
        <f ca="1">[1]!BexGetData("DP_1","003N8EMH8GTFRIVNUPY288VJH","GSON1112061083")</f>
        <v>#NAME?</v>
      </c>
      <c r="L1097" s="28" t="e">
        <f ca="1">[1]!BexGetData("DP_1","003N8EMH8GTFRIVNUPY2891V1","GSON1112061083")</f>
        <v>#NAME?</v>
      </c>
      <c r="M1097" s="28" t="e">
        <f ca="1">[1]!BexGetData("DP_1","003N8EMH8GTFRIVOG7KG9IQXA","GSON1112061083")</f>
        <v>#NAME?</v>
      </c>
      <c r="N1097" s="28" t="e">
        <f ca="1">[1]!BexGetData("DP_1","003N8EMH8GTFRIVOG7KG9IX8U","GSON1112061083")</f>
        <v>#NAME?</v>
      </c>
      <c r="O1097" s="28" t="e">
        <f ca="1">[1]!BexGetData("DP_1","003N8EMH8GTFRIVOG7KG9J3KE","GSON1112061083")</f>
        <v>#NAME?</v>
      </c>
      <c r="P1097" s="28" t="e">
        <f ca="1">[1]!BexGetData("DP_1","003N8EMH8GTFRIVOG7KG9J9VY","GSON1112061083")</f>
        <v>#NAME?</v>
      </c>
      <c r="Q1097" s="24" t="e">
        <f ca="1">[1]!BexGetData("DP_1","00O2TNJGODT0G5Z4TTKYMM5MT","GSON1112061083")</f>
        <v>#NAME?</v>
      </c>
      <c r="R1097" s="24" t="e">
        <f ca="1">[1]!BexGetData("DP_1","00O2TNJGODT0G5Z4TTKYMMBYD","GSON1112061083")</f>
        <v>#NAME?</v>
      </c>
      <c r="S1097" s="24" t="e">
        <f ca="1">[1]!BexGetData("DP_1","00O2TNJGODT0G5Z4TTKYMMI9X","GSON1112061083")</f>
        <v>#NAME?</v>
      </c>
      <c r="T1097" s="24" t="e">
        <f ca="1">[1]!BexGetData("DP_1","00O2TNJGODT0G5Z4TTKYMMOLH","GSON1112061083")</f>
        <v>#NAME?</v>
      </c>
      <c r="U1097" s="24" t="e">
        <f ca="1">[1]!BexGetData("DP_1","00O2TNJGODT0G5Z4TTKYMMUX1","GSON1112061083")</f>
        <v>#NAME?</v>
      </c>
      <c r="V1097" s="24" t="e">
        <f ca="1">[1]!BexGetData("DP_1","00O2TNJGODT0G5Z4TTKYMN18L","GSON1112061083")</f>
        <v>#NAME?</v>
      </c>
      <c r="W1097" s="24" t="e">
        <f ca="1">[1]!BexGetData("DP_1","00O2TNJGODT0G5Z4TTKYMN7K5","GSON1112061083")</f>
        <v>#NAME?</v>
      </c>
    </row>
    <row r="1098" spans="1:23" x14ac:dyDescent="0.2">
      <c r="A1098" s="36" t="s">
        <v>3550</v>
      </c>
      <c r="B1098" s="27" t="s">
        <v>3551</v>
      </c>
      <c r="C1098" s="23" t="e">
        <f ca="1">[1]!BexGetData("DP_1","003N8EMH8GTFRCSWKMPXRR8GU","GSON1112061084")</f>
        <v>#NAME?</v>
      </c>
      <c r="D1098" s="23" t="e">
        <f ca="1">[1]!BexGetData("DP_1","003N8EMH8GTFRCSWKMPXRRESE","GSON1112061084")</f>
        <v>#NAME?</v>
      </c>
      <c r="E1098" s="28" t="e">
        <f ca="1">[1]!BexGetData("DP_1","003N8EMH8GTFRCSWKMPXRRL3Y","GSON1112061084")</f>
        <v>#NAME?</v>
      </c>
      <c r="F1098" s="24" t="e">
        <f ca="1">[1]!BexGetData("DP_1","003N8EMH8GTFRCSWKMPXRRRFI","GSON1112061084")</f>
        <v>#NAME?</v>
      </c>
      <c r="G1098" s="24" t="e">
        <f ca="1">[1]!BexGetData("DP_1","003N8EMH8GTFRCSWKMPXRRXR2","GSON1112061084")</f>
        <v>#NAME?</v>
      </c>
      <c r="H1098" s="24" t="e">
        <f ca="1">[1]!BexGetData("DP_1","003N8EMH8GTFRCSWKMPXRS42M","GSON1112061084")</f>
        <v>#NAME?</v>
      </c>
      <c r="I1098" s="24" t="e">
        <f ca="1">[1]!BexGetData("DP_1","003N8EMH8GTFRCSWKMPXRSAE6","GSON1112061084")</f>
        <v>#NAME?</v>
      </c>
      <c r="J1098" s="24" t="e">
        <f ca="1">[1]!BexGetData("DP_1","003N8EMH8GTFRCSWKMPXRSGPQ","GSON1112061084")</f>
        <v>#NAME?</v>
      </c>
      <c r="K1098" s="28" t="e">
        <f ca="1">[1]!BexGetData("DP_1","003N8EMH8GTFRIVNUPY288VJH","GSON1112061084")</f>
        <v>#NAME?</v>
      </c>
      <c r="L1098" s="28" t="e">
        <f ca="1">[1]!BexGetData("DP_1","003N8EMH8GTFRIVNUPY2891V1","GSON1112061084")</f>
        <v>#NAME?</v>
      </c>
      <c r="M1098" s="28" t="e">
        <f ca="1">[1]!BexGetData("DP_1","003N8EMH8GTFRIVOG7KG9IQXA","GSON1112061084")</f>
        <v>#NAME?</v>
      </c>
      <c r="N1098" s="28" t="e">
        <f ca="1">[1]!BexGetData("DP_1","003N8EMH8GTFRIVOG7KG9IX8U","GSON1112061084")</f>
        <v>#NAME?</v>
      </c>
      <c r="O1098" s="28" t="e">
        <f ca="1">[1]!BexGetData("DP_1","003N8EMH8GTFRIVOG7KG9J3KE","GSON1112061084")</f>
        <v>#NAME?</v>
      </c>
      <c r="P1098" s="28" t="e">
        <f ca="1">[1]!BexGetData("DP_1","003N8EMH8GTFRIVOG7KG9J9VY","GSON1112061084")</f>
        <v>#NAME?</v>
      </c>
      <c r="Q1098" s="24" t="e">
        <f ca="1">[1]!BexGetData("DP_1","00O2TNJGODT0G5Z4TTKYMM5MT","GSON1112061084")</f>
        <v>#NAME?</v>
      </c>
      <c r="R1098" s="24" t="e">
        <f ca="1">[1]!BexGetData("DP_1","00O2TNJGODT0G5Z4TTKYMMBYD","GSON1112061084")</f>
        <v>#NAME?</v>
      </c>
      <c r="S1098" s="24" t="e">
        <f ca="1">[1]!BexGetData("DP_1","00O2TNJGODT0G5Z4TTKYMMI9X","GSON1112061084")</f>
        <v>#NAME?</v>
      </c>
      <c r="T1098" s="24" t="e">
        <f ca="1">[1]!BexGetData("DP_1","00O2TNJGODT0G5Z4TTKYMMOLH","GSON1112061084")</f>
        <v>#NAME?</v>
      </c>
      <c r="U1098" s="24" t="e">
        <f ca="1">[1]!BexGetData("DP_1","00O2TNJGODT0G5Z4TTKYMMUX1","GSON1112061084")</f>
        <v>#NAME?</v>
      </c>
      <c r="V1098" s="24" t="e">
        <f ca="1">[1]!BexGetData("DP_1","00O2TNJGODT0G5Z4TTKYMN18L","GSON1112061084")</f>
        <v>#NAME?</v>
      </c>
      <c r="W1098" s="24" t="e">
        <f ca="1">[1]!BexGetData("DP_1","00O2TNJGODT0G5Z4TTKYMN7K5","GSON1112061084")</f>
        <v>#NAME?</v>
      </c>
    </row>
    <row r="1099" spans="1:23" x14ac:dyDescent="0.2">
      <c r="A1099" s="36" t="s">
        <v>3552</v>
      </c>
      <c r="B1099" s="27" t="s">
        <v>3553</v>
      </c>
      <c r="C1099" s="23" t="e">
        <f ca="1">[1]!BexGetData("DP_1","003N8EMH8GTFRCSWKMPXRR8GU","GSON1112061085")</f>
        <v>#NAME?</v>
      </c>
      <c r="D1099" s="23" t="e">
        <f ca="1">[1]!BexGetData("DP_1","003N8EMH8GTFRCSWKMPXRRESE","GSON1112061085")</f>
        <v>#NAME?</v>
      </c>
      <c r="E1099" s="28" t="e">
        <f ca="1">[1]!BexGetData("DP_1","003N8EMH8GTFRCSWKMPXRRL3Y","GSON1112061085")</f>
        <v>#NAME?</v>
      </c>
      <c r="F1099" s="24" t="e">
        <f ca="1">[1]!BexGetData("DP_1","003N8EMH8GTFRCSWKMPXRRRFI","GSON1112061085")</f>
        <v>#NAME?</v>
      </c>
      <c r="G1099" s="24" t="e">
        <f ca="1">[1]!BexGetData("DP_1","003N8EMH8GTFRCSWKMPXRRXR2","GSON1112061085")</f>
        <v>#NAME?</v>
      </c>
      <c r="H1099" s="24" t="e">
        <f ca="1">[1]!BexGetData("DP_1","003N8EMH8GTFRCSWKMPXRS42M","GSON1112061085")</f>
        <v>#NAME?</v>
      </c>
      <c r="I1099" s="24" t="e">
        <f ca="1">[1]!BexGetData("DP_1","003N8EMH8GTFRCSWKMPXRSAE6","GSON1112061085")</f>
        <v>#NAME?</v>
      </c>
      <c r="J1099" s="24" t="e">
        <f ca="1">[1]!BexGetData("DP_1","003N8EMH8GTFRCSWKMPXRSGPQ","GSON1112061085")</f>
        <v>#NAME?</v>
      </c>
      <c r="K1099" s="28" t="e">
        <f ca="1">[1]!BexGetData("DP_1","003N8EMH8GTFRIVNUPY288VJH","GSON1112061085")</f>
        <v>#NAME?</v>
      </c>
      <c r="L1099" s="28" t="e">
        <f ca="1">[1]!BexGetData("DP_1","003N8EMH8GTFRIVNUPY2891V1","GSON1112061085")</f>
        <v>#NAME?</v>
      </c>
      <c r="M1099" s="28" t="e">
        <f ca="1">[1]!BexGetData("DP_1","003N8EMH8GTFRIVOG7KG9IQXA","GSON1112061085")</f>
        <v>#NAME?</v>
      </c>
      <c r="N1099" s="28" t="e">
        <f ca="1">[1]!BexGetData("DP_1","003N8EMH8GTFRIVOG7KG9IX8U","GSON1112061085")</f>
        <v>#NAME?</v>
      </c>
      <c r="O1099" s="28" t="e">
        <f ca="1">[1]!BexGetData("DP_1","003N8EMH8GTFRIVOG7KG9J3KE","GSON1112061085")</f>
        <v>#NAME?</v>
      </c>
      <c r="P1099" s="28" t="e">
        <f ca="1">[1]!BexGetData("DP_1","003N8EMH8GTFRIVOG7KG9J9VY","GSON1112061085")</f>
        <v>#NAME?</v>
      </c>
      <c r="Q1099" s="24" t="e">
        <f ca="1">[1]!BexGetData("DP_1","00O2TNJGODT0G5Z4TTKYMM5MT","GSON1112061085")</f>
        <v>#NAME?</v>
      </c>
      <c r="R1099" s="24" t="e">
        <f ca="1">[1]!BexGetData("DP_1","00O2TNJGODT0G5Z4TTKYMMBYD","GSON1112061085")</f>
        <v>#NAME?</v>
      </c>
      <c r="S1099" s="24" t="e">
        <f ca="1">[1]!BexGetData("DP_1","00O2TNJGODT0G5Z4TTKYMMI9X","GSON1112061085")</f>
        <v>#NAME?</v>
      </c>
      <c r="T1099" s="24" t="e">
        <f ca="1">[1]!BexGetData("DP_1","00O2TNJGODT0G5Z4TTKYMMOLH","GSON1112061085")</f>
        <v>#NAME?</v>
      </c>
      <c r="U1099" s="24" t="e">
        <f ca="1">[1]!BexGetData("DP_1","00O2TNJGODT0G5Z4TTKYMMUX1","GSON1112061085")</f>
        <v>#NAME?</v>
      </c>
      <c r="V1099" s="24" t="e">
        <f ca="1">[1]!BexGetData("DP_1","00O2TNJGODT0G5Z4TTKYMN18L","GSON1112061085")</f>
        <v>#NAME?</v>
      </c>
      <c r="W1099" s="24" t="e">
        <f ca="1">[1]!BexGetData("DP_1","00O2TNJGODT0G5Z4TTKYMN7K5","GSON1112061085")</f>
        <v>#NAME?</v>
      </c>
    </row>
    <row r="1100" spans="1:23" x14ac:dyDescent="0.2">
      <c r="A1100" s="36" t="s">
        <v>3554</v>
      </c>
      <c r="B1100" s="27" t="s">
        <v>3555</v>
      </c>
      <c r="C1100" s="23" t="e">
        <f ca="1">[1]!BexGetData("DP_1","003N8EMH8GTFRCSWKMPXRR8GU","GSON1112061090")</f>
        <v>#NAME?</v>
      </c>
      <c r="D1100" s="23" t="e">
        <f ca="1">[1]!BexGetData("DP_1","003N8EMH8GTFRCSWKMPXRRESE","GSON1112061090")</f>
        <v>#NAME?</v>
      </c>
      <c r="E1100" s="28" t="e">
        <f ca="1">[1]!BexGetData("DP_1","003N8EMH8GTFRCSWKMPXRRL3Y","GSON1112061090")</f>
        <v>#NAME?</v>
      </c>
      <c r="F1100" s="24" t="e">
        <f ca="1">[1]!BexGetData("DP_1","003N8EMH8GTFRCSWKMPXRRRFI","GSON1112061090")</f>
        <v>#NAME?</v>
      </c>
      <c r="G1100" s="24" t="e">
        <f ca="1">[1]!BexGetData("DP_1","003N8EMH8GTFRCSWKMPXRRXR2","GSON1112061090")</f>
        <v>#NAME?</v>
      </c>
      <c r="H1100" s="24" t="e">
        <f ca="1">[1]!BexGetData("DP_1","003N8EMH8GTFRCSWKMPXRS42M","GSON1112061090")</f>
        <v>#NAME?</v>
      </c>
      <c r="I1100" s="24" t="e">
        <f ca="1">[1]!BexGetData("DP_1","003N8EMH8GTFRCSWKMPXRSAE6","GSON1112061090")</f>
        <v>#NAME?</v>
      </c>
      <c r="J1100" s="24" t="e">
        <f ca="1">[1]!BexGetData("DP_1","003N8EMH8GTFRCSWKMPXRSGPQ","GSON1112061090")</f>
        <v>#NAME?</v>
      </c>
      <c r="K1100" s="28" t="e">
        <f ca="1">[1]!BexGetData("DP_1","003N8EMH8GTFRIVNUPY288VJH","GSON1112061090")</f>
        <v>#NAME?</v>
      </c>
      <c r="L1100" s="28" t="e">
        <f ca="1">[1]!BexGetData("DP_1","003N8EMH8GTFRIVNUPY2891V1","GSON1112061090")</f>
        <v>#NAME?</v>
      </c>
      <c r="M1100" s="28" t="e">
        <f ca="1">[1]!BexGetData("DP_1","003N8EMH8GTFRIVOG7KG9IQXA","GSON1112061090")</f>
        <v>#NAME?</v>
      </c>
      <c r="N1100" s="28" t="e">
        <f ca="1">[1]!BexGetData("DP_1","003N8EMH8GTFRIVOG7KG9IX8U","GSON1112061090")</f>
        <v>#NAME?</v>
      </c>
      <c r="O1100" s="28" t="e">
        <f ca="1">[1]!BexGetData("DP_1","003N8EMH8GTFRIVOG7KG9J3KE","GSON1112061090")</f>
        <v>#NAME?</v>
      </c>
      <c r="P1100" s="28" t="e">
        <f ca="1">[1]!BexGetData("DP_1","003N8EMH8GTFRIVOG7KG9J9VY","GSON1112061090")</f>
        <v>#NAME?</v>
      </c>
      <c r="Q1100" s="24" t="e">
        <f ca="1">[1]!BexGetData("DP_1","00O2TNJGODT0G5Z4TTKYMM5MT","GSON1112061090")</f>
        <v>#NAME?</v>
      </c>
      <c r="R1100" s="24" t="e">
        <f ca="1">[1]!BexGetData("DP_1","00O2TNJGODT0G5Z4TTKYMMBYD","GSON1112061090")</f>
        <v>#NAME?</v>
      </c>
      <c r="S1100" s="24" t="e">
        <f ca="1">[1]!BexGetData("DP_1","00O2TNJGODT0G5Z4TTKYMMI9X","GSON1112061090")</f>
        <v>#NAME?</v>
      </c>
      <c r="T1100" s="24" t="e">
        <f ca="1">[1]!BexGetData("DP_1","00O2TNJGODT0G5Z4TTKYMMOLH","GSON1112061090")</f>
        <v>#NAME?</v>
      </c>
      <c r="U1100" s="24" t="e">
        <f ca="1">[1]!BexGetData("DP_1","00O2TNJGODT0G5Z4TTKYMMUX1","GSON1112061090")</f>
        <v>#NAME?</v>
      </c>
      <c r="V1100" s="24" t="e">
        <f ca="1">[1]!BexGetData("DP_1","00O2TNJGODT0G5Z4TTKYMN18L","GSON1112061090")</f>
        <v>#NAME?</v>
      </c>
      <c r="W1100" s="24" t="e">
        <f ca="1">[1]!BexGetData("DP_1","00O2TNJGODT0G5Z4TTKYMN7K5","GSON1112061090")</f>
        <v>#NAME?</v>
      </c>
    </row>
    <row r="1101" spans="1:23" x14ac:dyDescent="0.2">
      <c r="A1101" s="36" t="s">
        <v>3556</v>
      </c>
      <c r="B1101" s="27" t="s">
        <v>3557</v>
      </c>
      <c r="C1101" s="23" t="e">
        <f ca="1">[1]!BexGetData("DP_1","003N8EMH8GTFRCSWKMPXRR8GU","GSON1112061091")</f>
        <v>#NAME?</v>
      </c>
      <c r="D1101" s="23" t="e">
        <f ca="1">[1]!BexGetData("DP_1","003N8EMH8GTFRCSWKMPXRRESE","GSON1112061091")</f>
        <v>#NAME?</v>
      </c>
      <c r="E1101" s="28" t="e">
        <f ca="1">[1]!BexGetData("DP_1","003N8EMH8GTFRCSWKMPXRRL3Y","GSON1112061091")</f>
        <v>#NAME?</v>
      </c>
      <c r="F1101" s="24" t="e">
        <f ca="1">[1]!BexGetData("DP_1","003N8EMH8GTFRCSWKMPXRRRFI","GSON1112061091")</f>
        <v>#NAME?</v>
      </c>
      <c r="G1101" s="24" t="e">
        <f ca="1">[1]!BexGetData("DP_1","003N8EMH8GTFRCSWKMPXRRXR2","GSON1112061091")</f>
        <v>#NAME?</v>
      </c>
      <c r="H1101" s="24" t="e">
        <f ca="1">[1]!BexGetData("DP_1","003N8EMH8GTFRCSWKMPXRS42M","GSON1112061091")</f>
        <v>#NAME?</v>
      </c>
      <c r="I1101" s="24" t="e">
        <f ca="1">[1]!BexGetData("DP_1","003N8EMH8GTFRCSWKMPXRSAE6","GSON1112061091")</f>
        <v>#NAME?</v>
      </c>
      <c r="J1101" s="24" t="e">
        <f ca="1">[1]!BexGetData("DP_1","003N8EMH8GTFRCSWKMPXRSGPQ","GSON1112061091")</f>
        <v>#NAME?</v>
      </c>
      <c r="K1101" s="28" t="e">
        <f ca="1">[1]!BexGetData("DP_1","003N8EMH8GTFRIVNUPY288VJH","GSON1112061091")</f>
        <v>#NAME?</v>
      </c>
      <c r="L1101" s="28" t="e">
        <f ca="1">[1]!BexGetData("DP_1","003N8EMH8GTFRIVNUPY2891V1","GSON1112061091")</f>
        <v>#NAME?</v>
      </c>
      <c r="M1101" s="28" t="e">
        <f ca="1">[1]!BexGetData("DP_1","003N8EMH8GTFRIVOG7KG9IQXA","GSON1112061091")</f>
        <v>#NAME?</v>
      </c>
      <c r="N1101" s="28" t="e">
        <f ca="1">[1]!BexGetData("DP_1","003N8EMH8GTFRIVOG7KG9IX8U","GSON1112061091")</f>
        <v>#NAME?</v>
      </c>
      <c r="O1101" s="28" t="e">
        <f ca="1">[1]!BexGetData("DP_1","003N8EMH8GTFRIVOG7KG9J3KE","GSON1112061091")</f>
        <v>#NAME?</v>
      </c>
      <c r="P1101" s="28" t="e">
        <f ca="1">[1]!BexGetData("DP_1","003N8EMH8GTFRIVOG7KG9J9VY","GSON1112061091")</f>
        <v>#NAME?</v>
      </c>
      <c r="Q1101" s="24" t="e">
        <f ca="1">[1]!BexGetData("DP_1","00O2TNJGODT0G5Z4TTKYMM5MT","GSON1112061091")</f>
        <v>#NAME?</v>
      </c>
      <c r="R1101" s="24" t="e">
        <f ca="1">[1]!BexGetData("DP_1","00O2TNJGODT0G5Z4TTKYMMBYD","GSON1112061091")</f>
        <v>#NAME?</v>
      </c>
      <c r="S1101" s="24" t="e">
        <f ca="1">[1]!BexGetData("DP_1","00O2TNJGODT0G5Z4TTKYMMI9X","GSON1112061091")</f>
        <v>#NAME?</v>
      </c>
      <c r="T1101" s="24" t="e">
        <f ca="1">[1]!BexGetData("DP_1","00O2TNJGODT0G5Z4TTKYMMOLH","GSON1112061091")</f>
        <v>#NAME?</v>
      </c>
      <c r="U1101" s="24" t="e">
        <f ca="1">[1]!BexGetData("DP_1","00O2TNJGODT0G5Z4TTKYMMUX1","GSON1112061091")</f>
        <v>#NAME?</v>
      </c>
      <c r="V1101" s="24" t="e">
        <f ca="1">[1]!BexGetData("DP_1","00O2TNJGODT0G5Z4TTKYMN18L","GSON1112061091")</f>
        <v>#NAME?</v>
      </c>
      <c r="W1101" s="24" t="e">
        <f ca="1">[1]!BexGetData("DP_1","00O2TNJGODT0G5Z4TTKYMN7K5","GSON1112061091")</f>
        <v>#NAME?</v>
      </c>
    </row>
    <row r="1102" spans="1:23" x14ac:dyDescent="0.2">
      <c r="A1102" s="36" t="s">
        <v>3558</v>
      </c>
      <c r="B1102" s="27" t="s">
        <v>3559</v>
      </c>
      <c r="C1102" s="23" t="e">
        <f ca="1">[1]!BexGetData("DP_1","003N8EMH8GTFRCSWKMPXRR8GU","GSON1112061093")</f>
        <v>#NAME?</v>
      </c>
      <c r="D1102" s="23" t="e">
        <f ca="1">[1]!BexGetData("DP_1","003N8EMH8GTFRCSWKMPXRRESE","GSON1112061093")</f>
        <v>#NAME?</v>
      </c>
      <c r="E1102" s="28" t="e">
        <f ca="1">[1]!BexGetData("DP_1","003N8EMH8GTFRCSWKMPXRRL3Y","GSON1112061093")</f>
        <v>#NAME?</v>
      </c>
      <c r="F1102" s="24" t="e">
        <f ca="1">[1]!BexGetData("DP_1","003N8EMH8GTFRCSWKMPXRRRFI","GSON1112061093")</f>
        <v>#NAME?</v>
      </c>
      <c r="G1102" s="24" t="e">
        <f ca="1">[1]!BexGetData("DP_1","003N8EMH8GTFRCSWKMPXRRXR2","GSON1112061093")</f>
        <v>#NAME?</v>
      </c>
      <c r="H1102" s="24" t="e">
        <f ca="1">[1]!BexGetData("DP_1","003N8EMH8GTFRCSWKMPXRS42M","GSON1112061093")</f>
        <v>#NAME?</v>
      </c>
      <c r="I1102" s="24" t="e">
        <f ca="1">[1]!BexGetData("DP_1","003N8EMH8GTFRCSWKMPXRSAE6","GSON1112061093")</f>
        <v>#NAME?</v>
      </c>
      <c r="J1102" s="24" t="e">
        <f ca="1">[1]!BexGetData("DP_1","003N8EMH8GTFRCSWKMPXRSGPQ","GSON1112061093")</f>
        <v>#NAME?</v>
      </c>
      <c r="K1102" s="28" t="e">
        <f ca="1">[1]!BexGetData("DP_1","003N8EMH8GTFRIVNUPY288VJH","GSON1112061093")</f>
        <v>#NAME?</v>
      </c>
      <c r="L1102" s="28" t="e">
        <f ca="1">[1]!BexGetData("DP_1","003N8EMH8GTFRIVNUPY2891V1","GSON1112061093")</f>
        <v>#NAME?</v>
      </c>
      <c r="M1102" s="28" t="e">
        <f ca="1">[1]!BexGetData("DP_1","003N8EMH8GTFRIVOG7KG9IQXA","GSON1112061093")</f>
        <v>#NAME?</v>
      </c>
      <c r="N1102" s="28" t="e">
        <f ca="1">[1]!BexGetData("DP_1","003N8EMH8GTFRIVOG7KG9IX8U","GSON1112061093")</f>
        <v>#NAME?</v>
      </c>
      <c r="O1102" s="28" t="e">
        <f ca="1">[1]!BexGetData("DP_1","003N8EMH8GTFRIVOG7KG9J3KE","GSON1112061093")</f>
        <v>#NAME?</v>
      </c>
      <c r="P1102" s="28" t="e">
        <f ca="1">[1]!BexGetData("DP_1","003N8EMH8GTFRIVOG7KG9J9VY","GSON1112061093")</f>
        <v>#NAME?</v>
      </c>
      <c r="Q1102" s="24" t="e">
        <f ca="1">[1]!BexGetData("DP_1","00O2TNJGODT0G5Z4TTKYMM5MT","GSON1112061093")</f>
        <v>#NAME?</v>
      </c>
      <c r="R1102" s="24" t="e">
        <f ca="1">[1]!BexGetData("DP_1","00O2TNJGODT0G5Z4TTKYMMBYD","GSON1112061093")</f>
        <v>#NAME?</v>
      </c>
      <c r="S1102" s="24" t="e">
        <f ca="1">[1]!BexGetData("DP_1","00O2TNJGODT0G5Z4TTKYMMI9X","GSON1112061093")</f>
        <v>#NAME?</v>
      </c>
      <c r="T1102" s="24" t="e">
        <f ca="1">[1]!BexGetData("DP_1","00O2TNJGODT0G5Z4TTKYMMOLH","GSON1112061093")</f>
        <v>#NAME?</v>
      </c>
      <c r="U1102" s="24" t="e">
        <f ca="1">[1]!BexGetData("DP_1","00O2TNJGODT0G5Z4TTKYMMUX1","GSON1112061093")</f>
        <v>#NAME?</v>
      </c>
      <c r="V1102" s="24" t="e">
        <f ca="1">[1]!BexGetData("DP_1","00O2TNJGODT0G5Z4TTKYMN18L","GSON1112061093")</f>
        <v>#NAME?</v>
      </c>
      <c r="W1102" s="24" t="e">
        <f ca="1">[1]!BexGetData("DP_1","00O2TNJGODT0G5Z4TTKYMN7K5","GSON1112061093")</f>
        <v>#NAME?</v>
      </c>
    </row>
    <row r="1103" spans="1:23" x14ac:dyDescent="0.2">
      <c r="A1103" s="36" t="s">
        <v>3560</v>
      </c>
      <c r="B1103" s="27" t="s">
        <v>3561</v>
      </c>
      <c r="C1103" s="23" t="e">
        <f ca="1">[1]!BexGetData("DP_1","003N8EMH8GTFRCSWKMPXRR8GU","GSON1112061094")</f>
        <v>#NAME?</v>
      </c>
      <c r="D1103" s="23" t="e">
        <f ca="1">[1]!BexGetData("DP_1","003N8EMH8GTFRCSWKMPXRRESE","GSON1112061094")</f>
        <v>#NAME?</v>
      </c>
      <c r="E1103" s="28" t="e">
        <f ca="1">[1]!BexGetData("DP_1","003N8EMH8GTFRCSWKMPXRRL3Y","GSON1112061094")</f>
        <v>#NAME?</v>
      </c>
      <c r="F1103" s="24" t="e">
        <f ca="1">[1]!BexGetData("DP_1","003N8EMH8GTFRCSWKMPXRRRFI","GSON1112061094")</f>
        <v>#NAME?</v>
      </c>
      <c r="G1103" s="24" t="e">
        <f ca="1">[1]!BexGetData("DP_1","003N8EMH8GTFRCSWKMPXRRXR2","GSON1112061094")</f>
        <v>#NAME?</v>
      </c>
      <c r="H1103" s="24" t="e">
        <f ca="1">[1]!BexGetData("DP_1","003N8EMH8GTFRCSWKMPXRS42M","GSON1112061094")</f>
        <v>#NAME?</v>
      </c>
      <c r="I1103" s="24" t="e">
        <f ca="1">[1]!BexGetData("DP_1","003N8EMH8GTFRCSWKMPXRSAE6","GSON1112061094")</f>
        <v>#NAME?</v>
      </c>
      <c r="J1103" s="24" t="e">
        <f ca="1">[1]!BexGetData("DP_1","003N8EMH8GTFRCSWKMPXRSGPQ","GSON1112061094")</f>
        <v>#NAME?</v>
      </c>
      <c r="K1103" s="28" t="e">
        <f ca="1">[1]!BexGetData("DP_1","003N8EMH8GTFRIVNUPY288VJH","GSON1112061094")</f>
        <v>#NAME?</v>
      </c>
      <c r="L1103" s="28" t="e">
        <f ca="1">[1]!BexGetData("DP_1","003N8EMH8GTFRIVNUPY2891V1","GSON1112061094")</f>
        <v>#NAME?</v>
      </c>
      <c r="M1103" s="28" t="e">
        <f ca="1">[1]!BexGetData("DP_1","003N8EMH8GTFRIVOG7KG9IQXA","GSON1112061094")</f>
        <v>#NAME?</v>
      </c>
      <c r="N1103" s="28" t="e">
        <f ca="1">[1]!BexGetData("DP_1","003N8EMH8GTFRIVOG7KG9IX8U","GSON1112061094")</f>
        <v>#NAME?</v>
      </c>
      <c r="O1103" s="28" t="e">
        <f ca="1">[1]!BexGetData("DP_1","003N8EMH8GTFRIVOG7KG9J3KE","GSON1112061094")</f>
        <v>#NAME?</v>
      </c>
      <c r="P1103" s="28" t="e">
        <f ca="1">[1]!BexGetData("DP_1","003N8EMH8GTFRIVOG7KG9J9VY","GSON1112061094")</f>
        <v>#NAME?</v>
      </c>
      <c r="Q1103" s="24" t="e">
        <f ca="1">[1]!BexGetData("DP_1","00O2TNJGODT0G5Z4TTKYMM5MT","GSON1112061094")</f>
        <v>#NAME?</v>
      </c>
      <c r="R1103" s="24" t="e">
        <f ca="1">[1]!BexGetData("DP_1","00O2TNJGODT0G5Z4TTKYMMBYD","GSON1112061094")</f>
        <v>#NAME?</v>
      </c>
      <c r="S1103" s="24" t="e">
        <f ca="1">[1]!BexGetData("DP_1","00O2TNJGODT0G5Z4TTKYMMI9X","GSON1112061094")</f>
        <v>#NAME?</v>
      </c>
      <c r="T1103" s="24" t="e">
        <f ca="1">[1]!BexGetData("DP_1","00O2TNJGODT0G5Z4TTKYMMOLH","GSON1112061094")</f>
        <v>#NAME?</v>
      </c>
      <c r="U1103" s="24" t="e">
        <f ca="1">[1]!BexGetData("DP_1","00O2TNJGODT0G5Z4TTKYMMUX1","GSON1112061094")</f>
        <v>#NAME?</v>
      </c>
      <c r="V1103" s="24" t="e">
        <f ca="1">[1]!BexGetData("DP_1","00O2TNJGODT0G5Z4TTKYMN18L","GSON1112061094")</f>
        <v>#NAME?</v>
      </c>
      <c r="W1103" s="24" t="e">
        <f ca="1">[1]!BexGetData("DP_1","00O2TNJGODT0G5Z4TTKYMN7K5","GSON1112061094")</f>
        <v>#NAME?</v>
      </c>
    </row>
    <row r="1104" spans="1:23" x14ac:dyDescent="0.2">
      <c r="A1104" s="36" t="s">
        <v>3562</v>
      </c>
      <c r="B1104" s="27" t="s">
        <v>3563</v>
      </c>
      <c r="C1104" s="23" t="e">
        <f ca="1">[1]!BexGetData("DP_1","003N8EMH8GTFRCSWKMPXRR8GU","GSON1112061095")</f>
        <v>#NAME?</v>
      </c>
      <c r="D1104" s="23" t="e">
        <f ca="1">[1]!BexGetData("DP_1","003N8EMH8GTFRCSWKMPXRRESE","GSON1112061095")</f>
        <v>#NAME?</v>
      </c>
      <c r="E1104" s="28" t="e">
        <f ca="1">[1]!BexGetData("DP_1","003N8EMH8GTFRCSWKMPXRRL3Y","GSON1112061095")</f>
        <v>#NAME?</v>
      </c>
      <c r="F1104" s="24" t="e">
        <f ca="1">[1]!BexGetData("DP_1","003N8EMH8GTFRCSWKMPXRRRFI","GSON1112061095")</f>
        <v>#NAME?</v>
      </c>
      <c r="G1104" s="24" t="e">
        <f ca="1">[1]!BexGetData("DP_1","003N8EMH8GTFRCSWKMPXRRXR2","GSON1112061095")</f>
        <v>#NAME?</v>
      </c>
      <c r="H1104" s="24" t="e">
        <f ca="1">[1]!BexGetData("DP_1","003N8EMH8GTFRCSWKMPXRS42M","GSON1112061095")</f>
        <v>#NAME?</v>
      </c>
      <c r="I1104" s="24" t="e">
        <f ca="1">[1]!BexGetData("DP_1","003N8EMH8GTFRCSWKMPXRSAE6","GSON1112061095")</f>
        <v>#NAME?</v>
      </c>
      <c r="J1104" s="24" t="e">
        <f ca="1">[1]!BexGetData("DP_1","003N8EMH8GTFRCSWKMPXRSGPQ","GSON1112061095")</f>
        <v>#NAME?</v>
      </c>
      <c r="K1104" s="28" t="e">
        <f ca="1">[1]!BexGetData("DP_1","003N8EMH8GTFRIVNUPY288VJH","GSON1112061095")</f>
        <v>#NAME?</v>
      </c>
      <c r="L1104" s="28" t="e">
        <f ca="1">[1]!BexGetData("DP_1","003N8EMH8GTFRIVNUPY2891V1","GSON1112061095")</f>
        <v>#NAME?</v>
      </c>
      <c r="M1104" s="28" t="e">
        <f ca="1">[1]!BexGetData("DP_1","003N8EMH8GTFRIVOG7KG9IQXA","GSON1112061095")</f>
        <v>#NAME?</v>
      </c>
      <c r="N1104" s="28" t="e">
        <f ca="1">[1]!BexGetData("DP_1","003N8EMH8GTFRIVOG7KG9IX8U","GSON1112061095")</f>
        <v>#NAME?</v>
      </c>
      <c r="O1104" s="28" t="e">
        <f ca="1">[1]!BexGetData("DP_1","003N8EMH8GTFRIVOG7KG9J3KE","GSON1112061095")</f>
        <v>#NAME?</v>
      </c>
      <c r="P1104" s="28" t="e">
        <f ca="1">[1]!BexGetData("DP_1","003N8EMH8GTFRIVOG7KG9J9VY","GSON1112061095")</f>
        <v>#NAME?</v>
      </c>
      <c r="Q1104" s="24" t="e">
        <f ca="1">[1]!BexGetData("DP_1","00O2TNJGODT0G5Z4TTKYMM5MT","GSON1112061095")</f>
        <v>#NAME?</v>
      </c>
      <c r="R1104" s="24" t="e">
        <f ca="1">[1]!BexGetData("DP_1","00O2TNJGODT0G5Z4TTKYMMBYD","GSON1112061095")</f>
        <v>#NAME?</v>
      </c>
      <c r="S1104" s="24" t="e">
        <f ca="1">[1]!BexGetData("DP_1","00O2TNJGODT0G5Z4TTKYMMI9X","GSON1112061095")</f>
        <v>#NAME?</v>
      </c>
      <c r="T1104" s="24" t="e">
        <f ca="1">[1]!BexGetData("DP_1","00O2TNJGODT0G5Z4TTKYMMOLH","GSON1112061095")</f>
        <v>#NAME?</v>
      </c>
      <c r="U1104" s="24" t="e">
        <f ca="1">[1]!BexGetData("DP_1","00O2TNJGODT0G5Z4TTKYMMUX1","GSON1112061095")</f>
        <v>#NAME?</v>
      </c>
      <c r="V1104" s="24" t="e">
        <f ca="1">[1]!BexGetData("DP_1","00O2TNJGODT0G5Z4TTKYMN18L","GSON1112061095")</f>
        <v>#NAME?</v>
      </c>
      <c r="W1104" s="24" t="e">
        <f ca="1">[1]!BexGetData("DP_1","00O2TNJGODT0G5Z4TTKYMN7K5","GSON1112061095")</f>
        <v>#NAME?</v>
      </c>
    </row>
    <row r="1105" spans="1:23" x14ac:dyDescent="0.2">
      <c r="A1105" s="36" t="s">
        <v>3564</v>
      </c>
      <c r="B1105" s="27" t="s">
        <v>3565</v>
      </c>
      <c r="C1105" s="23" t="e">
        <f ca="1">[1]!BexGetData("DP_1","003N8EMH8GTFRCSWKMPXRR8GU","GSON1112061100")</f>
        <v>#NAME?</v>
      </c>
      <c r="D1105" s="23" t="e">
        <f ca="1">[1]!BexGetData("DP_1","003N8EMH8GTFRCSWKMPXRRESE","GSON1112061100")</f>
        <v>#NAME?</v>
      </c>
      <c r="E1105" s="23" t="e">
        <f ca="1">[1]!BexGetData("DP_1","003N8EMH8GTFRCSWKMPXRRL3Y","GSON1112061100")</f>
        <v>#NAME?</v>
      </c>
      <c r="F1105" s="24" t="e">
        <f ca="1">[1]!BexGetData("DP_1","003N8EMH8GTFRCSWKMPXRRRFI","GSON1112061100")</f>
        <v>#NAME?</v>
      </c>
      <c r="G1105" s="24" t="e">
        <f ca="1">[1]!BexGetData("DP_1","003N8EMH8GTFRCSWKMPXRRXR2","GSON1112061100")</f>
        <v>#NAME?</v>
      </c>
      <c r="H1105" s="24" t="e">
        <f ca="1">[1]!BexGetData("DP_1","003N8EMH8GTFRCSWKMPXRS42M","GSON1112061100")</f>
        <v>#NAME?</v>
      </c>
      <c r="I1105" s="24" t="e">
        <f ca="1">[1]!BexGetData("DP_1","003N8EMH8GTFRCSWKMPXRSAE6","GSON1112061100")</f>
        <v>#NAME?</v>
      </c>
      <c r="J1105" s="24" t="e">
        <f ca="1">[1]!BexGetData("DP_1","003N8EMH8GTFRCSWKMPXRSGPQ","GSON1112061100")</f>
        <v>#NAME?</v>
      </c>
      <c r="K1105" s="23" t="e">
        <f ca="1">[1]!BexGetData("DP_1","003N8EMH8GTFRIVNUPY288VJH","GSON1112061100")</f>
        <v>#NAME?</v>
      </c>
      <c r="L1105" s="23" t="e">
        <f ca="1">[1]!BexGetData("DP_1","003N8EMH8GTFRIVNUPY2891V1","GSON1112061100")</f>
        <v>#NAME?</v>
      </c>
      <c r="M1105" s="28" t="e">
        <f ca="1">[1]!BexGetData("DP_1","003N8EMH8GTFRIVOG7KG9IQXA","GSON1112061100")</f>
        <v>#NAME?</v>
      </c>
      <c r="N1105" s="23" t="e">
        <f ca="1">[1]!BexGetData("DP_1","003N8EMH8GTFRIVOG7KG9IX8U","GSON1112061100")</f>
        <v>#NAME?</v>
      </c>
      <c r="O1105" s="28" t="e">
        <f ca="1">[1]!BexGetData("DP_1","003N8EMH8GTFRIVOG7KG9J3KE","GSON1112061100")</f>
        <v>#NAME?</v>
      </c>
      <c r="P1105" s="23" t="e">
        <f ca="1">[1]!BexGetData("DP_1","003N8EMH8GTFRIVOG7KG9J9VY","GSON1112061100")</f>
        <v>#NAME?</v>
      </c>
      <c r="Q1105" s="24" t="e">
        <f ca="1">[1]!BexGetData("DP_1","00O2TNJGODT0G5Z4TTKYMM5MT","GSON1112061100")</f>
        <v>#NAME?</v>
      </c>
      <c r="R1105" s="24" t="e">
        <f ca="1">[1]!BexGetData("DP_1","00O2TNJGODT0G5Z4TTKYMMBYD","GSON1112061100")</f>
        <v>#NAME?</v>
      </c>
      <c r="S1105" s="24" t="e">
        <f ca="1">[1]!BexGetData("DP_1","00O2TNJGODT0G5Z4TTKYMMI9X","GSON1112061100")</f>
        <v>#NAME?</v>
      </c>
      <c r="T1105" s="24" t="e">
        <f ca="1">[1]!BexGetData("DP_1","00O2TNJGODT0G5Z4TTKYMMOLH","GSON1112061100")</f>
        <v>#NAME?</v>
      </c>
      <c r="U1105" s="24" t="e">
        <f ca="1">[1]!BexGetData("DP_1","00O2TNJGODT0G5Z4TTKYMMUX1","GSON1112061100")</f>
        <v>#NAME?</v>
      </c>
      <c r="V1105" s="24" t="e">
        <f ca="1">[1]!BexGetData("DP_1","00O2TNJGODT0G5Z4TTKYMN18L","GSON1112061100")</f>
        <v>#NAME?</v>
      </c>
      <c r="W1105" s="24" t="e">
        <f ca="1">[1]!BexGetData("DP_1","00O2TNJGODT0G5Z4TTKYMN7K5","GSON1112061100")</f>
        <v>#NAME?</v>
      </c>
    </row>
    <row r="1106" spans="1:23" x14ac:dyDescent="0.2">
      <c r="A1106" s="36" t="s">
        <v>3566</v>
      </c>
      <c r="B1106" s="27" t="s">
        <v>3567</v>
      </c>
      <c r="C1106" s="23" t="e">
        <f ca="1">[1]!BexGetData("DP_1","003N8EMH8GTFRCSWKMPXRR8GU","GSON1112061101")</f>
        <v>#NAME?</v>
      </c>
      <c r="D1106" s="23" t="e">
        <f ca="1">[1]!BexGetData("DP_1","003N8EMH8GTFRCSWKMPXRRESE","GSON1112061101")</f>
        <v>#NAME?</v>
      </c>
      <c r="E1106" s="28" t="e">
        <f ca="1">[1]!BexGetData("DP_1","003N8EMH8GTFRCSWKMPXRRL3Y","GSON1112061101")</f>
        <v>#NAME?</v>
      </c>
      <c r="F1106" s="24" t="e">
        <f ca="1">[1]!BexGetData("DP_1","003N8EMH8GTFRCSWKMPXRRRFI","GSON1112061101")</f>
        <v>#NAME?</v>
      </c>
      <c r="G1106" s="24" t="e">
        <f ca="1">[1]!BexGetData("DP_1","003N8EMH8GTFRCSWKMPXRRXR2","GSON1112061101")</f>
        <v>#NAME?</v>
      </c>
      <c r="H1106" s="24" t="e">
        <f ca="1">[1]!BexGetData("DP_1","003N8EMH8GTFRCSWKMPXRS42M","GSON1112061101")</f>
        <v>#NAME?</v>
      </c>
      <c r="I1106" s="24" t="e">
        <f ca="1">[1]!BexGetData("DP_1","003N8EMH8GTFRCSWKMPXRSAE6","GSON1112061101")</f>
        <v>#NAME?</v>
      </c>
      <c r="J1106" s="24" t="e">
        <f ca="1">[1]!BexGetData("DP_1","003N8EMH8GTFRCSWKMPXRSGPQ","GSON1112061101")</f>
        <v>#NAME?</v>
      </c>
      <c r="K1106" s="28" t="e">
        <f ca="1">[1]!BexGetData("DP_1","003N8EMH8GTFRIVNUPY288VJH","GSON1112061101")</f>
        <v>#NAME?</v>
      </c>
      <c r="L1106" s="28" t="e">
        <f ca="1">[1]!BexGetData("DP_1","003N8EMH8GTFRIVNUPY2891V1","GSON1112061101")</f>
        <v>#NAME?</v>
      </c>
      <c r="M1106" s="28" t="e">
        <f ca="1">[1]!BexGetData("DP_1","003N8EMH8GTFRIVOG7KG9IQXA","GSON1112061101")</f>
        <v>#NAME?</v>
      </c>
      <c r="N1106" s="28" t="e">
        <f ca="1">[1]!BexGetData("DP_1","003N8EMH8GTFRIVOG7KG9IX8U","GSON1112061101")</f>
        <v>#NAME?</v>
      </c>
      <c r="O1106" s="28" t="e">
        <f ca="1">[1]!BexGetData("DP_1","003N8EMH8GTFRIVOG7KG9J3KE","GSON1112061101")</f>
        <v>#NAME?</v>
      </c>
      <c r="P1106" s="28" t="e">
        <f ca="1">[1]!BexGetData("DP_1","003N8EMH8GTFRIVOG7KG9J9VY","GSON1112061101")</f>
        <v>#NAME?</v>
      </c>
      <c r="Q1106" s="24" t="e">
        <f ca="1">[1]!BexGetData("DP_1","00O2TNJGODT0G5Z4TTKYMM5MT","GSON1112061101")</f>
        <v>#NAME?</v>
      </c>
      <c r="R1106" s="24" t="e">
        <f ca="1">[1]!BexGetData("DP_1","00O2TNJGODT0G5Z4TTKYMMBYD","GSON1112061101")</f>
        <v>#NAME?</v>
      </c>
      <c r="S1106" s="24" t="e">
        <f ca="1">[1]!BexGetData("DP_1","00O2TNJGODT0G5Z4TTKYMMI9X","GSON1112061101")</f>
        <v>#NAME?</v>
      </c>
      <c r="T1106" s="24" t="e">
        <f ca="1">[1]!BexGetData("DP_1","00O2TNJGODT0G5Z4TTKYMMOLH","GSON1112061101")</f>
        <v>#NAME?</v>
      </c>
      <c r="U1106" s="24" t="e">
        <f ca="1">[1]!BexGetData("DP_1","00O2TNJGODT0G5Z4TTKYMMUX1","GSON1112061101")</f>
        <v>#NAME?</v>
      </c>
      <c r="V1106" s="24" t="e">
        <f ca="1">[1]!BexGetData("DP_1","00O2TNJGODT0G5Z4TTKYMN18L","GSON1112061101")</f>
        <v>#NAME?</v>
      </c>
      <c r="W1106" s="24" t="e">
        <f ca="1">[1]!BexGetData("DP_1","00O2TNJGODT0G5Z4TTKYMN7K5","GSON1112061101")</f>
        <v>#NAME?</v>
      </c>
    </row>
    <row r="1107" spans="1:23" x14ac:dyDescent="0.2">
      <c r="A1107" s="36" t="s">
        <v>3568</v>
      </c>
      <c r="B1107" s="27" t="s">
        <v>3569</v>
      </c>
      <c r="C1107" s="23" t="e">
        <f ca="1">[1]!BexGetData("DP_1","003N8EMH8GTFRCSWKMPXRR8GU","GSON1112061103")</f>
        <v>#NAME?</v>
      </c>
      <c r="D1107" s="23" t="e">
        <f ca="1">[1]!BexGetData("DP_1","003N8EMH8GTFRCSWKMPXRRESE","GSON1112061103")</f>
        <v>#NAME?</v>
      </c>
      <c r="E1107" s="28" t="e">
        <f ca="1">[1]!BexGetData("DP_1","003N8EMH8GTFRCSWKMPXRRL3Y","GSON1112061103")</f>
        <v>#NAME?</v>
      </c>
      <c r="F1107" s="24" t="e">
        <f ca="1">[1]!BexGetData("DP_1","003N8EMH8GTFRCSWKMPXRRRFI","GSON1112061103")</f>
        <v>#NAME?</v>
      </c>
      <c r="G1107" s="24" t="e">
        <f ca="1">[1]!BexGetData("DP_1","003N8EMH8GTFRCSWKMPXRRXR2","GSON1112061103")</f>
        <v>#NAME?</v>
      </c>
      <c r="H1107" s="24" t="e">
        <f ca="1">[1]!BexGetData("DP_1","003N8EMH8GTFRCSWKMPXRS42M","GSON1112061103")</f>
        <v>#NAME?</v>
      </c>
      <c r="I1107" s="24" t="e">
        <f ca="1">[1]!BexGetData("DP_1","003N8EMH8GTFRCSWKMPXRSAE6","GSON1112061103")</f>
        <v>#NAME?</v>
      </c>
      <c r="J1107" s="24" t="e">
        <f ca="1">[1]!BexGetData("DP_1","003N8EMH8GTFRCSWKMPXRSGPQ","GSON1112061103")</f>
        <v>#NAME?</v>
      </c>
      <c r="K1107" s="28" t="e">
        <f ca="1">[1]!BexGetData("DP_1","003N8EMH8GTFRIVNUPY288VJH","GSON1112061103")</f>
        <v>#NAME?</v>
      </c>
      <c r="L1107" s="28" t="e">
        <f ca="1">[1]!BexGetData("DP_1","003N8EMH8GTFRIVNUPY2891V1","GSON1112061103")</f>
        <v>#NAME?</v>
      </c>
      <c r="M1107" s="28" t="e">
        <f ca="1">[1]!BexGetData("DP_1","003N8EMH8GTFRIVOG7KG9IQXA","GSON1112061103")</f>
        <v>#NAME?</v>
      </c>
      <c r="N1107" s="28" t="e">
        <f ca="1">[1]!BexGetData("DP_1","003N8EMH8GTFRIVOG7KG9IX8U","GSON1112061103")</f>
        <v>#NAME?</v>
      </c>
      <c r="O1107" s="28" t="e">
        <f ca="1">[1]!BexGetData("DP_1","003N8EMH8GTFRIVOG7KG9J3KE","GSON1112061103")</f>
        <v>#NAME?</v>
      </c>
      <c r="P1107" s="28" t="e">
        <f ca="1">[1]!BexGetData("DP_1","003N8EMH8GTFRIVOG7KG9J9VY","GSON1112061103")</f>
        <v>#NAME?</v>
      </c>
      <c r="Q1107" s="24" t="e">
        <f ca="1">[1]!BexGetData("DP_1","00O2TNJGODT0G5Z4TTKYMM5MT","GSON1112061103")</f>
        <v>#NAME?</v>
      </c>
      <c r="R1107" s="24" t="e">
        <f ca="1">[1]!BexGetData("DP_1","00O2TNJGODT0G5Z4TTKYMMBYD","GSON1112061103")</f>
        <v>#NAME?</v>
      </c>
      <c r="S1107" s="24" t="e">
        <f ca="1">[1]!BexGetData("DP_1","00O2TNJGODT0G5Z4TTKYMMI9X","GSON1112061103")</f>
        <v>#NAME?</v>
      </c>
      <c r="T1107" s="24" t="e">
        <f ca="1">[1]!BexGetData("DP_1","00O2TNJGODT0G5Z4TTKYMMOLH","GSON1112061103")</f>
        <v>#NAME?</v>
      </c>
      <c r="U1107" s="24" t="e">
        <f ca="1">[1]!BexGetData("DP_1","00O2TNJGODT0G5Z4TTKYMMUX1","GSON1112061103")</f>
        <v>#NAME?</v>
      </c>
      <c r="V1107" s="24" t="e">
        <f ca="1">[1]!BexGetData("DP_1","00O2TNJGODT0G5Z4TTKYMN18L","GSON1112061103")</f>
        <v>#NAME?</v>
      </c>
      <c r="W1107" s="24" t="e">
        <f ca="1">[1]!BexGetData("DP_1","00O2TNJGODT0G5Z4TTKYMN7K5","GSON1112061103")</f>
        <v>#NAME?</v>
      </c>
    </row>
    <row r="1108" spans="1:23" x14ac:dyDescent="0.2">
      <c r="A1108" s="36" t="s">
        <v>3570</v>
      </c>
      <c r="B1108" s="27" t="s">
        <v>3571</v>
      </c>
      <c r="C1108" s="23" t="e">
        <f ca="1">[1]!BexGetData("DP_1","003N8EMH8GTFRCSWKMPXRR8GU","GSON1112061104")</f>
        <v>#NAME?</v>
      </c>
      <c r="D1108" s="23" t="e">
        <f ca="1">[1]!BexGetData("DP_1","003N8EMH8GTFRCSWKMPXRRESE","GSON1112061104")</f>
        <v>#NAME?</v>
      </c>
      <c r="E1108" s="28" t="e">
        <f ca="1">[1]!BexGetData("DP_1","003N8EMH8GTFRCSWKMPXRRL3Y","GSON1112061104")</f>
        <v>#NAME?</v>
      </c>
      <c r="F1108" s="24" t="e">
        <f ca="1">[1]!BexGetData("DP_1","003N8EMH8GTFRCSWKMPXRRRFI","GSON1112061104")</f>
        <v>#NAME?</v>
      </c>
      <c r="G1108" s="24" t="e">
        <f ca="1">[1]!BexGetData("DP_1","003N8EMH8GTFRCSWKMPXRRXR2","GSON1112061104")</f>
        <v>#NAME?</v>
      </c>
      <c r="H1108" s="24" t="e">
        <f ca="1">[1]!BexGetData("DP_1","003N8EMH8GTFRCSWKMPXRS42M","GSON1112061104")</f>
        <v>#NAME?</v>
      </c>
      <c r="I1108" s="24" t="e">
        <f ca="1">[1]!BexGetData("DP_1","003N8EMH8GTFRCSWKMPXRSAE6","GSON1112061104")</f>
        <v>#NAME?</v>
      </c>
      <c r="J1108" s="24" t="e">
        <f ca="1">[1]!BexGetData("DP_1","003N8EMH8GTFRCSWKMPXRSGPQ","GSON1112061104")</f>
        <v>#NAME?</v>
      </c>
      <c r="K1108" s="28" t="e">
        <f ca="1">[1]!BexGetData("DP_1","003N8EMH8GTFRIVNUPY288VJH","GSON1112061104")</f>
        <v>#NAME?</v>
      </c>
      <c r="L1108" s="28" t="e">
        <f ca="1">[1]!BexGetData("DP_1","003N8EMH8GTFRIVNUPY2891V1","GSON1112061104")</f>
        <v>#NAME?</v>
      </c>
      <c r="M1108" s="28" t="e">
        <f ca="1">[1]!BexGetData("DP_1","003N8EMH8GTFRIVOG7KG9IQXA","GSON1112061104")</f>
        <v>#NAME?</v>
      </c>
      <c r="N1108" s="28" t="e">
        <f ca="1">[1]!BexGetData("DP_1","003N8EMH8GTFRIVOG7KG9IX8U","GSON1112061104")</f>
        <v>#NAME?</v>
      </c>
      <c r="O1108" s="28" t="e">
        <f ca="1">[1]!BexGetData("DP_1","003N8EMH8GTFRIVOG7KG9J3KE","GSON1112061104")</f>
        <v>#NAME?</v>
      </c>
      <c r="P1108" s="28" t="e">
        <f ca="1">[1]!BexGetData("DP_1","003N8EMH8GTFRIVOG7KG9J9VY","GSON1112061104")</f>
        <v>#NAME?</v>
      </c>
      <c r="Q1108" s="24" t="e">
        <f ca="1">[1]!BexGetData("DP_1","00O2TNJGODT0G5Z4TTKYMM5MT","GSON1112061104")</f>
        <v>#NAME?</v>
      </c>
      <c r="R1108" s="24" t="e">
        <f ca="1">[1]!BexGetData("DP_1","00O2TNJGODT0G5Z4TTKYMMBYD","GSON1112061104")</f>
        <v>#NAME?</v>
      </c>
      <c r="S1108" s="24" t="e">
        <f ca="1">[1]!BexGetData("DP_1","00O2TNJGODT0G5Z4TTKYMMI9X","GSON1112061104")</f>
        <v>#NAME?</v>
      </c>
      <c r="T1108" s="24" t="e">
        <f ca="1">[1]!BexGetData("DP_1","00O2TNJGODT0G5Z4TTKYMMOLH","GSON1112061104")</f>
        <v>#NAME?</v>
      </c>
      <c r="U1108" s="24" t="e">
        <f ca="1">[1]!BexGetData("DP_1","00O2TNJGODT0G5Z4TTKYMMUX1","GSON1112061104")</f>
        <v>#NAME?</v>
      </c>
      <c r="V1108" s="24" t="e">
        <f ca="1">[1]!BexGetData("DP_1","00O2TNJGODT0G5Z4TTKYMN18L","GSON1112061104")</f>
        <v>#NAME?</v>
      </c>
      <c r="W1108" s="24" t="e">
        <f ca="1">[1]!BexGetData("DP_1","00O2TNJGODT0G5Z4TTKYMN7K5","GSON1112061104")</f>
        <v>#NAME?</v>
      </c>
    </row>
    <row r="1109" spans="1:23" x14ac:dyDescent="0.2">
      <c r="A1109" s="36" t="s">
        <v>3572</v>
      </c>
      <c r="B1109" s="27" t="s">
        <v>3573</v>
      </c>
      <c r="C1109" s="23" t="e">
        <f ca="1">[1]!BexGetData("DP_1","003N8EMH8GTFRCSWKMPXRR8GU","GSON1112061105")</f>
        <v>#NAME?</v>
      </c>
      <c r="D1109" s="23" t="e">
        <f ca="1">[1]!BexGetData("DP_1","003N8EMH8GTFRCSWKMPXRRESE","GSON1112061105")</f>
        <v>#NAME?</v>
      </c>
      <c r="E1109" s="28" t="e">
        <f ca="1">[1]!BexGetData("DP_1","003N8EMH8GTFRCSWKMPXRRL3Y","GSON1112061105")</f>
        <v>#NAME?</v>
      </c>
      <c r="F1109" s="24" t="e">
        <f ca="1">[1]!BexGetData("DP_1","003N8EMH8GTFRCSWKMPXRRRFI","GSON1112061105")</f>
        <v>#NAME?</v>
      </c>
      <c r="G1109" s="24" t="e">
        <f ca="1">[1]!BexGetData("DP_1","003N8EMH8GTFRCSWKMPXRRXR2","GSON1112061105")</f>
        <v>#NAME?</v>
      </c>
      <c r="H1109" s="24" t="e">
        <f ca="1">[1]!BexGetData("DP_1","003N8EMH8GTFRCSWKMPXRS42M","GSON1112061105")</f>
        <v>#NAME?</v>
      </c>
      <c r="I1109" s="24" t="e">
        <f ca="1">[1]!BexGetData("DP_1","003N8EMH8GTFRCSWKMPXRSAE6","GSON1112061105")</f>
        <v>#NAME?</v>
      </c>
      <c r="J1109" s="24" t="e">
        <f ca="1">[1]!BexGetData("DP_1","003N8EMH8GTFRCSWKMPXRSGPQ","GSON1112061105")</f>
        <v>#NAME?</v>
      </c>
      <c r="K1109" s="28" t="e">
        <f ca="1">[1]!BexGetData("DP_1","003N8EMH8GTFRIVNUPY288VJH","GSON1112061105")</f>
        <v>#NAME?</v>
      </c>
      <c r="L1109" s="28" t="e">
        <f ca="1">[1]!BexGetData("DP_1","003N8EMH8GTFRIVNUPY2891V1","GSON1112061105")</f>
        <v>#NAME?</v>
      </c>
      <c r="M1109" s="28" t="e">
        <f ca="1">[1]!BexGetData("DP_1","003N8EMH8GTFRIVOG7KG9IQXA","GSON1112061105")</f>
        <v>#NAME?</v>
      </c>
      <c r="N1109" s="28" t="e">
        <f ca="1">[1]!BexGetData("DP_1","003N8EMH8GTFRIVOG7KG9IX8U","GSON1112061105")</f>
        <v>#NAME?</v>
      </c>
      <c r="O1109" s="28" t="e">
        <f ca="1">[1]!BexGetData("DP_1","003N8EMH8GTFRIVOG7KG9J3KE","GSON1112061105")</f>
        <v>#NAME?</v>
      </c>
      <c r="P1109" s="28" t="e">
        <f ca="1">[1]!BexGetData("DP_1","003N8EMH8GTFRIVOG7KG9J9VY","GSON1112061105")</f>
        <v>#NAME?</v>
      </c>
      <c r="Q1109" s="24" t="e">
        <f ca="1">[1]!BexGetData("DP_1","00O2TNJGODT0G5Z4TTKYMM5MT","GSON1112061105")</f>
        <v>#NAME?</v>
      </c>
      <c r="R1109" s="24" t="e">
        <f ca="1">[1]!BexGetData("DP_1","00O2TNJGODT0G5Z4TTKYMMBYD","GSON1112061105")</f>
        <v>#NAME?</v>
      </c>
      <c r="S1109" s="24" t="e">
        <f ca="1">[1]!BexGetData("DP_1","00O2TNJGODT0G5Z4TTKYMMI9X","GSON1112061105")</f>
        <v>#NAME?</v>
      </c>
      <c r="T1109" s="24" t="e">
        <f ca="1">[1]!BexGetData("DP_1","00O2TNJGODT0G5Z4TTKYMMOLH","GSON1112061105")</f>
        <v>#NAME?</v>
      </c>
      <c r="U1109" s="24" t="e">
        <f ca="1">[1]!BexGetData("DP_1","00O2TNJGODT0G5Z4TTKYMMUX1","GSON1112061105")</f>
        <v>#NAME?</v>
      </c>
      <c r="V1109" s="24" t="e">
        <f ca="1">[1]!BexGetData("DP_1","00O2TNJGODT0G5Z4TTKYMN18L","GSON1112061105")</f>
        <v>#NAME?</v>
      </c>
      <c r="W1109" s="24" t="e">
        <f ca="1">[1]!BexGetData("DP_1","00O2TNJGODT0G5Z4TTKYMN7K5","GSON1112061105")</f>
        <v>#NAME?</v>
      </c>
    </row>
    <row r="1110" spans="1:23" x14ac:dyDescent="0.2">
      <c r="A1110" s="36" t="s">
        <v>3574</v>
      </c>
      <c r="B1110" s="27" t="s">
        <v>3575</v>
      </c>
      <c r="C1110" s="23" t="e">
        <f ca="1">[1]!BexGetData("DP_1","003N8EMH8GTFRCSWKMPXRR8GU","GSON1112061110")</f>
        <v>#NAME?</v>
      </c>
      <c r="D1110" s="23" t="e">
        <f ca="1">[1]!BexGetData("DP_1","003N8EMH8GTFRCSWKMPXRRESE","GSON1112061110")</f>
        <v>#NAME?</v>
      </c>
      <c r="E1110" s="23" t="e">
        <f ca="1">[1]!BexGetData("DP_1","003N8EMH8GTFRCSWKMPXRRL3Y","GSON1112061110")</f>
        <v>#NAME?</v>
      </c>
      <c r="F1110" s="24" t="e">
        <f ca="1">[1]!BexGetData("DP_1","003N8EMH8GTFRCSWKMPXRRRFI","GSON1112061110")</f>
        <v>#NAME?</v>
      </c>
      <c r="G1110" s="24" t="e">
        <f ca="1">[1]!BexGetData("DP_1","003N8EMH8GTFRCSWKMPXRRXR2","GSON1112061110")</f>
        <v>#NAME?</v>
      </c>
      <c r="H1110" s="24" t="e">
        <f ca="1">[1]!BexGetData("DP_1","003N8EMH8GTFRCSWKMPXRS42M","GSON1112061110")</f>
        <v>#NAME?</v>
      </c>
      <c r="I1110" s="24" t="e">
        <f ca="1">[1]!BexGetData("DP_1","003N8EMH8GTFRCSWKMPXRSAE6","GSON1112061110")</f>
        <v>#NAME?</v>
      </c>
      <c r="J1110" s="24" t="e">
        <f ca="1">[1]!BexGetData("DP_1","003N8EMH8GTFRCSWKMPXRSGPQ","GSON1112061110")</f>
        <v>#NAME?</v>
      </c>
      <c r="K1110" s="23" t="e">
        <f ca="1">[1]!BexGetData("DP_1","003N8EMH8GTFRIVNUPY288VJH","GSON1112061110")</f>
        <v>#NAME?</v>
      </c>
      <c r="L1110" s="23" t="e">
        <f ca="1">[1]!BexGetData("DP_1","003N8EMH8GTFRIVNUPY2891V1","GSON1112061110")</f>
        <v>#NAME?</v>
      </c>
      <c r="M1110" s="28" t="e">
        <f ca="1">[1]!BexGetData("DP_1","003N8EMH8GTFRIVOG7KG9IQXA","GSON1112061110")</f>
        <v>#NAME?</v>
      </c>
      <c r="N1110" s="23" t="e">
        <f ca="1">[1]!BexGetData("DP_1","003N8EMH8GTFRIVOG7KG9IX8U","GSON1112061110")</f>
        <v>#NAME?</v>
      </c>
      <c r="O1110" s="28" t="e">
        <f ca="1">[1]!BexGetData("DP_1","003N8EMH8GTFRIVOG7KG9J3KE","GSON1112061110")</f>
        <v>#NAME?</v>
      </c>
      <c r="P1110" s="23" t="e">
        <f ca="1">[1]!BexGetData("DP_1","003N8EMH8GTFRIVOG7KG9J9VY","GSON1112061110")</f>
        <v>#NAME?</v>
      </c>
      <c r="Q1110" s="24" t="e">
        <f ca="1">[1]!BexGetData("DP_1","00O2TNJGODT0G5Z4TTKYMM5MT","GSON1112061110")</f>
        <v>#NAME?</v>
      </c>
      <c r="R1110" s="24" t="e">
        <f ca="1">[1]!BexGetData("DP_1","00O2TNJGODT0G5Z4TTKYMMBYD","GSON1112061110")</f>
        <v>#NAME?</v>
      </c>
      <c r="S1110" s="24" t="e">
        <f ca="1">[1]!BexGetData("DP_1","00O2TNJGODT0G5Z4TTKYMMI9X","GSON1112061110")</f>
        <v>#NAME?</v>
      </c>
      <c r="T1110" s="24" t="e">
        <f ca="1">[1]!BexGetData("DP_1","00O2TNJGODT0G5Z4TTKYMMOLH","GSON1112061110")</f>
        <v>#NAME?</v>
      </c>
      <c r="U1110" s="24" t="e">
        <f ca="1">[1]!BexGetData("DP_1","00O2TNJGODT0G5Z4TTKYMMUX1","GSON1112061110")</f>
        <v>#NAME?</v>
      </c>
      <c r="V1110" s="24" t="e">
        <f ca="1">[1]!BexGetData("DP_1","00O2TNJGODT0G5Z4TTKYMN18L","GSON1112061110")</f>
        <v>#NAME?</v>
      </c>
      <c r="W1110" s="24" t="e">
        <f ca="1">[1]!BexGetData("DP_1","00O2TNJGODT0G5Z4TTKYMN7K5","GSON1112061110")</f>
        <v>#NAME?</v>
      </c>
    </row>
    <row r="1111" spans="1:23" x14ac:dyDescent="0.2">
      <c r="A1111" s="36" t="s">
        <v>3576</v>
      </c>
      <c r="B1111" s="27" t="s">
        <v>3577</v>
      </c>
      <c r="C1111" s="23" t="e">
        <f ca="1">[1]!BexGetData("DP_1","003N8EMH8GTFRCSWKMPXRR8GU","GSON1112061111")</f>
        <v>#NAME?</v>
      </c>
      <c r="D1111" s="23" t="e">
        <f ca="1">[1]!BexGetData("DP_1","003N8EMH8GTFRCSWKMPXRRESE","GSON1112061111")</f>
        <v>#NAME?</v>
      </c>
      <c r="E1111" s="28" t="e">
        <f ca="1">[1]!BexGetData("DP_1","003N8EMH8GTFRCSWKMPXRRL3Y","GSON1112061111")</f>
        <v>#NAME?</v>
      </c>
      <c r="F1111" s="24" t="e">
        <f ca="1">[1]!BexGetData("DP_1","003N8EMH8GTFRCSWKMPXRRRFI","GSON1112061111")</f>
        <v>#NAME?</v>
      </c>
      <c r="G1111" s="24" t="e">
        <f ca="1">[1]!BexGetData("DP_1","003N8EMH8GTFRCSWKMPXRRXR2","GSON1112061111")</f>
        <v>#NAME?</v>
      </c>
      <c r="H1111" s="24" t="e">
        <f ca="1">[1]!BexGetData("DP_1","003N8EMH8GTFRCSWKMPXRS42M","GSON1112061111")</f>
        <v>#NAME?</v>
      </c>
      <c r="I1111" s="24" t="e">
        <f ca="1">[1]!BexGetData("DP_1","003N8EMH8GTFRCSWKMPXRSAE6","GSON1112061111")</f>
        <v>#NAME?</v>
      </c>
      <c r="J1111" s="24" t="e">
        <f ca="1">[1]!BexGetData("DP_1","003N8EMH8GTFRCSWKMPXRSGPQ","GSON1112061111")</f>
        <v>#NAME?</v>
      </c>
      <c r="K1111" s="28" t="e">
        <f ca="1">[1]!BexGetData("DP_1","003N8EMH8GTFRIVNUPY288VJH","GSON1112061111")</f>
        <v>#NAME?</v>
      </c>
      <c r="L1111" s="28" t="e">
        <f ca="1">[1]!BexGetData("DP_1","003N8EMH8GTFRIVNUPY2891V1","GSON1112061111")</f>
        <v>#NAME?</v>
      </c>
      <c r="M1111" s="28" t="e">
        <f ca="1">[1]!BexGetData("DP_1","003N8EMH8GTFRIVOG7KG9IQXA","GSON1112061111")</f>
        <v>#NAME?</v>
      </c>
      <c r="N1111" s="28" t="e">
        <f ca="1">[1]!BexGetData("DP_1","003N8EMH8GTFRIVOG7KG9IX8U","GSON1112061111")</f>
        <v>#NAME?</v>
      </c>
      <c r="O1111" s="28" t="e">
        <f ca="1">[1]!BexGetData("DP_1","003N8EMH8GTFRIVOG7KG9J3KE","GSON1112061111")</f>
        <v>#NAME?</v>
      </c>
      <c r="P1111" s="28" t="e">
        <f ca="1">[1]!BexGetData("DP_1","003N8EMH8GTFRIVOG7KG9J9VY","GSON1112061111")</f>
        <v>#NAME?</v>
      </c>
      <c r="Q1111" s="24" t="e">
        <f ca="1">[1]!BexGetData("DP_1","00O2TNJGODT0G5Z4TTKYMM5MT","GSON1112061111")</f>
        <v>#NAME?</v>
      </c>
      <c r="R1111" s="24" t="e">
        <f ca="1">[1]!BexGetData("DP_1","00O2TNJGODT0G5Z4TTKYMMBYD","GSON1112061111")</f>
        <v>#NAME?</v>
      </c>
      <c r="S1111" s="24" t="e">
        <f ca="1">[1]!BexGetData("DP_1","00O2TNJGODT0G5Z4TTKYMMI9X","GSON1112061111")</f>
        <v>#NAME?</v>
      </c>
      <c r="T1111" s="24" t="e">
        <f ca="1">[1]!BexGetData("DP_1","00O2TNJGODT0G5Z4TTKYMMOLH","GSON1112061111")</f>
        <v>#NAME?</v>
      </c>
      <c r="U1111" s="24" t="e">
        <f ca="1">[1]!BexGetData("DP_1","00O2TNJGODT0G5Z4TTKYMMUX1","GSON1112061111")</f>
        <v>#NAME?</v>
      </c>
      <c r="V1111" s="24" t="e">
        <f ca="1">[1]!BexGetData("DP_1","00O2TNJGODT0G5Z4TTKYMN18L","GSON1112061111")</f>
        <v>#NAME?</v>
      </c>
      <c r="W1111" s="24" t="e">
        <f ca="1">[1]!BexGetData("DP_1","00O2TNJGODT0G5Z4TTKYMN7K5","GSON1112061111")</f>
        <v>#NAME?</v>
      </c>
    </row>
    <row r="1112" spans="1:23" x14ac:dyDescent="0.2">
      <c r="A1112" s="36" t="s">
        <v>3578</v>
      </c>
      <c r="B1112" s="27" t="s">
        <v>3579</v>
      </c>
      <c r="C1112" s="23" t="e">
        <f ca="1">[1]!BexGetData("DP_1","003N8EMH8GTFRCSWKMPXRR8GU","GSON1112061113")</f>
        <v>#NAME?</v>
      </c>
      <c r="D1112" s="23" t="e">
        <f ca="1">[1]!BexGetData("DP_1","003N8EMH8GTFRCSWKMPXRRESE","GSON1112061113")</f>
        <v>#NAME?</v>
      </c>
      <c r="E1112" s="28" t="e">
        <f ca="1">[1]!BexGetData("DP_1","003N8EMH8GTFRCSWKMPXRRL3Y","GSON1112061113")</f>
        <v>#NAME?</v>
      </c>
      <c r="F1112" s="24" t="e">
        <f ca="1">[1]!BexGetData("DP_1","003N8EMH8GTFRCSWKMPXRRRFI","GSON1112061113")</f>
        <v>#NAME?</v>
      </c>
      <c r="G1112" s="24" t="e">
        <f ca="1">[1]!BexGetData("DP_1","003N8EMH8GTFRCSWKMPXRRXR2","GSON1112061113")</f>
        <v>#NAME?</v>
      </c>
      <c r="H1112" s="24" t="e">
        <f ca="1">[1]!BexGetData("DP_1","003N8EMH8GTFRCSWKMPXRS42M","GSON1112061113")</f>
        <v>#NAME?</v>
      </c>
      <c r="I1112" s="24" t="e">
        <f ca="1">[1]!BexGetData("DP_1","003N8EMH8GTFRCSWKMPXRSAE6","GSON1112061113")</f>
        <v>#NAME?</v>
      </c>
      <c r="J1112" s="24" t="e">
        <f ca="1">[1]!BexGetData("DP_1","003N8EMH8GTFRCSWKMPXRSGPQ","GSON1112061113")</f>
        <v>#NAME?</v>
      </c>
      <c r="K1112" s="28" t="e">
        <f ca="1">[1]!BexGetData("DP_1","003N8EMH8GTFRIVNUPY288VJH","GSON1112061113")</f>
        <v>#NAME?</v>
      </c>
      <c r="L1112" s="28" t="e">
        <f ca="1">[1]!BexGetData("DP_1","003N8EMH8GTFRIVNUPY2891V1","GSON1112061113")</f>
        <v>#NAME?</v>
      </c>
      <c r="M1112" s="28" t="e">
        <f ca="1">[1]!BexGetData("DP_1","003N8EMH8GTFRIVOG7KG9IQXA","GSON1112061113")</f>
        <v>#NAME?</v>
      </c>
      <c r="N1112" s="28" t="e">
        <f ca="1">[1]!BexGetData("DP_1","003N8EMH8GTFRIVOG7KG9IX8U","GSON1112061113")</f>
        <v>#NAME?</v>
      </c>
      <c r="O1112" s="28" t="e">
        <f ca="1">[1]!BexGetData("DP_1","003N8EMH8GTFRIVOG7KG9J3KE","GSON1112061113")</f>
        <v>#NAME?</v>
      </c>
      <c r="P1112" s="28" t="e">
        <f ca="1">[1]!BexGetData("DP_1","003N8EMH8GTFRIVOG7KG9J9VY","GSON1112061113")</f>
        <v>#NAME?</v>
      </c>
      <c r="Q1112" s="24" t="e">
        <f ca="1">[1]!BexGetData("DP_1","00O2TNJGODT0G5Z4TTKYMM5MT","GSON1112061113")</f>
        <v>#NAME?</v>
      </c>
      <c r="R1112" s="24" t="e">
        <f ca="1">[1]!BexGetData("DP_1","00O2TNJGODT0G5Z4TTKYMMBYD","GSON1112061113")</f>
        <v>#NAME?</v>
      </c>
      <c r="S1112" s="24" t="e">
        <f ca="1">[1]!BexGetData("DP_1","00O2TNJGODT0G5Z4TTKYMMI9X","GSON1112061113")</f>
        <v>#NAME?</v>
      </c>
      <c r="T1112" s="24" t="e">
        <f ca="1">[1]!BexGetData("DP_1","00O2TNJGODT0G5Z4TTKYMMOLH","GSON1112061113")</f>
        <v>#NAME?</v>
      </c>
      <c r="U1112" s="24" t="e">
        <f ca="1">[1]!BexGetData("DP_1","00O2TNJGODT0G5Z4TTKYMMUX1","GSON1112061113")</f>
        <v>#NAME?</v>
      </c>
      <c r="V1112" s="24" t="e">
        <f ca="1">[1]!BexGetData("DP_1","00O2TNJGODT0G5Z4TTKYMN18L","GSON1112061113")</f>
        <v>#NAME?</v>
      </c>
      <c r="W1112" s="24" t="e">
        <f ca="1">[1]!BexGetData("DP_1","00O2TNJGODT0G5Z4TTKYMN7K5","GSON1112061113")</f>
        <v>#NAME?</v>
      </c>
    </row>
    <row r="1113" spans="1:23" x14ac:dyDescent="0.2">
      <c r="A1113" s="36" t="s">
        <v>3580</v>
      </c>
      <c r="B1113" s="27" t="s">
        <v>3581</v>
      </c>
      <c r="C1113" s="23" t="e">
        <f ca="1">[1]!BexGetData("DP_1","003N8EMH8GTFRCSWKMPXRR8GU","GSON1112061114")</f>
        <v>#NAME?</v>
      </c>
      <c r="D1113" s="23" t="e">
        <f ca="1">[1]!BexGetData("DP_1","003N8EMH8GTFRCSWKMPXRRESE","GSON1112061114")</f>
        <v>#NAME?</v>
      </c>
      <c r="E1113" s="28" t="e">
        <f ca="1">[1]!BexGetData("DP_1","003N8EMH8GTFRCSWKMPXRRL3Y","GSON1112061114")</f>
        <v>#NAME?</v>
      </c>
      <c r="F1113" s="24" t="e">
        <f ca="1">[1]!BexGetData("DP_1","003N8EMH8GTFRCSWKMPXRRRFI","GSON1112061114")</f>
        <v>#NAME?</v>
      </c>
      <c r="G1113" s="24" t="e">
        <f ca="1">[1]!BexGetData("DP_1","003N8EMH8GTFRCSWKMPXRRXR2","GSON1112061114")</f>
        <v>#NAME?</v>
      </c>
      <c r="H1113" s="24" t="e">
        <f ca="1">[1]!BexGetData("DP_1","003N8EMH8GTFRCSWKMPXRS42M","GSON1112061114")</f>
        <v>#NAME?</v>
      </c>
      <c r="I1113" s="24" t="e">
        <f ca="1">[1]!BexGetData("DP_1","003N8EMH8GTFRCSWKMPXRSAE6","GSON1112061114")</f>
        <v>#NAME?</v>
      </c>
      <c r="J1113" s="24" t="e">
        <f ca="1">[1]!BexGetData("DP_1","003N8EMH8GTFRCSWKMPXRSGPQ","GSON1112061114")</f>
        <v>#NAME?</v>
      </c>
      <c r="K1113" s="28" t="e">
        <f ca="1">[1]!BexGetData("DP_1","003N8EMH8GTFRIVNUPY288VJH","GSON1112061114")</f>
        <v>#NAME?</v>
      </c>
      <c r="L1113" s="28" t="e">
        <f ca="1">[1]!BexGetData("DP_1","003N8EMH8GTFRIVNUPY2891V1","GSON1112061114")</f>
        <v>#NAME?</v>
      </c>
      <c r="M1113" s="28" t="e">
        <f ca="1">[1]!BexGetData("DP_1","003N8EMH8GTFRIVOG7KG9IQXA","GSON1112061114")</f>
        <v>#NAME?</v>
      </c>
      <c r="N1113" s="28" t="e">
        <f ca="1">[1]!BexGetData("DP_1","003N8EMH8GTFRIVOG7KG9IX8U","GSON1112061114")</f>
        <v>#NAME?</v>
      </c>
      <c r="O1113" s="28" t="e">
        <f ca="1">[1]!BexGetData("DP_1","003N8EMH8GTFRIVOG7KG9J3KE","GSON1112061114")</f>
        <v>#NAME?</v>
      </c>
      <c r="P1113" s="28" t="e">
        <f ca="1">[1]!BexGetData("DP_1","003N8EMH8GTFRIVOG7KG9J9VY","GSON1112061114")</f>
        <v>#NAME?</v>
      </c>
      <c r="Q1113" s="24" t="e">
        <f ca="1">[1]!BexGetData("DP_1","00O2TNJGODT0G5Z4TTKYMM5MT","GSON1112061114")</f>
        <v>#NAME?</v>
      </c>
      <c r="R1113" s="24" t="e">
        <f ca="1">[1]!BexGetData("DP_1","00O2TNJGODT0G5Z4TTKYMMBYD","GSON1112061114")</f>
        <v>#NAME?</v>
      </c>
      <c r="S1113" s="24" t="e">
        <f ca="1">[1]!BexGetData("DP_1","00O2TNJGODT0G5Z4TTKYMMI9X","GSON1112061114")</f>
        <v>#NAME?</v>
      </c>
      <c r="T1113" s="24" t="e">
        <f ca="1">[1]!BexGetData("DP_1","00O2TNJGODT0G5Z4TTKYMMOLH","GSON1112061114")</f>
        <v>#NAME?</v>
      </c>
      <c r="U1113" s="24" t="e">
        <f ca="1">[1]!BexGetData("DP_1","00O2TNJGODT0G5Z4TTKYMMUX1","GSON1112061114")</f>
        <v>#NAME?</v>
      </c>
      <c r="V1113" s="24" t="e">
        <f ca="1">[1]!BexGetData("DP_1","00O2TNJGODT0G5Z4TTKYMN18L","GSON1112061114")</f>
        <v>#NAME?</v>
      </c>
      <c r="W1113" s="24" t="e">
        <f ca="1">[1]!BexGetData("DP_1","00O2TNJGODT0G5Z4TTKYMN7K5","GSON1112061114")</f>
        <v>#NAME?</v>
      </c>
    </row>
    <row r="1114" spans="1:23" x14ac:dyDescent="0.2">
      <c r="A1114" s="36" t="s">
        <v>3582</v>
      </c>
      <c r="B1114" s="27" t="s">
        <v>3583</v>
      </c>
      <c r="C1114" s="23" t="e">
        <f ca="1">[1]!BexGetData("DP_1","003N8EMH8GTFRCSWKMPXRR8GU","GSON1112061115")</f>
        <v>#NAME?</v>
      </c>
      <c r="D1114" s="23" t="e">
        <f ca="1">[1]!BexGetData("DP_1","003N8EMH8GTFRCSWKMPXRRESE","GSON1112061115")</f>
        <v>#NAME?</v>
      </c>
      <c r="E1114" s="28" t="e">
        <f ca="1">[1]!BexGetData("DP_1","003N8EMH8GTFRCSWKMPXRRL3Y","GSON1112061115")</f>
        <v>#NAME?</v>
      </c>
      <c r="F1114" s="24" t="e">
        <f ca="1">[1]!BexGetData("DP_1","003N8EMH8GTFRCSWKMPXRRRFI","GSON1112061115")</f>
        <v>#NAME?</v>
      </c>
      <c r="G1114" s="24" t="e">
        <f ca="1">[1]!BexGetData("DP_1","003N8EMH8GTFRCSWKMPXRRXR2","GSON1112061115")</f>
        <v>#NAME?</v>
      </c>
      <c r="H1114" s="24" t="e">
        <f ca="1">[1]!BexGetData("DP_1","003N8EMH8GTFRCSWKMPXRS42M","GSON1112061115")</f>
        <v>#NAME?</v>
      </c>
      <c r="I1114" s="24" t="e">
        <f ca="1">[1]!BexGetData("DP_1","003N8EMH8GTFRCSWKMPXRSAE6","GSON1112061115")</f>
        <v>#NAME?</v>
      </c>
      <c r="J1114" s="24" t="e">
        <f ca="1">[1]!BexGetData("DP_1","003N8EMH8GTFRCSWKMPXRSGPQ","GSON1112061115")</f>
        <v>#NAME?</v>
      </c>
      <c r="K1114" s="28" t="e">
        <f ca="1">[1]!BexGetData("DP_1","003N8EMH8GTFRIVNUPY288VJH","GSON1112061115")</f>
        <v>#NAME?</v>
      </c>
      <c r="L1114" s="28" t="e">
        <f ca="1">[1]!BexGetData("DP_1","003N8EMH8GTFRIVNUPY2891V1","GSON1112061115")</f>
        <v>#NAME?</v>
      </c>
      <c r="M1114" s="28" t="e">
        <f ca="1">[1]!BexGetData("DP_1","003N8EMH8GTFRIVOG7KG9IQXA","GSON1112061115")</f>
        <v>#NAME?</v>
      </c>
      <c r="N1114" s="28" t="e">
        <f ca="1">[1]!BexGetData("DP_1","003N8EMH8GTFRIVOG7KG9IX8U","GSON1112061115")</f>
        <v>#NAME?</v>
      </c>
      <c r="O1114" s="28" t="e">
        <f ca="1">[1]!BexGetData("DP_1","003N8EMH8GTFRIVOG7KG9J3KE","GSON1112061115")</f>
        <v>#NAME?</v>
      </c>
      <c r="P1114" s="28" t="e">
        <f ca="1">[1]!BexGetData("DP_1","003N8EMH8GTFRIVOG7KG9J9VY","GSON1112061115")</f>
        <v>#NAME?</v>
      </c>
      <c r="Q1114" s="24" t="e">
        <f ca="1">[1]!BexGetData("DP_1","00O2TNJGODT0G5Z4TTKYMM5MT","GSON1112061115")</f>
        <v>#NAME?</v>
      </c>
      <c r="R1114" s="24" t="e">
        <f ca="1">[1]!BexGetData("DP_1","00O2TNJGODT0G5Z4TTKYMMBYD","GSON1112061115")</f>
        <v>#NAME?</v>
      </c>
      <c r="S1114" s="24" t="e">
        <f ca="1">[1]!BexGetData("DP_1","00O2TNJGODT0G5Z4TTKYMMI9X","GSON1112061115")</f>
        <v>#NAME?</v>
      </c>
      <c r="T1114" s="24" t="e">
        <f ca="1">[1]!BexGetData("DP_1","00O2TNJGODT0G5Z4TTKYMMOLH","GSON1112061115")</f>
        <v>#NAME?</v>
      </c>
      <c r="U1114" s="24" t="e">
        <f ca="1">[1]!BexGetData("DP_1","00O2TNJGODT0G5Z4TTKYMMUX1","GSON1112061115")</f>
        <v>#NAME?</v>
      </c>
      <c r="V1114" s="24" t="e">
        <f ca="1">[1]!BexGetData("DP_1","00O2TNJGODT0G5Z4TTKYMN18L","GSON1112061115")</f>
        <v>#NAME?</v>
      </c>
      <c r="W1114" s="24" t="e">
        <f ca="1">[1]!BexGetData("DP_1","00O2TNJGODT0G5Z4TTKYMN7K5","GSON1112061115")</f>
        <v>#NAME?</v>
      </c>
    </row>
    <row r="1115" spans="1:23" x14ac:dyDescent="0.2">
      <c r="A1115" s="36" t="s">
        <v>3584</v>
      </c>
      <c r="B1115" s="27" t="s">
        <v>3585</v>
      </c>
      <c r="C1115" s="23" t="e">
        <f ca="1">[1]!BexGetData("DP_1","003N8EMH8GTFRCSWKMPXRR8GU","GSON1112061120")</f>
        <v>#NAME?</v>
      </c>
      <c r="D1115" s="23" t="e">
        <f ca="1">[1]!BexGetData("DP_1","003N8EMH8GTFRCSWKMPXRRESE","GSON1112061120")</f>
        <v>#NAME?</v>
      </c>
      <c r="E1115" s="23" t="e">
        <f ca="1">[1]!BexGetData("DP_1","003N8EMH8GTFRCSWKMPXRRL3Y","GSON1112061120")</f>
        <v>#NAME?</v>
      </c>
      <c r="F1115" s="24" t="e">
        <f ca="1">[1]!BexGetData("DP_1","003N8EMH8GTFRCSWKMPXRRRFI","GSON1112061120")</f>
        <v>#NAME?</v>
      </c>
      <c r="G1115" s="24" t="e">
        <f ca="1">[1]!BexGetData("DP_1","003N8EMH8GTFRCSWKMPXRRXR2","GSON1112061120")</f>
        <v>#NAME?</v>
      </c>
      <c r="H1115" s="24" t="e">
        <f ca="1">[1]!BexGetData("DP_1","003N8EMH8GTFRCSWKMPXRS42M","GSON1112061120")</f>
        <v>#NAME?</v>
      </c>
      <c r="I1115" s="24" t="e">
        <f ca="1">[1]!BexGetData("DP_1","003N8EMH8GTFRCSWKMPXRSAE6","GSON1112061120")</f>
        <v>#NAME?</v>
      </c>
      <c r="J1115" s="24" t="e">
        <f ca="1">[1]!BexGetData("DP_1","003N8EMH8GTFRCSWKMPXRSGPQ","GSON1112061120")</f>
        <v>#NAME?</v>
      </c>
      <c r="K1115" s="23" t="e">
        <f ca="1">[1]!BexGetData("DP_1","003N8EMH8GTFRIVNUPY288VJH","GSON1112061120")</f>
        <v>#NAME?</v>
      </c>
      <c r="L1115" s="23" t="e">
        <f ca="1">[1]!BexGetData("DP_1","003N8EMH8GTFRIVNUPY2891V1","GSON1112061120")</f>
        <v>#NAME?</v>
      </c>
      <c r="M1115" s="28" t="e">
        <f ca="1">[1]!BexGetData("DP_1","003N8EMH8GTFRIVOG7KG9IQXA","GSON1112061120")</f>
        <v>#NAME?</v>
      </c>
      <c r="N1115" s="23" t="e">
        <f ca="1">[1]!BexGetData("DP_1","003N8EMH8GTFRIVOG7KG9IX8U","GSON1112061120")</f>
        <v>#NAME?</v>
      </c>
      <c r="O1115" s="28" t="e">
        <f ca="1">[1]!BexGetData("DP_1","003N8EMH8GTFRIVOG7KG9J3KE","GSON1112061120")</f>
        <v>#NAME?</v>
      </c>
      <c r="P1115" s="23" t="e">
        <f ca="1">[1]!BexGetData("DP_1","003N8EMH8GTFRIVOG7KG9J9VY","GSON1112061120")</f>
        <v>#NAME?</v>
      </c>
      <c r="Q1115" s="24" t="e">
        <f ca="1">[1]!BexGetData("DP_1","00O2TNJGODT0G5Z4TTKYMM5MT","GSON1112061120")</f>
        <v>#NAME?</v>
      </c>
      <c r="R1115" s="24" t="e">
        <f ca="1">[1]!BexGetData("DP_1","00O2TNJGODT0G5Z4TTKYMMBYD","GSON1112061120")</f>
        <v>#NAME?</v>
      </c>
      <c r="S1115" s="24" t="e">
        <f ca="1">[1]!BexGetData("DP_1","00O2TNJGODT0G5Z4TTKYMMI9X","GSON1112061120")</f>
        <v>#NAME?</v>
      </c>
      <c r="T1115" s="24" t="e">
        <f ca="1">[1]!BexGetData("DP_1","00O2TNJGODT0G5Z4TTKYMMOLH","GSON1112061120")</f>
        <v>#NAME?</v>
      </c>
      <c r="U1115" s="24" t="e">
        <f ca="1">[1]!BexGetData("DP_1","00O2TNJGODT0G5Z4TTKYMMUX1","GSON1112061120")</f>
        <v>#NAME?</v>
      </c>
      <c r="V1115" s="24" t="e">
        <f ca="1">[1]!BexGetData("DP_1","00O2TNJGODT0G5Z4TTKYMN18L","GSON1112061120")</f>
        <v>#NAME?</v>
      </c>
      <c r="W1115" s="24" t="e">
        <f ca="1">[1]!BexGetData("DP_1","00O2TNJGODT0G5Z4TTKYMN7K5","GSON1112061120")</f>
        <v>#NAME?</v>
      </c>
    </row>
    <row r="1116" spans="1:23" x14ac:dyDescent="0.2">
      <c r="A1116" s="36" t="s">
        <v>3586</v>
      </c>
      <c r="B1116" s="27" t="s">
        <v>3587</v>
      </c>
      <c r="C1116" s="23" t="e">
        <f ca="1">[1]!BexGetData("DP_1","003N8EMH8GTFRCSWKMPXRR8GU","GSON1112061121")</f>
        <v>#NAME?</v>
      </c>
      <c r="D1116" s="23" t="e">
        <f ca="1">[1]!BexGetData("DP_1","003N8EMH8GTFRCSWKMPXRRESE","GSON1112061121")</f>
        <v>#NAME?</v>
      </c>
      <c r="E1116" s="28" t="e">
        <f ca="1">[1]!BexGetData("DP_1","003N8EMH8GTFRCSWKMPXRRL3Y","GSON1112061121")</f>
        <v>#NAME?</v>
      </c>
      <c r="F1116" s="24" t="e">
        <f ca="1">[1]!BexGetData("DP_1","003N8EMH8GTFRCSWKMPXRRRFI","GSON1112061121")</f>
        <v>#NAME?</v>
      </c>
      <c r="G1116" s="24" t="e">
        <f ca="1">[1]!BexGetData("DP_1","003N8EMH8GTFRCSWKMPXRRXR2","GSON1112061121")</f>
        <v>#NAME?</v>
      </c>
      <c r="H1116" s="24" t="e">
        <f ca="1">[1]!BexGetData("DP_1","003N8EMH8GTFRCSWKMPXRS42M","GSON1112061121")</f>
        <v>#NAME?</v>
      </c>
      <c r="I1116" s="24" t="e">
        <f ca="1">[1]!BexGetData("DP_1","003N8EMH8GTFRCSWKMPXRSAE6","GSON1112061121")</f>
        <v>#NAME?</v>
      </c>
      <c r="J1116" s="24" t="e">
        <f ca="1">[1]!BexGetData("DP_1","003N8EMH8GTFRCSWKMPXRSGPQ","GSON1112061121")</f>
        <v>#NAME?</v>
      </c>
      <c r="K1116" s="28" t="e">
        <f ca="1">[1]!BexGetData("DP_1","003N8EMH8GTFRIVNUPY288VJH","GSON1112061121")</f>
        <v>#NAME?</v>
      </c>
      <c r="L1116" s="28" t="e">
        <f ca="1">[1]!BexGetData("DP_1","003N8EMH8GTFRIVNUPY2891V1","GSON1112061121")</f>
        <v>#NAME?</v>
      </c>
      <c r="M1116" s="28" t="e">
        <f ca="1">[1]!BexGetData("DP_1","003N8EMH8GTFRIVOG7KG9IQXA","GSON1112061121")</f>
        <v>#NAME?</v>
      </c>
      <c r="N1116" s="28" t="e">
        <f ca="1">[1]!BexGetData("DP_1","003N8EMH8GTFRIVOG7KG9IX8U","GSON1112061121")</f>
        <v>#NAME?</v>
      </c>
      <c r="O1116" s="28" t="e">
        <f ca="1">[1]!BexGetData("DP_1","003N8EMH8GTFRIVOG7KG9J3KE","GSON1112061121")</f>
        <v>#NAME?</v>
      </c>
      <c r="P1116" s="28" t="e">
        <f ca="1">[1]!BexGetData("DP_1","003N8EMH8GTFRIVOG7KG9J9VY","GSON1112061121")</f>
        <v>#NAME?</v>
      </c>
      <c r="Q1116" s="24" t="e">
        <f ca="1">[1]!BexGetData("DP_1","00O2TNJGODT0G5Z4TTKYMM5MT","GSON1112061121")</f>
        <v>#NAME?</v>
      </c>
      <c r="R1116" s="24" t="e">
        <f ca="1">[1]!BexGetData("DP_1","00O2TNJGODT0G5Z4TTKYMMBYD","GSON1112061121")</f>
        <v>#NAME?</v>
      </c>
      <c r="S1116" s="24" t="e">
        <f ca="1">[1]!BexGetData("DP_1","00O2TNJGODT0G5Z4TTKYMMI9X","GSON1112061121")</f>
        <v>#NAME?</v>
      </c>
      <c r="T1116" s="24" t="e">
        <f ca="1">[1]!BexGetData("DP_1","00O2TNJGODT0G5Z4TTKYMMOLH","GSON1112061121")</f>
        <v>#NAME?</v>
      </c>
      <c r="U1116" s="24" t="e">
        <f ca="1">[1]!BexGetData("DP_1","00O2TNJGODT0G5Z4TTKYMMUX1","GSON1112061121")</f>
        <v>#NAME?</v>
      </c>
      <c r="V1116" s="24" t="e">
        <f ca="1">[1]!BexGetData("DP_1","00O2TNJGODT0G5Z4TTKYMN18L","GSON1112061121")</f>
        <v>#NAME?</v>
      </c>
      <c r="W1116" s="24" t="e">
        <f ca="1">[1]!BexGetData("DP_1","00O2TNJGODT0G5Z4TTKYMN7K5","GSON1112061121")</f>
        <v>#NAME?</v>
      </c>
    </row>
    <row r="1117" spans="1:23" x14ac:dyDescent="0.2">
      <c r="A1117" s="36" t="s">
        <v>3588</v>
      </c>
      <c r="B1117" s="27" t="s">
        <v>3589</v>
      </c>
      <c r="C1117" s="23" t="e">
        <f ca="1">[1]!BexGetData("DP_1","003N8EMH8GTFRCSWKMPXRR8GU","GSON1112061123")</f>
        <v>#NAME?</v>
      </c>
      <c r="D1117" s="23" t="e">
        <f ca="1">[1]!BexGetData("DP_1","003N8EMH8GTFRCSWKMPXRRESE","GSON1112061123")</f>
        <v>#NAME?</v>
      </c>
      <c r="E1117" s="28" t="e">
        <f ca="1">[1]!BexGetData("DP_1","003N8EMH8GTFRCSWKMPXRRL3Y","GSON1112061123")</f>
        <v>#NAME?</v>
      </c>
      <c r="F1117" s="24" t="e">
        <f ca="1">[1]!BexGetData("DP_1","003N8EMH8GTFRCSWKMPXRRRFI","GSON1112061123")</f>
        <v>#NAME?</v>
      </c>
      <c r="G1117" s="24" t="e">
        <f ca="1">[1]!BexGetData("DP_1","003N8EMH8GTFRCSWKMPXRRXR2","GSON1112061123")</f>
        <v>#NAME?</v>
      </c>
      <c r="H1117" s="24" t="e">
        <f ca="1">[1]!BexGetData("DP_1","003N8EMH8GTFRCSWKMPXRS42M","GSON1112061123")</f>
        <v>#NAME?</v>
      </c>
      <c r="I1117" s="24" t="e">
        <f ca="1">[1]!BexGetData("DP_1","003N8EMH8GTFRCSWKMPXRSAE6","GSON1112061123")</f>
        <v>#NAME?</v>
      </c>
      <c r="J1117" s="24" t="e">
        <f ca="1">[1]!BexGetData("DP_1","003N8EMH8GTFRCSWKMPXRSGPQ","GSON1112061123")</f>
        <v>#NAME?</v>
      </c>
      <c r="K1117" s="28" t="e">
        <f ca="1">[1]!BexGetData("DP_1","003N8EMH8GTFRIVNUPY288VJH","GSON1112061123")</f>
        <v>#NAME?</v>
      </c>
      <c r="L1117" s="28" t="e">
        <f ca="1">[1]!BexGetData("DP_1","003N8EMH8GTFRIVNUPY2891V1","GSON1112061123")</f>
        <v>#NAME?</v>
      </c>
      <c r="M1117" s="28" t="e">
        <f ca="1">[1]!BexGetData("DP_1","003N8EMH8GTFRIVOG7KG9IQXA","GSON1112061123")</f>
        <v>#NAME?</v>
      </c>
      <c r="N1117" s="28" t="e">
        <f ca="1">[1]!BexGetData("DP_1","003N8EMH8GTFRIVOG7KG9IX8U","GSON1112061123")</f>
        <v>#NAME?</v>
      </c>
      <c r="O1117" s="28" t="e">
        <f ca="1">[1]!BexGetData("DP_1","003N8EMH8GTFRIVOG7KG9J3KE","GSON1112061123")</f>
        <v>#NAME?</v>
      </c>
      <c r="P1117" s="28" t="e">
        <f ca="1">[1]!BexGetData("DP_1","003N8EMH8GTFRIVOG7KG9J9VY","GSON1112061123")</f>
        <v>#NAME?</v>
      </c>
      <c r="Q1117" s="24" t="e">
        <f ca="1">[1]!BexGetData("DP_1","00O2TNJGODT0G5Z4TTKYMM5MT","GSON1112061123")</f>
        <v>#NAME?</v>
      </c>
      <c r="R1117" s="24" t="e">
        <f ca="1">[1]!BexGetData("DP_1","00O2TNJGODT0G5Z4TTKYMMBYD","GSON1112061123")</f>
        <v>#NAME?</v>
      </c>
      <c r="S1117" s="24" t="e">
        <f ca="1">[1]!BexGetData("DP_1","00O2TNJGODT0G5Z4TTKYMMI9X","GSON1112061123")</f>
        <v>#NAME?</v>
      </c>
      <c r="T1117" s="24" t="e">
        <f ca="1">[1]!BexGetData("DP_1","00O2TNJGODT0G5Z4TTKYMMOLH","GSON1112061123")</f>
        <v>#NAME?</v>
      </c>
      <c r="U1117" s="24" t="e">
        <f ca="1">[1]!BexGetData("DP_1","00O2TNJGODT0G5Z4TTKYMMUX1","GSON1112061123")</f>
        <v>#NAME?</v>
      </c>
      <c r="V1117" s="24" t="e">
        <f ca="1">[1]!BexGetData("DP_1","00O2TNJGODT0G5Z4TTKYMN18L","GSON1112061123")</f>
        <v>#NAME?</v>
      </c>
      <c r="W1117" s="24" t="e">
        <f ca="1">[1]!BexGetData("DP_1","00O2TNJGODT0G5Z4TTKYMN7K5","GSON1112061123")</f>
        <v>#NAME?</v>
      </c>
    </row>
    <row r="1118" spans="1:23" x14ac:dyDescent="0.2">
      <c r="A1118" s="36" t="s">
        <v>3590</v>
      </c>
      <c r="B1118" s="27" t="s">
        <v>3591</v>
      </c>
      <c r="C1118" s="23" t="e">
        <f ca="1">[1]!BexGetData("DP_1","003N8EMH8GTFRCSWKMPXRR8GU","GSON1112061124")</f>
        <v>#NAME?</v>
      </c>
      <c r="D1118" s="23" t="e">
        <f ca="1">[1]!BexGetData("DP_1","003N8EMH8GTFRCSWKMPXRRESE","GSON1112061124")</f>
        <v>#NAME?</v>
      </c>
      <c r="E1118" s="28" t="e">
        <f ca="1">[1]!BexGetData("DP_1","003N8EMH8GTFRCSWKMPXRRL3Y","GSON1112061124")</f>
        <v>#NAME?</v>
      </c>
      <c r="F1118" s="24" t="e">
        <f ca="1">[1]!BexGetData("DP_1","003N8EMH8GTFRCSWKMPXRRRFI","GSON1112061124")</f>
        <v>#NAME?</v>
      </c>
      <c r="G1118" s="24" t="e">
        <f ca="1">[1]!BexGetData("DP_1","003N8EMH8GTFRCSWKMPXRRXR2","GSON1112061124")</f>
        <v>#NAME?</v>
      </c>
      <c r="H1118" s="24" t="e">
        <f ca="1">[1]!BexGetData("DP_1","003N8EMH8GTFRCSWKMPXRS42M","GSON1112061124")</f>
        <v>#NAME?</v>
      </c>
      <c r="I1118" s="24" t="e">
        <f ca="1">[1]!BexGetData("DP_1","003N8EMH8GTFRCSWKMPXRSAE6","GSON1112061124")</f>
        <v>#NAME?</v>
      </c>
      <c r="J1118" s="24" t="e">
        <f ca="1">[1]!BexGetData("DP_1","003N8EMH8GTFRCSWKMPXRSGPQ","GSON1112061124")</f>
        <v>#NAME?</v>
      </c>
      <c r="K1118" s="28" t="e">
        <f ca="1">[1]!BexGetData("DP_1","003N8EMH8GTFRIVNUPY288VJH","GSON1112061124")</f>
        <v>#NAME?</v>
      </c>
      <c r="L1118" s="28" t="e">
        <f ca="1">[1]!BexGetData("DP_1","003N8EMH8GTFRIVNUPY2891V1","GSON1112061124")</f>
        <v>#NAME?</v>
      </c>
      <c r="M1118" s="28" t="e">
        <f ca="1">[1]!BexGetData("DP_1","003N8EMH8GTFRIVOG7KG9IQXA","GSON1112061124")</f>
        <v>#NAME?</v>
      </c>
      <c r="N1118" s="28" t="e">
        <f ca="1">[1]!BexGetData("DP_1","003N8EMH8GTFRIVOG7KG9IX8U","GSON1112061124")</f>
        <v>#NAME?</v>
      </c>
      <c r="O1118" s="28" t="e">
        <f ca="1">[1]!BexGetData("DP_1","003N8EMH8GTFRIVOG7KG9J3KE","GSON1112061124")</f>
        <v>#NAME?</v>
      </c>
      <c r="P1118" s="28" t="e">
        <f ca="1">[1]!BexGetData("DP_1","003N8EMH8GTFRIVOG7KG9J9VY","GSON1112061124")</f>
        <v>#NAME?</v>
      </c>
      <c r="Q1118" s="24" t="e">
        <f ca="1">[1]!BexGetData("DP_1","00O2TNJGODT0G5Z4TTKYMM5MT","GSON1112061124")</f>
        <v>#NAME?</v>
      </c>
      <c r="R1118" s="24" t="e">
        <f ca="1">[1]!BexGetData("DP_1","00O2TNJGODT0G5Z4TTKYMMBYD","GSON1112061124")</f>
        <v>#NAME?</v>
      </c>
      <c r="S1118" s="24" t="e">
        <f ca="1">[1]!BexGetData("DP_1","00O2TNJGODT0G5Z4TTKYMMI9X","GSON1112061124")</f>
        <v>#NAME?</v>
      </c>
      <c r="T1118" s="24" t="e">
        <f ca="1">[1]!BexGetData("DP_1","00O2TNJGODT0G5Z4TTKYMMOLH","GSON1112061124")</f>
        <v>#NAME?</v>
      </c>
      <c r="U1118" s="24" t="e">
        <f ca="1">[1]!BexGetData("DP_1","00O2TNJGODT0G5Z4TTKYMMUX1","GSON1112061124")</f>
        <v>#NAME?</v>
      </c>
      <c r="V1118" s="24" t="e">
        <f ca="1">[1]!BexGetData("DP_1","00O2TNJGODT0G5Z4TTKYMN18L","GSON1112061124")</f>
        <v>#NAME?</v>
      </c>
      <c r="W1118" s="24" t="e">
        <f ca="1">[1]!BexGetData("DP_1","00O2TNJGODT0G5Z4TTKYMN7K5","GSON1112061124")</f>
        <v>#NAME?</v>
      </c>
    </row>
    <row r="1119" spans="1:23" x14ac:dyDescent="0.2">
      <c r="A1119" s="36" t="s">
        <v>3592</v>
      </c>
      <c r="B1119" s="27" t="s">
        <v>3593</v>
      </c>
      <c r="C1119" s="23" t="e">
        <f ca="1">[1]!BexGetData("DP_1","003N8EMH8GTFRCSWKMPXRR8GU","GSON1112061125")</f>
        <v>#NAME?</v>
      </c>
      <c r="D1119" s="23" t="e">
        <f ca="1">[1]!BexGetData("DP_1","003N8EMH8GTFRCSWKMPXRRESE","GSON1112061125")</f>
        <v>#NAME?</v>
      </c>
      <c r="E1119" s="28" t="e">
        <f ca="1">[1]!BexGetData("DP_1","003N8EMH8GTFRCSWKMPXRRL3Y","GSON1112061125")</f>
        <v>#NAME?</v>
      </c>
      <c r="F1119" s="24" t="e">
        <f ca="1">[1]!BexGetData("DP_1","003N8EMH8GTFRCSWKMPXRRRFI","GSON1112061125")</f>
        <v>#NAME?</v>
      </c>
      <c r="G1119" s="24" t="e">
        <f ca="1">[1]!BexGetData("DP_1","003N8EMH8GTFRCSWKMPXRRXR2","GSON1112061125")</f>
        <v>#NAME?</v>
      </c>
      <c r="H1119" s="24" t="e">
        <f ca="1">[1]!BexGetData("DP_1","003N8EMH8GTFRCSWKMPXRS42M","GSON1112061125")</f>
        <v>#NAME?</v>
      </c>
      <c r="I1119" s="24" t="e">
        <f ca="1">[1]!BexGetData("DP_1","003N8EMH8GTFRCSWKMPXRSAE6","GSON1112061125")</f>
        <v>#NAME?</v>
      </c>
      <c r="J1119" s="24" t="e">
        <f ca="1">[1]!BexGetData("DP_1","003N8EMH8GTFRCSWKMPXRSGPQ","GSON1112061125")</f>
        <v>#NAME?</v>
      </c>
      <c r="K1119" s="28" t="e">
        <f ca="1">[1]!BexGetData("DP_1","003N8EMH8GTFRIVNUPY288VJH","GSON1112061125")</f>
        <v>#NAME?</v>
      </c>
      <c r="L1119" s="28" t="e">
        <f ca="1">[1]!BexGetData("DP_1","003N8EMH8GTFRIVNUPY2891V1","GSON1112061125")</f>
        <v>#NAME?</v>
      </c>
      <c r="M1119" s="28" t="e">
        <f ca="1">[1]!BexGetData("DP_1","003N8EMH8GTFRIVOG7KG9IQXA","GSON1112061125")</f>
        <v>#NAME?</v>
      </c>
      <c r="N1119" s="28" t="e">
        <f ca="1">[1]!BexGetData("DP_1","003N8EMH8GTFRIVOG7KG9IX8U","GSON1112061125")</f>
        <v>#NAME?</v>
      </c>
      <c r="O1119" s="28" t="e">
        <f ca="1">[1]!BexGetData("DP_1","003N8EMH8GTFRIVOG7KG9J3KE","GSON1112061125")</f>
        <v>#NAME?</v>
      </c>
      <c r="P1119" s="28" t="e">
        <f ca="1">[1]!BexGetData("DP_1","003N8EMH8GTFRIVOG7KG9J9VY","GSON1112061125")</f>
        <v>#NAME?</v>
      </c>
      <c r="Q1119" s="24" t="e">
        <f ca="1">[1]!BexGetData("DP_1","00O2TNJGODT0G5Z4TTKYMM5MT","GSON1112061125")</f>
        <v>#NAME?</v>
      </c>
      <c r="R1119" s="24" t="e">
        <f ca="1">[1]!BexGetData("DP_1","00O2TNJGODT0G5Z4TTKYMMBYD","GSON1112061125")</f>
        <v>#NAME?</v>
      </c>
      <c r="S1119" s="24" t="e">
        <f ca="1">[1]!BexGetData("DP_1","00O2TNJGODT0G5Z4TTKYMMI9X","GSON1112061125")</f>
        <v>#NAME?</v>
      </c>
      <c r="T1119" s="24" t="e">
        <f ca="1">[1]!BexGetData("DP_1","00O2TNJGODT0G5Z4TTKYMMOLH","GSON1112061125")</f>
        <v>#NAME?</v>
      </c>
      <c r="U1119" s="24" t="e">
        <f ca="1">[1]!BexGetData("DP_1","00O2TNJGODT0G5Z4TTKYMMUX1","GSON1112061125")</f>
        <v>#NAME?</v>
      </c>
      <c r="V1119" s="24" t="e">
        <f ca="1">[1]!BexGetData("DP_1","00O2TNJGODT0G5Z4TTKYMN18L","GSON1112061125")</f>
        <v>#NAME?</v>
      </c>
      <c r="W1119" s="24" t="e">
        <f ca="1">[1]!BexGetData("DP_1","00O2TNJGODT0G5Z4TTKYMN7K5","GSON1112061125")</f>
        <v>#NAME?</v>
      </c>
    </row>
    <row r="1120" spans="1:23" x14ac:dyDescent="0.2">
      <c r="A1120" s="36" t="s">
        <v>3594</v>
      </c>
      <c r="B1120" s="27" t="s">
        <v>3595</v>
      </c>
      <c r="C1120" s="23" t="e">
        <f ca="1">[1]!BexGetData("DP_1","003N8EMH8GTFRCSWKMPXRR8GU","GSON1112061130")</f>
        <v>#NAME?</v>
      </c>
      <c r="D1120" s="23" t="e">
        <f ca="1">[1]!BexGetData("DP_1","003N8EMH8GTFRCSWKMPXRRESE","GSON1112061130")</f>
        <v>#NAME?</v>
      </c>
      <c r="E1120" s="23" t="e">
        <f ca="1">[1]!BexGetData("DP_1","003N8EMH8GTFRCSWKMPXRRL3Y","GSON1112061130")</f>
        <v>#NAME?</v>
      </c>
      <c r="F1120" s="24" t="e">
        <f ca="1">[1]!BexGetData("DP_1","003N8EMH8GTFRCSWKMPXRRRFI","GSON1112061130")</f>
        <v>#NAME?</v>
      </c>
      <c r="G1120" s="24" t="e">
        <f ca="1">[1]!BexGetData("DP_1","003N8EMH8GTFRCSWKMPXRRXR2","GSON1112061130")</f>
        <v>#NAME?</v>
      </c>
      <c r="H1120" s="24" t="e">
        <f ca="1">[1]!BexGetData("DP_1","003N8EMH8GTFRCSWKMPXRS42M","GSON1112061130")</f>
        <v>#NAME?</v>
      </c>
      <c r="I1120" s="24" t="e">
        <f ca="1">[1]!BexGetData("DP_1","003N8EMH8GTFRCSWKMPXRSAE6","GSON1112061130")</f>
        <v>#NAME?</v>
      </c>
      <c r="J1120" s="24" t="e">
        <f ca="1">[1]!BexGetData("DP_1","003N8EMH8GTFRCSWKMPXRSGPQ","GSON1112061130")</f>
        <v>#NAME?</v>
      </c>
      <c r="K1120" s="23" t="e">
        <f ca="1">[1]!BexGetData("DP_1","003N8EMH8GTFRIVNUPY288VJH","GSON1112061130")</f>
        <v>#NAME?</v>
      </c>
      <c r="L1120" s="23" t="e">
        <f ca="1">[1]!BexGetData("DP_1","003N8EMH8GTFRIVNUPY2891V1","GSON1112061130")</f>
        <v>#NAME?</v>
      </c>
      <c r="M1120" s="28" t="e">
        <f ca="1">[1]!BexGetData("DP_1","003N8EMH8GTFRIVOG7KG9IQXA","GSON1112061130")</f>
        <v>#NAME?</v>
      </c>
      <c r="N1120" s="23" t="e">
        <f ca="1">[1]!BexGetData("DP_1","003N8EMH8GTFRIVOG7KG9IX8U","GSON1112061130")</f>
        <v>#NAME?</v>
      </c>
      <c r="O1120" s="28" t="e">
        <f ca="1">[1]!BexGetData("DP_1","003N8EMH8GTFRIVOG7KG9J3KE","GSON1112061130")</f>
        <v>#NAME?</v>
      </c>
      <c r="P1120" s="23" t="e">
        <f ca="1">[1]!BexGetData("DP_1","003N8EMH8GTFRIVOG7KG9J9VY","GSON1112061130")</f>
        <v>#NAME?</v>
      </c>
      <c r="Q1120" s="24" t="e">
        <f ca="1">[1]!BexGetData("DP_1","00O2TNJGODT0G5Z4TTKYMM5MT","GSON1112061130")</f>
        <v>#NAME?</v>
      </c>
      <c r="R1120" s="24" t="e">
        <f ca="1">[1]!BexGetData("DP_1","00O2TNJGODT0G5Z4TTKYMMBYD","GSON1112061130")</f>
        <v>#NAME?</v>
      </c>
      <c r="S1120" s="24" t="e">
        <f ca="1">[1]!BexGetData("DP_1","00O2TNJGODT0G5Z4TTKYMMI9X","GSON1112061130")</f>
        <v>#NAME?</v>
      </c>
      <c r="T1120" s="24" t="e">
        <f ca="1">[1]!BexGetData("DP_1","00O2TNJGODT0G5Z4TTKYMMOLH","GSON1112061130")</f>
        <v>#NAME?</v>
      </c>
      <c r="U1120" s="24" t="e">
        <f ca="1">[1]!BexGetData("DP_1","00O2TNJGODT0G5Z4TTKYMMUX1","GSON1112061130")</f>
        <v>#NAME?</v>
      </c>
      <c r="V1120" s="24" t="e">
        <f ca="1">[1]!BexGetData("DP_1","00O2TNJGODT0G5Z4TTKYMN18L","GSON1112061130")</f>
        <v>#NAME?</v>
      </c>
      <c r="W1120" s="24" t="e">
        <f ca="1">[1]!BexGetData("DP_1","00O2TNJGODT0G5Z4TTKYMN7K5","GSON1112061130")</f>
        <v>#NAME?</v>
      </c>
    </row>
    <row r="1121" spans="1:23" x14ac:dyDescent="0.2">
      <c r="A1121" s="36" t="s">
        <v>3596</v>
      </c>
      <c r="B1121" s="27" t="s">
        <v>3597</v>
      </c>
      <c r="C1121" s="23" t="e">
        <f ca="1">[1]!BexGetData("DP_1","003N8EMH8GTFRCSWKMPXRR8GU","GSON1112061131")</f>
        <v>#NAME?</v>
      </c>
      <c r="D1121" s="23" t="e">
        <f ca="1">[1]!BexGetData("DP_1","003N8EMH8GTFRCSWKMPXRRESE","GSON1112061131")</f>
        <v>#NAME?</v>
      </c>
      <c r="E1121" s="28" t="e">
        <f ca="1">[1]!BexGetData("DP_1","003N8EMH8GTFRCSWKMPXRRL3Y","GSON1112061131")</f>
        <v>#NAME?</v>
      </c>
      <c r="F1121" s="24" t="e">
        <f ca="1">[1]!BexGetData("DP_1","003N8EMH8GTFRCSWKMPXRRRFI","GSON1112061131")</f>
        <v>#NAME?</v>
      </c>
      <c r="G1121" s="24" t="e">
        <f ca="1">[1]!BexGetData("DP_1","003N8EMH8GTFRCSWKMPXRRXR2","GSON1112061131")</f>
        <v>#NAME?</v>
      </c>
      <c r="H1121" s="24" t="e">
        <f ca="1">[1]!BexGetData("DP_1","003N8EMH8GTFRCSWKMPXRS42M","GSON1112061131")</f>
        <v>#NAME?</v>
      </c>
      <c r="I1121" s="24" t="e">
        <f ca="1">[1]!BexGetData("DP_1","003N8EMH8GTFRCSWKMPXRSAE6","GSON1112061131")</f>
        <v>#NAME?</v>
      </c>
      <c r="J1121" s="24" t="e">
        <f ca="1">[1]!BexGetData("DP_1","003N8EMH8GTFRCSWKMPXRSGPQ","GSON1112061131")</f>
        <v>#NAME?</v>
      </c>
      <c r="K1121" s="28" t="e">
        <f ca="1">[1]!BexGetData("DP_1","003N8EMH8GTFRIVNUPY288VJH","GSON1112061131")</f>
        <v>#NAME?</v>
      </c>
      <c r="L1121" s="28" t="e">
        <f ca="1">[1]!BexGetData("DP_1","003N8EMH8GTFRIVNUPY2891V1","GSON1112061131")</f>
        <v>#NAME?</v>
      </c>
      <c r="M1121" s="28" t="e">
        <f ca="1">[1]!BexGetData("DP_1","003N8EMH8GTFRIVOG7KG9IQXA","GSON1112061131")</f>
        <v>#NAME?</v>
      </c>
      <c r="N1121" s="28" t="e">
        <f ca="1">[1]!BexGetData("DP_1","003N8EMH8GTFRIVOG7KG9IX8U","GSON1112061131")</f>
        <v>#NAME?</v>
      </c>
      <c r="O1121" s="28" t="e">
        <f ca="1">[1]!BexGetData("DP_1","003N8EMH8GTFRIVOG7KG9J3KE","GSON1112061131")</f>
        <v>#NAME?</v>
      </c>
      <c r="P1121" s="28" t="e">
        <f ca="1">[1]!BexGetData("DP_1","003N8EMH8GTFRIVOG7KG9J9VY","GSON1112061131")</f>
        <v>#NAME?</v>
      </c>
      <c r="Q1121" s="24" t="e">
        <f ca="1">[1]!BexGetData("DP_1","00O2TNJGODT0G5Z4TTKYMM5MT","GSON1112061131")</f>
        <v>#NAME?</v>
      </c>
      <c r="R1121" s="24" t="e">
        <f ca="1">[1]!BexGetData("DP_1","00O2TNJGODT0G5Z4TTKYMMBYD","GSON1112061131")</f>
        <v>#NAME?</v>
      </c>
      <c r="S1121" s="24" t="e">
        <f ca="1">[1]!BexGetData("DP_1","00O2TNJGODT0G5Z4TTKYMMI9X","GSON1112061131")</f>
        <v>#NAME?</v>
      </c>
      <c r="T1121" s="24" t="e">
        <f ca="1">[1]!BexGetData("DP_1","00O2TNJGODT0G5Z4TTKYMMOLH","GSON1112061131")</f>
        <v>#NAME?</v>
      </c>
      <c r="U1121" s="24" t="e">
        <f ca="1">[1]!BexGetData("DP_1","00O2TNJGODT0G5Z4TTKYMMUX1","GSON1112061131")</f>
        <v>#NAME?</v>
      </c>
      <c r="V1121" s="24" t="e">
        <f ca="1">[1]!BexGetData("DP_1","00O2TNJGODT0G5Z4TTKYMN18L","GSON1112061131")</f>
        <v>#NAME?</v>
      </c>
      <c r="W1121" s="24" t="e">
        <f ca="1">[1]!BexGetData("DP_1","00O2TNJGODT0G5Z4TTKYMN7K5","GSON1112061131")</f>
        <v>#NAME?</v>
      </c>
    </row>
    <row r="1122" spans="1:23" x14ac:dyDescent="0.2">
      <c r="A1122" s="36" t="s">
        <v>3598</v>
      </c>
      <c r="B1122" s="27" t="s">
        <v>3599</v>
      </c>
      <c r="C1122" s="23" t="e">
        <f ca="1">[1]!BexGetData("DP_1","003N8EMH8GTFRCSWKMPXRR8GU","GSON1112061133")</f>
        <v>#NAME?</v>
      </c>
      <c r="D1122" s="23" t="e">
        <f ca="1">[1]!BexGetData("DP_1","003N8EMH8GTFRCSWKMPXRRESE","GSON1112061133")</f>
        <v>#NAME?</v>
      </c>
      <c r="E1122" s="28" t="e">
        <f ca="1">[1]!BexGetData("DP_1","003N8EMH8GTFRCSWKMPXRRL3Y","GSON1112061133")</f>
        <v>#NAME?</v>
      </c>
      <c r="F1122" s="24" t="e">
        <f ca="1">[1]!BexGetData("DP_1","003N8EMH8GTFRCSWKMPXRRRFI","GSON1112061133")</f>
        <v>#NAME?</v>
      </c>
      <c r="G1122" s="24" t="e">
        <f ca="1">[1]!BexGetData("DP_1","003N8EMH8GTFRCSWKMPXRRXR2","GSON1112061133")</f>
        <v>#NAME?</v>
      </c>
      <c r="H1122" s="24" t="e">
        <f ca="1">[1]!BexGetData("DP_1","003N8EMH8GTFRCSWKMPXRS42M","GSON1112061133")</f>
        <v>#NAME?</v>
      </c>
      <c r="I1122" s="24" t="e">
        <f ca="1">[1]!BexGetData("DP_1","003N8EMH8GTFRCSWKMPXRSAE6","GSON1112061133")</f>
        <v>#NAME?</v>
      </c>
      <c r="J1122" s="24" t="e">
        <f ca="1">[1]!BexGetData("DP_1","003N8EMH8GTFRCSWKMPXRSGPQ","GSON1112061133")</f>
        <v>#NAME?</v>
      </c>
      <c r="K1122" s="28" t="e">
        <f ca="1">[1]!BexGetData("DP_1","003N8EMH8GTFRIVNUPY288VJH","GSON1112061133")</f>
        <v>#NAME?</v>
      </c>
      <c r="L1122" s="28" t="e">
        <f ca="1">[1]!BexGetData("DP_1","003N8EMH8GTFRIVNUPY2891V1","GSON1112061133")</f>
        <v>#NAME?</v>
      </c>
      <c r="M1122" s="28" t="e">
        <f ca="1">[1]!BexGetData("DP_1","003N8EMH8GTFRIVOG7KG9IQXA","GSON1112061133")</f>
        <v>#NAME?</v>
      </c>
      <c r="N1122" s="28" t="e">
        <f ca="1">[1]!BexGetData("DP_1","003N8EMH8GTFRIVOG7KG9IX8U","GSON1112061133")</f>
        <v>#NAME?</v>
      </c>
      <c r="O1122" s="28" t="e">
        <f ca="1">[1]!BexGetData("DP_1","003N8EMH8GTFRIVOG7KG9J3KE","GSON1112061133")</f>
        <v>#NAME?</v>
      </c>
      <c r="P1122" s="28" t="e">
        <f ca="1">[1]!BexGetData("DP_1","003N8EMH8GTFRIVOG7KG9J9VY","GSON1112061133")</f>
        <v>#NAME?</v>
      </c>
      <c r="Q1122" s="24" t="e">
        <f ca="1">[1]!BexGetData("DP_1","00O2TNJGODT0G5Z4TTKYMM5MT","GSON1112061133")</f>
        <v>#NAME?</v>
      </c>
      <c r="R1122" s="24" t="e">
        <f ca="1">[1]!BexGetData("DP_1","00O2TNJGODT0G5Z4TTKYMMBYD","GSON1112061133")</f>
        <v>#NAME?</v>
      </c>
      <c r="S1122" s="24" t="e">
        <f ca="1">[1]!BexGetData("DP_1","00O2TNJGODT0G5Z4TTKYMMI9X","GSON1112061133")</f>
        <v>#NAME?</v>
      </c>
      <c r="T1122" s="24" t="e">
        <f ca="1">[1]!BexGetData("DP_1","00O2TNJGODT0G5Z4TTKYMMOLH","GSON1112061133")</f>
        <v>#NAME?</v>
      </c>
      <c r="U1122" s="24" t="e">
        <f ca="1">[1]!BexGetData("DP_1","00O2TNJGODT0G5Z4TTKYMMUX1","GSON1112061133")</f>
        <v>#NAME?</v>
      </c>
      <c r="V1122" s="24" t="e">
        <f ca="1">[1]!BexGetData("DP_1","00O2TNJGODT0G5Z4TTKYMN18L","GSON1112061133")</f>
        <v>#NAME?</v>
      </c>
      <c r="W1122" s="24" t="e">
        <f ca="1">[1]!BexGetData("DP_1","00O2TNJGODT0G5Z4TTKYMN7K5","GSON1112061133")</f>
        <v>#NAME?</v>
      </c>
    </row>
    <row r="1123" spans="1:23" x14ac:dyDescent="0.2">
      <c r="A1123" s="36" t="s">
        <v>3600</v>
      </c>
      <c r="B1123" s="27" t="s">
        <v>3601</v>
      </c>
      <c r="C1123" s="23" t="e">
        <f ca="1">[1]!BexGetData("DP_1","003N8EMH8GTFRCSWKMPXRR8GU","GSON1112061134")</f>
        <v>#NAME?</v>
      </c>
      <c r="D1123" s="23" t="e">
        <f ca="1">[1]!BexGetData("DP_1","003N8EMH8GTFRCSWKMPXRRESE","GSON1112061134")</f>
        <v>#NAME?</v>
      </c>
      <c r="E1123" s="28" t="e">
        <f ca="1">[1]!BexGetData("DP_1","003N8EMH8GTFRCSWKMPXRRL3Y","GSON1112061134")</f>
        <v>#NAME?</v>
      </c>
      <c r="F1123" s="24" t="e">
        <f ca="1">[1]!BexGetData("DP_1","003N8EMH8GTFRCSWKMPXRRRFI","GSON1112061134")</f>
        <v>#NAME?</v>
      </c>
      <c r="G1123" s="24" t="e">
        <f ca="1">[1]!BexGetData("DP_1","003N8EMH8GTFRCSWKMPXRRXR2","GSON1112061134")</f>
        <v>#NAME?</v>
      </c>
      <c r="H1123" s="24" t="e">
        <f ca="1">[1]!BexGetData("DP_1","003N8EMH8GTFRCSWKMPXRS42M","GSON1112061134")</f>
        <v>#NAME?</v>
      </c>
      <c r="I1123" s="24" t="e">
        <f ca="1">[1]!BexGetData("DP_1","003N8EMH8GTFRCSWKMPXRSAE6","GSON1112061134")</f>
        <v>#NAME?</v>
      </c>
      <c r="J1123" s="24" t="e">
        <f ca="1">[1]!BexGetData("DP_1","003N8EMH8GTFRCSWKMPXRSGPQ","GSON1112061134")</f>
        <v>#NAME?</v>
      </c>
      <c r="K1123" s="28" t="e">
        <f ca="1">[1]!BexGetData("DP_1","003N8EMH8GTFRIVNUPY288VJH","GSON1112061134")</f>
        <v>#NAME?</v>
      </c>
      <c r="L1123" s="28" t="e">
        <f ca="1">[1]!BexGetData("DP_1","003N8EMH8GTFRIVNUPY2891V1","GSON1112061134")</f>
        <v>#NAME?</v>
      </c>
      <c r="M1123" s="28" t="e">
        <f ca="1">[1]!BexGetData("DP_1","003N8EMH8GTFRIVOG7KG9IQXA","GSON1112061134")</f>
        <v>#NAME?</v>
      </c>
      <c r="N1123" s="28" t="e">
        <f ca="1">[1]!BexGetData("DP_1","003N8EMH8GTFRIVOG7KG9IX8U","GSON1112061134")</f>
        <v>#NAME?</v>
      </c>
      <c r="O1123" s="28" t="e">
        <f ca="1">[1]!BexGetData("DP_1","003N8EMH8GTFRIVOG7KG9J3KE","GSON1112061134")</f>
        <v>#NAME?</v>
      </c>
      <c r="P1123" s="28" t="e">
        <f ca="1">[1]!BexGetData("DP_1","003N8EMH8GTFRIVOG7KG9J9VY","GSON1112061134")</f>
        <v>#NAME?</v>
      </c>
      <c r="Q1123" s="24" t="e">
        <f ca="1">[1]!BexGetData("DP_1","00O2TNJGODT0G5Z4TTKYMM5MT","GSON1112061134")</f>
        <v>#NAME?</v>
      </c>
      <c r="R1123" s="24" t="e">
        <f ca="1">[1]!BexGetData("DP_1","00O2TNJGODT0G5Z4TTKYMMBYD","GSON1112061134")</f>
        <v>#NAME?</v>
      </c>
      <c r="S1123" s="24" t="e">
        <f ca="1">[1]!BexGetData("DP_1","00O2TNJGODT0G5Z4TTKYMMI9X","GSON1112061134")</f>
        <v>#NAME?</v>
      </c>
      <c r="T1123" s="24" t="e">
        <f ca="1">[1]!BexGetData("DP_1","00O2TNJGODT0G5Z4TTKYMMOLH","GSON1112061134")</f>
        <v>#NAME?</v>
      </c>
      <c r="U1123" s="24" t="e">
        <f ca="1">[1]!BexGetData("DP_1","00O2TNJGODT0G5Z4TTKYMMUX1","GSON1112061134")</f>
        <v>#NAME?</v>
      </c>
      <c r="V1123" s="24" t="e">
        <f ca="1">[1]!BexGetData("DP_1","00O2TNJGODT0G5Z4TTKYMN18L","GSON1112061134")</f>
        <v>#NAME?</v>
      </c>
      <c r="W1123" s="24" t="e">
        <f ca="1">[1]!BexGetData("DP_1","00O2TNJGODT0G5Z4TTKYMN7K5","GSON1112061134")</f>
        <v>#NAME?</v>
      </c>
    </row>
    <row r="1124" spans="1:23" x14ac:dyDescent="0.2">
      <c r="A1124" s="36" t="s">
        <v>3602</v>
      </c>
      <c r="B1124" s="27" t="s">
        <v>3603</v>
      </c>
      <c r="C1124" s="23" t="e">
        <f ca="1">[1]!BexGetData("DP_1","003N8EMH8GTFRCSWKMPXRR8GU","GSON1112061135")</f>
        <v>#NAME?</v>
      </c>
      <c r="D1124" s="23" t="e">
        <f ca="1">[1]!BexGetData("DP_1","003N8EMH8GTFRCSWKMPXRRESE","GSON1112061135")</f>
        <v>#NAME?</v>
      </c>
      <c r="E1124" s="28" t="e">
        <f ca="1">[1]!BexGetData("DP_1","003N8EMH8GTFRCSWKMPXRRL3Y","GSON1112061135")</f>
        <v>#NAME?</v>
      </c>
      <c r="F1124" s="24" t="e">
        <f ca="1">[1]!BexGetData("DP_1","003N8EMH8GTFRCSWKMPXRRRFI","GSON1112061135")</f>
        <v>#NAME?</v>
      </c>
      <c r="G1124" s="24" t="e">
        <f ca="1">[1]!BexGetData("DP_1","003N8EMH8GTFRCSWKMPXRRXR2","GSON1112061135")</f>
        <v>#NAME?</v>
      </c>
      <c r="H1124" s="24" t="e">
        <f ca="1">[1]!BexGetData("DP_1","003N8EMH8GTFRCSWKMPXRS42M","GSON1112061135")</f>
        <v>#NAME?</v>
      </c>
      <c r="I1124" s="24" t="e">
        <f ca="1">[1]!BexGetData("DP_1","003N8EMH8GTFRCSWKMPXRSAE6","GSON1112061135")</f>
        <v>#NAME?</v>
      </c>
      <c r="J1124" s="24" t="e">
        <f ca="1">[1]!BexGetData("DP_1","003N8EMH8GTFRCSWKMPXRSGPQ","GSON1112061135")</f>
        <v>#NAME?</v>
      </c>
      <c r="K1124" s="28" t="e">
        <f ca="1">[1]!BexGetData("DP_1","003N8EMH8GTFRIVNUPY288VJH","GSON1112061135")</f>
        <v>#NAME?</v>
      </c>
      <c r="L1124" s="28" t="e">
        <f ca="1">[1]!BexGetData("DP_1","003N8EMH8GTFRIVNUPY2891V1","GSON1112061135")</f>
        <v>#NAME?</v>
      </c>
      <c r="M1124" s="28" t="e">
        <f ca="1">[1]!BexGetData("DP_1","003N8EMH8GTFRIVOG7KG9IQXA","GSON1112061135")</f>
        <v>#NAME?</v>
      </c>
      <c r="N1124" s="28" t="e">
        <f ca="1">[1]!BexGetData("DP_1","003N8EMH8GTFRIVOG7KG9IX8U","GSON1112061135")</f>
        <v>#NAME?</v>
      </c>
      <c r="O1124" s="28" t="e">
        <f ca="1">[1]!BexGetData("DP_1","003N8EMH8GTFRIVOG7KG9J3KE","GSON1112061135")</f>
        <v>#NAME?</v>
      </c>
      <c r="P1124" s="28" t="e">
        <f ca="1">[1]!BexGetData("DP_1","003N8EMH8GTFRIVOG7KG9J9VY","GSON1112061135")</f>
        <v>#NAME?</v>
      </c>
      <c r="Q1124" s="24" t="e">
        <f ca="1">[1]!BexGetData("DP_1","00O2TNJGODT0G5Z4TTKYMM5MT","GSON1112061135")</f>
        <v>#NAME?</v>
      </c>
      <c r="R1124" s="24" t="e">
        <f ca="1">[1]!BexGetData("DP_1","00O2TNJGODT0G5Z4TTKYMMBYD","GSON1112061135")</f>
        <v>#NAME?</v>
      </c>
      <c r="S1124" s="24" t="e">
        <f ca="1">[1]!BexGetData("DP_1","00O2TNJGODT0G5Z4TTKYMMI9X","GSON1112061135")</f>
        <v>#NAME?</v>
      </c>
      <c r="T1124" s="24" t="e">
        <f ca="1">[1]!BexGetData("DP_1","00O2TNJGODT0G5Z4TTKYMMOLH","GSON1112061135")</f>
        <v>#NAME?</v>
      </c>
      <c r="U1124" s="24" t="e">
        <f ca="1">[1]!BexGetData("DP_1","00O2TNJGODT0G5Z4TTKYMMUX1","GSON1112061135")</f>
        <v>#NAME?</v>
      </c>
      <c r="V1124" s="24" t="e">
        <f ca="1">[1]!BexGetData("DP_1","00O2TNJGODT0G5Z4TTKYMN18L","GSON1112061135")</f>
        <v>#NAME?</v>
      </c>
      <c r="W1124" s="24" t="e">
        <f ca="1">[1]!BexGetData("DP_1","00O2TNJGODT0G5Z4TTKYMN7K5","GSON1112061135")</f>
        <v>#NAME?</v>
      </c>
    </row>
    <row r="1125" spans="1:23" x14ac:dyDescent="0.2">
      <c r="A1125" s="36" t="s">
        <v>3604</v>
      </c>
      <c r="B1125" s="27" t="s">
        <v>3605</v>
      </c>
      <c r="C1125" s="23" t="e">
        <f ca="1">[1]!BexGetData("DP_1","003N8EMH8GTFRCSWKMPXRR8GU","GSON1112061140")</f>
        <v>#NAME?</v>
      </c>
      <c r="D1125" s="23" t="e">
        <f ca="1">[1]!BexGetData("DP_1","003N8EMH8GTFRCSWKMPXRRESE","GSON1112061140")</f>
        <v>#NAME?</v>
      </c>
      <c r="E1125" s="28" t="e">
        <f ca="1">[1]!BexGetData("DP_1","003N8EMH8GTFRCSWKMPXRRL3Y","GSON1112061140")</f>
        <v>#NAME?</v>
      </c>
      <c r="F1125" s="24" t="e">
        <f ca="1">[1]!BexGetData("DP_1","003N8EMH8GTFRCSWKMPXRRRFI","GSON1112061140")</f>
        <v>#NAME?</v>
      </c>
      <c r="G1125" s="24" t="e">
        <f ca="1">[1]!BexGetData("DP_1","003N8EMH8GTFRCSWKMPXRRXR2","GSON1112061140")</f>
        <v>#NAME?</v>
      </c>
      <c r="H1125" s="24" t="e">
        <f ca="1">[1]!BexGetData("DP_1","003N8EMH8GTFRCSWKMPXRS42M","GSON1112061140")</f>
        <v>#NAME?</v>
      </c>
      <c r="I1125" s="24" t="e">
        <f ca="1">[1]!BexGetData("DP_1","003N8EMH8GTFRCSWKMPXRSAE6","GSON1112061140")</f>
        <v>#NAME?</v>
      </c>
      <c r="J1125" s="24" t="e">
        <f ca="1">[1]!BexGetData("DP_1","003N8EMH8GTFRCSWKMPXRSGPQ","GSON1112061140")</f>
        <v>#NAME?</v>
      </c>
      <c r="K1125" s="28" t="e">
        <f ca="1">[1]!BexGetData("DP_1","003N8EMH8GTFRIVNUPY288VJH","GSON1112061140")</f>
        <v>#NAME?</v>
      </c>
      <c r="L1125" s="28" t="e">
        <f ca="1">[1]!BexGetData("DP_1","003N8EMH8GTFRIVNUPY2891V1","GSON1112061140")</f>
        <v>#NAME?</v>
      </c>
      <c r="M1125" s="28" t="e">
        <f ca="1">[1]!BexGetData("DP_1","003N8EMH8GTFRIVOG7KG9IQXA","GSON1112061140")</f>
        <v>#NAME?</v>
      </c>
      <c r="N1125" s="28" t="e">
        <f ca="1">[1]!BexGetData("DP_1","003N8EMH8GTFRIVOG7KG9IX8U","GSON1112061140")</f>
        <v>#NAME?</v>
      </c>
      <c r="O1125" s="28" t="e">
        <f ca="1">[1]!BexGetData("DP_1","003N8EMH8GTFRIVOG7KG9J3KE","GSON1112061140")</f>
        <v>#NAME?</v>
      </c>
      <c r="P1125" s="28" t="e">
        <f ca="1">[1]!BexGetData("DP_1","003N8EMH8GTFRIVOG7KG9J9VY","GSON1112061140")</f>
        <v>#NAME?</v>
      </c>
      <c r="Q1125" s="24" t="e">
        <f ca="1">[1]!BexGetData("DP_1","00O2TNJGODT0G5Z4TTKYMM5MT","GSON1112061140")</f>
        <v>#NAME?</v>
      </c>
      <c r="R1125" s="24" t="e">
        <f ca="1">[1]!BexGetData("DP_1","00O2TNJGODT0G5Z4TTKYMMBYD","GSON1112061140")</f>
        <v>#NAME?</v>
      </c>
      <c r="S1125" s="24" t="e">
        <f ca="1">[1]!BexGetData("DP_1","00O2TNJGODT0G5Z4TTKYMMI9X","GSON1112061140")</f>
        <v>#NAME?</v>
      </c>
      <c r="T1125" s="24" t="e">
        <f ca="1">[1]!BexGetData("DP_1","00O2TNJGODT0G5Z4TTKYMMOLH","GSON1112061140")</f>
        <v>#NAME?</v>
      </c>
      <c r="U1125" s="24" t="e">
        <f ca="1">[1]!BexGetData("DP_1","00O2TNJGODT0G5Z4TTKYMMUX1","GSON1112061140")</f>
        <v>#NAME?</v>
      </c>
      <c r="V1125" s="24" t="e">
        <f ca="1">[1]!BexGetData("DP_1","00O2TNJGODT0G5Z4TTKYMN18L","GSON1112061140")</f>
        <v>#NAME?</v>
      </c>
      <c r="W1125" s="24" t="e">
        <f ca="1">[1]!BexGetData("DP_1","00O2TNJGODT0G5Z4TTKYMN7K5","GSON1112061140")</f>
        <v>#NAME?</v>
      </c>
    </row>
    <row r="1126" spans="1:23" x14ac:dyDescent="0.2">
      <c r="A1126" s="36" t="s">
        <v>3606</v>
      </c>
      <c r="B1126" s="27" t="s">
        <v>3607</v>
      </c>
      <c r="C1126" s="23" t="e">
        <f ca="1">[1]!BexGetData("DP_1","003N8EMH8GTFRCSWKMPXRR8GU","GSON1112061141")</f>
        <v>#NAME?</v>
      </c>
      <c r="D1126" s="23" t="e">
        <f ca="1">[1]!BexGetData("DP_1","003N8EMH8GTFRCSWKMPXRRESE","GSON1112061141")</f>
        <v>#NAME?</v>
      </c>
      <c r="E1126" s="28" t="e">
        <f ca="1">[1]!BexGetData("DP_1","003N8EMH8GTFRCSWKMPXRRL3Y","GSON1112061141")</f>
        <v>#NAME?</v>
      </c>
      <c r="F1126" s="24" t="e">
        <f ca="1">[1]!BexGetData("DP_1","003N8EMH8GTFRCSWKMPXRRRFI","GSON1112061141")</f>
        <v>#NAME?</v>
      </c>
      <c r="G1126" s="24" t="e">
        <f ca="1">[1]!BexGetData("DP_1","003N8EMH8GTFRCSWKMPXRRXR2","GSON1112061141")</f>
        <v>#NAME?</v>
      </c>
      <c r="H1126" s="24" t="e">
        <f ca="1">[1]!BexGetData("DP_1","003N8EMH8GTFRCSWKMPXRS42M","GSON1112061141")</f>
        <v>#NAME?</v>
      </c>
      <c r="I1126" s="24" t="e">
        <f ca="1">[1]!BexGetData("DP_1","003N8EMH8GTFRCSWKMPXRSAE6","GSON1112061141")</f>
        <v>#NAME?</v>
      </c>
      <c r="J1126" s="24" t="e">
        <f ca="1">[1]!BexGetData("DP_1","003N8EMH8GTFRCSWKMPXRSGPQ","GSON1112061141")</f>
        <v>#NAME?</v>
      </c>
      <c r="K1126" s="28" t="e">
        <f ca="1">[1]!BexGetData("DP_1","003N8EMH8GTFRIVNUPY288VJH","GSON1112061141")</f>
        <v>#NAME?</v>
      </c>
      <c r="L1126" s="28" t="e">
        <f ca="1">[1]!BexGetData("DP_1","003N8EMH8GTFRIVNUPY2891V1","GSON1112061141")</f>
        <v>#NAME?</v>
      </c>
      <c r="M1126" s="28" t="e">
        <f ca="1">[1]!BexGetData("DP_1","003N8EMH8GTFRIVOG7KG9IQXA","GSON1112061141")</f>
        <v>#NAME?</v>
      </c>
      <c r="N1126" s="28" t="e">
        <f ca="1">[1]!BexGetData("DP_1","003N8EMH8GTFRIVOG7KG9IX8U","GSON1112061141")</f>
        <v>#NAME?</v>
      </c>
      <c r="O1126" s="28" t="e">
        <f ca="1">[1]!BexGetData("DP_1","003N8EMH8GTFRIVOG7KG9J3KE","GSON1112061141")</f>
        <v>#NAME?</v>
      </c>
      <c r="P1126" s="28" t="e">
        <f ca="1">[1]!BexGetData("DP_1","003N8EMH8GTFRIVOG7KG9J9VY","GSON1112061141")</f>
        <v>#NAME?</v>
      </c>
      <c r="Q1126" s="24" t="e">
        <f ca="1">[1]!BexGetData("DP_1","00O2TNJGODT0G5Z4TTKYMM5MT","GSON1112061141")</f>
        <v>#NAME?</v>
      </c>
      <c r="R1126" s="24" t="e">
        <f ca="1">[1]!BexGetData("DP_1","00O2TNJGODT0G5Z4TTKYMMBYD","GSON1112061141")</f>
        <v>#NAME?</v>
      </c>
      <c r="S1126" s="24" t="e">
        <f ca="1">[1]!BexGetData("DP_1","00O2TNJGODT0G5Z4TTKYMMI9X","GSON1112061141")</f>
        <v>#NAME?</v>
      </c>
      <c r="T1126" s="24" t="e">
        <f ca="1">[1]!BexGetData("DP_1","00O2TNJGODT0G5Z4TTKYMMOLH","GSON1112061141")</f>
        <v>#NAME?</v>
      </c>
      <c r="U1126" s="24" t="e">
        <f ca="1">[1]!BexGetData("DP_1","00O2TNJGODT0G5Z4TTKYMMUX1","GSON1112061141")</f>
        <v>#NAME?</v>
      </c>
      <c r="V1126" s="24" t="e">
        <f ca="1">[1]!BexGetData("DP_1","00O2TNJGODT0G5Z4TTKYMN18L","GSON1112061141")</f>
        <v>#NAME?</v>
      </c>
      <c r="W1126" s="24" t="e">
        <f ca="1">[1]!BexGetData("DP_1","00O2TNJGODT0G5Z4TTKYMN7K5","GSON1112061141")</f>
        <v>#NAME?</v>
      </c>
    </row>
    <row r="1127" spans="1:23" x14ac:dyDescent="0.2">
      <c r="A1127" s="36" t="s">
        <v>3608</v>
      </c>
      <c r="B1127" s="27" t="s">
        <v>3609</v>
      </c>
      <c r="C1127" s="23" t="e">
        <f ca="1">[1]!BexGetData("DP_1","003N8EMH8GTFRCSWKMPXRR8GU","GSON1112061143")</f>
        <v>#NAME?</v>
      </c>
      <c r="D1127" s="23" t="e">
        <f ca="1">[1]!BexGetData("DP_1","003N8EMH8GTFRCSWKMPXRRESE","GSON1112061143")</f>
        <v>#NAME?</v>
      </c>
      <c r="E1127" s="28" t="e">
        <f ca="1">[1]!BexGetData("DP_1","003N8EMH8GTFRCSWKMPXRRL3Y","GSON1112061143")</f>
        <v>#NAME?</v>
      </c>
      <c r="F1127" s="24" t="e">
        <f ca="1">[1]!BexGetData("DP_1","003N8EMH8GTFRCSWKMPXRRRFI","GSON1112061143")</f>
        <v>#NAME?</v>
      </c>
      <c r="G1127" s="24" t="e">
        <f ca="1">[1]!BexGetData("DP_1","003N8EMH8GTFRCSWKMPXRRXR2","GSON1112061143")</f>
        <v>#NAME?</v>
      </c>
      <c r="H1127" s="24" t="e">
        <f ca="1">[1]!BexGetData("DP_1","003N8EMH8GTFRCSWKMPXRS42M","GSON1112061143")</f>
        <v>#NAME?</v>
      </c>
      <c r="I1127" s="24" t="e">
        <f ca="1">[1]!BexGetData("DP_1","003N8EMH8GTFRCSWKMPXRSAE6","GSON1112061143")</f>
        <v>#NAME?</v>
      </c>
      <c r="J1127" s="24" t="e">
        <f ca="1">[1]!BexGetData("DP_1","003N8EMH8GTFRCSWKMPXRSGPQ","GSON1112061143")</f>
        <v>#NAME?</v>
      </c>
      <c r="K1127" s="28" t="e">
        <f ca="1">[1]!BexGetData("DP_1","003N8EMH8GTFRIVNUPY288VJH","GSON1112061143")</f>
        <v>#NAME?</v>
      </c>
      <c r="L1127" s="28" t="e">
        <f ca="1">[1]!BexGetData("DP_1","003N8EMH8GTFRIVNUPY2891V1","GSON1112061143")</f>
        <v>#NAME?</v>
      </c>
      <c r="M1127" s="28" t="e">
        <f ca="1">[1]!BexGetData("DP_1","003N8EMH8GTFRIVOG7KG9IQXA","GSON1112061143")</f>
        <v>#NAME?</v>
      </c>
      <c r="N1127" s="28" t="e">
        <f ca="1">[1]!BexGetData("DP_1","003N8EMH8GTFRIVOG7KG9IX8U","GSON1112061143")</f>
        <v>#NAME?</v>
      </c>
      <c r="O1127" s="28" t="e">
        <f ca="1">[1]!BexGetData("DP_1","003N8EMH8GTFRIVOG7KG9J3KE","GSON1112061143")</f>
        <v>#NAME?</v>
      </c>
      <c r="P1127" s="28" t="e">
        <f ca="1">[1]!BexGetData("DP_1","003N8EMH8GTFRIVOG7KG9J9VY","GSON1112061143")</f>
        <v>#NAME?</v>
      </c>
      <c r="Q1127" s="24" t="e">
        <f ca="1">[1]!BexGetData("DP_1","00O2TNJGODT0G5Z4TTKYMM5MT","GSON1112061143")</f>
        <v>#NAME?</v>
      </c>
      <c r="R1127" s="24" t="e">
        <f ca="1">[1]!BexGetData("DP_1","00O2TNJGODT0G5Z4TTKYMMBYD","GSON1112061143")</f>
        <v>#NAME?</v>
      </c>
      <c r="S1127" s="24" t="e">
        <f ca="1">[1]!BexGetData("DP_1","00O2TNJGODT0G5Z4TTKYMMI9X","GSON1112061143")</f>
        <v>#NAME?</v>
      </c>
      <c r="T1127" s="24" t="e">
        <f ca="1">[1]!BexGetData("DP_1","00O2TNJGODT0G5Z4TTKYMMOLH","GSON1112061143")</f>
        <v>#NAME?</v>
      </c>
      <c r="U1127" s="24" t="e">
        <f ca="1">[1]!BexGetData("DP_1","00O2TNJGODT0G5Z4TTKYMMUX1","GSON1112061143")</f>
        <v>#NAME?</v>
      </c>
      <c r="V1127" s="24" t="e">
        <f ca="1">[1]!BexGetData("DP_1","00O2TNJGODT0G5Z4TTKYMN18L","GSON1112061143")</f>
        <v>#NAME?</v>
      </c>
      <c r="W1127" s="24" t="e">
        <f ca="1">[1]!BexGetData("DP_1","00O2TNJGODT0G5Z4TTKYMN7K5","GSON1112061143")</f>
        <v>#NAME?</v>
      </c>
    </row>
    <row r="1128" spans="1:23" x14ac:dyDescent="0.2">
      <c r="A1128" s="36" t="s">
        <v>3610</v>
      </c>
      <c r="B1128" s="27" t="s">
        <v>3611</v>
      </c>
      <c r="C1128" s="23" t="e">
        <f ca="1">[1]!BexGetData("DP_1","003N8EMH8GTFRCSWKMPXRR8GU","GSON1112061144")</f>
        <v>#NAME?</v>
      </c>
      <c r="D1128" s="23" t="e">
        <f ca="1">[1]!BexGetData("DP_1","003N8EMH8GTFRCSWKMPXRRESE","GSON1112061144")</f>
        <v>#NAME?</v>
      </c>
      <c r="E1128" s="28" t="e">
        <f ca="1">[1]!BexGetData("DP_1","003N8EMH8GTFRCSWKMPXRRL3Y","GSON1112061144")</f>
        <v>#NAME?</v>
      </c>
      <c r="F1128" s="24" t="e">
        <f ca="1">[1]!BexGetData("DP_1","003N8EMH8GTFRCSWKMPXRRRFI","GSON1112061144")</f>
        <v>#NAME?</v>
      </c>
      <c r="G1128" s="24" t="e">
        <f ca="1">[1]!BexGetData("DP_1","003N8EMH8GTFRCSWKMPXRRXR2","GSON1112061144")</f>
        <v>#NAME?</v>
      </c>
      <c r="H1128" s="24" t="e">
        <f ca="1">[1]!BexGetData("DP_1","003N8EMH8GTFRCSWKMPXRS42M","GSON1112061144")</f>
        <v>#NAME?</v>
      </c>
      <c r="I1128" s="24" t="e">
        <f ca="1">[1]!BexGetData("DP_1","003N8EMH8GTFRCSWKMPXRSAE6","GSON1112061144")</f>
        <v>#NAME?</v>
      </c>
      <c r="J1128" s="24" t="e">
        <f ca="1">[1]!BexGetData("DP_1","003N8EMH8GTFRCSWKMPXRSGPQ","GSON1112061144")</f>
        <v>#NAME?</v>
      </c>
      <c r="K1128" s="28" t="e">
        <f ca="1">[1]!BexGetData("DP_1","003N8EMH8GTFRIVNUPY288VJH","GSON1112061144")</f>
        <v>#NAME?</v>
      </c>
      <c r="L1128" s="28" t="e">
        <f ca="1">[1]!BexGetData("DP_1","003N8EMH8GTFRIVNUPY2891V1","GSON1112061144")</f>
        <v>#NAME?</v>
      </c>
      <c r="M1128" s="28" t="e">
        <f ca="1">[1]!BexGetData("DP_1","003N8EMH8GTFRIVOG7KG9IQXA","GSON1112061144")</f>
        <v>#NAME?</v>
      </c>
      <c r="N1128" s="28" t="e">
        <f ca="1">[1]!BexGetData("DP_1","003N8EMH8GTFRIVOG7KG9IX8U","GSON1112061144")</f>
        <v>#NAME?</v>
      </c>
      <c r="O1128" s="28" t="e">
        <f ca="1">[1]!BexGetData("DP_1","003N8EMH8GTFRIVOG7KG9J3KE","GSON1112061144")</f>
        <v>#NAME?</v>
      </c>
      <c r="P1128" s="28" t="e">
        <f ca="1">[1]!BexGetData("DP_1","003N8EMH8GTFRIVOG7KG9J9VY","GSON1112061144")</f>
        <v>#NAME?</v>
      </c>
      <c r="Q1128" s="24" t="e">
        <f ca="1">[1]!BexGetData("DP_1","00O2TNJGODT0G5Z4TTKYMM5MT","GSON1112061144")</f>
        <v>#NAME?</v>
      </c>
      <c r="R1128" s="24" t="e">
        <f ca="1">[1]!BexGetData("DP_1","00O2TNJGODT0G5Z4TTKYMMBYD","GSON1112061144")</f>
        <v>#NAME?</v>
      </c>
      <c r="S1128" s="24" t="e">
        <f ca="1">[1]!BexGetData("DP_1","00O2TNJGODT0G5Z4TTKYMMI9X","GSON1112061144")</f>
        <v>#NAME?</v>
      </c>
      <c r="T1128" s="24" t="e">
        <f ca="1">[1]!BexGetData("DP_1","00O2TNJGODT0G5Z4TTKYMMOLH","GSON1112061144")</f>
        <v>#NAME?</v>
      </c>
      <c r="U1128" s="24" t="e">
        <f ca="1">[1]!BexGetData("DP_1","00O2TNJGODT0G5Z4TTKYMMUX1","GSON1112061144")</f>
        <v>#NAME?</v>
      </c>
      <c r="V1128" s="24" t="e">
        <f ca="1">[1]!BexGetData("DP_1","00O2TNJGODT0G5Z4TTKYMN18L","GSON1112061144")</f>
        <v>#NAME?</v>
      </c>
      <c r="W1128" s="24" t="e">
        <f ca="1">[1]!BexGetData("DP_1","00O2TNJGODT0G5Z4TTKYMN7K5","GSON1112061144")</f>
        <v>#NAME?</v>
      </c>
    </row>
    <row r="1129" spans="1:23" x14ac:dyDescent="0.2">
      <c r="A1129" s="36" t="s">
        <v>3612</v>
      </c>
      <c r="B1129" s="27" t="s">
        <v>3613</v>
      </c>
      <c r="C1129" s="23" t="e">
        <f ca="1">[1]!BexGetData("DP_1","003N8EMH8GTFRCSWKMPXRR8GU","GSON1112061145")</f>
        <v>#NAME?</v>
      </c>
      <c r="D1129" s="23" t="e">
        <f ca="1">[1]!BexGetData("DP_1","003N8EMH8GTFRCSWKMPXRRESE","GSON1112061145")</f>
        <v>#NAME?</v>
      </c>
      <c r="E1129" s="28" t="e">
        <f ca="1">[1]!BexGetData("DP_1","003N8EMH8GTFRCSWKMPXRRL3Y","GSON1112061145")</f>
        <v>#NAME?</v>
      </c>
      <c r="F1129" s="24" t="e">
        <f ca="1">[1]!BexGetData("DP_1","003N8EMH8GTFRCSWKMPXRRRFI","GSON1112061145")</f>
        <v>#NAME?</v>
      </c>
      <c r="G1129" s="24" t="e">
        <f ca="1">[1]!BexGetData("DP_1","003N8EMH8GTFRCSWKMPXRRXR2","GSON1112061145")</f>
        <v>#NAME?</v>
      </c>
      <c r="H1129" s="24" t="e">
        <f ca="1">[1]!BexGetData("DP_1","003N8EMH8GTFRCSWKMPXRS42M","GSON1112061145")</f>
        <v>#NAME?</v>
      </c>
      <c r="I1129" s="24" t="e">
        <f ca="1">[1]!BexGetData("DP_1","003N8EMH8GTFRCSWKMPXRSAE6","GSON1112061145")</f>
        <v>#NAME?</v>
      </c>
      <c r="J1129" s="24" t="e">
        <f ca="1">[1]!BexGetData("DP_1","003N8EMH8GTFRCSWKMPXRSGPQ","GSON1112061145")</f>
        <v>#NAME?</v>
      </c>
      <c r="K1129" s="28" t="e">
        <f ca="1">[1]!BexGetData("DP_1","003N8EMH8GTFRIVNUPY288VJH","GSON1112061145")</f>
        <v>#NAME?</v>
      </c>
      <c r="L1129" s="28" t="e">
        <f ca="1">[1]!BexGetData("DP_1","003N8EMH8GTFRIVNUPY2891V1","GSON1112061145")</f>
        <v>#NAME?</v>
      </c>
      <c r="M1129" s="28" t="e">
        <f ca="1">[1]!BexGetData("DP_1","003N8EMH8GTFRIVOG7KG9IQXA","GSON1112061145")</f>
        <v>#NAME?</v>
      </c>
      <c r="N1129" s="28" t="e">
        <f ca="1">[1]!BexGetData("DP_1","003N8EMH8GTFRIVOG7KG9IX8U","GSON1112061145")</f>
        <v>#NAME?</v>
      </c>
      <c r="O1129" s="28" t="e">
        <f ca="1">[1]!BexGetData("DP_1","003N8EMH8GTFRIVOG7KG9J3KE","GSON1112061145")</f>
        <v>#NAME?</v>
      </c>
      <c r="P1129" s="28" t="e">
        <f ca="1">[1]!BexGetData("DP_1","003N8EMH8GTFRIVOG7KG9J9VY","GSON1112061145")</f>
        <v>#NAME?</v>
      </c>
      <c r="Q1129" s="24" t="e">
        <f ca="1">[1]!BexGetData("DP_1","00O2TNJGODT0G5Z4TTKYMM5MT","GSON1112061145")</f>
        <v>#NAME?</v>
      </c>
      <c r="R1129" s="24" t="e">
        <f ca="1">[1]!BexGetData("DP_1","00O2TNJGODT0G5Z4TTKYMMBYD","GSON1112061145")</f>
        <v>#NAME?</v>
      </c>
      <c r="S1129" s="24" t="e">
        <f ca="1">[1]!BexGetData("DP_1","00O2TNJGODT0G5Z4TTKYMMI9X","GSON1112061145")</f>
        <v>#NAME?</v>
      </c>
      <c r="T1129" s="24" t="e">
        <f ca="1">[1]!BexGetData("DP_1","00O2TNJGODT0G5Z4TTKYMMOLH","GSON1112061145")</f>
        <v>#NAME?</v>
      </c>
      <c r="U1129" s="24" t="e">
        <f ca="1">[1]!BexGetData("DP_1","00O2TNJGODT0G5Z4TTKYMMUX1","GSON1112061145")</f>
        <v>#NAME?</v>
      </c>
      <c r="V1129" s="24" t="e">
        <f ca="1">[1]!BexGetData("DP_1","00O2TNJGODT0G5Z4TTKYMN18L","GSON1112061145")</f>
        <v>#NAME?</v>
      </c>
      <c r="W1129" s="24" t="e">
        <f ca="1">[1]!BexGetData("DP_1","00O2TNJGODT0G5Z4TTKYMN7K5","GSON1112061145")</f>
        <v>#NAME?</v>
      </c>
    </row>
    <row r="1130" spans="1:23" x14ac:dyDescent="0.2">
      <c r="A1130" s="36" t="s">
        <v>3614</v>
      </c>
      <c r="B1130" s="27" t="s">
        <v>3615</v>
      </c>
      <c r="C1130" s="23" t="e">
        <f ca="1">[1]!BexGetData("DP_1","003N8EMH8GTFRCSWKMPXRR8GU","GSON1112061153")</f>
        <v>#NAME?</v>
      </c>
      <c r="D1130" s="23" t="e">
        <f ca="1">[1]!BexGetData("DP_1","003N8EMH8GTFRCSWKMPXRRESE","GSON1112061153")</f>
        <v>#NAME?</v>
      </c>
      <c r="E1130" s="28" t="e">
        <f ca="1">[1]!BexGetData("DP_1","003N8EMH8GTFRCSWKMPXRRL3Y","GSON1112061153")</f>
        <v>#NAME?</v>
      </c>
      <c r="F1130" s="24" t="e">
        <f ca="1">[1]!BexGetData("DP_1","003N8EMH8GTFRCSWKMPXRRRFI","GSON1112061153")</f>
        <v>#NAME?</v>
      </c>
      <c r="G1130" s="24" t="e">
        <f ca="1">[1]!BexGetData("DP_1","003N8EMH8GTFRCSWKMPXRRXR2","GSON1112061153")</f>
        <v>#NAME?</v>
      </c>
      <c r="H1130" s="24" t="e">
        <f ca="1">[1]!BexGetData("DP_1","003N8EMH8GTFRCSWKMPXRS42M","GSON1112061153")</f>
        <v>#NAME?</v>
      </c>
      <c r="I1130" s="24" t="e">
        <f ca="1">[1]!BexGetData("DP_1","003N8EMH8GTFRCSWKMPXRSAE6","GSON1112061153")</f>
        <v>#NAME?</v>
      </c>
      <c r="J1130" s="24" t="e">
        <f ca="1">[1]!BexGetData("DP_1","003N8EMH8GTFRCSWKMPXRSGPQ","GSON1112061153")</f>
        <v>#NAME?</v>
      </c>
      <c r="K1130" s="28" t="e">
        <f ca="1">[1]!BexGetData("DP_1","003N8EMH8GTFRIVNUPY288VJH","GSON1112061153")</f>
        <v>#NAME?</v>
      </c>
      <c r="L1130" s="28" t="e">
        <f ca="1">[1]!BexGetData("DP_1","003N8EMH8GTFRIVNUPY2891V1","GSON1112061153")</f>
        <v>#NAME?</v>
      </c>
      <c r="M1130" s="28" t="e">
        <f ca="1">[1]!BexGetData("DP_1","003N8EMH8GTFRIVOG7KG9IQXA","GSON1112061153")</f>
        <v>#NAME?</v>
      </c>
      <c r="N1130" s="28" t="e">
        <f ca="1">[1]!BexGetData("DP_1","003N8EMH8GTFRIVOG7KG9IX8U","GSON1112061153")</f>
        <v>#NAME?</v>
      </c>
      <c r="O1130" s="28" t="e">
        <f ca="1">[1]!BexGetData("DP_1","003N8EMH8GTFRIVOG7KG9J3KE","GSON1112061153")</f>
        <v>#NAME?</v>
      </c>
      <c r="P1130" s="28" t="e">
        <f ca="1">[1]!BexGetData("DP_1","003N8EMH8GTFRIVOG7KG9J9VY","GSON1112061153")</f>
        <v>#NAME?</v>
      </c>
      <c r="Q1130" s="24" t="e">
        <f ca="1">[1]!BexGetData("DP_1","00O2TNJGODT0G5Z4TTKYMM5MT","GSON1112061153")</f>
        <v>#NAME?</v>
      </c>
      <c r="R1130" s="24" t="e">
        <f ca="1">[1]!BexGetData("DP_1","00O2TNJGODT0G5Z4TTKYMMBYD","GSON1112061153")</f>
        <v>#NAME?</v>
      </c>
      <c r="S1130" s="24" t="e">
        <f ca="1">[1]!BexGetData("DP_1","00O2TNJGODT0G5Z4TTKYMMI9X","GSON1112061153")</f>
        <v>#NAME?</v>
      </c>
      <c r="T1130" s="24" t="e">
        <f ca="1">[1]!BexGetData("DP_1","00O2TNJGODT0G5Z4TTKYMMOLH","GSON1112061153")</f>
        <v>#NAME?</v>
      </c>
      <c r="U1130" s="24" t="e">
        <f ca="1">[1]!BexGetData("DP_1","00O2TNJGODT0G5Z4TTKYMMUX1","GSON1112061153")</f>
        <v>#NAME?</v>
      </c>
      <c r="V1130" s="24" t="e">
        <f ca="1">[1]!BexGetData("DP_1","00O2TNJGODT0G5Z4TTKYMN18L","GSON1112061153")</f>
        <v>#NAME?</v>
      </c>
      <c r="W1130" s="24" t="e">
        <f ca="1">[1]!BexGetData("DP_1","00O2TNJGODT0G5Z4TTKYMN7K5","GSON1112061153")</f>
        <v>#NAME?</v>
      </c>
    </row>
    <row r="1131" spans="1:23" x14ac:dyDescent="0.2">
      <c r="A1131" s="36" t="s">
        <v>3616</v>
      </c>
      <c r="B1131" s="27" t="s">
        <v>3617</v>
      </c>
      <c r="C1131" s="23" t="e">
        <f ca="1">[1]!BexGetData("DP_1","003N8EMH8GTFRCSWKMPXRR8GU","GSON1112061160")</f>
        <v>#NAME?</v>
      </c>
      <c r="D1131" s="23" t="e">
        <f ca="1">[1]!BexGetData("DP_1","003N8EMH8GTFRCSWKMPXRRESE","GSON1112061160")</f>
        <v>#NAME?</v>
      </c>
      <c r="E1131" s="23" t="e">
        <f ca="1">[1]!BexGetData("DP_1","003N8EMH8GTFRCSWKMPXRRL3Y","GSON1112061160")</f>
        <v>#NAME?</v>
      </c>
      <c r="F1131" s="24" t="e">
        <f ca="1">[1]!BexGetData("DP_1","003N8EMH8GTFRCSWKMPXRRRFI","GSON1112061160")</f>
        <v>#NAME?</v>
      </c>
      <c r="G1131" s="24" t="e">
        <f ca="1">[1]!BexGetData("DP_1","003N8EMH8GTFRCSWKMPXRRXR2","GSON1112061160")</f>
        <v>#NAME?</v>
      </c>
      <c r="H1131" s="24" t="e">
        <f ca="1">[1]!BexGetData("DP_1","003N8EMH8GTFRCSWKMPXRS42M","GSON1112061160")</f>
        <v>#NAME?</v>
      </c>
      <c r="I1131" s="24" t="e">
        <f ca="1">[1]!BexGetData("DP_1","003N8EMH8GTFRCSWKMPXRSAE6","GSON1112061160")</f>
        <v>#NAME?</v>
      </c>
      <c r="J1131" s="24" t="e">
        <f ca="1">[1]!BexGetData("DP_1","003N8EMH8GTFRCSWKMPXRSGPQ","GSON1112061160")</f>
        <v>#NAME?</v>
      </c>
      <c r="K1131" s="23" t="e">
        <f ca="1">[1]!BexGetData("DP_1","003N8EMH8GTFRIVNUPY288VJH","GSON1112061160")</f>
        <v>#NAME?</v>
      </c>
      <c r="L1131" s="23" t="e">
        <f ca="1">[1]!BexGetData("DP_1","003N8EMH8GTFRIVNUPY2891V1","GSON1112061160")</f>
        <v>#NAME?</v>
      </c>
      <c r="M1131" s="28" t="e">
        <f ca="1">[1]!BexGetData("DP_1","003N8EMH8GTFRIVOG7KG9IQXA","GSON1112061160")</f>
        <v>#NAME?</v>
      </c>
      <c r="N1131" s="23" t="e">
        <f ca="1">[1]!BexGetData("DP_1","003N8EMH8GTFRIVOG7KG9IX8U","GSON1112061160")</f>
        <v>#NAME?</v>
      </c>
      <c r="O1131" s="28" t="e">
        <f ca="1">[1]!BexGetData("DP_1","003N8EMH8GTFRIVOG7KG9J3KE","GSON1112061160")</f>
        <v>#NAME?</v>
      </c>
      <c r="P1131" s="23" t="e">
        <f ca="1">[1]!BexGetData("DP_1","003N8EMH8GTFRIVOG7KG9J9VY","GSON1112061160")</f>
        <v>#NAME?</v>
      </c>
      <c r="Q1131" s="24" t="e">
        <f ca="1">[1]!BexGetData("DP_1","00O2TNJGODT0G5Z4TTKYMM5MT","GSON1112061160")</f>
        <v>#NAME?</v>
      </c>
      <c r="R1131" s="24" t="e">
        <f ca="1">[1]!BexGetData("DP_1","00O2TNJGODT0G5Z4TTKYMMBYD","GSON1112061160")</f>
        <v>#NAME?</v>
      </c>
      <c r="S1131" s="24" t="e">
        <f ca="1">[1]!BexGetData("DP_1","00O2TNJGODT0G5Z4TTKYMMI9X","GSON1112061160")</f>
        <v>#NAME?</v>
      </c>
      <c r="T1131" s="24" t="e">
        <f ca="1">[1]!BexGetData("DP_1","00O2TNJGODT0G5Z4TTKYMMOLH","GSON1112061160")</f>
        <v>#NAME?</v>
      </c>
      <c r="U1131" s="24" t="e">
        <f ca="1">[1]!BexGetData("DP_1","00O2TNJGODT0G5Z4TTKYMMUX1","GSON1112061160")</f>
        <v>#NAME?</v>
      </c>
      <c r="V1131" s="24" t="e">
        <f ca="1">[1]!BexGetData("DP_1","00O2TNJGODT0G5Z4TTKYMN18L","GSON1112061160")</f>
        <v>#NAME?</v>
      </c>
      <c r="W1131" s="24" t="e">
        <f ca="1">[1]!BexGetData("DP_1","00O2TNJGODT0G5Z4TTKYMN7K5","GSON1112061160")</f>
        <v>#NAME?</v>
      </c>
    </row>
    <row r="1132" spans="1:23" x14ac:dyDescent="0.2">
      <c r="A1132" s="36" t="s">
        <v>3618</v>
      </c>
      <c r="B1132" s="27" t="s">
        <v>3619</v>
      </c>
      <c r="C1132" s="23" t="e">
        <f ca="1">[1]!BexGetData("DP_1","003N8EMH8GTFRCSWKMPXRR8GU","GSON1112061161")</f>
        <v>#NAME?</v>
      </c>
      <c r="D1132" s="23" t="e">
        <f ca="1">[1]!BexGetData("DP_1","003N8EMH8GTFRCSWKMPXRRESE","GSON1112061161")</f>
        <v>#NAME?</v>
      </c>
      <c r="E1132" s="28" t="e">
        <f ca="1">[1]!BexGetData("DP_1","003N8EMH8GTFRCSWKMPXRRL3Y","GSON1112061161")</f>
        <v>#NAME?</v>
      </c>
      <c r="F1132" s="24" t="e">
        <f ca="1">[1]!BexGetData("DP_1","003N8EMH8GTFRCSWKMPXRRRFI","GSON1112061161")</f>
        <v>#NAME?</v>
      </c>
      <c r="G1132" s="24" t="e">
        <f ca="1">[1]!BexGetData("DP_1","003N8EMH8GTFRCSWKMPXRRXR2","GSON1112061161")</f>
        <v>#NAME?</v>
      </c>
      <c r="H1132" s="24" t="e">
        <f ca="1">[1]!BexGetData("DP_1","003N8EMH8GTFRCSWKMPXRS42M","GSON1112061161")</f>
        <v>#NAME?</v>
      </c>
      <c r="I1132" s="24" t="e">
        <f ca="1">[1]!BexGetData("DP_1","003N8EMH8GTFRCSWKMPXRSAE6","GSON1112061161")</f>
        <v>#NAME?</v>
      </c>
      <c r="J1132" s="24" t="e">
        <f ca="1">[1]!BexGetData("DP_1","003N8EMH8GTFRCSWKMPXRSGPQ","GSON1112061161")</f>
        <v>#NAME?</v>
      </c>
      <c r="K1132" s="28" t="e">
        <f ca="1">[1]!BexGetData("DP_1","003N8EMH8GTFRIVNUPY288VJH","GSON1112061161")</f>
        <v>#NAME?</v>
      </c>
      <c r="L1132" s="28" t="e">
        <f ca="1">[1]!BexGetData("DP_1","003N8EMH8GTFRIVNUPY2891V1","GSON1112061161")</f>
        <v>#NAME?</v>
      </c>
      <c r="M1132" s="28" t="e">
        <f ca="1">[1]!BexGetData("DP_1","003N8EMH8GTFRIVOG7KG9IQXA","GSON1112061161")</f>
        <v>#NAME?</v>
      </c>
      <c r="N1132" s="28" t="e">
        <f ca="1">[1]!BexGetData("DP_1","003N8EMH8GTFRIVOG7KG9IX8U","GSON1112061161")</f>
        <v>#NAME?</v>
      </c>
      <c r="O1132" s="28" t="e">
        <f ca="1">[1]!BexGetData("DP_1","003N8EMH8GTFRIVOG7KG9J3KE","GSON1112061161")</f>
        <v>#NAME?</v>
      </c>
      <c r="P1132" s="28" t="e">
        <f ca="1">[1]!BexGetData("DP_1","003N8EMH8GTFRIVOG7KG9J9VY","GSON1112061161")</f>
        <v>#NAME?</v>
      </c>
      <c r="Q1132" s="24" t="e">
        <f ca="1">[1]!BexGetData("DP_1","00O2TNJGODT0G5Z4TTKYMM5MT","GSON1112061161")</f>
        <v>#NAME?</v>
      </c>
      <c r="R1132" s="24" t="e">
        <f ca="1">[1]!BexGetData("DP_1","00O2TNJGODT0G5Z4TTKYMMBYD","GSON1112061161")</f>
        <v>#NAME?</v>
      </c>
      <c r="S1132" s="24" t="e">
        <f ca="1">[1]!BexGetData("DP_1","00O2TNJGODT0G5Z4TTKYMMI9X","GSON1112061161")</f>
        <v>#NAME?</v>
      </c>
      <c r="T1132" s="24" t="e">
        <f ca="1">[1]!BexGetData("DP_1","00O2TNJGODT0G5Z4TTKYMMOLH","GSON1112061161")</f>
        <v>#NAME?</v>
      </c>
      <c r="U1132" s="24" t="e">
        <f ca="1">[1]!BexGetData("DP_1","00O2TNJGODT0G5Z4TTKYMMUX1","GSON1112061161")</f>
        <v>#NAME?</v>
      </c>
      <c r="V1132" s="24" t="e">
        <f ca="1">[1]!BexGetData("DP_1","00O2TNJGODT0G5Z4TTKYMN18L","GSON1112061161")</f>
        <v>#NAME?</v>
      </c>
      <c r="W1132" s="24" t="e">
        <f ca="1">[1]!BexGetData("DP_1","00O2TNJGODT0G5Z4TTKYMN7K5","GSON1112061161")</f>
        <v>#NAME?</v>
      </c>
    </row>
    <row r="1133" spans="1:23" x14ac:dyDescent="0.2">
      <c r="A1133" s="36" t="s">
        <v>3620</v>
      </c>
      <c r="B1133" s="27" t="s">
        <v>3621</v>
      </c>
      <c r="C1133" s="23" t="e">
        <f ca="1">[1]!BexGetData("DP_1","003N8EMH8GTFRCSWKMPXRR8GU","GSON1112061163")</f>
        <v>#NAME?</v>
      </c>
      <c r="D1133" s="23" t="e">
        <f ca="1">[1]!BexGetData("DP_1","003N8EMH8GTFRCSWKMPXRRESE","GSON1112061163")</f>
        <v>#NAME?</v>
      </c>
      <c r="E1133" s="28" t="e">
        <f ca="1">[1]!BexGetData("DP_1","003N8EMH8GTFRCSWKMPXRRL3Y","GSON1112061163")</f>
        <v>#NAME?</v>
      </c>
      <c r="F1133" s="24" t="e">
        <f ca="1">[1]!BexGetData("DP_1","003N8EMH8GTFRCSWKMPXRRRFI","GSON1112061163")</f>
        <v>#NAME?</v>
      </c>
      <c r="G1133" s="24" t="e">
        <f ca="1">[1]!BexGetData("DP_1","003N8EMH8GTFRCSWKMPXRRXR2","GSON1112061163")</f>
        <v>#NAME?</v>
      </c>
      <c r="H1133" s="24" t="e">
        <f ca="1">[1]!BexGetData("DP_1","003N8EMH8GTFRCSWKMPXRS42M","GSON1112061163")</f>
        <v>#NAME?</v>
      </c>
      <c r="I1133" s="24" t="e">
        <f ca="1">[1]!BexGetData("DP_1","003N8EMH8GTFRCSWKMPXRSAE6","GSON1112061163")</f>
        <v>#NAME?</v>
      </c>
      <c r="J1133" s="24" t="e">
        <f ca="1">[1]!BexGetData("DP_1","003N8EMH8GTFRCSWKMPXRSGPQ","GSON1112061163")</f>
        <v>#NAME?</v>
      </c>
      <c r="K1133" s="28" t="e">
        <f ca="1">[1]!BexGetData("DP_1","003N8EMH8GTFRIVNUPY288VJH","GSON1112061163")</f>
        <v>#NAME?</v>
      </c>
      <c r="L1133" s="28" t="e">
        <f ca="1">[1]!BexGetData("DP_1","003N8EMH8GTFRIVNUPY2891V1","GSON1112061163")</f>
        <v>#NAME?</v>
      </c>
      <c r="M1133" s="28" t="e">
        <f ca="1">[1]!BexGetData("DP_1","003N8EMH8GTFRIVOG7KG9IQXA","GSON1112061163")</f>
        <v>#NAME?</v>
      </c>
      <c r="N1133" s="28" t="e">
        <f ca="1">[1]!BexGetData("DP_1","003N8EMH8GTFRIVOG7KG9IX8U","GSON1112061163")</f>
        <v>#NAME?</v>
      </c>
      <c r="O1133" s="28" t="e">
        <f ca="1">[1]!BexGetData("DP_1","003N8EMH8GTFRIVOG7KG9J3KE","GSON1112061163")</f>
        <v>#NAME?</v>
      </c>
      <c r="P1133" s="28" t="e">
        <f ca="1">[1]!BexGetData("DP_1","003N8EMH8GTFRIVOG7KG9J9VY","GSON1112061163")</f>
        <v>#NAME?</v>
      </c>
      <c r="Q1133" s="24" t="e">
        <f ca="1">[1]!BexGetData("DP_1","00O2TNJGODT0G5Z4TTKYMM5MT","GSON1112061163")</f>
        <v>#NAME?</v>
      </c>
      <c r="R1133" s="24" t="e">
        <f ca="1">[1]!BexGetData("DP_1","00O2TNJGODT0G5Z4TTKYMMBYD","GSON1112061163")</f>
        <v>#NAME?</v>
      </c>
      <c r="S1133" s="24" t="e">
        <f ca="1">[1]!BexGetData("DP_1","00O2TNJGODT0G5Z4TTKYMMI9X","GSON1112061163")</f>
        <v>#NAME?</v>
      </c>
      <c r="T1133" s="24" t="e">
        <f ca="1">[1]!BexGetData("DP_1","00O2TNJGODT0G5Z4TTKYMMOLH","GSON1112061163")</f>
        <v>#NAME?</v>
      </c>
      <c r="U1133" s="24" t="e">
        <f ca="1">[1]!BexGetData("DP_1","00O2TNJGODT0G5Z4TTKYMMUX1","GSON1112061163")</f>
        <v>#NAME?</v>
      </c>
      <c r="V1133" s="24" t="e">
        <f ca="1">[1]!BexGetData("DP_1","00O2TNJGODT0G5Z4TTKYMN18L","GSON1112061163")</f>
        <v>#NAME?</v>
      </c>
      <c r="W1133" s="24" t="e">
        <f ca="1">[1]!BexGetData("DP_1","00O2TNJGODT0G5Z4TTKYMN7K5","GSON1112061163")</f>
        <v>#NAME?</v>
      </c>
    </row>
    <row r="1134" spans="1:23" x14ac:dyDescent="0.2">
      <c r="A1134" s="36" t="s">
        <v>3622</v>
      </c>
      <c r="B1134" s="27" t="s">
        <v>3623</v>
      </c>
      <c r="C1134" s="23" t="e">
        <f ca="1">[1]!BexGetData("DP_1","003N8EMH8GTFRCSWKMPXRR8GU","GSON1112061164")</f>
        <v>#NAME?</v>
      </c>
      <c r="D1134" s="23" t="e">
        <f ca="1">[1]!BexGetData("DP_1","003N8EMH8GTFRCSWKMPXRRESE","GSON1112061164")</f>
        <v>#NAME?</v>
      </c>
      <c r="E1134" s="28" t="e">
        <f ca="1">[1]!BexGetData("DP_1","003N8EMH8GTFRCSWKMPXRRL3Y","GSON1112061164")</f>
        <v>#NAME?</v>
      </c>
      <c r="F1134" s="24" t="e">
        <f ca="1">[1]!BexGetData("DP_1","003N8EMH8GTFRCSWKMPXRRRFI","GSON1112061164")</f>
        <v>#NAME?</v>
      </c>
      <c r="G1134" s="24" t="e">
        <f ca="1">[1]!BexGetData("DP_1","003N8EMH8GTFRCSWKMPXRRXR2","GSON1112061164")</f>
        <v>#NAME?</v>
      </c>
      <c r="H1134" s="24" t="e">
        <f ca="1">[1]!BexGetData("DP_1","003N8EMH8GTFRCSWKMPXRS42M","GSON1112061164")</f>
        <v>#NAME?</v>
      </c>
      <c r="I1134" s="24" t="e">
        <f ca="1">[1]!BexGetData("DP_1","003N8EMH8GTFRCSWKMPXRSAE6","GSON1112061164")</f>
        <v>#NAME?</v>
      </c>
      <c r="J1134" s="24" t="e">
        <f ca="1">[1]!BexGetData("DP_1","003N8EMH8GTFRCSWKMPXRSGPQ","GSON1112061164")</f>
        <v>#NAME?</v>
      </c>
      <c r="K1134" s="28" t="e">
        <f ca="1">[1]!BexGetData("DP_1","003N8EMH8GTFRIVNUPY288VJH","GSON1112061164")</f>
        <v>#NAME?</v>
      </c>
      <c r="L1134" s="28" t="e">
        <f ca="1">[1]!BexGetData("DP_1","003N8EMH8GTFRIVNUPY2891V1","GSON1112061164")</f>
        <v>#NAME?</v>
      </c>
      <c r="M1134" s="28" t="e">
        <f ca="1">[1]!BexGetData("DP_1","003N8EMH8GTFRIVOG7KG9IQXA","GSON1112061164")</f>
        <v>#NAME?</v>
      </c>
      <c r="N1134" s="28" t="e">
        <f ca="1">[1]!BexGetData("DP_1","003N8EMH8GTFRIVOG7KG9IX8U","GSON1112061164")</f>
        <v>#NAME?</v>
      </c>
      <c r="O1134" s="28" t="e">
        <f ca="1">[1]!BexGetData("DP_1","003N8EMH8GTFRIVOG7KG9J3KE","GSON1112061164")</f>
        <v>#NAME?</v>
      </c>
      <c r="P1134" s="28" t="e">
        <f ca="1">[1]!BexGetData("DP_1","003N8EMH8GTFRIVOG7KG9J9VY","GSON1112061164")</f>
        <v>#NAME?</v>
      </c>
      <c r="Q1134" s="24" t="e">
        <f ca="1">[1]!BexGetData("DP_1","00O2TNJGODT0G5Z4TTKYMM5MT","GSON1112061164")</f>
        <v>#NAME?</v>
      </c>
      <c r="R1134" s="24" t="e">
        <f ca="1">[1]!BexGetData("DP_1","00O2TNJGODT0G5Z4TTKYMMBYD","GSON1112061164")</f>
        <v>#NAME?</v>
      </c>
      <c r="S1134" s="24" t="e">
        <f ca="1">[1]!BexGetData("DP_1","00O2TNJGODT0G5Z4TTKYMMI9X","GSON1112061164")</f>
        <v>#NAME?</v>
      </c>
      <c r="T1134" s="24" t="e">
        <f ca="1">[1]!BexGetData("DP_1","00O2TNJGODT0G5Z4TTKYMMOLH","GSON1112061164")</f>
        <v>#NAME?</v>
      </c>
      <c r="U1134" s="24" t="e">
        <f ca="1">[1]!BexGetData("DP_1","00O2TNJGODT0G5Z4TTKYMMUX1","GSON1112061164")</f>
        <v>#NAME?</v>
      </c>
      <c r="V1134" s="24" t="e">
        <f ca="1">[1]!BexGetData("DP_1","00O2TNJGODT0G5Z4TTKYMN18L","GSON1112061164")</f>
        <v>#NAME?</v>
      </c>
      <c r="W1134" s="24" t="e">
        <f ca="1">[1]!BexGetData("DP_1","00O2TNJGODT0G5Z4TTKYMN7K5","GSON1112061164")</f>
        <v>#NAME?</v>
      </c>
    </row>
    <row r="1135" spans="1:23" x14ac:dyDescent="0.2">
      <c r="A1135" s="36" t="s">
        <v>3624</v>
      </c>
      <c r="B1135" s="27" t="s">
        <v>3625</v>
      </c>
      <c r="C1135" s="23" t="e">
        <f ca="1">[1]!BexGetData("DP_1","003N8EMH8GTFRCSWKMPXRR8GU","GSON1112061165")</f>
        <v>#NAME?</v>
      </c>
      <c r="D1135" s="23" t="e">
        <f ca="1">[1]!BexGetData("DP_1","003N8EMH8GTFRCSWKMPXRRESE","GSON1112061165")</f>
        <v>#NAME?</v>
      </c>
      <c r="E1135" s="28" t="e">
        <f ca="1">[1]!BexGetData("DP_1","003N8EMH8GTFRCSWKMPXRRL3Y","GSON1112061165")</f>
        <v>#NAME?</v>
      </c>
      <c r="F1135" s="24" t="e">
        <f ca="1">[1]!BexGetData("DP_1","003N8EMH8GTFRCSWKMPXRRRFI","GSON1112061165")</f>
        <v>#NAME?</v>
      </c>
      <c r="G1135" s="24" t="e">
        <f ca="1">[1]!BexGetData("DP_1","003N8EMH8GTFRCSWKMPXRRXR2","GSON1112061165")</f>
        <v>#NAME?</v>
      </c>
      <c r="H1135" s="24" t="e">
        <f ca="1">[1]!BexGetData("DP_1","003N8EMH8GTFRCSWKMPXRS42M","GSON1112061165")</f>
        <v>#NAME?</v>
      </c>
      <c r="I1135" s="24" t="e">
        <f ca="1">[1]!BexGetData("DP_1","003N8EMH8GTFRCSWKMPXRSAE6","GSON1112061165")</f>
        <v>#NAME?</v>
      </c>
      <c r="J1135" s="24" t="e">
        <f ca="1">[1]!BexGetData("DP_1","003N8EMH8GTFRCSWKMPXRSGPQ","GSON1112061165")</f>
        <v>#NAME?</v>
      </c>
      <c r="K1135" s="28" t="e">
        <f ca="1">[1]!BexGetData("DP_1","003N8EMH8GTFRIVNUPY288VJH","GSON1112061165")</f>
        <v>#NAME?</v>
      </c>
      <c r="L1135" s="28" t="e">
        <f ca="1">[1]!BexGetData("DP_1","003N8EMH8GTFRIVNUPY2891V1","GSON1112061165")</f>
        <v>#NAME?</v>
      </c>
      <c r="M1135" s="28" t="e">
        <f ca="1">[1]!BexGetData("DP_1","003N8EMH8GTFRIVOG7KG9IQXA","GSON1112061165")</f>
        <v>#NAME?</v>
      </c>
      <c r="N1135" s="28" t="e">
        <f ca="1">[1]!BexGetData("DP_1","003N8EMH8GTFRIVOG7KG9IX8U","GSON1112061165")</f>
        <v>#NAME?</v>
      </c>
      <c r="O1135" s="28" t="e">
        <f ca="1">[1]!BexGetData("DP_1","003N8EMH8GTFRIVOG7KG9J3KE","GSON1112061165")</f>
        <v>#NAME?</v>
      </c>
      <c r="P1135" s="28" t="e">
        <f ca="1">[1]!BexGetData("DP_1","003N8EMH8GTFRIVOG7KG9J9VY","GSON1112061165")</f>
        <v>#NAME?</v>
      </c>
      <c r="Q1135" s="24" t="e">
        <f ca="1">[1]!BexGetData("DP_1","00O2TNJGODT0G5Z4TTKYMM5MT","GSON1112061165")</f>
        <v>#NAME?</v>
      </c>
      <c r="R1135" s="24" t="e">
        <f ca="1">[1]!BexGetData("DP_1","00O2TNJGODT0G5Z4TTKYMMBYD","GSON1112061165")</f>
        <v>#NAME?</v>
      </c>
      <c r="S1135" s="24" t="e">
        <f ca="1">[1]!BexGetData("DP_1","00O2TNJGODT0G5Z4TTKYMMI9X","GSON1112061165")</f>
        <v>#NAME?</v>
      </c>
      <c r="T1135" s="24" t="e">
        <f ca="1">[1]!BexGetData("DP_1","00O2TNJGODT0G5Z4TTKYMMOLH","GSON1112061165")</f>
        <v>#NAME?</v>
      </c>
      <c r="U1135" s="24" t="e">
        <f ca="1">[1]!BexGetData("DP_1","00O2TNJGODT0G5Z4TTKYMMUX1","GSON1112061165")</f>
        <v>#NAME?</v>
      </c>
      <c r="V1135" s="24" t="e">
        <f ca="1">[1]!BexGetData("DP_1","00O2TNJGODT0G5Z4TTKYMN18L","GSON1112061165")</f>
        <v>#NAME?</v>
      </c>
      <c r="W1135" s="24" t="e">
        <f ca="1">[1]!BexGetData("DP_1","00O2TNJGODT0G5Z4TTKYMN7K5","GSON1112061165")</f>
        <v>#NAME?</v>
      </c>
    </row>
    <row r="1136" spans="1:23" x14ac:dyDescent="0.2">
      <c r="A1136" s="36" t="s">
        <v>3626</v>
      </c>
      <c r="B1136" s="27" t="s">
        <v>3627</v>
      </c>
      <c r="C1136" s="23" t="e">
        <f ca="1">[1]!BexGetData("DP_1","003N8EMH8GTFRCSWKMPXRR8GU","GSON1112061170")</f>
        <v>#NAME?</v>
      </c>
      <c r="D1136" s="23" t="e">
        <f ca="1">[1]!BexGetData("DP_1","003N8EMH8GTFRCSWKMPXRRESE","GSON1112061170")</f>
        <v>#NAME?</v>
      </c>
      <c r="E1136" s="28" t="e">
        <f ca="1">[1]!BexGetData("DP_1","003N8EMH8GTFRCSWKMPXRRL3Y","GSON1112061170")</f>
        <v>#NAME?</v>
      </c>
      <c r="F1136" s="24" t="e">
        <f ca="1">[1]!BexGetData("DP_1","003N8EMH8GTFRCSWKMPXRRRFI","GSON1112061170")</f>
        <v>#NAME?</v>
      </c>
      <c r="G1136" s="24" t="e">
        <f ca="1">[1]!BexGetData("DP_1","003N8EMH8GTFRCSWKMPXRRXR2","GSON1112061170")</f>
        <v>#NAME?</v>
      </c>
      <c r="H1136" s="24" t="e">
        <f ca="1">[1]!BexGetData("DP_1","003N8EMH8GTFRCSWKMPXRS42M","GSON1112061170")</f>
        <v>#NAME?</v>
      </c>
      <c r="I1136" s="24" t="e">
        <f ca="1">[1]!BexGetData("DP_1","003N8EMH8GTFRCSWKMPXRSAE6","GSON1112061170")</f>
        <v>#NAME?</v>
      </c>
      <c r="J1136" s="24" t="e">
        <f ca="1">[1]!BexGetData("DP_1","003N8EMH8GTFRCSWKMPXRSGPQ","GSON1112061170")</f>
        <v>#NAME?</v>
      </c>
      <c r="K1136" s="28" t="e">
        <f ca="1">[1]!BexGetData("DP_1","003N8EMH8GTFRIVNUPY288VJH","GSON1112061170")</f>
        <v>#NAME?</v>
      </c>
      <c r="L1136" s="28" t="e">
        <f ca="1">[1]!BexGetData("DP_1","003N8EMH8GTFRIVNUPY2891V1","GSON1112061170")</f>
        <v>#NAME?</v>
      </c>
      <c r="M1136" s="28" t="e">
        <f ca="1">[1]!BexGetData("DP_1","003N8EMH8GTFRIVOG7KG9IQXA","GSON1112061170")</f>
        <v>#NAME?</v>
      </c>
      <c r="N1136" s="28" t="e">
        <f ca="1">[1]!BexGetData("DP_1","003N8EMH8GTFRIVOG7KG9IX8U","GSON1112061170")</f>
        <v>#NAME?</v>
      </c>
      <c r="O1136" s="28" t="e">
        <f ca="1">[1]!BexGetData("DP_1","003N8EMH8GTFRIVOG7KG9J3KE","GSON1112061170")</f>
        <v>#NAME?</v>
      </c>
      <c r="P1136" s="28" t="e">
        <f ca="1">[1]!BexGetData("DP_1","003N8EMH8GTFRIVOG7KG9J9VY","GSON1112061170")</f>
        <v>#NAME?</v>
      </c>
      <c r="Q1136" s="24" t="e">
        <f ca="1">[1]!BexGetData("DP_1","00O2TNJGODT0G5Z4TTKYMM5MT","GSON1112061170")</f>
        <v>#NAME?</v>
      </c>
      <c r="R1136" s="24" t="e">
        <f ca="1">[1]!BexGetData("DP_1","00O2TNJGODT0G5Z4TTKYMMBYD","GSON1112061170")</f>
        <v>#NAME?</v>
      </c>
      <c r="S1136" s="24" t="e">
        <f ca="1">[1]!BexGetData("DP_1","00O2TNJGODT0G5Z4TTKYMMI9X","GSON1112061170")</f>
        <v>#NAME?</v>
      </c>
      <c r="T1136" s="24" t="e">
        <f ca="1">[1]!BexGetData("DP_1","00O2TNJGODT0G5Z4TTKYMMOLH","GSON1112061170")</f>
        <v>#NAME?</v>
      </c>
      <c r="U1136" s="24" t="e">
        <f ca="1">[1]!BexGetData("DP_1","00O2TNJGODT0G5Z4TTKYMMUX1","GSON1112061170")</f>
        <v>#NAME?</v>
      </c>
      <c r="V1136" s="24" t="e">
        <f ca="1">[1]!BexGetData("DP_1","00O2TNJGODT0G5Z4TTKYMN18L","GSON1112061170")</f>
        <v>#NAME?</v>
      </c>
      <c r="W1136" s="24" t="e">
        <f ca="1">[1]!BexGetData("DP_1","00O2TNJGODT0G5Z4TTKYMN7K5","GSON1112061170")</f>
        <v>#NAME?</v>
      </c>
    </row>
    <row r="1137" spans="1:23" x14ac:dyDescent="0.2">
      <c r="A1137" s="36" t="s">
        <v>3628</v>
      </c>
      <c r="B1137" s="27" t="s">
        <v>3629</v>
      </c>
      <c r="C1137" s="23" t="e">
        <f ca="1">[1]!BexGetData("DP_1","003N8EMH8GTFRCSWKMPXRR8GU","GSON1112061171")</f>
        <v>#NAME?</v>
      </c>
      <c r="D1137" s="23" t="e">
        <f ca="1">[1]!BexGetData("DP_1","003N8EMH8GTFRCSWKMPXRRESE","GSON1112061171")</f>
        <v>#NAME?</v>
      </c>
      <c r="E1137" s="28" t="e">
        <f ca="1">[1]!BexGetData("DP_1","003N8EMH8GTFRCSWKMPXRRL3Y","GSON1112061171")</f>
        <v>#NAME?</v>
      </c>
      <c r="F1137" s="24" t="e">
        <f ca="1">[1]!BexGetData("DP_1","003N8EMH8GTFRCSWKMPXRRRFI","GSON1112061171")</f>
        <v>#NAME?</v>
      </c>
      <c r="G1137" s="24" t="e">
        <f ca="1">[1]!BexGetData("DP_1","003N8EMH8GTFRCSWKMPXRRXR2","GSON1112061171")</f>
        <v>#NAME?</v>
      </c>
      <c r="H1137" s="24" t="e">
        <f ca="1">[1]!BexGetData("DP_1","003N8EMH8GTFRCSWKMPXRS42M","GSON1112061171")</f>
        <v>#NAME?</v>
      </c>
      <c r="I1137" s="24" t="e">
        <f ca="1">[1]!BexGetData("DP_1","003N8EMH8GTFRCSWKMPXRSAE6","GSON1112061171")</f>
        <v>#NAME?</v>
      </c>
      <c r="J1137" s="24" t="e">
        <f ca="1">[1]!BexGetData("DP_1","003N8EMH8GTFRCSWKMPXRSGPQ","GSON1112061171")</f>
        <v>#NAME?</v>
      </c>
      <c r="K1137" s="28" t="e">
        <f ca="1">[1]!BexGetData("DP_1","003N8EMH8GTFRIVNUPY288VJH","GSON1112061171")</f>
        <v>#NAME?</v>
      </c>
      <c r="L1137" s="28" t="e">
        <f ca="1">[1]!BexGetData("DP_1","003N8EMH8GTFRIVNUPY2891V1","GSON1112061171")</f>
        <v>#NAME?</v>
      </c>
      <c r="M1137" s="28" t="e">
        <f ca="1">[1]!BexGetData("DP_1","003N8EMH8GTFRIVOG7KG9IQXA","GSON1112061171")</f>
        <v>#NAME?</v>
      </c>
      <c r="N1137" s="28" t="e">
        <f ca="1">[1]!BexGetData("DP_1","003N8EMH8GTFRIVOG7KG9IX8U","GSON1112061171")</f>
        <v>#NAME?</v>
      </c>
      <c r="O1137" s="28" t="e">
        <f ca="1">[1]!BexGetData("DP_1","003N8EMH8GTFRIVOG7KG9J3KE","GSON1112061171")</f>
        <v>#NAME?</v>
      </c>
      <c r="P1137" s="28" t="e">
        <f ca="1">[1]!BexGetData("DP_1","003N8EMH8GTFRIVOG7KG9J9VY","GSON1112061171")</f>
        <v>#NAME?</v>
      </c>
      <c r="Q1137" s="24" t="e">
        <f ca="1">[1]!BexGetData("DP_1","00O2TNJGODT0G5Z4TTKYMM5MT","GSON1112061171")</f>
        <v>#NAME?</v>
      </c>
      <c r="R1137" s="24" t="e">
        <f ca="1">[1]!BexGetData("DP_1","00O2TNJGODT0G5Z4TTKYMMBYD","GSON1112061171")</f>
        <v>#NAME?</v>
      </c>
      <c r="S1137" s="24" t="e">
        <f ca="1">[1]!BexGetData("DP_1","00O2TNJGODT0G5Z4TTKYMMI9X","GSON1112061171")</f>
        <v>#NAME?</v>
      </c>
      <c r="T1137" s="24" t="e">
        <f ca="1">[1]!BexGetData("DP_1","00O2TNJGODT0G5Z4TTKYMMOLH","GSON1112061171")</f>
        <v>#NAME?</v>
      </c>
      <c r="U1137" s="24" t="e">
        <f ca="1">[1]!BexGetData("DP_1","00O2TNJGODT0G5Z4TTKYMMUX1","GSON1112061171")</f>
        <v>#NAME?</v>
      </c>
      <c r="V1137" s="24" t="e">
        <f ca="1">[1]!BexGetData("DP_1","00O2TNJGODT0G5Z4TTKYMN18L","GSON1112061171")</f>
        <v>#NAME?</v>
      </c>
      <c r="W1137" s="24" t="e">
        <f ca="1">[1]!BexGetData("DP_1","00O2TNJGODT0G5Z4TTKYMN7K5","GSON1112061171")</f>
        <v>#NAME?</v>
      </c>
    </row>
    <row r="1138" spans="1:23" x14ac:dyDescent="0.2">
      <c r="A1138" s="36" t="s">
        <v>3630</v>
      </c>
      <c r="B1138" s="27" t="s">
        <v>3631</v>
      </c>
      <c r="C1138" s="23" t="e">
        <f ca="1">[1]!BexGetData("DP_1","003N8EMH8GTFRCSWKMPXRR8GU","GSON1112061174")</f>
        <v>#NAME?</v>
      </c>
      <c r="D1138" s="23" t="e">
        <f ca="1">[1]!BexGetData("DP_1","003N8EMH8GTFRCSWKMPXRRESE","GSON1112061174")</f>
        <v>#NAME?</v>
      </c>
      <c r="E1138" s="28" t="e">
        <f ca="1">[1]!BexGetData("DP_1","003N8EMH8GTFRCSWKMPXRRL3Y","GSON1112061174")</f>
        <v>#NAME?</v>
      </c>
      <c r="F1138" s="24" t="e">
        <f ca="1">[1]!BexGetData("DP_1","003N8EMH8GTFRCSWKMPXRRRFI","GSON1112061174")</f>
        <v>#NAME?</v>
      </c>
      <c r="G1138" s="24" t="e">
        <f ca="1">[1]!BexGetData("DP_1","003N8EMH8GTFRCSWKMPXRRXR2","GSON1112061174")</f>
        <v>#NAME?</v>
      </c>
      <c r="H1138" s="24" t="e">
        <f ca="1">[1]!BexGetData("DP_1","003N8EMH8GTFRCSWKMPXRS42M","GSON1112061174")</f>
        <v>#NAME?</v>
      </c>
      <c r="I1138" s="24" t="e">
        <f ca="1">[1]!BexGetData("DP_1","003N8EMH8GTFRCSWKMPXRSAE6","GSON1112061174")</f>
        <v>#NAME?</v>
      </c>
      <c r="J1138" s="24" t="e">
        <f ca="1">[1]!BexGetData("DP_1","003N8EMH8GTFRCSWKMPXRSGPQ","GSON1112061174")</f>
        <v>#NAME?</v>
      </c>
      <c r="K1138" s="28" t="e">
        <f ca="1">[1]!BexGetData("DP_1","003N8EMH8GTFRIVNUPY288VJH","GSON1112061174")</f>
        <v>#NAME?</v>
      </c>
      <c r="L1138" s="28" t="e">
        <f ca="1">[1]!BexGetData("DP_1","003N8EMH8GTFRIVNUPY2891V1","GSON1112061174")</f>
        <v>#NAME?</v>
      </c>
      <c r="M1138" s="28" t="e">
        <f ca="1">[1]!BexGetData("DP_1","003N8EMH8GTFRIVOG7KG9IQXA","GSON1112061174")</f>
        <v>#NAME?</v>
      </c>
      <c r="N1138" s="28" t="e">
        <f ca="1">[1]!BexGetData("DP_1","003N8EMH8GTFRIVOG7KG9IX8U","GSON1112061174")</f>
        <v>#NAME?</v>
      </c>
      <c r="O1138" s="28" t="e">
        <f ca="1">[1]!BexGetData("DP_1","003N8EMH8GTFRIVOG7KG9J3KE","GSON1112061174")</f>
        <v>#NAME?</v>
      </c>
      <c r="P1138" s="28" t="e">
        <f ca="1">[1]!BexGetData("DP_1","003N8EMH8GTFRIVOG7KG9J9VY","GSON1112061174")</f>
        <v>#NAME?</v>
      </c>
      <c r="Q1138" s="24" t="e">
        <f ca="1">[1]!BexGetData("DP_1","00O2TNJGODT0G5Z4TTKYMM5MT","GSON1112061174")</f>
        <v>#NAME?</v>
      </c>
      <c r="R1138" s="24" t="e">
        <f ca="1">[1]!BexGetData("DP_1","00O2TNJGODT0G5Z4TTKYMMBYD","GSON1112061174")</f>
        <v>#NAME?</v>
      </c>
      <c r="S1138" s="24" t="e">
        <f ca="1">[1]!BexGetData("DP_1","00O2TNJGODT0G5Z4TTKYMMI9X","GSON1112061174")</f>
        <v>#NAME?</v>
      </c>
      <c r="T1138" s="24" t="e">
        <f ca="1">[1]!BexGetData("DP_1","00O2TNJGODT0G5Z4TTKYMMOLH","GSON1112061174")</f>
        <v>#NAME?</v>
      </c>
      <c r="U1138" s="24" t="e">
        <f ca="1">[1]!BexGetData("DP_1","00O2TNJGODT0G5Z4TTKYMMUX1","GSON1112061174")</f>
        <v>#NAME?</v>
      </c>
      <c r="V1138" s="24" t="e">
        <f ca="1">[1]!BexGetData("DP_1","00O2TNJGODT0G5Z4TTKYMN18L","GSON1112061174")</f>
        <v>#NAME?</v>
      </c>
      <c r="W1138" s="24" t="e">
        <f ca="1">[1]!BexGetData("DP_1","00O2TNJGODT0G5Z4TTKYMN7K5","GSON1112061174")</f>
        <v>#NAME?</v>
      </c>
    </row>
    <row r="1139" spans="1:23" x14ac:dyDescent="0.2">
      <c r="A1139" s="36" t="s">
        <v>3632</v>
      </c>
      <c r="B1139" s="27" t="s">
        <v>3633</v>
      </c>
      <c r="C1139" s="23" t="e">
        <f ca="1">[1]!BexGetData("DP_1","003N8EMH8GTFRCSWKMPXRR8GU","GSON1112061175")</f>
        <v>#NAME?</v>
      </c>
      <c r="D1139" s="23" t="e">
        <f ca="1">[1]!BexGetData("DP_1","003N8EMH8GTFRCSWKMPXRRESE","GSON1112061175")</f>
        <v>#NAME?</v>
      </c>
      <c r="E1139" s="28" t="e">
        <f ca="1">[1]!BexGetData("DP_1","003N8EMH8GTFRCSWKMPXRRL3Y","GSON1112061175")</f>
        <v>#NAME?</v>
      </c>
      <c r="F1139" s="24" t="e">
        <f ca="1">[1]!BexGetData("DP_1","003N8EMH8GTFRCSWKMPXRRRFI","GSON1112061175")</f>
        <v>#NAME?</v>
      </c>
      <c r="G1139" s="24" t="e">
        <f ca="1">[1]!BexGetData("DP_1","003N8EMH8GTFRCSWKMPXRRXR2","GSON1112061175")</f>
        <v>#NAME?</v>
      </c>
      <c r="H1139" s="24" t="e">
        <f ca="1">[1]!BexGetData("DP_1","003N8EMH8GTFRCSWKMPXRS42M","GSON1112061175")</f>
        <v>#NAME?</v>
      </c>
      <c r="I1139" s="24" t="e">
        <f ca="1">[1]!BexGetData("DP_1","003N8EMH8GTFRCSWKMPXRSAE6","GSON1112061175")</f>
        <v>#NAME?</v>
      </c>
      <c r="J1139" s="24" t="e">
        <f ca="1">[1]!BexGetData("DP_1","003N8EMH8GTFRCSWKMPXRSGPQ","GSON1112061175")</f>
        <v>#NAME?</v>
      </c>
      <c r="K1139" s="28" t="e">
        <f ca="1">[1]!BexGetData("DP_1","003N8EMH8GTFRIVNUPY288VJH","GSON1112061175")</f>
        <v>#NAME?</v>
      </c>
      <c r="L1139" s="28" t="e">
        <f ca="1">[1]!BexGetData("DP_1","003N8EMH8GTFRIVNUPY2891V1","GSON1112061175")</f>
        <v>#NAME?</v>
      </c>
      <c r="M1139" s="28" t="e">
        <f ca="1">[1]!BexGetData("DP_1","003N8EMH8GTFRIVOG7KG9IQXA","GSON1112061175")</f>
        <v>#NAME?</v>
      </c>
      <c r="N1139" s="28" t="e">
        <f ca="1">[1]!BexGetData("DP_1","003N8EMH8GTFRIVOG7KG9IX8U","GSON1112061175")</f>
        <v>#NAME?</v>
      </c>
      <c r="O1139" s="28" t="e">
        <f ca="1">[1]!BexGetData("DP_1","003N8EMH8GTFRIVOG7KG9J3KE","GSON1112061175")</f>
        <v>#NAME?</v>
      </c>
      <c r="P1139" s="28" t="e">
        <f ca="1">[1]!BexGetData("DP_1","003N8EMH8GTFRIVOG7KG9J9VY","GSON1112061175")</f>
        <v>#NAME?</v>
      </c>
      <c r="Q1139" s="24" t="e">
        <f ca="1">[1]!BexGetData("DP_1","00O2TNJGODT0G5Z4TTKYMM5MT","GSON1112061175")</f>
        <v>#NAME?</v>
      </c>
      <c r="R1139" s="24" t="e">
        <f ca="1">[1]!BexGetData("DP_1","00O2TNJGODT0G5Z4TTKYMMBYD","GSON1112061175")</f>
        <v>#NAME?</v>
      </c>
      <c r="S1139" s="24" t="e">
        <f ca="1">[1]!BexGetData("DP_1","00O2TNJGODT0G5Z4TTKYMMI9X","GSON1112061175")</f>
        <v>#NAME?</v>
      </c>
      <c r="T1139" s="24" t="e">
        <f ca="1">[1]!BexGetData("DP_1","00O2TNJGODT0G5Z4TTKYMMOLH","GSON1112061175")</f>
        <v>#NAME?</v>
      </c>
      <c r="U1139" s="24" t="e">
        <f ca="1">[1]!BexGetData("DP_1","00O2TNJGODT0G5Z4TTKYMMUX1","GSON1112061175")</f>
        <v>#NAME?</v>
      </c>
      <c r="V1139" s="24" t="e">
        <f ca="1">[1]!BexGetData("DP_1","00O2TNJGODT0G5Z4TTKYMN18L","GSON1112061175")</f>
        <v>#NAME?</v>
      </c>
      <c r="W1139" s="24" t="e">
        <f ca="1">[1]!BexGetData("DP_1","00O2TNJGODT0G5Z4TTKYMN7K5","GSON1112061175")</f>
        <v>#NAME?</v>
      </c>
    </row>
    <row r="1140" spans="1:23" x14ac:dyDescent="0.2">
      <c r="A1140" s="36" t="s">
        <v>3634</v>
      </c>
      <c r="B1140" s="27" t="s">
        <v>3635</v>
      </c>
      <c r="C1140" s="23" t="e">
        <f ca="1">[1]!BexGetData("DP_1","003N8EMH8GTFRCSWKMPXRR8GU","GSON1112061180")</f>
        <v>#NAME?</v>
      </c>
      <c r="D1140" s="23" t="e">
        <f ca="1">[1]!BexGetData("DP_1","003N8EMH8GTFRCSWKMPXRRESE","GSON1112061180")</f>
        <v>#NAME?</v>
      </c>
      <c r="E1140" s="28" t="e">
        <f ca="1">[1]!BexGetData("DP_1","003N8EMH8GTFRCSWKMPXRRL3Y","GSON1112061180")</f>
        <v>#NAME?</v>
      </c>
      <c r="F1140" s="24" t="e">
        <f ca="1">[1]!BexGetData("DP_1","003N8EMH8GTFRCSWKMPXRRRFI","GSON1112061180")</f>
        <v>#NAME?</v>
      </c>
      <c r="G1140" s="24" t="e">
        <f ca="1">[1]!BexGetData("DP_1","003N8EMH8GTFRCSWKMPXRRXR2","GSON1112061180")</f>
        <v>#NAME?</v>
      </c>
      <c r="H1140" s="24" t="e">
        <f ca="1">[1]!BexGetData("DP_1","003N8EMH8GTFRCSWKMPXRS42M","GSON1112061180")</f>
        <v>#NAME?</v>
      </c>
      <c r="I1140" s="24" t="e">
        <f ca="1">[1]!BexGetData("DP_1","003N8EMH8GTFRCSWKMPXRSAE6","GSON1112061180")</f>
        <v>#NAME?</v>
      </c>
      <c r="J1140" s="24" t="e">
        <f ca="1">[1]!BexGetData("DP_1","003N8EMH8GTFRCSWKMPXRSGPQ","GSON1112061180")</f>
        <v>#NAME?</v>
      </c>
      <c r="K1140" s="28" t="e">
        <f ca="1">[1]!BexGetData("DP_1","003N8EMH8GTFRIVNUPY288VJH","GSON1112061180")</f>
        <v>#NAME?</v>
      </c>
      <c r="L1140" s="28" t="e">
        <f ca="1">[1]!BexGetData("DP_1","003N8EMH8GTFRIVNUPY2891V1","GSON1112061180")</f>
        <v>#NAME?</v>
      </c>
      <c r="M1140" s="28" t="e">
        <f ca="1">[1]!BexGetData("DP_1","003N8EMH8GTFRIVOG7KG9IQXA","GSON1112061180")</f>
        <v>#NAME?</v>
      </c>
      <c r="N1140" s="28" t="e">
        <f ca="1">[1]!BexGetData("DP_1","003N8EMH8GTFRIVOG7KG9IX8U","GSON1112061180")</f>
        <v>#NAME?</v>
      </c>
      <c r="O1140" s="28" t="e">
        <f ca="1">[1]!BexGetData("DP_1","003N8EMH8GTFRIVOG7KG9J3KE","GSON1112061180")</f>
        <v>#NAME?</v>
      </c>
      <c r="P1140" s="28" t="e">
        <f ca="1">[1]!BexGetData("DP_1","003N8EMH8GTFRIVOG7KG9J9VY","GSON1112061180")</f>
        <v>#NAME?</v>
      </c>
      <c r="Q1140" s="24" t="e">
        <f ca="1">[1]!BexGetData("DP_1","00O2TNJGODT0G5Z4TTKYMM5MT","GSON1112061180")</f>
        <v>#NAME?</v>
      </c>
      <c r="R1140" s="24" t="e">
        <f ca="1">[1]!BexGetData("DP_1","00O2TNJGODT0G5Z4TTKYMMBYD","GSON1112061180")</f>
        <v>#NAME?</v>
      </c>
      <c r="S1140" s="24" t="e">
        <f ca="1">[1]!BexGetData("DP_1","00O2TNJGODT0G5Z4TTKYMMI9X","GSON1112061180")</f>
        <v>#NAME?</v>
      </c>
      <c r="T1140" s="24" t="e">
        <f ca="1">[1]!BexGetData("DP_1","00O2TNJGODT0G5Z4TTKYMMOLH","GSON1112061180")</f>
        <v>#NAME?</v>
      </c>
      <c r="U1140" s="24" t="e">
        <f ca="1">[1]!BexGetData("DP_1","00O2TNJGODT0G5Z4TTKYMMUX1","GSON1112061180")</f>
        <v>#NAME?</v>
      </c>
      <c r="V1140" s="24" t="e">
        <f ca="1">[1]!BexGetData("DP_1","00O2TNJGODT0G5Z4TTKYMN18L","GSON1112061180")</f>
        <v>#NAME?</v>
      </c>
      <c r="W1140" s="24" t="e">
        <f ca="1">[1]!BexGetData("DP_1","00O2TNJGODT0G5Z4TTKYMN7K5","GSON1112061180")</f>
        <v>#NAME?</v>
      </c>
    </row>
    <row r="1141" spans="1:23" x14ac:dyDescent="0.2">
      <c r="A1141" s="36" t="s">
        <v>3636</v>
      </c>
      <c r="B1141" s="27" t="s">
        <v>3637</v>
      </c>
      <c r="C1141" s="23" t="e">
        <f ca="1">[1]!BexGetData("DP_1","003N8EMH8GTFRCSWKMPXRR8GU","GSON1112061181")</f>
        <v>#NAME?</v>
      </c>
      <c r="D1141" s="23" t="e">
        <f ca="1">[1]!BexGetData("DP_1","003N8EMH8GTFRCSWKMPXRRESE","GSON1112061181")</f>
        <v>#NAME?</v>
      </c>
      <c r="E1141" s="28" t="e">
        <f ca="1">[1]!BexGetData("DP_1","003N8EMH8GTFRCSWKMPXRRL3Y","GSON1112061181")</f>
        <v>#NAME?</v>
      </c>
      <c r="F1141" s="24" t="e">
        <f ca="1">[1]!BexGetData("DP_1","003N8EMH8GTFRCSWKMPXRRRFI","GSON1112061181")</f>
        <v>#NAME?</v>
      </c>
      <c r="G1141" s="24" t="e">
        <f ca="1">[1]!BexGetData("DP_1","003N8EMH8GTFRCSWKMPXRRXR2","GSON1112061181")</f>
        <v>#NAME?</v>
      </c>
      <c r="H1141" s="24" t="e">
        <f ca="1">[1]!BexGetData("DP_1","003N8EMH8GTFRCSWKMPXRS42M","GSON1112061181")</f>
        <v>#NAME?</v>
      </c>
      <c r="I1141" s="24" t="e">
        <f ca="1">[1]!BexGetData("DP_1","003N8EMH8GTFRCSWKMPXRSAE6","GSON1112061181")</f>
        <v>#NAME?</v>
      </c>
      <c r="J1141" s="24" t="e">
        <f ca="1">[1]!BexGetData("DP_1","003N8EMH8GTFRCSWKMPXRSGPQ","GSON1112061181")</f>
        <v>#NAME?</v>
      </c>
      <c r="K1141" s="28" t="e">
        <f ca="1">[1]!BexGetData("DP_1","003N8EMH8GTFRIVNUPY288VJH","GSON1112061181")</f>
        <v>#NAME?</v>
      </c>
      <c r="L1141" s="28" t="e">
        <f ca="1">[1]!BexGetData("DP_1","003N8EMH8GTFRIVNUPY2891V1","GSON1112061181")</f>
        <v>#NAME?</v>
      </c>
      <c r="M1141" s="28" t="e">
        <f ca="1">[1]!BexGetData("DP_1","003N8EMH8GTFRIVOG7KG9IQXA","GSON1112061181")</f>
        <v>#NAME?</v>
      </c>
      <c r="N1141" s="28" t="e">
        <f ca="1">[1]!BexGetData("DP_1","003N8EMH8GTFRIVOG7KG9IX8U","GSON1112061181")</f>
        <v>#NAME?</v>
      </c>
      <c r="O1141" s="28" t="e">
        <f ca="1">[1]!BexGetData("DP_1","003N8EMH8GTFRIVOG7KG9J3KE","GSON1112061181")</f>
        <v>#NAME?</v>
      </c>
      <c r="P1141" s="28" t="e">
        <f ca="1">[1]!BexGetData("DP_1","003N8EMH8GTFRIVOG7KG9J9VY","GSON1112061181")</f>
        <v>#NAME?</v>
      </c>
      <c r="Q1141" s="24" t="e">
        <f ca="1">[1]!BexGetData("DP_1","00O2TNJGODT0G5Z4TTKYMM5MT","GSON1112061181")</f>
        <v>#NAME?</v>
      </c>
      <c r="R1141" s="24" t="e">
        <f ca="1">[1]!BexGetData("DP_1","00O2TNJGODT0G5Z4TTKYMMBYD","GSON1112061181")</f>
        <v>#NAME?</v>
      </c>
      <c r="S1141" s="24" t="e">
        <f ca="1">[1]!BexGetData("DP_1","00O2TNJGODT0G5Z4TTKYMMI9X","GSON1112061181")</f>
        <v>#NAME?</v>
      </c>
      <c r="T1141" s="24" t="e">
        <f ca="1">[1]!BexGetData("DP_1","00O2TNJGODT0G5Z4TTKYMMOLH","GSON1112061181")</f>
        <v>#NAME?</v>
      </c>
      <c r="U1141" s="24" t="e">
        <f ca="1">[1]!BexGetData("DP_1","00O2TNJGODT0G5Z4TTKYMMUX1","GSON1112061181")</f>
        <v>#NAME?</v>
      </c>
      <c r="V1141" s="24" t="e">
        <f ca="1">[1]!BexGetData("DP_1","00O2TNJGODT0G5Z4TTKYMN18L","GSON1112061181")</f>
        <v>#NAME?</v>
      </c>
      <c r="W1141" s="24" t="e">
        <f ca="1">[1]!BexGetData("DP_1","00O2TNJGODT0G5Z4TTKYMN7K5","GSON1112061181")</f>
        <v>#NAME?</v>
      </c>
    </row>
    <row r="1142" spans="1:23" x14ac:dyDescent="0.2">
      <c r="A1142" s="36" t="s">
        <v>3638</v>
      </c>
      <c r="B1142" s="27" t="s">
        <v>3639</v>
      </c>
      <c r="C1142" s="23" t="e">
        <f ca="1">[1]!BexGetData("DP_1","003N8EMH8GTFRCSWKMPXRR8GU","GSON1112061184")</f>
        <v>#NAME?</v>
      </c>
      <c r="D1142" s="23" t="e">
        <f ca="1">[1]!BexGetData("DP_1","003N8EMH8GTFRCSWKMPXRRESE","GSON1112061184")</f>
        <v>#NAME?</v>
      </c>
      <c r="E1142" s="28" t="e">
        <f ca="1">[1]!BexGetData("DP_1","003N8EMH8GTFRCSWKMPXRRL3Y","GSON1112061184")</f>
        <v>#NAME?</v>
      </c>
      <c r="F1142" s="24" t="e">
        <f ca="1">[1]!BexGetData("DP_1","003N8EMH8GTFRCSWKMPXRRRFI","GSON1112061184")</f>
        <v>#NAME?</v>
      </c>
      <c r="G1142" s="24" t="e">
        <f ca="1">[1]!BexGetData("DP_1","003N8EMH8GTFRCSWKMPXRRXR2","GSON1112061184")</f>
        <v>#NAME?</v>
      </c>
      <c r="H1142" s="24" t="e">
        <f ca="1">[1]!BexGetData("DP_1","003N8EMH8GTFRCSWKMPXRS42M","GSON1112061184")</f>
        <v>#NAME?</v>
      </c>
      <c r="I1142" s="24" t="e">
        <f ca="1">[1]!BexGetData("DP_1","003N8EMH8GTFRCSWKMPXRSAE6","GSON1112061184")</f>
        <v>#NAME?</v>
      </c>
      <c r="J1142" s="24" t="e">
        <f ca="1">[1]!BexGetData("DP_1","003N8EMH8GTFRCSWKMPXRSGPQ","GSON1112061184")</f>
        <v>#NAME?</v>
      </c>
      <c r="K1142" s="28" t="e">
        <f ca="1">[1]!BexGetData("DP_1","003N8EMH8GTFRIVNUPY288VJH","GSON1112061184")</f>
        <v>#NAME?</v>
      </c>
      <c r="L1142" s="28" t="e">
        <f ca="1">[1]!BexGetData("DP_1","003N8EMH8GTFRIVNUPY2891V1","GSON1112061184")</f>
        <v>#NAME?</v>
      </c>
      <c r="M1142" s="28" t="e">
        <f ca="1">[1]!BexGetData("DP_1","003N8EMH8GTFRIVOG7KG9IQXA","GSON1112061184")</f>
        <v>#NAME?</v>
      </c>
      <c r="N1142" s="28" t="e">
        <f ca="1">[1]!BexGetData("DP_1","003N8EMH8GTFRIVOG7KG9IX8U","GSON1112061184")</f>
        <v>#NAME?</v>
      </c>
      <c r="O1142" s="28" t="e">
        <f ca="1">[1]!BexGetData("DP_1","003N8EMH8GTFRIVOG7KG9J3KE","GSON1112061184")</f>
        <v>#NAME?</v>
      </c>
      <c r="P1142" s="28" t="e">
        <f ca="1">[1]!BexGetData("DP_1","003N8EMH8GTFRIVOG7KG9J9VY","GSON1112061184")</f>
        <v>#NAME?</v>
      </c>
      <c r="Q1142" s="24" t="e">
        <f ca="1">[1]!BexGetData("DP_1","00O2TNJGODT0G5Z4TTKYMM5MT","GSON1112061184")</f>
        <v>#NAME?</v>
      </c>
      <c r="R1142" s="24" t="e">
        <f ca="1">[1]!BexGetData("DP_1","00O2TNJGODT0G5Z4TTKYMMBYD","GSON1112061184")</f>
        <v>#NAME?</v>
      </c>
      <c r="S1142" s="24" t="e">
        <f ca="1">[1]!BexGetData("DP_1","00O2TNJGODT0G5Z4TTKYMMI9X","GSON1112061184")</f>
        <v>#NAME?</v>
      </c>
      <c r="T1142" s="24" t="e">
        <f ca="1">[1]!BexGetData("DP_1","00O2TNJGODT0G5Z4TTKYMMOLH","GSON1112061184")</f>
        <v>#NAME?</v>
      </c>
      <c r="U1142" s="24" t="e">
        <f ca="1">[1]!BexGetData("DP_1","00O2TNJGODT0G5Z4TTKYMMUX1","GSON1112061184")</f>
        <v>#NAME?</v>
      </c>
      <c r="V1142" s="24" t="e">
        <f ca="1">[1]!BexGetData("DP_1","00O2TNJGODT0G5Z4TTKYMN18L","GSON1112061184")</f>
        <v>#NAME?</v>
      </c>
      <c r="W1142" s="24" t="e">
        <f ca="1">[1]!BexGetData("DP_1","00O2TNJGODT0G5Z4TTKYMN7K5","GSON1112061184")</f>
        <v>#NAME?</v>
      </c>
    </row>
    <row r="1143" spans="1:23" x14ac:dyDescent="0.2">
      <c r="A1143" s="36" t="s">
        <v>3640</v>
      </c>
      <c r="B1143" s="27" t="s">
        <v>3641</v>
      </c>
      <c r="C1143" s="23" t="e">
        <f ca="1">[1]!BexGetData("DP_1","003N8EMH8GTFRCSWKMPXRR8GU","GSON1112061190")</f>
        <v>#NAME?</v>
      </c>
      <c r="D1143" s="23" t="e">
        <f ca="1">[1]!BexGetData("DP_1","003N8EMH8GTFRCSWKMPXRRESE","GSON1112061190")</f>
        <v>#NAME?</v>
      </c>
      <c r="E1143" s="28" t="e">
        <f ca="1">[1]!BexGetData("DP_1","003N8EMH8GTFRCSWKMPXRRL3Y","GSON1112061190")</f>
        <v>#NAME?</v>
      </c>
      <c r="F1143" s="24" t="e">
        <f ca="1">[1]!BexGetData("DP_1","003N8EMH8GTFRCSWKMPXRRRFI","GSON1112061190")</f>
        <v>#NAME?</v>
      </c>
      <c r="G1143" s="24" t="e">
        <f ca="1">[1]!BexGetData("DP_1","003N8EMH8GTFRCSWKMPXRRXR2","GSON1112061190")</f>
        <v>#NAME?</v>
      </c>
      <c r="H1143" s="24" t="e">
        <f ca="1">[1]!BexGetData("DP_1","003N8EMH8GTFRCSWKMPXRS42M","GSON1112061190")</f>
        <v>#NAME?</v>
      </c>
      <c r="I1143" s="24" t="e">
        <f ca="1">[1]!BexGetData("DP_1","003N8EMH8GTFRCSWKMPXRSAE6","GSON1112061190")</f>
        <v>#NAME?</v>
      </c>
      <c r="J1143" s="24" t="e">
        <f ca="1">[1]!BexGetData("DP_1","003N8EMH8GTFRCSWKMPXRSGPQ","GSON1112061190")</f>
        <v>#NAME?</v>
      </c>
      <c r="K1143" s="28" t="e">
        <f ca="1">[1]!BexGetData("DP_1","003N8EMH8GTFRIVNUPY288VJH","GSON1112061190")</f>
        <v>#NAME?</v>
      </c>
      <c r="L1143" s="28" t="e">
        <f ca="1">[1]!BexGetData("DP_1","003N8EMH8GTFRIVNUPY2891V1","GSON1112061190")</f>
        <v>#NAME?</v>
      </c>
      <c r="M1143" s="28" t="e">
        <f ca="1">[1]!BexGetData("DP_1","003N8EMH8GTFRIVOG7KG9IQXA","GSON1112061190")</f>
        <v>#NAME?</v>
      </c>
      <c r="N1143" s="28" t="e">
        <f ca="1">[1]!BexGetData("DP_1","003N8EMH8GTFRIVOG7KG9IX8U","GSON1112061190")</f>
        <v>#NAME?</v>
      </c>
      <c r="O1143" s="28" t="e">
        <f ca="1">[1]!BexGetData("DP_1","003N8EMH8GTFRIVOG7KG9J3KE","GSON1112061190")</f>
        <v>#NAME?</v>
      </c>
      <c r="P1143" s="28" t="e">
        <f ca="1">[1]!BexGetData("DP_1","003N8EMH8GTFRIVOG7KG9J9VY","GSON1112061190")</f>
        <v>#NAME?</v>
      </c>
      <c r="Q1143" s="24" t="e">
        <f ca="1">[1]!BexGetData("DP_1","00O2TNJGODT0G5Z4TTKYMM5MT","GSON1112061190")</f>
        <v>#NAME?</v>
      </c>
      <c r="R1143" s="24" t="e">
        <f ca="1">[1]!BexGetData("DP_1","00O2TNJGODT0G5Z4TTKYMMBYD","GSON1112061190")</f>
        <v>#NAME?</v>
      </c>
      <c r="S1143" s="24" t="e">
        <f ca="1">[1]!BexGetData("DP_1","00O2TNJGODT0G5Z4TTKYMMI9X","GSON1112061190")</f>
        <v>#NAME?</v>
      </c>
      <c r="T1143" s="24" t="e">
        <f ca="1">[1]!BexGetData("DP_1","00O2TNJGODT0G5Z4TTKYMMOLH","GSON1112061190")</f>
        <v>#NAME?</v>
      </c>
      <c r="U1143" s="24" t="e">
        <f ca="1">[1]!BexGetData("DP_1","00O2TNJGODT0G5Z4TTKYMMUX1","GSON1112061190")</f>
        <v>#NAME?</v>
      </c>
      <c r="V1143" s="24" t="e">
        <f ca="1">[1]!BexGetData("DP_1","00O2TNJGODT0G5Z4TTKYMN18L","GSON1112061190")</f>
        <v>#NAME?</v>
      </c>
      <c r="W1143" s="24" t="e">
        <f ca="1">[1]!BexGetData("DP_1","00O2TNJGODT0G5Z4TTKYMN7K5","GSON1112061190")</f>
        <v>#NAME?</v>
      </c>
    </row>
    <row r="1144" spans="1:23" x14ac:dyDescent="0.2">
      <c r="A1144" s="36" t="s">
        <v>3642</v>
      </c>
      <c r="B1144" s="27" t="s">
        <v>3643</v>
      </c>
      <c r="C1144" s="23" t="e">
        <f ca="1">[1]!BexGetData("DP_1","003N8EMH8GTFRCSWKMPXRR8GU","GSON1112061191")</f>
        <v>#NAME?</v>
      </c>
      <c r="D1144" s="23" t="e">
        <f ca="1">[1]!BexGetData("DP_1","003N8EMH8GTFRCSWKMPXRRESE","GSON1112061191")</f>
        <v>#NAME?</v>
      </c>
      <c r="E1144" s="28" t="e">
        <f ca="1">[1]!BexGetData("DP_1","003N8EMH8GTFRCSWKMPXRRL3Y","GSON1112061191")</f>
        <v>#NAME?</v>
      </c>
      <c r="F1144" s="24" t="e">
        <f ca="1">[1]!BexGetData("DP_1","003N8EMH8GTFRCSWKMPXRRRFI","GSON1112061191")</f>
        <v>#NAME?</v>
      </c>
      <c r="G1144" s="24" t="e">
        <f ca="1">[1]!BexGetData("DP_1","003N8EMH8GTFRCSWKMPXRRXR2","GSON1112061191")</f>
        <v>#NAME?</v>
      </c>
      <c r="H1144" s="24" t="e">
        <f ca="1">[1]!BexGetData("DP_1","003N8EMH8GTFRCSWKMPXRS42M","GSON1112061191")</f>
        <v>#NAME?</v>
      </c>
      <c r="I1144" s="24" t="e">
        <f ca="1">[1]!BexGetData("DP_1","003N8EMH8GTFRCSWKMPXRSAE6","GSON1112061191")</f>
        <v>#NAME?</v>
      </c>
      <c r="J1144" s="24" t="e">
        <f ca="1">[1]!BexGetData("DP_1","003N8EMH8GTFRCSWKMPXRSGPQ","GSON1112061191")</f>
        <v>#NAME?</v>
      </c>
      <c r="K1144" s="28" t="e">
        <f ca="1">[1]!BexGetData("DP_1","003N8EMH8GTFRIVNUPY288VJH","GSON1112061191")</f>
        <v>#NAME?</v>
      </c>
      <c r="L1144" s="28" t="e">
        <f ca="1">[1]!BexGetData("DP_1","003N8EMH8GTFRIVNUPY2891V1","GSON1112061191")</f>
        <v>#NAME?</v>
      </c>
      <c r="M1144" s="28" t="e">
        <f ca="1">[1]!BexGetData("DP_1","003N8EMH8GTFRIVOG7KG9IQXA","GSON1112061191")</f>
        <v>#NAME?</v>
      </c>
      <c r="N1144" s="28" t="e">
        <f ca="1">[1]!BexGetData("DP_1","003N8EMH8GTFRIVOG7KG9IX8U","GSON1112061191")</f>
        <v>#NAME?</v>
      </c>
      <c r="O1144" s="28" t="e">
        <f ca="1">[1]!BexGetData("DP_1","003N8EMH8GTFRIVOG7KG9J3KE","GSON1112061191")</f>
        <v>#NAME?</v>
      </c>
      <c r="P1144" s="28" t="e">
        <f ca="1">[1]!BexGetData("DP_1","003N8EMH8GTFRIVOG7KG9J9VY","GSON1112061191")</f>
        <v>#NAME?</v>
      </c>
      <c r="Q1144" s="24" t="e">
        <f ca="1">[1]!BexGetData("DP_1","00O2TNJGODT0G5Z4TTKYMM5MT","GSON1112061191")</f>
        <v>#NAME?</v>
      </c>
      <c r="R1144" s="24" t="e">
        <f ca="1">[1]!BexGetData("DP_1","00O2TNJGODT0G5Z4TTKYMMBYD","GSON1112061191")</f>
        <v>#NAME?</v>
      </c>
      <c r="S1144" s="24" t="e">
        <f ca="1">[1]!BexGetData("DP_1","00O2TNJGODT0G5Z4TTKYMMI9X","GSON1112061191")</f>
        <v>#NAME?</v>
      </c>
      <c r="T1144" s="24" t="e">
        <f ca="1">[1]!BexGetData("DP_1","00O2TNJGODT0G5Z4TTKYMMOLH","GSON1112061191")</f>
        <v>#NAME?</v>
      </c>
      <c r="U1144" s="24" t="e">
        <f ca="1">[1]!BexGetData("DP_1","00O2TNJGODT0G5Z4TTKYMMUX1","GSON1112061191")</f>
        <v>#NAME?</v>
      </c>
      <c r="V1144" s="24" t="e">
        <f ca="1">[1]!BexGetData("DP_1","00O2TNJGODT0G5Z4TTKYMN18L","GSON1112061191")</f>
        <v>#NAME?</v>
      </c>
      <c r="W1144" s="24" t="e">
        <f ca="1">[1]!BexGetData("DP_1","00O2TNJGODT0G5Z4TTKYMN7K5","GSON1112061191")</f>
        <v>#NAME?</v>
      </c>
    </row>
    <row r="1145" spans="1:23" x14ac:dyDescent="0.2">
      <c r="A1145" s="36" t="s">
        <v>3644</v>
      </c>
      <c r="B1145" s="27" t="s">
        <v>3645</v>
      </c>
      <c r="C1145" s="23" t="e">
        <f ca="1">[1]!BexGetData("DP_1","003N8EMH8GTFRCSWKMPXRR8GU","GSON1112061194")</f>
        <v>#NAME?</v>
      </c>
      <c r="D1145" s="23" t="e">
        <f ca="1">[1]!BexGetData("DP_1","003N8EMH8GTFRCSWKMPXRRESE","GSON1112061194")</f>
        <v>#NAME?</v>
      </c>
      <c r="E1145" s="28" t="e">
        <f ca="1">[1]!BexGetData("DP_1","003N8EMH8GTFRCSWKMPXRRL3Y","GSON1112061194")</f>
        <v>#NAME?</v>
      </c>
      <c r="F1145" s="24" t="e">
        <f ca="1">[1]!BexGetData("DP_1","003N8EMH8GTFRCSWKMPXRRRFI","GSON1112061194")</f>
        <v>#NAME?</v>
      </c>
      <c r="G1145" s="24" t="e">
        <f ca="1">[1]!BexGetData("DP_1","003N8EMH8GTFRCSWKMPXRRXR2","GSON1112061194")</f>
        <v>#NAME?</v>
      </c>
      <c r="H1145" s="24" t="e">
        <f ca="1">[1]!BexGetData("DP_1","003N8EMH8GTFRCSWKMPXRS42M","GSON1112061194")</f>
        <v>#NAME?</v>
      </c>
      <c r="I1145" s="24" t="e">
        <f ca="1">[1]!BexGetData("DP_1","003N8EMH8GTFRCSWKMPXRSAE6","GSON1112061194")</f>
        <v>#NAME?</v>
      </c>
      <c r="J1145" s="24" t="e">
        <f ca="1">[1]!BexGetData("DP_1","003N8EMH8GTFRCSWKMPXRSGPQ","GSON1112061194")</f>
        <v>#NAME?</v>
      </c>
      <c r="K1145" s="28" t="e">
        <f ca="1">[1]!BexGetData("DP_1","003N8EMH8GTFRIVNUPY288VJH","GSON1112061194")</f>
        <v>#NAME?</v>
      </c>
      <c r="L1145" s="28" t="e">
        <f ca="1">[1]!BexGetData("DP_1","003N8EMH8GTFRIVNUPY2891V1","GSON1112061194")</f>
        <v>#NAME?</v>
      </c>
      <c r="M1145" s="28" t="e">
        <f ca="1">[1]!BexGetData("DP_1","003N8EMH8GTFRIVOG7KG9IQXA","GSON1112061194")</f>
        <v>#NAME?</v>
      </c>
      <c r="N1145" s="28" t="e">
        <f ca="1">[1]!BexGetData("DP_1","003N8EMH8GTFRIVOG7KG9IX8U","GSON1112061194")</f>
        <v>#NAME?</v>
      </c>
      <c r="O1145" s="28" t="e">
        <f ca="1">[1]!BexGetData("DP_1","003N8EMH8GTFRIVOG7KG9J3KE","GSON1112061194")</f>
        <v>#NAME?</v>
      </c>
      <c r="P1145" s="28" t="e">
        <f ca="1">[1]!BexGetData("DP_1","003N8EMH8GTFRIVOG7KG9J9VY","GSON1112061194")</f>
        <v>#NAME?</v>
      </c>
      <c r="Q1145" s="24" t="e">
        <f ca="1">[1]!BexGetData("DP_1","00O2TNJGODT0G5Z4TTKYMM5MT","GSON1112061194")</f>
        <v>#NAME?</v>
      </c>
      <c r="R1145" s="24" t="e">
        <f ca="1">[1]!BexGetData("DP_1","00O2TNJGODT0G5Z4TTKYMMBYD","GSON1112061194")</f>
        <v>#NAME?</v>
      </c>
      <c r="S1145" s="24" t="e">
        <f ca="1">[1]!BexGetData("DP_1","00O2TNJGODT0G5Z4TTKYMMI9X","GSON1112061194")</f>
        <v>#NAME?</v>
      </c>
      <c r="T1145" s="24" t="e">
        <f ca="1">[1]!BexGetData("DP_1","00O2TNJGODT0G5Z4TTKYMMOLH","GSON1112061194")</f>
        <v>#NAME?</v>
      </c>
      <c r="U1145" s="24" t="e">
        <f ca="1">[1]!BexGetData("DP_1","00O2TNJGODT0G5Z4TTKYMMUX1","GSON1112061194")</f>
        <v>#NAME?</v>
      </c>
      <c r="V1145" s="24" t="e">
        <f ca="1">[1]!BexGetData("DP_1","00O2TNJGODT0G5Z4TTKYMN18L","GSON1112061194")</f>
        <v>#NAME?</v>
      </c>
      <c r="W1145" s="24" t="e">
        <f ca="1">[1]!BexGetData("DP_1","00O2TNJGODT0G5Z4TTKYMN7K5","GSON1112061194")</f>
        <v>#NAME?</v>
      </c>
    </row>
    <row r="1146" spans="1:23" x14ac:dyDescent="0.2">
      <c r="A1146" s="36" t="s">
        <v>3646</v>
      </c>
      <c r="B1146" s="27" t="s">
        <v>3647</v>
      </c>
      <c r="C1146" s="23" t="e">
        <f ca="1">[1]!BexGetData("DP_1","003N8EMH8GTFRCSWKMPXRR8GU","GSON1112061200")</f>
        <v>#NAME?</v>
      </c>
      <c r="D1146" s="23" t="e">
        <f ca="1">[1]!BexGetData("DP_1","003N8EMH8GTFRCSWKMPXRRESE","GSON1112061200")</f>
        <v>#NAME?</v>
      </c>
      <c r="E1146" s="28" t="e">
        <f ca="1">[1]!BexGetData("DP_1","003N8EMH8GTFRCSWKMPXRRL3Y","GSON1112061200")</f>
        <v>#NAME?</v>
      </c>
      <c r="F1146" s="24" t="e">
        <f ca="1">[1]!BexGetData("DP_1","003N8EMH8GTFRCSWKMPXRRRFI","GSON1112061200")</f>
        <v>#NAME?</v>
      </c>
      <c r="G1146" s="24" t="e">
        <f ca="1">[1]!BexGetData("DP_1","003N8EMH8GTFRCSWKMPXRRXR2","GSON1112061200")</f>
        <v>#NAME?</v>
      </c>
      <c r="H1146" s="24" t="e">
        <f ca="1">[1]!BexGetData("DP_1","003N8EMH8GTFRCSWKMPXRS42M","GSON1112061200")</f>
        <v>#NAME?</v>
      </c>
      <c r="I1146" s="24" t="e">
        <f ca="1">[1]!BexGetData("DP_1","003N8EMH8GTFRCSWKMPXRSAE6","GSON1112061200")</f>
        <v>#NAME?</v>
      </c>
      <c r="J1146" s="24" t="e">
        <f ca="1">[1]!BexGetData("DP_1","003N8EMH8GTFRCSWKMPXRSGPQ","GSON1112061200")</f>
        <v>#NAME?</v>
      </c>
      <c r="K1146" s="28" t="e">
        <f ca="1">[1]!BexGetData("DP_1","003N8EMH8GTFRIVNUPY288VJH","GSON1112061200")</f>
        <v>#NAME?</v>
      </c>
      <c r="L1146" s="28" t="e">
        <f ca="1">[1]!BexGetData("DP_1","003N8EMH8GTFRIVNUPY2891V1","GSON1112061200")</f>
        <v>#NAME?</v>
      </c>
      <c r="M1146" s="28" t="e">
        <f ca="1">[1]!BexGetData("DP_1","003N8EMH8GTFRIVOG7KG9IQXA","GSON1112061200")</f>
        <v>#NAME?</v>
      </c>
      <c r="N1146" s="28" t="e">
        <f ca="1">[1]!BexGetData("DP_1","003N8EMH8GTFRIVOG7KG9IX8U","GSON1112061200")</f>
        <v>#NAME?</v>
      </c>
      <c r="O1146" s="28" t="e">
        <f ca="1">[1]!BexGetData("DP_1","003N8EMH8GTFRIVOG7KG9J3KE","GSON1112061200")</f>
        <v>#NAME?</v>
      </c>
      <c r="P1146" s="28" t="e">
        <f ca="1">[1]!BexGetData("DP_1","003N8EMH8GTFRIVOG7KG9J9VY","GSON1112061200")</f>
        <v>#NAME?</v>
      </c>
      <c r="Q1146" s="24" t="e">
        <f ca="1">[1]!BexGetData("DP_1","00O2TNJGODT0G5Z4TTKYMM5MT","GSON1112061200")</f>
        <v>#NAME?</v>
      </c>
      <c r="R1146" s="24" t="e">
        <f ca="1">[1]!BexGetData("DP_1","00O2TNJGODT0G5Z4TTKYMMBYD","GSON1112061200")</f>
        <v>#NAME?</v>
      </c>
      <c r="S1146" s="24" t="e">
        <f ca="1">[1]!BexGetData("DP_1","00O2TNJGODT0G5Z4TTKYMMI9X","GSON1112061200")</f>
        <v>#NAME?</v>
      </c>
      <c r="T1146" s="24" t="e">
        <f ca="1">[1]!BexGetData("DP_1","00O2TNJGODT0G5Z4TTKYMMOLH","GSON1112061200")</f>
        <v>#NAME?</v>
      </c>
      <c r="U1146" s="24" t="e">
        <f ca="1">[1]!BexGetData("DP_1","00O2TNJGODT0G5Z4TTKYMMUX1","GSON1112061200")</f>
        <v>#NAME?</v>
      </c>
      <c r="V1146" s="24" t="e">
        <f ca="1">[1]!BexGetData("DP_1","00O2TNJGODT0G5Z4TTKYMN18L","GSON1112061200")</f>
        <v>#NAME?</v>
      </c>
      <c r="W1146" s="24" t="e">
        <f ca="1">[1]!BexGetData("DP_1","00O2TNJGODT0G5Z4TTKYMN7K5","GSON1112061200")</f>
        <v>#NAME?</v>
      </c>
    </row>
    <row r="1147" spans="1:23" x14ac:dyDescent="0.2">
      <c r="A1147" s="36" t="s">
        <v>3648</v>
      </c>
      <c r="B1147" s="27" t="s">
        <v>3649</v>
      </c>
      <c r="C1147" s="23" t="e">
        <f ca="1">[1]!BexGetData("DP_1","003N8EMH8GTFRCSWKMPXRR8GU","GSON1112061201")</f>
        <v>#NAME?</v>
      </c>
      <c r="D1147" s="23" t="e">
        <f ca="1">[1]!BexGetData("DP_1","003N8EMH8GTFRCSWKMPXRRESE","GSON1112061201")</f>
        <v>#NAME?</v>
      </c>
      <c r="E1147" s="28" t="e">
        <f ca="1">[1]!BexGetData("DP_1","003N8EMH8GTFRCSWKMPXRRL3Y","GSON1112061201")</f>
        <v>#NAME?</v>
      </c>
      <c r="F1147" s="24" t="e">
        <f ca="1">[1]!BexGetData("DP_1","003N8EMH8GTFRCSWKMPXRRRFI","GSON1112061201")</f>
        <v>#NAME?</v>
      </c>
      <c r="G1147" s="24" t="e">
        <f ca="1">[1]!BexGetData("DP_1","003N8EMH8GTFRCSWKMPXRRXR2","GSON1112061201")</f>
        <v>#NAME?</v>
      </c>
      <c r="H1147" s="24" t="e">
        <f ca="1">[1]!BexGetData("DP_1","003N8EMH8GTFRCSWKMPXRS42M","GSON1112061201")</f>
        <v>#NAME?</v>
      </c>
      <c r="I1147" s="24" t="e">
        <f ca="1">[1]!BexGetData("DP_1","003N8EMH8GTFRCSWKMPXRSAE6","GSON1112061201")</f>
        <v>#NAME?</v>
      </c>
      <c r="J1147" s="24" t="e">
        <f ca="1">[1]!BexGetData("DP_1","003N8EMH8GTFRCSWKMPXRSGPQ","GSON1112061201")</f>
        <v>#NAME?</v>
      </c>
      <c r="K1147" s="28" t="e">
        <f ca="1">[1]!BexGetData("DP_1","003N8EMH8GTFRIVNUPY288VJH","GSON1112061201")</f>
        <v>#NAME?</v>
      </c>
      <c r="L1147" s="28" t="e">
        <f ca="1">[1]!BexGetData("DP_1","003N8EMH8GTFRIVNUPY2891V1","GSON1112061201")</f>
        <v>#NAME?</v>
      </c>
      <c r="M1147" s="28" t="e">
        <f ca="1">[1]!BexGetData("DP_1","003N8EMH8GTFRIVOG7KG9IQXA","GSON1112061201")</f>
        <v>#NAME?</v>
      </c>
      <c r="N1147" s="28" t="e">
        <f ca="1">[1]!BexGetData("DP_1","003N8EMH8GTFRIVOG7KG9IX8U","GSON1112061201")</f>
        <v>#NAME?</v>
      </c>
      <c r="O1147" s="28" t="e">
        <f ca="1">[1]!BexGetData("DP_1","003N8EMH8GTFRIVOG7KG9J3KE","GSON1112061201")</f>
        <v>#NAME?</v>
      </c>
      <c r="P1147" s="28" t="e">
        <f ca="1">[1]!BexGetData("DP_1","003N8EMH8GTFRIVOG7KG9J9VY","GSON1112061201")</f>
        <v>#NAME?</v>
      </c>
      <c r="Q1147" s="24" t="e">
        <f ca="1">[1]!BexGetData("DP_1","00O2TNJGODT0G5Z4TTKYMM5MT","GSON1112061201")</f>
        <v>#NAME?</v>
      </c>
      <c r="R1147" s="24" t="e">
        <f ca="1">[1]!BexGetData("DP_1","00O2TNJGODT0G5Z4TTKYMMBYD","GSON1112061201")</f>
        <v>#NAME?</v>
      </c>
      <c r="S1147" s="24" t="e">
        <f ca="1">[1]!BexGetData("DP_1","00O2TNJGODT0G5Z4TTKYMMI9X","GSON1112061201")</f>
        <v>#NAME?</v>
      </c>
      <c r="T1147" s="24" t="e">
        <f ca="1">[1]!BexGetData("DP_1","00O2TNJGODT0G5Z4TTKYMMOLH","GSON1112061201")</f>
        <v>#NAME?</v>
      </c>
      <c r="U1147" s="24" t="e">
        <f ca="1">[1]!BexGetData("DP_1","00O2TNJGODT0G5Z4TTKYMMUX1","GSON1112061201")</f>
        <v>#NAME?</v>
      </c>
      <c r="V1147" s="24" t="e">
        <f ca="1">[1]!BexGetData("DP_1","00O2TNJGODT0G5Z4TTKYMN18L","GSON1112061201")</f>
        <v>#NAME?</v>
      </c>
      <c r="W1147" s="24" t="e">
        <f ca="1">[1]!BexGetData("DP_1","00O2TNJGODT0G5Z4TTKYMN7K5","GSON1112061201")</f>
        <v>#NAME?</v>
      </c>
    </row>
    <row r="1148" spans="1:23" x14ac:dyDescent="0.2">
      <c r="A1148" s="36" t="s">
        <v>3650</v>
      </c>
      <c r="B1148" s="27" t="s">
        <v>3651</v>
      </c>
      <c r="C1148" s="23" t="e">
        <f ca="1">[1]!BexGetData("DP_1","003N8EMH8GTFRCSWKMPXRR8GU","GSON1112061204")</f>
        <v>#NAME?</v>
      </c>
      <c r="D1148" s="23" t="e">
        <f ca="1">[1]!BexGetData("DP_1","003N8EMH8GTFRCSWKMPXRRESE","GSON1112061204")</f>
        <v>#NAME?</v>
      </c>
      <c r="E1148" s="28" t="e">
        <f ca="1">[1]!BexGetData("DP_1","003N8EMH8GTFRCSWKMPXRRL3Y","GSON1112061204")</f>
        <v>#NAME?</v>
      </c>
      <c r="F1148" s="24" t="e">
        <f ca="1">[1]!BexGetData("DP_1","003N8EMH8GTFRCSWKMPXRRRFI","GSON1112061204")</f>
        <v>#NAME?</v>
      </c>
      <c r="G1148" s="24" t="e">
        <f ca="1">[1]!BexGetData("DP_1","003N8EMH8GTFRCSWKMPXRRXR2","GSON1112061204")</f>
        <v>#NAME?</v>
      </c>
      <c r="H1148" s="24" t="e">
        <f ca="1">[1]!BexGetData("DP_1","003N8EMH8GTFRCSWKMPXRS42M","GSON1112061204")</f>
        <v>#NAME?</v>
      </c>
      <c r="I1148" s="24" t="e">
        <f ca="1">[1]!BexGetData("DP_1","003N8EMH8GTFRCSWKMPXRSAE6","GSON1112061204")</f>
        <v>#NAME?</v>
      </c>
      <c r="J1148" s="24" t="e">
        <f ca="1">[1]!BexGetData("DP_1","003N8EMH8GTFRCSWKMPXRSGPQ","GSON1112061204")</f>
        <v>#NAME?</v>
      </c>
      <c r="K1148" s="28" t="e">
        <f ca="1">[1]!BexGetData("DP_1","003N8EMH8GTFRIVNUPY288VJH","GSON1112061204")</f>
        <v>#NAME?</v>
      </c>
      <c r="L1148" s="28" t="e">
        <f ca="1">[1]!BexGetData("DP_1","003N8EMH8GTFRIVNUPY2891V1","GSON1112061204")</f>
        <v>#NAME?</v>
      </c>
      <c r="M1148" s="28" t="e">
        <f ca="1">[1]!BexGetData("DP_1","003N8EMH8GTFRIVOG7KG9IQXA","GSON1112061204")</f>
        <v>#NAME?</v>
      </c>
      <c r="N1148" s="28" t="e">
        <f ca="1">[1]!BexGetData("DP_1","003N8EMH8GTFRIVOG7KG9IX8U","GSON1112061204")</f>
        <v>#NAME?</v>
      </c>
      <c r="O1148" s="28" t="e">
        <f ca="1">[1]!BexGetData("DP_1","003N8EMH8GTFRIVOG7KG9J3KE","GSON1112061204")</f>
        <v>#NAME?</v>
      </c>
      <c r="P1148" s="28" t="e">
        <f ca="1">[1]!BexGetData("DP_1","003N8EMH8GTFRIVOG7KG9J9VY","GSON1112061204")</f>
        <v>#NAME?</v>
      </c>
      <c r="Q1148" s="24" t="e">
        <f ca="1">[1]!BexGetData("DP_1","00O2TNJGODT0G5Z4TTKYMM5MT","GSON1112061204")</f>
        <v>#NAME?</v>
      </c>
      <c r="R1148" s="24" t="e">
        <f ca="1">[1]!BexGetData("DP_1","00O2TNJGODT0G5Z4TTKYMMBYD","GSON1112061204")</f>
        <v>#NAME?</v>
      </c>
      <c r="S1148" s="24" t="e">
        <f ca="1">[1]!BexGetData("DP_1","00O2TNJGODT0G5Z4TTKYMMI9X","GSON1112061204")</f>
        <v>#NAME?</v>
      </c>
      <c r="T1148" s="24" t="e">
        <f ca="1">[1]!BexGetData("DP_1","00O2TNJGODT0G5Z4TTKYMMOLH","GSON1112061204")</f>
        <v>#NAME?</v>
      </c>
      <c r="U1148" s="24" t="e">
        <f ca="1">[1]!BexGetData("DP_1","00O2TNJGODT0G5Z4TTKYMMUX1","GSON1112061204")</f>
        <v>#NAME?</v>
      </c>
      <c r="V1148" s="24" t="e">
        <f ca="1">[1]!BexGetData("DP_1","00O2TNJGODT0G5Z4TTKYMN18L","GSON1112061204")</f>
        <v>#NAME?</v>
      </c>
      <c r="W1148" s="24" t="e">
        <f ca="1">[1]!BexGetData("DP_1","00O2TNJGODT0G5Z4TTKYMN7K5","GSON1112061204")</f>
        <v>#NAME?</v>
      </c>
    </row>
    <row r="1149" spans="1:23" x14ac:dyDescent="0.2">
      <c r="A1149" s="36" t="s">
        <v>3652</v>
      </c>
      <c r="B1149" s="27" t="s">
        <v>3653</v>
      </c>
      <c r="C1149" s="23" t="e">
        <f ca="1">[1]!BexGetData("DP_1","003N8EMH8GTFRCSWKMPXRR8GU","GSON1112061210")</f>
        <v>#NAME?</v>
      </c>
      <c r="D1149" s="23" t="e">
        <f ca="1">[1]!BexGetData("DP_1","003N8EMH8GTFRCSWKMPXRRESE","GSON1112061210")</f>
        <v>#NAME?</v>
      </c>
      <c r="E1149" s="23" t="e">
        <f ca="1">[1]!BexGetData("DP_1","003N8EMH8GTFRCSWKMPXRRL3Y","GSON1112061210")</f>
        <v>#NAME?</v>
      </c>
      <c r="F1149" s="24" t="e">
        <f ca="1">[1]!BexGetData("DP_1","003N8EMH8GTFRCSWKMPXRRRFI","GSON1112061210")</f>
        <v>#NAME?</v>
      </c>
      <c r="G1149" s="24" t="e">
        <f ca="1">[1]!BexGetData("DP_1","003N8EMH8GTFRCSWKMPXRRXR2","GSON1112061210")</f>
        <v>#NAME?</v>
      </c>
      <c r="H1149" s="24" t="e">
        <f ca="1">[1]!BexGetData("DP_1","003N8EMH8GTFRCSWKMPXRS42M","GSON1112061210")</f>
        <v>#NAME?</v>
      </c>
      <c r="I1149" s="24" t="e">
        <f ca="1">[1]!BexGetData("DP_1","003N8EMH8GTFRCSWKMPXRSAE6","GSON1112061210")</f>
        <v>#NAME?</v>
      </c>
      <c r="J1149" s="24" t="e">
        <f ca="1">[1]!BexGetData("DP_1","003N8EMH8GTFRCSWKMPXRSGPQ","GSON1112061210")</f>
        <v>#NAME?</v>
      </c>
      <c r="K1149" s="23" t="e">
        <f ca="1">[1]!BexGetData("DP_1","003N8EMH8GTFRIVNUPY288VJH","GSON1112061210")</f>
        <v>#NAME?</v>
      </c>
      <c r="L1149" s="23" t="e">
        <f ca="1">[1]!BexGetData("DP_1","003N8EMH8GTFRIVNUPY2891V1","GSON1112061210")</f>
        <v>#NAME?</v>
      </c>
      <c r="M1149" s="28" t="e">
        <f ca="1">[1]!BexGetData("DP_1","003N8EMH8GTFRIVOG7KG9IQXA","GSON1112061210")</f>
        <v>#NAME?</v>
      </c>
      <c r="N1149" s="23" t="e">
        <f ca="1">[1]!BexGetData("DP_1","003N8EMH8GTFRIVOG7KG9IX8U","GSON1112061210")</f>
        <v>#NAME?</v>
      </c>
      <c r="O1149" s="28" t="e">
        <f ca="1">[1]!BexGetData("DP_1","003N8EMH8GTFRIVOG7KG9J3KE","GSON1112061210")</f>
        <v>#NAME?</v>
      </c>
      <c r="P1149" s="23" t="e">
        <f ca="1">[1]!BexGetData("DP_1","003N8EMH8GTFRIVOG7KG9J9VY","GSON1112061210")</f>
        <v>#NAME?</v>
      </c>
      <c r="Q1149" s="24" t="e">
        <f ca="1">[1]!BexGetData("DP_1","00O2TNJGODT0G5Z4TTKYMM5MT","GSON1112061210")</f>
        <v>#NAME?</v>
      </c>
      <c r="R1149" s="24" t="e">
        <f ca="1">[1]!BexGetData("DP_1","00O2TNJGODT0G5Z4TTKYMMBYD","GSON1112061210")</f>
        <v>#NAME?</v>
      </c>
      <c r="S1149" s="24" t="e">
        <f ca="1">[1]!BexGetData("DP_1","00O2TNJGODT0G5Z4TTKYMMI9X","GSON1112061210")</f>
        <v>#NAME?</v>
      </c>
      <c r="T1149" s="24" t="e">
        <f ca="1">[1]!BexGetData("DP_1","00O2TNJGODT0G5Z4TTKYMMOLH","GSON1112061210")</f>
        <v>#NAME?</v>
      </c>
      <c r="U1149" s="24" t="e">
        <f ca="1">[1]!BexGetData("DP_1","00O2TNJGODT0G5Z4TTKYMMUX1","GSON1112061210")</f>
        <v>#NAME?</v>
      </c>
      <c r="V1149" s="24" t="e">
        <f ca="1">[1]!BexGetData("DP_1","00O2TNJGODT0G5Z4TTKYMN18L","GSON1112061210")</f>
        <v>#NAME?</v>
      </c>
      <c r="W1149" s="24" t="e">
        <f ca="1">[1]!BexGetData("DP_1","00O2TNJGODT0G5Z4TTKYMN7K5","GSON1112061210")</f>
        <v>#NAME?</v>
      </c>
    </row>
    <row r="1150" spans="1:23" x14ac:dyDescent="0.2">
      <c r="A1150" s="36" t="s">
        <v>3654</v>
      </c>
      <c r="B1150" s="27" t="s">
        <v>3655</v>
      </c>
      <c r="C1150" s="23" t="e">
        <f ca="1">[1]!BexGetData("DP_1","003N8EMH8GTFRCSWKMPXRR8GU","GSON1112061211")</f>
        <v>#NAME?</v>
      </c>
      <c r="D1150" s="23" t="e">
        <f ca="1">[1]!BexGetData("DP_1","003N8EMH8GTFRCSWKMPXRRESE","GSON1112061211")</f>
        <v>#NAME?</v>
      </c>
      <c r="E1150" s="28" t="e">
        <f ca="1">[1]!BexGetData("DP_1","003N8EMH8GTFRCSWKMPXRRL3Y","GSON1112061211")</f>
        <v>#NAME?</v>
      </c>
      <c r="F1150" s="24" t="e">
        <f ca="1">[1]!BexGetData("DP_1","003N8EMH8GTFRCSWKMPXRRRFI","GSON1112061211")</f>
        <v>#NAME?</v>
      </c>
      <c r="G1150" s="24" t="e">
        <f ca="1">[1]!BexGetData("DP_1","003N8EMH8GTFRCSWKMPXRRXR2","GSON1112061211")</f>
        <v>#NAME?</v>
      </c>
      <c r="H1150" s="24" t="e">
        <f ca="1">[1]!BexGetData("DP_1","003N8EMH8GTFRCSWKMPXRS42M","GSON1112061211")</f>
        <v>#NAME?</v>
      </c>
      <c r="I1150" s="24" t="e">
        <f ca="1">[1]!BexGetData("DP_1","003N8EMH8GTFRCSWKMPXRSAE6","GSON1112061211")</f>
        <v>#NAME?</v>
      </c>
      <c r="J1150" s="24" t="e">
        <f ca="1">[1]!BexGetData("DP_1","003N8EMH8GTFRCSWKMPXRSGPQ","GSON1112061211")</f>
        <v>#NAME?</v>
      </c>
      <c r="K1150" s="28" t="e">
        <f ca="1">[1]!BexGetData("DP_1","003N8EMH8GTFRIVNUPY288VJH","GSON1112061211")</f>
        <v>#NAME?</v>
      </c>
      <c r="L1150" s="28" t="e">
        <f ca="1">[1]!BexGetData("DP_1","003N8EMH8GTFRIVNUPY2891V1","GSON1112061211")</f>
        <v>#NAME?</v>
      </c>
      <c r="M1150" s="28" t="e">
        <f ca="1">[1]!BexGetData("DP_1","003N8EMH8GTFRIVOG7KG9IQXA","GSON1112061211")</f>
        <v>#NAME?</v>
      </c>
      <c r="N1150" s="28" t="e">
        <f ca="1">[1]!BexGetData("DP_1","003N8EMH8GTFRIVOG7KG9IX8U","GSON1112061211")</f>
        <v>#NAME?</v>
      </c>
      <c r="O1150" s="28" t="e">
        <f ca="1">[1]!BexGetData("DP_1","003N8EMH8GTFRIVOG7KG9J3KE","GSON1112061211")</f>
        <v>#NAME?</v>
      </c>
      <c r="P1150" s="28" t="e">
        <f ca="1">[1]!BexGetData("DP_1","003N8EMH8GTFRIVOG7KG9J9VY","GSON1112061211")</f>
        <v>#NAME?</v>
      </c>
      <c r="Q1150" s="24" t="e">
        <f ca="1">[1]!BexGetData("DP_1","00O2TNJGODT0G5Z4TTKYMM5MT","GSON1112061211")</f>
        <v>#NAME?</v>
      </c>
      <c r="R1150" s="24" t="e">
        <f ca="1">[1]!BexGetData("DP_1","00O2TNJGODT0G5Z4TTKYMMBYD","GSON1112061211")</f>
        <v>#NAME?</v>
      </c>
      <c r="S1150" s="24" t="e">
        <f ca="1">[1]!BexGetData("DP_1","00O2TNJGODT0G5Z4TTKYMMI9X","GSON1112061211")</f>
        <v>#NAME?</v>
      </c>
      <c r="T1150" s="24" t="e">
        <f ca="1">[1]!BexGetData("DP_1","00O2TNJGODT0G5Z4TTKYMMOLH","GSON1112061211")</f>
        <v>#NAME?</v>
      </c>
      <c r="U1150" s="24" t="e">
        <f ca="1">[1]!BexGetData("DP_1","00O2TNJGODT0G5Z4TTKYMMUX1","GSON1112061211")</f>
        <v>#NAME?</v>
      </c>
      <c r="V1150" s="24" t="e">
        <f ca="1">[1]!BexGetData("DP_1","00O2TNJGODT0G5Z4TTKYMN18L","GSON1112061211")</f>
        <v>#NAME?</v>
      </c>
      <c r="W1150" s="24" t="e">
        <f ca="1">[1]!BexGetData("DP_1","00O2TNJGODT0G5Z4TTKYMN7K5","GSON1112061211")</f>
        <v>#NAME?</v>
      </c>
    </row>
    <row r="1151" spans="1:23" x14ac:dyDescent="0.2">
      <c r="A1151" s="36" t="s">
        <v>3656</v>
      </c>
      <c r="B1151" s="27" t="s">
        <v>3657</v>
      </c>
      <c r="C1151" s="23" t="e">
        <f ca="1">[1]!BexGetData("DP_1","003N8EMH8GTFRCSWKMPXRR8GU","GSON1112061213")</f>
        <v>#NAME?</v>
      </c>
      <c r="D1151" s="23" t="e">
        <f ca="1">[1]!BexGetData("DP_1","003N8EMH8GTFRCSWKMPXRRESE","GSON1112061213")</f>
        <v>#NAME?</v>
      </c>
      <c r="E1151" s="28" t="e">
        <f ca="1">[1]!BexGetData("DP_1","003N8EMH8GTFRCSWKMPXRRL3Y","GSON1112061213")</f>
        <v>#NAME?</v>
      </c>
      <c r="F1151" s="24" t="e">
        <f ca="1">[1]!BexGetData("DP_1","003N8EMH8GTFRCSWKMPXRRRFI","GSON1112061213")</f>
        <v>#NAME?</v>
      </c>
      <c r="G1151" s="24" t="e">
        <f ca="1">[1]!BexGetData("DP_1","003N8EMH8GTFRCSWKMPXRRXR2","GSON1112061213")</f>
        <v>#NAME?</v>
      </c>
      <c r="H1151" s="24" t="e">
        <f ca="1">[1]!BexGetData("DP_1","003N8EMH8GTFRCSWKMPXRS42M","GSON1112061213")</f>
        <v>#NAME?</v>
      </c>
      <c r="I1151" s="24" t="e">
        <f ca="1">[1]!BexGetData("DP_1","003N8EMH8GTFRCSWKMPXRSAE6","GSON1112061213")</f>
        <v>#NAME?</v>
      </c>
      <c r="J1151" s="24" t="e">
        <f ca="1">[1]!BexGetData("DP_1","003N8EMH8GTFRCSWKMPXRSGPQ","GSON1112061213")</f>
        <v>#NAME?</v>
      </c>
      <c r="K1151" s="28" t="e">
        <f ca="1">[1]!BexGetData("DP_1","003N8EMH8GTFRIVNUPY288VJH","GSON1112061213")</f>
        <v>#NAME?</v>
      </c>
      <c r="L1151" s="28" t="e">
        <f ca="1">[1]!BexGetData("DP_1","003N8EMH8GTFRIVNUPY2891V1","GSON1112061213")</f>
        <v>#NAME?</v>
      </c>
      <c r="M1151" s="28" t="e">
        <f ca="1">[1]!BexGetData("DP_1","003N8EMH8GTFRIVOG7KG9IQXA","GSON1112061213")</f>
        <v>#NAME?</v>
      </c>
      <c r="N1151" s="28" t="e">
        <f ca="1">[1]!BexGetData("DP_1","003N8EMH8GTFRIVOG7KG9IX8U","GSON1112061213")</f>
        <v>#NAME?</v>
      </c>
      <c r="O1151" s="28" t="e">
        <f ca="1">[1]!BexGetData("DP_1","003N8EMH8GTFRIVOG7KG9J3KE","GSON1112061213")</f>
        <v>#NAME?</v>
      </c>
      <c r="P1151" s="28" t="e">
        <f ca="1">[1]!BexGetData("DP_1","003N8EMH8GTFRIVOG7KG9J9VY","GSON1112061213")</f>
        <v>#NAME?</v>
      </c>
      <c r="Q1151" s="24" t="e">
        <f ca="1">[1]!BexGetData("DP_1","00O2TNJGODT0G5Z4TTKYMM5MT","GSON1112061213")</f>
        <v>#NAME?</v>
      </c>
      <c r="R1151" s="24" t="e">
        <f ca="1">[1]!BexGetData("DP_1","00O2TNJGODT0G5Z4TTKYMMBYD","GSON1112061213")</f>
        <v>#NAME?</v>
      </c>
      <c r="S1151" s="24" t="e">
        <f ca="1">[1]!BexGetData("DP_1","00O2TNJGODT0G5Z4TTKYMMI9X","GSON1112061213")</f>
        <v>#NAME?</v>
      </c>
      <c r="T1151" s="24" t="e">
        <f ca="1">[1]!BexGetData("DP_1","00O2TNJGODT0G5Z4TTKYMMOLH","GSON1112061213")</f>
        <v>#NAME?</v>
      </c>
      <c r="U1151" s="24" t="e">
        <f ca="1">[1]!BexGetData("DP_1","00O2TNJGODT0G5Z4TTKYMMUX1","GSON1112061213")</f>
        <v>#NAME?</v>
      </c>
      <c r="V1151" s="24" t="e">
        <f ca="1">[1]!BexGetData("DP_1","00O2TNJGODT0G5Z4TTKYMN18L","GSON1112061213")</f>
        <v>#NAME?</v>
      </c>
      <c r="W1151" s="24" t="e">
        <f ca="1">[1]!BexGetData("DP_1","00O2TNJGODT0G5Z4TTKYMN7K5","GSON1112061213")</f>
        <v>#NAME?</v>
      </c>
    </row>
    <row r="1152" spans="1:23" x14ac:dyDescent="0.2">
      <c r="A1152" s="36" t="s">
        <v>3658</v>
      </c>
      <c r="B1152" s="27" t="s">
        <v>3659</v>
      </c>
      <c r="C1152" s="23" t="e">
        <f ca="1">[1]!BexGetData("DP_1","003N8EMH8GTFRCSWKMPXRR8GU","GSON1112061214")</f>
        <v>#NAME?</v>
      </c>
      <c r="D1152" s="23" t="e">
        <f ca="1">[1]!BexGetData("DP_1","003N8EMH8GTFRCSWKMPXRRESE","GSON1112061214")</f>
        <v>#NAME?</v>
      </c>
      <c r="E1152" s="28" t="e">
        <f ca="1">[1]!BexGetData("DP_1","003N8EMH8GTFRCSWKMPXRRL3Y","GSON1112061214")</f>
        <v>#NAME?</v>
      </c>
      <c r="F1152" s="24" t="e">
        <f ca="1">[1]!BexGetData("DP_1","003N8EMH8GTFRCSWKMPXRRRFI","GSON1112061214")</f>
        <v>#NAME?</v>
      </c>
      <c r="G1152" s="24" t="e">
        <f ca="1">[1]!BexGetData("DP_1","003N8EMH8GTFRCSWKMPXRRXR2","GSON1112061214")</f>
        <v>#NAME?</v>
      </c>
      <c r="H1152" s="24" t="e">
        <f ca="1">[1]!BexGetData("DP_1","003N8EMH8GTFRCSWKMPXRS42M","GSON1112061214")</f>
        <v>#NAME?</v>
      </c>
      <c r="I1152" s="24" t="e">
        <f ca="1">[1]!BexGetData("DP_1","003N8EMH8GTFRCSWKMPXRSAE6","GSON1112061214")</f>
        <v>#NAME?</v>
      </c>
      <c r="J1152" s="24" t="e">
        <f ca="1">[1]!BexGetData("DP_1","003N8EMH8GTFRCSWKMPXRSGPQ","GSON1112061214")</f>
        <v>#NAME?</v>
      </c>
      <c r="K1152" s="28" t="e">
        <f ca="1">[1]!BexGetData("DP_1","003N8EMH8GTFRIVNUPY288VJH","GSON1112061214")</f>
        <v>#NAME?</v>
      </c>
      <c r="L1152" s="28" t="e">
        <f ca="1">[1]!BexGetData("DP_1","003N8EMH8GTFRIVNUPY2891V1","GSON1112061214")</f>
        <v>#NAME?</v>
      </c>
      <c r="M1152" s="28" t="e">
        <f ca="1">[1]!BexGetData("DP_1","003N8EMH8GTFRIVOG7KG9IQXA","GSON1112061214")</f>
        <v>#NAME?</v>
      </c>
      <c r="N1152" s="28" t="e">
        <f ca="1">[1]!BexGetData("DP_1","003N8EMH8GTFRIVOG7KG9IX8U","GSON1112061214")</f>
        <v>#NAME?</v>
      </c>
      <c r="O1152" s="28" t="e">
        <f ca="1">[1]!BexGetData("DP_1","003N8EMH8GTFRIVOG7KG9J3KE","GSON1112061214")</f>
        <v>#NAME?</v>
      </c>
      <c r="P1152" s="28" t="e">
        <f ca="1">[1]!BexGetData("DP_1","003N8EMH8GTFRIVOG7KG9J9VY","GSON1112061214")</f>
        <v>#NAME?</v>
      </c>
      <c r="Q1152" s="24" t="e">
        <f ca="1">[1]!BexGetData("DP_1","00O2TNJGODT0G5Z4TTKYMM5MT","GSON1112061214")</f>
        <v>#NAME?</v>
      </c>
      <c r="R1152" s="24" t="e">
        <f ca="1">[1]!BexGetData("DP_1","00O2TNJGODT0G5Z4TTKYMMBYD","GSON1112061214")</f>
        <v>#NAME?</v>
      </c>
      <c r="S1152" s="24" t="e">
        <f ca="1">[1]!BexGetData("DP_1","00O2TNJGODT0G5Z4TTKYMMI9X","GSON1112061214")</f>
        <v>#NAME?</v>
      </c>
      <c r="T1152" s="24" t="e">
        <f ca="1">[1]!BexGetData("DP_1","00O2TNJGODT0G5Z4TTKYMMOLH","GSON1112061214")</f>
        <v>#NAME?</v>
      </c>
      <c r="U1152" s="24" t="e">
        <f ca="1">[1]!BexGetData("DP_1","00O2TNJGODT0G5Z4TTKYMMUX1","GSON1112061214")</f>
        <v>#NAME?</v>
      </c>
      <c r="V1152" s="24" t="e">
        <f ca="1">[1]!BexGetData("DP_1","00O2TNJGODT0G5Z4TTKYMN18L","GSON1112061214")</f>
        <v>#NAME?</v>
      </c>
      <c r="W1152" s="24" t="e">
        <f ca="1">[1]!BexGetData("DP_1","00O2TNJGODT0G5Z4TTKYMN7K5","GSON1112061214")</f>
        <v>#NAME?</v>
      </c>
    </row>
    <row r="1153" spans="1:23" x14ac:dyDescent="0.2">
      <c r="A1153" s="36" t="s">
        <v>3660</v>
      </c>
      <c r="B1153" s="27" t="s">
        <v>3661</v>
      </c>
      <c r="C1153" s="23" t="e">
        <f ca="1">[1]!BexGetData("DP_1","003N8EMH8GTFRCSWKMPXRR8GU","GSON1112061215")</f>
        <v>#NAME?</v>
      </c>
      <c r="D1153" s="23" t="e">
        <f ca="1">[1]!BexGetData("DP_1","003N8EMH8GTFRCSWKMPXRRESE","GSON1112061215")</f>
        <v>#NAME?</v>
      </c>
      <c r="E1153" s="28" t="e">
        <f ca="1">[1]!BexGetData("DP_1","003N8EMH8GTFRCSWKMPXRRL3Y","GSON1112061215")</f>
        <v>#NAME?</v>
      </c>
      <c r="F1153" s="24" t="e">
        <f ca="1">[1]!BexGetData("DP_1","003N8EMH8GTFRCSWKMPXRRRFI","GSON1112061215")</f>
        <v>#NAME?</v>
      </c>
      <c r="G1153" s="24" t="e">
        <f ca="1">[1]!BexGetData("DP_1","003N8EMH8GTFRCSWKMPXRRXR2","GSON1112061215")</f>
        <v>#NAME?</v>
      </c>
      <c r="H1153" s="24" t="e">
        <f ca="1">[1]!BexGetData("DP_1","003N8EMH8GTFRCSWKMPXRS42M","GSON1112061215")</f>
        <v>#NAME?</v>
      </c>
      <c r="I1153" s="24" t="e">
        <f ca="1">[1]!BexGetData("DP_1","003N8EMH8GTFRCSWKMPXRSAE6","GSON1112061215")</f>
        <v>#NAME?</v>
      </c>
      <c r="J1153" s="24" t="e">
        <f ca="1">[1]!BexGetData("DP_1","003N8EMH8GTFRCSWKMPXRSGPQ","GSON1112061215")</f>
        <v>#NAME?</v>
      </c>
      <c r="K1153" s="28" t="e">
        <f ca="1">[1]!BexGetData("DP_1","003N8EMH8GTFRIVNUPY288VJH","GSON1112061215")</f>
        <v>#NAME?</v>
      </c>
      <c r="L1153" s="28" t="e">
        <f ca="1">[1]!BexGetData("DP_1","003N8EMH8GTFRIVNUPY2891V1","GSON1112061215")</f>
        <v>#NAME?</v>
      </c>
      <c r="M1153" s="28" t="e">
        <f ca="1">[1]!BexGetData("DP_1","003N8EMH8GTFRIVOG7KG9IQXA","GSON1112061215")</f>
        <v>#NAME?</v>
      </c>
      <c r="N1153" s="28" t="e">
        <f ca="1">[1]!BexGetData("DP_1","003N8EMH8GTFRIVOG7KG9IX8U","GSON1112061215")</f>
        <v>#NAME?</v>
      </c>
      <c r="O1153" s="28" t="e">
        <f ca="1">[1]!BexGetData("DP_1","003N8EMH8GTFRIVOG7KG9J3KE","GSON1112061215")</f>
        <v>#NAME?</v>
      </c>
      <c r="P1153" s="28" t="e">
        <f ca="1">[1]!BexGetData("DP_1","003N8EMH8GTFRIVOG7KG9J9VY","GSON1112061215")</f>
        <v>#NAME?</v>
      </c>
      <c r="Q1153" s="24" t="e">
        <f ca="1">[1]!BexGetData("DP_1","00O2TNJGODT0G5Z4TTKYMM5MT","GSON1112061215")</f>
        <v>#NAME?</v>
      </c>
      <c r="R1153" s="24" t="e">
        <f ca="1">[1]!BexGetData("DP_1","00O2TNJGODT0G5Z4TTKYMMBYD","GSON1112061215")</f>
        <v>#NAME?</v>
      </c>
      <c r="S1153" s="24" t="e">
        <f ca="1">[1]!BexGetData("DP_1","00O2TNJGODT0G5Z4TTKYMMI9X","GSON1112061215")</f>
        <v>#NAME?</v>
      </c>
      <c r="T1153" s="24" t="e">
        <f ca="1">[1]!BexGetData("DP_1","00O2TNJGODT0G5Z4TTKYMMOLH","GSON1112061215")</f>
        <v>#NAME?</v>
      </c>
      <c r="U1153" s="24" t="e">
        <f ca="1">[1]!BexGetData("DP_1","00O2TNJGODT0G5Z4TTKYMMUX1","GSON1112061215")</f>
        <v>#NAME?</v>
      </c>
      <c r="V1153" s="24" t="e">
        <f ca="1">[1]!BexGetData("DP_1","00O2TNJGODT0G5Z4TTKYMN18L","GSON1112061215")</f>
        <v>#NAME?</v>
      </c>
      <c r="W1153" s="24" t="e">
        <f ca="1">[1]!BexGetData("DP_1","00O2TNJGODT0G5Z4TTKYMN7K5","GSON1112061215")</f>
        <v>#NAME?</v>
      </c>
    </row>
    <row r="1154" spans="1:23" x14ac:dyDescent="0.2">
      <c r="A1154" s="36" t="s">
        <v>3662</v>
      </c>
      <c r="B1154" s="27" t="s">
        <v>3663</v>
      </c>
      <c r="C1154" s="23" t="e">
        <f ca="1">[1]!BexGetData("DP_1","003N8EMH8GTFRCSWKMPXRR8GU","GSON1112061220")</f>
        <v>#NAME?</v>
      </c>
      <c r="D1154" s="23" t="e">
        <f ca="1">[1]!BexGetData("DP_1","003N8EMH8GTFRCSWKMPXRRESE","GSON1112061220")</f>
        <v>#NAME?</v>
      </c>
      <c r="E1154" s="23" t="e">
        <f ca="1">[1]!BexGetData("DP_1","003N8EMH8GTFRCSWKMPXRRL3Y","GSON1112061220")</f>
        <v>#NAME?</v>
      </c>
      <c r="F1154" s="24" t="e">
        <f ca="1">[1]!BexGetData("DP_1","003N8EMH8GTFRCSWKMPXRRRFI","GSON1112061220")</f>
        <v>#NAME?</v>
      </c>
      <c r="G1154" s="24" t="e">
        <f ca="1">[1]!BexGetData("DP_1","003N8EMH8GTFRCSWKMPXRRXR2","GSON1112061220")</f>
        <v>#NAME?</v>
      </c>
      <c r="H1154" s="24" t="e">
        <f ca="1">[1]!BexGetData("DP_1","003N8EMH8GTFRCSWKMPXRS42M","GSON1112061220")</f>
        <v>#NAME?</v>
      </c>
      <c r="I1154" s="24" t="e">
        <f ca="1">[1]!BexGetData("DP_1","003N8EMH8GTFRCSWKMPXRSAE6","GSON1112061220")</f>
        <v>#NAME?</v>
      </c>
      <c r="J1154" s="24" t="e">
        <f ca="1">[1]!BexGetData("DP_1","003N8EMH8GTFRCSWKMPXRSGPQ","GSON1112061220")</f>
        <v>#NAME?</v>
      </c>
      <c r="K1154" s="23" t="e">
        <f ca="1">[1]!BexGetData("DP_1","003N8EMH8GTFRIVNUPY288VJH","GSON1112061220")</f>
        <v>#NAME?</v>
      </c>
      <c r="L1154" s="23" t="e">
        <f ca="1">[1]!BexGetData("DP_1","003N8EMH8GTFRIVNUPY2891V1","GSON1112061220")</f>
        <v>#NAME?</v>
      </c>
      <c r="M1154" s="28" t="e">
        <f ca="1">[1]!BexGetData("DP_1","003N8EMH8GTFRIVOG7KG9IQXA","GSON1112061220")</f>
        <v>#NAME?</v>
      </c>
      <c r="N1154" s="23" t="e">
        <f ca="1">[1]!BexGetData("DP_1","003N8EMH8GTFRIVOG7KG9IX8U","GSON1112061220")</f>
        <v>#NAME?</v>
      </c>
      <c r="O1154" s="28" t="e">
        <f ca="1">[1]!BexGetData("DP_1","003N8EMH8GTFRIVOG7KG9J3KE","GSON1112061220")</f>
        <v>#NAME?</v>
      </c>
      <c r="P1154" s="23" t="e">
        <f ca="1">[1]!BexGetData("DP_1","003N8EMH8GTFRIVOG7KG9J9VY","GSON1112061220")</f>
        <v>#NAME?</v>
      </c>
      <c r="Q1154" s="24" t="e">
        <f ca="1">[1]!BexGetData("DP_1","00O2TNJGODT0G5Z4TTKYMM5MT","GSON1112061220")</f>
        <v>#NAME?</v>
      </c>
      <c r="R1154" s="24" t="e">
        <f ca="1">[1]!BexGetData("DP_1","00O2TNJGODT0G5Z4TTKYMMBYD","GSON1112061220")</f>
        <v>#NAME?</v>
      </c>
      <c r="S1154" s="24" t="e">
        <f ca="1">[1]!BexGetData("DP_1","00O2TNJGODT0G5Z4TTKYMMI9X","GSON1112061220")</f>
        <v>#NAME?</v>
      </c>
      <c r="T1154" s="24" t="e">
        <f ca="1">[1]!BexGetData("DP_1","00O2TNJGODT0G5Z4TTKYMMOLH","GSON1112061220")</f>
        <v>#NAME?</v>
      </c>
      <c r="U1154" s="24" t="e">
        <f ca="1">[1]!BexGetData("DP_1","00O2TNJGODT0G5Z4TTKYMMUX1","GSON1112061220")</f>
        <v>#NAME?</v>
      </c>
      <c r="V1154" s="24" t="e">
        <f ca="1">[1]!BexGetData("DP_1","00O2TNJGODT0G5Z4TTKYMN18L","GSON1112061220")</f>
        <v>#NAME?</v>
      </c>
      <c r="W1154" s="24" t="e">
        <f ca="1">[1]!BexGetData("DP_1","00O2TNJGODT0G5Z4TTKYMN7K5","GSON1112061220")</f>
        <v>#NAME?</v>
      </c>
    </row>
    <row r="1155" spans="1:23" x14ac:dyDescent="0.2">
      <c r="A1155" s="36" t="s">
        <v>3664</v>
      </c>
      <c r="B1155" s="27" t="s">
        <v>3665</v>
      </c>
      <c r="C1155" s="23" t="e">
        <f ca="1">[1]!BexGetData("DP_1","003N8EMH8GTFRCSWKMPXRR8GU","GSON1112061221")</f>
        <v>#NAME?</v>
      </c>
      <c r="D1155" s="23" t="e">
        <f ca="1">[1]!BexGetData("DP_1","003N8EMH8GTFRCSWKMPXRRESE","GSON1112061221")</f>
        <v>#NAME?</v>
      </c>
      <c r="E1155" s="28" t="e">
        <f ca="1">[1]!BexGetData("DP_1","003N8EMH8GTFRCSWKMPXRRL3Y","GSON1112061221")</f>
        <v>#NAME?</v>
      </c>
      <c r="F1155" s="24" t="e">
        <f ca="1">[1]!BexGetData("DP_1","003N8EMH8GTFRCSWKMPXRRRFI","GSON1112061221")</f>
        <v>#NAME?</v>
      </c>
      <c r="G1155" s="24" t="e">
        <f ca="1">[1]!BexGetData("DP_1","003N8EMH8GTFRCSWKMPXRRXR2","GSON1112061221")</f>
        <v>#NAME?</v>
      </c>
      <c r="H1155" s="24" t="e">
        <f ca="1">[1]!BexGetData("DP_1","003N8EMH8GTFRCSWKMPXRS42M","GSON1112061221")</f>
        <v>#NAME?</v>
      </c>
      <c r="I1155" s="24" t="e">
        <f ca="1">[1]!BexGetData("DP_1","003N8EMH8GTFRCSWKMPXRSAE6","GSON1112061221")</f>
        <v>#NAME?</v>
      </c>
      <c r="J1155" s="24" t="e">
        <f ca="1">[1]!BexGetData("DP_1","003N8EMH8GTFRCSWKMPXRSGPQ","GSON1112061221")</f>
        <v>#NAME?</v>
      </c>
      <c r="K1155" s="28" t="e">
        <f ca="1">[1]!BexGetData("DP_1","003N8EMH8GTFRIVNUPY288VJH","GSON1112061221")</f>
        <v>#NAME?</v>
      </c>
      <c r="L1155" s="28" t="e">
        <f ca="1">[1]!BexGetData("DP_1","003N8EMH8GTFRIVNUPY2891V1","GSON1112061221")</f>
        <v>#NAME?</v>
      </c>
      <c r="M1155" s="28" t="e">
        <f ca="1">[1]!BexGetData("DP_1","003N8EMH8GTFRIVOG7KG9IQXA","GSON1112061221")</f>
        <v>#NAME?</v>
      </c>
      <c r="N1155" s="28" t="e">
        <f ca="1">[1]!BexGetData("DP_1","003N8EMH8GTFRIVOG7KG9IX8U","GSON1112061221")</f>
        <v>#NAME?</v>
      </c>
      <c r="O1155" s="28" t="e">
        <f ca="1">[1]!BexGetData("DP_1","003N8EMH8GTFRIVOG7KG9J3KE","GSON1112061221")</f>
        <v>#NAME?</v>
      </c>
      <c r="P1155" s="28" t="e">
        <f ca="1">[1]!BexGetData("DP_1","003N8EMH8GTFRIVOG7KG9J9VY","GSON1112061221")</f>
        <v>#NAME?</v>
      </c>
      <c r="Q1155" s="24" t="e">
        <f ca="1">[1]!BexGetData("DP_1","00O2TNJGODT0G5Z4TTKYMM5MT","GSON1112061221")</f>
        <v>#NAME?</v>
      </c>
      <c r="R1155" s="24" t="e">
        <f ca="1">[1]!BexGetData("DP_1","00O2TNJGODT0G5Z4TTKYMMBYD","GSON1112061221")</f>
        <v>#NAME?</v>
      </c>
      <c r="S1155" s="24" t="e">
        <f ca="1">[1]!BexGetData("DP_1","00O2TNJGODT0G5Z4TTKYMMI9X","GSON1112061221")</f>
        <v>#NAME?</v>
      </c>
      <c r="T1155" s="24" t="e">
        <f ca="1">[1]!BexGetData("DP_1","00O2TNJGODT0G5Z4TTKYMMOLH","GSON1112061221")</f>
        <v>#NAME?</v>
      </c>
      <c r="U1155" s="24" t="e">
        <f ca="1">[1]!BexGetData("DP_1","00O2TNJGODT0G5Z4TTKYMMUX1","GSON1112061221")</f>
        <v>#NAME?</v>
      </c>
      <c r="V1155" s="24" t="e">
        <f ca="1">[1]!BexGetData("DP_1","00O2TNJGODT0G5Z4TTKYMN18L","GSON1112061221")</f>
        <v>#NAME?</v>
      </c>
      <c r="W1155" s="24" t="e">
        <f ca="1">[1]!BexGetData("DP_1","00O2TNJGODT0G5Z4TTKYMN7K5","GSON1112061221")</f>
        <v>#NAME?</v>
      </c>
    </row>
    <row r="1156" spans="1:23" x14ac:dyDescent="0.2">
      <c r="A1156" s="36" t="s">
        <v>3666</v>
      </c>
      <c r="B1156" s="27" t="s">
        <v>3667</v>
      </c>
      <c r="C1156" s="23" t="e">
        <f ca="1">[1]!BexGetData("DP_1","003N8EMH8GTFRCSWKMPXRR8GU","GSON1112061223")</f>
        <v>#NAME?</v>
      </c>
      <c r="D1156" s="23" t="e">
        <f ca="1">[1]!BexGetData("DP_1","003N8EMH8GTFRCSWKMPXRRESE","GSON1112061223")</f>
        <v>#NAME?</v>
      </c>
      <c r="E1156" s="28" t="e">
        <f ca="1">[1]!BexGetData("DP_1","003N8EMH8GTFRCSWKMPXRRL3Y","GSON1112061223")</f>
        <v>#NAME?</v>
      </c>
      <c r="F1156" s="24" t="e">
        <f ca="1">[1]!BexGetData("DP_1","003N8EMH8GTFRCSWKMPXRRRFI","GSON1112061223")</f>
        <v>#NAME?</v>
      </c>
      <c r="G1156" s="24" t="e">
        <f ca="1">[1]!BexGetData("DP_1","003N8EMH8GTFRCSWKMPXRRXR2","GSON1112061223")</f>
        <v>#NAME?</v>
      </c>
      <c r="H1156" s="24" t="e">
        <f ca="1">[1]!BexGetData("DP_1","003N8EMH8GTFRCSWKMPXRS42M","GSON1112061223")</f>
        <v>#NAME?</v>
      </c>
      <c r="I1156" s="24" t="e">
        <f ca="1">[1]!BexGetData("DP_1","003N8EMH8GTFRCSWKMPXRSAE6","GSON1112061223")</f>
        <v>#NAME?</v>
      </c>
      <c r="J1156" s="24" t="e">
        <f ca="1">[1]!BexGetData("DP_1","003N8EMH8GTFRCSWKMPXRSGPQ","GSON1112061223")</f>
        <v>#NAME?</v>
      </c>
      <c r="K1156" s="28" t="e">
        <f ca="1">[1]!BexGetData("DP_1","003N8EMH8GTFRIVNUPY288VJH","GSON1112061223")</f>
        <v>#NAME?</v>
      </c>
      <c r="L1156" s="28" t="e">
        <f ca="1">[1]!BexGetData("DP_1","003N8EMH8GTFRIVNUPY2891V1","GSON1112061223")</f>
        <v>#NAME?</v>
      </c>
      <c r="M1156" s="28" t="e">
        <f ca="1">[1]!BexGetData("DP_1","003N8EMH8GTFRIVOG7KG9IQXA","GSON1112061223")</f>
        <v>#NAME?</v>
      </c>
      <c r="N1156" s="28" t="e">
        <f ca="1">[1]!BexGetData("DP_1","003N8EMH8GTFRIVOG7KG9IX8U","GSON1112061223")</f>
        <v>#NAME?</v>
      </c>
      <c r="O1156" s="28" t="e">
        <f ca="1">[1]!BexGetData("DP_1","003N8EMH8GTFRIVOG7KG9J3KE","GSON1112061223")</f>
        <v>#NAME?</v>
      </c>
      <c r="P1156" s="28" t="e">
        <f ca="1">[1]!BexGetData("DP_1","003N8EMH8GTFRIVOG7KG9J9VY","GSON1112061223")</f>
        <v>#NAME?</v>
      </c>
      <c r="Q1156" s="24" t="e">
        <f ca="1">[1]!BexGetData("DP_1","00O2TNJGODT0G5Z4TTKYMM5MT","GSON1112061223")</f>
        <v>#NAME?</v>
      </c>
      <c r="R1156" s="24" t="e">
        <f ca="1">[1]!BexGetData("DP_1","00O2TNJGODT0G5Z4TTKYMMBYD","GSON1112061223")</f>
        <v>#NAME?</v>
      </c>
      <c r="S1156" s="24" t="e">
        <f ca="1">[1]!BexGetData("DP_1","00O2TNJGODT0G5Z4TTKYMMI9X","GSON1112061223")</f>
        <v>#NAME?</v>
      </c>
      <c r="T1156" s="24" t="e">
        <f ca="1">[1]!BexGetData("DP_1","00O2TNJGODT0G5Z4TTKYMMOLH","GSON1112061223")</f>
        <v>#NAME?</v>
      </c>
      <c r="U1156" s="24" t="e">
        <f ca="1">[1]!BexGetData("DP_1","00O2TNJGODT0G5Z4TTKYMMUX1","GSON1112061223")</f>
        <v>#NAME?</v>
      </c>
      <c r="V1156" s="24" t="e">
        <f ca="1">[1]!BexGetData("DP_1","00O2TNJGODT0G5Z4TTKYMN18L","GSON1112061223")</f>
        <v>#NAME?</v>
      </c>
      <c r="W1156" s="24" t="e">
        <f ca="1">[1]!BexGetData("DP_1","00O2TNJGODT0G5Z4TTKYMN7K5","GSON1112061223")</f>
        <v>#NAME?</v>
      </c>
    </row>
    <row r="1157" spans="1:23" x14ac:dyDescent="0.2">
      <c r="A1157" s="36" t="s">
        <v>3668</v>
      </c>
      <c r="B1157" s="27" t="s">
        <v>3669</v>
      </c>
      <c r="C1157" s="23" t="e">
        <f ca="1">[1]!BexGetData("DP_1","003N8EMH8GTFRCSWKMPXRR8GU","GSON1112061224")</f>
        <v>#NAME?</v>
      </c>
      <c r="D1157" s="23" t="e">
        <f ca="1">[1]!BexGetData("DP_1","003N8EMH8GTFRCSWKMPXRRESE","GSON1112061224")</f>
        <v>#NAME?</v>
      </c>
      <c r="E1157" s="28" t="e">
        <f ca="1">[1]!BexGetData("DP_1","003N8EMH8GTFRCSWKMPXRRL3Y","GSON1112061224")</f>
        <v>#NAME?</v>
      </c>
      <c r="F1157" s="24" t="e">
        <f ca="1">[1]!BexGetData("DP_1","003N8EMH8GTFRCSWKMPXRRRFI","GSON1112061224")</f>
        <v>#NAME?</v>
      </c>
      <c r="G1157" s="24" t="e">
        <f ca="1">[1]!BexGetData("DP_1","003N8EMH8GTFRCSWKMPXRRXR2","GSON1112061224")</f>
        <v>#NAME?</v>
      </c>
      <c r="H1157" s="24" t="e">
        <f ca="1">[1]!BexGetData("DP_1","003N8EMH8GTFRCSWKMPXRS42M","GSON1112061224")</f>
        <v>#NAME?</v>
      </c>
      <c r="I1157" s="24" t="e">
        <f ca="1">[1]!BexGetData("DP_1","003N8EMH8GTFRCSWKMPXRSAE6","GSON1112061224")</f>
        <v>#NAME?</v>
      </c>
      <c r="J1157" s="24" t="e">
        <f ca="1">[1]!BexGetData("DP_1","003N8EMH8GTFRCSWKMPXRSGPQ","GSON1112061224")</f>
        <v>#NAME?</v>
      </c>
      <c r="K1157" s="28" t="e">
        <f ca="1">[1]!BexGetData("DP_1","003N8EMH8GTFRIVNUPY288VJH","GSON1112061224")</f>
        <v>#NAME?</v>
      </c>
      <c r="L1157" s="28" t="e">
        <f ca="1">[1]!BexGetData("DP_1","003N8EMH8GTFRIVNUPY2891V1","GSON1112061224")</f>
        <v>#NAME?</v>
      </c>
      <c r="M1157" s="28" t="e">
        <f ca="1">[1]!BexGetData("DP_1","003N8EMH8GTFRIVOG7KG9IQXA","GSON1112061224")</f>
        <v>#NAME?</v>
      </c>
      <c r="N1157" s="28" t="e">
        <f ca="1">[1]!BexGetData("DP_1","003N8EMH8GTFRIVOG7KG9IX8U","GSON1112061224")</f>
        <v>#NAME?</v>
      </c>
      <c r="O1157" s="28" t="e">
        <f ca="1">[1]!BexGetData("DP_1","003N8EMH8GTFRIVOG7KG9J3KE","GSON1112061224")</f>
        <v>#NAME?</v>
      </c>
      <c r="P1157" s="28" t="e">
        <f ca="1">[1]!BexGetData("DP_1","003N8EMH8GTFRIVOG7KG9J9VY","GSON1112061224")</f>
        <v>#NAME?</v>
      </c>
      <c r="Q1157" s="24" t="e">
        <f ca="1">[1]!BexGetData("DP_1","00O2TNJGODT0G5Z4TTKYMM5MT","GSON1112061224")</f>
        <v>#NAME?</v>
      </c>
      <c r="R1157" s="24" t="e">
        <f ca="1">[1]!BexGetData("DP_1","00O2TNJGODT0G5Z4TTKYMMBYD","GSON1112061224")</f>
        <v>#NAME?</v>
      </c>
      <c r="S1157" s="24" t="e">
        <f ca="1">[1]!BexGetData("DP_1","00O2TNJGODT0G5Z4TTKYMMI9X","GSON1112061224")</f>
        <v>#NAME?</v>
      </c>
      <c r="T1157" s="24" t="e">
        <f ca="1">[1]!BexGetData("DP_1","00O2TNJGODT0G5Z4TTKYMMOLH","GSON1112061224")</f>
        <v>#NAME?</v>
      </c>
      <c r="U1157" s="24" t="e">
        <f ca="1">[1]!BexGetData("DP_1","00O2TNJGODT0G5Z4TTKYMMUX1","GSON1112061224")</f>
        <v>#NAME?</v>
      </c>
      <c r="V1157" s="24" t="e">
        <f ca="1">[1]!BexGetData("DP_1","00O2TNJGODT0G5Z4TTKYMN18L","GSON1112061224")</f>
        <v>#NAME?</v>
      </c>
      <c r="W1157" s="24" t="e">
        <f ca="1">[1]!BexGetData("DP_1","00O2TNJGODT0G5Z4TTKYMN7K5","GSON1112061224")</f>
        <v>#NAME?</v>
      </c>
    </row>
    <row r="1158" spans="1:23" x14ac:dyDescent="0.2">
      <c r="A1158" s="36" t="s">
        <v>3670</v>
      </c>
      <c r="B1158" s="27" t="s">
        <v>3671</v>
      </c>
      <c r="C1158" s="23" t="e">
        <f ca="1">[1]!BexGetData("DP_1","003N8EMH8GTFRCSWKMPXRR8GU","GSON1112061225")</f>
        <v>#NAME?</v>
      </c>
      <c r="D1158" s="23" t="e">
        <f ca="1">[1]!BexGetData("DP_1","003N8EMH8GTFRCSWKMPXRRESE","GSON1112061225")</f>
        <v>#NAME?</v>
      </c>
      <c r="E1158" s="28" t="e">
        <f ca="1">[1]!BexGetData("DP_1","003N8EMH8GTFRCSWKMPXRRL3Y","GSON1112061225")</f>
        <v>#NAME?</v>
      </c>
      <c r="F1158" s="24" t="e">
        <f ca="1">[1]!BexGetData("DP_1","003N8EMH8GTFRCSWKMPXRRRFI","GSON1112061225")</f>
        <v>#NAME?</v>
      </c>
      <c r="G1158" s="24" t="e">
        <f ca="1">[1]!BexGetData("DP_1","003N8EMH8GTFRCSWKMPXRRXR2","GSON1112061225")</f>
        <v>#NAME?</v>
      </c>
      <c r="H1158" s="24" t="e">
        <f ca="1">[1]!BexGetData("DP_1","003N8EMH8GTFRCSWKMPXRS42M","GSON1112061225")</f>
        <v>#NAME?</v>
      </c>
      <c r="I1158" s="24" t="e">
        <f ca="1">[1]!BexGetData("DP_1","003N8EMH8GTFRCSWKMPXRSAE6","GSON1112061225")</f>
        <v>#NAME?</v>
      </c>
      <c r="J1158" s="24" t="e">
        <f ca="1">[1]!BexGetData("DP_1","003N8EMH8GTFRCSWKMPXRSGPQ","GSON1112061225")</f>
        <v>#NAME?</v>
      </c>
      <c r="K1158" s="28" t="e">
        <f ca="1">[1]!BexGetData("DP_1","003N8EMH8GTFRIVNUPY288VJH","GSON1112061225")</f>
        <v>#NAME?</v>
      </c>
      <c r="L1158" s="28" t="e">
        <f ca="1">[1]!BexGetData("DP_1","003N8EMH8GTFRIVNUPY2891V1","GSON1112061225")</f>
        <v>#NAME?</v>
      </c>
      <c r="M1158" s="28" t="e">
        <f ca="1">[1]!BexGetData("DP_1","003N8EMH8GTFRIVOG7KG9IQXA","GSON1112061225")</f>
        <v>#NAME?</v>
      </c>
      <c r="N1158" s="28" t="e">
        <f ca="1">[1]!BexGetData("DP_1","003N8EMH8GTFRIVOG7KG9IX8U","GSON1112061225")</f>
        <v>#NAME?</v>
      </c>
      <c r="O1158" s="28" t="e">
        <f ca="1">[1]!BexGetData("DP_1","003N8EMH8GTFRIVOG7KG9J3KE","GSON1112061225")</f>
        <v>#NAME?</v>
      </c>
      <c r="P1158" s="28" t="e">
        <f ca="1">[1]!BexGetData("DP_1","003N8EMH8GTFRIVOG7KG9J9VY","GSON1112061225")</f>
        <v>#NAME?</v>
      </c>
      <c r="Q1158" s="24" t="e">
        <f ca="1">[1]!BexGetData("DP_1","00O2TNJGODT0G5Z4TTKYMM5MT","GSON1112061225")</f>
        <v>#NAME?</v>
      </c>
      <c r="R1158" s="24" t="e">
        <f ca="1">[1]!BexGetData("DP_1","00O2TNJGODT0G5Z4TTKYMMBYD","GSON1112061225")</f>
        <v>#NAME?</v>
      </c>
      <c r="S1158" s="24" t="e">
        <f ca="1">[1]!BexGetData("DP_1","00O2TNJGODT0G5Z4TTKYMMI9X","GSON1112061225")</f>
        <v>#NAME?</v>
      </c>
      <c r="T1158" s="24" t="e">
        <f ca="1">[1]!BexGetData("DP_1","00O2TNJGODT0G5Z4TTKYMMOLH","GSON1112061225")</f>
        <v>#NAME?</v>
      </c>
      <c r="U1158" s="24" t="e">
        <f ca="1">[1]!BexGetData("DP_1","00O2TNJGODT0G5Z4TTKYMMUX1","GSON1112061225")</f>
        <v>#NAME?</v>
      </c>
      <c r="V1158" s="24" t="e">
        <f ca="1">[1]!BexGetData("DP_1","00O2TNJGODT0G5Z4TTKYMN18L","GSON1112061225")</f>
        <v>#NAME?</v>
      </c>
      <c r="W1158" s="24" t="e">
        <f ca="1">[1]!BexGetData("DP_1","00O2TNJGODT0G5Z4TTKYMN7K5","GSON1112061225")</f>
        <v>#NAME?</v>
      </c>
    </row>
    <row r="1159" spans="1:23" x14ac:dyDescent="0.2">
      <c r="A1159" s="36" t="s">
        <v>3672</v>
      </c>
      <c r="B1159" s="27" t="s">
        <v>3673</v>
      </c>
      <c r="C1159" s="23" t="e">
        <f ca="1">[1]!BexGetData("DP_1","003N8EMH8GTFRCSWKMPXRR8GU","GSON1112061230")</f>
        <v>#NAME?</v>
      </c>
      <c r="D1159" s="23" t="e">
        <f ca="1">[1]!BexGetData("DP_1","003N8EMH8GTFRCSWKMPXRRESE","GSON1112061230")</f>
        <v>#NAME?</v>
      </c>
      <c r="E1159" s="23" t="e">
        <f ca="1">[1]!BexGetData("DP_1","003N8EMH8GTFRCSWKMPXRRL3Y","GSON1112061230")</f>
        <v>#NAME?</v>
      </c>
      <c r="F1159" s="24" t="e">
        <f ca="1">[1]!BexGetData("DP_1","003N8EMH8GTFRCSWKMPXRRRFI","GSON1112061230")</f>
        <v>#NAME?</v>
      </c>
      <c r="G1159" s="24" t="e">
        <f ca="1">[1]!BexGetData("DP_1","003N8EMH8GTFRCSWKMPXRRXR2","GSON1112061230")</f>
        <v>#NAME?</v>
      </c>
      <c r="H1159" s="24" t="e">
        <f ca="1">[1]!BexGetData("DP_1","003N8EMH8GTFRCSWKMPXRS42M","GSON1112061230")</f>
        <v>#NAME?</v>
      </c>
      <c r="I1159" s="24" t="e">
        <f ca="1">[1]!BexGetData("DP_1","003N8EMH8GTFRCSWKMPXRSAE6","GSON1112061230")</f>
        <v>#NAME?</v>
      </c>
      <c r="J1159" s="24" t="e">
        <f ca="1">[1]!BexGetData("DP_1","003N8EMH8GTFRCSWKMPXRSGPQ","GSON1112061230")</f>
        <v>#NAME?</v>
      </c>
      <c r="K1159" s="23" t="e">
        <f ca="1">[1]!BexGetData("DP_1","003N8EMH8GTFRIVNUPY288VJH","GSON1112061230")</f>
        <v>#NAME?</v>
      </c>
      <c r="L1159" s="23" t="e">
        <f ca="1">[1]!BexGetData("DP_1","003N8EMH8GTFRIVNUPY2891V1","GSON1112061230")</f>
        <v>#NAME?</v>
      </c>
      <c r="M1159" s="28" t="e">
        <f ca="1">[1]!BexGetData("DP_1","003N8EMH8GTFRIVOG7KG9IQXA","GSON1112061230")</f>
        <v>#NAME?</v>
      </c>
      <c r="N1159" s="23" t="e">
        <f ca="1">[1]!BexGetData("DP_1","003N8EMH8GTFRIVOG7KG9IX8U","GSON1112061230")</f>
        <v>#NAME?</v>
      </c>
      <c r="O1159" s="28" t="e">
        <f ca="1">[1]!BexGetData("DP_1","003N8EMH8GTFRIVOG7KG9J3KE","GSON1112061230")</f>
        <v>#NAME?</v>
      </c>
      <c r="P1159" s="23" t="e">
        <f ca="1">[1]!BexGetData("DP_1","003N8EMH8GTFRIVOG7KG9J9VY","GSON1112061230")</f>
        <v>#NAME?</v>
      </c>
      <c r="Q1159" s="24" t="e">
        <f ca="1">[1]!BexGetData("DP_1","00O2TNJGODT0G5Z4TTKYMM5MT","GSON1112061230")</f>
        <v>#NAME?</v>
      </c>
      <c r="R1159" s="24" t="e">
        <f ca="1">[1]!BexGetData("DP_1","00O2TNJGODT0G5Z4TTKYMMBYD","GSON1112061230")</f>
        <v>#NAME?</v>
      </c>
      <c r="S1159" s="24" t="e">
        <f ca="1">[1]!BexGetData("DP_1","00O2TNJGODT0G5Z4TTKYMMI9X","GSON1112061230")</f>
        <v>#NAME?</v>
      </c>
      <c r="T1159" s="24" t="e">
        <f ca="1">[1]!BexGetData("DP_1","00O2TNJGODT0G5Z4TTKYMMOLH","GSON1112061230")</f>
        <v>#NAME?</v>
      </c>
      <c r="U1159" s="24" t="e">
        <f ca="1">[1]!BexGetData("DP_1","00O2TNJGODT0G5Z4TTKYMMUX1","GSON1112061230")</f>
        <v>#NAME?</v>
      </c>
      <c r="V1159" s="24" t="e">
        <f ca="1">[1]!BexGetData("DP_1","00O2TNJGODT0G5Z4TTKYMN18L","GSON1112061230")</f>
        <v>#NAME?</v>
      </c>
      <c r="W1159" s="24" t="e">
        <f ca="1">[1]!BexGetData("DP_1","00O2TNJGODT0G5Z4TTKYMN7K5","GSON1112061230")</f>
        <v>#NAME?</v>
      </c>
    </row>
    <row r="1160" spans="1:23" x14ac:dyDescent="0.2">
      <c r="A1160" s="36" t="s">
        <v>3674</v>
      </c>
      <c r="B1160" s="27" t="s">
        <v>3675</v>
      </c>
      <c r="C1160" s="23" t="e">
        <f ca="1">[1]!BexGetData("DP_1","003N8EMH8GTFRCSWKMPXRR8GU","GSON1112061231")</f>
        <v>#NAME?</v>
      </c>
      <c r="D1160" s="23" t="e">
        <f ca="1">[1]!BexGetData("DP_1","003N8EMH8GTFRCSWKMPXRRESE","GSON1112061231")</f>
        <v>#NAME?</v>
      </c>
      <c r="E1160" s="28" t="e">
        <f ca="1">[1]!BexGetData("DP_1","003N8EMH8GTFRCSWKMPXRRL3Y","GSON1112061231")</f>
        <v>#NAME?</v>
      </c>
      <c r="F1160" s="24" t="e">
        <f ca="1">[1]!BexGetData("DP_1","003N8EMH8GTFRCSWKMPXRRRFI","GSON1112061231")</f>
        <v>#NAME?</v>
      </c>
      <c r="G1160" s="24" t="e">
        <f ca="1">[1]!BexGetData("DP_1","003N8EMH8GTFRCSWKMPXRRXR2","GSON1112061231")</f>
        <v>#NAME?</v>
      </c>
      <c r="H1160" s="24" t="e">
        <f ca="1">[1]!BexGetData("DP_1","003N8EMH8GTFRCSWKMPXRS42M","GSON1112061231")</f>
        <v>#NAME?</v>
      </c>
      <c r="I1160" s="24" t="e">
        <f ca="1">[1]!BexGetData("DP_1","003N8EMH8GTFRCSWKMPXRSAE6","GSON1112061231")</f>
        <v>#NAME?</v>
      </c>
      <c r="J1160" s="24" t="e">
        <f ca="1">[1]!BexGetData("DP_1","003N8EMH8GTFRCSWKMPXRSGPQ","GSON1112061231")</f>
        <v>#NAME?</v>
      </c>
      <c r="K1160" s="28" t="e">
        <f ca="1">[1]!BexGetData("DP_1","003N8EMH8GTFRIVNUPY288VJH","GSON1112061231")</f>
        <v>#NAME?</v>
      </c>
      <c r="L1160" s="28" t="e">
        <f ca="1">[1]!BexGetData("DP_1","003N8EMH8GTFRIVNUPY2891V1","GSON1112061231")</f>
        <v>#NAME?</v>
      </c>
      <c r="M1160" s="28" t="e">
        <f ca="1">[1]!BexGetData("DP_1","003N8EMH8GTFRIVOG7KG9IQXA","GSON1112061231")</f>
        <v>#NAME?</v>
      </c>
      <c r="N1160" s="28" t="e">
        <f ca="1">[1]!BexGetData("DP_1","003N8EMH8GTFRIVOG7KG9IX8U","GSON1112061231")</f>
        <v>#NAME?</v>
      </c>
      <c r="O1160" s="28" t="e">
        <f ca="1">[1]!BexGetData("DP_1","003N8EMH8GTFRIVOG7KG9J3KE","GSON1112061231")</f>
        <v>#NAME?</v>
      </c>
      <c r="P1160" s="28" t="e">
        <f ca="1">[1]!BexGetData("DP_1","003N8EMH8GTFRIVOG7KG9J9VY","GSON1112061231")</f>
        <v>#NAME?</v>
      </c>
      <c r="Q1160" s="24" t="e">
        <f ca="1">[1]!BexGetData("DP_1","00O2TNJGODT0G5Z4TTKYMM5MT","GSON1112061231")</f>
        <v>#NAME?</v>
      </c>
      <c r="R1160" s="24" t="e">
        <f ca="1">[1]!BexGetData("DP_1","00O2TNJGODT0G5Z4TTKYMMBYD","GSON1112061231")</f>
        <v>#NAME?</v>
      </c>
      <c r="S1160" s="24" t="e">
        <f ca="1">[1]!BexGetData("DP_1","00O2TNJGODT0G5Z4TTKYMMI9X","GSON1112061231")</f>
        <v>#NAME?</v>
      </c>
      <c r="T1160" s="24" t="e">
        <f ca="1">[1]!BexGetData("DP_1","00O2TNJGODT0G5Z4TTKYMMOLH","GSON1112061231")</f>
        <v>#NAME?</v>
      </c>
      <c r="U1160" s="24" t="e">
        <f ca="1">[1]!BexGetData("DP_1","00O2TNJGODT0G5Z4TTKYMMUX1","GSON1112061231")</f>
        <v>#NAME?</v>
      </c>
      <c r="V1160" s="24" t="e">
        <f ca="1">[1]!BexGetData("DP_1","00O2TNJGODT0G5Z4TTKYMN18L","GSON1112061231")</f>
        <v>#NAME?</v>
      </c>
      <c r="W1160" s="24" t="e">
        <f ca="1">[1]!BexGetData("DP_1","00O2TNJGODT0G5Z4TTKYMN7K5","GSON1112061231")</f>
        <v>#NAME?</v>
      </c>
    </row>
    <row r="1161" spans="1:23" x14ac:dyDescent="0.2">
      <c r="A1161" s="36" t="s">
        <v>3676</v>
      </c>
      <c r="B1161" s="27" t="s">
        <v>3677</v>
      </c>
      <c r="C1161" s="23" t="e">
        <f ca="1">[1]!BexGetData("DP_1","003N8EMH8GTFRCSWKMPXRR8GU","GSON1112061233")</f>
        <v>#NAME?</v>
      </c>
      <c r="D1161" s="23" t="e">
        <f ca="1">[1]!BexGetData("DP_1","003N8EMH8GTFRCSWKMPXRRESE","GSON1112061233")</f>
        <v>#NAME?</v>
      </c>
      <c r="E1161" s="23" t="e">
        <f ca="1">[1]!BexGetData("DP_1","003N8EMH8GTFRCSWKMPXRRL3Y","GSON1112061233")</f>
        <v>#NAME?</v>
      </c>
      <c r="F1161" s="24" t="e">
        <f ca="1">[1]!BexGetData("DP_1","003N8EMH8GTFRCSWKMPXRRRFI","GSON1112061233")</f>
        <v>#NAME?</v>
      </c>
      <c r="G1161" s="24" t="e">
        <f ca="1">[1]!BexGetData("DP_1","003N8EMH8GTFRCSWKMPXRRXR2","GSON1112061233")</f>
        <v>#NAME?</v>
      </c>
      <c r="H1161" s="24" t="e">
        <f ca="1">[1]!BexGetData("DP_1","003N8EMH8GTFRCSWKMPXRS42M","GSON1112061233")</f>
        <v>#NAME?</v>
      </c>
      <c r="I1161" s="24" t="e">
        <f ca="1">[1]!BexGetData("DP_1","003N8EMH8GTFRCSWKMPXRSAE6","GSON1112061233")</f>
        <v>#NAME?</v>
      </c>
      <c r="J1161" s="24" t="e">
        <f ca="1">[1]!BexGetData("DP_1","003N8EMH8GTFRCSWKMPXRSGPQ","GSON1112061233")</f>
        <v>#NAME?</v>
      </c>
      <c r="K1161" s="23" t="e">
        <f ca="1">[1]!BexGetData("DP_1","003N8EMH8GTFRIVNUPY288VJH","GSON1112061233")</f>
        <v>#NAME?</v>
      </c>
      <c r="L1161" s="23" t="e">
        <f ca="1">[1]!BexGetData("DP_1","003N8EMH8GTFRIVNUPY2891V1","GSON1112061233")</f>
        <v>#NAME?</v>
      </c>
      <c r="M1161" s="23" t="e">
        <f ca="1">[1]!BexGetData("DP_1","003N8EMH8GTFRIVOG7KG9IQXA","GSON1112061233")</f>
        <v>#NAME?</v>
      </c>
      <c r="N1161" s="28" t="e">
        <f ca="1">[1]!BexGetData("DP_1","003N8EMH8GTFRIVOG7KG9IX8U","GSON1112061233")</f>
        <v>#NAME?</v>
      </c>
      <c r="O1161" s="23" t="e">
        <f ca="1">[1]!BexGetData("DP_1","003N8EMH8GTFRIVOG7KG9J3KE","GSON1112061233")</f>
        <v>#NAME?</v>
      </c>
      <c r="P1161" s="28" t="e">
        <f ca="1">[1]!BexGetData("DP_1","003N8EMH8GTFRIVOG7KG9J9VY","GSON1112061233")</f>
        <v>#NAME?</v>
      </c>
      <c r="Q1161" s="24" t="e">
        <f ca="1">[1]!BexGetData("DP_1","00O2TNJGODT0G5Z4TTKYMM5MT","GSON1112061233")</f>
        <v>#NAME?</v>
      </c>
      <c r="R1161" s="24" t="e">
        <f ca="1">[1]!BexGetData("DP_1","00O2TNJGODT0G5Z4TTKYMMBYD","GSON1112061233")</f>
        <v>#NAME?</v>
      </c>
      <c r="S1161" s="24" t="e">
        <f ca="1">[1]!BexGetData("DP_1","00O2TNJGODT0G5Z4TTKYMMI9X","GSON1112061233")</f>
        <v>#NAME?</v>
      </c>
      <c r="T1161" s="24" t="e">
        <f ca="1">[1]!BexGetData("DP_1","00O2TNJGODT0G5Z4TTKYMMOLH","GSON1112061233")</f>
        <v>#NAME?</v>
      </c>
      <c r="U1161" s="24" t="e">
        <f ca="1">[1]!BexGetData("DP_1","00O2TNJGODT0G5Z4TTKYMMUX1","GSON1112061233")</f>
        <v>#NAME?</v>
      </c>
      <c r="V1161" s="24" t="e">
        <f ca="1">[1]!BexGetData("DP_1","00O2TNJGODT0G5Z4TTKYMN18L","GSON1112061233")</f>
        <v>#NAME?</v>
      </c>
      <c r="W1161" s="24" t="e">
        <f ca="1">[1]!BexGetData("DP_1","00O2TNJGODT0G5Z4TTKYMN7K5","GSON1112061233")</f>
        <v>#NAME?</v>
      </c>
    </row>
    <row r="1162" spans="1:23" x14ac:dyDescent="0.2">
      <c r="A1162" s="36" t="s">
        <v>3678</v>
      </c>
      <c r="B1162" s="27" t="s">
        <v>3679</v>
      </c>
      <c r="C1162" s="23" t="e">
        <f ca="1">[1]!BexGetData("DP_1","003N8EMH8GTFRCSWKMPXRR8GU","GSON1112061234")</f>
        <v>#NAME?</v>
      </c>
      <c r="D1162" s="23" t="e">
        <f ca="1">[1]!BexGetData("DP_1","003N8EMH8GTFRCSWKMPXRRESE","GSON1112061234")</f>
        <v>#NAME?</v>
      </c>
      <c r="E1162" s="28" t="e">
        <f ca="1">[1]!BexGetData("DP_1","003N8EMH8GTFRCSWKMPXRRL3Y","GSON1112061234")</f>
        <v>#NAME?</v>
      </c>
      <c r="F1162" s="24" t="e">
        <f ca="1">[1]!BexGetData("DP_1","003N8EMH8GTFRCSWKMPXRRRFI","GSON1112061234")</f>
        <v>#NAME?</v>
      </c>
      <c r="G1162" s="24" t="e">
        <f ca="1">[1]!BexGetData("DP_1","003N8EMH8GTFRCSWKMPXRRXR2","GSON1112061234")</f>
        <v>#NAME?</v>
      </c>
      <c r="H1162" s="24" t="e">
        <f ca="1">[1]!BexGetData("DP_1","003N8EMH8GTFRCSWKMPXRS42M","GSON1112061234")</f>
        <v>#NAME?</v>
      </c>
      <c r="I1162" s="24" t="e">
        <f ca="1">[1]!BexGetData("DP_1","003N8EMH8GTFRCSWKMPXRSAE6","GSON1112061234")</f>
        <v>#NAME?</v>
      </c>
      <c r="J1162" s="24" t="e">
        <f ca="1">[1]!BexGetData("DP_1","003N8EMH8GTFRCSWKMPXRSGPQ","GSON1112061234")</f>
        <v>#NAME?</v>
      </c>
      <c r="K1162" s="28" t="e">
        <f ca="1">[1]!BexGetData("DP_1","003N8EMH8GTFRIVNUPY288VJH","GSON1112061234")</f>
        <v>#NAME?</v>
      </c>
      <c r="L1162" s="28" t="e">
        <f ca="1">[1]!BexGetData("DP_1","003N8EMH8GTFRIVNUPY2891V1","GSON1112061234")</f>
        <v>#NAME?</v>
      </c>
      <c r="M1162" s="28" t="e">
        <f ca="1">[1]!BexGetData("DP_1","003N8EMH8GTFRIVOG7KG9IQXA","GSON1112061234")</f>
        <v>#NAME?</v>
      </c>
      <c r="N1162" s="28" t="e">
        <f ca="1">[1]!BexGetData("DP_1","003N8EMH8GTFRIVOG7KG9IX8U","GSON1112061234")</f>
        <v>#NAME?</v>
      </c>
      <c r="O1162" s="28" t="e">
        <f ca="1">[1]!BexGetData("DP_1","003N8EMH8GTFRIVOG7KG9J3KE","GSON1112061234")</f>
        <v>#NAME?</v>
      </c>
      <c r="P1162" s="28" t="e">
        <f ca="1">[1]!BexGetData("DP_1","003N8EMH8GTFRIVOG7KG9J9VY","GSON1112061234")</f>
        <v>#NAME?</v>
      </c>
      <c r="Q1162" s="24" t="e">
        <f ca="1">[1]!BexGetData("DP_1","00O2TNJGODT0G5Z4TTKYMM5MT","GSON1112061234")</f>
        <v>#NAME?</v>
      </c>
      <c r="R1162" s="24" t="e">
        <f ca="1">[1]!BexGetData("DP_1","00O2TNJGODT0G5Z4TTKYMMBYD","GSON1112061234")</f>
        <v>#NAME?</v>
      </c>
      <c r="S1162" s="24" t="e">
        <f ca="1">[1]!BexGetData("DP_1","00O2TNJGODT0G5Z4TTKYMMI9X","GSON1112061234")</f>
        <v>#NAME?</v>
      </c>
      <c r="T1162" s="24" t="e">
        <f ca="1">[1]!BexGetData("DP_1","00O2TNJGODT0G5Z4TTKYMMOLH","GSON1112061234")</f>
        <v>#NAME?</v>
      </c>
      <c r="U1162" s="24" t="e">
        <f ca="1">[1]!BexGetData("DP_1","00O2TNJGODT0G5Z4TTKYMMUX1","GSON1112061234")</f>
        <v>#NAME?</v>
      </c>
      <c r="V1162" s="24" t="e">
        <f ca="1">[1]!BexGetData("DP_1","00O2TNJGODT0G5Z4TTKYMN18L","GSON1112061234")</f>
        <v>#NAME?</v>
      </c>
      <c r="W1162" s="24" t="e">
        <f ca="1">[1]!BexGetData("DP_1","00O2TNJGODT0G5Z4TTKYMN7K5","GSON1112061234")</f>
        <v>#NAME?</v>
      </c>
    </row>
    <row r="1163" spans="1:23" x14ac:dyDescent="0.2">
      <c r="A1163" s="36" t="s">
        <v>3680</v>
      </c>
      <c r="B1163" s="27" t="s">
        <v>3681</v>
      </c>
      <c r="C1163" s="23" t="e">
        <f ca="1">[1]!BexGetData("DP_1","003N8EMH8GTFRCSWKMPXRR8GU","GSON1112061235")</f>
        <v>#NAME?</v>
      </c>
      <c r="D1163" s="23" t="e">
        <f ca="1">[1]!BexGetData("DP_1","003N8EMH8GTFRCSWKMPXRRESE","GSON1112061235")</f>
        <v>#NAME?</v>
      </c>
      <c r="E1163" s="28" t="e">
        <f ca="1">[1]!BexGetData("DP_1","003N8EMH8GTFRCSWKMPXRRL3Y","GSON1112061235")</f>
        <v>#NAME?</v>
      </c>
      <c r="F1163" s="24" t="e">
        <f ca="1">[1]!BexGetData("DP_1","003N8EMH8GTFRCSWKMPXRRRFI","GSON1112061235")</f>
        <v>#NAME?</v>
      </c>
      <c r="G1163" s="24" t="e">
        <f ca="1">[1]!BexGetData("DP_1","003N8EMH8GTFRCSWKMPXRRXR2","GSON1112061235")</f>
        <v>#NAME?</v>
      </c>
      <c r="H1163" s="24" t="e">
        <f ca="1">[1]!BexGetData("DP_1","003N8EMH8GTFRCSWKMPXRS42M","GSON1112061235")</f>
        <v>#NAME?</v>
      </c>
      <c r="I1163" s="24" t="e">
        <f ca="1">[1]!BexGetData("DP_1","003N8EMH8GTFRCSWKMPXRSAE6","GSON1112061235")</f>
        <v>#NAME?</v>
      </c>
      <c r="J1163" s="24" t="e">
        <f ca="1">[1]!BexGetData("DP_1","003N8EMH8GTFRCSWKMPXRSGPQ","GSON1112061235")</f>
        <v>#NAME?</v>
      </c>
      <c r="K1163" s="28" t="e">
        <f ca="1">[1]!BexGetData("DP_1","003N8EMH8GTFRIVNUPY288VJH","GSON1112061235")</f>
        <v>#NAME?</v>
      </c>
      <c r="L1163" s="28" t="e">
        <f ca="1">[1]!BexGetData("DP_1","003N8EMH8GTFRIVNUPY2891V1","GSON1112061235")</f>
        <v>#NAME?</v>
      </c>
      <c r="M1163" s="28" t="e">
        <f ca="1">[1]!BexGetData("DP_1","003N8EMH8GTFRIVOG7KG9IQXA","GSON1112061235")</f>
        <v>#NAME?</v>
      </c>
      <c r="N1163" s="28" t="e">
        <f ca="1">[1]!BexGetData("DP_1","003N8EMH8GTFRIVOG7KG9IX8U","GSON1112061235")</f>
        <v>#NAME?</v>
      </c>
      <c r="O1163" s="28" t="e">
        <f ca="1">[1]!BexGetData("DP_1","003N8EMH8GTFRIVOG7KG9J3KE","GSON1112061235")</f>
        <v>#NAME?</v>
      </c>
      <c r="P1163" s="28" t="e">
        <f ca="1">[1]!BexGetData("DP_1","003N8EMH8GTFRIVOG7KG9J9VY","GSON1112061235")</f>
        <v>#NAME?</v>
      </c>
      <c r="Q1163" s="24" t="e">
        <f ca="1">[1]!BexGetData("DP_1","00O2TNJGODT0G5Z4TTKYMM5MT","GSON1112061235")</f>
        <v>#NAME?</v>
      </c>
      <c r="R1163" s="24" t="e">
        <f ca="1">[1]!BexGetData("DP_1","00O2TNJGODT0G5Z4TTKYMMBYD","GSON1112061235")</f>
        <v>#NAME?</v>
      </c>
      <c r="S1163" s="24" t="e">
        <f ca="1">[1]!BexGetData("DP_1","00O2TNJGODT0G5Z4TTKYMMI9X","GSON1112061235")</f>
        <v>#NAME?</v>
      </c>
      <c r="T1163" s="24" t="e">
        <f ca="1">[1]!BexGetData("DP_1","00O2TNJGODT0G5Z4TTKYMMOLH","GSON1112061235")</f>
        <v>#NAME?</v>
      </c>
      <c r="U1163" s="24" t="e">
        <f ca="1">[1]!BexGetData("DP_1","00O2TNJGODT0G5Z4TTKYMMUX1","GSON1112061235")</f>
        <v>#NAME?</v>
      </c>
      <c r="V1163" s="24" t="e">
        <f ca="1">[1]!BexGetData("DP_1","00O2TNJGODT0G5Z4TTKYMN18L","GSON1112061235")</f>
        <v>#NAME?</v>
      </c>
      <c r="W1163" s="24" t="e">
        <f ca="1">[1]!BexGetData("DP_1","00O2TNJGODT0G5Z4TTKYMN7K5","GSON1112061235")</f>
        <v>#NAME?</v>
      </c>
    </row>
    <row r="1164" spans="1:23" x14ac:dyDescent="0.2">
      <c r="A1164" s="36" t="s">
        <v>3682</v>
      </c>
      <c r="B1164" s="27" t="s">
        <v>3683</v>
      </c>
      <c r="C1164" s="23" t="e">
        <f ca="1">[1]!BexGetData("DP_1","003N8EMH8GTFRCSWKMPXRR8GU","GSON1112061240")</f>
        <v>#NAME?</v>
      </c>
      <c r="D1164" s="23" t="e">
        <f ca="1">[1]!BexGetData("DP_1","003N8EMH8GTFRCSWKMPXRRESE","GSON1112061240")</f>
        <v>#NAME?</v>
      </c>
      <c r="E1164" s="28" t="e">
        <f ca="1">[1]!BexGetData("DP_1","003N8EMH8GTFRCSWKMPXRRL3Y","GSON1112061240")</f>
        <v>#NAME?</v>
      </c>
      <c r="F1164" s="24" t="e">
        <f ca="1">[1]!BexGetData("DP_1","003N8EMH8GTFRCSWKMPXRRRFI","GSON1112061240")</f>
        <v>#NAME?</v>
      </c>
      <c r="G1164" s="24" t="e">
        <f ca="1">[1]!BexGetData("DP_1","003N8EMH8GTFRCSWKMPXRRXR2","GSON1112061240")</f>
        <v>#NAME?</v>
      </c>
      <c r="H1164" s="24" t="e">
        <f ca="1">[1]!BexGetData("DP_1","003N8EMH8GTFRCSWKMPXRS42M","GSON1112061240")</f>
        <v>#NAME?</v>
      </c>
      <c r="I1164" s="24" t="e">
        <f ca="1">[1]!BexGetData("DP_1","003N8EMH8GTFRCSWKMPXRSAE6","GSON1112061240")</f>
        <v>#NAME?</v>
      </c>
      <c r="J1164" s="24" t="e">
        <f ca="1">[1]!BexGetData("DP_1","003N8EMH8GTFRCSWKMPXRSGPQ","GSON1112061240")</f>
        <v>#NAME?</v>
      </c>
      <c r="K1164" s="28" t="e">
        <f ca="1">[1]!BexGetData("DP_1","003N8EMH8GTFRIVNUPY288VJH","GSON1112061240")</f>
        <v>#NAME?</v>
      </c>
      <c r="L1164" s="28" t="e">
        <f ca="1">[1]!BexGetData("DP_1","003N8EMH8GTFRIVNUPY2891V1","GSON1112061240")</f>
        <v>#NAME?</v>
      </c>
      <c r="M1164" s="28" t="e">
        <f ca="1">[1]!BexGetData("DP_1","003N8EMH8GTFRIVOG7KG9IQXA","GSON1112061240")</f>
        <v>#NAME?</v>
      </c>
      <c r="N1164" s="28" t="e">
        <f ca="1">[1]!BexGetData("DP_1","003N8EMH8GTFRIVOG7KG9IX8U","GSON1112061240")</f>
        <v>#NAME?</v>
      </c>
      <c r="O1164" s="28" t="e">
        <f ca="1">[1]!BexGetData("DP_1","003N8EMH8GTFRIVOG7KG9J3KE","GSON1112061240")</f>
        <v>#NAME?</v>
      </c>
      <c r="P1164" s="28" t="e">
        <f ca="1">[1]!BexGetData("DP_1","003N8EMH8GTFRIVOG7KG9J9VY","GSON1112061240")</f>
        <v>#NAME?</v>
      </c>
      <c r="Q1164" s="24" t="e">
        <f ca="1">[1]!BexGetData("DP_1","00O2TNJGODT0G5Z4TTKYMM5MT","GSON1112061240")</f>
        <v>#NAME?</v>
      </c>
      <c r="R1164" s="24" t="e">
        <f ca="1">[1]!BexGetData("DP_1","00O2TNJGODT0G5Z4TTKYMMBYD","GSON1112061240")</f>
        <v>#NAME?</v>
      </c>
      <c r="S1164" s="24" t="e">
        <f ca="1">[1]!BexGetData("DP_1","00O2TNJGODT0G5Z4TTKYMMI9X","GSON1112061240")</f>
        <v>#NAME?</v>
      </c>
      <c r="T1164" s="24" t="e">
        <f ca="1">[1]!BexGetData("DP_1","00O2TNJGODT0G5Z4TTKYMMOLH","GSON1112061240")</f>
        <v>#NAME?</v>
      </c>
      <c r="U1164" s="24" t="e">
        <f ca="1">[1]!BexGetData("DP_1","00O2TNJGODT0G5Z4TTKYMMUX1","GSON1112061240")</f>
        <v>#NAME?</v>
      </c>
      <c r="V1164" s="24" t="e">
        <f ca="1">[1]!BexGetData("DP_1","00O2TNJGODT0G5Z4TTKYMN18L","GSON1112061240")</f>
        <v>#NAME?</v>
      </c>
      <c r="W1164" s="24" t="e">
        <f ca="1">[1]!BexGetData("DP_1","00O2TNJGODT0G5Z4TTKYMN7K5","GSON1112061240")</f>
        <v>#NAME?</v>
      </c>
    </row>
    <row r="1165" spans="1:23" x14ac:dyDescent="0.2">
      <c r="A1165" s="36" t="s">
        <v>3684</v>
      </c>
      <c r="B1165" s="27" t="s">
        <v>3685</v>
      </c>
      <c r="C1165" s="23" t="e">
        <f ca="1">[1]!BexGetData("DP_1","003N8EMH8GTFRCSWKMPXRR8GU","GSON1112061241")</f>
        <v>#NAME?</v>
      </c>
      <c r="D1165" s="23" t="e">
        <f ca="1">[1]!BexGetData("DP_1","003N8EMH8GTFRCSWKMPXRRESE","GSON1112061241")</f>
        <v>#NAME?</v>
      </c>
      <c r="E1165" s="28" t="e">
        <f ca="1">[1]!BexGetData("DP_1","003N8EMH8GTFRCSWKMPXRRL3Y","GSON1112061241")</f>
        <v>#NAME?</v>
      </c>
      <c r="F1165" s="24" t="e">
        <f ca="1">[1]!BexGetData("DP_1","003N8EMH8GTFRCSWKMPXRRRFI","GSON1112061241")</f>
        <v>#NAME?</v>
      </c>
      <c r="G1165" s="24" t="e">
        <f ca="1">[1]!BexGetData("DP_1","003N8EMH8GTFRCSWKMPXRRXR2","GSON1112061241")</f>
        <v>#NAME?</v>
      </c>
      <c r="H1165" s="24" t="e">
        <f ca="1">[1]!BexGetData("DP_1","003N8EMH8GTFRCSWKMPXRS42M","GSON1112061241")</f>
        <v>#NAME?</v>
      </c>
      <c r="I1165" s="24" t="e">
        <f ca="1">[1]!BexGetData("DP_1","003N8EMH8GTFRCSWKMPXRSAE6","GSON1112061241")</f>
        <v>#NAME?</v>
      </c>
      <c r="J1165" s="24" t="e">
        <f ca="1">[1]!BexGetData("DP_1","003N8EMH8GTFRCSWKMPXRSGPQ","GSON1112061241")</f>
        <v>#NAME?</v>
      </c>
      <c r="K1165" s="28" t="e">
        <f ca="1">[1]!BexGetData("DP_1","003N8EMH8GTFRIVNUPY288VJH","GSON1112061241")</f>
        <v>#NAME?</v>
      </c>
      <c r="L1165" s="28" t="e">
        <f ca="1">[1]!BexGetData("DP_1","003N8EMH8GTFRIVNUPY2891V1","GSON1112061241")</f>
        <v>#NAME?</v>
      </c>
      <c r="M1165" s="28" t="e">
        <f ca="1">[1]!BexGetData("DP_1","003N8EMH8GTFRIVOG7KG9IQXA","GSON1112061241")</f>
        <v>#NAME?</v>
      </c>
      <c r="N1165" s="28" t="e">
        <f ca="1">[1]!BexGetData("DP_1","003N8EMH8GTFRIVOG7KG9IX8U","GSON1112061241")</f>
        <v>#NAME?</v>
      </c>
      <c r="O1165" s="28" t="e">
        <f ca="1">[1]!BexGetData("DP_1","003N8EMH8GTFRIVOG7KG9J3KE","GSON1112061241")</f>
        <v>#NAME?</v>
      </c>
      <c r="P1165" s="28" t="e">
        <f ca="1">[1]!BexGetData("DP_1","003N8EMH8GTFRIVOG7KG9J9VY","GSON1112061241")</f>
        <v>#NAME?</v>
      </c>
      <c r="Q1165" s="24" t="e">
        <f ca="1">[1]!BexGetData("DP_1","00O2TNJGODT0G5Z4TTKYMM5MT","GSON1112061241")</f>
        <v>#NAME?</v>
      </c>
      <c r="R1165" s="24" t="e">
        <f ca="1">[1]!BexGetData("DP_1","00O2TNJGODT0G5Z4TTKYMMBYD","GSON1112061241")</f>
        <v>#NAME?</v>
      </c>
      <c r="S1165" s="24" t="e">
        <f ca="1">[1]!BexGetData("DP_1","00O2TNJGODT0G5Z4TTKYMMI9X","GSON1112061241")</f>
        <v>#NAME?</v>
      </c>
      <c r="T1165" s="24" t="e">
        <f ca="1">[1]!BexGetData("DP_1","00O2TNJGODT0G5Z4TTKYMMOLH","GSON1112061241")</f>
        <v>#NAME?</v>
      </c>
      <c r="U1165" s="24" t="e">
        <f ca="1">[1]!BexGetData("DP_1","00O2TNJGODT0G5Z4TTKYMMUX1","GSON1112061241")</f>
        <v>#NAME?</v>
      </c>
      <c r="V1165" s="24" t="e">
        <f ca="1">[1]!BexGetData("DP_1","00O2TNJGODT0G5Z4TTKYMN18L","GSON1112061241")</f>
        <v>#NAME?</v>
      </c>
      <c r="W1165" s="24" t="e">
        <f ca="1">[1]!BexGetData("DP_1","00O2TNJGODT0G5Z4TTKYMN7K5","GSON1112061241")</f>
        <v>#NAME?</v>
      </c>
    </row>
    <row r="1166" spans="1:23" x14ac:dyDescent="0.2">
      <c r="A1166" s="36" t="s">
        <v>3686</v>
      </c>
      <c r="B1166" s="27" t="s">
        <v>3687</v>
      </c>
      <c r="C1166" s="23" t="e">
        <f ca="1">[1]!BexGetData("DP_1","003N8EMH8GTFRCSWKMPXRR8GU","GSON1112061244")</f>
        <v>#NAME?</v>
      </c>
      <c r="D1166" s="23" t="e">
        <f ca="1">[1]!BexGetData("DP_1","003N8EMH8GTFRCSWKMPXRRESE","GSON1112061244")</f>
        <v>#NAME?</v>
      </c>
      <c r="E1166" s="28" t="e">
        <f ca="1">[1]!BexGetData("DP_1","003N8EMH8GTFRCSWKMPXRRL3Y","GSON1112061244")</f>
        <v>#NAME?</v>
      </c>
      <c r="F1166" s="24" t="e">
        <f ca="1">[1]!BexGetData("DP_1","003N8EMH8GTFRCSWKMPXRRRFI","GSON1112061244")</f>
        <v>#NAME?</v>
      </c>
      <c r="G1166" s="24" t="e">
        <f ca="1">[1]!BexGetData("DP_1","003N8EMH8GTFRCSWKMPXRRXR2","GSON1112061244")</f>
        <v>#NAME?</v>
      </c>
      <c r="H1166" s="24" t="e">
        <f ca="1">[1]!BexGetData("DP_1","003N8EMH8GTFRCSWKMPXRS42M","GSON1112061244")</f>
        <v>#NAME?</v>
      </c>
      <c r="I1166" s="24" t="e">
        <f ca="1">[1]!BexGetData("DP_1","003N8EMH8GTFRCSWKMPXRSAE6","GSON1112061244")</f>
        <v>#NAME?</v>
      </c>
      <c r="J1166" s="24" t="e">
        <f ca="1">[1]!BexGetData("DP_1","003N8EMH8GTFRCSWKMPXRSGPQ","GSON1112061244")</f>
        <v>#NAME?</v>
      </c>
      <c r="K1166" s="28" t="e">
        <f ca="1">[1]!BexGetData("DP_1","003N8EMH8GTFRIVNUPY288VJH","GSON1112061244")</f>
        <v>#NAME?</v>
      </c>
      <c r="L1166" s="28" t="e">
        <f ca="1">[1]!BexGetData("DP_1","003N8EMH8GTFRIVNUPY2891V1","GSON1112061244")</f>
        <v>#NAME?</v>
      </c>
      <c r="M1166" s="28" t="e">
        <f ca="1">[1]!BexGetData("DP_1","003N8EMH8GTFRIVOG7KG9IQXA","GSON1112061244")</f>
        <v>#NAME?</v>
      </c>
      <c r="N1166" s="28" t="e">
        <f ca="1">[1]!BexGetData("DP_1","003N8EMH8GTFRIVOG7KG9IX8U","GSON1112061244")</f>
        <v>#NAME?</v>
      </c>
      <c r="O1166" s="28" t="e">
        <f ca="1">[1]!BexGetData("DP_1","003N8EMH8GTFRIVOG7KG9J3KE","GSON1112061244")</f>
        <v>#NAME?</v>
      </c>
      <c r="P1166" s="28" t="e">
        <f ca="1">[1]!BexGetData("DP_1","003N8EMH8GTFRIVOG7KG9J9VY","GSON1112061244")</f>
        <v>#NAME?</v>
      </c>
      <c r="Q1166" s="24" t="e">
        <f ca="1">[1]!BexGetData("DP_1","00O2TNJGODT0G5Z4TTKYMM5MT","GSON1112061244")</f>
        <v>#NAME?</v>
      </c>
      <c r="R1166" s="24" t="e">
        <f ca="1">[1]!BexGetData("DP_1","00O2TNJGODT0G5Z4TTKYMMBYD","GSON1112061244")</f>
        <v>#NAME?</v>
      </c>
      <c r="S1166" s="24" t="e">
        <f ca="1">[1]!BexGetData("DP_1","00O2TNJGODT0G5Z4TTKYMMI9X","GSON1112061244")</f>
        <v>#NAME?</v>
      </c>
      <c r="T1166" s="24" t="e">
        <f ca="1">[1]!BexGetData("DP_1","00O2TNJGODT0G5Z4TTKYMMOLH","GSON1112061244")</f>
        <v>#NAME?</v>
      </c>
      <c r="U1166" s="24" t="e">
        <f ca="1">[1]!BexGetData("DP_1","00O2TNJGODT0G5Z4TTKYMMUX1","GSON1112061244")</f>
        <v>#NAME?</v>
      </c>
      <c r="V1166" s="24" t="e">
        <f ca="1">[1]!BexGetData("DP_1","00O2TNJGODT0G5Z4TTKYMN18L","GSON1112061244")</f>
        <v>#NAME?</v>
      </c>
      <c r="W1166" s="24" t="e">
        <f ca="1">[1]!BexGetData("DP_1","00O2TNJGODT0G5Z4TTKYMN7K5","GSON1112061244")</f>
        <v>#NAME?</v>
      </c>
    </row>
    <row r="1167" spans="1:23" x14ac:dyDescent="0.2">
      <c r="A1167" s="36" t="s">
        <v>3688</v>
      </c>
      <c r="B1167" s="27" t="s">
        <v>3689</v>
      </c>
      <c r="C1167" s="23" t="e">
        <f ca="1">[1]!BexGetData("DP_1","003N8EMH8GTFRCSWKMPXRR8GU","GSON1112061250")</f>
        <v>#NAME?</v>
      </c>
      <c r="D1167" s="23" t="e">
        <f ca="1">[1]!BexGetData("DP_1","003N8EMH8GTFRCSWKMPXRRESE","GSON1112061250")</f>
        <v>#NAME?</v>
      </c>
      <c r="E1167" s="23" t="e">
        <f ca="1">[1]!BexGetData("DP_1","003N8EMH8GTFRCSWKMPXRRL3Y","GSON1112061250")</f>
        <v>#NAME?</v>
      </c>
      <c r="F1167" s="24" t="e">
        <f ca="1">[1]!BexGetData("DP_1","003N8EMH8GTFRCSWKMPXRRRFI","GSON1112061250")</f>
        <v>#NAME?</v>
      </c>
      <c r="G1167" s="24" t="e">
        <f ca="1">[1]!BexGetData("DP_1","003N8EMH8GTFRCSWKMPXRRXR2","GSON1112061250")</f>
        <v>#NAME?</v>
      </c>
      <c r="H1167" s="24" t="e">
        <f ca="1">[1]!BexGetData("DP_1","003N8EMH8GTFRCSWKMPXRS42M","GSON1112061250")</f>
        <v>#NAME?</v>
      </c>
      <c r="I1167" s="24" t="e">
        <f ca="1">[1]!BexGetData("DP_1","003N8EMH8GTFRCSWKMPXRSAE6","GSON1112061250")</f>
        <v>#NAME?</v>
      </c>
      <c r="J1167" s="24" t="e">
        <f ca="1">[1]!BexGetData("DP_1","003N8EMH8GTFRCSWKMPXRSGPQ","GSON1112061250")</f>
        <v>#NAME?</v>
      </c>
      <c r="K1167" s="23" t="e">
        <f ca="1">[1]!BexGetData("DP_1","003N8EMH8GTFRIVNUPY288VJH","GSON1112061250")</f>
        <v>#NAME?</v>
      </c>
      <c r="L1167" s="23" t="e">
        <f ca="1">[1]!BexGetData("DP_1","003N8EMH8GTFRIVNUPY2891V1","GSON1112061250")</f>
        <v>#NAME?</v>
      </c>
      <c r="M1167" s="28" t="e">
        <f ca="1">[1]!BexGetData("DP_1","003N8EMH8GTFRIVOG7KG9IQXA","GSON1112061250")</f>
        <v>#NAME?</v>
      </c>
      <c r="N1167" s="23" t="e">
        <f ca="1">[1]!BexGetData("DP_1","003N8EMH8GTFRIVOG7KG9IX8U","GSON1112061250")</f>
        <v>#NAME?</v>
      </c>
      <c r="O1167" s="28" t="e">
        <f ca="1">[1]!BexGetData("DP_1","003N8EMH8GTFRIVOG7KG9J3KE","GSON1112061250")</f>
        <v>#NAME?</v>
      </c>
      <c r="P1167" s="23" t="e">
        <f ca="1">[1]!BexGetData("DP_1","003N8EMH8GTFRIVOG7KG9J9VY","GSON1112061250")</f>
        <v>#NAME?</v>
      </c>
      <c r="Q1167" s="24" t="e">
        <f ca="1">[1]!BexGetData("DP_1","00O2TNJGODT0G5Z4TTKYMM5MT","GSON1112061250")</f>
        <v>#NAME?</v>
      </c>
      <c r="R1167" s="24" t="e">
        <f ca="1">[1]!BexGetData("DP_1","00O2TNJGODT0G5Z4TTKYMMBYD","GSON1112061250")</f>
        <v>#NAME?</v>
      </c>
      <c r="S1167" s="24" t="e">
        <f ca="1">[1]!BexGetData("DP_1","00O2TNJGODT0G5Z4TTKYMMI9X","GSON1112061250")</f>
        <v>#NAME?</v>
      </c>
      <c r="T1167" s="24" t="e">
        <f ca="1">[1]!BexGetData("DP_1","00O2TNJGODT0G5Z4TTKYMMOLH","GSON1112061250")</f>
        <v>#NAME?</v>
      </c>
      <c r="U1167" s="24" t="e">
        <f ca="1">[1]!BexGetData("DP_1","00O2TNJGODT0G5Z4TTKYMMUX1","GSON1112061250")</f>
        <v>#NAME?</v>
      </c>
      <c r="V1167" s="24" t="e">
        <f ca="1">[1]!BexGetData("DP_1","00O2TNJGODT0G5Z4TTKYMN18L","GSON1112061250")</f>
        <v>#NAME?</v>
      </c>
      <c r="W1167" s="24" t="e">
        <f ca="1">[1]!BexGetData("DP_1","00O2TNJGODT0G5Z4TTKYMN7K5","GSON1112061250")</f>
        <v>#NAME?</v>
      </c>
    </row>
    <row r="1168" spans="1:23" x14ac:dyDescent="0.2">
      <c r="A1168" s="36" t="s">
        <v>3690</v>
      </c>
      <c r="B1168" s="27" t="s">
        <v>3691</v>
      </c>
      <c r="C1168" s="23" t="e">
        <f ca="1">[1]!BexGetData("DP_1","003N8EMH8GTFRCSWKMPXRR8GU","GSON1112061251")</f>
        <v>#NAME?</v>
      </c>
      <c r="D1168" s="23" t="e">
        <f ca="1">[1]!BexGetData("DP_1","003N8EMH8GTFRCSWKMPXRRESE","GSON1112061251")</f>
        <v>#NAME?</v>
      </c>
      <c r="E1168" s="28" t="e">
        <f ca="1">[1]!BexGetData("DP_1","003N8EMH8GTFRCSWKMPXRRL3Y","GSON1112061251")</f>
        <v>#NAME?</v>
      </c>
      <c r="F1168" s="24" t="e">
        <f ca="1">[1]!BexGetData("DP_1","003N8EMH8GTFRCSWKMPXRRRFI","GSON1112061251")</f>
        <v>#NAME?</v>
      </c>
      <c r="G1168" s="24" t="e">
        <f ca="1">[1]!BexGetData("DP_1","003N8EMH8GTFRCSWKMPXRRXR2","GSON1112061251")</f>
        <v>#NAME?</v>
      </c>
      <c r="H1168" s="24" t="e">
        <f ca="1">[1]!BexGetData("DP_1","003N8EMH8GTFRCSWKMPXRS42M","GSON1112061251")</f>
        <v>#NAME?</v>
      </c>
      <c r="I1168" s="24" t="e">
        <f ca="1">[1]!BexGetData("DP_1","003N8EMH8GTFRCSWKMPXRSAE6","GSON1112061251")</f>
        <v>#NAME?</v>
      </c>
      <c r="J1168" s="24" t="e">
        <f ca="1">[1]!BexGetData("DP_1","003N8EMH8GTFRCSWKMPXRSGPQ","GSON1112061251")</f>
        <v>#NAME?</v>
      </c>
      <c r="K1168" s="28" t="e">
        <f ca="1">[1]!BexGetData("DP_1","003N8EMH8GTFRIVNUPY288VJH","GSON1112061251")</f>
        <v>#NAME?</v>
      </c>
      <c r="L1168" s="28" t="e">
        <f ca="1">[1]!BexGetData("DP_1","003N8EMH8GTFRIVNUPY2891V1","GSON1112061251")</f>
        <v>#NAME?</v>
      </c>
      <c r="M1168" s="28" t="e">
        <f ca="1">[1]!BexGetData("DP_1","003N8EMH8GTFRIVOG7KG9IQXA","GSON1112061251")</f>
        <v>#NAME?</v>
      </c>
      <c r="N1168" s="28" t="e">
        <f ca="1">[1]!BexGetData("DP_1","003N8EMH8GTFRIVOG7KG9IX8U","GSON1112061251")</f>
        <v>#NAME?</v>
      </c>
      <c r="O1168" s="28" t="e">
        <f ca="1">[1]!BexGetData("DP_1","003N8EMH8GTFRIVOG7KG9J3KE","GSON1112061251")</f>
        <v>#NAME?</v>
      </c>
      <c r="P1168" s="28" t="e">
        <f ca="1">[1]!BexGetData("DP_1","003N8EMH8GTFRIVOG7KG9J9VY","GSON1112061251")</f>
        <v>#NAME?</v>
      </c>
      <c r="Q1168" s="24" t="e">
        <f ca="1">[1]!BexGetData("DP_1","00O2TNJGODT0G5Z4TTKYMM5MT","GSON1112061251")</f>
        <v>#NAME?</v>
      </c>
      <c r="R1168" s="24" t="e">
        <f ca="1">[1]!BexGetData("DP_1","00O2TNJGODT0G5Z4TTKYMMBYD","GSON1112061251")</f>
        <v>#NAME?</v>
      </c>
      <c r="S1168" s="24" t="e">
        <f ca="1">[1]!BexGetData("DP_1","00O2TNJGODT0G5Z4TTKYMMI9X","GSON1112061251")</f>
        <v>#NAME?</v>
      </c>
      <c r="T1168" s="24" t="e">
        <f ca="1">[1]!BexGetData("DP_1","00O2TNJGODT0G5Z4TTKYMMOLH","GSON1112061251")</f>
        <v>#NAME?</v>
      </c>
      <c r="U1168" s="24" t="e">
        <f ca="1">[1]!BexGetData("DP_1","00O2TNJGODT0G5Z4TTKYMMUX1","GSON1112061251")</f>
        <v>#NAME?</v>
      </c>
      <c r="V1168" s="24" t="e">
        <f ca="1">[1]!BexGetData("DP_1","00O2TNJGODT0G5Z4TTKYMN18L","GSON1112061251")</f>
        <v>#NAME?</v>
      </c>
      <c r="W1168" s="24" t="e">
        <f ca="1">[1]!BexGetData("DP_1","00O2TNJGODT0G5Z4TTKYMN7K5","GSON1112061251")</f>
        <v>#NAME?</v>
      </c>
    </row>
    <row r="1169" spans="1:23" x14ac:dyDescent="0.2">
      <c r="A1169" s="36" t="s">
        <v>3692</v>
      </c>
      <c r="B1169" s="27" t="s">
        <v>3693</v>
      </c>
      <c r="C1169" s="23" t="e">
        <f ca="1">[1]!BexGetData("DP_1","003N8EMH8GTFRCSWKMPXRR8GU","GSON1112061253")</f>
        <v>#NAME?</v>
      </c>
      <c r="D1169" s="23" t="e">
        <f ca="1">[1]!BexGetData("DP_1","003N8EMH8GTFRCSWKMPXRRESE","GSON1112061253")</f>
        <v>#NAME?</v>
      </c>
      <c r="E1169" s="28" t="e">
        <f ca="1">[1]!BexGetData("DP_1","003N8EMH8GTFRCSWKMPXRRL3Y","GSON1112061253")</f>
        <v>#NAME?</v>
      </c>
      <c r="F1169" s="24" t="e">
        <f ca="1">[1]!BexGetData("DP_1","003N8EMH8GTFRCSWKMPXRRRFI","GSON1112061253")</f>
        <v>#NAME?</v>
      </c>
      <c r="G1169" s="24" t="e">
        <f ca="1">[1]!BexGetData("DP_1","003N8EMH8GTFRCSWKMPXRRXR2","GSON1112061253")</f>
        <v>#NAME?</v>
      </c>
      <c r="H1169" s="24" t="e">
        <f ca="1">[1]!BexGetData("DP_1","003N8EMH8GTFRCSWKMPXRS42M","GSON1112061253")</f>
        <v>#NAME?</v>
      </c>
      <c r="I1169" s="24" t="e">
        <f ca="1">[1]!BexGetData("DP_1","003N8EMH8GTFRCSWKMPXRSAE6","GSON1112061253")</f>
        <v>#NAME?</v>
      </c>
      <c r="J1169" s="24" t="e">
        <f ca="1">[1]!BexGetData("DP_1","003N8EMH8GTFRCSWKMPXRSGPQ","GSON1112061253")</f>
        <v>#NAME?</v>
      </c>
      <c r="K1169" s="28" t="e">
        <f ca="1">[1]!BexGetData("DP_1","003N8EMH8GTFRIVNUPY288VJH","GSON1112061253")</f>
        <v>#NAME?</v>
      </c>
      <c r="L1169" s="28" t="e">
        <f ca="1">[1]!BexGetData("DP_1","003N8EMH8GTFRIVNUPY2891V1","GSON1112061253")</f>
        <v>#NAME?</v>
      </c>
      <c r="M1169" s="28" t="e">
        <f ca="1">[1]!BexGetData("DP_1","003N8EMH8GTFRIVOG7KG9IQXA","GSON1112061253")</f>
        <v>#NAME?</v>
      </c>
      <c r="N1169" s="28" t="e">
        <f ca="1">[1]!BexGetData("DP_1","003N8EMH8GTFRIVOG7KG9IX8U","GSON1112061253")</f>
        <v>#NAME?</v>
      </c>
      <c r="O1169" s="28" t="e">
        <f ca="1">[1]!BexGetData("DP_1","003N8EMH8GTFRIVOG7KG9J3KE","GSON1112061253")</f>
        <v>#NAME?</v>
      </c>
      <c r="P1169" s="28" t="e">
        <f ca="1">[1]!BexGetData("DP_1","003N8EMH8GTFRIVOG7KG9J9VY","GSON1112061253")</f>
        <v>#NAME?</v>
      </c>
      <c r="Q1169" s="24" t="e">
        <f ca="1">[1]!BexGetData("DP_1","00O2TNJGODT0G5Z4TTKYMM5MT","GSON1112061253")</f>
        <v>#NAME?</v>
      </c>
      <c r="R1169" s="24" t="e">
        <f ca="1">[1]!BexGetData("DP_1","00O2TNJGODT0G5Z4TTKYMMBYD","GSON1112061253")</f>
        <v>#NAME?</v>
      </c>
      <c r="S1169" s="24" t="e">
        <f ca="1">[1]!BexGetData("DP_1","00O2TNJGODT0G5Z4TTKYMMI9X","GSON1112061253")</f>
        <v>#NAME?</v>
      </c>
      <c r="T1169" s="24" t="e">
        <f ca="1">[1]!BexGetData("DP_1","00O2TNJGODT0G5Z4TTKYMMOLH","GSON1112061253")</f>
        <v>#NAME?</v>
      </c>
      <c r="U1169" s="24" t="e">
        <f ca="1">[1]!BexGetData("DP_1","00O2TNJGODT0G5Z4TTKYMMUX1","GSON1112061253")</f>
        <v>#NAME?</v>
      </c>
      <c r="V1169" s="24" t="e">
        <f ca="1">[1]!BexGetData("DP_1","00O2TNJGODT0G5Z4TTKYMN18L","GSON1112061253")</f>
        <v>#NAME?</v>
      </c>
      <c r="W1169" s="24" t="e">
        <f ca="1">[1]!BexGetData("DP_1","00O2TNJGODT0G5Z4TTKYMN7K5","GSON1112061253")</f>
        <v>#NAME?</v>
      </c>
    </row>
    <row r="1170" spans="1:23" x14ac:dyDescent="0.2">
      <c r="A1170" s="36" t="s">
        <v>3694</v>
      </c>
      <c r="B1170" s="27" t="s">
        <v>3695</v>
      </c>
      <c r="C1170" s="23" t="e">
        <f ca="1">[1]!BexGetData("DP_1","003N8EMH8GTFRCSWKMPXRR8GU","GSON1112061254")</f>
        <v>#NAME?</v>
      </c>
      <c r="D1170" s="23" t="e">
        <f ca="1">[1]!BexGetData("DP_1","003N8EMH8GTFRCSWKMPXRRESE","GSON1112061254")</f>
        <v>#NAME?</v>
      </c>
      <c r="E1170" s="28" t="e">
        <f ca="1">[1]!BexGetData("DP_1","003N8EMH8GTFRCSWKMPXRRL3Y","GSON1112061254")</f>
        <v>#NAME?</v>
      </c>
      <c r="F1170" s="24" t="e">
        <f ca="1">[1]!BexGetData("DP_1","003N8EMH8GTFRCSWKMPXRRRFI","GSON1112061254")</f>
        <v>#NAME?</v>
      </c>
      <c r="G1170" s="24" t="e">
        <f ca="1">[1]!BexGetData("DP_1","003N8EMH8GTFRCSWKMPXRRXR2","GSON1112061254")</f>
        <v>#NAME?</v>
      </c>
      <c r="H1170" s="24" t="e">
        <f ca="1">[1]!BexGetData("DP_1","003N8EMH8GTFRCSWKMPXRS42M","GSON1112061254")</f>
        <v>#NAME?</v>
      </c>
      <c r="I1170" s="24" t="e">
        <f ca="1">[1]!BexGetData("DP_1","003N8EMH8GTFRCSWKMPXRSAE6","GSON1112061254")</f>
        <v>#NAME?</v>
      </c>
      <c r="J1170" s="24" t="e">
        <f ca="1">[1]!BexGetData("DP_1","003N8EMH8GTFRCSWKMPXRSGPQ","GSON1112061254")</f>
        <v>#NAME?</v>
      </c>
      <c r="K1170" s="28" t="e">
        <f ca="1">[1]!BexGetData("DP_1","003N8EMH8GTFRIVNUPY288VJH","GSON1112061254")</f>
        <v>#NAME?</v>
      </c>
      <c r="L1170" s="28" t="e">
        <f ca="1">[1]!BexGetData("DP_1","003N8EMH8GTFRIVNUPY2891V1","GSON1112061254")</f>
        <v>#NAME?</v>
      </c>
      <c r="M1170" s="28" t="e">
        <f ca="1">[1]!BexGetData("DP_1","003N8EMH8GTFRIVOG7KG9IQXA","GSON1112061254")</f>
        <v>#NAME?</v>
      </c>
      <c r="N1170" s="28" t="e">
        <f ca="1">[1]!BexGetData("DP_1","003N8EMH8GTFRIVOG7KG9IX8U","GSON1112061254")</f>
        <v>#NAME?</v>
      </c>
      <c r="O1170" s="28" t="e">
        <f ca="1">[1]!BexGetData("DP_1","003N8EMH8GTFRIVOG7KG9J3KE","GSON1112061254")</f>
        <v>#NAME?</v>
      </c>
      <c r="P1170" s="28" t="e">
        <f ca="1">[1]!BexGetData("DP_1","003N8EMH8GTFRIVOG7KG9J9VY","GSON1112061254")</f>
        <v>#NAME?</v>
      </c>
      <c r="Q1170" s="24" t="e">
        <f ca="1">[1]!BexGetData("DP_1","00O2TNJGODT0G5Z4TTKYMM5MT","GSON1112061254")</f>
        <v>#NAME?</v>
      </c>
      <c r="R1170" s="24" t="e">
        <f ca="1">[1]!BexGetData("DP_1","00O2TNJGODT0G5Z4TTKYMMBYD","GSON1112061254")</f>
        <v>#NAME?</v>
      </c>
      <c r="S1170" s="24" t="e">
        <f ca="1">[1]!BexGetData("DP_1","00O2TNJGODT0G5Z4TTKYMMI9X","GSON1112061254")</f>
        <v>#NAME?</v>
      </c>
      <c r="T1170" s="24" t="e">
        <f ca="1">[1]!BexGetData("DP_1","00O2TNJGODT0G5Z4TTKYMMOLH","GSON1112061254")</f>
        <v>#NAME?</v>
      </c>
      <c r="U1170" s="24" t="e">
        <f ca="1">[1]!BexGetData("DP_1","00O2TNJGODT0G5Z4TTKYMMUX1","GSON1112061254")</f>
        <v>#NAME?</v>
      </c>
      <c r="V1170" s="24" t="e">
        <f ca="1">[1]!BexGetData("DP_1","00O2TNJGODT0G5Z4TTKYMN18L","GSON1112061254")</f>
        <v>#NAME?</v>
      </c>
      <c r="W1170" s="24" t="e">
        <f ca="1">[1]!BexGetData("DP_1","00O2TNJGODT0G5Z4TTKYMN7K5","GSON1112061254")</f>
        <v>#NAME?</v>
      </c>
    </row>
    <row r="1171" spans="1:23" x14ac:dyDescent="0.2">
      <c r="A1171" s="36" t="s">
        <v>3696</v>
      </c>
      <c r="B1171" s="27" t="s">
        <v>3697</v>
      </c>
      <c r="C1171" s="23" t="e">
        <f ca="1">[1]!BexGetData("DP_1","003N8EMH8GTFRCSWKMPXRR8GU","GSON1112061255")</f>
        <v>#NAME?</v>
      </c>
      <c r="D1171" s="23" t="e">
        <f ca="1">[1]!BexGetData("DP_1","003N8EMH8GTFRCSWKMPXRRESE","GSON1112061255")</f>
        <v>#NAME?</v>
      </c>
      <c r="E1171" s="28" t="e">
        <f ca="1">[1]!BexGetData("DP_1","003N8EMH8GTFRCSWKMPXRRL3Y","GSON1112061255")</f>
        <v>#NAME?</v>
      </c>
      <c r="F1171" s="24" t="e">
        <f ca="1">[1]!BexGetData("DP_1","003N8EMH8GTFRCSWKMPXRRRFI","GSON1112061255")</f>
        <v>#NAME?</v>
      </c>
      <c r="G1171" s="24" t="e">
        <f ca="1">[1]!BexGetData("DP_1","003N8EMH8GTFRCSWKMPXRRXR2","GSON1112061255")</f>
        <v>#NAME?</v>
      </c>
      <c r="H1171" s="24" t="e">
        <f ca="1">[1]!BexGetData("DP_1","003N8EMH8GTFRCSWKMPXRS42M","GSON1112061255")</f>
        <v>#NAME?</v>
      </c>
      <c r="I1171" s="24" t="e">
        <f ca="1">[1]!BexGetData("DP_1","003N8EMH8GTFRCSWKMPXRSAE6","GSON1112061255")</f>
        <v>#NAME?</v>
      </c>
      <c r="J1171" s="24" t="e">
        <f ca="1">[1]!BexGetData("DP_1","003N8EMH8GTFRCSWKMPXRSGPQ","GSON1112061255")</f>
        <v>#NAME?</v>
      </c>
      <c r="K1171" s="28" t="e">
        <f ca="1">[1]!BexGetData("DP_1","003N8EMH8GTFRIVNUPY288VJH","GSON1112061255")</f>
        <v>#NAME?</v>
      </c>
      <c r="L1171" s="28" t="e">
        <f ca="1">[1]!BexGetData("DP_1","003N8EMH8GTFRIVNUPY2891V1","GSON1112061255")</f>
        <v>#NAME?</v>
      </c>
      <c r="M1171" s="28" t="e">
        <f ca="1">[1]!BexGetData("DP_1","003N8EMH8GTFRIVOG7KG9IQXA","GSON1112061255")</f>
        <v>#NAME?</v>
      </c>
      <c r="N1171" s="28" t="e">
        <f ca="1">[1]!BexGetData("DP_1","003N8EMH8GTFRIVOG7KG9IX8U","GSON1112061255")</f>
        <v>#NAME?</v>
      </c>
      <c r="O1171" s="28" t="e">
        <f ca="1">[1]!BexGetData("DP_1","003N8EMH8GTFRIVOG7KG9J3KE","GSON1112061255")</f>
        <v>#NAME?</v>
      </c>
      <c r="P1171" s="28" t="e">
        <f ca="1">[1]!BexGetData("DP_1","003N8EMH8GTFRIVOG7KG9J9VY","GSON1112061255")</f>
        <v>#NAME?</v>
      </c>
      <c r="Q1171" s="24" t="e">
        <f ca="1">[1]!BexGetData("DP_1","00O2TNJGODT0G5Z4TTKYMM5MT","GSON1112061255")</f>
        <v>#NAME?</v>
      </c>
      <c r="R1171" s="24" t="e">
        <f ca="1">[1]!BexGetData("DP_1","00O2TNJGODT0G5Z4TTKYMMBYD","GSON1112061255")</f>
        <v>#NAME?</v>
      </c>
      <c r="S1171" s="24" t="e">
        <f ca="1">[1]!BexGetData("DP_1","00O2TNJGODT0G5Z4TTKYMMI9X","GSON1112061255")</f>
        <v>#NAME?</v>
      </c>
      <c r="T1171" s="24" t="e">
        <f ca="1">[1]!BexGetData("DP_1","00O2TNJGODT0G5Z4TTKYMMOLH","GSON1112061255")</f>
        <v>#NAME?</v>
      </c>
      <c r="U1171" s="24" t="e">
        <f ca="1">[1]!BexGetData("DP_1","00O2TNJGODT0G5Z4TTKYMMUX1","GSON1112061255")</f>
        <v>#NAME?</v>
      </c>
      <c r="V1171" s="24" t="e">
        <f ca="1">[1]!BexGetData("DP_1","00O2TNJGODT0G5Z4TTKYMN18L","GSON1112061255")</f>
        <v>#NAME?</v>
      </c>
      <c r="W1171" s="24" t="e">
        <f ca="1">[1]!BexGetData("DP_1","00O2TNJGODT0G5Z4TTKYMN7K5","GSON1112061255")</f>
        <v>#NAME?</v>
      </c>
    </row>
    <row r="1172" spans="1:23" x14ac:dyDescent="0.2">
      <c r="A1172" s="36" t="s">
        <v>3698</v>
      </c>
      <c r="B1172" s="27" t="s">
        <v>3699</v>
      </c>
      <c r="C1172" s="23" t="e">
        <f ca="1">[1]!BexGetData("DP_1","003N8EMH8GTFRCSWKMPXRR8GU","GSON1112061260")</f>
        <v>#NAME?</v>
      </c>
      <c r="D1172" s="23" t="e">
        <f ca="1">[1]!BexGetData("DP_1","003N8EMH8GTFRCSWKMPXRRESE","GSON1112061260")</f>
        <v>#NAME?</v>
      </c>
      <c r="E1172" s="23" t="e">
        <f ca="1">[1]!BexGetData("DP_1","003N8EMH8GTFRCSWKMPXRRL3Y","GSON1112061260")</f>
        <v>#NAME?</v>
      </c>
      <c r="F1172" s="24" t="e">
        <f ca="1">[1]!BexGetData("DP_1","003N8EMH8GTFRCSWKMPXRRRFI","GSON1112061260")</f>
        <v>#NAME?</v>
      </c>
      <c r="G1172" s="24" t="e">
        <f ca="1">[1]!BexGetData("DP_1","003N8EMH8GTFRCSWKMPXRRXR2","GSON1112061260")</f>
        <v>#NAME?</v>
      </c>
      <c r="H1172" s="24" t="e">
        <f ca="1">[1]!BexGetData("DP_1","003N8EMH8GTFRCSWKMPXRS42M","GSON1112061260")</f>
        <v>#NAME?</v>
      </c>
      <c r="I1172" s="24" t="e">
        <f ca="1">[1]!BexGetData("DP_1","003N8EMH8GTFRCSWKMPXRSAE6","GSON1112061260")</f>
        <v>#NAME?</v>
      </c>
      <c r="J1172" s="24" t="e">
        <f ca="1">[1]!BexGetData("DP_1","003N8EMH8GTFRCSWKMPXRSGPQ","GSON1112061260")</f>
        <v>#NAME?</v>
      </c>
      <c r="K1172" s="23" t="e">
        <f ca="1">[1]!BexGetData("DP_1","003N8EMH8GTFRIVNUPY288VJH","GSON1112061260")</f>
        <v>#NAME?</v>
      </c>
      <c r="L1172" s="23" t="e">
        <f ca="1">[1]!BexGetData("DP_1","003N8EMH8GTFRIVNUPY2891V1","GSON1112061260")</f>
        <v>#NAME?</v>
      </c>
      <c r="M1172" s="28" t="e">
        <f ca="1">[1]!BexGetData("DP_1","003N8EMH8GTFRIVOG7KG9IQXA","GSON1112061260")</f>
        <v>#NAME?</v>
      </c>
      <c r="N1172" s="23" t="e">
        <f ca="1">[1]!BexGetData("DP_1","003N8EMH8GTFRIVOG7KG9IX8U","GSON1112061260")</f>
        <v>#NAME?</v>
      </c>
      <c r="O1172" s="28" t="e">
        <f ca="1">[1]!BexGetData("DP_1","003N8EMH8GTFRIVOG7KG9J3KE","GSON1112061260")</f>
        <v>#NAME?</v>
      </c>
      <c r="P1172" s="23" t="e">
        <f ca="1">[1]!BexGetData("DP_1","003N8EMH8GTFRIVOG7KG9J9VY","GSON1112061260")</f>
        <v>#NAME?</v>
      </c>
      <c r="Q1172" s="24" t="e">
        <f ca="1">[1]!BexGetData("DP_1","00O2TNJGODT0G5Z4TTKYMM5MT","GSON1112061260")</f>
        <v>#NAME?</v>
      </c>
      <c r="R1172" s="24" t="e">
        <f ca="1">[1]!BexGetData("DP_1","00O2TNJGODT0G5Z4TTKYMMBYD","GSON1112061260")</f>
        <v>#NAME?</v>
      </c>
      <c r="S1172" s="24" t="e">
        <f ca="1">[1]!BexGetData("DP_1","00O2TNJGODT0G5Z4TTKYMMI9X","GSON1112061260")</f>
        <v>#NAME?</v>
      </c>
      <c r="T1172" s="24" t="e">
        <f ca="1">[1]!BexGetData("DP_1","00O2TNJGODT0G5Z4TTKYMMOLH","GSON1112061260")</f>
        <v>#NAME?</v>
      </c>
      <c r="U1172" s="24" t="e">
        <f ca="1">[1]!BexGetData("DP_1","00O2TNJGODT0G5Z4TTKYMMUX1","GSON1112061260")</f>
        <v>#NAME?</v>
      </c>
      <c r="V1172" s="24" t="e">
        <f ca="1">[1]!BexGetData("DP_1","00O2TNJGODT0G5Z4TTKYMN18L","GSON1112061260")</f>
        <v>#NAME?</v>
      </c>
      <c r="W1172" s="24" t="e">
        <f ca="1">[1]!BexGetData("DP_1","00O2TNJGODT0G5Z4TTKYMN7K5","GSON1112061260")</f>
        <v>#NAME?</v>
      </c>
    </row>
    <row r="1173" spans="1:23" x14ac:dyDescent="0.2">
      <c r="A1173" s="36" t="s">
        <v>3700</v>
      </c>
      <c r="B1173" s="27" t="s">
        <v>3701</v>
      </c>
      <c r="C1173" s="23" t="e">
        <f ca="1">[1]!BexGetData("DP_1","003N8EMH8GTFRCSWKMPXRR8GU","GSON1112061261")</f>
        <v>#NAME?</v>
      </c>
      <c r="D1173" s="23" t="e">
        <f ca="1">[1]!BexGetData("DP_1","003N8EMH8GTFRCSWKMPXRRESE","GSON1112061261")</f>
        <v>#NAME?</v>
      </c>
      <c r="E1173" s="28" t="e">
        <f ca="1">[1]!BexGetData("DP_1","003N8EMH8GTFRCSWKMPXRRL3Y","GSON1112061261")</f>
        <v>#NAME?</v>
      </c>
      <c r="F1173" s="24" t="e">
        <f ca="1">[1]!BexGetData("DP_1","003N8EMH8GTFRCSWKMPXRRRFI","GSON1112061261")</f>
        <v>#NAME?</v>
      </c>
      <c r="G1173" s="24" t="e">
        <f ca="1">[1]!BexGetData("DP_1","003N8EMH8GTFRCSWKMPXRRXR2","GSON1112061261")</f>
        <v>#NAME?</v>
      </c>
      <c r="H1173" s="24" t="e">
        <f ca="1">[1]!BexGetData("DP_1","003N8EMH8GTFRCSWKMPXRS42M","GSON1112061261")</f>
        <v>#NAME?</v>
      </c>
      <c r="I1173" s="24" t="e">
        <f ca="1">[1]!BexGetData("DP_1","003N8EMH8GTFRCSWKMPXRSAE6","GSON1112061261")</f>
        <v>#NAME?</v>
      </c>
      <c r="J1173" s="24" t="e">
        <f ca="1">[1]!BexGetData("DP_1","003N8EMH8GTFRCSWKMPXRSGPQ","GSON1112061261")</f>
        <v>#NAME?</v>
      </c>
      <c r="K1173" s="28" t="e">
        <f ca="1">[1]!BexGetData("DP_1","003N8EMH8GTFRIVNUPY288VJH","GSON1112061261")</f>
        <v>#NAME?</v>
      </c>
      <c r="L1173" s="28" t="e">
        <f ca="1">[1]!BexGetData("DP_1","003N8EMH8GTFRIVNUPY2891V1","GSON1112061261")</f>
        <v>#NAME?</v>
      </c>
      <c r="M1173" s="28" t="e">
        <f ca="1">[1]!BexGetData("DP_1","003N8EMH8GTFRIVOG7KG9IQXA","GSON1112061261")</f>
        <v>#NAME?</v>
      </c>
      <c r="N1173" s="28" t="e">
        <f ca="1">[1]!BexGetData("DP_1","003N8EMH8GTFRIVOG7KG9IX8U","GSON1112061261")</f>
        <v>#NAME?</v>
      </c>
      <c r="O1173" s="28" t="e">
        <f ca="1">[1]!BexGetData("DP_1","003N8EMH8GTFRIVOG7KG9J3KE","GSON1112061261")</f>
        <v>#NAME?</v>
      </c>
      <c r="P1173" s="28" t="e">
        <f ca="1">[1]!BexGetData("DP_1","003N8EMH8GTFRIVOG7KG9J9VY","GSON1112061261")</f>
        <v>#NAME?</v>
      </c>
      <c r="Q1173" s="24" t="e">
        <f ca="1">[1]!BexGetData("DP_1","00O2TNJGODT0G5Z4TTKYMM5MT","GSON1112061261")</f>
        <v>#NAME?</v>
      </c>
      <c r="R1173" s="24" t="e">
        <f ca="1">[1]!BexGetData("DP_1","00O2TNJGODT0G5Z4TTKYMMBYD","GSON1112061261")</f>
        <v>#NAME?</v>
      </c>
      <c r="S1173" s="24" t="e">
        <f ca="1">[1]!BexGetData("DP_1","00O2TNJGODT0G5Z4TTKYMMI9X","GSON1112061261")</f>
        <v>#NAME?</v>
      </c>
      <c r="T1173" s="24" t="e">
        <f ca="1">[1]!BexGetData("DP_1","00O2TNJGODT0G5Z4TTKYMMOLH","GSON1112061261")</f>
        <v>#NAME?</v>
      </c>
      <c r="U1173" s="24" t="e">
        <f ca="1">[1]!BexGetData("DP_1","00O2TNJGODT0G5Z4TTKYMMUX1","GSON1112061261")</f>
        <v>#NAME?</v>
      </c>
      <c r="V1173" s="24" t="e">
        <f ca="1">[1]!BexGetData("DP_1","00O2TNJGODT0G5Z4TTKYMN18L","GSON1112061261")</f>
        <v>#NAME?</v>
      </c>
      <c r="W1173" s="24" t="e">
        <f ca="1">[1]!BexGetData("DP_1","00O2TNJGODT0G5Z4TTKYMN7K5","GSON1112061261")</f>
        <v>#NAME?</v>
      </c>
    </row>
    <row r="1174" spans="1:23" x14ac:dyDescent="0.2">
      <c r="A1174" s="36" t="s">
        <v>3702</v>
      </c>
      <c r="B1174" s="27" t="s">
        <v>3703</v>
      </c>
      <c r="C1174" s="23" t="e">
        <f ca="1">[1]!BexGetData("DP_1","003N8EMH8GTFRCSWKMPXRR8GU","GSON1112061263")</f>
        <v>#NAME?</v>
      </c>
      <c r="D1174" s="23" t="e">
        <f ca="1">[1]!BexGetData("DP_1","003N8EMH8GTFRCSWKMPXRRESE","GSON1112061263")</f>
        <v>#NAME?</v>
      </c>
      <c r="E1174" s="23" t="e">
        <f ca="1">[1]!BexGetData("DP_1","003N8EMH8GTFRCSWKMPXRRL3Y","GSON1112061263")</f>
        <v>#NAME?</v>
      </c>
      <c r="F1174" s="24" t="e">
        <f ca="1">[1]!BexGetData("DP_1","003N8EMH8GTFRCSWKMPXRRRFI","GSON1112061263")</f>
        <v>#NAME?</v>
      </c>
      <c r="G1174" s="24" t="e">
        <f ca="1">[1]!BexGetData("DP_1","003N8EMH8GTFRCSWKMPXRRXR2","GSON1112061263")</f>
        <v>#NAME?</v>
      </c>
      <c r="H1174" s="24" t="e">
        <f ca="1">[1]!BexGetData("DP_1","003N8EMH8GTFRCSWKMPXRS42M","GSON1112061263")</f>
        <v>#NAME?</v>
      </c>
      <c r="I1174" s="24" t="e">
        <f ca="1">[1]!BexGetData("DP_1","003N8EMH8GTFRCSWKMPXRSAE6","GSON1112061263")</f>
        <v>#NAME?</v>
      </c>
      <c r="J1174" s="24" t="e">
        <f ca="1">[1]!BexGetData("DP_1","003N8EMH8GTFRCSWKMPXRSGPQ","GSON1112061263")</f>
        <v>#NAME?</v>
      </c>
      <c r="K1174" s="23" t="e">
        <f ca="1">[1]!BexGetData("DP_1","003N8EMH8GTFRIVNUPY288VJH","GSON1112061263")</f>
        <v>#NAME?</v>
      </c>
      <c r="L1174" s="23" t="e">
        <f ca="1">[1]!BexGetData("DP_1","003N8EMH8GTFRIVNUPY2891V1","GSON1112061263")</f>
        <v>#NAME?</v>
      </c>
      <c r="M1174" s="23" t="e">
        <f ca="1">[1]!BexGetData("DP_1","003N8EMH8GTFRIVOG7KG9IQXA","GSON1112061263")</f>
        <v>#NAME?</v>
      </c>
      <c r="N1174" s="28" t="e">
        <f ca="1">[1]!BexGetData("DP_1","003N8EMH8GTFRIVOG7KG9IX8U","GSON1112061263")</f>
        <v>#NAME?</v>
      </c>
      <c r="O1174" s="23" t="e">
        <f ca="1">[1]!BexGetData("DP_1","003N8EMH8GTFRIVOG7KG9J3KE","GSON1112061263")</f>
        <v>#NAME?</v>
      </c>
      <c r="P1174" s="28" t="e">
        <f ca="1">[1]!BexGetData("DP_1","003N8EMH8GTFRIVOG7KG9J9VY","GSON1112061263")</f>
        <v>#NAME?</v>
      </c>
      <c r="Q1174" s="24" t="e">
        <f ca="1">[1]!BexGetData("DP_1","00O2TNJGODT0G5Z4TTKYMM5MT","GSON1112061263")</f>
        <v>#NAME?</v>
      </c>
      <c r="R1174" s="24" t="e">
        <f ca="1">[1]!BexGetData("DP_1","00O2TNJGODT0G5Z4TTKYMMBYD","GSON1112061263")</f>
        <v>#NAME?</v>
      </c>
      <c r="S1174" s="24" t="e">
        <f ca="1">[1]!BexGetData("DP_1","00O2TNJGODT0G5Z4TTKYMMI9X","GSON1112061263")</f>
        <v>#NAME?</v>
      </c>
      <c r="T1174" s="24" t="e">
        <f ca="1">[1]!BexGetData("DP_1","00O2TNJGODT0G5Z4TTKYMMOLH","GSON1112061263")</f>
        <v>#NAME?</v>
      </c>
      <c r="U1174" s="24" t="e">
        <f ca="1">[1]!BexGetData("DP_1","00O2TNJGODT0G5Z4TTKYMMUX1","GSON1112061263")</f>
        <v>#NAME?</v>
      </c>
      <c r="V1174" s="24" t="e">
        <f ca="1">[1]!BexGetData("DP_1","00O2TNJGODT0G5Z4TTKYMN18L","GSON1112061263")</f>
        <v>#NAME?</v>
      </c>
      <c r="W1174" s="24" t="e">
        <f ca="1">[1]!BexGetData("DP_1","00O2TNJGODT0G5Z4TTKYMN7K5","GSON1112061263")</f>
        <v>#NAME?</v>
      </c>
    </row>
    <row r="1175" spans="1:23" x14ac:dyDescent="0.2">
      <c r="A1175" s="36" t="s">
        <v>3704</v>
      </c>
      <c r="B1175" s="27" t="s">
        <v>3705</v>
      </c>
      <c r="C1175" s="23" t="e">
        <f ca="1">[1]!BexGetData("DP_1","003N8EMH8GTFRCSWKMPXRR8GU","GSON1112061264")</f>
        <v>#NAME?</v>
      </c>
      <c r="D1175" s="23" t="e">
        <f ca="1">[1]!BexGetData("DP_1","003N8EMH8GTFRCSWKMPXRRESE","GSON1112061264")</f>
        <v>#NAME?</v>
      </c>
      <c r="E1175" s="28" t="e">
        <f ca="1">[1]!BexGetData("DP_1","003N8EMH8GTFRCSWKMPXRRL3Y","GSON1112061264")</f>
        <v>#NAME?</v>
      </c>
      <c r="F1175" s="24" t="e">
        <f ca="1">[1]!BexGetData("DP_1","003N8EMH8GTFRCSWKMPXRRRFI","GSON1112061264")</f>
        <v>#NAME?</v>
      </c>
      <c r="G1175" s="24" t="e">
        <f ca="1">[1]!BexGetData("DP_1","003N8EMH8GTFRCSWKMPXRRXR2","GSON1112061264")</f>
        <v>#NAME?</v>
      </c>
      <c r="H1175" s="24" t="e">
        <f ca="1">[1]!BexGetData("DP_1","003N8EMH8GTFRCSWKMPXRS42M","GSON1112061264")</f>
        <v>#NAME?</v>
      </c>
      <c r="I1175" s="24" t="e">
        <f ca="1">[1]!BexGetData("DP_1","003N8EMH8GTFRCSWKMPXRSAE6","GSON1112061264")</f>
        <v>#NAME?</v>
      </c>
      <c r="J1175" s="24" t="e">
        <f ca="1">[1]!BexGetData("DP_1","003N8EMH8GTFRCSWKMPXRSGPQ","GSON1112061264")</f>
        <v>#NAME?</v>
      </c>
      <c r="K1175" s="28" t="e">
        <f ca="1">[1]!BexGetData("DP_1","003N8EMH8GTFRIVNUPY288VJH","GSON1112061264")</f>
        <v>#NAME?</v>
      </c>
      <c r="L1175" s="28" t="e">
        <f ca="1">[1]!BexGetData("DP_1","003N8EMH8GTFRIVNUPY2891V1","GSON1112061264")</f>
        <v>#NAME?</v>
      </c>
      <c r="M1175" s="28" t="e">
        <f ca="1">[1]!BexGetData("DP_1","003N8EMH8GTFRIVOG7KG9IQXA","GSON1112061264")</f>
        <v>#NAME?</v>
      </c>
      <c r="N1175" s="28" t="e">
        <f ca="1">[1]!BexGetData("DP_1","003N8EMH8GTFRIVOG7KG9IX8U","GSON1112061264")</f>
        <v>#NAME?</v>
      </c>
      <c r="O1175" s="28" t="e">
        <f ca="1">[1]!BexGetData("DP_1","003N8EMH8GTFRIVOG7KG9J3KE","GSON1112061264")</f>
        <v>#NAME?</v>
      </c>
      <c r="P1175" s="28" t="e">
        <f ca="1">[1]!BexGetData("DP_1","003N8EMH8GTFRIVOG7KG9J9VY","GSON1112061264")</f>
        <v>#NAME?</v>
      </c>
      <c r="Q1175" s="24" t="e">
        <f ca="1">[1]!BexGetData("DP_1","00O2TNJGODT0G5Z4TTKYMM5MT","GSON1112061264")</f>
        <v>#NAME?</v>
      </c>
      <c r="R1175" s="24" t="e">
        <f ca="1">[1]!BexGetData("DP_1","00O2TNJGODT0G5Z4TTKYMMBYD","GSON1112061264")</f>
        <v>#NAME?</v>
      </c>
      <c r="S1175" s="24" t="e">
        <f ca="1">[1]!BexGetData("DP_1","00O2TNJGODT0G5Z4TTKYMMI9X","GSON1112061264")</f>
        <v>#NAME?</v>
      </c>
      <c r="T1175" s="24" t="e">
        <f ca="1">[1]!BexGetData("DP_1","00O2TNJGODT0G5Z4TTKYMMOLH","GSON1112061264")</f>
        <v>#NAME?</v>
      </c>
      <c r="U1175" s="24" t="e">
        <f ca="1">[1]!BexGetData("DP_1","00O2TNJGODT0G5Z4TTKYMMUX1","GSON1112061264")</f>
        <v>#NAME?</v>
      </c>
      <c r="V1175" s="24" t="e">
        <f ca="1">[1]!BexGetData("DP_1","00O2TNJGODT0G5Z4TTKYMN18L","GSON1112061264")</f>
        <v>#NAME?</v>
      </c>
      <c r="W1175" s="24" t="e">
        <f ca="1">[1]!BexGetData("DP_1","00O2TNJGODT0G5Z4TTKYMN7K5","GSON1112061264")</f>
        <v>#NAME?</v>
      </c>
    </row>
    <row r="1176" spans="1:23" x14ac:dyDescent="0.2">
      <c r="A1176" s="36" t="s">
        <v>3706</v>
      </c>
      <c r="B1176" s="27" t="s">
        <v>3707</v>
      </c>
      <c r="C1176" s="23" t="e">
        <f ca="1">[1]!BexGetData("DP_1","003N8EMH8GTFRCSWKMPXRR8GU","GSON1112061265")</f>
        <v>#NAME?</v>
      </c>
      <c r="D1176" s="23" t="e">
        <f ca="1">[1]!BexGetData("DP_1","003N8EMH8GTFRCSWKMPXRRESE","GSON1112061265")</f>
        <v>#NAME?</v>
      </c>
      <c r="E1176" s="28" t="e">
        <f ca="1">[1]!BexGetData("DP_1","003N8EMH8GTFRCSWKMPXRRL3Y","GSON1112061265")</f>
        <v>#NAME?</v>
      </c>
      <c r="F1176" s="24" t="e">
        <f ca="1">[1]!BexGetData("DP_1","003N8EMH8GTFRCSWKMPXRRRFI","GSON1112061265")</f>
        <v>#NAME?</v>
      </c>
      <c r="G1176" s="24" t="e">
        <f ca="1">[1]!BexGetData("DP_1","003N8EMH8GTFRCSWKMPXRRXR2","GSON1112061265")</f>
        <v>#NAME?</v>
      </c>
      <c r="H1176" s="24" t="e">
        <f ca="1">[1]!BexGetData("DP_1","003N8EMH8GTFRCSWKMPXRS42M","GSON1112061265")</f>
        <v>#NAME?</v>
      </c>
      <c r="I1176" s="24" t="e">
        <f ca="1">[1]!BexGetData("DP_1","003N8EMH8GTFRCSWKMPXRSAE6","GSON1112061265")</f>
        <v>#NAME?</v>
      </c>
      <c r="J1176" s="24" t="e">
        <f ca="1">[1]!BexGetData("DP_1","003N8EMH8GTFRCSWKMPXRSGPQ","GSON1112061265")</f>
        <v>#NAME?</v>
      </c>
      <c r="K1176" s="28" t="e">
        <f ca="1">[1]!BexGetData("DP_1","003N8EMH8GTFRIVNUPY288VJH","GSON1112061265")</f>
        <v>#NAME?</v>
      </c>
      <c r="L1176" s="28" t="e">
        <f ca="1">[1]!BexGetData("DP_1","003N8EMH8GTFRIVNUPY2891V1","GSON1112061265")</f>
        <v>#NAME?</v>
      </c>
      <c r="M1176" s="28" t="e">
        <f ca="1">[1]!BexGetData("DP_1","003N8EMH8GTFRIVOG7KG9IQXA","GSON1112061265")</f>
        <v>#NAME?</v>
      </c>
      <c r="N1176" s="28" t="e">
        <f ca="1">[1]!BexGetData("DP_1","003N8EMH8GTFRIVOG7KG9IX8U","GSON1112061265")</f>
        <v>#NAME?</v>
      </c>
      <c r="O1176" s="28" t="e">
        <f ca="1">[1]!BexGetData("DP_1","003N8EMH8GTFRIVOG7KG9J3KE","GSON1112061265")</f>
        <v>#NAME?</v>
      </c>
      <c r="P1176" s="28" t="e">
        <f ca="1">[1]!BexGetData("DP_1","003N8EMH8GTFRIVOG7KG9J9VY","GSON1112061265")</f>
        <v>#NAME?</v>
      </c>
      <c r="Q1176" s="24" t="e">
        <f ca="1">[1]!BexGetData("DP_1","00O2TNJGODT0G5Z4TTKYMM5MT","GSON1112061265")</f>
        <v>#NAME?</v>
      </c>
      <c r="R1176" s="24" t="e">
        <f ca="1">[1]!BexGetData("DP_1","00O2TNJGODT0G5Z4TTKYMMBYD","GSON1112061265")</f>
        <v>#NAME?</v>
      </c>
      <c r="S1176" s="24" t="e">
        <f ca="1">[1]!BexGetData("DP_1","00O2TNJGODT0G5Z4TTKYMMI9X","GSON1112061265")</f>
        <v>#NAME?</v>
      </c>
      <c r="T1176" s="24" t="e">
        <f ca="1">[1]!BexGetData("DP_1","00O2TNJGODT0G5Z4TTKYMMOLH","GSON1112061265")</f>
        <v>#NAME?</v>
      </c>
      <c r="U1176" s="24" t="e">
        <f ca="1">[1]!BexGetData("DP_1","00O2TNJGODT0G5Z4TTKYMMUX1","GSON1112061265")</f>
        <v>#NAME?</v>
      </c>
      <c r="V1176" s="24" t="e">
        <f ca="1">[1]!BexGetData("DP_1","00O2TNJGODT0G5Z4TTKYMN18L","GSON1112061265")</f>
        <v>#NAME?</v>
      </c>
      <c r="W1176" s="24" t="e">
        <f ca="1">[1]!BexGetData("DP_1","00O2TNJGODT0G5Z4TTKYMN7K5","GSON1112061265")</f>
        <v>#NAME?</v>
      </c>
    </row>
    <row r="1177" spans="1:23" x14ac:dyDescent="0.2">
      <c r="A1177" s="36" t="s">
        <v>3708</v>
      </c>
      <c r="B1177" s="27" t="s">
        <v>3709</v>
      </c>
      <c r="C1177" s="23" t="e">
        <f ca="1">[1]!BexGetData("DP_1","003N8EMH8GTFRCSWKMPXRR8GU","GSON1112061270")</f>
        <v>#NAME?</v>
      </c>
      <c r="D1177" s="23" t="e">
        <f ca="1">[1]!BexGetData("DP_1","003N8EMH8GTFRCSWKMPXRRESE","GSON1112061270")</f>
        <v>#NAME?</v>
      </c>
      <c r="E1177" s="23" t="e">
        <f ca="1">[1]!BexGetData("DP_1","003N8EMH8GTFRCSWKMPXRRL3Y","GSON1112061270")</f>
        <v>#NAME?</v>
      </c>
      <c r="F1177" s="24" t="e">
        <f ca="1">[1]!BexGetData("DP_1","003N8EMH8GTFRCSWKMPXRRRFI","GSON1112061270")</f>
        <v>#NAME?</v>
      </c>
      <c r="G1177" s="24" t="e">
        <f ca="1">[1]!BexGetData("DP_1","003N8EMH8GTFRCSWKMPXRRXR2","GSON1112061270")</f>
        <v>#NAME?</v>
      </c>
      <c r="H1177" s="24" t="e">
        <f ca="1">[1]!BexGetData("DP_1","003N8EMH8GTFRCSWKMPXRS42M","GSON1112061270")</f>
        <v>#NAME?</v>
      </c>
      <c r="I1177" s="24" t="e">
        <f ca="1">[1]!BexGetData("DP_1","003N8EMH8GTFRCSWKMPXRSAE6","GSON1112061270")</f>
        <v>#NAME?</v>
      </c>
      <c r="J1177" s="24" t="e">
        <f ca="1">[1]!BexGetData("DP_1","003N8EMH8GTFRCSWKMPXRSGPQ","GSON1112061270")</f>
        <v>#NAME?</v>
      </c>
      <c r="K1177" s="23" t="e">
        <f ca="1">[1]!BexGetData("DP_1","003N8EMH8GTFRIVNUPY288VJH","GSON1112061270")</f>
        <v>#NAME?</v>
      </c>
      <c r="L1177" s="23" t="e">
        <f ca="1">[1]!BexGetData("DP_1","003N8EMH8GTFRIVNUPY2891V1","GSON1112061270")</f>
        <v>#NAME?</v>
      </c>
      <c r="M1177" s="28" t="e">
        <f ca="1">[1]!BexGetData("DP_1","003N8EMH8GTFRIVOG7KG9IQXA","GSON1112061270")</f>
        <v>#NAME?</v>
      </c>
      <c r="N1177" s="23" t="e">
        <f ca="1">[1]!BexGetData("DP_1","003N8EMH8GTFRIVOG7KG9IX8U","GSON1112061270")</f>
        <v>#NAME?</v>
      </c>
      <c r="O1177" s="28" t="e">
        <f ca="1">[1]!BexGetData("DP_1","003N8EMH8GTFRIVOG7KG9J3KE","GSON1112061270")</f>
        <v>#NAME?</v>
      </c>
      <c r="P1177" s="23" t="e">
        <f ca="1">[1]!BexGetData("DP_1","003N8EMH8GTFRIVOG7KG9J9VY","GSON1112061270")</f>
        <v>#NAME?</v>
      </c>
      <c r="Q1177" s="24" t="e">
        <f ca="1">[1]!BexGetData("DP_1","00O2TNJGODT0G5Z4TTKYMM5MT","GSON1112061270")</f>
        <v>#NAME?</v>
      </c>
      <c r="R1177" s="24" t="e">
        <f ca="1">[1]!BexGetData("DP_1","00O2TNJGODT0G5Z4TTKYMMBYD","GSON1112061270")</f>
        <v>#NAME?</v>
      </c>
      <c r="S1177" s="24" t="e">
        <f ca="1">[1]!BexGetData("DP_1","00O2TNJGODT0G5Z4TTKYMMI9X","GSON1112061270")</f>
        <v>#NAME?</v>
      </c>
      <c r="T1177" s="24" t="e">
        <f ca="1">[1]!BexGetData("DP_1","00O2TNJGODT0G5Z4TTKYMMOLH","GSON1112061270")</f>
        <v>#NAME?</v>
      </c>
      <c r="U1177" s="24" t="e">
        <f ca="1">[1]!BexGetData("DP_1","00O2TNJGODT0G5Z4TTKYMMUX1","GSON1112061270")</f>
        <v>#NAME?</v>
      </c>
      <c r="V1177" s="24" t="e">
        <f ca="1">[1]!BexGetData("DP_1","00O2TNJGODT0G5Z4TTKYMN18L","GSON1112061270")</f>
        <v>#NAME?</v>
      </c>
      <c r="W1177" s="24" t="e">
        <f ca="1">[1]!BexGetData("DP_1","00O2TNJGODT0G5Z4TTKYMN7K5","GSON1112061270")</f>
        <v>#NAME?</v>
      </c>
    </row>
    <row r="1178" spans="1:23" x14ac:dyDescent="0.2">
      <c r="A1178" s="36" t="s">
        <v>3710</v>
      </c>
      <c r="B1178" s="27" t="s">
        <v>3711</v>
      </c>
      <c r="C1178" s="23" t="e">
        <f ca="1">[1]!BexGetData("DP_1","003N8EMH8GTFRCSWKMPXRR8GU","GSON1112061271")</f>
        <v>#NAME?</v>
      </c>
      <c r="D1178" s="23" t="e">
        <f ca="1">[1]!BexGetData("DP_1","003N8EMH8GTFRCSWKMPXRRESE","GSON1112061271")</f>
        <v>#NAME?</v>
      </c>
      <c r="E1178" s="28" t="e">
        <f ca="1">[1]!BexGetData("DP_1","003N8EMH8GTFRCSWKMPXRRL3Y","GSON1112061271")</f>
        <v>#NAME?</v>
      </c>
      <c r="F1178" s="24" t="e">
        <f ca="1">[1]!BexGetData("DP_1","003N8EMH8GTFRCSWKMPXRRRFI","GSON1112061271")</f>
        <v>#NAME?</v>
      </c>
      <c r="G1178" s="24" t="e">
        <f ca="1">[1]!BexGetData("DP_1","003N8EMH8GTFRCSWKMPXRRXR2","GSON1112061271")</f>
        <v>#NAME?</v>
      </c>
      <c r="H1178" s="24" t="e">
        <f ca="1">[1]!BexGetData("DP_1","003N8EMH8GTFRCSWKMPXRS42M","GSON1112061271")</f>
        <v>#NAME?</v>
      </c>
      <c r="I1178" s="24" t="e">
        <f ca="1">[1]!BexGetData("DP_1","003N8EMH8GTFRCSWKMPXRSAE6","GSON1112061271")</f>
        <v>#NAME?</v>
      </c>
      <c r="J1178" s="24" t="e">
        <f ca="1">[1]!BexGetData("DP_1","003N8EMH8GTFRCSWKMPXRSGPQ","GSON1112061271")</f>
        <v>#NAME?</v>
      </c>
      <c r="K1178" s="28" t="e">
        <f ca="1">[1]!BexGetData("DP_1","003N8EMH8GTFRIVNUPY288VJH","GSON1112061271")</f>
        <v>#NAME?</v>
      </c>
      <c r="L1178" s="28" t="e">
        <f ca="1">[1]!BexGetData("DP_1","003N8EMH8GTFRIVNUPY2891V1","GSON1112061271")</f>
        <v>#NAME?</v>
      </c>
      <c r="M1178" s="28" t="e">
        <f ca="1">[1]!BexGetData("DP_1","003N8EMH8GTFRIVOG7KG9IQXA","GSON1112061271")</f>
        <v>#NAME?</v>
      </c>
      <c r="N1178" s="28" t="e">
        <f ca="1">[1]!BexGetData("DP_1","003N8EMH8GTFRIVOG7KG9IX8U","GSON1112061271")</f>
        <v>#NAME?</v>
      </c>
      <c r="O1178" s="28" t="e">
        <f ca="1">[1]!BexGetData("DP_1","003N8EMH8GTFRIVOG7KG9J3KE","GSON1112061271")</f>
        <v>#NAME?</v>
      </c>
      <c r="P1178" s="28" t="e">
        <f ca="1">[1]!BexGetData("DP_1","003N8EMH8GTFRIVOG7KG9J9VY","GSON1112061271")</f>
        <v>#NAME?</v>
      </c>
      <c r="Q1178" s="24" t="e">
        <f ca="1">[1]!BexGetData("DP_1","00O2TNJGODT0G5Z4TTKYMM5MT","GSON1112061271")</f>
        <v>#NAME?</v>
      </c>
      <c r="R1178" s="24" t="e">
        <f ca="1">[1]!BexGetData("DP_1","00O2TNJGODT0G5Z4TTKYMMBYD","GSON1112061271")</f>
        <v>#NAME?</v>
      </c>
      <c r="S1178" s="24" t="e">
        <f ca="1">[1]!BexGetData("DP_1","00O2TNJGODT0G5Z4TTKYMMI9X","GSON1112061271")</f>
        <v>#NAME?</v>
      </c>
      <c r="T1178" s="24" t="e">
        <f ca="1">[1]!BexGetData("DP_1","00O2TNJGODT0G5Z4TTKYMMOLH","GSON1112061271")</f>
        <v>#NAME?</v>
      </c>
      <c r="U1178" s="24" t="e">
        <f ca="1">[1]!BexGetData("DP_1","00O2TNJGODT0G5Z4TTKYMMUX1","GSON1112061271")</f>
        <v>#NAME?</v>
      </c>
      <c r="V1178" s="24" t="e">
        <f ca="1">[1]!BexGetData("DP_1","00O2TNJGODT0G5Z4TTKYMN18L","GSON1112061271")</f>
        <v>#NAME?</v>
      </c>
      <c r="W1178" s="24" t="e">
        <f ca="1">[1]!BexGetData("DP_1","00O2TNJGODT0G5Z4TTKYMN7K5","GSON1112061271")</f>
        <v>#NAME?</v>
      </c>
    </row>
    <row r="1179" spans="1:23" x14ac:dyDescent="0.2">
      <c r="A1179" s="36" t="s">
        <v>3712</v>
      </c>
      <c r="B1179" s="27" t="s">
        <v>3713</v>
      </c>
      <c r="C1179" s="23" t="e">
        <f ca="1">[1]!BexGetData("DP_1","003N8EMH8GTFRCSWKMPXRR8GU","GSON1112061273")</f>
        <v>#NAME?</v>
      </c>
      <c r="D1179" s="23" t="e">
        <f ca="1">[1]!BexGetData("DP_1","003N8EMH8GTFRCSWKMPXRRESE","GSON1112061273")</f>
        <v>#NAME?</v>
      </c>
      <c r="E1179" s="28" t="e">
        <f ca="1">[1]!BexGetData("DP_1","003N8EMH8GTFRCSWKMPXRRL3Y","GSON1112061273")</f>
        <v>#NAME?</v>
      </c>
      <c r="F1179" s="24" t="e">
        <f ca="1">[1]!BexGetData("DP_1","003N8EMH8GTFRCSWKMPXRRRFI","GSON1112061273")</f>
        <v>#NAME?</v>
      </c>
      <c r="G1179" s="24" t="e">
        <f ca="1">[1]!BexGetData("DP_1","003N8EMH8GTFRCSWKMPXRRXR2","GSON1112061273")</f>
        <v>#NAME?</v>
      </c>
      <c r="H1179" s="24" t="e">
        <f ca="1">[1]!BexGetData("DP_1","003N8EMH8GTFRCSWKMPXRS42M","GSON1112061273")</f>
        <v>#NAME?</v>
      </c>
      <c r="I1179" s="24" t="e">
        <f ca="1">[1]!BexGetData("DP_1","003N8EMH8GTFRCSWKMPXRSAE6","GSON1112061273")</f>
        <v>#NAME?</v>
      </c>
      <c r="J1179" s="24" t="e">
        <f ca="1">[1]!BexGetData("DP_1","003N8EMH8GTFRCSWKMPXRSGPQ","GSON1112061273")</f>
        <v>#NAME?</v>
      </c>
      <c r="K1179" s="28" t="e">
        <f ca="1">[1]!BexGetData("DP_1","003N8EMH8GTFRIVNUPY288VJH","GSON1112061273")</f>
        <v>#NAME?</v>
      </c>
      <c r="L1179" s="28" t="e">
        <f ca="1">[1]!BexGetData("DP_1","003N8EMH8GTFRIVNUPY2891V1","GSON1112061273")</f>
        <v>#NAME?</v>
      </c>
      <c r="M1179" s="28" t="e">
        <f ca="1">[1]!BexGetData("DP_1","003N8EMH8GTFRIVOG7KG9IQXA","GSON1112061273")</f>
        <v>#NAME?</v>
      </c>
      <c r="N1179" s="28" t="e">
        <f ca="1">[1]!BexGetData("DP_1","003N8EMH8GTFRIVOG7KG9IX8U","GSON1112061273")</f>
        <v>#NAME?</v>
      </c>
      <c r="O1179" s="28" t="e">
        <f ca="1">[1]!BexGetData("DP_1","003N8EMH8GTFRIVOG7KG9J3KE","GSON1112061273")</f>
        <v>#NAME?</v>
      </c>
      <c r="P1179" s="28" t="e">
        <f ca="1">[1]!BexGetData("DP_1","003N8EMH8GTFRIVOG7KG9J9VY","GSON1112061273")</f>
        <v>#NAME?</v>
      </c>
      <c r="Q1179" s="24" t="e">
        <f ca="1">[1]!BexGetData("DP_1","00O2TNJGODT0G5Z4TTKYMM5MT","GSON1112061273")</f>
        <v>#NAME?</v>
      </c>
      <c r="R1179" s="24" t="e">
        <f ca="1">[1]!BexGetData("DP_1","00O2TNJGODT0G5Z4TTKYMMBYD","GSON1112061273")</f>
        <v>#NAME?</v>
      </c>
      <c r="S1179" s="24" t="e">
        <f ca="1">[1]!BexGetData("DP_1","00O2TNJGODT0G5Z4TTKYMMI9X","GSON1112061273")</f>
        <v>#NAME?</v>
      </c>
      <c r="T1179" s="24" t="e">
        <f ca="1">[1]!BexGetData("DP_1","00O2TNJGODT0G5Z4TTKYMMOLH","GSON1112061273")</f>
        <v>#NAME?</v>
      </c>
      <c r="U1179" s="24" t="e">
        <f ca="1">[1]!BexGetData("DP_1","00O2TNJGODT0G5Z4TTKYMMUX1","GSON1112061273")</f>
        <v>#NAME?</v>
      </c>
      <c r="V1179" s="24" t="e">
        <f ca="1">[1]!BexGetData("DP_1","00O2TNJGODT0G5Z4TTKYMN18L","GSON1112061273")</f>
        <v>#NAME?</v>
      </c>
      <c r="W1179" s="24" t="e">
        <f ca="1">[1]!BexGetData("DP_1","00O2TNJGODT0G5Z4TTKYMN7K5","GSON1112061273")</f>
        <v>#NAME?</v>
      </c>
    </row>
    <row r="1180" spans="1:23" x14ac:dyDescent="0.2">
      <c r="A1180" s="36" t="s">
        <v>3714</v>
      </c>
      <c r="B1180" s="27" t="s">
        <v>3715</v>
      </c>
      <c r="C1180" s="23" t="e">
        <f ca="1">[1]!BexGetData("DP_1","003N8EMH8GTFRCSWKMPXRR8GU","GSON1112061274")</f>
        <v>#NAME?</v>
      </c>
      <c r="D1180" s="23" t="e">
        <f ca="1">[1]!BexGetData("DP_1","003N8EMH8GTFRCSWKMPXRRESE","GSON1112061274")</f>
        <v>#NAME?</v>
      </c>
      <c r="E1180" s="28" t="e">
        <f ca="1">[1]!BexGetData("DP_1","003N8EMH8GTFRCSWKMPXRRL3Y","GSON1112061274")</f>
        <v>#NAME?</v>
      </c>
      <c r="F1180" s="24" t="e">
        <f ca="1">[1]!BexGetData("DP_1","003N8EMH8GTFRCSWKMPXRRRFI","GSON1112061274")</f>
        <v>#NAME?</v>
      </c>
      <c r="G1180" s="24" t="e">
        <f ca="1">[1]!BexGetData("DP_1","003N8EMH8GTFRCSWKMPXRRXR2","GSON1112061274")</f>
        <v>#NAME?</v>
      </c>
      <c r="H1180" s="24" t="e">
        <f ca="1">[1]!BexGetData("DP_1","003N8EMH8GTFRCSWKMPXRS42M","GSON1112061274")</f>
        <v>#NAME?</v>
      </c>
      <c r="I1180" s="24" t="e">
        <f ca="1">[1]!BexGetData("DP_1","003N8EMH8GTFRCSWKMPXRSAE6","GSON1112061274")</f>
        <v>#NAME?</v>
      </c>
      <c r="J1180" s="24" t="e">
        <f ca="1">[1]!BexGetData("DP_1","003N8EMH8GTFRCSWKMPXRSGPQ","GSON1112061274")</f>
        <v>#NAME?</v>
      </c>
      <c r="K1180" s="28" t="e">
        <f ca="1">[1]!BexGetData("DP_1","003N8EMH8GTFRIVNUPY288VJH","GSON1112061274")</f>
        <v>#NAME?</v>
      </c>
      <c r="L1180" s="28" t="e">
        <f ca="1">[1]!BexGetData("DP_1","003N8EMH8GTFRIVNUPY2891V1","GSON1112061274")</f>
        <v>#NAME?</v>
      </c>
      <c r="M1180" s="28" t="e">
        <f ca="1">[1]!BexGetData("DP_1","003N8EMH8GTFRIVOG7KG9IQXA","GSON1112061274")</f>
        <v>#NAME?</v>
      </c>
      <c r="N1180" s="28" t="e">
        <f ca="1">[1]!BexGetData("DP_1","003N8EMH8GTFRIVOG7KG9IX8U","GSON1112061274")</f>
        <v>#NAME?</v>
      </c>
      <c r="O1180" s="28" t="e">
        <f ca="1">[1]!BexGetData("DP_1","003N8EMH8GTFRIVOG7KG9J3KE","GSON1112061274")</f>
        <v>#NAME?</v>
      </c>
      <c r="P1180" s="28" t="e">
        <f ca="1">[1]!BexGetData("DP_1","003N8EMH8GTFRIVOG7KG9J9VY","GSON1112061274")</f>
        <v>#NAME?</v>
      </c>
      <c r="Q1180" s="24" t="e">
        <f ca="1">[1]!BexGetData("DP_1","00O2TNJGODT0G5Z4TTKYMM5MT","GSON1112061274")</f>
        <v>#NAME?</v>
      </c>
      <c r="R1180" s="24" t="e">
        <f ca="1">[1]!BexGetData("DP_1","00O2TNJGODT0G5Z4TTKYMMBYD","GSON1112061274")</f>
        <v>#NAME?</v>
      </c>
      <c r="S1180" s="24" t="e">
        <f ca="1">[1]!BexGetData("DP_1","00O2TNJGODT0G5Z4TTKYMMI9X","GSON1112061274")</f>
        <v>#NAME?</v>
      </c>
      <c r="T1180" s="24" t="e">
        <f ca="1">[1]!BexGetData("DP_1","00O2TNJGODT0G5Z4TTKYMMOLH","GSON1112061274")</f>
        <v>#NAME?</v>
      </c>
      <c r="U1180" s="24" t="e">
        <f ca="1">[1]!BexGetData("DP_1","00O2TNJGODT0G5Z4TTKYMMUX1","GSON1112061274")</f>
        <v>#NAME?</v>
      </c>
      <c r="V1180" s="24" t="e">
        <f ca="1">[1]!BexGetData("DP_1","00O2TNJGODT0G5Z4TTKYMN18L","GSON1112061274")</f>
        <v>#NAME?</v>
      </c>
      <c r="W1180" s="24" t="e">
        <f ca="1">[1]!BexGetData("DP_1","00O2TNJGODT0G5Z4TTKYMN7K5","GSON1112061274")</f>
        <v>#NAME?</v>
      </c>
    </row>
    <row r="1181" spans="1:23" x14ac:dyDescent="0.2">
      <c r="A1181" s="36" t="s">
        <v>3716</v>
      </c>
      <c r="B1181" s="27" t="s">
        <v>3717</v>
      </c>
      <c r="C1181" s="23" t="e">
        <f ca="1">[1]!BexGetData("DP_1","003N8EMH8GTFRCSWKMPXRR8GU","GSON1112061275")</f>
        <v>#NAME?</v>
      </c>
      <c r="D1181" s="23" t="e">
        <f ca="1">[1]!BexGetData("DP_1","003N8EMH8GTFRCSWKMPXRRESE","GSON1112061275")</f>
        <v>#NAME?</v>
      </c>
      <c r="E1181" s="28" t="e">
        <f ca="1">[1]!BexGetData("DP_1","003N8EMH8GTFRCSWKMPXRRL3Y","GSON1112061275")</f>
        <v>#NAME?</v>
      </c>
      <c r="F1181" s="24" t="e">
        <f ca="1">[1]!BexGetData("DP_1","003N8EMH8GTFRCSWKMPXRRRFI","GSON1112061275")</f>
        <v>#NAME?</v>
      </c>
      <c r="G1181" s="24" t="e">
        <f ca="1">[1]!BexGetData("DP_1","003N8EMH8GTFRCSWKMPXRRXR2","GSON1112061275")</f>
        <v>#NAME?</v>
      </c>
      <c r="H1181" s="24" t="e">
        <f ca="1">[1]!BexGetData("DP_1","003N8EMH8GTFRCSWKMPXRS42M","GSON1112061275")</f>
        <v>#NAME?</v>
      </c>
      <c r="I1181" s="24" t="e">
        <f ca="1">[1]!BexGetData("DP_1","003N8EMH8GTFRCSWKMPXRSAE6","GSON1112061275")</f>
        <v>#NAME?</v>
      </c>
      <c r="J1181" s="24" t="e">
        <f ca="1">[1]!BexGetData("DP_1","003N8EMH8GTFRCSWKMPXRSGPQ","GSON1112061275")</f>
        <v>#NAME?</v>
      </c>
      <c r="K1181" s="28" t="e">
        <f ca="1">[1]!BexGetData("DP_1","003N8EMH8GTFRIVNUPY288VJH","GSON1112061275")</f>
        <v>#NAME?</v>
      </c>
      <c r="L1181" s="28" t="e">
        <f ca="1">[1]!BexGetData("DP_1","003N8EMH8GTFRIVNUPY2891V1","GSON1112061275")</f>
        <v>#NAME?</v>
      </c>
      <c r="M1181" s="28" t="e">
        <f ca="1">[1]!BexGetData("DP_1","003N8EMH8GTFRIVOG7KG9IQXA","GSON1112061275")</f>
        <v>#NAME?</v>
      </c>
      <c r="N1181" s="28" t="e">
        <f ca="1">[1]!BexGetData("DP_1","003N8EMH8GTFRIVOG7KG9IX8U","GSON1112061275")</f>
        <v>#NAME?</v>
      </c>
      <c r="O1181" s="28" t="e">
        <f ca="1">[1]!BexGetData("DP_1","003N8EMH8GTFRIVOG7KG9J3KE","GSON1112061275")</f>
        <v>#NAME?</v>
      </c>
      <c r="P1181" s="28" t="e">
        <f ca="1">[1]!BexGetData("DP_1","003N8EMH8GTFRIVOG7KG9J9VY","GSON1112061275")</f>
        <v>#NAME?</v>
      </c>
      <c r="Q1181" s="24" t="e">
        <f ca="1">[1]!BexGetData("DP_1","00O2TNJGODT0G5Z4TTKYMM5MT","GSON1112061275")</f>
        <v>#NAME?</v>
      </c>
      <c r="R1181" s="24" t="e">
        <f ca="1">[1]!BexGetData("DP_1","00O2TNJGODT0G5Z4TTKYMMBYD","GSON1112061275")</f>
        <v>#NAME?</v>
      </c>
      <c r="S1181" s="24" t="e">
        <f ca="1">[1]!BexGetData("DP_1","00O2TNJGODT0G5Z4TTKYMMI9X","GSON1112061275")</f>
        <v>#NAME?</v>
      </c>
      <c r="T1181" s="24" t="e">
        <f ca="1">[1]!BexGetData("DP_1","00O2TNJGODT0G5Z4TTKYMMOLH","GSON1112061275")</f>
        <v>#NAME?</v>
      </c>
      <c r="U1181" s="24" t="e">
        <f ca="1">[1]!BexGetData("DP_1","00O2TNJGODT0G5Z4TTKYMMUX1","GSON1112061275")</f>
        <v>#NAME?</v>
      </c>
      <c r="V1181" s="24" t="e">
        <f ca="1">[1]!BexGetData("DP_1","00O2TNJGODT0G5Z4TTKYMN18L","GSON1112061275")</f>
        <v>#NAME?</v>
      </c>
      <c r="W1181" s="24" t="e">
        <f ca="1">[1]!BexGetData("DP_1","00O2TNJGODT0G5Z4TTKYMN7K5","GSON1112061275")</f>
        <v>#NAME?</v>
      </c>
    </row>
    <row r="1182" spans="1:23" x14ac:dyDescent="0.2">
      <c r="A1182" s="36" t="s">
        <v>3718</v>
      </c>
      <c r="B1182" s="27" t="s">
        <v>3719</v>
      </c>
      <c r="C1182" s="23" t="e">
        <f ca="1">[1]!BexGetData("DP_1","003N8EMH8GTFRCSWKMPXRR8GU","GSON1112061280")</f>
        <v>#NAME?</v>
      </c>
      <c r="D1182" s="23" t="e">
        <f ca="1">[1]!BexGetData("DP_1","003N8EMH8GTFRCSWKMPXRRESE","GSON1112061280")</f>
        <v>#NAME?</v>
      </c>
      <c r="E1182" s="23" t="e">
        <f ca="1">[1]!BexGetData("DP_1","003N8EMH8GTFRCSWKMPXRRL3Y","GSON1112061280")</f>
        <v>#NAME?</v>
      </c>
      <c r="F1182" s="24" t="e">
        <f ca="1">[1]!BexGetData("DP_1","003N8EMH8GTFRCSWKMPXRRRFI","GSON1112061280")</f>
        <v>#NAME?</v>
      </c>
      <c r="G1182" s="24" t="e">
        <f ca="1">[1]!BexGetData("DP_1","003N8EMH8GTFRCSWKMPXRRXR2","GSON1112061280")</f>
        <v>#NAME?</v>
      </c>
      <c r="H1182" s="24" t="e">
        <f ca="1">[1]!BexGetData("DP_1","003N8EMH8GTFRCSWKMPXRS42M","GSON1112061280")</f>
        <v>#NAME?</v>
      </c>
      <c r="I1182" s="24" t="e">
        <f ca="1">[1]!BexGetData("DP_1","003N8EMH8GTFRCSWKMPXRSAE6","GSON1112061280")</f>
        <v>#NAME?</v>
      </c>
      <c r="J1182" s="24" t="e">
        <f ca="1">[1]!BexGetData("DP_1","003N8EMH8GTFRCSWKMPXRSGPQ","GSON1112061280")</f>
        <v>#NAME?</v>
      </c>
      <c r="K1182" s="23" t="e">
        <f ca="1">[1]!BexGetData("DP_1","003N8EMH8GTFRIVNUPY288VJH","GSON1112061280")</f>
        <v>#NAME?</v>
      </c>
      <c r="L1182" s="23" t="e">
        <f ca="1">[1]!BexGetData("DP_1","003N8EMH8GTFRIVNUPY2891V1","GSON1112061280")</f>
        <v>#NAME?</v>
      </c>
      <c r="M1182" s="28" t="e">
        <f ca="1">[1]!BexGetData("DP_1","003N8EMH8GTFRIVOG7KG9IQXA","GSON1112061280")</f>
        <v>#NAME?</v>
      </c>
      <c r="N1182" s="23" t="e">
        <f ca="1">[1]!BexGetData("DP_1","003N8EMH8GTFRIVOG7KG9IX8U","GSON1112061280")</f>
        <v>#NAME?</v>
      </c>
      <c r="O1182" s="28" t="e">
        <f ca="1">[1]!BexGetData("DP_1","003N8EMH8GTFRIVOG7KG9J3KE","GSON1112061280")</f>
        <v>#NAME?</v>
      </c>
      <c r="P1182" s="23" t="e">
        <f ca="1">[1]!BexGetData("DP_1","003N8EMH8GTFRIVOG7KG9J9VY","GSON1112061280")</f>
        <v>#NAME?</v>
      </c>
      <c r="Q1182" s="24" t="e">
        <f ca="1">[1]!BexGetData("DP_1","00O2TNJGODT0G5Z4TTKYMM5MT","GSON1112061280")</f>
        <v>#NAME?</v>
      </c>
      <c r="R1182" s="24" t="e">
        <f ca="1">[1]!BexGetData("DP_1","00O2TNJGODT0G5Z4TTKYMMBYD","GSON1112061280")</f>
        <v>#NAME?</v>
      </c>
      <c r="S1182" s="24" t="e">
        <f ca="1">[1]!BexGetData("DP_1","00O2TNJGODT0G5Z4TTKYMMI9X","GSON1112061280")</f>
        <v>#NAME?</v>
      </c>
      <c r="T1182" s="24" t="e">
        <f ca="1">[1]!BexGetData("DP_1","00O2TNJGODT0G5Z4TTKYMMOLH","GSON1112061280")</f>
        <v>#NAME?</v>
      </c>
      <c r="U1182" s="24" t="e">
        <f ca="1">[1]!BexGetData("DP_1","00O2TNJGODT0G5Z4TTKYMMUX1","GSON1112061280")</f>
        <v>#NAME?</v>
      </c>
      <c r="V1182" s="24" t="e">
        <f ca="1">[1]!BexGetData("DP_1","00O2TNJGODT0G5Z4TTKYMN18L","GSON1112061280")</f>
        <v>#NAME?</v>
      </c>
      <c r="W1182" s="24" t="e">
        <f ca="1">[1]!BexGetData("DP_1","00O2TNJGODT0G5Z4TTKYMN7K5","GSON1112061280")</f>
        <v>#NAME?</v>
      </c>
    </row>
    <row r="1183" spans="1:23" x14ac:dyDescent="0.2">
      <c r="A1183" s="36" t="s">
        <v>3720</v>
      </c>
      <c r="B1183" s="27" t="s">
        <v>3721</v>
      </c>
      <c r="C1183" s="23" t="e">
        <f ca="1">[1]!BexGetData("DP_1","003N8EMH8GTFRCSWKMPXRR8GU","GSON1112061281")</f>
        <v>#NAME?</v>
      </c>
      <c r="D1183" s="23" t="e">
        <f ca="1">[1]!BexGetData("DP_1","003N8EMH8GTFRCSWKMPXRRESE","GSON1112061281")</f>
        <v>#NAME?</v>
      </c>
      <c r="E1183" s="28" t="e">
        <f ca="1">[1]!BexGetData("DP_1","003N8EMH8GTFRCSWKMPXRRL3Y","GSON1112061281")</f>
        <v>#NAME?</v>
      </c>
      <c r="F1183" s="24" t="e">
        <f ca="1">[1]!BexGetData("DP_1","003N8EMH8GTFRCSWKMPXRRRFI","GSON1112061281")</f>
        <v>#NAME?</v>
      </c>
      <c r="G1183" s="24" t="e">
        <f ca="1">[1]!BexGetData("DP_1","003N8EMH8GTFRCSWKMPXRRXR2","GSON1112061281")</f>
        <v>#NAME?</v>
      </c>
      <c r="H1183" s="24" t="e">
        <f ca="1">[1]!BexGetData("DP_1","003N8EMH8GTFRCSWKMPXRS42M","GSON1112061281")</f>
        <v>#NAME?</v>
      </c>
      <c r="I1183" s="24" t="e">
        <f ca="1">[1]!BexGetData("DP_1","003N8EMH8GTFRCSWKMPXRSAE6","GSON1112061281")</f>
        <v>#NAME?</v>
      </c>
      <c r="J1183" s="24" t="e">
        <f ca="1">[1]!BexGetData("DP_1","003N8EMH8GTFRCSWKMPXRSGPQ","GSON1112061281")</f>
        <v>#NAME?</v>
      </c>
      <c r="K1183" s="28" t="e">
        <f ca="1">[1]!BexGetData("DP_1","003N8EMH8GTFRIVNUPY288VJH","GSON1112061281")</f>
        <v>#NAME?</v>
      </c>
      <c r="L1183" s="28" t="e">
        <f ca="1">[1]!BexGetData("DP_1","003N8EMH8GTFRIVNUPY2891V1","GSON1112061281")</f>
        <v>#NAME?</v>
      </c>
      <c r="M1183" s="28" t="e">
        <f ca="1">[1]!BexGetData("DP_1","003N8EMH8GTFRIVOG7KG9IQXA","GSON1112061281")</f>
        <v>#NAME?</v>
      </c>
      <c r="N1183" s="28" t="e">
        <f ca="1">[1]!BexGetData("DP_1","003N8EMH8GTFRIVOG7KG9IX8U","GSON1112061281")</f>
        <v>#NAME?</v>
      </c>
      <c r="O1183" s="28" t="e">
        <f ca="1">[1]!BexGetData("DP_1","003N8EMH8GTFRIVOG7KG9J3KE","GSON1112061281")</f>
        <v>#NAME?</v>
      </c>
      <c r="P1183" s="28" t="e">
        <f ca="1">[1]!BexGetData("DP_1","003N8EMH8GTFRIVOG7KG9J9VY","GSON1112061281")</f>
        <v>#NAME?</v>
      </c>
      <c r="Q1183" s="24" t="e">
        <f ca="1">[1]!BexGetData("DP_1","00O2TNJGODT0G5Z4TTKYMM5MT","GSON1112061281")</f>
        <v>#NAME?</v>
      </c>
      <c r="R1183" s="24" t="e">
        <f ca="1">[1]!BexGetData("DP_1","00O2TNJGODT0G5Z4TTKYMMBYD","GSON1112061281")</f>
        <v>#NAME?</v>
      </c>
      <c r="S1183" s="24" t="e">
        <f ca="1">[1]!BexGetData("DP_1","00O2TNJGODT0G5Z4TTKYMMI9X","GSON1112061281")</f>
        <v>#NAME?</v>
      </c>
      <c r="T1183" s="24" t="e">
        <f ca="1">[1]!BexGetData("DP_1","00O2TNJGODT0G5Z4TTKYMMOLH","GSON1112061281")</f>
        <v>#NAME?</v>
      </c>
      <c r="U1183" s="24" t="e">
        <f ca="1">[1]!BexGetData("DP_1","00O2TNJGODT0G5Z4TTKYMMUX1","GSON1112061281")</f>
        <v>#NAME?</v>
      </c>
      <c r="V1183" s="24" t="e">
        <f ca="1">[1]!BexGetData("DP_1","00O2TNJGODT0G5Z4TTKYMN18L","GSON1112061281")</f>
        <v>#NAME?</v>
      </c>
      <c r="W1183" s="24" t="e">
        <f ca="1">[1]!BexGetData("DP_1","00O2TNJGODT0G5Z4TTKYMN7K5","GSON1112061281")</f>
        <v>#NAME?</v>
      </c>
    </row>
    <row r="1184" spans="1:23" x14ac:dyDescent="0.2">
      <c r="A1184" s="36" t="s">
        <v>3722</v>
      </c>
      <c r="B1184" s="27" t="s">
        <v>3723</v>
      </c>
      <c r="C1184" s="23" t="e">
        <f ca="1">[1]!BexGetData("DP_1","003N8EMH8GTFRCSWKMPXRR8GU","GSON1112061283")</f>
        <v>#NAME?</v>
      </c>
      <c r="D1184" s="23" t="e">
        <f ca="1">[1]!BexGetData("DP_1","003N8EMH8GTFRCSWKMPXRRESE","GSON1112061283")</f>
        <v>#NAME?</v>
      </c>
      <c r="E1184" s="28" t="e">
        <f ca="1">[1]!BexGetData("DP_1","003N8EMH8GTFRCSWKMPXRRL3Y","GSON1112061283")</f>
        <v>#NAME?</v>
      </c>
      <c r="F1184" s="24" t="e">
        <f ca="1">[1]!BexGetData("DP_1","003N8EMH8GTFRCSWKMPXRRRFI","GSON1112061283")</f>
        <v>#NAME?</v>
      </c>
      <c r="G1184" s="24" t="e">
        <f ca="1">[1]!BexGetData("DP_1","003N8EMH8GTFRCSWKMPXRRXR2","GSON1112061283")</f>
        <v>#NAME?</v>
      </c>
      <c r="H1184" s="24" t="e">
        <f ca="1">[1]!BexGetData("DP_1","003N8EMH8GTFRCSWKMPXRS42M","GSON1112061283")</f>
        <v>#NAME?</v>
      </c>
      <c r="I1184" s="24" t="e">
        <f ca="1">[1]!BexGetData("DP_1","003N8EMH8GTFRCSWKMPXRSAE6","GSON1112061283")</f>
        <v>#NAME?</v>
      </c>
      <c r="J1184" s="24" t="e">
        <f ca="1">[1]!BexGetData("DP_1","003N8EMH8GTFRCSWKMPXRSGPQ","GSON1112061283")</f>
        <v>#NAME?</v>
      </c>
      <c r="K1184" s="28" t="e">
        <f ca="1">[1]!BexGetData("DP_1","003N8EMH8GTFRIVNUPY288VJH","GSON1112061283")</f>
        <v>#NAME?</v>
      </c>
      <c r="L1184" s="28" t="e">
        <f ca="1">[1]!BexGetData("DP_1","003N8EMH8GTFRIVNUPY2891V1","GSON1112061283")</f>
        <v>#NAME?</v>
      </c>
      <c r="M1184" s="28" t="e">
        <f ca="1">[1]!BexGetData("DP_1","003N8EMH8GTFRIVOG7KG9IQXA","GSON1112061283")</f>
        <v>#NAME?</v>
      </c>
      <c r="N1184" s="28" t="e">
        <f ca="1">[1]!BexGetData("DP_1","003N8EMH8GTFRIVOG7KG9IX8U","GSON1112061283")</f>
        <v>#NAME?</v>
      </c>
      <c r="O1184" s="28" t="e">
        <f ca="1">[1]!BexGetData("DP_1","003N8EMH8GTFRIVOG7KG9J3KE","GSON1112061283")</f>
        <v>#NAME?</v>
      </c>
      <c r="P1184" s="28" t="e">
        <f ca="1">[1]!BexGetData("DP_1","003N8EMH8GTFRIVOG7KG9J9VY","GSON1112061283")</f>
        <v>#NAME?</v>
      </c>
      <c r="Q1184" s="24" t="e">
        <f ca="1">[1]!BexGetData("DP_1","00O2TNJGODT0G5Z4TTKYMM5MT","GSON1112061283")</f>
        <v>#NAME?</v>
      </c>
      <c r="R1184" s="24" t="e">
        <f ca="1">[1]!BexGetData("DP_1","00O2TNJGODT0G5Z4TTKYMMBYD","GSON1112061283")</f>
        <v>#NAME?</v>
      </c>
      <c r="S1184" s="24" t="e">
        <f ca="1">[1]!BexGetData("DP_1","00O2TNJGODT0G5Z4TTKYMMI9X","GSON1112061283")</f>
        <v>#NAME?</v>
      </c>
      <c r="T1184" s="24" t="e">
        <f ca="1">[1]!BexGetData("DP_1","00O2TNJGODT0G5Z4TTKYMMOLH","GSON1112061283")</f>
        <v>#NAME?</v>
      </c>
      <c r="U1184" s="24" t="e">
        <f ca="1">[1]!BexGetData("DP_1","00O2TNJGODT0G5Z4TTKYMMUX1","GSON1112061283")</f>
        <v>#NAME?</v>
      </c>
      <c r="V1184" s="24" t="e">
        <f ca="1">[1]!BexGetData("DP_1","00O2TNJGODT0G5Z4TTKYMN18L","GSON1112061283")</f>
        <v>#NAME?</v>
      </c>
      <c r="W1184" s="24" t="e">
        <f ca="1">[1]!BexGetData("DP_1","00O2TNJGODT0G5Z4TTKYMN7K5","GSON1112061283")</f>
        <v>#NAME?</v>
      </c>
    </row>
    <row r="1185" spans="1:23" x14ac:dyDescent="0.2">
      <c r="A1185" s="36" t="s">
        <v>3724</v>
      </c>
      <c r="B1185" s="27" t="s">
        <v>3725</v>
      </c>
      <c r="C1185" s="23" t="e">
        <f ca="1">[1]!BexGetData("DP_1","003N8EMH8GTFRCSWKMPXRR8GU","GSON1112061284")</f>
        <v>#NAME?</v>
      </c>
      <c r="D1185" s="23" t="e">
        <f ca="1">[1]!BexGetData("DP_1","003N8EMH8GTFRCSWKMPXRRESE","GSON1112061284")</f>
        <v>#NAME?</v>
      </c>
      <c r="E1185" s="28" t="e">
        <f ca="1">[1]!BexGetData("DP_1","003N8EMH8GTFRCSWKMPXRRL3Y","GSON1112061284")</f>
        <v>#NAME?</v>
      </c>
      <c r="F1185" s="24" t="e">
        <f ca="1">[1]!BexGetData("DP_1","003N8EMH8GTFRCSWKMPXRRRFI","GSON1112061284")</f>
        <v>#NAME?</v>
      </c>
      <c r="G1185" s="24" t="e">
        <f ca="1">[1]!BexGetData("DP_1","003N8EMH8GTFRCSWKMPXRRXR2","GSON1112061284")</f>
        <v>#NAME?</v>
      </c>
      <c r="H1185" s="24" t="e">
        <f ca="1">[1]!BexGetData("DP_1","003N8EMH8GTFRCSWKMPXRS42M","GSON1112061284")</f>
        <v>#NAME?</v>
      </c>
      <c r="I1185" s="24" t="e">
        <f ca="1">[1]!BexGetData("DP_1","003N8EMH8GTFRCSWKMPXRSAE6","GSON1112061284")</f>
        <v>#NAME?</v>
      </c>
      <c r="J1185" s="24" t="e">
        <f ca="1">[1]!BexGetData("DP_1","003N8EMH8GTFRCSWKMPXRSGPQ","GSON1112061284")</f>
        <v>#NAME?</v>
      </c>
      <c r="K1185" s="28" t="e">
        <f ca="1">[1]!BexGetData("DP_1","003N8EMH8GTFRIVNUPY288VJH","GSON1112061284")</f>
        <v>#NAME?</v>
      </c>
      <c r="L1185" s="28" t="e">
        <f ca="1">[1]!BexGetData("DP_1","003N8EMH8GTFRIVNUPY2891V1","GSON1112061284")</f>
        <v>#NAME?</v>
      </c>
      <c r="M1185" s="28" t="e">
        <f ca="1">[1]!BexGetData("DP_1","003N8EMH8GTFRIVOG7KG9IQXA","GSON1112061284")</f>
        <v>#NAME?</v>
      </c>
      <c r="N1185" s="28" t="e">
        <f ca="1">[1]!BexGetData("DP_1","003N8EMH8GTFRIVOG7KG9IX8U","GSON1112061284")</f>
        <v>#NAME?</v>
      </c>
      <c r="O1185" s="28" t="e">
        <f ca="1">[1]!BexGetData("DP_1","003N8EMH8GTFRIVOG7KG9J3KE","GSON1112061284")</f>
        <v>#NAME?</v>
      </c>
      <c r="P1185" s="28" t="e">
        <f ca="1">[1]!BexGetData("DP_1","003N8EMH8GTFRIVOG7KG9J9VY","GSON1112061284")</f>
        <v>#NAME?</v>
      </c>
      <c r="Q1185" s="24" t="e">
        <f ca="1">[1]!BexGetData("DP_1","00O2TNJGODT0G5Z4TTKYMM5MT","GSON1112061284")</f>
        <v>#NAME?</v>
      </c>
      <c r="R1185" s="24" t="e">
        <f ca="1">[1]!BexGetData("DP_1","00O2TNJGODT0G5Z4TTKYMMBYD","GSON1112061284")</f>
        <v>#NAME?</v>
      </c>
      <c r="S1185" s="24" t="e">
        <f ca="1">[1]!BexGetData("DP_1","00O2TNJGODT0G5Z4TTKYMMI9X","GSON1112061284")</f>
        <v>#NAME?</v>
      </c>
      <c r="T1185" s="24" t="e">
        <f ca="1">[1]!BexGetData("DP_1","00O2TNJGODT0G5Z4TTKYMMOLH","GSON1112061284")</f>
        <v>#NAME?</v>
      </c>
      <c r="U1185" s="24" t="e">
        <f ca="1">[1]!BexGetData("DP_1","00O2TNJGODT0G5Z4TTKYMMUX1","GSON1112061284")</f>
        <v>#NAME?</v>
      </c>
      <c r="V1185" s="24" t="e">
        <f ca="1">[1]!BexGetData("DP_1","00O2TNJGODT0G5Z4TTKYMN18L","GSON1112061284")</f>
        <v>#NAME?</v>
      </c>
      <c r="W1185" s="24" t="e">
        <f ca="1">[1]!BexGetData("DP_1","00O2TNJGODT0G5Z4TTKYMN7K5","GSON1112061284")</f>
        <v>#NAME?</v>
      </c>
    </row>
    <row r="1186" spans="1:23" x14ac:dyDescent="0.2">
      <c r="A1186" s="36" t="s">
        <v>3726</v>
      </c>
      <c r="B1186" s="27" t="s">
        <v>3727</v>
      </c>
      <c r="C1186" s="23" t="e">
        <f ca="1">[1]!BexGetData("DP_1","003N8EMH8GTFRCSWKMPXRR8GU","GSON1112061285")</f>
        <v>#NAME?</v>
      </c>
      <c r="D1186" s="23" t="e">
        <f ca="1">[1]!BexGetData("DP_1","003N8EMH8GTFRCSWKMPXRRESE","GSON1112061285")</f>
        <v>#NAME?</v>
      </c>
      <c r="E1186" s="28" t="e">
        <f ca="1">[1]!BexGetData("DP_1","003N8EMH8GTFRCSWKMPXRRL3Y","GSON1112061285")</f>
        <v>#NAME?</v>
      </c>
      <c r="F1186" s="24" t="e">
        <f ca="1">[1]!BexGetData("DP_1","003N8EMH8GTFRCSWKMPXRRRFI","GSON1112061285")</f>
        <v>#NAME?</v>
      </c>
      <c r="G1186" s="24" t="e">
        <f ca="1">[1]!BexGetData("DP_1","003N8EMH8GTFRCSWKMPXRRXR2","GSON1112061285")</f>
        <v>#NAME?</v>
      </c>
      <c r="H1186" s="24" t="e">
        <f ca="1">[1]!BexGetData("DP_1","003N8EMH8GTFRCSWKMPXRS42M","GSON1112061285")</f>
        <v>#NAME?</v>
      </c>
      <c r="I1186" s="24" t="e">
        <f ca="1">[1]!BexGetData("DP_1","003N8EMH8GTFRCSWKMPXRSAE6","GSON1112061285")</f>
        <v>#NAME?</v>
      </c>
      <c r="J1186" s="24" t="e">
        <f ca="1">[1]!BexGetData("DP_1","003N8EMH8GTFRCSWKMPXRSGPQ","GSON1112061285")</f>
        <v>#NAME?</v>
      </c>
      <c r="K1186" s="28" t="e">
        <f ca="1">[1]!BexGetData("DP_1","003N8EMH8GTFRIVNUPY288VJH","GSON1112061285")</f>
        <v>#NAME?</v>
      </c>
      <c r="L1186" s="28" t="e">
        <f ca="1">[1]!BexGetData("DP_1","003N8EMH8GTFRIVNUPY2891V1","GSON1112061285")</f>
        <v>#NAME?</v>
      </c>
      <c r="M1186" s="28" t="e">
        <f ca="1">[1]!BexGetData("DP_1","003N8EMH8GTFRIVOG7KG9IQXA","GSON1112061285")</f>
        <v>#NAME?</v>
      </c>
      <c r="N1186" s="28" t="e">
        <f ca="1">[1]!BexGetData("DP_1","003N8EMH8GTFRIVOG7KG9IX8U","GSON1112061285")</f>
        <v>#NAME?</v>
      </c>
      <c r="O1186" s="28" t="e">
        <f ca="1">[1]!BexGetData("DP_1","003N8EMH8GTFRIVOG7KG9J3KE","GSON1112061285")</f>
        <v>#NAME?</v>
      </c>
      <c r="P1186" s="28" t="e">
        <f ca="1">[1]!BexGetData("DP_1","003N8EMH8GTFRIVOG7KG9J9VY","GSON1112061285")</f>
        <v>#NAME?</v>
      </c>
      <c r="Q1186" s="24" t="e">
        <f ca="1">[1]!BexGetData("DP_1","00O2TNJGODT0G5Z4TTKYMM5MT","GSON1112061285")</f>
        <v>#NAME?</v>
      </c>
      <c r="R1186" s="24" t="e">
        <f ca="1">[1]!BexGetData("DP_1","00O2TNJGODT0G5Z4TTKYMMBYD","GSON1112061285")</f>
        <v>#NAME?</v>
      </c>
      <c r="S1186" s="24" t="e">
        <f ca="1">[1]!BexGetData("DP_1","00O2TNJGODT0G5Z4TTKYMMI9X","GSON1112061285")</f>
        <v>#NAME?</v>
      </c>
      <c r="T1186" s="24" t="e">
        <f ca="1">[1]!BexGetData("DP_1","00O2TNJGODT0G5Z4TTKYMMOLH","GSON1112061285")</f>
        <v>#NAME?</v>
      </c>
      <c r="U1186" s="24" t="e">
        <f ca="1">[1]!BexGetData("DP_1","00O2TNJGODT0G5Z4TTKYMMUX1","GSON1112061285")</f>
        <v>#NAME?</v>
      </c>
      <c r="V1186" s="24" t="e">
        <f ca="1">[1]!BexGetData("DP_1","00O2TNJGODT0G5Z4TTKYMN18L","GSON1112061285")</f>
        <v>#NAME?</v>
      </c>
      <c r="W1186" s="24" t="e">
        <f ca="1">[1]!BexGetData("DP_1","00O2TNJGODT0G5Z4TTKYMN7K5","GSON1112061285")</f>
        <v>#NAME?</v>
      </c>
    </row>
    <row r="1187" spans="1:23" x14ac:dyDescent="0.2">
      <c r="A1187" s="36" t="s">
        <v>3728</v>
      </c>
      <c r="B1187" s="27" t="s">
        <v>3729</v>
      </c>
      <c r="C1187" s="23" t="e">
        <f ca="1">[1]!BexGetData("DP_1","003N8EMH8GTFRCSWKMPXRR8GU","GSON1112061290")</f>
        <v>#NAME?</v>
      </c>
      <c r="D1187" s="23" t="e">
        <f ca="1">[1]!BexGetData("DP_1","003N8EMH8GTFRCSWKMPXRRESE","GSON1112061290")</f>
        <v>#NAME?</v>
      </c>
      <c r="E1187" s="28" t="e">
        <f ca="1">[1]!BexGetData("DP_1","003N8EMH8GTFRCSWKMPXRRL3Y","GSON1112061290")</f>
        <v>#NAME?</v>
      </c>
      <c r="F1187" s="24" t="e">
        <f ca="1">[1]!BexGetData("DP_1","003N8EMH8GTFRCSWKMPXRRRFI","GSON1112061290")</f>
        <v>#NAME?</v>
      </c>
      <c r="G1187" s="24" t="e">
        <f ca="1">[1]!BexGetData("DP_1","003N8EMH8GTFRCSWKMPXRRXR2","GSON1112061290")</f>
        <v>#NAME?</v>
      </c>
      <c r="H1187" s="24" t="e">
        <f ca="1">[1]!BexGetData("DP_1","003N8EMH8GTFRCSWKMPXRS42M","GSON1112061290")</f>
        <v>#NAME?</v>
      </c>
      <c r="I1187" s="24" t="e">
        <f ca="1">[1]!BexGetData("DP_1","003N8EMH8GTFRCSWKMPXRSAE6","GSON1112061290")</f>
        <v>#NAME?</v>
      </c>
      <c r="J1187" s="24" t="e">
        <f ca="1">[1]!BexGetData("DP_1","003N8EMH8GTFRCSWKMPXRSGPQ","GSON1112061290")</f>
        <v>#NAME?</v>
      </c>
      <c r="K1187" s="28" t="e">
        <f ca="1">[1]!BexGetData("DP_1","003N8EMH8GTFRIVNUPY288VJH","GSON1112061290")</f>
        <v>#NAME?</v>
      </c>
      <c r="L1187" s="28" t="e">
        <f ca="1">[1]!BexGetData("DP_1","003N8EMH8GTFRIVNUPY2891V1","GSON1112061290")</f>
        <v>#NAME?</v>
      </c>
      <c r="M1187" s="28" t="e">
        <f ca="1">[1]!BexGetData("DP_1","003N8EMH8GTFRIVOG7KG9IQXA","GSON1112061290")</f>
        <v>#NAME?</v>
      </c>
      <c r="N1187" s="28" t="e">
        <f ca="1">[1]!BexGetData("DP_1","003N8EMH8GTFRIVOG7KG9IX8U","GSON1112061290")</f>
        <v>#NAME?</v>
      </c>
      <c r="O1187" s="28" t="e">
        <f ca="1">[1]!BexGetData("DP_1","003N8EMH8GTFRIVOG7KG9J3KE","GSON1112061290")</f>
        <v>#NAME?</v>
      </c>
      <c r="P1187" s="28" t="e">
        <f ca="1">[1]!BexGetData("DP_1","003N8EMH8GTFRIVOG7KG9J9VY","GSON1112061290")</f>
        <v>#NAME?</v>
      </c>
      <c r="Q1187" s="24" t="e">
        <f ca="1">[1]!BexGetData("DP_1","00O2TNJGODT0G5Z4TTKYMM5MT","GSON1112061290")</f>
        <v>#NAME?</v>
      </c>
      <c r="R1187" s="24" t="e">
        <f ca="1">[1]!BexGetData("DP_1","00O2TNJGODT0G5Z4TTKYMMBYD","GSON1112061290")</f>
        <v>#NAME?</v>
      </c>
      <c r="S1187" s="24" t="e">
        <f ca="1">[1]!BexGetData("DP_1","00O2TNJGODT0G5Z4TTKYMMI9X","GSON1112061290")</f>
        <v>#NAME?</v>
      </c>
      <c r="T1187" s="24" t="e">
        <f ca="1">[1]!BexGetData("DP_1","00O2TNJGODT0G5Z4TTKYMMOLH","GSON1112061290")</f>
        <v>#NAME?</v>
      </c>
      <c r="U1187" s="24" t="e">
        <f ca="1">[1]!BexGetData("DP_1","00O2TNJGODT0G5Z4TTKYMMUX1","GSON1112061290")</f>
        <v>#NAME?</v>
      </c>
      <c r="V1187" s="24" t="e">
        <f ca="1">[1]!BexGetData("DP_1","00O2TNJGODT0G5Z4TTKYMN18L","GSON1112061290")</f>
        <v>#NAME?</v>
      </c>
      <c r="W1187" s="24" t="e">
        <f ca="1">[1]!BexGetData("DP_1","00O2TNJGODT0G5Z4TTKYMN7K5","GSON1112061290")</f>
        <v>#NAME?</v>
      </c>
    </row>
    <row r="1188" spans="1:23" x14ac:dyDescent="0.2">
      <c r="A1188" s="36" t="s">
        <v>3730</v>
      </c>
      <c r="B1188" s="27" t="s">
        <v>3731</v>
      </c>
      <c r="C1188" s="23" t="e">
        <f ca="1">[1]!BexGetData("DP_1","003N8EMH8GTFRCSWKMPXRR8GU","GSON1112061291")</f>
        <v>#NAME?</v>
      </c>
      <c r="D1188" s="23" t="e">
        <f ca="1">[1]!BexGetData("DP_1","003N8EMH8GTFRCSWKMPXRRESE","GSON1112061291")</f>
        <v>#NAME?</v>
      </c>
      <c r="E1188" s="28" t="e">
        <f ca="1">[1]!BexGetData("DP_1","003N8EMH8GTFRCSWKMPXRRL3Y","GSON1112061291")</f>
        <v>#NAME?</v>
      </c>
      <c r="F1188" s="24" t="e">
        <f ca="1">[1]!BexGetData("DP_1","003N8EMH8GTFRCSWKMPXRRRFI","GSON1112061291")</f>
        <v>#NAME?</v>
      </c>
      <c r="G1188" s="24" t="e">
        <f ca="1">[1]!BexGetData("DP_1","003N8EMH8GTFRCSWKMPXRRXR2","GSON1112061291")</f>
        <v>#NAME?</v>
      </c>
      <c r="H1188" s="24" t="e">
        <f ca="1">[1]!BexGetData("DP_1","003N8EMH8GTFRCSWKMPXRS42M","GSON1112061291")</f>
        <v>#NAME?</v>
      </c>
      <c r="I1188" s="24" t="e">
        <f ca="1">[1]!BexGetData("DP_1","003N8EMH8GTFRCSWKMPXRSAE6","GSON1112061291")</f>
        <v>#NAME?</v>
      </c>
      <c r="J1188" s="24" t="e">
        <f ca="1">[1]!BexGetData("DP_1","003N8EMH8GTFRCSWKMPXRSGPQ","GSON1112061291")</f>
        <v>#NAME?</v>
      </c>
      <c r="K1188" s="28" t="e">
        <f ca="1">[1]!BexGetData("DP_1","003N8EMH8GTFRIVNUPY288VJH","GSON1112061291")</f>
        <v>#NAME?</v>
      </c>
      <c r="L1188" s="28" t="e">
        <f ca="1">[1]!BexGetData("DP_1","003N8EMH8GTFRIVNUPY2891V1","GSON1112061291")</f>
        <v>#NAME?</v>
      </c>
      <c r="M1188" s="28" t="e">
        <f ca="1">[1]!BexGetData("DP_1","003N8EMH8GTFRIVOG7KG9IQXA","GSON1112061291")</f>
        <v>#NAME?</v>
      </c>
      <c r="N1188" s="28" t="e">
        <f ca="1">[1]!BexGetData("DP_1","003N8EMH8GTFRIVOG7KG9IX8U","GSON1112061291")</f>
        <v>#NAME?</v>
      </c>
      <c r="O1188" s="28" t="e">
        <f ca="1">[1]!BexGetData("DP_1","003N8EMH8GTFRIVOG7KG9J3KE","GSON1112061291")</f>
        <v>#NAME?</v>
      </c>
      <c r="P1188" s="28" t="e">
        <f ca="1">[1]!BexGetData("DP_1","003N8EMH8GTFRIVOG7KG9J9VY","GSON1112061291")</f>
        <v>#NAME?</v>
      </c>
      <c r="Q1188" s="24" t="e">
        <f ca="1">[1]!BexGetData("DP_1","00O2TNJGODT0G5Z4TTKYMM5MT","GSON1112061291")</f>
        <v>#NAME?</v>
      </c>
      <c r="R1188" s="24" t="e">
        <f ca="1">[1]!BexGetData("DP_1","00O2TNJGODT0G5Z4TTKYMMBYD","GSON1112061291")</f>
        <v>#NAME?</v>
      </c>
      <c r="S1188" s="24" t="e">
        <f ca="1">[1]!BexGetData("DP_1","00O2TNJGODT0G5Z4TTKYMMI9X","GSON1112061291")</f>
        <v>#NAME?</v>
      </c>
      <c r="T1188" s="24" t="e">
        <f ca="1">[1]!BexGetData("DP_1","00O2TNJGODT0G5Z4TTKYMMOLH","GSON1112061291")</f>
        <v>#NAME?</v>
      </c>
      <c r="U1188" s="24" t="e">
        <f ca="1">[1]!BexGetData("DP_1","00O2TNJGODT0G5Z4TTKYMMUX1","GSON1112061291")</f>
        <v>#NAME?</v>
      </c>
      <c r="V1188" s="24" t="e">
        <f ca="1">[1]!BexGetData("DP_1","00O2TNJGODT0G5Z4TTKYMN18L","GSON1112061291")</f>
        <v>#NAME?</v>
      </c>
      <c r="W1188" s="24" t="e">
        <f ca="1">[1]!BexGetData("DP_1","00O2TNJGODT0G5Z4TTKYMN7K5","GSON1112061291")</f>
        <v>#NAME?</v>
      </c>
    </row>
    <row r="1189" spans="1:23" x14ac:dyDescent="0.2">
      <c r="A1189" s="36" t="s">
        <v>3732</v>
      </c>
      <c r="B1189" s="27" t="s">
        <v>3733</v>
      </c>
      <c r="C1189" s="23" t="e">
        <f ca="1">[1]!BexGetData("DP_1","003N8EMH8GTFRCSWKMPXRR8GU","GSON1112061294")</f>
        <v>#NAME?</v>
      </c>
      <c r="D1189" s="23" t="e">
        <f ca="1">[1]!BexGetData("DP_1","003N8EMH8GTFRCSWKMPXRRESE","GSON1112061294")</f>
        <v>#NAME?</v>
      </c>
      <c r="E1189" s="28" t="e">
        <f ca="1">[1]!BexGetData("DP_1","003N8EMH8GTFRCSWKMPXRRL3Y","GSON1112061294")</f>
        <v>#NAME?</v>
      </c>
      <c r="F1189" s="24" t="e">
        <f ca="1">[1]!BexGetData("DP_1","003N8EMH8GTFRCSWKMPXRRRFI","GSON1112061294")</f>
        <v>#NAME?</v>
      </c>
      <c r="G1189" s="24" t="e">
        <f ca="1">[1]!BexGetData("DP_1","003N8EMH8GTFRCSWKMPXRRXR2","GSON1112061294")</f>
        <v>#NAME?</v>
      </c>
      <c r="H1189" s="24" t="e">
        <f ca="1">[1]!BexGetData("DP_1","003N8EMH8GTFRCSWKMPXRS42M","GSON1112061294")</f>
        <v>#NAME?</v>
      </c>
      <c r="I1189" s="24" t="e">
        <f ca="1">[1]!BexGetData("DP_1","003N8EMH8GTFRCSWKMPXRSAE6","GSON1112061294")</f>
        <v>#NAME?</v>
      </c>
      <c r="J1189" s="24" t="e">
        <f ca="1">[1]!BexGetData("DP_1","003N8EMH8GTFRCSWKMPXRSGPQ","GSON1112061294")</f>
        <v>#NAME?</v>
      </c>
      <c r="K1189" s="28" t="e">
        <f ca="1">[1]!BexGetData("DP_1","003N8EMH8GTFRIVNUPY288VJH","GSON1112061294")</f>
        <v>#NAME?</v>
      </c>
      <c r="L1189" s="28" t="e">
        <f ca="1">[1]!BexGetData("DP_1","003N8EMH8GTFRIVNUPY2891V1","GSON1112061294")</f>
        <v>#NAME?</v>
      </c>
      <c r="M1189" s="28" t="e">
        <f ca="1">[1]!BexGetData("DP_1","003N8EMH8GTFRIVOG7KG9IQXA","GSON1112061294")</f>
        <v>#NAME?</v>
      </c>
      <c r="N1189" s="28" t="e">
        <f ca="1">[1]!BexGetData("DP_1","003N8EMH8GTFRIVOG7KG9IX8U","GSON1112061294")</f>
        <v>#NAME?</v>
      </c>
      <c r="O1189" s="28" t="e">
        <f ca="1">[1]!BexGetData("DP_1","003N8EMH8GTFRIVOG7KG9J3KE","GSON1112061294")</f>
        <v>#NAME?</v>
      </c>
      <c r="P1189" s="28" t="e">
        <f ca="1">[1]!BexGetData("DP_1","003N8EMH8GTFRIVOG7KG9J9VY","GSON1112061294")</f>
        <v>#NAME?</v>
      </c>
      <c r="Q1189" s="24" t="e">
        <f ca="1">[1]!BexGetData("DP_1","00O2TNJGODT0G5Z4TTKYMM5MT","GSON1112061294")</f>
        <v>#NAME?</v>
      </c>
      <c r="R1189" s="24" t="e">
        <f ca="1">[1]!BexGetData("DP_1","00O2TNJGODT0G5Z4TTKYMMBYD","GSON1112061294")</f>
        <v>#NAME?</v>
      </c>
      <c r="S1189" s="24" t="e">
        <f ca="1">[1]!BexGetData("DP_1","00O2TNJGODT0G5Z4TTKYMMI9X","GSON1112061294")</f>
        <v>#NAME?</v>
      </c>
      <c r="T1189" s="24" t="e">
        <f ca="1">[1]!BexGetData("DP_1","00O2TNJGODT0G5Z4TTKYMMOLH","GSON1112061294")</f>
        <v>#NAME?</v>
      </c>
      <c r="U1189" s="24" t="e">
        <f ca="1">[1]!BexGetData("DP_1","00O2TNJGODT0G5Z4TTKYMMUX1","GSON1112061294")</f>
        <v>#NAME?</v>
      </c>
      <c r="V1189" s="24" t="e">
        <f ca="1">[1]!BexGetData("DP_1","00O2TNJGODT0G5Z4TTKYMN18L","GSON1112061294")</f>
        <v>#NAME?</v>
      </c>
      <c r="W1189" s="24" t="e">
        <f ca="1">[1]!BexGetData("DP_1","00O2TNJGODT0G5Z4TTKYMN7K5","GSON1112061294")</f>
        <v>#NAME?</v>
      </c>
    </row>
    <row r="1190" spans="1:23" x14ac:dyDescent="0.2">
      <c r="A1190" s="36" t="s">
        <v>3734</v>
      </c>
      <c r="B1190" s="27" t="s">
        <v>3735</v>
      </c>
      <c r="C1190" s="23" t="e">
        <f ca="1">[1]!BexGetData("DP_1","003N8EMH8GTFRCSWKMPXRR8GU","GSON1112061300")</f>
        <v>#NAME?</v>
      </c>
      <c r="D1190" s="23" t="e">
        <f ca="1">[1]!BexGetData("DP_1","003N8EMH8GTFRCSWKMPXRRESE","GSON1112061300")</f>
        <v>#NAME?</v>
      </c>
      <c r="E1190" s="23" t="e">
        <f ca="1">[1]!BexGetData("DP_1","003N8EMH8GTFRCSWKMPXRRL3Y","GSON1112061300")</f>
        <v>#NAME?</v>
      </c>
      <c r="F1190" s="24" t="e">
        <f ca="1">[1]!BexGetData("DP_1","003N8EMH8GTFRCSWKMPXRRRFI","GSON1112061300")</f>
        <v>#NAME?</v>
      </c>
      <c r="G1190" s="24" t="e">
        <f ca="1">[1]!BexGetData("DP_1","003N8EMH8GTFRCSWKMPXRRXR2","GSON1112061300")</f>
        <v>#NAME?</v>
      </c>
      <c r="H1190" s="24" t="e">
        <f ca="1">[1]!BexGetData("DP_1","003N8EMH8GTFRCSWKMPXRS42M","GSON1112061300")</f>
        <v>#NAME?</v>
      </c>
      <c r="I1190" s="24" t="e">
        <f ca="1">[1]!BexGetData("DP_1","003N8EMH8GTFRCSWKMPXRSAE6","GSON1112061300")</f>
        <v>#NAME?</v>
      </c>
      <c r="J1190" s="24" t="e">
        <f ca="1">[1]!BexGetData("DP_1","003N8EMH8GTFRCSWKMPXRSGPQ","GSON1112061300")</f>
        <v>#NAME?</v>
      </c>
      <c r="K1190" s="23" t="e">
        <f ca="1">[1]!BexGetData("DP_1","003N8EMH8GTFRIVNUPY288VJH","GSON1112061300")</f>
        <v>#NAME?</v>
      </c>
      <c r="L1190" s="23" t="e">
        <f ca="1">[1]!BexGetData("DP_1","003N8EMH8GTFRIVNUPY2891V1","GSON1112061300")</f>
        <v>#NAME?</v>
      </c>
      <c r="M1190" s="28" t="e">
        <f ca="1">[1]!BexGetData("DP_1","003N8EMH8GTFRIVOG7KG9IQXA","GSON1112061300")</f>
        <v>#NAME?</v>
      </c>
      <c r="N1190" s="23" t="e">
        <f ca="1">[1]!BexGetData("DP_1","003N8EMH8GTFRIVOG7KG9IX8U","GSON1112061300")</f>
        <v>#NAME?</v>
      </c>
      <c r="O1190" s="28" t="e">
        <f ca="1">[1]!BexGetData("DP_1","003N8EMH8GTFRIVOG7KG9J3KE","GSON1112061300")</f>
        <v>#NAME?</v>
      </c>
      <c r="P1190" s="23" t="e">
        <f ca="1">[1]!BexGetData("DP_1","003N8EMH8GTFRIVOG7KG9J9VY","GSON1112061300")</f>
        <v>#NAME?</v>
      </c>
      <c r="Q1190" s="24" t="e">
        <f ca="1">[1]!BexGetData("DP_1","00O2TNJGODT0G5Z4TTKYMM5MT","GSON1112061300")</f>
        <v>#NAME?</v>
      </c>
      <c r="R1190" s="24" t="e">
        <f ca="1">[1]!BexGetData("DP_1","00O2TNJGODT0G5Z4TTKYMMBYD","GSON1112061300")</f>
        <v>#NAME?</v>
      </c>
      <c r="S1190" s="24" t="e">
        <f ca="1">[1]!BexGetData("DP_1","00O2TNJGODT0G5Z4TTKYMMI9X","GSON1112061300")</f>
        <v>#NAME?</v>
      </c>
      <c r="T1190" s="24" t="e">
        <f ca="1">[1]!BexGetData("DP_1","00O2TNJGODT0G5Z4TTKYMMOLH","GSON1112061300")</f>
        <v>#NAME?</v>
      </c>
      <c r="U1190" s="24" t="e">
        <f ca="1">[1]!BexGetData("DP_1","00O2TNJGODT0G5Z4TTKYMMUX1","GSON1112061300")</f>
        <v>#NAME?</v>
      </c>
      <c r="V1190" s="24" t="e">
        <f ca="1">[1]!BexGetData("DP_1","00O2TNJGODT0G5Z4TTKYMN18L","GSON1112061300")</f>
        <v>#NAME?</v>
      </c>
      <c r="W1190" s="24" t="e">
        <f ca="1">[1]!BexGetData("DP_1","00O2TNJGODT0G5Z4TTKYMN7K5","GSON1112061300")</f>
        <v>#NAME?</v>
      </c>
    </row>
    <row r="1191" spans="1:23" x14ac:dyDescent="0.2">
      <c r="A1191" s="36" t="s">
        <v>3736</v>
      </c>
      <c r="B1191" s="27" t="s">
        <v>3737</v>
      </c>
      <c r="C1191" s="23" t="e">
        <f ca="1">[1]!BexGetData("DP_1","003N8EMH8GTFRCSWKMPXRR8GU","GSON1112061301")</f>
        <v>#NAME?</v>
      </c>
      <c r="D1191" s="23" t="e">
        <f ca="1">[1]!BexGetData("DP_1","003N8EMH8GTFRCSWKMPXRRESE","GSON1112061301")</f>
        <v>#NAME?</v>
      </c>
      <c r="E1191" s="28" t="e">
        <f ca="1">[1]!BexGetData("DP_1","003N8EMH8GTFRCSWKMPXRRL3Y","GSON1112061301")</f>
        <v>#NAME?</v>
      </c>
      <c r="F1191" s="24" t="e">
        <f ca="1">[1]!BexGetData("DP_1","003N8EMH8GTFRCSWKMPXRRRFI","GSON1112061301")</f>
        <v>#NAME?</v>
      </c>
      <c r="G1191" s="24" t="e">
        <f ca="1">[1]!BexGetData("DP_1","003N8EMH8GTFRCSWKMPXRRXR2","GSON1112061301")</f>
        <v>#NAME?</v>
      </c>
      <c r="H1191" s="24" t="e">
        <f ca="1">[1]!BexGetData("DP_1","003N8EMH8GTFRCSWKMPXRS42M","GSON1112061301")</f>
        <v>#NAME?</v>
      </c>
      <c r="I1191" s="24" t="e">
        <f ca="1">[1]!BexGetData("DP_1","003N8EMH8GTFRCSWKMPXRSAE6","GSON1112061301")</f>
        <v>#NAME?</v>
      </c>
      <c r="J1191" s="24" t="e">
        <f ca="1">[1]!BexGetData("DP_1","003N8EMH8GTFRCSWKMPXRSGPQ","GSON1112061301")</f>
        <v>#NAME?</v>
      </c>
      <c r="K1191" s="28" t="e">
        <f ca="1">[1]!BexGetData("DP_1","003N8EMH8GTFRIVNUPY288VJH","GSON1112061301")</f>
        <v>#NAME?</v>
      </c>
      <c r="L1191" s="28" t="e">
        <f ca="1">[1]!BexGetData("DP_1","003N8EMH8GTFRIVNUPY2891V1","GSON1112061301")</f>
        <v>#NAME?</v>
      </c>
      <c r="M1191" s="28" t="e">
        <f ca="1">[1]!BexGetData("DP_1","003N8EMH8GTFRIVOG7KG9IQXA","GSON1112061301")</f>
        <v>#NAME?</v>
      </c>
      <c r="N1191" s="28" t="e">
        <f ca="1">[1]!BexGetData("DP_1","003N8EMH8GTFRIVOG7KG9IX8U","GSON1112061301")</f>
        <v>#NAME?</v>
      </c>
      <c r="O1191" s="28" t="e">
        <f ca="1">[1]!BexGetData("DP_1","003N8EMH8GTFRIVOG7KG9J3KE","GSON1112061301")</f>
        <v>#NAME?</v>
      </c>
      <c r="P1191" s="28" t="e">
        <f ca="1">[1]!BexGetData("DP_1","003N8EMH8GTFRIVOG7KG9J9VY","GSON1112061301")</f>
        <v>#NAME?</v>
      </c>
      <c r="Q1191" s="24" t="e">
        <f ca="1">[1]!BexGetData("DP_1","00O2TNJGODT0G5Z4TTKYMM5MT","GSON1112061301")</f>
        <v>#NAME?</v>
      </c>
      <c r="R1191" s="24" t="e">
        <f ca="1">[1]!BexGetData("DP_1","00O2TNJGODT0G5Z4TTKYMMBYD","GSON1112061301")</f>
        <v>#NAME?</v>
      </c>
      <c r="S1191" s="24" t="e">
        <f ca="1">[1]!BexGetData("DP_1","00O2TNJGODT0G5Z4TTKYMMI9X","GSON1112061301")</f>
        <v>#NAME?</v>
      </c>
      <c r="T1191" s="24" t="e">
        <f ca="1">[1]!BexGetData("DP_1","00O2TNJGODT0G5Z4TTKYMMOLH","GSON1112061301")</f>
        <v>#NAME?</v>
      </c>
      <c r="U1191" s="24" t="e">
        <f ca="1">[1]!BexGetData("DP_1","00O2TNJGODT0G5Z4TTKYMMUX1","GSON1112061301")</f>
        <v>#NAME?</v>
      </c>
      <c r="V1191" s="24" t="e">
        <f ca="1">[1]!BexGetData("DP_1","00O2TNJGODT0G5Z4TTKYMN18L","GSON1112061301")</f>
        <v>#NAME?</v>
      </c>
      <c r="W1191" s="24" t="e">
        <f ca="1">[1]!BexGetData("DP_1","00O2TNJGODT0G5Z4TTKYMN7K5","GSON1112061301")</f>
        <v>#NAME?</v>
      </c>
    </row>
    <row r="1192" spans="1:23" x14ac:dyDescent="0.2">
      <c r="A1192" s="36" t="s">
        <v>3738</v>
      </c>
      <c r="B1192" s="27" t="s">
        <v>3739</v>
      </c>
      <c r="C1192" s="23" t="e">
        <f ca="1">[1]!BexGetData("DP_1","003N8EMH8GTFRCSWKMPXRR8GU","GSON1112061303")</f>
        <v>#NAME?</v>
      </c>
      <c r="D1192" s="23" t="e">
        <f ca="1">[1]!BexGetData("DP_1","003N8EMH8GTFRCSWKMPXRRESE","GSON1112061303")</f>
        <v>#NAME?</v>
      </c>
      <c r="E1192" s="28" t="e">
        <f ca="1">[1]!BexGetData("DP_1","003N8EMH8GTFRCSWKMPXRRL3Y","GSON1112061303")</f>
        <v>#NAME?</v>
      </c>
      <c r="F1192" s="24" t="e">
        <f ca="1">[1]!BexGetData("DP_1","003N8EMH8GTFRCSWKMPXRRRFI","GSON1112061303")</f>
        <v>#NAME?</v>
      </c>
      <c r="G1192" s="24" t="e">
        <f ca="1">[1]!BexGetData("DP_1","003N8EMH8GTFRCSWKMPXRRXR2","GSON1112061303")</f>
        <v>#NAME?</v>
      </c>
      <c r="H1192" s="24" t="e">
        <f ca="1">[1]!BexGetData("DP_1","003N8EMH8GTFRCSWKMPXRS42M","GSON1112061303")</f>
        <v>#NAME?</v>
      </c>
      <c r="I1192" s="24" t="e">
        <f ca="1">[1]!BexGetData("DP_1","003N8EMH8GTFRCSWKMPXRSAE6","GSON1112061303")</f>
        <v>#NAME?</v>
      </c>
      <c r="J1192" s="24" t="e">
        <f ca="1">[1]!BexGetData("DP_1","003N8EMH8GTFRCSWKMPXRSGPQ","GSON1112061303")</f>
        <v>#NAME?</v>
      </c>
      <c r="K1192" s="28" t="e">
        <f ca="1">[1]!BexGetData("DP_1","003N8EMH8GTFRIVNUPY288VJH","GSON1112061303")</f>
        <v>#NAME?</v>
      </c>
      <c r="L1192" s="28" t="e">
        <f ca="1">[1]!BexGetData("DP_1","003N8EMH8GTFRIVNUPY2891V1","GSON1112061303")</f>
        <v>#NAME?</v>
      </c>
      <c r="M1192" s="28" t="e">
        <f ca="1">[1]!BexGetData("DP_1","003N8EMH8GTFRIVOG7KG9IQXA","GSON1112061303")</f>
        <v>#NAME?</v>
      </c>
      <c r="N1192" s="28" t="e">
        <f ca="1">[1]!BexGetData("DP_1","003N8EMH8GTFRIVOG7KG9IX8U","GSON1112061303")</f>
        <v>#NAME?</v>
      </c>
      <c r="O1192" s="28" t="e">
        <f ca="1">[1]!BexGetData("DP_1","003N8EMH8GTFRIVOG7KG9J3KE","GSON1112061303")</f>
        <v>#NAME?</v>
      </c>
      <c r="P1192" s="28" t="e">
        <f ca="1">[1]!BexGetData("DP_1","003N8EMH8GTFRIVOG7KG9J9VY","GSON1112061303")</f>
        <v>#NAME?</v>
      </c>
      <c r="Q1192" s="24" t="e">
        <f ca="1">[1]!BexGetData("DP_1","00O2TNJGODT0G5Z4TTKYMM5MT","GSON1112061303")</f>
        <v>#NAME?</v>
      </c>
      <c r="R1192" s="24" t="e">
        <f ca="1">[1]!BexGetData("DP_1","00O2TNJGODT0G5Z4TTKYMMBYD","GSON1112061303")</f>
        <v>#NAME?</v>
      </c>
      <c r="S1192" s="24" t="e">
        <f ca="1">[1]!BexGetData("DP_1","00O2TNJGODT0G5Z4TTKYMMI9X","GSON1112061303")</f>
        <v>#NAME?</v>
      </c>
      <c r="T1192" s="24" t="e">
        <f ca="1">[1]!BexGetData("DP_1","00O2TNJGODT0G5Z4TTKYMMOLH","GSON1112061303")</f>
        <v>#NAME?</v>
      </c>
      <c r="U1192" s="24" t="e">
        <f ca="1">[1]!BexGetData("DP_1","00O2TNJGODT0G5Z4TTKYMMUX1","GSON1112061303")</f>
        <v>#NAME?</v>
      </c>
      <c r="V1192" s="24" t="e">
        <f ca="1">[1]!BexGetData("DP_1","00O2TNJGODT0G5Z4TTKYMN18L","GSON1112061303")</f>
        <v>#NAME?</v>
      </c>
      <c r="W1192" s="24" t="e">
        <f ca="1">[1]!BexGetData("DP_1","00O2TNJGODT0G5Z4TTKYMN7K5","GSON1112061303")</f>
        <v>#NAME?</v>
      </c>
    </row>
    <row r="1193" spans="1:23" x14ac:dyDescent="0.2">
      <c r="A1193" s="36" t="s">
        <v>3740</v>
      </c>
      <c r="B1193" s="27" t="s">
        <v>3741</v>
      </c>
      <c r="C1193" s="23" t="e">
        <f ca="1">[1]!BexGetData("DP_1","003N8EMH8GTFRCSWKMPXRR8GU","GSON1112061305")</f>
        <v>#NAME?</v>
      </c>
      <c r="D1193" s="23" t="e">
        <f ca="1">[1]!BexGetData("DP_1","003N8EMH8GTFRCSWKMPXRRESE","GSON1112061305")</f>
        <v>#NAME?</v>
      </c>
      <c r="E1193" s="28" t="e">
        <f ca="1">[1]!BexGetData("DP_1","003N8EMH8GTFRCSWKMPXRRL3Y","GSON1112061305")</f>
        <v>#NAME?</v>
      </c>
      <c r="F1193" s="24" t="e">
        <f ca="1">[1]!BexGetData("DP_1","003N8EMH8GTFRCSWKMPXRRRFI","GSON1112061305")</f>
        <v>#NAME?</v>
      </c>
      <c r="G1193" s="24" t="e">
        <f ca="1">[1]!BexGetData("DP_1","003N8EMH8GTFRCSWKMPXRRXR2","GSON1112061305")</f>
        <v>#NAME?</v>
      </c>
      <c r="H1193" s="24" t="e">
        <f ca="1">[1]!BexGetData("DP_1","003N8EMH8GTFRCSWKMPXRS42M","GSON1112061305")</f>
        <v>#NAME?</v>
      </c>
      <c r="I1193" s="24" t="e">
        <f ca="1">[1]!BexGetData("DP_1","003N8EMH8GTFRCSWKMPXRSAE6","GSON1112061305")</f>
        <v>#NAME?</v>
      </c>
      <c r="J1193" s="24" t="e">
        <f ca="1">[1]!BexGetData("DP_1","003N8EMH8GTFRCSWKMPXRSGPQ","GSON1112061305")</f>
        <v>#NAME?</v>
      </c>
      <c r="K1193" s="28" t="e">
        <f ca="1">[1]!BexGetData("DP_1","003N8EMH8GTFRIVNUPY288VJH","GSON1112061305")</f>
        <v>#NAME?</v>
      </c>
      <c r="L1193" s="28" t="e">
        <f ca="1">[1]!BexGetData("DP_1","003N8EMH8GTFRIVNUPY2891V1","GSON1112061305")</f>
        <v>#NAME?</v>
      </c>
      <c r="M1193" s="28" t="e">
        <f ca="1">[1]!BexGetData("DP_1","003N8EMH8GTFRIVOG7KG9IQXA","GSON1112061305")</f>
        <v>#NAME?</v>
      </c>
      <c r="N1193" s="28" t="e">
        <f ca="1">[1]!BexGetData("DP_1","003N8EMH8GTFRIVOG7KG9IX8U","GSON1112061305")</f>
        <v>#NAME?</v>
      </c>
      <c r="O1193" s="28" t="e">
        <f ca="1">[1]!BexGetData("DP_1","003N8EMH8GTFRIVOG7KG9J3KE","GSON1112061305")</f>
        <v>#NAME?</v>
      </c>
      <c r="P1193" s="28" t="e">
        <f ca="1">[1]!BexGetData("DP_1","003N8EMH8GTFRIVOG7KG9J9VY","GSON1112061305")</f>
        <v>#NAME?</v>
      </c>
      <c r="Q1193" s="24" t="e">
        <f ca="1">[1]!BexGetData("DP_1","00O2TNJGODT0G5Z4TTKYMM5MT","GSON1112061305")</f>
        <v>#NAME?</v>
      </c>
      <c r="R1193" s="24" t="e">
        <f ca="1">[1]!BexGetData("DP_1","00O2TNJGODT0G5Z4TTKYMMBYD","GSON1112061305")</f>
        <v>#NAME?</v>
      </c>
      <c r="S1193" s="24" t="e">
        <f ca="1">[1]!BexGetData("DP_1","00O2TNJGODT0G5Z4TTKYMMI9X","GSON1112061305")</f>
        <v>#NAME?</v>
      </c>
      <c r="T1193" s="24" t="e">
        <f ca="1">[1]!BexGetData("DP_1","00O2TNJGODT0G5Z4TTKYMMOLH","GSON1112061305")</f>
        <v>#NAME?</v>
      </c>
      <c r="U1193" s="24" t="e">
        <f ca="1">[1]!BexGetData("DP_1","00O2TNJGODT0G5Z4TTKYMMUX1","GSON1112061305")</f>
        <v>#NAME?</v>
      </c>
      <c r="V1193" s="24" t="e">
        <f ca="1">[1]!BexGetData("DP_1","00O2TNJGODT0G5Z4TTKYMN18L","GSON1112061305")</f>
        <v>#NAME?</v>
      </c>
      <c r="W1193" s="24" t="e">
        <f ca="1">[1]!BexGetData("DP_1","00O2TNJGODT0G5Z4TTKYMN7K5","GSON1112061305")</f>
        <v>#NAME?</v>
      </c>
    </row>
    <row r="1194" spans="1:23" x14ac:dyDescent="0.2">
      <c r="A1194" s="36" t="s">
        <v>3742</v>
      </c>
      <c r="B1194" s="27" t="s">
        <v>3743</v>
      </c>
      <c r="C1194" s="23" t="e">
        <f ca="1">[1]!BexGetData("DP_1","003N8EMH8GTFRCSWKMPXRR8GU","GSON1112061310")</f>
        <v>#NAME?</v>
      </c>
      <c r="D1194" s="23" t="e">
        <f ca="1">[1]!BexGetData("DP_1","003N8EMH8GTFRCSWKMPXRRESE","GSON1112061310")</f>
        <v>#NAME?</v>
      </c>
      <c r="E1194" s="23" t="e">
        <f ca="1">[1]!BexGetData("DP_1","003N8EMH8GTFRCSWKMPXRRL3Y","GSON1112061310")</f>
        <v>#NAME?</v>
      </c>
      <c r="F1194" s="24" t="e">
        <f ca="1">[1]!BexGetData("DP_1","003N8EMH8GTFRCSWKMPXRRRFI","GSON1112061310")</f>
        <v>#NAME?</v>
      </c>
      <c r="G1194" s="24" t="e">
        <f ca="1">[1]!BexGetData("DP_1","003N8EMH8GTFRCSWKMPXRRXR2","GSON1112061310")</f>
        <v>#NAME?</v>
      </c>
      <c r="H1194" s="24" t="e">
        <f ca="1">[1]!BexGetData("DP_1","003N8EMH8GTFRCSWKMPXRS42M","GSON1112061310")</f>
        <v>#NAME?</v>
      </c>
      <c r="I1194" s="24" t="e">
        <f ca="1">[1]!BexGetData("DP_1","003N8EMH8GTFRCSWKMPXRSAE6","GSON1112061310")</f>
        <v>#NAME?</v>
      </c>
      <c r="J1194" s="24" t="e">
        <f ca="1">[1]!BexGetData("DP_1","003N8EMH8GTFRCSWKMPXRSGPQ","GSON1112061310")</f>
        <v>#NAME?</v>
      </c>
      <c r="K1194" s="23" t="e">
        <f ca="1">[1]!BexGetData("DP_1","003N8EMH8GTFRIVNUPY288VJH","GSON1112061310")</f>
        <v>#NAME?</v>
      </c>
      <c r="L1194" s="23" t="e">
        <f ca="1">[1]!BexGetData("DP_1","003N8EMH8GTFRIVNUPY2891V1","GSON1112061310")</f>
        <v>#NAME?</v>
      </c>
      <c r="M1194" s="28" t="e">
        <f ca="1">[1]!BexGetData("DP_1","003N8EMH8GTFRIVOG7KG9IQXA","GSON1112061310")</f>
        <v>#NAME?</v>
      </c>
      <c r="N1194" s="23" t="e">
        <f ca="1">[1]!BexGetData("DP_1","003N8EMH8GTFRIVOG7KG9IX8U","GSON1112061310")</f>
        <v>#NAME?</v>
      </c>
      <c r="O1194" s="28" t="e">
        <f ca="1">[1]!BexGetData("DP_1","003N8EMH8GTFRIVOG7KG9J3KE","GSON1112061310")</f>
        <v>#NAME?</v>
      </c>
      <c r="P1194" s="23" t="e">
        <f ca="1">[1]!BexGetData("DP_1","003N8EMH8GTFRIVOG7KG9J9VY","GSON1112061310")</f>
        <v>#NAME?</v>
      </c>
      <c r="Q1194" s="24" t="e">
        <f ca="1">[1]!BexGetData("DP_1","00O2TNJGODT0G5Z4TTKYMM5MT","GSON1112061310")</f>
        <v>#NAME?</v>
      </c>
      <c r="R1194" s="24" t="e">
        <f ca="1">[1]!BexGetData("DP_1","00O2TNJGODT0G5Z4TTKYMMBYD","GSON1112061310")</f>
        <v>#NAME?</v>
      </c>
      <c r="S1194" s="24" t="e">
        <f ca="1">[1]!BexGetData("DP_1","00O2TNJGODT0G5Z4TTKYMMI9X","GSON1112061310")</f>
        <v>#NAME?</v>
      </c>
      <c r="T1194" s="24" t="e">
        <f ca="1">[1]!BexGetData("DP_1","00O2TNJGODT0G5Z4TTKYMMOLH","GSON1112061310")</f>
        <v>#NAME?</v>
      </c>
      <c r="U1194" s="24" t="e">
        <f ca="1">[1]!BexGetData("DP_1","00O2TNJGODT0G5Z4TTKYMMUX1","GSON1112061310")</f>
        <v>#NAME?</v>
      </c>
      <c r="V1194" s="24" t="e">
        <f ca="1">[1]!BexGetData("DP_1","00O2TNJGODT0G5Z4TTKYMN18L","GSON1112061310")</f>
        <v>#NAME?</v>
      </c>
      <c r="W1194" s="24" t="e">
        <f ca="1">[1]!BexGetData("DP_1","00O2TNJGODT0G5Z4TTKYMN7K5","GSON1112061310")</f>
        <v>#NAME?</v>
      </c>
    </row>
    <row r="1195" spans="1:23" x14ac:dyDescent="0.2">
      <c r="A1195" s="36" t="s">
        <v>3744</v>
      </c>
      <c r="B1195" s="27" t="s">
        <v>3745</v>
      </c>
      <c r="C1195" s="23" t="e">
        <f ca="1">[1]!BexGetData("DP_1","003N8EMH8GTFRCSWKMPXRR8GU","GSON1112061311")</f>
        <v>#NAME?</v>
      </c>
      <c r="D1195" s="23" t="e">
        <f ca="1">[1]!BexGetData("DP_1","003N8EMH8GTFRCSWKMPXRRESE","GSON1112061311")</f>
        <v>#NAME?</v>
      </c>
      <c r="E1195" s="28" t="e">
        <f ca="1">[1]!BexGetData("DP_1","003N8EMH8GTFRCSWKMPXRRL3Y","GSON1112061311")</f>
        <v>#NAME?</v>
      </c>
      <c r="F1195" s="24" t="e">
        <f ca="1">[1]!BexGetData("DP_1","003N8EMH8GTFRCSWKMPXRRRFI","GSON1112061311")</f>
        <v>#NAME?</v>
      </c>
      <c r="G1195" s="24" t="e">
        <f ca="1">[1]!BexGetData("DP_1","003N8EMH8GTFRCSWKMPXRRXR2","GSON1112061311")</f>
        <v>#NAME?</v>
      </c>
      <c r="H1195" s="24" t="e">
        <f ca="1">[1]!BexGetData("DP_1","003N8EMH8GTFRCSWKMPXRS42M","GSON1112061311")</f>
        <v>#NAME?</v>
      </c>
      <c r="I1195" s="24" t="e">
        <f ca="1">[1]!BexGetData("DP_1","003N8EMH8GTFRCSWKMPXRSAE6","GSON1112061311")</f>
        <v>#NAME?</v>
      </c>
      <c r="J1195" s="24" t="e">
        <f ca="1">[1]!BexGetData("DP_1","003N8EMH8GTFRCSWKMPXRSGPQ","GSON1112061311")</f>
        <v>#NAME?</v>
      </c>
      <c r="K1195" s="28" t="e">
        <f ca="1">[1]!BexGetData("DP_1","003N8EMH8GTFRIVNUPY288VJH","GSON1112061311")</f>
        <v>#NAME?</v>
      </c>
      <c r="L1195" s="28" t="e">
        <f ca="1">[1]!BexGetData("DP_1","003N8EMH8GTFRIVNUPY2891V1","GSON1112061311")</f>
        <v>#NAME?</v>
      </c>
      <c r="M1195" s="28" t="e">
        <f ca="1">[1]!BexGetData("DP_1","003N8EMH8GTFRIVOG7KG9IQXA","GSON1112061311")</f>
        <v>#NAME?</v>
      </c>
      <c r="N1195" s="28" t="e">
        <f ca="1">[1]!BexGetData("DP_1","003N8EMH8GTFRIVOG7KG9IX8U","GSON1112061311")</f>
        <v>#NAME?</v>
      </c>
      <c r="O1195" s="28" t="e">
        <f ca="1">[1]!BexGetData("DP_1","003N8EMH8GTFRIVOG7KG9J3KE","GSON1112061311")</f>
        <v>#NAME?</v>
      </c>
      <c r="P1195" s="28" t="e">
        <f ca="1">[1]!BexGetData("DP_1","003N8EMH8GTFRIVOG7KG9J9VY","GSON1112061311")</f>
        <v>#NAME?</v>
      </c>
      <c r="Q1195" s="24" t="e">
        <f ca="1">[1]!BexGetData("DP_1","00O2TNJGODT0G5Z4TTKYMM5MT","GSON1112061311")</f>
        <v>#NAME?</v>
      </c>
      <c r="R1195" s="24" t="e">
        <f ca="1">[1]!BexGetData("DP_1","00O2TNJGODT0G5Z4TTKYMMBYD","GSON1112061311")</f>
        <v>#NAME?</v>
      </c>
      <c r="S1195" s="24" t="e">
        <f ca="1">[1]!BexGetData("DP_1","00O2TNJGODT0G5Z4TTKYMMI9X","GSON1112061311")</f>
        <v>#NAME?</v>
      </c>
      <c r="T1195" s="24" t="e">
        <f ca="1">[1]!BexGetData("DP_1","00O2TNJGODT0G5Z4TTKYMMOLH","GSON1112061311")</f>
        <v>#NAME?</v>
      </c>
      <c r="U1195" s="24" t="e">
        <f ca="1">[1]!BexGetData("DP_1","00O2TNJGODT0G5Z4TTKYMMUX1","GSON1112061311")</f>
        <v>#NAME?</v>
      </c>
      <c r="V1195" s="24" t="e">
        <f ca="1">[1]!BexGetData("DP_1","00O2TNJGODT0G5Z4TTKYMN18L","GSON1112061311")</f>
        <v>#NAME?</v>
      </c>
      <c r="W1195" s="24" t="e">
        <f ca="1">[1]!BexGetData("DP_1","00O2TNJGODT0G5Z4TTKYMN7K5","GSON1112061311")</f>
        <v>#NAME?</v>
      </c>
    </row>
    <row r="1196" spans="1:23" x14ac:dyDescent="0.2">
      <c r="A1196" s="36" t="s">
        <v>3746</v>
      </c>
      <c r="B1196" s="27" t="s">
        <v>3747</v>
      </c>
      <c r="C1196" s="23" t="e">
        <f ca="1">[1]!BexGetData("DP_1","003N8EMH8GTFRCSWKMPXRR8GU","GSON1112061313")</f>
        <v>#NAME?</v>
      </c>
      <c r="D1196" s="23" t="e">
        <f ca="1">[1]!BexGetData("DP_1","003N8EMH8GTFRCSWKMPXRRESE","GSON1112061313")</f>
        <v>#NAME?</v>
      </c>
      <c r="E1196" s="28" t="e">
        <f ca="1">[1]!BexGetData("DP_1","003N8EMH8GTFRCSWKMPXRRL3Y","GSON1112061313")</f>
        <v>#NAME?</v>
      </c>
      <c r="F1196" s="24" t="e">
        <f ca="1">[1]!BexGetData("DP_1","003N8EMH8GTFRCSWKMPXRRRFI","GSON1112061313")</f>
        <v>#NAME?</v>
      </c>
      <c r="G1196" s="24" t="e">
        <f ca="1">[1]!BexGetData("DP_1","003N8EMH8GTFRCSWKMPXRRXR2","GSON1112061313")</f>
        <v>#NAME?</v>
      </c>
      <c r="H1196" s="24" t="e">
        <f ca="1">[1]!BexGetData("DP_1","003N8EMH8GTFRCSWKMPXRS42M","GSON1112061313")</f>
        <v>#NAME?</v>
      </c>
      <c r="I1196" s="24" t="e">
        <f ca="1">[1]!BexGetData("DP_1","003N8EMH8GTFRCSWKMPXRSAE6","GSON1112061313")</f>
        <v>#NAME?</v>
      </c>
      <c r="J1196" s="24" t="e">
        <f ca="1">[1]!BexGetData("DP_1","003N8EMH8GTFRCSWKMPXRSGPQ","GSON1112061313")</f>
        <v>#NAME?</v>
      </c>
      <c r="K1196" s="28" t="e">
        <f ca="1">[1]!BexGetData("DP_1","003N8EMH8GTFRIVNUPY288VJH","GSON1112061313")</f>
        <v>#NAME?</v>
      </c>
      <c r="L1196" s="28" t="e">
        <f ca="1">[1]!BexGetData("DP_1","003N8EMH8GTFRIVNUPY2891V1","GSON1112061313")</f>
        <v>#NAME?</v>
      </c>
      <c r="M1196" s="28" t="e">
        <f ca="1">[1]!BexGetData("DP_1","003N8EMH8GTFRIVOG7KG9IQXA","GSON1112061313")</f>
        <v>#NAME?</v>
      </c>
      <c r="N1196" s="28" t="e">
        <f ca="1">[1]!BexGetData("DP_1","003N8EMH8GTFRIVOG7KG9IX8U","GSON1112061313")</f>
        <v>#NAME?</v>
      </c>
      <c r="O1196" s="28" t="e">
        <f ca="1">[1]!BexGetData("DP_1","003N8EMH8GTFRIVOG7KG9J3KE","GSON1112061313")</f>
        <v>#NAME?</v>
      </c>
      <c r="P1196" s="28" t="e">
        <f ca="1">[1]!BexGetData("DP_1","003N8EMH8GTFRIVOG7KG9J9VY","GSON1112061313")</f>
        <v>#NAME?</v>
      </c>
      <c r="Q1196" s="24" t="e">
        <f ca="1">[1]!BexGetData("DP_1","00O2TNJGODT0G5Z4TTKYMM5MT","GSON1112061313")</f>
        <v>#NAME?</v>
      </c>
      <c r="R1196" s="24" t="e">
        <f ca="1">[1]!BexGetData("DP_1","00O2TNJGODT0G5Z4TTKYMMBYD","GSON1112061313")</f>
        <v>#NAME?</v>
      </c>
      <c r="S1196" s="24" t="e">
        <f ca="1">[1]!BexGetData("DP_1","00O2TNJGODT0G5Z4TTKYMMI9X","GSON1112061313")</f>
        <v>#NAME?</v>
      </c>
      <c r="T1196" s="24" t="e">
        <f ca="1">[1]!BexGetData("DP_1","00O2TNJGODT0G5Z4TTKYMMOLH","GSON1112061313")</f>
        <v>#NAME?</v>
      </c>
      <c r="U1196" s="24" t="e">
        <f ca="1">[1]!BexGetData("DP_1","00O2TNJGODT0G5Z4TTKYMMUX1","GSON1112061313")</f>
        <v>#NAME?</v>
      </c>
      <c r="V1196" s="24" t="e">
        <f ca="1">[1]!BexGetData("DP_1","00O2TNJGODT0G5Z4TTKYMN18L","GSON1112061313")</f>
        <v>#NAME?</v>
      </c>
      <c r="W1196" s="24" t="e">
        <f ca="1">[1]!BexGetData("DP_1","00O2TNJGODT0G5Z4TTKYMN7K5","GSON1112061313")</f>
        <v>#NAME?</v>
      </c>
    </row>
    <row r="1197" spans="1:23" x14ac:dyDescent="0.2">
      <c r="A1197" s="36" t="s">
        <v>3748</v>
      </c>
      <c r="B1197" s="27" t="s">
        <v>3749</v>
      </c>
      <c r="C1197" s="23" t="e">
        <f ca="1">[1]!BexGetData("DP_1","003N8EMH8GTFRCSWKMPXRR8GU","GSON1112061314")</f>
        <v>#NAME?</v>
      </c>
      <c r="D1197" s="23" t="e">
        <f ca="1">[1]!BexGetData("DP_1","003N8EMH8GTFRCSWKMPXRRESE","GSON1112061314")</f>
        <v>#NAME?</v>
      </c>
      <c r="E1197" s="28" t="e">
        <f ca="1">[1]!BexGetData("DP_1","003N8EMH8GTFRCSWKMPXRRL3Y","GSON1112061314")</f>
        <v>#NAME?</v>
      </c>
      <c r="F1197" s="24" t="e">
        <f ca="1">[1]!BexGetData("DP_1","003N8EMH8GTFRCSWKMPXRRRFI","GSON1112061314")</f>
        <v>#NAME?</v>
      </c>
      <c r="G1197" s="24" t="e">
        <f ca="1">[1]!BexGetData("DP_1","003N8EMH8GTFRCSWKMPXRRXR2","GSON1112061314")</f>
        <v>#NAME?</v>
      </c>
      <c r="H1197" s="24" t="e">
        <f ca="1">[1]!BexGetData("DP_1","003N8EMH8GTFRCSWKMPXRS42M","GSON1112061314")</f>
        <v>#NAME?</v>
      </c>
      <c r="I1197" s="24" t="e">
        <f ca="1">[1]!BexGetData("DP_1","003N8EMH8GTFRCSWKMPXRSAE6","GSON1112061314")</f>
        <v>#NAME?</v>
      </c>
      <c r="J1197" s="24" t="e">
        <f ca="1">[1]!BexGetData("DP_1","003N8EMH8GTFRCSWKMPXRSGPQ","GSON1112061314")</f>
        <v>#NAME?</v>
      </c>
      <c r="K1197" s="28" t="e">
        <f ca="1">[1]!BexGetData("DP_1","003N8EMH8GTFRIVNUPY288VJH","GSON1112061314")</f>
        <v>#NAME?</v>
      </c>
      <c r="L1197" s="28" t="e">
        <f ca="1">[1]!BexGetData("DP_1","003N8EMH8GTFRIVNUPY2891V1","GSON1112061314")</f>
        <v>#NAME?</v>
      </c>
      <c r="M1197" s="28" t="e">
        <f ca="1">[1]!BexGetData("DP_1","003N8EMH8GTFRIVOG7KG9IQXA","GSON1112061314")</f>
        <v>#NAME?</v>
      </c>
      <c r="N1197" s="28" t="e">
        <f ca="1">[1]!BexGetData("DP_1","003N8EMH8GTFRIVOG7KG9IX8U","GSON1112061314")</f>
        <v>#NAME?</v>
      </c>
      <c r="O1197" s="28" t="e">
        <f ca="1">[1]!BexGetData("DP_1","003N8EMH8GTFRIVOG7KG9J3KE","GSON1112061314")</f>
        <v>#NAME?</v>
      </c>
      <c r="P1197" s="28" t="e">
        <f ca="1">[1]!BexGetData("DP_1","003N8EMH8GTFRIVOG7KG9J9VY","GSON1112061314")</f>
        <v>#NAME?</v>
      </c>
      <c r="Q1197" s="24" t="e">
        <f ca="1">[1]!BexGetData("DP_1","00O2TNJGODT0G5Z4TTKYMM5MT","GSON1112061314")</f>
        <v>#NAME?</v>
      </c>
      <c r="R1197" s="24" t="e">
        <f ca="1">[1]!BexGetData("DP_1","00O2TNJGODT0G5Z4TTKYMMBYD","GSON1112061314")</f>
        <v>#NAME?</v>
      </c>
      <c r="S1197" s="24" t="e">
        <f ca="1">[1]!BexGetData("DP_1","00O2TNJGODT0G5Z4TTKYMMI9X","GSON1112061314")</f>
        <v>#NAME?</v>
      </c>
      <c r="T1197" s="24" t="e">
        <f ca="1">[1]!BexGetData("DP_1","00O2TNJGODT0G5Z4TTKYMMOLH","GSON1112061314")</f>
        <v>#NAME?</v>
      </c>
      <c r="U1197" s="24" t="e">
        <f ca="1">[1]!BexGetData("DP_1","00O2TNJGODT0G5Z4TTKYMMUX1","GSON1112061314")</f>
        <v>#NAME?</v>
      </c>
      <c r="V1197" s="24" t="e">
        <f ca="1">[1]!BexGetData("DP_1","00O2TNJGODT0G5Z4TTKYMN18L","GSON1112061314")</f>
        <v>#NAME?</v>
      </c>
      <c r="W1197" s="24" t="e">
        <f ca="1">[1]!BexGetData("DP_1","00O2TNJGODT0G5Z4TTKYMN7K5","GSON1112061314")</f>
        <v>#NAME?</v>
      </c>
    </row>
    <row r="1198" spans="1:23" x14ac:dyDescent="0.2">
      <c r="A1198" s="36" t="s">
        <v>3750</v>
      </c>
      <c r="B1198" s="27" t="s">
        <v>3751</v>
      </c>
      <c r="C1198" s="23" t="e">
        <f ca="1">[1]!BexGetData("DP_1","003N8EMH8GTFRCSWKMPXRR8GU","GSON1112061315")</f>
        <v>#NAME?</v>
      </c>
      <c r="D1198" s="23" t="e">
        <f ca="1">[1]!BexGetData("DP_1","003N8EMH8GTFRCSWKMPXRRESE","GSON1112061315")</f>
        <v>#NAME?</v>
      </c>
      <c r="E1198" s="28" t="e">
        <f ca="1">[1]!BexGetData("DP_1","003N8EMH8GTFRCSWKMPXRRL3Y","GSON1112061315")</f>
        <v>#NAME?</v>
      </c>
      <c r="F1198" s="24" t="e">
        <f ca="1">[1]!BexGetData("DP_1","003N8EMH8GTFRCSWKMPXRRRFI","GSON1112061315")</f>
        <v>#NAME?</v>
      </c>
      <c r="G1198" s="24" t="e">
        <f ca="1">[1]!BexGetData("DP_1","003N8EMH8GTFRCSWKMPXRRXR2","GSON1112061315")</f>
        <v>#NAME?</v>
      </c>
      <c r="H1198" s="24" t="e">
        <f ca="1">[1]!BexGetData("DP_1","003N8EMH8GTFRCSWKMPXRS42M","GSON1112061315")</f>
        <v>#NAME?</v>
      </c>
      <c r="I1198" s="24" t="e">
        <f ca="1">[1]!BexGetData("DP_1","003N8EMH8GTFRCSWKMPXRSAE6","GSON1112061315")</f>
        <v>#NAME?</v>
      </c>
      <c r="J1198" s="24" t="e">
        <f ca="1">[1]!BexGetData("DP_1","003N8EMH8GTFRCSWKMPXRSGPQ","GSON1112061315")</f>
        <v>#NAME?</v>
      </c>
      <c r="K1198" s="28" t="e">
        <f ca="1">[1]!BexGetData("DP_1","003N8EMH8GTFRIVNUPY288VJH","GSON1112061315")</f>
        <v>#NAME?</v>
      </c>
      <c r="L1198" s="28" t="e">
        <f ca="1">[1]!BexGetData("DP_1","003N8EMH8GTFRIVNUPY2891V1","GSON1112061315")</f>
        <v>#NAME?</v>
      </c>
      <c r="M1198" s="28" t="e">
        <f ca="1">[1]!BexGetData("DP_1","003N8EMH8GTFRIVOG7KG9IQXA","GSON1112061315")</f>
        <v>#NAME?</v>
      </c>
      <c r="N1198" s="28" t="e">
        <f ca="1">[1]!BexGetData("DP_1","003N8EMH8GTFRIVOG7KG9IX8U","GSON1112061315")</f>
        <v>#NAME?</v>
      </c>
      <c r="O1198" s="28" t="e">
        <f ca="1">[1]!BexGetData("DP_1","003N8EMH8GTFRIVOG7KG9J3KE","GSON1112061315")</f>
        <v>#NAME?</v>
      </c>
      <c r="P1198" s="28" t="e">
        <f ca="1">[1]!BexGetData("DP_1","003N8EMH8GTFRIVOG7KG9J9VY","GSON1112061315")</f>
        <v>#NAME?</v>
      </c>
      <c r="Q1198" s="24" t="e">
        <f ca="1">[1]!BexGetData("DP_1","00O2TNJGODT0G5Z4TTKYMM5MT","GSON1112061315")</f>
        <v>#NAME?</v>
      </c>
      <c r="R1198" s="24" t="e">
        <f ca="1">[1]!BexGetData("DP_1","00O2TNJGODT0G5Z4TTKYMMBYD","GSON1112061315")</f>
        <v>#NAME?</v>
      </c>
      <c r="S1198" s="24" t="e">
        <f ca="1">[1]!BexGetData("DP_1","00O2TNJGODT0G5Z4TTKYMMI9X","GSON1112061315")</f>
        <v>#NAME?</v>
      </c>
      <c r="T1198" s="24" t="e">
        <f ca="1">[1]!BexGetData("DP_1","00O2TNJGODT0G5Z4TTKYMMOLH","GSON1112061315")</f>
        <v>#NAME?</v>
      </c>
      <c r="U1198" s="24" t="e">
        <f ca="1">[1]!BexGetData("DP_1","00O2TNJGODT0G5Z4TTKYMMUX1","GSON1112061315")</f>
        <v>#NAME?</v>
      </c>
      <c r="V1198" s="24" t="e">
        <f ca="1">[1]!BexGetData("DP_1","00O2TNJGODT0G5Z4TTKYMN18L","GSON1112061315")</f>
        <v>#NAME?</v>
      </c>
      <c r="W1198" s="24" t="e">
        <f ca="1">[1]!BexGetData("DP_1","00O2TNJGODT0G5Z4TTKYMN7K5","GSON1112061315")</f>
        <v>#NAME?</v>
      </c>
    </row>
    <row r="1199" spans="1:23" x14ac:dyDescent="0.2">
      <c r="A1199" s="36" t="s">
        <v>3752</v>
      </c>
      <c r="B1199" s="27" t="s">
        <v>3753</v>
      </c>
      <c r="C1199" s="23" t="e">
        <f ca="1">[1]!BexGetData("DP_1","003N8EMH8GTFRCSWKMPXRR8GU","GSON1112061320")</f>
        <v>#NAME?</v>
      </c>
      <c r="D1199" s="23" t="e">
        <f ca="1">[1]!BexGetData("DP_1","003N8EMH8GTFRCSWKMPXRRESE","GSON1112061320")</f>
        <v>#NAME?</v>
      </c>
      <c r="E1199" s="28" t="e">
        <f ca="1">[1]!BexGetData("DP_1","003N8EMH8GTFRCSWKMPXRRL3Y","GSON1112061320")</f>
        <v>#NAME?</v>
      </c>
      <c r="F1199" s="24" t="e">
        <f ca="1">[1]!BexGetData("DP_1","003N8EMH8GTFRCSWKMPXRRRFI","GSON1112061320")</f>
        <v>#NAME?</v>
      </c>
      <c r="G1199" s="24" t="e">
        <f ca="1">[1]!BexGetData("DP_1","003N8EMH8GTFRCSWKMPXRRXR2","GSON1112061320")</f>
        <v>#NAME?</v>
      </c>
      <c r="H1199" s="24" t="e">
        <f ca="1">[1]!BexGetData("DP_1","003N8EMH8GTFRCSWKMPXRS42M","GSON1112061320")</f>
        <v>#NAME?</v>
      </c>
      <c r="I1199" s="24" t="e">
        <f ca="1">[1]!BexGetData("DP_1","003N8EMH8GTFRCSWKMPXRSAE6","GSON1112061320")</f>
        <v>#NAME?</v>
      </c>
      <c r="J1199" s="24" t="e">
        <f ca="1">[1]!BexGetData("DP_1","003N8EMH8GTFRCSWKMPXRSGPQ","GSON1112061320")</f>
        <v>#NAME?</v>
      </c>
      <c r="K1199" s="28" t="e">
        <f ca="1">[1]!BexGetData("DP_1","003N8EMH8GTFRIVNUPY288VJH","GSON1112061320")</f>
        <v>#NAME?</v>
      </c>
      <c r="L1199" s="28" t="e">
        <f ca="1">[1]!BexGetData("DP_1","003N8EMH8GTFRIVNUPY2891V1","GSON1112061320")</f>
        <v>#NAME?</v>
      </c>
      <c r="M1199" s="28" t="e">
        <f ca="1">[1]!BexGetData("DP_1","003N8EMH8GTFRIVOG7KG9IQXA","GSON1112061320")</f>
        <v>#NAME?</v>
      </c>
      <c r="N1199" s="28" t="e">
        <f ca="1">[1]!BexGetData("DP_1","003N8EMH8GTFRIVOG7KG9IX8U","GSON1112061320")</f>
        <v>#NAME?</v>
      </c>
      <c r="O1199" s="28" t="e">
        <f ca="1">[1]!BexGetData("DP_1","003N8EMH8GTFRIVOG7KG9J3KE","GSON1112061320")</f>
        <v>#NAME?</v>
      </c>
      <c r="P1199" s="28" t="e">
        <f ca="1">[1]!BexGetData("DP_1","003N8EMH8GTFRIVOG7KG9J9VY","GSON1112061320")</f>
        <v>#NAME?</v>
      </c>
      <c r="Q1199" s="24" t="e">
        <f ca="1">[1]!BexGetData("DP_1","00O2TNJGODT0G5Z4TTKYMM5MT","GSON1112061320")</f>
        <v>#NAME?</v>
      </c>
      <c r="R1199" s="24" t="e">
        <f ca="1">[1]!BexGetData("DP_1","00O2TNJGODT0G5Z4TTKYMMBYD","GSON1112061320")</f>
        <v>#NAME?</v>
      </c>
      <c r="S1199" s="24" t="e">
        <f ca="1">[1]!BexGetData("DP_1","00O2TNJGODT0G5Z4TTKYMMI9X","GSON1112061320")</f>
        <v>#NAME?</v>
      </c>
      <c r="T1199" s="24" t="e">
        <f ca="1">[1]!BexGetData("DP_1","00O2TNJGODT0G5Z4TTKYMMOLH","GSON1112061320")</f>
        <v>#NAME?</v>
      </c>
      <c r="U1199" s="24" t="e">
        <f ca="1">[1]!BexGetData("DP_1","00O2TNJGODT0G5Z4TTKYMMUX1","GSON1112061320")</f>
        <v>#NAME?</v>
      </c>
      <c r="V1199" s="24" t="e">
        <f ca="1">[1]!BexGetData("DP_1","00O2TNJGODT0G5Z4TTKYMN18L","GSON1112061320")</f>
        <v>#NAME?</v>
      </c>
      <c r="W1199" s="24" t="e">
        <f ca="1">[1]!BexGetData("DP_1","00O2TNJGODT0G5Z4TTKYMN7K5","GSON1112061320")</f>
        <v>#NAME?</v>
      </c>
    </row>
    <row r="1200" spans="1:23" x14ac:dyDescent="0.2">
      <c r="A1200" s="36" t="s">
        <v>3754</v>
      </c>
      <c r="B1200" s="27" t="s">
        <v>3755</v>
      </c>
      <c r="C1200" s="23" t="e">
        <f ca="1">[1]!BexGetData("DP_1","003N8EMH8GTFRCSWKMPXRR8GU","GSON1112061321")</f>
        <v>#NAME?</v>
      </c>
      <c r="D1200" s="23" t="e">
        <f ca="1">[1]!BexGetData("DP_1","003N8EMH8GTFRCSWKMPXRRESE","GSON1112061321")</f>
        <v>#NAME?</v>
      </c>
      <c r="E1200" s="28" t="e">
        <f ca="1">[1]!BexGetData("DP_1","003N8EMH8GTFRCSWKMPXRRL3Y","GSON1112061321")</f>
        <v>#NAME?</v>
      </c>
      <c r="F1200" s="24" t="e">
        <f ca="1">[1]!BexGetData("DP_1","003N8EMH8GTFRCSWKMPXRRRFI","GSON1112061321")</f>
        <v>#NAME?</v>
      </c>
      <c r="G1200" s="24" t="e">
        <f ca="1">[1]!BexGetData("DP_1","003N8EMH8GTFRCSWKMPXRRXR2","GSON1112061321")</f>
        <v>#NAME?</v>
      </c>
      <c r="H1200" s="24" t="e">
        <f ca="1">[1]!BexGetData("DP_1","003N8EMH8GTFRCSWKMPXRS42M","GSON1112061321")</f>
        <v>#NAME?</v>
      </c>
      <c r="I1200" s="24" t="e">
        <f ca="1">[1]!BexGetData("DP_1","003N8EMH8GTFRCSWKMPXRSAE6","GSON1112061321")</f>
        <v>#NAME?</v>
      </c>
      <c r="J1200" s="24" t="e">
        <f ca="1">[1]!BexGetData("DP_1","003N8EMH8GTFRCSWKMPXRSGPQ","GSON1112061321")</f>
        <v>#NAME?</v>
      </c>
      <c r="K1200" s="28" t="e">
        <f ca="1">[1]!BexGetData("DP_1","003N8EMH8GTFRIVNUPY288VJH","GSON1112061321")</f>
        <v>#NAME?</v>
      </c>
      <c r="L1200" s="28" t="e">
        <f ca="1">[1]!BexGetData("DP_1","003N8EMH8GTFRIVNUPY2891V1","GSON1112061321")</f>
        <v>#NAME?</v>
      </c>
      <c r="M1200" s="28" t="e">
        <f ca="1">[1]!BexGetData("DP_1","003N8EMH8GTFRIVOG7KG9IQXA","GSON1112061321")</f>
        <v>#NAME?</v>
      </c>
      <c r="N1200" s="28" t="e">
        <f ca="1">[1]!BexGetData("DP_1","003N8EMH8GTFRIVOG7KG9IX8U","GSON1112061321")</f>
        <v>#NAME?</v>
      </c>
      <c r="O1200" s="28" t="e">
        <f ca="1">[1]!BexGetData("DP_1","003N8EMH8GTFRIVOG7KG9J3KE","GSON1112061321")</f>
        <v>#NAME?</v>
      </c>
      <c r="P1200" s="28" t="e">
        <f ca="1">[1]!BexGetData("DP_1","003N8EMH8GTFRIVOG7KG9J9VY","GSON1112061321")</f>
        <v>#NAME?</v>
      </c>
      <c r="Q1200" s="24" t="e">
        <f ca="1">[1]!BexGetData("DP_1","00O2TNJGODT0G5Z4TTKYMM5MT","GSON1112061321")</f>
        <v>#NAME?</v>
      </c>
      <c r="R1200" s="24" t="e">
        <f ca="1">[1]!BexGetData("DP_1","00O2TNJGODT0G5Z4TTKYMMBYD","GSON1112061321")</f>
        <v>#NAME?</v>
      </c>
      <c r="S1200" s="24" t="e">
        <f ca="1">[1]!BexGetData("DP_1","00O2TNJGODT0G5Z4TTKYMMI9X","GSON1112061321")</f>
        <v>#NAME?</v>
      </c>
      <c r="T1200" s="24" t="e">
        <f ca="1">[1]!BexGetData("DP_1","00O2TNJGODT0G5Z4TTKYMMOLH","GSON1112061321")</f>
        <v>#NAME?</v>
      </c>
      <c r="U1200" s="24" t="e">
        <f ca="1">[1]!BexGetData("DP_1","00O2TNJGODT0G5Z4TTKYMMUX1","GSON1112061321")</f>
        <v>#NAME?</v>
      </c>
      <c r="V1200" s="24" t="e">
        <f ca="1">[1]!BexGetData("DP_1","00O2TNJGODT0G5Z4TTKYMN18L","GSON1112061321")</f>
        <v>#NAME?</v>
      </c>
      <c r="W1200" s="24" t="e">
        <f ca="1">[1]!BexGetData("DP_1","00O2TNJGODT0G5Z4TTKYMN7K5","GSON1112061321")</f>
        <v>#NAME?</v>
      </c>
    </row>
    <row r="1201" spans="1:23" x14ac:dyDescent="0.2">
      <c r="A1201" s="36" t="s">
        <v>3756</v>
      </c>
      <c r="B1201" s="27" t="s">
        <v>3757</v>
      </c>
      <c r="C1201" s="23" t="e">
        <f ca="1">[1]!BexGetData("DP_1","003N8EMH8GTFRCSWKMPXRR8GU","GSON1112061323")</f>
        <v>#NAME?</v>
      </c>
      <c r="D1201" s="23" t="e">
        <f ca="1">[1]!BexGetData("DP_1","003N8EMH8GTFRCSWKMPXRRESE","GSON1112061323")</f>
        <v>#NAME?</v>
      </c>
      <c r="E1201" s="28" t="e">
        <f ca="1">[1]!BexGetData("DP_1","003N8EMH8GTFRCSWKMPXRRL3Y","GSON1112061323")</f>
        <v>#NAME?</v>
      </c>
      <c r="F1201" s="24" t="e">
        <f ca="1">[1]!BexGetData("DP_1","003N8EMH8GTFRCSWKMPXRRRFI","GSON1112061323")</f>
        <v>#NAME?</v>
      </c>
      <c r="G1201" s="24" t="e">
        <f ca="1">[1]!BexGetData("DP_1","003N8EMH8GTFRCSWKMPXRRXR2","GSON1112061323")</f>
        <v>#NAME?</v>
      </c>
      <c r="H1201" s="24" t="e">
        <f ca="1">[1]!BexGetData("DP_1","003N8EMH8GTFRCSWKMPXRS42M","GSON1112061323")</f>
        <v>#NAME?</v>
      </c>
      <c r="I1201" s="24" t="e">
        <f ca="1">[1]!BexGetData("DP_1","003N8EMH8GTFRCSWKMPXRSAE6","GSON1112061323")</f>
        <v>#NAME?</v>
      </c>
      <c r="J1201" s="24" t="e">
        <f ca="1">[1]!BexGetData("DP_1","003N8EMH8GTFRCSWKMPXRSGPQ","GSON1112061323")</f>
        <v>#NAME?</v>
      </c>
      <c r="K1201" s="28" t="e">
        <f ca="1">[1]!BexGetData("DP_1","003N8EMH8GTFRIVNUPY288VJH","GSON1112061323")</f>
        <v>#NAME?</v>
      </c>
      <c r="L1201" s="28" t="e">
        <f ca="1">[1]!BexGetData("DP_1","003N8EMH8GTFRIVNUPY2891V1","GSON1112061323")</f>
        <v>#NAME?</v>
      </c>
      <c r="M1201" s="28" t="e">
        <f ca="1">[1]!BexGetData("DP_1","003N8EMH8GTFRIVOG7KG9IQXA","GSON1112061323")</f>
        <v>#NAME?</v>
      </c>
      <c r="N1201" s="28" t="e">
        <f ca="1">[1]!BexGetData("DP_1","003N8EMH8GTFRIVOG7KG9IX8U","GSON1112061323")</f>
        <v>#NAME?</v>
      </c>
      <c r="O1201" s="28" t="e">
        <f ca="1">[1]!BexGetData("DP_1","003N8EMH8GTFRIVOG7KG9J3KE","GSON1112061323")</f>
        <v>#NAME?</v>
      </c>
      <c r="P1201" s="28" t="e">
        <f ca="1">[1]!BexGetData("DP_1","003N8EMH8GTFRIVOG7KG9J9VY","GSON1112061323")</f>
        <v>#NAME?</v>
      </c>
      <c r="Q1201" s="24" t="e">
        <f ca="1">[1]!BexGetData("DP_1","00O2TNJGODT0G5Z4TTKYMM5MT","GSON1112061323")</f>
        <v>#NAME?</v>
      </c>
      <c r="R1201" s="24" t="e">
        <f ca="1">[1]!BexGetData("DP_1","00O2TNJGODT0G5Z4TTKYMMBYD","GSON1112061323")</f>
        <v>#NAME?</v>
      </c>
      <c r="S1201" s="24" t="e">
        <f ca="1">[1]!BexGetData("DP_1","00O2TNJGODT0G5Z4TTKYMMI9X","GSON1112061323")</f>
        <v>#NAME?</v>
      </c>
      <c r="T1201" s="24" t="e">
        <f ca="1">[1]!BexGetData("DP_1","00O2TNJGODT0G5Z4TTKYMMOLH","GSON1112061323")</f>
        <v>#NAME?</v>
      </c>
      <c r="U1201" s="24" t="e">
        <f ca="1">[1]!BexGetData("DP_1","00O2TNJGODT0G5Z4TTKYMMUX1","GSON1112061323")</f>
        <v>#NAME?</v>
      </c>
      <c r="V1201" s="24" t="e">
        <f ca="1">[1]!BexGetData("DP_1","00O2TNJGODT0G5Z4TTKYMN18L","GSON1112061323")</f>
        <v>#NAME?</v>
      </c>
      <c r="W1201" s="24" t="e">
        <f ca="1">[1]!BexGetData("DP_1","00O2TNJGODT0G5Z4TTKYMN7K5","GSON1112061323")</f>
        <v>#NAME?</v>
      </c>
    </row>
    <row r="1202" spans="1:23" x14ac:dyDescent="0.2">
      <c r="A1202" s="36" t="s">
        <v>3758</v>
      </c>
      <c r="B1202" s="27" t="s">
        <v>3759</v>
      </c>
      <c r="C1202" s="23" t="e">
        <f ca="1">[1]!BexGetData("DP_1","003N8EMH8GTFRCSWKMPXRR8GU","GSON1112061324")</f>
        <v>#NAME?</v>
      </c>
      <c r="D1202" s="23" t="e">
        <f ca="1">[1]!BexGetData("DP_1","003N8EMH8GTFRCSWKMPXRRESE","GSON1112061324")</f>
        <v>#NAME?</v>
      </c>
      <c r="E1202" s="28" t="e">
        <f ca="1">[1]!BexGetData("DP_1","003N8EMH8GTFRCSWKMPXRRL3Y","GSON1112061324")</f>
        <v>#NAME?</v>
      </c>
      <c r="F1202" s="24" t="e">
        <f ca="1">[1]!BexGetData("DP_1","003N8EMH8GTFRCSWKMPXRRRFI","GSON1112061324")</f>
        <v>#NAME?</v>
      </c>
      <c r="G1202" s="24" t="e">
        <f ca="1">[1]!BexGetData("DP_1","003N8EMH8GTFRCSWKMPXRRXR2","GSON1112061324")</f>
        <v>#NAME?</v>
      </c>
      <c r="H1202" s="24" t="e">
        <f ca="1">[1]!BexGetData("DP_1","003N8EMH8GTFRCSWKMPXRS42M","GSON1112061324")</f>
        <v>#NAME?</v>
      </c>
      <c r="I1202" s="24" t="e">
        <f ca="1">[1]!BexGetData("DP_1","003N8EMH8GTFRCSWKMPXRSAE6","GSON1112061324")</f>
        <v>#NAME?</v>
      </c>
      <c r="J1202" s="24" t="e">
        <f ca="1">[1]!BexGetData("DP_1","003N8EMH8GTFRCSWKMPXRSGPQ","GSON1112061324")</f>
        <v>#NAME?</v>
      </c>
      <c r="K1202" s="28" t="e">
        <f ca="1">[1]!BexGetData("DP_1","003N8EMH8GTFRIVNUPY288VJH","GSON1112061324")</f>
        <v>#NAME?</v>
      </c>
      <c r="L1202" s="28" t="e">
        <f ca="1">[1]!BexGetData("DP_1","003N8EMH8GTFRIVNUPY2891V1","GSON1112061324")</f>
        <v>#NAME?</v>
      </c>
      <c r="M1202" s="28" t="e">
        <f ca="1">[1]!BexGetData("DP_1","003N8EMH8GTFRIVOG7KG9IQXA","GSON1112061324")</f>
        <v>#NAME?</v>
      </c>
      <c r="N1202" s="28" t="e">
        <f ca="1">[1]!BexGetData("DP_1","003N8EMH8GTFRIVOG7KG9IX8U","GSON1112061324")</f>
        <v>#NAME?</v>
      </c>
      <c r="O1202" s="28" t="e">
        <f ca="1">[1]!BexGetData("DP_1","003N8EMH8GTFRIVOG7KG9J3KE","GSON1112061324")</f>
        <v>#NAME?</v>
      </c>
      <c r="P1202" s="28" t="e">
        <f ca="1">[1]!BexGetData("DP_1","003N8EMH8GTFRIVOG7KG9J9VY","GSON1112061324")</f>
        <v>#NAME?</v>
      </c>
      <c r="Q1202" s="24" t="e">
        <f ca="1">[1]!BexGetData("DP_1","00O2TNJGODT0G5Z4TTKYMM5MT","GSON1112061324")</f>
        <v>#NAME?</v>
      </c>
      <c r="R1202" s="24" t="e">
        <f ca="1">[1]!BexGetData("DP_1","00O2TNJGODT0G5Z4TTKYMMBYD","GSON1112061324")</f>
        <v>#NAME?</v>
      </c>
      <c r="S1202" s="24" t="e">
        <f ca="1">[1]!BexGetData("DP_1","00O2TNJGODT0G5Z4TTKYMMI9X","GSON1112061324")</f>
        <v>#NAME?</v>
      </c>
      <c r="T1202" s="24" t="e">
        <f ca="1">[1]!BexGetData("DP_1","00O2TNJGODT0G5Z4TTKYMMOLH","GSON1112061324")</f>
        <v>#NAME?</v>
      </c>
      <c r="U1202" s="24" t="e">
        <f ca="1">[1]!BexGetData("DP_1","00O2TNJGODT0G5Z4TTKYMMUX1","GSON1112061324")</f>
        <v>#NAME?</v>
      </c>
      <c r="V1202" s="24" t="e">
        <f ca="1">[1]!BexGetData("DP_1","00O2TNJGODT0G5Z4TTKYMN18L","GSON1112061324")</f>
        <v>#NAME?</v>
      </c>
      <c r="W1202" s="24" t="e">
        <f ca="1">[1]!BexGetData("DP_1","00O2TNJGODT0G5Z4TTKYMN7K5","GSON1112061324")</f>
        <v>#NAME?</v>
      </c>
    </row>
    <row r="1203" spans="1:23" x14ac:dyDescent="0.2">
      <c r="A1203" s="36" t="s">
        <v>3760</v>
      </c>
      <c r="B1203" s="27" t="s">
        <v>3761</v>
      </c>
      <c r="C1203" s="23" t="e">
        <f ca="1">[1]!BexGetData("DP_1","003N8EMH8GTFRCSWKMPXRR8GU","GSON1112061325")</f>
        <v>#NAME?</v>
      </c>
      <c r="D1203" s="23" t="e">
        <f ca="1">[1]!BexGetData("DP_1","003N8EMH8GTFRCSWKMPXRRESE","GSON1112061325")</f>
        <v>#NAME?</v>
      </c>
      <c r="E1203" s="28" t="e">
        <f ca="1">[1]!BexGetData("DP_1","003N8EMH8GTFRCSWKMPXRRL3Y","GSON1112061325")</f>
        <v>#NAME?</v>
      </c>
      <c r="F1203" s="24" t="e">
        <f ca="1">[1]!BexGetData("DP_1","003N8EMH8GTFRCSWKMPXRRRFI","GSON1112061325")</f>
        <v>#NAME?</v>
      </c>
      <c r="G1203" s="24" t="e">
        <f ca="1">[1]!BexGetData("DP_1","003N8EMH8GTFRCSWKMPXRRXR2","GSON1112061325")</f>
        <v>#NAME?</v>
      </c>
      <c r="H1203" s="24" t="e">
        <f ca="1">[1]!BexGetData("DP_1","003N8EMH8GTFRCSWKMPXRS42M","GSON1112061325")</f>
        <v>#NAME?</v>
      </c>
      <c r="I1203" s="24" t="e">
        <f ca="1">[1]!BexGetData("DP_1","003N8EMH8GTFRCSWKMPXRSAE6","GSON1112061325")</f>
        <v>#NAME?</v>
      </c>
      <c r="J1203" s="24" t="e">
        <f ca="1">[1]!BexGetData("DP_1","003N8EMH8GTFRCSWKMPXRSGPQ","GSON1112061325")</f>
        <v>#NAME?</v>
      </c>
      <c r="K1203" s="28" t="e">
        <f ca="1">[1]!BexGetData("DP_1","003N8EMH8GTFRIVNUPY288VJH","GSON1112061325")</f>
        <v>#NAME?</v>
      </c>
      <c r="L1203" s="28" t="e">
        <f ca="1">[1]!BexGetData("DP_1","003N8EMH8GTFRIVNUPY2891V1","GSON1112061325")</f>
        <v>#NAME?</v>
      </c>
      <c r="M1203" s="28" t="e">
        <f ca="1">[1]!BexGetData("DP_1","003N8EMH8GTFRIVOG7KG9IQXA","GSON1112061325")</f>
        <v>#NAME?</v>
      </c>
      <c r="N1203" s="28" t="e">
        <f ca="1">[1]!BexGetData("DP_1","003N8EMH8GTFRIVOG7KG9IX8U","GSON1112061325")</f>
        <v>#NAME?</v>
      </c>
      <c r="O1203" s="28" t="e">
        <f ca="1">[1]!BexGetData("DP_1","003N8EMH8GTFRIVOG7KG9J3KE","GSON1112061325")</f>
        <v>#NAME?</v>
      </c>
      <c r="P1203" s="28" t="e">
        <f ca="1">[1]!BexGetData("DP_1","003N8EMH8GTFRIVOG7KG9J9VY","GSON1112061325")</f>
        <v>#NAME?</v>
      </c>
      <c r="Q1203" s="24" t="e">
        <f ca="1">[1]!BexGetData("DP_1","00O2TNJGODT0G5Z4TTKYMM5MT","GSON1112061325")</f>
        <v>#NAME?</v>
      </c>
      <c r="R1203" s="24" t="e">
        <f ca="1">[1]!BexGetData("DP_1","00O2TNJGODT0G5Z4TTKYMMBYD","GSON1112061325")</f>
        <v>#NAME?</v>
      </c>
      <c r="S1203" s="24" t="e">
        <f ca="1">[1]!BexGetData("DP_1","00O2TNJGODT0G5Z4TTKYMMI9X","GSON1112061325")</f>
        <v>#NAME?</v>
      </c>
      <c r="T1203" s="24" t="e">
        <f ca="1">[1]!BexGetData("DP_1","00O2TNJGODT0G5Z4TTKYMMOLH","GSON1112061325")</f>
        <v>#NAME?</v>
      </c>
      <c r="U1203" s="24" t="e">
        <f ca="1">[1]!BexGetData("DP_1","00O2TNJGODT0G5Z4TTKYMMUX1","GSON1112061325")</f>
        <v>#NAME?</v>
      </c>
      <c r="V1203" s="24" t="e">
        <f ca="1">[1]!BexGetData("DP_1","00O2TNJGODT0G5Z4TTKYMN18L","GSON1112061325")</f>
        <v>#NAME?</v>
      </c>
      <c r="W1203" s="24" t="e">
        <f ca="1">[1]!BexGetData("DP_1","00O2TNJGODT0G5Z4TTKYMN7K5","GSON1112061325")</f>
        <v>#NAME?</v>
      </c>
    </row>
    <row r="1204" spans="1:23" x14ac:dyDescent="0.2">
      <c r="A1204" s="36" t="s">
        <v>3762</v>
      </c>
      <c r="B1204" s="27" t="s">
        <v>3763</v>
      </c>
      <c r="C1204" s="23" t="e">
        <f ca="1">[1]!BexGetData("DP_1","003N8EMH8GTFRCSWKMPXRR8GU","GSON1112061330")</f>
        <v>#NAME?</v>
      </c>
      <c r="D1204" s="23" t="e">
        <f ca="1">[1]!BexGetData("DP_1","003N8EMH8GTFRCSWKMPXRRESE","GSON1112061330")</f>
        <v>#NAME?</v>
      </c>
      <c r="E1204" s="23" t="e">
        <f ca="1">[1]!BexGetData("DP_1","003N8EMH8GTFRCSWKMPXRRL3Y","GSON1112061330")</f>
        <v>#NAME?</v>
      </c>
      <c r="F1204" s="24" t="e">
        <f ca="1">[1]!BexGetData("DP_1","003N8EMH8GTFRCSWKMPXRRRFI","GSON1112061330")</f>
        <v>#NAME?</v>
      </c>
      <c r="G1204" s="24" t="e">
        <f ca="1">[1]!BexGetData("DP_1","003N8EMH8GTFRCSWKMPXRRXR2","GSON1112061330")</f>
        <v>#NAME?</v>
      </c>
      <c r="H1204" s="24" t="e">
        <f ca="1">[1]!BexGetData("DP_1","003N8EMH8GTFRCSWKMPXRS42M","GSON1112061330")</f>
        <v>#NAME?</v>
      </c>
      <c r="I1204" s="24" t="e">
        <f ca="1">[1]!BexGetData("DP_1","003N8EMH8GTFRCSWKMPXRSAE6","GSON1112061330")</f>
        <v>#NAME?</v>
      </c>
      <c r="J1204" s="24" t="e">
        <f ca="1">[1]!BexGetData("DP_1","003N8EMH8GTFRCSWKMPXRSGPQ","GSON1112061330")</f>
        <v>#NAME?</v>
      </c>
      <c r="K1204" s="23" t="e">
        <f ca="1">[1]!BexGetData("DP_1","003N8EMH8GTFRIVNUPY288VJH","GSON1112061330")</f>
        <v>#NAME?</v>
      </c>
      <c r="L1204" s="23" t="e">
        <f ca="1">[1]!BexGetData("DP_1","003N8EMH8GTFRIVNUPY2891V1","GSON1112061330")</f>
        <v>#NAME?</v>
      </c>
      <c r="M1204" s="28" t="e">
        <f ca="1">[1]!BexGetData("DP_1","003N8EMH8GTFRIVOG7KG9IQXA","GSON1112061330")</f>
        <v>#NAME?</v>
      </c>
      <c r="N1204" s="23" t="e">
        <f ca="1">[1]!BexGetData("DP_1","003N8EMH8GTFRIVOG7KG9IX8U","GSON1112061330")</f>
        <v>#NAME?</v>
      </c>
      <c r="O1204" s="28" t="e">
        <f ca="1">[1]!BexGetData("DP_1","003N8EMH8GTFRIVOG7KG9J3KE","GSON1112061330")</f>
        <v>#NAME?</v>
      </c>
      <c r="P1204" s="23" t="e">
        <f ca="1">[1]!BexGetData("DP_1","003N8EMH8GTFRIVOG7KG9J9VY","GSON1112061330")</f>
        <v>#NAME?</v>
      </c>
      <c r="Q1204" s="24" t="e">
        <f ca="1">[1]!BexGetData("DP_1","00O2TNJGODT0G5Z4TTKYMM5MT","GSON1112061330")</f>
        <v>#NAME?</v>
      </c>
      <c r="R1204" s="24" t="e">
        <f ca="1">[1]!BexGetData("DP_1","00O2TNJGODT0G5Z4TTKYMMBYD","GSON1112061330")</f>
        <v>#NAME?</v>
      </c>
      <c r="S1204" s="24" t="e">
        <f ca="1">[1]!BexGetData("DP_1","00O2TNJGODT0G5Z4TTKYMMI9X","GSON1112061330")</f>
        <v>#NAME?</v>
      </c>
      <c r="T1204" s="24" t="e">
        <f ca="1">[1]!BexGetData("DP_1","00O2TNJGODT0G5Z4TTKYMMOLH","GSON1112061330")</f>
        <v>#NAME?</v>
      </c>
      <c r="U1204" s="24" t="e">
        <f ca="1">[1]!BexGetData("DP_1","00O2TNJGODT0G5Z4TTKYMMUX1","GSON1112061330")</f>
        <v>#NAME?</v>
      </c>
      <c r="V1204" s="24" t="e">
        <f ca="1">[1]!BexGetData("DP_1","00O2TNJGODT0G5Z4TTKYMN18L","GSON1112061330")</f>
        <v>#NAME?</v>
      </c>
      <c r="W1204" s="24" t="e">
        <f ca="1">[1]!BexGetData("DP_1","00O2TNJGODT0G5Z4TTKYMN7K5","GSON1112061330")</f>
        <v>#NAME?</v>
      </c>
    </row>
    <row r="1205" spans="1:23" x14ac:dyDescent="0.2">
      <c r="A1205" s="36" t="s">
        <v>3764</v>
      </c>
      <c r="B1205" s="27" t="s">
        <v>3765</v>
      </c>
      <c r="C1205" s="23" t="e">
        <f ca="1">[1]!BexGetData("DP_1","003N8EMH8GTFRCSWKMPXRR8GU","GSON1112061331")</f>
        <v>#NAME?</v>
      </c>
      <c r="D1205" s="23" t="e">
        <f ca="1">[1]!BexGetData("DP_1","003N8EMH8GTFRCSWKMPXRRESE","GSON1112061331")</f>
        <v>#NAME?</v>
      </c>
      <c r="E1205" s="28" t="e">
        <f ca="1">[1]!BexGetData("DP_1","003N8EMH8GTFRCSWKMPXRRL3Y","GSON1112061331")</f>
        <v>#NAME?</v>
      </c>
      <c r="F1205" s="24" t="e">
        <f ca="1">[1]!BexGetData("DP_1","003N8EMH8GTFRCSWKMPXRRRFI","GSON1112061331")</f>
        <v>#NAME?</v>
      </c>
      <c r="G1205" s="24" t="e">
        <f ca="1">[1]!BexGetData("DP_1","003N8EMH8GTFRCSWKMPXRRXR2","GSON1112061331")</f>
        <v>#NAME?</v>
      </c>
      <c r="H1205" s="24" t="e">
        <f ca="1">[1]!BexGetData("DP_1","003N8EMH8GTFRCSWKMPXRS42M","GSON1112061331")</f>
        <v>#NAME?</v>
      </c>
      <c r="I1205" s="24" t="e">
        <f ca="1">[1]!BexGetData("DP_1","003N8EMH8GTFRCSWKMPXRSAE6","GSON1112061331")</f>
        <v>#NAME?</v>
      </c>
      <c r="J1205" s="24" t="e">
        <f ca="1">[1]!BexGetData("DP_1","003N8EMH8GTFRCSWKMPXRSGPQ","GSON1112061331")</f>
        <v>#NAME?</v>
      </c>
      <c r="K1205" s="28" t="e">
        <f ca="1">[1]!BexGetData("DP_1","003N8EMH8GTFRIVNUPY288VJH","GSON1112061331")</f>
        <v>#NAME?</v>
      </c>
      <c r="L1205" s="28" t="e">
        <f ca="1">[1]!BexGetData("DP_1","003N8EMH8GTFRIVNUPY2891V1","GSON1112061331")</f>
        <v>#NAME?</v>
      </c>
      <c r="M1205" s="28" t="e">
        <f ca="1">[1]!BexGetData("DP_1","003N8EMH8GTFRIVOG7KG9IQXA","GSON1112061331")</f>
        <v>#NAME?</v>
      </c>
      <c r="N1205" s="28" t="e">
        <f ca="1">[1]!BexGetData("DP_1","003N8EMH8GTFRIVOG7KG9IX8U","GSON1112061331")</f>
        <v>#NAME?</v>
      </c>
      <c r="O1205" s="28" t="e">
        <f ca="1">[1]!BexGetData("DP_1","003N8EMH8GTFRIVOG7KG9J3KE","GSON1112061331")</f>
        <v>#NAME?</v>
      </c>
      <c r="P1205" s="28" t="e">
        <f ca="1">[1]!BexGetData("DP_1","003N8EMH8GTFRIVOG7KG9J9VY","GSON1112061331")</f>
        <v>#NAME?</v>
      </c>
      <c r="Q1205" s="24" t="e">
        <f ca="1">[1]!BexGetData("DP_1","00O2TNJGODT0G5Z4TTKYMM5MT","GSON1112061331")</f>
        <v>#NAME?</v>
      </c>
      <c r="R1205" s="24" t="e">
        <f ca="1">[1]!BexGetData("DP_1","00O2TNJGODT0G5Z4TTKYMMBYD","GSON1112061331")</f>
        <v>#NAME?</v>
      </c>
      <c r="S1205" s="24" t="e">
        <f ca="1">[1]!BexGetData("DP_1","00O2TNJGODT0G5Z4TTKYMMI9X","GSON1112061331")</f>
        <v>#NAME?</v>
      </c>
      <c r="T1205" s="24" t="e">
        <f ca="1">[1]!BexGetData("DP_1","00O2TNJGODT0G5Z4TTKYMMOLH","GSON1112061331")</f>
        <v>#NAME?</v>
      </c>
      <c r="U1205" s="24" t="e">
        <f ca="1">[1]!BexGetData("DP_1","00O2TNJGODT0G5Z4TTKYMMUX1","GSON1112061331")</f>
        <v>#NAME?</v>
      </c>
      <c r="V1205" s="24" t="e">
        <f ca="1">[1]!BexGetData("DP_1","00O2TNJGODT0G5Z4TTKYMN18L","GSON1112061331")</f>
        <v>#NAME?</v>
      </c>
      <c r="W1205" s="24" t="e">
        <f ca="1">[1]!BexGetData("DP_1","00O2TNJGODT0G5Z4TTKYMN7K5","GSON1112061331")</f>
        <v>#NAME?</v>
      </c>
    </row>
    <row r="1206" spans="1:23" x14ac:dyDescent="0.2">
      <c r="A1206" s="36" t="s">
        <v>3766</v>
      </c>
      <c r="B1206" s="27" t="s">
        <v>3767</v>
      </c>
      <c r="C1206" s="23" t="e">
        <f ca="1">[1]!BexGetData("DP_1","003N8EMH8GTFRCSWKMPXRR8GU","GSON1112061333")</f>
        <v>#NAME?</v>
      </c>
      <c r="D1206" s="23" t="e">
        <f ca="1">[1]!BexGetData("DP_1","003N8EMH8GTFRCSWKMPXRRESE","GSON1112061333")</f>
        <v>#NAME?</v>
      </c>
      <c r="E1206" s="28" t="e">
        <f ca="1">[1]!BexGetData("DP_1","003N8EMH8GTFRCSWKMPXRRL3Y","GSON1112061333")</f>
        <v>#NAME?</v>
      </c>
      <c r="F1206" s="24" t="e">
        <f ca="1">[1]!BexGetData("DP_1","003N8EMH8GTFRCSWKMPXRRRFI","GSON1112061333")</f>
        <v>#NAME?</v>
      </c>
      <c r="G1206" s="24" t="e">
        <f ca="1">[1]!BexGetData("DP_1","003N8EMH8GTFRCSWKMPXRRXR2","GSON1112061333")</f>
        <v>#NAME?</v>
      </c>
      <c r="H1206" s="24" t="e">
        <f ca="1">[1]!BexGetData("DP_1","003N8EMH8GTFRCSWKMPXRS42M","GSON1112061333")</f>
        <v>#NAME?</v>
      </c>
      <c r="I1206" s="24" t="e">
        <f ca="1">[1]!BexGetData("DP_1","003N8EMH8GTFRCSWKMPXRSAE6","GSON1112061333")</f>
        <v>#NAME?</v>
      </c>
      <c r="J1206" s="24" t="e">
        <f ca="1">[1]!BexGetData("DP_1","003N8EMH8GTFRCSWKMPXRSGPQ","GSON1112061333")</f>
        <v>#NAME?</v>
      </c>
      <c r="K1206" s="28" t="e">
        <f ca="1">[1]!BexGetData("DP_1","003N8EMH8GTFRIVNUPY288VJH","GSON1112061333")</f>
        <v>#NAME?</v>
      </c>
      <c r="L1206" s="28" t="e">
        <f ca="1">[1]!BexGetData("DP_1","003N8EMH8GTFRIVNUPY2891V1","GSON1112061333")</f>
        <v>#NAME?</v>
      </c>
      <c r="M1206" s="28" t="e">
        <f ca="1">[1]!BexGetData("DP_1","003N8EMH8GTFRIVOG7KG9IQXA","GSON1112061333")</f>
        <v>#NAME?</v>
      </c>
      <c r="N1206" s="28" t="e">
        <f ca="1">[1]!BexGetData("DP_1","003N8EMH8GTFRIVOG7KG9IX8U","GSON1112061333")</f>
        <v>#NAME?</v>
      </c>
      <c r="O1206" s="28" t="e">
        <f ca="1">[1]!BexGetData("DP_1","003N8EMH8GTFRIVOG7KG9J3KE","GSON1112061333")</f>
        <v>#NAME?</v>
      </c>
      <c r="P1206" s="28" t="e">
        <f ca="1">[1]!BexGetData("DP_1","003N8EMH8GTFRIVOG7KG9J9VY","GSON1112061333")</f>
        <v>#NAME?</v>
      </c>
      <c r="Q1206" s="24" t="e">
        <f ca="1">[1]!BexGetData("DP_1","00O2TNJGODT0G5Z4TTKYMM5MT","GSON1112061333")</f>
        <v>#NAME?</v>
      </c>
      <c r="R1206" s="24" t="e">
        <f ca="1">[1]!BexGetData("DP_1","00O2TNJGODT0G5Z4TTKYMMBYD","GSON1112061333")</f>
        <v>#NAME?</v>
      </c>
      <c r="S1206" s="24" t="e">
        <f ca="1">[1]!BexGetData("DP_1","00O2TNJGODT0G5Z4TTKYMMI9X","GSON1112061333")</f>
        <v>#NAME?</v>
      </c>
      <c r="T1206" s="24" t="e">
        <f ca="1">[1]!BexGetData("DP_1","00O2TNJGODT0G5Z4TTKYMMOLH","GSON1112061333")</f>
        <v>#NAME?</v>
      </c>
      <c r="U1206" s="24" t="e">
        <f ca="1">[1]!BexGetData("DP_1","00O2TNJGODT0G5Z4TTKYMMUX1","GSON1112061333")</f>
        <v>#NAME?</v>
      </c>
      <c r="V1206" s="24" t="e">
        <f ca="1">[1]!BexGetData("DP_1","00O2TNJGODT0G5Z4TTKYMN18L","GSON1112061333")</f>
        <v>#NAME?</v>
      </c>
      <c r="W1206" s="24" t="e">
        <f ca="1">[1]!BexGetData("DP_1","00O2TNJGODT0G5Z4TTKYMN7K5","GSON1112061333")</f>
        <v>#NAME?</v>
      </c>
    </row>
    <row r="1207" spans="1:23" x14ac:dyDescent="0.2">
      <c r="A1207" s="36" t="s">
        <v>3768</v>
      </c>
      <c r="B1207" s="27" t="s">
        <v>3769</v>
      </c>
      <c r="C1207" s="23" t="e">
        <f ca="1">[1]!BexGetData("DP_1","003N8EMH8GTFRCSWKMPXRR8GU","GSON1112061334")</f>
        <v>#NAME?</v>
      </c>
      <c r="D1207" s="23" t="e">
        <f ca="1">[1]!BexGetData("DP_1","003N8EMH8GTFRCSWKMPXRRESE","GSON1112061334")</f>
        <v>#NAME?</v>
      </c>
      <c r="E1207" s="28" t="e">
        <f ca="1">[1]!BexGetData("DP_1","003N8EMH8GTFRCSWKMPXRRL3Y","GSON1112061334")</f>
        <v>#NAME?</v>
      </c>
      <c r="F1207" s="24" t="e">
        <f ca="1">[1]!BexGetData("DP_1","003N8EMH8GTFRCSWKMPXRRRFI","GSON1112061334")</f>
        <v>#NAME?</v>
      </c>
      <c r="G1207" s="24" t="e">
        <f ca="1">[1]!BexGetData("DP_1","003N8EMH8GTFRCSWKMPXRRXR2","GSON1112061334")</f>
        <v>#NAME?</v>
      </c>
      <c r="H1207" s="24" t="e">
        <f ca="1">[1]!BexGetData("DP_1","003N8EMH8GTFRCSWKMPXRS42M","GSON1112061334")</f>
        <v>#NAME?</v>
      </c>
      <c r="I1207" s="24" t="e">
        <f ca="1">[1]!BexGetData("DP_1","003N8EMH8GTFRCSWKMPXRSAE6","GSON1112061334")</f>
        <v>#NAME?</v>
      </c>
      <c r="J1207" s="24" t="e">
        <f ca="1">[1]!BexGetData("DP_1","003N8EMH8GTFRCSWKMPXRSGPQ","GSON1112061334")</f>
        <v>#NAME?</v>
      </c>
      <c r="K1207" s="28" t="e">
        <f ca="1">[1]!BexGetData("DP_1","003N8EMH8GTFRIVNUPY288VJH","GSON1112061334")</f>
        <v>#NAME?</v>
      </c>
      <c r="L1207" s="28" t="e">
        <f ca="1">[1]!BexGetData("DP_1","003N8EMH8GTFRIVNUPY2891V1","GSON1112061334")</f>
        <v>#NAME?</v>
      </c>
      <c r="M1207" s="28" t="e">
        <f ca="1">[1]!BexGetData("DP_1","003N8EMH8GTFRIVOG7KG9IQXA","GSON1112061334")</f>
        <v>#NAME?</v>
      </c>
      <c r="N1207" s="28" t="e">
        <f ca="1">[1]!BexGetData("DP_1","003N8EMH8GTFRIVOG7KG9IX8U","GSON1112061334")</f>
        <v>#NAME?</v>
      </c>
      <c r="O1207" s="28" t="e">
        <f ca="1">[1]!BexGetData("DP_1","003N8EMH8GTFRIVOG7KG9J3KE","GSON1112061334")</f>
        <v>#NAME?</v>
      </c>
      <c r="P1207" s="28" t="e">
        <f ca="1">[1]!BexGetData("DP_1","003N8EMH8GTFRIVOG7KG9J9VY","GSON1112061334")</f>
        <v>#NAME?</v>
      </c>
      <c r="Q1207" s="24" t="e">
        <f ca="1">[1]!BexGetData("DP_1","00O2TNJGODT0G5Z4TTKYMM5MT","GSON1112061334")</f>
        <v>#NAME?</v>
      </c>
      <c r="R1207" s="24" t="e">
        <f ca="1">[1]!BexGetData("DP_1","00O2TNJGODT0G5Z4TTKYMMBYD","GSON1112061334")</f>
        <v>#NAME?</v>
      </c>
      <c r="S1207" s="24" t="e">
        <f ca="1">[1]!BexGetData("DP_1","00O2TNJGODT0G5Z4TTKYMMI9X","GSON1112061334")</f>
        <v>#NAME?</v>
      </c>
      <c r="T1207" s="24" t="e">
        <f ca="1">[1]!BexGetData("DP_1","00O2TNJGODT0G5Z4TTKYMMOLH","GSON1112061334")</f>
        <v>#NAME?</v>
      </c>
      <c r="U1207" s="24" t="e">
        <f ca="1">[1]!BexGetData("DP_1","00O2TNJGODT0G5Z4TTKYMMUX1","GSON1112061334")</f>
        <v>#NAME?</v>
      </c>
      <c r="V1207" s="24" t="e">
        <f ca="1">[1]!BexGetData("DP_1","00O2TNJGODT0G5Z4TTKYMN18L","GSON1112061334")</f>
        <v>#NAME?</v>
      </c>
      <c r="W1207" s="24" t="e">
        <f ca="1">[1]!BexGetData("DP_1","00O2TNJGODT0G5Z4TTKYMN7K5","GSON1112061334")</f>
        <v>#NAME?</v>
      </c>
    </row>
    <row r="1208" spans="1:23" x14ac:dyDescent="0.2">
      <c r="A1208" s="36" t="s">
        <v>3770</v>
      </c>
      <c r="B1208" s="27" t="s">
        <v>3771</v>
      </c>
      <c r="C1208" s="23" t="e">
        <f ca="1">[1]!BexGetData("DP_1","003N8EMH8GTFRCSWKMPXRR8GU","GSON1112061335")</f>
        <v>#NAME?</v>
      </c>
      <c r="D1208" s="23" t="e">
        <f ca="1">[1]!BexGetData("DP_1","003N8EMH8GTFRCSWKMPXRRESE","GSON1112061335")</f>
        <v>#NAME?</v>
      </c>
      <c r="E1208" s="28" t="e">
        <f ca="1">[1]!BexGetData("DP_1","003N8EMH8GTFRCSWKMPXRRL3Y","GSON1112061335")</f>
        <v>#NAME?</v>
      </c>
      <c r="F1208" s="24" t="e">
        <f ca="1">[1]!BexGetData("DP_1","003N8EMH8GTFRCSWKMPXRRRFI","GSON1112061335")</f>
        <v>#NAME?</v>
      </c>
      <c r="G1208" s="24" t="e">
        <f ca="1">[1]!BexGetData("DP_1","003N8EMH8GTFRCSWKMPXRRXR2","GSON1112061335")</f>
        <v>#NAME?</v>
      </c>
      <c r="H1208" s="24" t="e">
        <f ca="1">[1]!BexGetData("DP_1","003N8EMH8GTFRCSWKMPXRS42M","GSON1112061335")</f>
        <v>#NAME?</v>
      </c>
      <c r="I1208" s="24" t="e">
        <f ca="1">[1]!BexGetData("DP_1","003N8EMH8GTFRCSWKMPXRSAE6","GSON1112061335")</f>
        <v>#NAME?</v>
      </c>
      <c r="J1208" s="24" t="e">
        <f ca="1">[1]!BexGetData("DP_1","003N8EMH8GTFRCSWKMPXRSGPQ","GSON1112061335")</f>
        <v>#NAME?</v>
      </c>
      <c r="K1208" s="28" t="e">
        <f ca="1">[1]!BexGetData("DP_1","003N8EMH8GTFRIVNUPY288VJH","GSON1112061335")</f>
        <v>#NAME?</v>
      </c>
      <c r="L1208" s="28" t="e">
        <f ca="1">[1]!BexGetData("DP_1","003N8EMH8GTFRIVNUPY2891V1","GSON1112061335")</f>
        <v>#NAME?</v>
      </c>
      <c r="M1208" s="28" t="e">
        <f ca="1">[1]!BexGetData("DP_1","003N8EMH8GTFRIVOG7KG9IQXA","GSON1112061335")</f>
        <v>#NAME?</v>
      </c>
      <c r="N1208" s="28" t="e">
        <f ca="1">[1]!BexGetData("DP_1","003N8EMH8GTFRIVOG7KG9IX8U","GSON1112061335")</f>
        <v>#NAME?</v>
      </c>
      <c r="O1208" s="28" t="e">
        <f ca="1">[1]!BexGetData("DP_1","003N8EMH8GTFRIVOG7KG9J3KE","GSON1112061335")</f>
        <v>#NAME?</v>
      </c>
      <c r="P1208" s="28" t="e">
        <f ca="1">[1]!BexGetData("DP_1","003N8EMH8GTFRIVOG7KG9J9VY","GSON1112061335")</f>
        <v>#NAME?</v>
      </c>
      <c r="Q1208" s="24" t="e">
        <f ca="1">[1]!BexGetData("DP_1","00O2TNJGODT0G5Z4TTKYMM5MT","GSON1112061335")</f>
        <v>#NAME?</v>
      </c>
      <c r="R1208" s="24" t="e">
        <f ca="1">[1]!BexGetData("DP_1","00O2TNJGODT0G5Z4TTKYMMBYD","GSON1112061335")</f>
        <v>#NAME?</v>
      </c>
      <c r="S1208" s="24" t="e">
        <f ca="1">[1]!BexGetData("DP_1","00O2TNJGODT0G5Z4TTKYMMI9X","GSON1112061335")</f>
        <v>#NAME?</v>
      </c>
      <c r="T1208" s="24" t="e">
        <f ca="1">[1]!BexGetData("DP_1","00O2TNJGODT0G5Z4TTKYMMOLH","GSON1112061335")</f>
        <v>#NAME?</v>
      </c>
      <c r="U1208" s="24" t="e">
        <f ca="1">[1]!BexGetData("DP_1","00O2TNJGODT0G5Z4TTKYMMUX1","GSON1112061335")</f>
        <v>#NAME?</v>
      </c>
      <c r="V1208" s="24" t="e">
        <f ca="1">[1]!BexGetData("DP_1","00O2TNJGODT0G5Z4TTKYMN18L","GSON1112061335")</f>
        <v>#NAME?</v>
      </c>
      <c r="W1208" s="24" t="e">
        <f ca="1">[1]!BexGetData("DP_1","00O2TNJGODT0G5Z4TTKYMN7K5","GSON1112061335")</f>
        <v>#NAME?</v>
      </c>
    </row>
    <row r="1209" spans="1:23" x14ac:dyDescent="0.2">
      <c r="A1209" s="36" t="s">
        <v>3772</v>
      </c>
      <c r="B1209" s="27" t="s">
        <v>3773</v>
      </c>
      <c r="C1209" s="23" t="e">
        <f ca="1">[1]!BexGetData("DP_1","003N8EMH8GTFRCSWKMPXRR8GU","GSON1112061340")</f>
        <v>#NAME?</v>
      </c>
      <c r="D1209" s="23" t="e">
        <f ca="1">[1]!BexGetData("DP_1","003N8EMH8GTFRCSWKMPXRRESE","GSON1112061340")</f>
        <v>#NAME?</v>
      </c>
      <c r="E1209" s="28" t="e">
        <f ca="1">[1]!BexGetData("DP_1","003N8EMH8GTFRCSWKMPXRRL3Y","GSON1112061340")</f>
        <v>#NAME?</v>
      </c>
      <c r="F1209" s="24" t="e">
        <f ca="1">[1]!BexGetData("DP_1","003N8EMH8GTFRCSWKMPXRRRFI","GSON1112061340")</f>
        <v>#NAME?</v>
      </c>
      <c r="G1209" s="24" t="e">
        <f ca="1">[1]!BexGetData("DP_1","003N8EMH8GTFRCSWKMPXRRXR2","GSON1112061340")</f>
        <v>#NAME?</v>
      </c>
      <c r="H1209" s="24" t="e">
        <f ca="1">[1]!BexGetData("DP_1","003N8EMH8GTFRCSWKMPXRS42M","GSON1112061340")</f>
        <v>#NAME?</v>
      </c>
      <c r="I1209" s="24" t="e">
        <f ca="1">[1]!BexGetData("DP_1","003N8EMH8GTFRCSWKMPXRSAE6","GSON1112061340")</f>
        <v>#NAME?</v>
      </c>
      <c r="J1209" s="24" t="e">
        <f ca="1">[1]!BexGetData("DP_1","003N8EMH8GTFRCSWKMPXRSGPQ","GSON1112061340")</f>
        <v>#NAME?</v>
      </c>
      <c r="K1209" s="28" t="e">
        <f ca="1">[1]!BexGetData("DP_1","003N8EMH8GTFRIVNUPY288VJH","GSON1112061340")</f>
        <v>#NAME?</v>
      </c>
      <c r="L1209" s="28" t="e">
        <f ca="1">[1]!BexGetData("DP_1","003N8EMH8GTFRIVNUPY2891V1","GSON1112061340")</f>
        <v>#NAME?</v>
      </c>
      <c r="M1209" s="28" t="e">
        <f ca="1">[1]!BexGetData("DP_1","003N8EMH8GTFRIVOG7KG9IQXA","GSON1112061340")</f>
        <v>#NAME?</v>
      </c>
      <c r="N1209" s="28" t="e">
        <f ca="1">[1]!BexGetData("DP_1","003N8EMH8GTFRIVOG7KG9IX8U","GSON1112061340")</f>
        <v>#NAME?</v>
      </c>
      <c r="O1209" s="28" t="e">
        <f ca="1">[1]!BexGetData("DP_1","003N8EMH8GTFRIVOG7KG9J3KE","GSON1112061340")</f>
        <v>#NAME?</v>
      </c>
      <c r="P1209" s="28" t="e">
        <f ca="1">[1]!BexGetData("DP_1","003N8EMH8GTFRIVOG7KG9J9VY","GSON1112061340")</f>
        <v>#NAME?</v>
      </c>
      <c r="Q1209" s="24" t="e">
        <f ca="1">[1]!BexGetData("DP_1","00O2TNJGODT0G5Z4TTKYMM5MT","GSON1112061340")</f>
        <v>#NAME?</v>
      </c>
      <c r="R1209" s="24" t="e">
        <f ca="1">[1]!BexGetData("DP_1","00O2TNJGODT0G5Z4TTKYMMBYD","GSON1112061340")</f>
        <v>#NAME?</v>
      </c>
      <c r="S1209" s="24" t="e">
        <f ca="1">[1]!BexGetData("DP_1","00O2TNJGODT0G5Z4TTKYMMI9X","GSON1112061340")</f>
        <v>#NAME?</v>
      </c>
      <c r="T1209" s="24" t="e">
        <f ca="1">[1]!BexGetData("DP_1","00O2TNJGODT0G5Z4TTKYMMOLH","GSON1112061340")</f>
        <v>#NAME?</v>
      </c>
      <c r="U1209" s="24" t="e">
        <f ca="1">[1]!BexGetData("DP_1","00O2TNJGODT0G5Z4TTKYMMUX1","GSON1112061340")</f>
        <v>#NAME?</v>
      </c>
      <c r="V1209" s="24" t="e">
        <f ca="1">[1]!BexGetData("DP_1","00O2TNJGODT0G5Z4TTKYMN18L","GSON1112061340")</f>
        <v>#NAME?</v>
      </c>
      <c r="W1209" s="24" t="e">
        <f ca="1">[1]!BexGetData("DP_1","00O2TNJGODT0G5Z4TTKYMN7K5","GSON1112061340")</f>
        <v>#NAME?</v>
      </c>
    </row>
    <row r="1210" spans="1:23" x14ac:dyDescent="0.2">
      <c r="A1210" s="36" t="s">
        <v>3774</v>
      </c>
      <c r="B1210" s="27" t="s">
        <v>3775</v>
      </c>
      <c r="C1210" s="23" t="e">
        <f ca="1">[1]!BexGetData("DP_1","003N8EMH8GTFRCSWKMPXRR8GU","GSON1112061341")</f>
        <v>#NAME?</v>
      </c>
      <c r="D1210" s="23" t="e">
        <f ca="1">[1]!BexGetData("DP_1","003N8EMH8GTFRCSWKMPXRRESE","GSON1112061341")</f>
        <v>#NAME?</v>
      </c>
      <c r="E1210" s="28" t="e">
        <f ca="1">[1]!BexGetData("DP_1","003N8EMH8GTFRCSWKMPXRRL3Y","GSON1112061341")</f>
        <v>#NAME?</v>
      </c>
      <c r="F1210" s="24" t="e">
        <f ca="1">[1]!BexGetData("DP_1","003N8EMH8GTFRCSWKMPXRRRFI","GSON1112061341")</f>
        <v>#NAME?</v>
      </c>
      <c r="G1210" s="24" t="e">
        <f ca="1">[1]!BexGetData("DP_1","003N8EMH8GTFRCSWKMPXRRXR2","GSON1112061341")</f>
        <v>#NAME?</v>
      </c>
      <c r="H1210" s="24" t="e">
        <f ca="1">[1]!BexGetData("DP_1","003N8EMH8GTFRCSWKMPXRS42M","GSON1112061341")</f>
        <v>#NAME?</v>
      </c>
      <c r="I1210" s="24" t="e">
        <f ca="1">[1]!BexGetData("DP_1","003N8EMH8GTFRCSWKMPXRSAE6","GSON1112061341")</f>
        <v>#NAME?</v>
      </c>
      <c r="J1210" s="24" t="e">
        <f ca="1">[1]!BexGetData("DP_1","003N8EMH8GTFRCSWKMPXRSGPQ","GSON1112061341")</f>
        <v>#NAME?</v>
      </c>
      <c r="K1210" s="28" t="e">
        <f ca="1">[1]!BexGetData("DP_1","003N8EMH8GTFRIVNUPY288VJH","GSON1112061341")</f>
        <v>#NAME?</v>
      </c>
      <c r="L1210" s="28" t="e">
        <f ca="1">[1]!BexGetData("DP_1","003N8EMH8GTFRIVNUPY2891V1","GSON1112061341")</f>
        <v>#NAME?</v>
      </c>
      <c r="M1210" s="28" t="e">
        <f ca="1">[1]!BexGetData("DP_1","003N8EMH8GTFRIVOG7KG9IQXA","GSON1112061341")</f>
        <v>#NAME?</v>
      </c>
      <c r="N1210" s="28" t="e">
        <f ca="1">[1]!BexGetData("DP_1","003N8EMH8GTFRIVOG7KG9IX8U","GSON1112061341")</f>
        <v>#NAME?</v>
      </c>
      <c r="O1210" s="28" t="e">
        <f ca="1">[1]!BexGetData("DP_1","003N8EMH8GTFRIVOG7KG9J3KE","GSON1112061341")</f>
        <v>#NAME?</v>
      </c>
      <c r="P1210" s="28" t="e">
        <f ca="1">[1]!BexGetData("DP_1","003N8EMH8GTFRIVOG7KG9J9VY","GSON1112061341")</f>
        <v>#NAME?</v>
      </c>
      <c r="Q1210" s="24" t="e">
        <f ca="1">[1]!BexGetData("DP_1","00O2TNJGODT0G5Z4TTKYMM5MT","GSON1112061341")</f>
        <v>#NAME?</v>
      </c>
      <c r="R1210" s="24" t="e">
        <f ca="1">[1]!BexGetData("DP_1","00O2TNJGODT0G5Z4TTKYMMBYD","GSON1112061341")</f>
        <v>#NAME?</v>
      </c>
      <c r="S1210" s="24" t="e">
        <f ca="1">[1]!BexGetData("DP_1","00O2TNJGODT0G5Z4TTKYMMI9X","GSON1112061341")</f>
        <v>#NAME?</v>
      </c>
      <c r="T1210" s="24" t="e">
        <f ca="1">[1]!BexGetData("DP_1","00O2TNJGODT0G5Z4TTKYMMOLH","GSON1112061341")</f>
        <v>#NAME?</v>
      </c>
      <c r="U1210" s="24" t="e">
        <f ca="1">[1]!BexGetData("DP_1","00O2TNJGODT0G5Z4TTKYMMUX1","GSON1112061341")</f>
        <v>#NAME?</v>
      </c>
      <c r="V1210" s="24" t="e">
        <f ca="1">[1]!BexGetData("DP_1","00O2TNJGODT0G5Z4TTKYMN18L","GSON1112061341")</f>
        <v>#NAME?</v>
      </c>
      <c r="W1210" s="24" t="e">
        <f ca="1">[1]!BexGetData("DP_1","00O2TNJGODT0G5Z4TTKYMN7K5","GSON1112061341")</f>
        <v>#NAME?</v>
      </c>
    </row>
    <row r="1211" spans="1:23" x14ac:dyDescent="0.2">
      <c r="A1211" s="36" t="s">
        <v>3776</v>
      </c>
      <c r="B1211" s="27" t="s">
        <v>3777</v>
      </c>
      <c r="C1211" s="23" t="e">
        <f ca="1">[1]!BexGetData("DP_1","003N8EMH8GTFRCSWKMPXRR8GU","GSON1112061343")</f>
        <v>#NAME?</v>
      </c>
      <c r="D1211" s="23" t="e">
        <f ca="1">[1]!BexGetData("DP_1","003N8EMH8GTFRCSWKMPXRRESE","GSON1112061343")</f>
        <v>#NAME?</v>
      </c>
      <c r="E1211" s="28" t="e">
        <f ca="1">[1]!BexGetData("DP_1","003N8EMH8GTFRCSWKMPXRRL3Y","GSON1112061343")</f>
        <v>#NAME?</v>
      </c>
      <c r="F1211" s="24" t="e">
        <f ca="1">[1]!BexGetData("DP_1","003N8EMH8GTFRCSWKMPXRRRFI","GSON1112061343")</f>
        <v>#NAME?</v>
      </c>
      <c r="G1211" s="24" t="e">
        <f ca="1">[1]!BexGetData("DP_1","003N8EMH8GTFRCSWKMPXRRXR2","GSON1112061343")</f>
        <v>#NAME?</v>
      </c>
      <c r="H1211" s="24" t="e">
        <f ca="1">[1]!BexGetData("DP_1","003N8EMH8GTFRCSWKMPXRS42M","GSON1112061343")</f>
        <v>#NAME?</v>
      </c>
      <c r="I1211" s="24" t="e">
        <f ca="1">[1]!BexGetData("DP_1","003N8EMH8GTFRCSWKMPXRSAE6","GSON1112061343")</f>
        <v>#NAME?</v>
      </c>
      <c r="J1211" s="24" t="e">
        <f ca="1">[1]!BexGetData("DP_1","003N8EMH8GTFRCSWKMPXRSGPQ","GSON1112061343")</f>
        <v>#NAME?</v>
      </c>
      <c r="K1211" s="28" t="e">
        <f ca="1">[1]!BexGetData("DP_1","003N8EMH8GTFRIVNUPY288VJH","GSON1112061343")</f>
        <v>#NAME?</v>
      </c>
      <c r="L1211" s="28" t="e">
        <f ca="1">[1]!BexGetData("DP_1","003N8EMH8GTFRIVNUPY2891V1","GSON1112061343")</f>
        <v>#NAME?</v>
      </c>
      <c r="M1211" s="28" t="e">
        <f ca="1">[1]!BexGetData("DP_1","003N8EMH8GTFRIVOG7KG9IQXA","GSON1112061343")</f>
        <v>#NAME?</v>
      </c>
      <c r="N1211" s="28" t="e">
        <f ca="1">[1]!BexGetData("DP_1","003N8EMH8GTFRIVOG7KG9IX8U","GSON1112061343")</f>
        <v>#NAME?</v>
      </c>
      <c r="O1211" s="28" t="e">
        <f ca="1">[1]!BexGetData("DP_1","003N8EMH8GTFRIVOG7KG9J3KE","GSON1112061343")</f>
        <v>#NAME?</v>
      </c>
      <c r="P1211" s="28" t="e">
        <f ca="1">[1]!BexGetData("DP_1","003N8EMH8GTFRIVOG7KG9J9VY","GSON1112061343")</f>
        <v>#NAME?</v>
      </c>
      <c r="Q1211" s="24" t="e">
        <f ca="1">[1]!BexGetData("DP_1","00O2TNJGODT0G5Z4TTKYMM5MT","GSON1112061343")</f>
        <v>#NAME?</v>
      </c>
      <c r="R1211" s="24" t="e">
        <f ca="1">[1]!BexGetData("DP_1","00O2TNJGODT0G5Z4TTKYMMBYD","GSON1112061343")</f>
        <v>#NAME?</v>
      </c>
      <c r="S1211" s="24" t="e">
        <f ca="1">[1]!BexGetData("DP_1","00O2TNJGODT0G5Z4TTKYMMI9X","GSON1112061343")</f>
        <v>#NAME?</v>
      </c>
      <c r="T1211" s="24" t="e">
        <f ca="1">[1]!BexGetData("DP_1","00O2TNJGODT0G5Z4TTKYMMOLH","GSON1112061343")</f>
        <v>#NAME?</v>
      </c>
      <c r="U1211" s="24" t="e">
        <f ca="1">[1]!BexGetData("DP_1","00O2TNJGODT0G5Z4TTKYMMUX1","GSON1112061343")</f>
        <v>#NAME?</v>
      </c>
      <c r="V1211" s="24" t="e">
        <f ca="1">[1]!BexGetData("DP_1","00O2TNJGODT0G5Z4TTKYMN18L","GSON1112061343")</f>
        <v>#NAME?</v>
      </c>
      <c r="W1211" s="24" t="e">
        <f ca="1">[1]!BexGetData("DP_1","00O2TNJGODT0G5Z4TTKYMN7K5","GSON1112061343")</f>
        <v>#NAME?</v>
      </c>
    </row>
    <row r="1212" spans="1:23" x14ac:dyDescent="0.2">
      <c r="A1212" s="36" t="s">
        <v>3778</v>
      </c>
      <c r="B1212" s="27" t="s">
        <v>3779</v>
      </c>
      <c r="C1212" s="23" t="e">
        <f ca="1">[1]!BexGetData("DP_1","003N8EMH8GTFRCSWKMPXRR8GU","GSON1112061344")</f>
        <v>#NAME?</v>
      </c>
      <c r="D1212" s="23" t="e">
        <f ca="1">[1]!BexGetData("DP_1","003N8EMH8GTFRCSWKMPXRRESE","GSON1112061344")</f>
        <v>#NAME?</v>
      </c>
      <c r="E1212" s="28" t="e">
        <f ca="1">[1]!BexGetData("DP_1","003N8EMH8GTFRCSWKMPXRRL3Y","GSON1112061344")</f>
        <v>#NAME?</v>
      </c>
      <c r="F1212" s="24" t="e">
        <f ca="1">[1]!BexGetData("DP_1","003N8EMH8GTFRCSWKMPXRRRFI","GSON1112061344")</f>
        <v>#NAME?</v>
      </c>
      <c r="G1212" s="24" t="e">
        <f ca="1">[1]!BexGetData("DP_1","003N8EMH8GTFRCSWKMPXRRXR2","GSON1112061344")</f>
        <v>#NAME?</v>
      </c>
      <c r="H1212" s="24" t="e">
        <f ca="1">[1]!BexGetData("DP_1","003N8EMH8GTFRCSWKMPXRS42M","GSON1112061344")</f>
        <v>#NAME?</v>
      </c>
      <c r="I1212" s="24" t="e">
        <f ca="1">[1]!BexGetData("DP_1","003N8EMH8GTFRCSWKMPXRSAE6","GSON1112061344")</f>
        <v>#NAME?</v>
      </c>
      <c r="J1212" s="24" t="e">
        <f ca="1">[1]!BexGetData("DP_1","003N8EMH8GTFRCSWKMPXRSGPQ","GSON1112061344")</f>
        <v>#NAME?</v>
      </c>
      <c r="K1212" s="28" t="e">
        <f ca="1">[1]!BexGetData("DP_1","003N8EMH8GTFRIVNUPY288VJH","GSON1112061344")</f>
        <v>#NAME?</v>
      </c>
      <c r="L1212" s="28" t="e">
        <f ca="1">[1]!BexGetData("DP_1","003N8EMH8GTFRIVNUPY2891V1","GSON1112061344")</f>
        <v>#NAME?</v>
      </c>
      <c r="M1212" s="28" t="e">
        <f ca="1">[1]!BexGetData("DP_1","003N8EMH8GTFRIVOG7KG9IQXA","GSON1112061344")</f>
        <v>#NAME?</v>
      </c>
      <c r="N1212" s="28" t="e">
        <f ca="1">[1]!BexGetData("DP_1","003N8EMH8GTFRIVOG7KG9IX8U","GSON1112061344")</f>
        <v>#NAME?</v>
      </c>
      <c r="O1212" s="28" t="e">
        <f ca="1">[1]!BexGetData("DP_1","003N8EMH8GTFRIVOG7KG9J3KE","GSON1112061344")</f>
        <v>#NAME?</v>
      </c>
      <c r="P1212" s="28" t="e">
        <f ca="1">[1]!BexGetData("DP_1","003N8EMH8GTFRIVOG7KG9J9VY","GSON1112061344")</f>
        <v>#NAME?</v>
      </c>
      <c r="Q1212" s="24" t="e">
        <f ca="1">[1]!BexGetData("DP_1","00O2TNJGODT0G5Z4TTKYMM5MT","GSON1112061344")</f>
        <v>#NAME?</v>
      </c>
      <c r="R1212" s="24" t="e">
        <f ca="1">[1]!BexGetData("DP_1","00O2TNJGODT0G5Z4TTKYMMBYD","GSON1112061344")</f>
        <v>#NAME?</v>
      </c>
      <c r="S1212" s="24" t="e">
        <f ca="1">[1]!BexGetData("DP_1","00O2TNJGODT0G5Z4TTKYMMI9X","GSON1112061344")</f>
        <v>#NAME?</v>
      </c>
      <c r="T1212" s="24" t="e">
        <f ca="1">[1]!BexGetData("DP_1","00O2TNJGODT0G5Z4TTKYMMOLH","GSON1112061344")</f>
        <v>#NAME?</v>
      </c>
      <c r="U1212" s="24" t="e">
        <f ca="1">[1]!BexGetData("DP_1","00O2TNJGODT0G5Z4TTKYMMUX1","GSON1112061344")</f>
        <v>#NAME?</v>
      </c>
      <c r="V1212" s="24" t="e">
        <f ca="1">[1]!BexGetData("DP_1","00O2TNJGODT0G5Z4TTKYMN18L","GSON1112061344")</f>
        <v>#NAME?</v>
      </c>
      <c r="W1212" s="24" t="e">
        <f ca="1">[1]!BexGetData("DP_1","00O2TNJGODT0G5Z4TTKYMN7K5","GSON1112061344")</f>
        <v>#NAME?</v>
      </c>
    </row>
    <row r="1213" spans="1:23" x14ac:dyDescent="0.2">
      <c r="A1213" s="36" t="s">
        <v>3780</v>
      </c>
      <c r="B1213" s="27" t="s">
        <v>3781</v>
      </c>
      <c r="C1213" s="23" t="e">
        <f ca="1">[1]!BexGetData("DP_1","003N8EMH8GTFRCSWKMPXRR8GU","GSON1112061345")</f>
        <v>#NAME?</v>
      </c>
      <c r="D1213" s="23" t="e">
        <f ca="1">[1]!BexGetData("DP_1","003N8EMH8GTFRCSWKMPXRRESE","GSON1112061345")</f>
        <v>#NAME?</v>
      </c>
      <c r="E1213" s="28" t="e">
        <f ca="1">[1]!BexGetData("DP_1","003N8EMH8GTFRCSWKMPXRRL3Y","GSON1112061345")</f>
        <v>#NAME?</v>
      </c>
      <c r="F1213" s="24" t="e">
        <f ca="1">[1]!BexGetData("DP_1","003N8EMH8GTFRCSWKMPXRRRFI","GSON1112061345")</f>
        <v>#NAME?</v>
      </c>
      <c r="G1213" s="24" t="e">
        <f ca="1">[1]!BexGetData("DP_1","003N8EMH8GTFRCSWKMPXRRXR2","GSON1112061345")</f>
        <v>#NAME?</v>
      </c>
      <c r="H1213" s="24" t="e">
        <f ca="1">[1]!BexGetData("DP_1","003N8EMH8GTFRCSWKMPXRS42M","GSON1112061345")</f>
        <v>#NAME?</v>
      </c>
      <c r="I1213" s="24" t="e">
        <f ca="1">[1]!BexGetData("DP_1","003N8EMH8GTFRCSWKMPXRSAE6","GSON1112061345")</f>
        <v>#NAME?</v>
      </c>
      <c r="J1213" s="24" t="e">
        <f ca="1">[1]!BexGetData("DP_1","003N8EMH8GTFRCSWKMPXRSGPQ","GSON1112061345")</f>
        <v>#NAME?</v>
      </c>
      <c r="K1213" s="28" t="e">
        <f ca="1">[1]!BexGetData("DP_1","003N8EMH8GTFRIVNUPY288VJH","GSON1112061345")</f>
        <v>#NAME?</v>
      </c>
      <c r="L1213" s="28" t="e">
        <f ca="1">[1]!BexGetData("DP_1","003N8EMH8GTFRIVNUPY2891V1","GSON1112061345")</f>
        <v>#NAME?</v>
      </c>
      <c r="M1213" s="28" t="e">
        <f ca="1">[1]!BexGetData("DP_1","003N8EMH8GTFRIVOG7KG9IQXA","GSON1112061345")</f>
        <v>#NAME?</v>
      </c>
      <c r="N1213" s="28" t="e">
        <f ca="1">[1]!BexGetData("DP_1","003N8EMH8GTFRIVOG7KG9IX8U","GSON1112061345")</f>
        <v>#NAME?</v>
      </c>
      <c r="O1213" s="28" t="e">
        <f ca="1">[1]!BexGetData("DP_1","003N8EMH8GTFRIVOG7KG9J3KE","GSON1112061345")</f>
        <v>#NAME?</v>
      </c>
      <c r="P1213" s="28" t="e">
        <f ca="1">[1]!BexGetData("DP_1","003N8EMH8GTFRIVOG7KG9J9VY","GSON1112061345")</f>
        <v>#NAME?</v>
      </c>
      <c r="Q1213" s="24" t="e">
        <f ca="1">[1]!BexGetData("DP_1","00O2TNJGODT0G5Z4TTKYMM5MT","GSON1112061345")</f>
        <v>#NAME?</v>
      </c>
      <c r="R1213" s="24" t="e">
        <f ca="1">[1]!BexGetData("DP_1","00O2TNJGODT0G5Z4TTKYMMBYD","GSON1112061345")</f>
        <v>#NAME?</v>
      </c>
      <c r="S1213" s="24" t="e">
        <f ca="1">[1]!BexGetData("DP_1","00O2TNJGODT0G5Z4TTKYMMI9X","GSON1112061345")</f>
        <v>#NAME?</v>
      </c>
      <c r="T1213" s="24" t="e">
        <f ca="1">[1]!BexGetData("DP_1","00O2TNJGODT0G5Z4TTKYMMOLH","GSON1112061345")</f>
        <v>#NAME?</v>
      </c>
      <c r="U1213" s="24" t="e">
        <f ca="1">[1]!BexGetData("DP_1","00O2TNJGODT0G5Z4TTKYMMUX1","GSON1112061345")</f>
        <v>#NAME?</v>
      </c>
      <c r="V1213" s="24" t="e">
        <f ca="1">[1]!BexGetData("DP_1","00O2TNJGODT0G5Z4TTKYMN18L","GSON1112061345")</f>
        <v>#NAME?</v>
      </c>
      <c r="W1213" s="24" t="e">
        <f ca="1">[1]!BexGetData("DP_1","00O2TNJGODT0G5Z4TTKYMN7K5","GSON1112061345")</f>
        <v>#NAME?</v>
      </c>
    </row>
    <row r="1214" spans="1:23" x14ac:dyDescent="0.2">
      <c r="A1214" s="36" t="s">
        <v>3782</v>
      </c>
      <c r="B1214" s="27" t="s">
        <v>3783</v>
      </c>
      <c r="C1214" s="23" t="e">
        <f ca="1">[1]!BexGetData("DP_1","003N8EMH8GTFRCSWKMPXRR8GU","GSON1112061350")</f>
        <v>#NAME?</v>
      </c>
      <c r="D1214" s="23" t="e">
        <f ca="1">[1]!BexGetData("DP_1","003N8EMH8GTFRCSWKMPXRRESE","GSON1112061350")</f>
        <v>#NAME?</v>
      </c>
      <c r="E1214" s="28" t="e">
        <f ca="1">[1]!BexGetData("DP_1","003N8EMH8GTFRCSWKMPXRRL3Y","GSON1112061350")</f>
        <v>#NAME?</v>
      </c>
      <c r="F1214" s="24" t="e">
        <f ca="1">[1]!BexGetData("DP_1","003N8EMH8GTFRCSWKMPXRRRFI","GSON1112061350")</f>
        <v>#NAME?</v>
      </c>
      <c r="G1214" s="24" t="e">
        <f ca="1">[1]!BexGetData("DP_1","003N8EMH8GTFRCSWKMPXRRXR2","GSON1112061350")</f>
        <v>#NAME?</v>
      </c>
      <c r="H1214" s="24" t="e">
        <f ca="1">[1]!BexGetData("DP_1","003N8EMH8GTFRCSWKMPXRS42M","GSON1112061350")</f>
        <v>#NAME?</v>
      </c>
      <c r="I1214" s="24" t="e">
        <f ca="1">[1]!BexGetData("DP_1","003N8EMH8GTFRCSWKMPXRSAE6","GSON1112061350")</f>
        <v>#NAME?</v>
      </c>
      <c r="J1214" s="24" t="e">
        <f ca="1">[1]!BexGetData("DP_1","003N8EMH8GTFRCSWKMPXRSGPQ","GSON1112061350")</f>
        <v>#NAME?</v>
      </c>
      <c r="K1214" s="28" t="e">
        <f ca="1">[1]!BexGetData("DP_1","003N8EMH8GTFRIVNUPY288VJH","GSON1112061350")</f>
        <v>#NAME?</v>
      </c>
      <c r="L1214" s="28" t="e">
        <f ca="1">[1]!BexGetData("DP_1","003N8EMH8GTFRIVNUPY2891V1","GSON1112061350")</f>
        <v>#NAME?</v>
      </c>
      <c r="M1214" s="28" t="e">
        <f ca="1">[1]!BexGetData("DP_1","003N8EMH8GTFRIVOG7KG9IQXA","GSON1112061350")</f>
        <v>#NAME?</v>
      </c>
      <c r="N1214" s="28" t="e">
        <f ca="1">[1]!BexGetData("DP_1","003N8EMH8GTFRIVOG7KG9IX8U","GSON1112061350")</f>
        <v>#NAME?</v>
      </c>
      <c r="O1214" s="28" t="e">
        <f ca="1">[1]!BexGetData("DP_1","003N8EMH8GTFRIVOG7KG9J3KE","GSON1112061350")</f>
        <v>#NAME?</v>
      </c>
      <c r="P1214" s="28" t="e">
        <f ca="1">[1]!BexGetData("DP_1","003N8EMH8GTFRIVOG7KG9J9VY","GSON1112061350")</f>
        <v>#NAME?</v>
      </c>
      <c r="Q1214" s="24" t="e">
        <f ca="1">[1]!BexGetData("DP_1","00O2TNJGODT0G5Z4TTKYMM5MT","GSON1112061350")</f>
        <v>#NAME?</v>
      </c>
      <c r="R1214" s="24" t="e">
        <f ca="1">[1]!BexGetData("DP_1","00O2TNJGODT0G5Z4TTKYMMBYD","GSON1112061350")</f>
        <v>#NAME?</v>
      </c>
      <c r="S1214" s="24" t="e">
        <f ca="1">[1]!BexGetData("DP_1","00O2TNJGODT0G5Z4TTKYMMI9X","GSON1112061350")</f>
        <v>#NAME?</v>
      </c>
      <c r="T1214" s="24" t="e">
        <f ca="1">[1]!BexGetData("DP_1","00O2TNJGODT0G5Z4TTKYMMOLH","GSON1112061350")</f>
        <v>#NAME?</v>
      </c>
      <c r="U1214" s="24" t="e">
        <f ca="1">[1]!BexGetData("DP_1","00O2TNJGODT0G5Z4TTKYMMUX1","GSON1112061350")</f>
        <v>#NAME?</v>
      </c>
      <c r="V1214" s="24" t="e">
        <f ca="1">[1]!BexGetData("DP_1","00O2TNJGODT0G5Z4TTKYMN18L","GSON1112061350")</f>
        <v>#NAME?</v>
      </c>
      <c r="W1214" s="24" t="e">
        <f ca="1">[1]!BexGetData("DP_1","00O2TNJGODT0G5Z4TTKYMN7K5","GSON1112061350")</f>
        <v>#NAME?</v>
      </c>
    </row>
    <row r="1215" spans="1:23" x14ac:dyDescent="0.2">
      <c r="A1215" s="36" t="s">
        <v>3784</v>
      </c>
      <c r="B1215" s="27" t="s">
        <v>3785</v>
      </c>
      <c r="C1215" s="23" t="e">
        <f ca="1">[1]!BexGetData("DP_1","003N8EMH8GTFRCSWKMPXRR8GU","GSON1112061354")</f>
        <v>#NAME?</v>
      </c>
      <c r="D1215" s="23" t="e">
        <f ca="1">[1]!BexGetData("DP_1","003N8EMH8GTFRCSWKMPXRRESE","GSON1112061354")</f>
        <v>#NAME?</v>
      </c>
      <c r="E1215" s="28" t="e">
        <f ca="1">[1]!BexGetData("DP_1","003N8EMH8GTFRCSWKMPXRRL3Y","GSON1112061354")</f>
        <v>#NAME?</v>
      </c>
      <c r="F1215" s="24" t="e">
        <f ca="1">[1]!BexGetData("DP_1","003N8EMH8GTFRCSWKMPXRRRFI","GSON1112061354")</f>
        <v>#NAME?</v>
      </c>
      <c r="G1215" s="24" t="e">
        <f ca="1">[1]!BexGetData("DP_1","003N8EMH8GTFRCSWKMPXRRXR2","GSON1112061354")</f>
        <v>#NAME?</v>
      </c>
      <c r="H1215" s="24" t="e">
        <f ca="1">[1]!BexGetData("DP_1","003N8EMH8GTFRCSWKMPXRS42M","GSON1112061354")</f>
        <v>#NAME?</v>
      </c>
      <c r="I1215" s="24" t="e">
        <f ca="1">[1]!BexGetData("DP_1","003N8EMH8GTFRCSWKMPXRSAE6","GSON1112061354")</f>
        <v>#NAME?</v>
      </c>
      <c r="J1215" s="24" t="e">
        <f ca="1">[1]!BexGetData("DP_1","003N8EMH8GTFRCSWKMPXRSGPQ","GSON1112061354")</f>
        <v>#NAME?</v>
      </c>
      <c r="K1215" s="28" t="e">
        <f ca="1">[1]!BexGetData("DP_1","003N8EMH8GTFRIVNUPY288VJH","GSON1112061354")</f>
        <v>#NAME?</v>
      </c>
      <c r="L1215" s="28" t="e">
        <f ca="1">[1]!BexGetData("DP_1","003N8EMH8GTFRIVNUPY2891V1","GSON1112061354")</f>
        <v>#NAME?</v>
      </c>
      <c r="M1215" s="28" t="e">
        <f ca="1">[1]!BexGetData("DP_1","003N8EMH8GTFRIVOG7KG9IQXA","GSON1112061354")</f>
        <v>#NAME?</v>
      </c>
      <c r="N1215" s="28" t="e">
        <f ca="1">[1]!BexGetData("DP_1","003N8EMH8GTFRIVOG7KG9IX8U","GSON1112061354")</f>
        <v>#NAME?</v>
      </c>
      <c r="O1215" s="28" t="e">
        <f ca="1">[1]!BexGetData("DP_1","003N8EMH8GTFRIVOG7KG9J3KE","GSON1112061354")</f>
        <v>#NAME?</v>
      </c>
      <c r="P1215" s="28" t="e">
        <f ca="1">[1]!BexGetData("DP_1","003N8EMH8GTFRIVOG7KG9J9VY","GSON1112061354")</f>
        <v>#NAME?</v>
      </c>
      <c r="Q1215" s="24" t="e">
        <f ca="1">[1]!BexGetData("DP_1","00O2TNJGODT0G5Z4TTKYMM5MT","GSON1112061354")</f>
        <v>#NAME?</v>
      </c>
      <c r="R1215" s="24" t="e">
        <f ca="1">[1]!BexGetData("DP_1","00O2TNJGODT0G5Z4TTKYMMBYD","GSON1112061354")</f>
        <v>#NAME?</v>
      </c>
      <c r="S1215" s="24" t="e">
        <f ca="1">[1]!BexGetData("DP_1","00O2TNJGODT0G5Z4TTKYMMI9X","GSON1112061354")</f>
        <v>#NAME?</v>
      </c>
      <c r="T1215" s="24" t="e">
        <f ca="1">[1]!BexGetData("DP_1","00O2TNJGODT0G5Z4TTKYMMOLH","GSON1112061354")</f>
        <v>#NAME?</v>
      </c>
      <c r="U1215" s="24" t="e">
        <f ca="1">[1]!BexGetData("DP_1","00O2TNJGODT0G5Z4TTKYMMUX1","GSON1112061354")</f>
        <v>#NAME?</v>
      </c>
      <c r="V1215" s="24" t="e">
        <f ca="1">[1]!BexGetData("DP_1","00O2TNJGODT0G5Z4TTKYMN18L","GSON1112061354")</f>
        <v>#NAME?</v>
      </c>
      <c r="W1215" s="24" t="e">
        <f ca="1">[1]!BexGetData("DP_1","00O2TNJGODT0G5Z4TTKYMN7K5","GSON1112061354")</f>
        <v>#NAME?</v>
      </c>
    </row>
    <row r="1216" spans="1:23" x14ac:dyDescent="0.2">
      <c r="A1216" s="36" t="s">
        <v>3786</v>
      </c>
      <c r="B1216" s="27" t="s">
        <v>3787</v>
      </c>
      <c r="C1216" s="23" t="e">
        <f ca="1">[1]!BexGetData("DP_1","003N8EMH8GTFRCSWKMPXRR8GU","GSON1112061360")</f>
        <v>#NAME?</v>
      </c>
      <c r="D1216" s="23" t="e">
        <f ca="1">[1]!BexGetData("DP_1","003N8EMH8GTFRCSWKMPXRRESE","GSON1112061360")</f>
        <v>#NAME?</v>
      </c>
      <c r="E1216" s="23" t="e">
        <f ca="1">[1]!BexGetData("DP_1","003N8EMH8GTFRCSWKMPXRRL3Y","GSON1112061360")</f>
        <v>#NAME?</v>
      </c>
      <c r="F1216" s="24" t="e">
        <f ca="1">[1]!BexGetData("DP_1","003N8EMH8GTFRCSWKMPXRRRFI","GSON1112061360")</f>
        <v>#NAME?</v>
      </c>
      <c r="G1216" s="24" t="e">
        <f ca="1">[1]!BexGetData("DP_1","003N8EMH8GTFRCSWKMPXRRXR2","GSON1112061360")</f>
        <v>#NAME?</v>
      </c>
      <c r="H1216" s="24" t="e">
        <f ca="1">[1]!BexGetData("DP_1","003N8EMH8GTFRCSWKMPXRS42M","GSON1112061360")</f>
        <v>#NAME?</v>
      </c>
      <c r="I1216" s="24" t="e">
        <f ca="1">[1]!BexGetData("DP_1","003N8EMH8GTFRCSWKMPXRSAE6","GSON1112061360")</f>
        <v>#NAME?</v>
      </c>
      <c r="J1216" s="24" t="e">
        <f ca="1">[1]!BexGetData("DP_1","003N8EMH8GTFRCSWKMPXRSGPQ","GSON1112061360")</f>
        <v>#NAME?</v>
      </c>
      <c r="K1216" s="23" t="e">
        <f ca="1">[1]!BexGetData("DP_1","003N8EMH8GTFRIVNUPY288VJH","GSON1112061360")</f>
        <v>#NAME?</v>
      </c>
      <c r="L1216" s="23" t="e">
        <f ca="1">[1]!BexGetData("DP_1","003N8EMH8GTFRIVNUPY2891V1","GSON1112061360")</f>
        <v>#NAME?</v>
      </c>
      <c r="M1216" s="28" t="e">
        <f ca="1">[1]!BexGetData("DP_1","003N8EMH8GTFRIVOG7KG9IQXA","GSON1112061360")</f>
        <v>#NAME?</v>
      </c>
      <c r="N1216" s="23" t="e">
        <f ca="1">[1]!BexGetData("DP_1","003N8EMH8GTFRIVOG7KG9IX8U","GSON1112061360")</f>
        <v>#NAME?</v>
      </c>
      <c r="O1216" s="28" t="e">
        <f ca="1">[1]!BexGetData("DP_1","003N8EMH8GTFRIVOG7KG9J3KE","GSON1112061360")</f>
        <v>#NAME?</v>
      </c>
      <c r="P1216" s="23" t="e">
        <f ca="1">[1]!BexGetData("DP_1","003N8EMH8GTFRIVOG7KG9J9VY","GSON1112061360")</f>
        <v>#NAME?</v>
      </c>
      <c r="Q1216" s="24" t="e">
        <f ca="1">[1]!BexGetData("DP_1","00O2TNJGODT0G5Z4TTKYMM5MT","GSON1112061360")</f>
        <v>#NAME?</v>
      </c>
      <c r="R1216" s="24" t="e">
        <f ca="1">[1]!BexGetData("DP_1","00O2TNJGODT0G5Z4TTKYMMBYD","GSON1112061360")</f>
        <v>#NAME?</v>
      </c>
      <c r="S1216" s="24" t="e">
        <f ca="1">[1]!BexGetData("DP_1","00O2TNJGODT0G5Z4TTKYMMI9X","GSON1112061360")</f>
        <v>#NAME?</v>
      </c>
      <c r="T1216" s="24" t="e">
        <f ca="1">[1]!BexGetData("DP_1","00O2TNJGODT0G5Z4TTKYMMOLH","GSON1112061360")</f>
        <v>#NAME?</v>
      </c>
      <c r="U1216" s="24" t="e">
        <f ca="1">[1]!BexGetData("DP_1","00O2TNJGODT0G5Z4TTKYMMUX1","GSON1112061360")</f>
        <v>#NAME?</v>
      </c>
      <c r="V1216" s="24" t="e">
        <f ca="1">[1]!BexGetData("DP_1","00O2TNJGODT0G5Z4TTKYMN18L","GSON1112061360")</f>
        <v>#NAME?</v>
      </c>
      <c r="W1216" s="24" t="e">
        <f ca="1">[1]!BexGetData("DP_1","00O2TNJGODT0G5Z4TTKYMN7K5","GSON1112061360")</f>
        <v>#NAME?</v>
      </c>
    </row>
    <row r="1217" spans="1:23" x14ac:dyDescent="0.2">
      <c r="A1217" s="36" t="s">
        <v>3788</v>
      </c>
      <c r="B1217" s="27" t="s">
        <v>3789</v>
      </c>
      <c r="C1217" s="23" t="e">
        <f ca="1">[1]!BexGetData("DP_1","003N8EMH8GTFRCSWKMPXRR8GU","GSON1112061361")</f>
        <v>#NAME?</v>
      </c>
      <c r="D1217" s="23" t="e">
        <f ca="1">[1]!BexGetData("DP_1","003N8EMH8GTFRCSWKMPXRRESE","GSON1112061361")</f>
        <v>#NAME?</v>
      </c>
      <c r="E1217" s="28" t="e">
        <f ca="1">[1]!BexGetData("DP_1","003N8EMH8GTFRCSWKMPXRRL3Y","GSON1112061361")</f>
        <v>#NAME?</v>
      </c>
      <c r="F1217" s="24" t="e">
        <f ca="1">[1]!BexGetData("DP_1","003N8EMH8GTFRCSWKMPXRRRFI","GSON1112061361")</f>
        <v>#NAME?</v>
      </c>
      <c r="G1217" s="24" t="e">
        <f ca="1">[1]!BexGetData("DP_1","003N8EMH8GTFRCSWKMPXRRXR2","GSON1112061361")</f>
        <v>#NAME?</v>
      </c>
      <c r="H1217" s="24" t="e">
        <f ca="1">[1]!BexGetData("DP_1","003N8EMH8GTFRCSWKMPXRS42M","GSON1112061361")</f>
        <v>#NAME?</v>
      </c>
      <c r="I1217" s="24" t="e">
        <f ca="1">[1]!BexGetData("DP_1","003N8EMH8GTFRCSWKMPXRSAE6","GSON1112061361")</f>
        <v>#NAME?</v>
      </c>
      <c r="J1217" s="24" t="e">
        <f ca="1">[1]!BexGetData("DP_1","003N8EMH8GTFRCSWKMPXRSGPQ","GSON1112061361")</f>
        <v>#NAME?</v>
      </c>
      <c r="K1217" s="28" t="e">
        <f ca="1">[1]!BexGetData("DP_1","003N8EMH8GTFRIVNUPY288VJH","GSON1112061361")</f>
        <v>#NAME?</v>
      </c>
      <c r="L1217" s="28" t="e">
        <f ca="1">[1]!BexGetData("DP_1","003N8EMH8GTFRIVNUPY2891V1","GSON1112061361")</f>
        <v>#NAME?</v>
      </c>
      <c r="M1217" s="28" t="e">
        <f ca="1">[1]!BexGetData("DP_1","003N8EMH8GTFRIVOG7KG9IQXA","GSON1112061361")</f>
        <v>#NAME?</v>
      </c>
      <c r="N1217" s="28" t="e">
        <f ca="1">[1]!BexGetData("DP_1","003N8EMH8GTFRIVOG7KG9IX8U","GSON1112061361")</f>
        <v>#NAME?</v>
      </c>
      <c r="O1217" s="28" t="e">
        <f ca="1">[1]!BexGetData("DP_1","003N8EMH8GTFRIVOG7KG9J3KE","GSON1112061361")</f>
        <v>#NAME?</v>
      </c>
      <c r="P1217" s="28" t="e">
        <f ca="1">[1]!BexGetData("DP_1","003N8EMH8GTFRIVOG7KG9J9VY","GSON1112061361")</f>
        <v>#NAME?</v>
      </c>
      <c r="Q1217" s="24" t="e">
        <f ca="1">[1]!BexGetData("DP_1","00O2TNJGODT0G5Z4TTKYMM5MT","GSON1112061361")</f>
        <v>#NAME?</v>
      </c>
      <c r="R1217" s="24" t="e">
        <f ca="1">[1]!BexGetData("DP_1","00O2TNJGODT0G5Z4TTKYMMBYD","GSON1112061361")</f>
        <v>#NAME?</v>
      </c>
      <c r="S1217" s="24" t="e">
        <f ca="1">[1]!BexGetData("DP_1","00O2TNJGODT0G5Z4TTKYMMI9X","GSON1112061361")</f>
        <v>#NAME?</v>
      </c>
      <c r="T1217" s="24" t="e">
        <f ca="1">[1]!BexGetData("DP_1","00O2TNJGODT0G5Z4TTKYMMOLH","GSON1112061361")</f>
        <v>#NAME?</v>
      </c>
      <c r="U1217" s="24" t="e">
        <f ca="1">[1]!BexGetData("DP_1","00O2TNJGODT0G5Z4TTKYMMUX1","GSON1112061361")</f>
        <v>#NAME?</v>
      </c>
      <c r="V1217" s="24" t="e">
        <f ca="1">[1]!BexGetData("DP_1","00O2TNJGODT0G5Z4TTKYMN18L","GSON1112061361")</f>
        <v>#NAME?</v>
      </c>
      <c r="W1217" s="24" t="e">
        <f ca="1">[1]!BexGetData("DP_1","00O2TNJGODT0G5Z4TTKYMN7K5","GSON1112061361")</f>
        <v>#NAME?</v>
      </c>
    </row>
    <row r="1218" spans="1:23" x14ac:dyDescent="0.2">
      <c r="A1218" s="36" t="s">
        <v>3790</v>
      </c>
      <c r="B1218" s="27" t="s">
        <v>3791</v>
      </c>
      <c r="C1218" s="23" t="e">
        <f ca="1">[1]!BexGetData("DP_1","003N8EMH8GTFRCSWKMPXRR8GU","GSON1112061363")</f>
        <v>#NAME?</v>
      </c>
      <c r="D1218" s="23" t="e">
        <f ca="1">[1]!BexGetData("DP_1","003N8EMH8GTFRCSWKMPXRRESE","GSON1112061363")</f>
        <v>#NAME?</v>
      </c>
      <c r="E1218" s="28" t="e">
        <f ca="1">[1]!BexGetData("DP_1","003N8EMH8GTFRCSWKMPXRRL3Y","GSON1112061363")</f>
        <v>#NAME?</v>
      </c>
      <c r="F1218" s="24" t="e">
        <f ca="1">[1]!BexGetData("DP_1","003N8EMH8GTFRCSWKMPXRRRFI","GSON1112061363")</f>
        <v>#NAME?</v>
      </c>
      <c r="G1218" s="24" t="e">
        <f ca="1">[1]!BexGetData("DP_1","003N8EMH8GTFRCSWKMPXRRXR2","GSON1112061363")</f>
        <v>#NAME?</v>
      </c>
      <c r="H1218" s="24" t="e">
        <f ca="1">[1]!BexGetData("DP_1","003N8EMH8GTFRCSWKMPXRS42M","GSON1112061363")</f>
        <v>#NAME?</v>
      </c>
      <c r="I1218" s="24" t="e">
        <f ca="1">[1]!BexGetData("DP_1","003N8EMH8GTFRCSWKMPXRSAE6","GSON1112061363")</f>
        <v>#NAME?</v>
      </c>
      <c r="J1218" s="24" t="e">
        <f ca="1">[1]!BexGetData("DP_1","003N8EMH8GTFRCSWKMPXRSGPQ","GSON1112061363")</f>
        <v>#NAME?</v>
      </c>
      <c r="K1218" s="28" t="e">
        <f ca="1">[1]!BexGetData("DP_1","003N8EMH8GTFRIVNUPY288VJH","GSON1112061363")</f>
        <v>#NAME?</v>
      </c>
      <c r="L1218" s="28" t="e">
        <f ca="1">[1]!BexGetData("DP_1","003N8EMH8GTFRIVNUPY2891V1","GSON1112061363")</f>
        <v>#NAME?</v>
      </c>
      <c r="M1218" s="28" t="e">
        <f ca="1">[1]!BexGetData("DP_1","003N8EMH8GTFRIVOG7KG9IQXA","GSON1112061363")</f>
        <v>#NAME?</v>
      </c>
      <c r="N1218" s="28" t="e">
        <f ca="1">[1]!BexGetData("DP_1","003N8EMH8GTFRIVOG7KG9IX8U","GSON1112061363")</f>
        <v>#NAME?</v>
      </c>
      <c r="O1218" s="28" t="e">
        <f ca="1">[1]!BexGetData("DP_1","003N8EMH8GTFRIVOG7KG9J3KE","GSON1112061363")</f>
        <v>#NAME?</v>
      </c>
      <c r="P1218" s="28" t="e">
        <f ca="1">[1]!BexGetData("DP_1","003N8EMH8GTFRIVOG7KG9J9VY","GSON1112061363")</f>
        <v>#NAME?</v>
      </c>
      <c r="Q1218" s="24" t="e">
        <f ca="1">[1]!BexGetData("DP_1","00O2TNJGODT0G5Z4TTKYMM5MT","GSON1112061363")</f>
        <v>#NAME?</v>
      </c>
      <c r="R1218" s="24" t="e">
        <f ca="1">[1]!BexGetData("DP_1","00O2TNJGODT0G5Z4TTKYMMBYD","GSON1112061363")</f>
        <v>#NAME?</v>
      </c>
      <c r="S1218" s="24" t="e">
        <f ca="1">[1]!BexGetData("DP_1","00O2TNJGODT0G5Z4TTKYMMI9X","GSON1112061363")</f>
        <v>#NAME?</v>
      </c>
      <c r="T1218" s="24" t="e">
        <f ca="1">[1]!BexGetData("DP_1","00O2TNJGODT0G5Z4TTKYMMOLH","GSON1112061363")</f>
        <v>#NAME?</v>
      </c>
      <c r="U1218" s="24" t="e">
        <f ca="1">[1]!BexGetData("DP_1","00O2TNJGODT0G5Z4TTKYMMUX1","GSON1112061363")</f>
        <v>#NAME?</v>
      </c>
      <c r="V1218" s="24" t="e">
        <f ca="1">[1]!BexGetData("DP_1","00O2TNJGODT0G5Z4TTKYMN18L","GSON1112061363")</f>
        <v>#NAME?</v>
      </c>
      <c r="W1218" s="24" t="e">
        <f ca="1">[1]!BexGetData("DP_1","00O2TNJGODT0G5Z4TTKYMN7K5","GSON1112061363")</f>
        <v>#NAME?</v>
      </c>
    </row>
    <row r="1219" spans="1:23" x14ac:dyDescent="0.2">
      <c r="A1219" s="36" t="s">
        <v>3792</v>
      </c>
      <c r="B1219" s="27" t="s">
        <v>3793</v>
      </c>
      <c r="C1219" s="23" t="e">
        <f ca="1">[1]!BexGetData("DP_1","003N8EMH8GTFRCSWKMPXRR8GU","GSON1112061364")</f>
        <v>#NAME?</v>
      </c>
      <c r="D1219" s="23" t="e">
        <f ca="1">[1]!BexGetData("DP_1","003N8EMH8GTFRCSWKMPXRRESE","GSON1112061364")</f>
        <v>#NAME?</v>
      </c>
      <c r="E1219" s="28" t="e">
        <f ca="1">[1]!BexGetData("DP_1","003N8EMH8GTFRCSWKMPXRRL3Y","GSON1112061364")</f>
        <v>#NAME?</v>
      </c>
      <c r="F1219" s="24" t="e">
        <f ca="1">[1]!BexGetData("DP_1","003N8EMH8GTFRCSWKMPXRRRFI","GSON1112061364")</f>
        <v>#NAME?</v>
      </c>
      <c r="G1219" s="24" t="e">
        <f ca="1">[1]!BexGetData("DP_1","003N8EMH8GTFRCSWKMPXRRXR2","GSON1112061364")</f>
        <v>#NAME?</v>
      </c>
      <c r="H1219" s="24" t="e">
        <f ca="1">[1]!BexGetData("DP_1","003N8EMH8GTFRCSWKMPXRS42M","GSON1112061364")</f>
        <v>#NAME?</v>
      </c>
      <c r="I1219" s="24" t="e">
        <f ca="1">[1]!BexGetData("DP_1","003N8EMH8GTFRCSWKMPXRSAE6","GSON1112061364")</f>
        <v>#NAME?</v>
      </c>
      <c r="J1219" s="24" t="e">
        <f ca="1">[1]!BexGetData("DP_1","003N8EMH8GTFRCSWKMPXRSGPQ","GSON1112061364")</f>
        <v>#NAME?</v>
      </c>
      <c r="K1219" s="28" t="e">
        <f ca="1">[1]!BexGetData("DP_1","003N8EMH8GTFRIVNUPY288VJH","GSON1112061364")</f>
        <v>#NAME?</v>
      </c>
      <c r="L1219" s="28" t="e">
        <f ca="1">[1]!BexGetData("DP_1","003N8EMH8GTFRIVNUPY2891V1","GSON1112061364")</f>
        <v>#NAME?</v>
      </c>
      <c r="M1219" s="28" t="e">
        <f ca="1">[1]!BexGetData("DP_1","003N8EMH8GTFRIVOG7KG9IQXA","GSON1112061364")</f>
        <v>#NAME?</v>
      </c>
      <c r="N1219" s="28" t="e">
        <f ca="1">[1]!BexGetData("DP_1","003N8EMH8GTFRIVOG7KG9IX8U","GSON1112061364")</f>
        <v>#NAME?</v>
      </c>
      <c r="O1219" s="28" t="e">
        <f ca="1">[1]!BexGetData("DP_1","003N8EMH8GTFRIVOG7KG9J3KE","GSON1112061364")</f>
        <v>#NAME?</v>
      </c>
      <c r="P1219" s="28" t="e">
        <f ca="1">[1]!BexGetData("DP_1","003N8EMH8GTFRIVOG7KG9J9VY","GSON1112061364")</f>
        <v>#NAME?</v>
      </c>
      <c r="Q1219" s="24" t="e">
        <f ca="1">[1]!BexGetData("DP_1","00O2TNJGODT0G5Z4TTKYMM5MT","GSON1112061364")</f>
        <v>#NAME?</v>
      </c>
      <c r="R1219" s="24" t="e">
        <f ca="1">[1]!BexGetData("DP_1","00O2TNJGODT0G5Z4TTKYMMBYD","GSON1112061364")</f>
        <v>#NAME?</v>
      </c>
      <c r="S1219" s="24" t="e">
        <f ca="1">[1]!BexGetData("DP_1","00O2TNJGODT0G5Z4TTKYMMI9X","GSON1112061364")</f>
        <v>#NAME?</v>
      </c>
      <c r="T1219" s="24" t="e">
        <f ca="1">[1]!BexGetData("DP_1","00O2TNJGODT0G5Z4TTKYMMOLH","GSON1112061364")</f>
        <v>#NAME?</v>
      </c>
      <c r="U1219" s="24" t="e">
        <f ca="1">[1]!BexGetData("DP_1","00O2TNJGODT0G5Z4TTKYMMUX1","GSON1112061364")</f>
        <v>#NAME?</v>
      </c>
      <c r="V1219" s="24" t="e">
        <f ca="1">[1]!BexGetData("DP_1","00O2TNJGODT0G5Z4TTKYMN18L","GSON1112061364")</f>
        <v>#NAME?</v>
      </c>
      <c r="W1219" s="24" t="e">
        <f ca="1">[1]!BexGetData("DP_1","00O2TNJGODT0G5Z4TTKYMN7K5","GSON1112061364")</f>
        <v>#NAME?</v>
      </c>
    </row>
    <row r="1220" spans="1:23" x14ac:dyDescent="0.2">
      <c r="A1220" s="36" t="s">
        <v>3794</v>
      </c>
      <c r="B1220" s="27" t="s">
        <v>3795</v>
      </c>
      <c r="C1220" s="23" t="e">
        <f ca="1">[1]!BexGetData("DP_1","003N8EMH8GTFRCSWKMPXRR8GU","GSON1112061365")</f>
        <v>#NAME?</v>
      </c>
      <c r="D1220" s="23" t="e">
        <f ca="1">[1]!BexGetData("DP_1","003N8EMH8GTFRCSWKMPXRRESE","GSON1112061365")</f>
        <v>#NAME?</v>
      </c>
      <c r="E1220" s="28" t="e">
        <f ca="1">[1]!BexGetData("DP_1","003N8EMH8GTFRCSWKMPXRRL3Y","GSON1112061365")</f>
        <v>#NAME?</v>
      </c>
      <c r="F1220" s="24" t="e">
        <f ca="1">[1]!BexGetData("DP_1","003N8EMH8GTFRCSWKMPXRRRFI","GSON1112061365")</f>
        <v>#NAME?</v>
      </c>
      <c r="G1220" s="24" t="e">
        <f ca="1">[1]!BexGetData("DP_1","003N8EMH8GTFRCSWKMPXRRXR2","GSON1112061365")</f>
        <v>#NAME?</v>
      </c>
      <c r="H1220" s="24" t="e">
        <f ca="1">[1]!BexGetData("DP_1","003N8EMH8GTFRCSWKMPXRS42M","GSON1112061365")</f>
        <v>#NAME?</v>
      </c>
      <c r="I1220" s="24" t="e">
        <f ca="1">[1]!BexGetData("DP_1","003N8EMH8GTFRCSWKMPXRSAE6","GSON1112061365")</f>
        <v>#NAME?</v>
      </c>
      <c r="J1220" s="24" t="e">
        <f ca="1">[1]!BexGetData("DP_1","003N8EMH8GTFRCSWKMPXRSGPQ","GSON1112061365")</f>
        <v>#NAME?</v>
      </c>
      <c r="K1220" s="28" t="e">
        <f ca="1">[1]!BexGetData("DP_1","003N8EMH8GTFRIVNUPY288VJH","GSON1112061365")</f>
        <v>#NAME?</v>
      </c>
      <c r="L1220" s="28" t="e">
        <f ca="1">[1]!BexGetData("DP_1","003N8EMH8GTFRIVNUPY2891V1","GSON1112061365")</f>
        <v>#NAME?</v>
      </c>
      <c r="M1220" s="28" t="e">
        <f ca="1">[1]!BexGetData("DP_1","003N8EMH8GTFRIVOG7KG9IQXA","GSON1112061365")</f>
        <v>#NAME?</v>
      </c>
      <c r="N1220" s="28" t="e">
        <f ca="1">[1]!BexGetData("DP_1","003N8EMH8GTFRIVOG7KG9IX8U","GSON1112061365")</f>
        <v>#NAME?</v>
      </c>
      <c r="O1220" s="28" t="e">
        <f ca="1">[1]!BexGetData("DP_1","003N8EMH8GTFRIVOG7KG9J3KE","GSON1112061365")</f>
        <v>#NAME?</v>
      </c>
      <c r="P1220" s="28" t="e">
        <f ca="1">[1]!BexGetData("DP_1","003N8EMH8GTFRIVOG7KG9J9VY","GSON1112061365")</f>
        <v>#NAME?</v>
      </c>
      <c r="Q1220" s="24" t="e">
        <f ca="1">[1]!BexGetData("DP_1","00O2TNJGODT0G5Z4TTKYMM5MT","GSON1112061365")</f>
        <v>#NAME?</v>
      </c>
      <c r="R1220" s="24" t="e">
        <f ca="1">[1]!BexGetData("DP_1","00O2TNJGODT0G5Z4TTKYMMBYD","GSON1112061365")</f>
        <v>#NAME?</v>
      </c>
      <c r="S1220" s="24" t="e">
        <f ca="1">[1]!BexGetData("DP_1","00O2TNJGODT0G5Z4TTKYMMI9X","GSON1112061365")</f>
        <v>#NAME?</v>
      </c>
      <c r="T1220" s="24" t="e">
        <f ca="1">[1]!BexGetData("DP_1","00O2TNJGODT0G5Z4TTKYMMOLH","GSON1112061365")</f>
        <v>#NAME?</v>
      </c>
      <c r="U1220" s="24" t="e">
        <f ca="1">[1]!BexGetData("DP_1","00O2TNJGODT0G5Z4TTKYMMUX1","GSON1112061365")</f>
        <v>#NAME?</v>
      </c>
      <c r="V1220" s="24" t="e">
        <f ca="1">[1]!BexGetData("DP_1","00O2TNJGODT0G5Z4TTKYMN18L","GSON1112061365")</f>
        <v>#NAME?</v>
      </c>
      <c r="W1220" s="24" t="e">
        <f ca="1">[1]!BexGetData("DP_1","00O2TNJGODT0G5Z4TTKYMN7K5","GSON1112061365")</f>
        <v>#NAME?</v>
      </c>
    </row>
    <row r="1221" spans="1:23" x14ac:dyDescent="0.2">
      <c r="A1221" s="36" t="s">
        <v>3796</v>
      </c>
      <c r="B1221" s="27" t="s">
        <v>3797</v>
      </c>
      <c r="C1221" s="23" t="e">
        <f ca="1">[1]!BexGetData("DP_1","003N8EMH8GTFRCSWKMPXRR8GU","GSON1112061370")</f>
        <v>#NAME?</v>
      </c>
      <c r="D1221" s="23" t="e">
        <f ca="1">[1]!BexGetData("DP_1","003N8EMH8GTFRCSWKMPXRRESE","GSON1112061370")</f>
        <v>#NAME?</v>
      </c>
      <c r="E1221" s="23" t="e">
        <f ca="1">[1]!BexGetData("DP_1","003N8EMH8GTFRCSWKMPXRRL3Y","GSON1112061370")</f>
        <v>#NAME?</v>
      </c>
      <c r="F1221" s="24" t="e">
        <f ca="1">[1]!BexGetData("DP_1","003N8EMH8GTFRCSWKMPXRRRFI","GSON1112061370")</f>
        <v>#NAME?</v>
      </c>
      <c r="G1221" s="24" t="e">
        <f ca="1">[1]!BexGetData("DP_1","003N8EMH8GTFRCSWKMPXRRXR2","GSON1112061370")</f>
        <v>#NAME?</v>
      </c>
      <c r="H1221" s="24" t="e">
        <f ca="1">[1]!BexGetData("DP_1","003N8EMH8GTFRCSWKMPXRS42M","GSON1112061370")</f>
        <v>#NAME?</v>
      </c>
      <c r="I1221" s="24" t="e">
        <f ca="1">[1]!BexGetData("DP_1","003N8EMH8GTFRCSWKMPXRSAE6","GSON1112061370")</f>
        <v>#NAME?</v>
      </c>
      <c r="J1221" s="24" t="e">
        <f ca="1">[1]!BexGetData("DP_1","003N8EMH8GTFRCSWKMPXRSGPQ","GSON1112061370")</f>
        <v>#NAME?</v>
      </c>
      <c r="K1221" s="23" t="e">
        <f ca="1">[1]!BexGetData("DP_1","003N8EMH8GTFRIVNUPY288VJH","GSON1112061370")</f>
        <v>#NAME?</v>
      </c>
      <c r="L1221" s="23" t="e">
        <f ca="1">[1]!BexGetData("DP_1","003N8EMH8GTFRIVNUPY2891V1","GSON1112061370")</f>
        <v>#NAME?</v>
      </c>
      <c r="M1221" s="28" t="e">
        <f ca="1">[1]!BexGetData("DP_1","003N8EMH8GTFRIVOG7KG9IQXA","GSON1112061370")</f>
        <v>#NAME?</v>
      </c>
      <c r="N1221" s="23" t="e">
        <f ca="1">[1]!BexGetData("DP_1","003N8EMH8GTFRIVOG7KG9IX8U","GSON1112061370")</f>
        <v>#NAME?</v>
      </c>
      <c r="O1221" s="28" t="e">
        <f ca="1">[1]!BexGetData("DP_1","003N8EMH8GTFRIVOG7KG9J3KE","GSON1112061370")</f>
        <v>#NAME?</v>
      </c>
      <c r="P1221" s="23" t="e">
        <f ca="1">[1]!BexGetData("DP_1","003N8EMH8GTFRIVOG7KG9J9VY","GSON1112061370")</f>
        <v>#NAME?</v>
      </c>
      <c r="Q1221" s="24" t="e">
        <f ca="1">[1]!BexGetData("DP_1","00O2TNJGODT0G5Z4TTKYMM5MT","GSON1112061370")</f>
        <v>#NAME?</v>
      </c>
      <c r="R1221" s="24" t="e">
        <f ca="1">[1]!BexGetData("DP_1","00O2TNJGODT0G5Z4TTKYMMBYD","GSON1112061370")</f>
        <v>#NAME?</v>
      </c>
      <c r="S1221" s="24" t="e">
        <f ca="1">[1]!BexGetData("DP_1","00O2TNJGODT0G5Z4TTKYMMI9X","GSON1112061370")</f>
        <v>#NAME?</v>
      </c>
      <c r="T1221" s="24" t="e">
        <f ca="1">[1]!BexGetData("DP_1","00O2TNJGODT0G5Z4TTKYMMOLH","GSON1112061370")</f>
        <v>#NAME?</v>
      </c>
      <c r="U1221" s="24" t="e">
        <f ca="1">[1]!BexGetData("DP_1","00O2TNJGODT0G5Z4TTKYMMUX1","GSON1112061370")</f>
        <v>#NAME?</v>
      </c>
      <c r="V1221" s="24" t="e">
        <f ca="1">[1]!BexGetData("DP_1","00O2TNJGODT0G5Z4TTKYMN18L","GSON1112061370")</f>
        <v>#NAME?</v>
      </c>
      <c r="W1221" s="24" t="e">
        <f ca="1">[1]!BexGetData("DP_1","00O2TNJGODT0G5Z4TTKYMN7K5","GSON1112061370")</f>
        <v>#NAME?</v>
      </c>
    </row>
    <row r="1222" spans="1:23" x14ac:dyDescent="0.2">
      <c r="A1222" s="36" t="s">
        <v>3798</v>
      </c>
      <c r="B1222" s="27" t="s">
        <v>3799</v>
      </c>
      <c r="C1222" s="23" t="e">
        <f ca="1">[1]!BexGetData("DP_1","003N8EMH8GTFRCSWKMPXRR8GU","GSON1112061371")</f>
        <v>#NAME?</v>
      </c>
      <c r="D1222" s="23" t="e">
        <f ca="1">[1]!BexGetData("DP_1","003N8EMH8GTFRCSWKMPXRRESE","GSON1112061371")</f>
        <v>#NAME?</v>
      </c>
      <c r="E1222" s="23" t="e">
        <f ca="1">[1]!BexGetData("DP_1","003N8EMH8GTFRCSWKMPXRRL3Y","GSON1112061371")</f>
        <v>#NAME?</v>
      </c>
      <c r="F1222" s="24" t="e">
        <f ca="1">[1]!BexGetData("DP_1","003N8EMH8GTFRCSWKMPXRRRFI","GSON1112061371")</f>
        <v>#NAME?</v>
      </c>
      <c r="G1222" s="24" t="e">
        <f ca="1">[1]!BexGetData("DP_1","003N8EMH8GTFRCSWKMPXRRXR2","GSON1112061371")</f>
        <v>#NAME?</v>
      </c>
      <c r="H1222" s="24" t="e">
        <f ca="1">[1]!BexGetData("DP_1","003N8EMH8GTFRCSWKMPXRS42M","GSON1112061371")</f>
        <v>#NAME?</v>
      </c>
      <c r="I1222" s="24" t="e">
        <f ca="1">[1]!BexGetData("DP_1","003N8EMH8GTFRCSWKMPXRSAE6","GSON1112061371")</f>
        <v>#NAME?</v>
      </c>
      <c r="J1222" s="24" t="e">
        <f ca="1">[1]!BexGetData("DP_1","003N8EMH8GTFRCSWKMPXRSGPQ","GSON1112061371")</f>
        <v>#NAME?</v>
      </c>
      <c r="K1222" s="23" t="e">
        <f ca="1">[1]!BexGetData("DP_1","003N8EMH8GTFRIVNUPY288VJH","GSON1112061371")</f>
        <v>#NAME?</v>
      </c>
      <c r="L1222" s="23" t="e">
        <f ca="1">[1]!BexGetData("DP_1","003N8EMH8GTFRIVNUPY2891V1","GSON1112061371")</f>
        <v>#NAME?</v>
      </c>
      <c r="M1222" s="23" t="e">
        <f ca="1">[1]!BexGetData("DP_1","003N8EMH8GTFRIVOG7KG9IQXA","GSON1112061371")</f>
        <v>#NAME?</v>
      </c>
      <c r="N1222" s="28" t="e">
        <f ca="1">[1]!BexGetData("DP_1","003N8EMH8GTFRIVOG7KG9IX8U","GSON1112061371")</f>
        <v>#NAME?</v>
      </c>
      <c r="O1222" s="23" t="e">
        <f ca="1">[1]!BexGetData("DP_1","003N8EMH8GTFRIVOG7KG9J3KE","GSON1112061371")</f>
        <v>#NAME?</v>
      </c>
      <c r="P1222" s="28" t="e">
        <f ca="1">[1]!BexGetData("DP_1","003N8EMH8GTFRIVOG7KG9J9VY","GSON1112061371")</f>
        <v>#NAME?</v>
      </c>
      <c r="Q1222" s="24" t="e">
        <f ca="1">[1]!BexGetData("DP_1","00O2TNJGODT0G5Z4TTKYMM5MT","GSON1112061371")</f>
        <v>#NAME?</v>
      </c>
      <c r="R1222" s="24" t="e">
        <f ca="1">[1]!BexGetData("DP_1","00O2TNJGODT0G5Z4TTKYMMBYD","GSON1112061371")</f>
        <v>#NAME?</v>
      </c>
      <c r="S1222" s="24" t="e">
        <f ca="1">[1]!BexGetData("DP_1","00O2TNJGODT0G5Z4TTKYMMI9X","GSON1112061371")</f>
        <v>#NAME?</v>
      </c>
      <c r="T1222" s="24" t="e">
        <f ca="1">[1]!BexGetData("DP_1","00O2TNJGODT0G5Z4TTKYMMOLH","GSON1112061371")</f>
        <v>#NAME?</v>
      </c>
      <c r="U1222" s="24" t="e">
        <f ca="1">[1]!BexGetData("DP_1","00O2TNJGODT0G5Z4TTKYMMUX1","GSON1112061371")</f>
        <v>#NAME?</v>
      </c>
      <c r="V1222" s="24" t="e">
        <f ca="1">[1]!BexGetData("DP_1","00O2TNJGODT0G5Z4TTKYMN18L","GSON1112061371")</f>
        <v>#NAME?</v>
      </c>
      <c r="W1222" s="24" t="e">
        <f ca="1">[1]!BexGetData("DP_1","00O2TNJGODT0G5Z4TTKYMN7K5","GSON1112061371")</f>
        <v>#NAME?</v>
      </c>
    </row>
    <row r="1223" spans="1:23" x14ac:dyDescent="0.2">
      <c r="A1223" s="36" t="s">
        <v>3800</v>
      </c>
      <c r="B1223" s="27" t="s">
        <v>3801</v>
      </c>
      <c r="C1223" s="23" t="e">
        <f ca="1">[1]!BexGetData("DP_1","003N8EMH8GTFRCSWKMPXRR8GU","GSON1112061372")</f>
        <v>#NAME?</v>
      </c>
      <c r="D1223" s="23" t="e">
        <f ca="1">[1]!BexGetData("DP_1","003N8EMH8GTFRCSWKMPXRRESE","GSON1112061372")</f>
        <v>#NAME?</v>
      </c>
      <c r="E1223" s="23" t="e">
        <f ca="1">[1]!BexGetData("DP_1","003N8EMH8GTFRCSWKMPXRRL3Y","GSON1112061372")</f>
        <v>#NAME?</v>
      </c>
      <c r="F1223" s="24" t="e">
        <f ca="1">[1]!BexGetData("DP_1","003N8EMH8GTFRCSWKMPXRRRFI","GSON1112061372")</f>
        <v>#NAME?</v>
      </c>
      <c r="G1223" s="24" t="e">
        <f ca="1">[1]!BexGetData("DP_1","003N8EMH8GTFRCSWKMPXRRXR2","GSON1112061372")</f>
        <v>#NAME?</v>
      </c>
      <c r="H1223" s="24" t="e">
        <f ca="1">[1]!BexGetData("DP_1","003N8EMH8GTFRCSWKMPXRS42M","GSON1112061372")</f>
        <v>#NAME?</v>
      </c>
      <c r="I1223" s="24" t="e">
        <f ca="1">[1]!BexGetData("DP_1","003N8EMH8GTFRCSWKMPXRSAE6","GSON1112061372")</f>
        <v>#NAME?</v>
      </c>
      <c r="J1223" s="24" t="e">
        <f ca="1">[1]!BexGetData("DP_1","003N8EMH8GTFRCSWKMPXRSGPQ","GSON1112061372")</f>
        <v>#NAME?</v>
      </c>
      <c r="K1223" s="23" t="e">
        <f ca="1">[1]!BexGetData("DP_1","003N8EMH8GTFRIVNUPY288VJH","GSON1112061372")</f>
        <v>#NAME?</v>
      </c>
      <c r="L1223" s="23" t="e">
        <f ca="1">[1]!BexGetData("DP_1","003N8EMH8GTFRIVNUPY2891V1","GSON1112061372")</f>
        <v>#NAME?</v>
      </c>
      <c r="M1223" s="23" t="e">
        <f ca="1">[1]!BexGetData("DP_1","003N8EMH8GTFRIVOG7KG9IQXA","GSON1112061372")</f>
        <v>#NAME?</v>
      </c>
      <c r="N1223" s="28" t="e">
        <f ca="1">[1]!BexGetData("DP_1","003N8EMH8GTFRIVOG7KG9IX8U","GSON1112061372")</f>
        <v>#NAME?</v>
      </c>
      <c r="O1223" s="23" t="e">
        <f ca="1">[1]!BexGetData("DP_1","003N8EMH8GTFRIVOG7KG9J3KE","GSON1112061372")</f>
        <v>#NAME?</v>
      </c>
      <c r="P1223" s="28" t="e">
        <f ca="1">[1]!BexGetData("DP_1","003N8EMH8GTFRIVOG7KG9J9VY","GSON1112061372")</f>
        <v>#NAME?</v>
      </c>
      <c r="Q1223" s="24" t="e">
        <f ca="1">[1]!BexGetData("DP_1","00O2TNJGODT0G5Z4TTKYMM5MT","GSON1112061372")</f>
        <v>#NAME?</v>
      </c>
      <c r="R1223" s="24" t="e">
        <f ca="1">[1]!BexGetData("DP_1","00O2TNJGODT0G5Z4TTKYMMBYD","GSON1112061372")</f>
        <v>#NAME?</v>
      </c>
      <c r="S1223" s="24" t="e">
        <f ca="1">[1]!BexGetData("DP_1","00O2TNJGODT0G5Z4TTKYMMI9X","GSON1112061372")</f>
        <v>#NAME?</v>
      </c>
      <c r="T1223" s="24" t="e">
        <f ca="1">[1]!BexGetData("DP_1","00O2TNJGODT0G5Z4TTKYMMOLH","GSON1112061372")</f>
        <v>#NAME?</v>
      </c>
      <c r="U1223" s="24" t="e">
        <f ca="1">[1]!BexGetData("DP_1","00O2TNJGODT0G5Z4TTKYMMUX1","GSON1112061372")</f>
        <v>#NAME?</v>
      </c>
      <c r="V1223" s="24" t="e">
        <f ca="1">[1]!BexGetData("DP_1","00O2TNJGODT0G5Z4TTKYMN18L","GSON1112061372")</f>
        <v>#NAME?</v>
      </c>
      <c r="W1223" s="24" t="e">
        <f ca="1">[1]!BexGetData("DP_1","00O2TNJGODT0G5Z4TTKYMN7K5","GSON1112061372")</f>
        <v>#NAME?</v>
      </c>
    </row>
    <row r="1224" spans="1:23" x14ac:dyDescent="0.2">
      <c r="A1224" s="36" t="s">
        <v>3802</v>
      </c>
      <c r="B1224" s="27" t="s">
        <v>3803</v>
      </c>
      <c r="C1224" s="23" t="e">
        <f ca="1">[1]!BexGetData("DP_1","003N8EMH8GTFRCSWKMPXRR8GU","GSON1112061373")</f>
        <v>#NAME?</v>
      </c>
      <c r="D1224" s="23" t="e">
        <f ca="1">[1]!BexGetData("DP_1","003N8EMH8GTFRCSWKMPXRRESE","GSON1112061373")</f>
        <v>#NAME?</v>
      </c>
      <c r="E1224" s="28" t="e">
        <f ca="1">[1]!BexGetData("DP_1","003N8EMH8GTFRCSWKMPXRRL3Y","GSON1112061373")</f>
        <v>#NAME?</v>
      </c>
      <c r="F1224" s="24" t="e">
        <f ca="1">[1]!BexGetData("DP_1","003N8EMH8GTFRCSWKMPXRRRFI","GSON1112061373")</f>
        <v>#NAME?</v>
      </c>
      <c r="G1224" s="24" t="e">
        <f ca="1">[1]!BexGetData("DP_1","003N8EMH8GTFRCSWKMPXRRXR2","GSON1112061373")</f>
        <v>#NAME?</v>
      </c>
      <c r="H1224" s="24" t="e">
        <f ca="1">[1]!BexGetData("DP_1","003N8EMH8GTFRCSWKMPXRS42M","GSON1112061373")</f>
        <v>#NAME?</v>
      </c>
      <c r="I1224" s="24" t="e">
        <f ca="1">[1]!BexGetData("DP_1","003N8EMH8GTFRCSWKMPXRSAE6","GSON1112061373")</f>
        <v>#NAME?</v>
      </c>
      <c r="J1224" s="24" t="e">
        <f ca="1">[1]!BexGetData("DP_1","003N8EMH8GTFRCSWKMPXRSGPQ","GSON1112061373")</f>
        <v>#NAME?</v>
      </c>
      <c r="K1224" s="28" t="e">
        <f ca="1">[1]!BexGetData("DP_1","003N8EMH8GTFRIVNUPY288VJH","GSON1112061373")</f>
        <v>#NAME?</v>
      </c>
      <c r="L1224" s="28" t="e">
        <f ca="1">[1]!BexGetData("DP_1","003N8EMH8GTFRIVNUPY2891V1","GSON1112061373")</f>
        <v>#NAME?</v>
      </c>
      <c r="M1224" s="28" t="e">
        <f ca="1">[1]!BexGetData("DP_1","003N8EMH8GTFRIVOG7KG9IQXA","GSON1112061373")</f>
        <v>#NAME?</v>
      </c>
      <c r="N1224" s="28" t="e">
        <f ca="1">[1]!BexGetData("DP_1","003N8EMH8GTFRIVOG7KG9IX8U","GSON1112061373")</f>
        <v>#NAME?</v>
      </c>
      <c r="O1224" s="28" t="e">
        <f ca="1">[1]!BexGetData("DP_1","003N8EMH8GTFRIVOG7KG9J3KE","GSON1112061373")</f>
        <v>#NAME?</v>
      </c>
      <c r="P1224" s="28" t="e">
        <f ca="1">[1]!BexGetData("DP_1","003N8EMH8GTFRIVOG7KG9J9VY","GSON1112061373")</f>
        <v>#NAME?</v>
      </c>
      <c r="Q1224" s="24" t="e">
        <f ca="1">[1]!BexGetData("DP_1","00O2TNJGODT0G5Z4TTKYMM5MT","GSON1112061373")</f>
        <v>#NAME?</v>
      </c>
      <c r="R1224" s="24" t="e">
        <f ca="1">[1]!BexGetData("DP_1","00O2TNJGODT0G5Z4TTKYMMBYD","GSON1112061373")</f>
        <v>#NAME?</v>
      </c>
      <c r="S1224" s="24" t="e">
        <f ca="1">[1]!BexGetData("DP_1","00O2TNJGODT0G5Z4TTKYMMI9X","GSON1112061373")</f>
        <v>#NAME?</v>
      </c>
      <c r="T1224" s="24" t="e">
        <f ca="1">[1]!BexGetData("DP_1","00O2TNJGODT0G5Z4TTKYMMOLH","GSON1112061373")</f>
        <v>#NAME?</v>
      </c>
      <c r="U1224" s="24" t="e">
        <f ca="1">[1]!BexGetData("DP_1","00O2TNJGODT0G5Z4TTKYMMUX1","GSON1112061373")</f>
        <v>#NAME?</v>
      </c>
      <c r="V1224" s="24" t="e">
        <f ca="1">[1]!BexGetData("DP_1","00O2TNJGODT0G5Z4TTKYMN18L","GSON1112061373")</f>
        <v>#NAME?</v>
      </c>
      <c r="W1224" s="24" t="e">
        <f ca="1">[1]!BexGetData("DP_1","00O2TNJGODT0G5Z4TTKYMN7K5","GSON1112061373")</f>
        <v>#NAME?</v>
      </c>
    </row>
    <row r="1225" spans="1:23" x14ac:dyDescent="0.2">
      <c r="A1225" s="36" t="s">
        <v>3804</v>
      </c>
      <c r="B1225" s="27" t="s">
        <v>3805</v>
      </c>
      <c r="C1225" s="23" t="e">
        <f ca="1">[1]!BexGetData("DP_1","003N8EMH8GTFRCSWKMPXRR8GU","GSON1112061374")</f>
        <v>#NAME?</v>
      </c>
      <c r="D1225" s="23" t="e">
        <f ca="1">[1]!BexGetData("DP_1","003N8EMH8GTFRCSWKMPXRRESE","GSON1112061374")</f>
        <v>#NAME?</v>
      </c>
      <c r="E1225" s="28" t="e">
        <f ca="1">[1]!BexGetData("DP_1","003N8EMH8GTFRCSWKMPXRRL3Y","GSON1112061374")</f>
        <v>#NAME?</v>
      </c>
      <c r="F1225" s="24" t="e">
        <f ca="1">[1]!BexGetData("DP_1","003N8EMH8GTFRCSWKMPXRRRFI","GSON1112061374")</f>
        <v>#NAME?</v>
      </c>
      <c r="G1225" s="24" t="e">
        <f ca="1">[1]!BexGetData("DP_1","003N8EMH8GTFRCSWKMPXRRXR2","GSON1112061374")</f>
        <v>#NAME?</v>
      </c>
      <c r="H1225" s="24" t="e">
        <f ca="1">[1]!BexGetData("DP_1","003N8EMH8GTFRCSWKMPXRS42M","GSON1112061374")</f>
        <v>#NAME?</v>
      </c>
      <c r="I1225" s="24" t="e">
        <f ca="1">[1]!BexGetData("DP_1","003N8EMH8GTFRCSWKMPXRSAE6","GSON1112061374")</f>
        <v>#NAME?</v>
      </c>
      <c r="J1225" s="24" t="e">
        <f ca="1">[1]!BexGetData("DP_1","003N8EMH8GTFRCSWKMPXRSGPQ","GSON1112061374")</f>
        <v>#NAME?</v>
      </c>
      <c r="K1225" s="28" t="e">
        <f ca="1">[1]!BexGetData("DP_1","003N8EMH8GTFRIVNUPY288VJH","GSON1112061374")</f>
        <v>#NAME?</v>
      </c>
      <c r="L1225" s="28" t="e">
        <f ca="1">[1]!BexGetData("DP_1","003N8EMH8GTFRIVNUPY2891V1","GSON1112061374")</f>
        <v>#NAME?</v>
      </c>
      <c r="M1225" s="28" t="e">
        <f ca="1">[1]!BexGetData("DP_1","003N8EMH8GTFRIVOG7KG9IQXA","GSON1112061374")</f>
        <v>#NAME?</v>
      </c>
      <c r="N1225" s="28" t="e">
        <f ca="1">[1]!BexGetData("DP_1","003N8EMH8GTFRIVOG7KG9IX8U","GSON1112061374")</f>
        <v>#NAME?</v>
      </c>
      <c r="O1225" s="28" t="e">
        <f ca="1">[1]!BexGetData("DP_1","003N8EMH8GTFRIVOG7KG9J3KE","GSON1112061374")</f>
        <v>#NAME?</v>
      </c>
      <c r="P1225" s="28" t="e">
        <f ca="1">[1]!BexGetData("DP_1","003N8EMH8GTFRIVOG7KG9J9VY","GSON1112061374")</f>
        <v>#NAME?</v>
      </c>
      <c r="Q1225" s="24" t="e">
        <f ca="1">[1]!BexGetData("DP_1","00O2TNJGODT0G5Z4TTKYMM5MT","GSON1112061374")</f>
        <v>#NAME?</v>
      </c>
      <c r="R1225" s="24" t="e">
        <f ca="1">[1]!BexGetData("DP_1","00O2TNJGODT0G5Z4TTKYMMBYD","GSON1112061374")</f>
        <v>#NAME?</v>
      </c>
      <c r="S1225" s="24" t="e">
        <f ca="1">[1]!BexGetData("DP_1","00O2TNJGODT0G5Z4TTKYMMI9X","GSON1112061374")</f>
        <v>#NAME?</v>
      </c>
      <c r="T1225" s="24" t="e">
        <f ca="1">[1]!BexGetData("DP_1","00O2TNJGODT0G5Z4TTKYMMOLH","GSON1112061374")</f>
        <v>#NAME?</v>
      </c>
      <c r="U1225" s="24" t="e">
        <f ca="1">[1]!BexGetData("DP_1","00O2TNJGODT0G5Z4TTKYMMUX1","GSON1112061374")</f>
        <v>#NAME?</v>
      </c>
      <c r="V1225" s="24" t="e">
        <f ca="1">[1]!BexGetData("DP_1","00O2TNJGODT0G5Z4TTKYMN18L","GSON1112061374")</f>
        <v>#NAME?</v>
      </c>
      <c r="W1225" s="24" t="e">
        <f ca="1">[1]!BexGetData("DP_1","00O2TNJGODT0G5Z4TTKYMN7K5","GSON1112061374")</f>
        <v>#NAME?</v>
      </c>
    </row>
    <row r="1226" spans="1:23" x14ac:dyDescent="0.2">
      <c r="A1226" s="36" t="s">
        <v>3806</v>
      </c>
      <c r="B1226" s="27" t="s">
        <v>3807</v>
      </c>
      <c r="C1226" s="23" t="e">
        <f ca="1">[1]!BexGetData("DP_1","003N8EMH8GTFRCSWKMPXRR8GU","GSON1112061375")</f>
        <v>#NAME?</v>
      </c>
      <c r="D1226" s="23" t="e">
        <f ca="1">[1]!BexGetData("DP_1","003N8EMH8GTFRCSWKMPXRRESE","GSON1112061375")</f>
        <v>#NAME?</v>
      </c>
      <c r="E1226" s="28" t="e">
        <f ca="1">[1]!BexGetData("DP_1","003N8EMH8GTFRCSWKMPXRRL3Y","GSON1112061375")</f>
        <v>#NAME?</v>
      </c>
      <c r="F1226" s="24" t="e">
        <f ca="1">[1]!BexGetData("DP_1","003N8EMH8GTFRCSWKMPXRRRFI","GSON1112061375")</f>
        <v>#NAME?</v>
      </c>
      <c r="G1226" s="24" t="e">
        <f ca="1">[1]!BexGetData("DP_1","003N8EMH8GTFRCSWKMPXRRXR2","GSON1112061375")</f>
        <v>#NAME?</v>
      </c>
      <c r="H1226" s="24" t="e">
        <f ca="1">[1]!BexGetData("DP_1","003N8EMH8GTFRCSWKMPXRS42M","GSON1112061375")</f>
        <v>#NAME?</v>
      </c>
      <c r="I1226" s="24" t="e">
        <f ca="1">[1]!BexGetData("DP_1","003N8EMH8GTFRCSWKMPXRSAE6","GSON1112061375")</f>
        <v>#NAME?</v>
      </c>
      <c r="J1226" s="24" t="e">
        <f ca="1">[1]!BexGetData("DP_1","003N8EMH8GTFRCSWKMPXRSGPQ","GSON1112061375")</f>
        <v>#NAME?</v>
      </c>
      <c r="K1226" s="28" t="e">
        <f ca="1">[1]!BexGetData("DP_1","003N8EMH8GTFRIVNUPY288VJH","GSON1112061375")</f>
        <v>#NAME?</v>
      </c>
      <c r="L1226" s="28" t="e">
        <f ca="1">[1]!BexGetData("DP_1","003N8EMH8GTFRIVNUPY2891V1","GSON1112061375")</f>
        <v>#NAME?</v>
      </c>
      <c r="M1226" s="28" t="e">
        <f ca="1">[1]!BexGetData("DP_1","003N8EMH8GTFRIVOG7KG9IQXA","GSON1112061375")</f>
        <v>#NAME?</v>
      </c>
      <c r="N1226" s="28" t="e">
        <f ca="1">[1]!BexGetData("DP_1","003N8EMH8GTFRIVOG7KG9IX8U","GSON1112061375")</f>
        <v>#NAME?</v>
      </c>
      <c r="O1226" s="28" t="e">
        <f ca="1">[1]!BexGetData("DP_1","003N8EMH8GTFRIVOG7KG9J3KE","GSON1112061375")</f>
        <v>#NAME?</v>
      </c>
      <c r="P1226" s="28" t="e">
        <f ca="1">[1]!BexGetData("DP_1","003N8EMH8GTFRIVOG7KG9J9VY","GSON1112061375")</f>
        <v>#NAME?</v>
      </c>
      <c r="Q1226" s="24" t="e">
        <f ca="1">[1]!BexGetData("DP_1","00O2TNJGODT0G5Z4TTKYMM5MT","GSON1112061375")</f>
        <v>#NAME?</v>
      </c>
      <c r="R1226" s="24" t="e">
        <f ca="1">[1]!BexGetData("DP_1","00O2TNJGODT0G5Z4TTKYMMBYD","GSON1112061375")</f>
        <v>#NAME?</v>
      </c>
      <c r="S1226" s="24" t="e">
        <f ca="1">[1]!BexGetData("DP_1","00O2TNJGODT0G5Z4TTKYMMI9X","GSON1112061375")</f>
        <v>#NAME?</v>
      </c>
      <c r="T1226" s="24" t="e">
        <f ca="1">[1]!BexGetData("DP_1","00O2TNJGODT0G5Z4TTKYMMOLH","GSON1112061375")</f>
        <v>#NAME?</v>
      </c>
      <c r="U1226" s="24" t="e">
        <f ca="1">[1]!BexGetData("DP_1","00O2TNJGODT0G5Z4TTKYMMUX1","GSON1112061375")</f>
        <v>#NAME?</v>
      </c>
      <c r="V1226" s="24" t="e">
        <f ca="1">[1]!BexGetData("DP_1","00O2TNJGODT0G5Z4TTKYMN18L","GSON1112061375")</f>
        <v>#NAME?</v>
      </c>
      <c r="W1226" s="24" t="e">
        <f ca="1">[1]!BexGetData("DP_1","00O2TNJGODT0G5Z4TTKYMN7K5","GSON1112061375")</f>
        <v>#NAME?</v>
      </c>
    </row>
    <row r="1227" spans="1:23" x14ac:dyDescent="0.2">
      <c r="A1227" s="36" t="s">
        <v>3808</v>
      </c>
      <c r="B1227" s="27" t="s">
        <v>3809</v>
      </c>
      <c r="C1227" s="23" t="e">
        <f ca="1">[1]!BexGetData("DP_1","003N8EMH8GTFRCSWKMPXRR8GU","GSON1112061380")</f>
        <v>#NAME?</v>
      </c>
      <c r="D1227" s="23" t="e">
        <f ca="1">[1]!BexGetData("DP_1","003N8EMH8GTFRCSWKMPXRRESE","GSON1112061380")</f>
        <v>#NAME?</v>
      </c>
      <c r="E1227" s="28" t="e">
        <f ca="1">[1]!BexGetData("DP_1","003N8EMH8GTFRCSWKMPXRRL3Y","GSON1112061380")</f>
        <v>#NAME?</v>
      </c>
      <c r="F1227" s="24" t="e">
        <f ca="1">[1]!BexGetData("DP_1","003N8EMH8GTFRCSWKMPXRRRFI","GSON1112061380")</f>
        <v>#NAME?</v>
      </c>
      <c r="G1227" s="24" t="e">
        <f ca="1">[1]!BexGetData("DP_1","003N8EMH8GTFRCSWKMPXRRXR2","GSON1112061380")</f>
        <v>#NAME?</v>
      </c>
      <c r="H1227" s="24" t="e">
        <f ca="1">[1]!BexGetData("DP_1","003N8EMH8GTFRCSWKMPXRS42M","GSON1112061380")</f>
        <v>#NAME?</v>
      </c>
      <c r="I1227" s="24" t="e">
        <f ca="1">[1]!BexGetData("DP_1","003N8EMH8GTFRCSWKMPXRSAE6","GSON1112061380")</f>
        <v>#NAME?</v>
      </c>
      <c r="J1227" s="24" t="e">
        <f ca="1">[1]!BexGetData("DP_1","003N8EMH8GTFRCSWKMPXRSGPQ","GSON1112061380")</f>
        <v>#NAME?</v>
      </c>
      <c r="K1227" s="28" t="e">
        <f ca="1">[1]!BexGetData("DP_1","003N8EMH8GTFRIVNUPY288VJH","GSON1112061380")</f>
        <v>#NAME?</v>
      </c>
      <c r="L1227" s="28" t="e">
        <f ca="1">[1]!BexGetData("DP_1","003N8EMH8GTFRIVNUPY2891V1","GSON1112061380")</f>
        <v>#NAME?</v>
      </c>
      <c r="M1227" s="28" t="e">
        <f ca="1">[1]!BexGetData("DP_1","003N8EMH8GTFRIVOG7KG9IQXA","GSON1112061380")</f>
        <v>#NAME?</v>
      </c>
      <c r="N1227" s="28" t="e">
        <f ca="1">[1]!BexGetData("DP_1","003N8EMH8GTFRIVOG7KG9IX8U","GSON1112061380")</f>
        <v>#NAME?</v>
      </c>
      <c r="O1227" s="28" t="e">
        <f ca="1">[1]!BexGetData("DP_1","003N8EMH8GTFRIVOG7KG9J3KE","GSON1112061380")</f>
        <v>#NAME?</v>
      </c>
      <c r="P1227" s="28" t="e">
        <f ca="1">[1]!BexGetData("DP_1","003N8EMH8GTFRIVOG7KG9J9VY","GSON1112061380")</f>
        <v>#NAME?</v>
      </c>
      <c r="Q1227" s="24" t="e">
        <f ca="1">[1]!BexGetData("DP_1","00O2TNJGODT0G5Z4TTKYMM5MT","GSON1112061380")</f>
        <v>#NAME?</v>
      </c>
      <c r="R1227" s="24" t="e">
        <f ca="1">[1]!BexGetData("DP_1","00O2TNJGODT0G5Z4TTKYMMBYD","GSON1112061380")</f>
        <v>#NAME?</v>
      </c>
      <c r="S1227" s="24" t="e">
        <f ca="1">[1]!BexGetData("DP_1","00O2TNJGODT0G5Z4TTKYMMI9X","GSON1112061380")</f>
        <v>#NAME?</v>
      </c>
      <c r="T1227" s="24" t="e">
        <f ca="1">[1]!BexGetData("DP_1","00O2TNJGODT0G5Z4TTKYMMOLH","GSON1112061380")</f>
        <v>#NAME?</v>
      </c>
      <c r="U1227" s="24" t="e">
        <f ca="1">[1]!BexGetData("DP_1","00O2TNJGODT0G5Z4TTKYMMUX1","GSON1112061380")</f>
        <v>#NAME?</v>
      </c>
      <c r="V1227" s="24" t="e">
        <f ca="1">[1]!BexGetData("DP_1","00O2TNJGODT0G5Z4TTKYMN18L","GSON1112061380")</f>
        <v>#NAME?</v>
      </c>
      <c r="W1227" s="24" t="e">
        <f ca="1">[1]!BexGetData("DP_1","00O2TNJGODT0G5Z4TTKYMN7K5","GSON1112061380")</f>
        <v>#NAME?</v>
      </c>
    </row>
    <row r="1228" spans="1:23" x14ac:dyDescent="0.2">
      <c r="A1228" s="36" t="s">
        <v>3810</v>
      </c>
      <c r="B1228" s="27" t="s">
        <v>3811</v>
      </c>
      <c r="C1228" s="23" t="e">
        <f ca="1">[1]!BexGetData("DP_1","003N8EMH8GTFRCSWKMPXRR8GU","GSON1112061381")</f>
        <v>#NAME?</v>
      </c>
      <c r="D1228" s="23" t="e">
        <f ca="1">[1]!BexGetData("DP_1","003N8EMH8GTFRCSWKMPXRRESE","GSON1112061381")</f>
        <v>#NAME?</v>
      </c>
      <c r="E1228" s="28" t="e">
        <f ca="1">[1]!BexGetData("DP_1","003N8EMH8GTFRCSWKMPXRRL3Y","GSON1112061381")</f>
        <v>#NAME?</v>
      </c>
      <c r="F1228" s="24" t="e">
        <f ca="1">[1]!BexGetData("DP_1","003N8EMH8GTFRCSWKMPXRRRFI","GSON1112061381")</f>
        <v>#NAME?</v>
      </c>
      <c r="G1228" s="24" t="e">
        <f ca="1">[1]!BexGetData("DP_1","003N8EMH8GTFRCSWKMPXRRXR2","GSON1112061381")</f>
        <v>#NAME?</v>
      </c>
      <c r="H1228" s="24" t="e">
        <f ca="1">[1]!BexGetData("DP_1","003N8EMH8GTFRCSWKMPXRS42M","GSON1112061381")</f>
        <v>#NAME?</v>
      </c>
      <c r="I1228" s="24" t="e">
        <f ca="1">[1]!BexGetData("DP_1","003N8EMH8GTFRCSWKMPXRSAE6","GSON1112061381")</f>
        <v>#NAME?</v>
      </c>
      <c r="J1228" s="24" t="e">
        <f ca="1">[1]!BexGetData("DP_1","003N8EMH8GTFRCSWKMPXRSGPQ","GSON1112061381")</f>
        <v>#NAME?</v>
      </c>
      <c r="K1228" s="28" t="e">
        <f ca="1">[1]!BexGetData("DP_1","003N8EMH8GTFRIVNUPY288VJH","GSON1112061381")</f>
        <v>#NAME?</v>
      </c>
      <c r="L1228" s="28" t="e">
        <f ca="1">[1]!BexGetData("DP_1","003N8EMH8GTFRIVNUPY2891V1","GSON1112061381")</f>
        <v>#NAME?</v>
      </c>
      <c r="M1228" s="28" t="e">
        <f ca="1">[1]!BexGetData("DP_1","003N8EMH8GTFRIVOG7KG9IQXA","GSON1112061381")</f>
        <v>#NAME?</v>
      </c>
      <c r="N1228" s="28" t="e">
        <f ca="1">[1]!BexGetData("DP_1","003N8EMH8GTFRIVOG7KG9IX8U","GSON1112061381")</f>
        <v>#NAME?</v>
      </c>
      <c r="O1228" s="28" t="e">
        <f ca="1">[1]!BexGetData("DP_1","003N8EMH8GTFRIVOG7KG9J3KE","GSON1112061381")</f>
        <v>#NAME?</v>
      </c>
      <c r="P1228" s="28" t="e">
        <f ca="1">[1]!BexGetData("DP_1","003N8EMH8GTFRIVOG7KG9J9VY","GSON1112061381")</f>
        <v>#NAME?</v>
      </c>
      <c r="Q1228" s="24" t="e">
        <f ca="1">[1]!BexGetData("DP_1","00O2TNJGODT0G5Z4TTKYMM5MT","GSON1112061381")</f>
        <v>#NAME?</v>
      </c>
      <c r="R1228" s="24" t="e">
        <f ca="1">[1]!BexGetData("DP_1","00O2TNJGODT0G5Z4TTKYMMBYD","GSON1112061381")</f>
        <v>#NAME?</v>
      </c>
      <c r="S1228" s="24" t="e">
        <f ca="1">[1]!BexGetData("DP_1","00O2TNJGODT0G5Z4TTKYMMI9X","GSON1112061381")</f>
        <v>#NAME?</v>
      </c>
      <c r="T1228" s="24" t="e">
        <f ca="1">[1]!BexGetData("DP_1","00O2TNJGODT0G5Z4TTKYMMOLH","GSON1112061381")</f>
        <v>#NAME?</v>
      </c>
      <c r="U1228" s="24" t="e">
        <f ca="1">[1]!BexGetData("DP_1","00O2TNJGODT0G5Z4TTKYMMUX1","GSON1112061381")</f>
        <v>#NAME?</v>
      </c>
      <c r="V1228" s="24" t="e">
        <f ca="1">[1]!BexGetData("DP_1","00O2TNJGODT0G5Z4TTKYMN18L","GSON1112061381")</f>
        <v>#NAME?</v>
      </c>
      <c r="W1228" s="24" t="e">
        <f ca="1">[1]!BexGetData("DP_1","00O2TNJGODT0G5Z4TTKYMN7K5","GSON1112061381")</f>
        <v>#NAME?</v>
      </c>
    </row>
    <row r="1229" spans="1:23" x14ac:dyDescent="0.2">
      <c r="A1229" s="36" t="s">
        <v>3812</v>
      </c>
      <c r="B1229" s="27" t="s">
        <v>3813</v>
      </c>
      <c r="C1229" s="23" t="e">
        <f ca="1">[1]!BexGetData("DP_1","003N8EMH8GTFRCSWKMPXRR8GU","GSON1112061384")</f>
        <v>#NAME?</v>
      </c>
      <c r="D1229" s="23" t="e">
        <f ca="1">[1]!BexGetData("DP_1","003N8EMH8GTFRCSWKMPXRRESE","GSON1112061384")</f>
        <v>#NAME?</v>
      </c>
      <c r="E1229" s="28" t="e">
        <f ca="1">[1]!BexGetData("DP_1","003N8EMH8GTFRCSWKMPXRRL3Y","GSON1112061384")</f>
        <v>#NAME?</v>
      </c>
      <c r="F1229" s="24" t="e">
        <f ca="1">[1]!BexGetData("DP_1","003N8EMH8GTFRCSWKMPXRRRFI","GSON1112061384")</f>
        <v>#NAME?</v>
      </c>
      <c r="G1229" s="24" t="e">
        <f ca="1">[1]!BexGetData("DP_1","003N8EMH8GTFRCSWKMPXRRXR2","GSON1112061384")</f>
        <v>#NAME?</v>
      </c>
      <c r="H1229" s="24" t="e">
        <f ca="1">[1]!BexGetData("DP_1","003N8EMH8GTFRCSWKMPXRS42M","GSON1112061384")</f>
        <v>#NAME?</v>
      </c>
      <c r="I1229" s="24" t="e">
        <f ca="1">[1]!BexGetData("DP_1","003N8EMH8GTFRCSWKMPXRSAE6","GSON1112061384")</f>
        <v>#NAME?</v>
      </c>
      <c r="J1229" s="24" t="e">
        <f ca="1">[1]!BexGetData("DP_1","003N8EMH8GTFRCSWKMPXRSGPQ","GSON1112061384")</f>
        <v>#NAME?</v>
      </c>
      <c r="K1229" s="28" t="e">
        <f ca="1">[1]!BexGetData("DP_1","003N8EMH8GTFRIVNUPY288VJH","GSON1112061384")</f>
        <v>#NAME?</v>
      </c>
      <c r="L1229" s="28" t="e">
        <f ca="1">[1]!BexGetData("DP_1","003N8EMH8GTFRIVNUPY2891V1","GSON1112061384")</f>
        <v>#NAME?</v>
      </c>
      <c r="M1229" s="28" t="e">
        <f ca="1">[1]!BexGetData("DP_1","003N8EMH8GTFRIVOG7KG9IQXA","GSON1112061384")</f>
        <v>#NAME?</v>
      </c>
      <c r="N1229" s="28" t="e">
        <f ca="1">[1]!BexGetData("DP_1","003N8EMH8GTFRIVOG7KG9IX8U","GSON1112061384")</f>
        <v>#NAME?</v>
      </c>
      <c r="O1229" s="28" t="e">
        <f ca="1">[1]!BexGetData("DP_1","003N8EMH8GTFRIVOG7KG9J3KE","GSON1112061384")</f>
        <v>#NAME?</v>
      </c>
      <c r="P1229" s="28" t="e">
        <f ca="1">[1]!BexGetData("DP_1","003N8EMH8GTFRIVOG7KG9J9VY","GSON1112061384")</f>
        <v>#NAME?</v>
      </c>
      <c r="Q1229" s="24" t="e">
        <f ca="1">[1]!BexGetData("DP_1","00O2TNJGODT0G5Z4TTKYMM5MT","GSON1112061384")</f>
        <v>#NAME?</v>
      </c>
      <c r="R1229" s="24" t="e">
        <f ca="1">[1]!BexGetData("DP_1","00O2TNJGODT0G5Z4TTKYMMBYD","GSON1112061384")</f>
        <v>#NAME?</v>
      </c>
      <c r="S1229" s="24" t="e">
        <f ca="1">[1]!BexGetData("DP_1","00O2TNJGODT0G5Z4TTKYMMI9X","GSON1112061384")</f>
        <v>#NAME?</v>
      </c>
      <c r="T1229" s="24" t="e">
        <f ca="1">[1]!BexGetData("DP_1","00O2TNJGODT0G5Z4TTKYMMOLH","GSON1112061384")</f>
        <v>#NAME?</v>
      </c>
      <c r="U1229" s="24" t="e">
        <f ca="1">[1]!BexGetData("DP_1","00O2TNJGODT0G5Z4TTKYMMUX1","GSON1112061384")</f>
        <v>#NAME?</v>
      </c>
      <c r="V1229" s="24" t="e">
        <f ca="1">[1]!BexGetData("DP_1","00O2TNJGODT0G5Z4TTKYMN18L","GSON1112061384")</f>
        <v>#NAME?</v>
      </c>
      <c r="W1229" s="24" t="e">
        <f ca="1">[1]!BexGetData("DP_1","00O2TNJGODT0G5Z4TTKYMN7K5","GSON1112061384")</f>
        <v>#NAME?</v>
      </c>
    </row>
    <row r="1230" spans="1:23" x14ac:dyDescent="0.2">
      <c r="A1230" s="36" t="s">
        <v>3814</v>
      </c>
      <c r="B1230" s="27" t="s">
        <v>3815</v>
      </c>
      <c r="C1230" s="23" t="e">
        <f ca="1">[1]!BexGetData("DP_1","003N8EMH8GTFRCSWKMPXRR8GU","GSON1112061390")</f>
        <v>#NAME?</v>
      </c>
      <c r="D1230" s="23" t="e">
        <f ca="1">[1]!BexGetData("DP_1","003N8EMH8GTFRCSWKMPXRRESE","GSON1112061390")</f>
        <v>#NAME?</v>
      </c>
      <c r="E1230" s="28" t="e">
        <f ca="1">[1]!BexGetData("DP_1","003N8EMH8GTFRCSWKMPXRRL3Y","GSON1112061390")</f>
        <v>#NAME?</v>
      </c>
      <c r="F1230" s="24" t="e">
        <f ca="1">[1]!BexGetData("DP_1","003N8EMH8GTFRCSWKMPXRRRFI","GSON1112061390")</f>
        <v>#NAME?</v>
      </c>
      <c r="G1230" s="24" t="e">
        <f ca="1">[1]!BexGetData("DP_1","003N8EMH8GTFRCSWKMPXRRXR2","GSON1112061390")</f>
        <v>#NAME?</v>
      </c>
      <c r="H1230" s="24" t="e">
        <f ca="1">[1]!BexGetData("DP_1","003N8EMH8GTFRCSWKMPXRS42M","GSON1112061390")</f>
        <v>#NAME?</v>
      </c>
      <c r="I1230" s="24" t="e">
        <f ca="1">[1]!BexGetData("DP_1","003N8EMH8GTFRCSWKMPXRSAE6","GSON1112061390")</f>
        <v>#NAME?</v>
      </c>
      <c r="J1230" s="24" t="e">
        <f ca="1">[1]!BexGetData("DP_1","003N8EMH8GTFRCSWKMPXRSGPQ","GSON1112061390")</f>
        <v>#NAME?</v>
      </c>
      <c r="K1230" s="28" t="e">
        <f ca="1">[1]!BexGetData("DP_1","003N8EMH8GTFRIVNUPY288VJH","GSON1112061390")</f>
        <v>#NAME?</v>
      </c>
      <c r="L1230" s="28" t="e">
        <f ca="1">[1]!BexGetData("DP_1","003N8EMH8GTFRIVNUPY2891V1","GSON1112061390")</f>
        <v>#NAME?</v>
      </c>
      <c r="M1230" s="28" t="e">
        <f ca="1">[1]!BexGetData("DP_1","003N8EMH8GTFRIVOG7KG9IQXA","GSON1112061390")</f>
        <v>#NAME?</v>
      </c>
      <c r="N1230" s="28" t="e">
        <f ca="1">[1]!BexGetData("DP_1","003N8EMH8GTFRIVOG7KG9IX8U","GSON1112061390")</f>
        <v>#NAME?</v>
      </c>
      <c r="O1230" s="28" t="e">
        <f ca="1">[1]!BexGetData("DP_1","003N8EMH8GTFRIVOG7KG9J3KE","GSON1112061390")</f>
        <v>#NAME?</v>
      </c>
      <c r="P1230" s="28" t="e">
        <f ca="1">[1]!BexGetData("DP_1","003N8EMH8GTFRIVOG7KG9J9VY","GSON1112061390")</f>
        <v>#NAME?</v>
      </c>
      <c r="Q1230" s="24" t="e">
        <f ca="1">[1]!BexGetData("DP_1","00O2TNJGODT0G5Z4TTKYMM5MT","GSON1112061390")</f>
        <v>#NAME?</v>
      </c>
      <c r="R1230" s="24" t="e">
        <f ca="1">[1]!BexGetData("DP_1","00O2TNJGODT0G5Z4TTKYMMBYD","GSON1112061390")</f>
        <v>#NAME?</v>
      </c>
      <c r="S1230" s="24" t="e">
        <f ca="1">[1]!BexGetData("DP_1","00O2TNJGODT0G5Z4TTKYMMI9X","GSON1112061390")</f>
        <v>#NAME?</v>
      </c>
      <c r="T1230" s="24" t="e">
        <f ca="1">[1]!BexGetData("DP_1","00O2TNJGODT0G5Z4TTKYMMOLH","GSON1112061390")</f>
        <v>#NAME?</v>
      </c>
      <c r="U1230" s="24" t="e">
        <f ca="1">[1]!BexGetData("DP_1","00O2TNJGODT0G5Z4TTKYMMUX1","GSON1112061390")</f>
        <v>#NAME?</v>
      </c>
      <c r="V1230" s="24" t="e">
        <f ca="1">[1]!BexGetData("DP_1","00O2TNJGODT0G5Z4TTKYMN18L","GSON1112061390")</f>
        <v>#NAME?</v>
      </c>
      <c r="W1230" s="24" t="e">
        <f ca="1">[1]!BexGetData("DP_1","00O2TNJGODT0G5Z4TTKYMN7K5","GSON1112061390")</f>
        <v>#NAME?</v>
      </c>
    </row>
    <row r="1231" spans="1:23" x14ac:dyDescent="0.2">
      <c r="A1231" s="36" t="s">
        <v>3816</v>
      </c>
      <c r="B1231" s="27" t="s">
        <v>3817</v>
      </c>
      <c r="C1231" s="23" t="e">
        <f ca="1">[1]!BexGetData("DP_1","003N8EMH8GTFRCSWKMPXRR8GU","GSON1112061391")</f>
        <v>#NAME?</v>
      </c>
      <c r="D1231" s="23" t="e">
        <f ca="1">[1]!BexGetData("DP_1","003N8EMH8GTFRCSWKMPXRRESE","GSON1112061391")</f>
        <v>#NAME?</v>
      </c>
      <c r="E1231" s="28" t="e">
        <f ca="1">[1]!BexGetData("DP_1","003N8EMH8GTFRCSWKMPXRRL3Y","GSON1112061391")</f>
        <v>#NAME?</v>
      </c>
      <c r="F1231" s="24" t="e">
        <f ca="1">[1]!BexGetData("DP_1","003N8EMH8GTFRCSWKMPXRRRFI","GSON1112061391")</f>
        <v>#NAME?</v>
      </c>
      <c r="G1231" s="24" t="e">
        <f ca="1">[1]!BexGetData("DP_1","003N8EMH8GTFRCSWKMPXRRXR2","GSON1112061391")</f>
        <v>#NAME?</v>
      </c>
      <c r="H1231" s="24" t="e">
        <f ca="1">[1]!BexGetData("DP_1","003N8EMH8GTFRCSWKMPXRS42M","GSON1112061391")</f>
        <v>#NAME?</v>
      </c>
      <c r="I1231" s="24" t="e">
        <f ca="1">[1]!BexGetData("DP_1","003N8EMH8GTFRCSWKMPXRSAE6","GSON1112061391")</f>
        <v>#NAME?</v>
      </c>
      <c r="J1231" s="24" t="e">
        <f ca="1">[1]!BexGetData("DP_1","003N8EMH8GTFRCSWKMPXRSGPQ","GSON1112061391")</f>
        <v>#NAME?</v>
      </c>
      <c r="K1231" s="28" t="e">
        <f ca="1">[1]!BexGetData("DP_1","003N8EMH8GTFRIVNUPY288VJH","GSON1112061391")</f>
        <v>#NAME?</v>
      </c>
      <c r="L1231" s="28" t="e">
        <f ca="1">[1]!BexGetData("DP_1","003N8EMH8GTFRIVNUPY2891V1","GSON1112061391")</f>
        <v>#NAME?</v>
      </c>
      <c r="M1231" s="28" t="e">
        <f ca="1">[1]!BexGetData("DP_1","003N8EMH8GTFRIVOG7KG9IQXA","GSON1112061391")</f>
        <v>#NAME?</v>
      </c>
      <c r="N1231" s="28" t="e">
        <f ca="1">[1]!BexGetData("DP_1","003N8EMH8GTFRIVOG7KG9IX8U","GSON1112061391")</f>
        <v>#NAME?</v>
      </c>
      <c r="O1231" s="28" t="e">
        <f ca="1">[1]!BexGetData("DP_1","003N8EMH8GTFRIVOG7KG9J3KE","GSON1112061391")</f>
        <v>#NAME?</v>
      </c>
      <c r="P1231" s="28" t="e">
        <f ca="1">[1]!BexGetData("DP_1","003N8EMH8GTFRIVOG7KG9J9VY","GSON1112061391")</f>
        <v>#NAME?</v>
      </c>
      <c r="Q1231" s="24" t="e">
        <f ca="1">[1]!BexGetData("DP_1","00O2TNJGODT0G5Z4TTKYMM5MT","GSON1112061391")</f>
        <v>#NAME?</v>
      </c>
      <c r="R1231" s="24" t="e">
        <f ca="1">[1]!BexGetData("DP_1","00O2TNJGODT0G5Z4TTKYMMBYD","GSON1112061391")</f>
        <v>#NAME?</v>
      </c>
      <c r="S1231" s="24" t="e">
        <f ca="1">[1]!BexGetData("DP_1","00O2TNJGODT0G5Z4TTKYMMI9X","GSON1112061391")</f>
        <v>#NAME?</v>
      </c>
      <c r="T1231" s="24" t="e">
        <f ca="1">[1]!BexGetData("DP_1","00O2TNJGODT0G5Z4TTKYMMOLH","GSON1112061391")</f>
        <v>#NAME?</v>
      </c>
      <c r="U1231" s="24" t="e">
        <f ca="1">[1]!BexGetData("DP_1","00O2TNJGODT0G5Z4TTKYMMUX1","GSON1112061391")</f>
        <v>#NAME?</v>
      </c>
      <c r="V1231" s="24" t="e">
        <f ca="1">[1]!BexGetData("DP_1","00O2TNJGODT0G5Z4TTKYMN18L","GSON1112061391")</f>
        <v>#NAME?</v>
      </c>
      <c r="W1231" s="24" t="e">
        <f ca="1">[1]!BexGetData("DP_1","00O2TNJGODT0G5Z4TTKYMN7K5","GSON1112061391")</f>
        <v>#NAME?</v>
      </c>
    </row>
    <row r="1232" spans="1:23" x14ac:dyDescent="0.2">
      <c r="A1232" s="36" t="s">
        <v>3818</v>
      </c>
      <c r="B1232" s="27" t="s">
        <v>3819</v>
      </c>
      <c r="C1232" s="23" t="e">
        <f ca="1">[1]!BexGetData("DP_1","003N8EMH8GTFRCSWKMPXRR8GU","GSON1112061393")</f>
        <v>#NAME?</v>
      </c>
      <c r="D1232" s="23" t="e">
        <f ca="1">[1]!BexGetData("DP_1","003N8EMH8GTFRCSWKMPXRRESE","GSON1112061393")</f>
        <v>#NAME?</v>
      </c>
      <c r="E1232" s="28" t="e">
        <f ca="1">[1]!BexGetData("DP_1","003N8EMH8GTFRCSWKMPXRRL3Y","GSON1112061393")</f>
        <v>#NAME?</v>
      </c>
      <c r="F1232" s="24" t="e">
        <f ca="1">[1]!BexGetData("DP_1","003N8EMH8GTFRCSWKMPXRRRFI","GSON1112061393")</f>
        <v>#NAME?</v>
      </c>
      <c r="G1232" s="24" t="e">
        <f ca="1">[1]!BexGetData("DP_1","003N8EMH8GTFRCSWKMPXRRXR2","GSON1112061393")</f>
        <v>#NAME?</v>
      </c>
      <c r="H1232" s="24" t="e">
        <f ca="1">[1]!BexGetData("DP_1","003N8EMH8GTFRCSWKMPXRS42M","GSON1112061393")</f>
        <v>#NAME?</v>
      </c>
      <c r="I1232" s="24" t="e">
        <f ca="1">[1]!BexGetData("DP_1","003N8EMH8GTFRCSWKMPXRSAE6","GSON1112061393")</f>
        <v>#NAME?</v>
      </c>
      <c r="J1232" s="24" t="e">
        <f ca="1">[1]!BexGetData("DP_1","003N8EMH8GTFRCSWKMPXRSGPQ","GSON1112061393")</f>
        <v>#NAME?</v>
      </c>
      <c r="K1232" s="28" t="e">
        <f ca="1">[1]!BexGetData("DP_1","003N8EMH8GTFRIVNUPY288VJH","GSON1112061393")</f>
        <v>#NAME?</v>
      </c>
      <c r="L1232" s="28" t="e">
        <f ca="1">[1]!BexGetData("DP_1","003N8EMH8GTFRIVNUPY2891V1","GSON1112061393")</f>
        <v>#NAME?</v>
      </c>
      <c r="M1232" s="28" t="e">
        <f ca="1">[1]!BexGetData("DP_1","003N8EMH8GTFRIVOG7KG9IQXA","GSON1112061393")</f>
        <v>#NAME?</v>
      </c>
      <c r="N1232" s="28" t="e">
        <f ca="1">[1]!BexGetData("DP_1","003N8EMH8GTFRIVOG7KG9IX8U","GSON1112061393")</f>
        <v>#NAME?</v>
      </c>
      <c r="O1232" s="28" t="e">
        <f ca="1">[1]!BexGetData("DP_1","003N8EMH8GTFRIVOG7KG9J3KE","GSON1112061393")</f>
        <v>#NAME?</v>
      </c>
      <c r="P1232" s="28" t="e">
        <f ca="1">[1]!BexGetData("DP_1","003N8EMH8GTFRIVOG7KG9J9VY","GSON1112061393")</f>
        <v>#NAME?</v>
      </c>
      <c r="Q1232" s="24" t="e">
        <f ca="1">[1]!BexGetData("DP_1","00O2TNJGODT0G5Z4TTKYMM5MT","GSON1112061393")</f>
        <v>#NAME?</v>
      </c>
      <c r="R1232" s="24" t="e">
        <f ca="1">[1]!BexGetData("DP_1","00O2TNJGODT0G5Z4TTKYMMBYD","GSON1112061393")</f>
        <v>#NAME?</v>
      </c>
      <c r="S1232" s="24" t="e">
        <f ca="1">[1]!BexGetData("DP_1","00O2TNJGODT0G5Z4TTKYMMI9X","GSON1112061393")</f>
        <v>#NAME?</v>
      </c>
      <c r="T1232" s="24" t="e">
        <f ca="1">[1]!BexGetData("DP_1","00O2TNJGODT0G5Z4TTKYMMOLH","GSON1112061393")</f>
        <v>#NAME?</v>
      </c>
      <c r="U1232" s="24" t="e">
        <f ca="1">[1]!BexGetData("DP_1","00O2TNJGODT0G5Z4TTKYMMUX1","GSON1112061393")</f>
        <v>#NAME?</v>
      </c>
      <c r="V1232" s="24" t="e">
        <f ca="1">[1]!BexGetData("DP_1","00O2TNJGODT0G5Z4TTKYMN18L","GSON1112061393")</f>
        <v>#NAME?</v>
      </c>
      <c r="W1232" s="24" t="e">
        <f ca="1">[1]!BexGetData("DP_1","00O2TNJGODT0G5Z4TTKYMN7K5","GSON1112061393")</f>
        <v>#NAME?</v>
      </c>
    </row>
    <row r="1233" spans="1:23" x14ac:dyDescent="0.2">
      <c r="A1233" s="36" t="s">
        <v>3820</v>
      </c>
      <c r="B1233" s="27" t="s">
        <v>3821</v>
      </c>
      <c r="C1233" s="23" t="e">
        <f ca="1">[1]!BexGetData("DP_1","003N8EMH8GTFRCSWKMPXRR8GU","GSON1112061394")</f>
        <v>#NAME?</v>
      </c>
      <c r="D1233" s="23" t="e">
        <f ca="1">[1]!BexGetData("DP_1","003N8EMH8GTFRCSWKMPXRRESE","GSON1112061394")</f>
        <v>#NAME?</v>
      </c>
      <c r="E1233" s="28" t="e">
        <f ca="1">[1]!BexGetData("DP_1","003N8EMH8GTFRCSWKMPXRRL3Y","GSON1112061394")</f>
        <v>#NAME?</v>
      </c>
      <c r="F1233" s="24" t="e">
        <f ca="1">[1]!BexGetData("DP_1","003N8EMH8GTFRCSWKMPXRRRFI","GSON1112061394")</f>
        <v>#NAME?</v>
      </c>
      <c r="G1233" s="24" t="e">
        <f ca="1">[1]!BexGetData("DP_1","003N8EMH8GTFRCSWKMPXRRXR2","GSON1112061394")</f>
        <v>#NAME?</v>
      </c>
      <c r="H1233" s="24" t="e">
        <f ca="1">[1]!BexGetData("DP_1","003N8EMH8GTFRCSWKMPXRS42M","GSON1112061394")</f>
        <v>#NAME?</v>
      </c>
      <c r="I1233" s="24" t="e">
        <f ca="1">[1]!BexGetData("DP_1","003N8EMH8GTFRCSWKMPXRSAE6","GSON1112061394")</f>
        <v>#NAME?</v>
      </c>
      <c r="J1233" s="24" t="e">
        <f ca="1">[1]!BexGetData("DP_1","003N8EMH8GTFRCSWKMPXRSGPQ","GSON1112061394")</f>
        <v>#NAME?</v>
      </c>
      <c r="K1233" s="28" t="e">
        <f ca="1">[1]!BexGetData("DP_1","003N8EMH8GTFRIVNUPY288VJH","GSON1112061394")</f>
        <v>#NAME?</v>
      </c>
      <c r="L1233" s="28" t="e">
        <f ca="1">[1]!BexGetData("DP_1","003N8EMH8GTFRIVNUPY2891V1","GSON1112061394")</f>
        <v>#NAME?</v>
      </c>
      <c r="M1233" s="28" t="e">
        <f ca="1">[1]!BexGetData("DP_1","003N8EMH8GTFRIVOG7KG9IQXA","GSON1112061394")</f>
        <v>#NAME?</v>
      </c>
      <c r="N1233" s="28" t="e">
        <f ca="1">[1]!BexGetData("DP_1","003N8EMH8GTFRIVOG7KG9IX8U","GSON1112061394")</f>
        <v>#NAME?</v>
      </c>
      <c r="O1233" s="28" t="e">
        <f ca="1">[1]!BexGetData("DP_1","003N8EMH8GTFRIVOG7KG9J3KE","GSON1112061394")</f>
        <v>#NAME?</v>
      </c>
      <c r="P1233" s="28" t="e">
        <f ca="1">[1]!BexGetData("DP_1","003N8EMH8GTFRIVOG7KG9J9VY","GSON1112061394")</f>
        <v>#NAME?</v>
      </c>
      <c r="Q1233" s="24" t="e">
        <f ca="1">[1]!BexGetData("DP_1","00O2TNJGODT0G5Z4TTKYMM5MT","GSON1112061394")</f>
        <v>#NAME?</v>
      </c>
      <c r="R1233" s="24" t="e">
        <f ca="1">[1]!BexGetData("DP_1","00O2TNJGODT0G5Z4TTKYMMBYD","GSON1112061394")</f>
        <v>#NAME?</v>
      </c>
      <c r="S1233" s="24" t="e">
        <f ca="1">[1]!BexGetData("DP_1","00O2TNJGODT0G5Z4TTKYMMI9X","GSON1112061394")</f>
        <v>#NAME?</v>
      </c>
      <c r="T1233" s="24" t="e">
        <f ca="1">[1]!BexGetData("DP_1","00O2TNJGODT0G5Z4TTKYMMOLH","GSON1112061394")</f>
        <v>#NAME?</v>
      </c>
      <c r="U1233" s="24" t="e">
        <f ca="1">[1]!BexGetData("DP_1","00O2TNJGODT0G5Z4TTKYMMUX1","GSON1112061394")</f>
        <v>#NAME?</v>
      </c>
      <c r="V1233" s="24" t="e">
        <f ca="1">[1]!BexGetData("DP_1","00O2TNJGODT0G5Z4TTKYMN18L","GSON1112061394")</f>
        <v>#NAME?</v>
      </c>
      <c r="W1233" s="24" t="e">
        <f ca="1">[1]!BexGetData("DP_1","00O2TNJGODT0G5Z4TTKYMN7K5","GSON1112061394")</f>
        <v>#NAME?</v>
      </c>
    </row>
    <row r="1234" spans="1:23" x14ac:dyDescent="0.2">
      <c r="A1234" s="36" t="s">
        <v>3822</v>
      </c>
      <c r="B1234" s="27" t="s">
        <v>3823</v>
      </c>
      <c r="C1234" s="23" t="e">
        <f ca="1">[1]!BexGetData("DP_1","003N8EMH8GTFRCSWKMPXRR8GU","GSON1112061395")</f>
        <v>#NAME?</v>
      </c>
      <c r="D1234" s="23" t="e">
        <f ca="1">[1]!BexGetData("DP_1","003N8EMH8GTFRCSWKMPXRRESE","GSON1112061395")</f>
        <v>#NAME?</v>
      </c>
      <c r="E1234" s="28" t="e">
        <f ca="1">[1]!BexGetData("DP_1","003N8EMH8GTFRCSWKMPXRRL3Y","GSON1112061395")</f>
        <v>#NAME?</v>
      </c>
      <c r="F1234" s="24" t="e">
        <f ca="1">[1]!BexGetData("DP_1","003N8EMH8GTFRCSWKMPXRRRFI","GSON1112061395")</f>
        <v>#NAME?</v>
      </c>
      <c r="G1234" s="24" t="e">
        <f ca="1">[1]!BexGetData("DP_1","003N8EMH8GTFRCSWKMPXRRXR2","GSON1112061395")</f>
        <v>#NAME?</v>
      </c>
      <c r="H1234" s="24" t="e">
        <f ca="1">[1]!BexGetData("DP_1","003N8EMH8GTFRCSWKMPXRS42M","GSON1112061395")</f>
        <v>#NAME?</v>
      </c>
      <c r="I1234" s="24" t="e">
        <f ca="1">[1]!BexGetData("DP_1","003N8EMH8GTFRCSWKMPXRSAE6","GSON1112061395")</f>
        <v>#NAME?</v>
      </c>
      <c r="J1234" s="24" t="e">
        <f ca="1">[1]!BexGetData("DP_1","003N8EMH8GTFRCSWKMPXRSGPQ","GSON1112061395")</f>
        <v>#NAME?</v>
      </c>
      <c r="K1234" s="28" t="e">
        <f ca="1">[1]!BexGetData("DP_1","003N8EMH8GTFRIVNUPY288VJH","GSON1112061395")</f>
        <v>#NAME?</v>
      </c>
      <c r="L1234" s="28" t="e">
        <f ca="1">[1]!BexGetData("DP_1","003N8EMH8GTFRIVNUPY2891V1","GSON1112061395")</f>
        <v>#NAME?</v>
      </c>
      <c r="M1234" s="28" t="e">
        <f ca="1">[1]!BexGetData("DP_1","003N8EMH8GTFRIVOG7KG9IQXA","GSON1112061395")</f>
        <v>#NAME?</v>
      </c>
      <c r="N1234" s="28" t="e">
        <f ca="1">[1]!BexGetData("DP_1","003N8EMH8GTFRIVOG7KG9IX8U","GSON1112061395")</f>
        <v>#NAME?</v>
      </c>
      <c r="O1234" s="28" t="e">
        <f ca="1">[1]!BexGetData("DP_1","003N8EMH8GTFRIVOG7KG9J3KE","GSON1112061395")</f>
        <v>#NAME?</v>
      </c>
      <c r="P1234" s="28" t="e">
        <f ca="1">[1]!BexGetData("DP_1","003N8EMH8GTFRIVOG7KG9J9VY","GSON1112061395")</f>
        <v>#NAME?</v>
      </c>
      <c r="Q1234" s="24" t="e">
        <f ca="1">[1]!BexGetData("DP_1","00O2TNJGODT0G5Z4TTKYMM5MT","GSON1112061395")</f>
        <v>#NAME?</v>
      </c>
      <c r="R1234" s="24" t="e">
        <f ca="1">[1]!BexGetData("DP_1","00O2TNJGODT0G5Z4TTKYMMBYD","GSON1112061395")</f>
        <v>#NAME?</v>
      </c>
      <c r="S1234" s="24" t="e">
        <f ca="1">[1]!BexGetData("DP_1","00O2TNJGODT0G5Z4TTKYMMI9X","GSON1112061395")</f>
        <v>#NAME?</v>
      </c>
      <c r="T1234" s="24" t="e">
        <f ca="1">[1]!BexGetData("DP_1","00O2TNJGODT0G5Z4TTKYMMOLH","GSON1112061395")</f>
        <v>#NAME?</v>
      </c>
      <c r="U1234" s="24" t="e">
        <f ca="1">[1]!BexGetData("DP_1","00O2TNJGODT0G5Z4TTKYMMUX1","GSON1112061395")</f>
        <v>#NAME?</v>
      </c>
      <c r="V1234" s="24" t="e">
        <f ca="1">[1]!BexGetData("DP_1","00O2TNJGODT0G5Z4TTKYMN18L","GSON1112061395")</f>
        <v>#NAME?</v>
      </c>
      <c r="W1234" s="24" t="e">
        <f ca="1">[1]!BexGetData("DP_1","00O2TNJGODT0G5Z4TTKYMN7K5","GSON1112061395")</f>
        <v>#NAME?</v>
      </c>
    </row>
    <row r="1235" spans="1:23" x14ac:dyDescent="0.2">
      <c r="A1235" s="36" t="s">
        <v>3824</v>
      </c>
      <c r="B1235" s="27" t="s">
        <v>3825</v>
      </c>
      <c r="C1235" s="23" t="e">
        <f ca="1">[1]!BexGetData("DP_1","003N8EMH8GTFRCSWKMPXRR8GU","GSON1112061400")</f>
        <v>#NAME?</v>
      </c>
      <c r="D1235" s="23" t="e">
        <f ca="1">[1]!BexGetData("DP_1","003N8EMH8GTFRCSWKMPXRRESE","GSON1112061400")</f>
        <v>#NAME?</v>
      </c>
      <c r="E1235" s="23" t="e">
        <f ca="1">[1]!BexGetData("DP_1","003N8EMH8GTFRCSWKMPXRRL3Y","GSON1112061400")</f>
        <v>#NAME?</v>
      </c>
      <c r="F1235" s="24" t="e">
        <f ca="1">[1]!BexGetData("DP_1","003N8EMH8GTFRCSWKMPXRRRFI","GSON1112061400")</f>
        <v>#NAME?</v>
      </c>
      <c r="G1235" s="24" t="e">
        <f ca="1">[1]!BexGetData("DP_1","003N8EMH8GTFRCSWKMPXRRXR2","GSON1112061400")</f>
        <v>#NAME?</v>
      </c>
      <c r="H1235" s="24" t="e">
        <f ca="1">[1]!BexGetData("DP_1","003N8EMH8GTFRCSWKMPXRS42M","GSON1112061400")</f>
        <v>#NAME?</v>
      </c>
      <c r="I1235" s="24" t="e">
        <f ca="1">[1]!BexGetData("DP_1","003N8EMH8GTFRCSWKMPXRSAE6","GSON1112061400")</f>
        <v>#NAME?</v>
      </c>
      <c r="J1235" s="24" t="e">
        <f ca="1">[1]!BexGetData("DP_1","003N8EMH8GTFRCSWKMPXRSGPQ","GSON1112061400")</f>
        <v>#NAME?</v>
      </c>
      <c r="K1235" s="23" t="e">
        <f ca="1">[1]!BexGetData("DP_1","003N8EMH8GTFRIVNUPY288VJH","GSON1112061400")</f>
        <v>#NAME?</v>
      </c>
      <c r="L1235" s="23" t="e">
        <f ca="1">[1]!BexGetData("DP_1","003N8EMH8GTFRIVNUPY2891V1","GSON1112061400")</f>
        <v>#NAME?</v>
      </c>
      <c r="M1235" s="28" t="e">
        <f ca="1">[1]!BexGetData("DP_1","003N8EMH8GTFRIVOG7KG9IQXA","GSON1112061400")</f>
        <v>#NAME?</v>
      </c>
      <c r="N1235" s="23" t="e">
        <f ca="1">[1]!BexGetData("DP_1","003N8EMH8GTFRIVOG7KG9IX8U","GSON1112061400")</f>
        <v>#NAME?</v>
      </c>
      <c r="O1235" s="28" t="e">
        <f ca="1">[1]!BexGetData("DP_1","003N8EMH8GTFRIVOG7KG9J3KE","GSON1112061400")</f>
        <v>#NAME?</v>
      </c>
      <c r="P1235" s="23" t="e">
        <f ca="1">[1]!BexGetData("DP_1","003N8EMH8GTFRIVOG7KG9J9VY","GSON1112061400")</f>
        <v>#NAME?</v>
      </c>
      <c r="Q1235" s="24" t="e">
        <f ca="1">[1]!BexGetData("DP_1","00O2TNJGODT0G5Z4TTKYMM5MT","GSON1112061400")</f>
        <v>#NAME?</v>
      </c>
      <c r="R1235" s="24" t="e">
        <f ca="1">[1]!BexGetData("DP_1","00O2TNJGODT0G5Z4TTKYMMBYD","GSON1112061400")</f>
        <v>#NAME?</v>
      </c>
      <c r="S1235" s="24" t="e">
        <f ca="1">[1]!BexGetData("DP_1","00O2TNJGODT0G5Z4TTKYMMI9X","GSON1112061400")</f>
        <v>#NAME?</v>
      </c>
      <c r="T1235" s="24" t="e">
        <f ca="1">[1]!BexGetData("DP_1","00O2TNJGODT0G5Z4TTKYMMOLH","GSON1112061400")</f>
        <v>#NAME?</v>
      </c>
      <c r="U1235" s="24" t="e">
        <f ca="1">[1]!BexGetData("DP_1","00O2TNJGODT0G5Z4TTKYMMUX1","GSON1112061400")</f>
        <v>#NAME?</v>
      </c>
      <c r="V1235" s="24" t="e">
        <f ca="1">[1]!BexGetData("DP_1","00O2TNJGODT0G5Z4TTKYMN18L","GSON1112061400")</f>
        <v>#NAME?</v>
      </c>
      <c r="W1235" s="24" t="e">
        <f ca="1">[1]!BexGetData("DP_1","00O2TNJGODT0G5Z4TTKYMN7K5","GSON1112061400")</f>
        <v>#NAME?</v>
      </c>
    </row>
    <row r="1236" spans="1:23" x14ac:dyDescent="0.2">
      <c r="A1236" s="36" t="s">
        <v>3826</v>
      </c>
      <c r="B1236" s="27" t="s">
        <v>3827</v>
      </c>
      <c r="C1236" s="23" t="e">
        <f ca="1">[1]!BexGetData("DP_1","003N8EMH8GTFRCSWKMPXRR8GU","GSON1112061401")</f>
        <v>#NAME?</v>
      </c>
      <c r="D1236" s="23" t="e">
        <f ca="1">[1]!BexGetData("DP_1","003N8EMH8GTFRCSWKMPXRRESE","GSON1112061401")</f>
        <v>#NAME?</v>
      </c>
      <c r="E1236" s="28" t="e">
        <f ca="1">[1]!BexGetData("DP_1","003N8EMH8GTFRCSWKMPXRRL3Y","GSON1112061401")</f>
        <v>#NAME?</v>
      </c>
      <c r="F1236" s="24" t="e">
        <f ca="1">[1]!BexGetData("DP_1","003N8EMH8GTFRCSWKMPXRRRFI","GSON1112061401")</f>
        <v>#NAME?</v>
      </c>
      <c r="G1236" s="24" t="e">
        <f ca="1">[1]!BexGetData("DP_1","003N8EMH8GTFRCSWKMPXRRXR2","GSON1112061401")</f>
        <v>#NAME?</v>
      </c>
      <c r="H1236" s="24" t="e">
        <f ca="1">[1]!BexGetData("DP_1","003N8EMH8GTFRCSWKMPXRS42M","GSON1112061401")</f>
        <v>#NAME?</v>
      </c>
      <c r="I1236" s="24" t="e">
        <f ca="1">[1]!BexGetData("DP_1","003N8EMH8GTFRCSWKMPXRSAE6","GSON1112061401")</f>
        <v>#NAME?</v>
      </c>
      <c r="J1236" s="24" t="e">
        <f ca="1">[1]!BexGetData("DP_1","003N8EMH8GTFRCSWKMPXRSGPQ","GSON1112061401")</f>
        <v>#NAME?</v>
      </c>
      <c r="K1236" s="28" t="e">
        <f ca="1">[1]!BexGetData("DP_1","003N8EMH8GTFRIVNUPY288VJH","GSON1112061401")</f>
        <v>#NAME?</v>
      </c>
      <c r="L1236" s="28" t="e">
        <f ca="1">[1]!BexGetData("DP_1","003N8EMH8GTFRIVNUPY2891V1","GSON1112061401")</f>
        <v>#NAME?</v>
      </c>
      <c r="M1236" s="28" t="e">
        <f ca="1">[1]!BexGetData("DP_1","003N8EMH8GTFRIVOG7KG9IQXA","GSON1112061401")</f>
        <v>#NAME?</v>
      </c>
      <c r="N1236" s="28" t="e">
        <f ca="1">[1]!BexGetData("DP_1","003N8EMH8GTFRIVOG7KG9IX8U","GSON1112061401")</f>
        <v>#NAME?</v>
      </c>
      <c r="O1236" s="28" t="e">
        <f ca="1">[1]!BexGetData("DP_1","003N8EMH8GTFRIVOG7KG9J3KE","GSON1112061401")</f>
        <v>#NAME?</v>
      </c>
      <c r="P1236" s="28" t="e">
        <f ca="1">[1]!BexGetData("DP_1","003N8EMH8GTFRIVOG7KG9J9VY","GSON1112061401")</f>
        <v>#NAME?</v>
      </c>
      <c r="Q1236" s="24" t="e">
        <f ca="1">[1]!BexGetData("DP_1","00O2TNJGODT0G5Z4TTKYMM5MT","GSON1112061401")</f>
        <v>#NAME?</v>
      </c>
      <c r="R1236" s="24" t="e">
        <f ca="1">[1]!BexGetData("DP_1","00O2TNJGODT0G5Z4TTKYMMBYD","GSON1112061401")</f>
        <v>#NAME?</v>
      </c>
      <c r="S1236" s="24" t="e">
        <f ca="1">[1]!BexGetData("DP_1","00O2TNJGODT0G5Z4TTKYMMI9X","GSON1112061401")</f>
        <v>#NAME?</v>
      </c>
      <c r="T1236" s="24" t="e">
        <f ca="1">[1]!BexGetData("DP_1","00O2TNJGODT0G5Z4TTKYMMOLH","GSON1112061401")</f>
        <v>#NAME?</v>
      </c>
      <c r="U1236" s="24" t="e">
        <f ca="1">[1]!BexGetData("DP_1","00O2TNJGODT0G5Z4TTKYMMUX1","GSON1112061401")</f>
        <v>#NAME?</v>
      </c>
      <c r="V1236" s="24" t="e">
        <f ca="1">[1]!BexGetData("DP_1","00O2TNJGODT0G5Z4TTKYMN18L","GSON1112061401")</f>
        <v>#NAME?</v>
      </c>
      <c r="W1236" s="24" t="e">
        <f ca="1">[1]!BexGetData("DP_1","00O2TNJGODT0G5Z4TTKYMN7K5","GSON1112061401")</f>
        <v>#NAME?</v>
      </c>
    </row>
    <row r="1237" spans="1:23" x14ac:dyDescent="0.2">
      <c r="A1237" s="36" t="s">
        <v>3828</v>
      </c>
      <c r="B1237" s="27" t="s">
        <v>3829</v>
      </c>
      <c r="C1237" s="28" t="e">
        <f ca="1">[1]!BexGetData("DP_1","003N8EMH8GTFRCSWKMPXRR8GU","GSON1112061403")</f>
        <v>#NAME?</v>
      </c>
      <c r="D1237" s="23" t="e">
        <f ca="1">[1]!BexGetData("DP_1","003N8EMH8GTFRCSWKMPXRRESE","GSON1112061403")</f>
        <v>#NAME?</v>
      </c>
      <c r="E1237" s="23" t="e">
        <f ca="1">[1]!BexGetData("DP_1","003N8EMH8GTFRCSWKMPXRRL3Y","GSON1112061403")</f>
        <v>#NAME?</v>
      </c>
      <c r="F1237" s="24" t="e">
        <f ca="1">[1]!BexGetData("DP_1","003N8EMH8GTFRCSWKMPXRRRFI","GSON1112061403")</f>
        <v>#NAME?</v>
      </c>
      <c r="G1237" s="24" t="e">
        <f ca="1">[1]!BexGetData("DP_1","003N8EMH8GTFRCSWKMPXRRXR2","GSON1112061403")</f>
        <v>#NAME?</v>
      </c>
      <c r="H1237" s="24" t="e">
        <f ca="1">[1]!BexGetData("DP_1","003N8EMH8GTFRCSWKMPXRS42M","GSON1112061403")</f>
        <v>#NAME?</v>
      </c>
      <c r="I1237" s="24" t="e">
        <f ca="1">[1]!BexGetData("DP_1","003N8EMH8GTFRCSWKMPXRSAE6","GSON1112061403")</f>
        <v>#NAME?</v>
      </c>
      <c r="J1237" s="24" t="e">
        <f ca="1">[1]!BexGetData("DP_1","003N8EMH8GTFRCSWKMPXRSGPQ","GSON1112061403")</f>
        <v>#NAME?</v>
      </c>
      <c r="K1237" s="23" t="e">
        <f ca="1">[1]!BexGetData("DP_1","003N8EMH8GTFRIVNUPY288VJH","GSON1112061403")</f>
        <v>#NAME?</v>
      </c>
      <c r="L1237" s="23" t="e">
        <f ca="1">[1]!BexGetData("DP_1","003N8EMH8GTFRIVNUPY2891V1","GSON1112061403")</f>
        <v>#NAME?</v>
      </c>
      <c r="M1237" s="23" t="e">
        <f ca="1">[1]!BexGetData("DP_1","003N8EMH8GTFRIVOG7KG9IQXA","GSON1112061403")</f>
        <v>#NAME?</v>
      </c>
      <c r="N1237" s="28" t="e">
        <f ca="1">[1]!BexGetData("DP_1","003N8EMH8GTFRIVOG7KG9IX8U","GSON1112061403")</f>
        <v>#NAME?</v>
      </c>
      <c r="O1237" s="23" t="e">
        <f ca="1">[1]!BexGetData("DP_1","003N8EMH8GTFRIVOG7KG9J3KE","GSON1112061403")</f>
        <v>#NAME?</v>
      </c>
      <c r="P1237" s="28" t="e">
        <f ca="1">[1]!BexGetData("DP_1","003N8EMH8GTFRIVOG7KG9J9VY","GSON1112061403")</f>
        <v>#NAME?</v>
      </c>
      <c r="Q1237" s="24" t="e">
        <f ca="1">[1]!BexGetData("DP_1","00O2TNJGODT0G5Z4TTKYMM5MT","GSON1112061403")</f>
        <v>#NAME?</v>
      </c>
      <c r="R1237" s="24" t="e">
        <f ca="1">[1]!BexGetData("DP_1","00O2TNJGODT0G5Z4TTKYMMBYD","GSON1112061403")</f>
        <v>#NAME?</v>
      </c>
      <c r="S1237" s="24" t="e">
        <f ca="1">[1]!BexGetData("DP_1","00O2TNJGODT0G5Z4TTKYMMI9X","GSON1112061403")</f>
        <v>#NAME?</v>
      </c>
      <c r="T1237" s="24" t="e">
        <f ca="1">[1]!BexGetData("DP_1","00O2TNJGODT0G5Z4TTKYMMOLH","GSON1112061403")</f>
        <v>#NAME?</v>
      </c>
      <c r="U1237" s="24" t="e">
        <f ca="1">[1]!BexGetData("DP_1","00O2TNJGODT0G5Z4TTKYMMUX1","GSON1112061403")</f>
        <v>#NAME?</v>
      </c>
      <c r="V1237" s="24" t="e">
        <f ca="1">[1]!BexGetData("DP_1","00O2TNJGODT0G5Z4TTKYMN18L","GSON1112061403")</f>
        <v>#NAME?</v>
      </c>
      <c r="W1237" s="24" t="e">
        <f ca="1">[1]!BexGetData("DP_1","00O2TNJGODT0G5Z4TTKYMN7K5","GSON1112061403")</f>
        <v>#NAME?</v>
      </c>
    </row>
    <row r="1238" spans="1:23" x14ac:dyDescent="0.2">
      <c r="A1238" s="36" t="s">
        <v>3830</v>
      </c>
      <c r="B1238" s="27" t="s">
        <v>3831</v>
      </c>
      <c r="C1238" s="23" t="e">
        <f ca="1">[1]!BexGetData("DP_1","003N8EMH8GTFRCSWKMPXRR8GU","GSON1112061404")</f>
        <v>#NAME?</v>
      </c>
      <c r="D1238" s="23" t="e">
        <f ca="1">[1]!BexGetData("DP_1","003N8EMH8GTFRCSWKMPXRRESE","GSON1112061404")</f>
        <v>#NAME?</v>
      </c>
      <c r="E1238" s="28" t="e">
        <f ca="1">[1]!BexGetData("DP_1","003N8EMH8GTFRCSWKMPXRRL3Y","GSON1112061404")</f>
        <v>#NAME?</v>
      </c>
      <c r="F1238" s="24" t="e">
        <f ca="1">[1]!BexGetData("DP_1","003N8EMH8GTFRCSWKMPXRRRFI","GSON1112061404")</f>
        <v>#NAME?</v>
      </c>
      <c r="G1238" s="24" t="e">
        <f ca="1">[1]!BexGetData("DP_1","003N8EMH8GTFRCSWKMPXRRXR2","GSON1112061404")</f>
        <v>#NAME?</v>
      </c>
      <c r="H1238" s="24" t="e">
        <f ca="1">[1]!BexGetData("DP_1","003N8EMH8GTFRCSWKMPXRS42M","GSON1112061404")</f>
        <v>#NAME?</v>
      </c>
      <c r="I1238" s="24" t="e">
        <f ca="1">[1]!BexGetData("DP_1","003N8EMH8GTFRCSWKMPXRSAE6","GSON1112061404")</f>
        <v>#NAME?</v>
      </c>
      <c r="J1238" s="24" t="e">
        <f ca="1">[1]!BexGetData("DP_1","003N8EMH8GTFRCSWKMPXRSGPQ","GSON1112061404")</f>
        <v>#NAME?</v>
      </c>
      <c r="K1238" s="28" t="e">
        <f ca="1">[1]!BexGetData("DP_1","003N8EMH8GTFRIVNUPY288VJH","GSON1112061404")</f>
        <v>#NAME?</v>
      </c>
      <c r="L1238" s="28" t="e">
        <f ca="1">[1]!BexGetData("DP_1","003N8EMH8GTFRIVNUPY2891V1","GSON1112061404")</f>
        <v>#NAME?</v>
      </c>
      <c r="M1238" s="28" t="e">
        <f ca="1">[1]!BexGetData("DP_1","003N8EMH8GTFRIVOG7KG9IQXA","GSON1112061404")</f>
        <v>#NAME?</v>
      </c>
      <c r="N1238" s="28" t="e">
        <f ca="1">[1]!BexGetData("DP_1","003N8EMH8GTFRIVOG7KG9IX8U","GSON1112061404")</f>
        <v>#NAME?</v>
      </c>
      <c r="O1238" s="28" t="e">
        <f ca="1">[1]!BexGetData("DP_1","003N8EMH8GTFRIVOG7KG9J3KE","GSON1112061404")</f>
        <v>#NAME?</v>
      </c>
      <c r="P1238" s="28" t="e">
        <f ca="1">[1]!BexGetData("DP_1","003N8EMH8GTFRIVOG7KG9J9VY","GSON1112061404")</f>
        <v>#NAME?</v>
      </c>
      <c r="Q1238" s="24" t="e">
        <f ca="1">[1]!BexGetData("DP_1","00O2TNJGODT0G5Z4TTKYMM5MT","GSON1112061404")</f>
        <v>#NAME?</v>
      </c>
      <c r="R1238" s="24" t="e">
        <f ca="1">[1]!BexGetData("DP_1","00O2TNJGODT0G5Z4TTKYMMBYD","GSON1112061404")</f>
        <v>#NAME?</v>
      </c>
      <c r="S1238" s="24" t="e">
        <f ca="1">[1]!BexGetData("DP_1","00O2TNJGODT0G5Z4TTKYMMI9X","GSON1112061404")</f>
        <v>#NAME?</v>
      </c>
      <c r="T1238" s="24" t="e">
        <f ca="1">[1]!BexGetData("DP_1","00O2TNJGODT0G5Z4TTKYMMOLH","GSON1112061404")</f>
        <v>#NAME?</v>
      </c>
      <c r="U1238" s="24" t="e">
        <f ca="1">[1]!BexGetData("DP_1","00O2TNJGODT0G5Z4TTKYMMUX1","GSON1112061404")</f>
        <v>#NAME?</v>
      </c>
      <c r="V1238" s="24" t="e">
        <f ca="1">[1]!BexGetData("DP_1","00O2TNJGODT0G5Z4TTKYMN18L","GSON1112061404")</f>
        <v>#NAME?</v>
      </c>
      <c r="W1238" s="24" t="e">
        <f ca="1">[1]!BexGetData("DP_1","00O2TNJGODT0G5Z4TTKYMN7K5","GSON1112061404")</f>
        <v>#NAME?</v>
      </c>
    </row>
    <row r="1239" spans="1:23" x14ac:dyDescent="0.2">
      <c r="A1239" s="36" t="s">
        <v>3832</v>
      </c>
      <c r="B1239" s="27" t="s">
        <v>3833</v>
      </c>
      <c r="C1239" s="23" t="e">
        <f ca="1">[1]!BexGetData("DP_1","003N8EMH8GTFRCSWKMPXRR8GU","GSON1112061405")</f>
        <v>#NAME?</v>
      </c>
      <c r="D1239" s="23" t="e">
        <f ca="1">[1]!BexGetData("DP_1","003N8EMH8GTFRCSWKMPXRRESE","GSON1112061405")</f>
        <v>#NAME?</v>
      </c>
      <c r="E1239" s="28" t="e">
        <f ca="1">[1]!BexGetData("DP_1","003N8EMH8GTFRCSWKMPXRRL3Y","GSON1112061405")</f>
        <v>#NAME?</v>
      </c>
      <c r="F1239" s="24" t="e">
        <f ca="1">[1]!BexGetData("DP_1","003N8EMH8GTFRCSWKMPXRRRFI","GSON1112061405")</f>
        <v>#NAME?</v>
      </c>
      <c r="G1239" s="24" t="e">
        <f ca="1">[1]!BexGetData("DP_1","003N8EMH8GTFRCSWKMPXRRXR2","GSON1112061405")</f>
        <v>#NAME?</v>
      </c>
      <c r="H1239" s="24" t="e">
        <f ca="1">[1]!BexGetData("DP_1","003N8EMH8GTFRCSWKMPXRS42M","GSON1112061405")</f>
        <v>#NAME?</v>
      </c>
      <c r="I1239" s="24" t="e">
        <f ca="1">[1]!BexGetData("DP_1","003N8EMH8GTFRCSWKMPXRSAE6","GSON1112061405")</f>
        <v>#NAME?</v>
      </c>
      <c r="J1239" s="24" t="e">
        <f ca="1">[1]!BexGetData("DP_1","003N8EMH8GTFRCSWKMPXRSGPQ","GSON1112061405")</f>
        <v>#NAME?</v>
      </c>
      <c r="K1239" s="28" t="e">
        <f ca="1">[1]!BexGetData("DP_1","003N8EMH8GTFRIVNUPY288VJH","GSON1112061405")</f>
        <v>#NAME?</v>
      </c>
      <c r="L1239" s="28" t="e">
        <f ca="1">[1]!BexGetData("DP_1","003N8EMH8GTFRIVNUPY2891V1","GSON1112061405")</f>
        <v>#NAME?</v>
      </c>
      <c r="M1239" s="28" t="e">
        <f ca="1">[1]!BexGetData("DP_1","003N8EMH8GTFRIVOG7KG9IQXA","GSON1112061405")</f>
        <v>#NAME?</v>
      </c>
      <c r="N1239" s="28" t="e">
        <f ca="1">[1]!BexGetData("DP_1","003N8EMH8GTFRIVOG7KG9IX8U","GSON1112061405")</f>
        <v>#NAME?</v>
      </c>
      <c r="O1239" s="28" t="e">
        <f ca="1">[1]!BexGetData("DP_1","003N8EMH8GTFRIVOG7KG9J3KE","GSON1112061405")</f>
        <v>#NAME?</v>
      </c>
      <c r="P1239" s="28" t="e">
        <f ca="1">[1]!BexGetData("DP_1","003N8EMH8GTFRIVOG7KG9J9VY","GSON1112061405")</f>
        <v>#NAME?</v>
      </c>
      <c r="Q1239" s="24" t="e">
        <f ca="1">[1]!BexGetData("DP_1","00O2TNJGODT0G5Z4TTKYMM5MT","GSON1112061405")</f>
        <v>#NAME?</v>
      </c>
      <c r="R1239" s="24" t="e">
        <f ca="1">[1]!BexGetData("DP_1","00O2TNJGODT0G5Z4TTKYMMBYD","GSON1112061405")</f>
        <v>#NAME?</v>
      </c>
      <c r="S1239" s="24" t="e">
        <f ca="1">[1]!BexGetData("DP_1","00O2TNJGODT0G5Z4TTKYMMI9X","GSON1112061405")</f>
        <v>#NAME?</v>
      </c>
      <c r="T1239" s="24" t="e">
        <f ca="1">[1]!BexGetData("DP_1","00O2TNJGODT0G5Z4TTKYMMOLH","GSON1112061405")</f>
        <v>#NAME?</v>
      </c>
      <c r="U1239" s="24" t="e">
        <f ca="1">[1]!BexGetData("DP_1","00O2TNJGODT0G5Z4TTKYMMUX1","GSON1112061405")</f>
        <v>#NAME?</v>
      </c>
      <c r="V1239" s="24" t="e">
        <f ca="1">[1]!BexGetData("DP_1","00O2TNJGODT0G5Z4TTKYMN18L","GSON1112061405")</f>
        <v>#NAME?</v>
      </c>
      <c r="W1239" s="24" t="e">
        <f ca="1">[1]!BexGetData("DP_1","00O2TNJGODT0G5Z4TTKYMN7K5","GSON1112061405")</f>
        <v>#NAME?</v>
      </c>
    </row>
    <row r="1240" spans="1:23" x14ac:dyDescent="0.2">
      <c r="A1240" s="36" t="s">
        <v>3834</v>
      </c>
      <c r="B1240" s="27" t="s">
        <v>3835</v>
      </c>
      <c r="C1240" s="23" t="e">
        <f ca="1">[1]!BexGetData("DP_1","003N8EMH8GTFRCSWKMPXRR8GU","GSON1112061410")</f>
        <v>#NAME?</v>
      </c>
      <c r="D1240" s="23" t="e">
        <f ca="1">[1]!BexGetData("DP_1","003N8EMH8GTFRCSWKMPXRRESE","GSON1112061410")</f>
        <v>#NAME?</v>
      </c>
      <c r="E1240" s="23" t="e">
        <f ca="1">[1]!BexGetData("DP_1","003N8EMH8GTFRCSWKMPXRRL3Y","GSON1112061410")</f>
        <v>#NAME?</v>
      </c>
      <c r="F1240" s="24" t="e">
        <f ca="1">[1]!BexGetData("DP_1","003N8EMH8GTFRCSWKMPXRRRFI","GSON1112061410")</f>
        <v>#NAME?</v>
      </c>
      <c r="G1240" s="24" t="e">
        <f ca="1">[1]!BexGetData("DP_1","003N8EMH8GTFRCSWKMPXRRXR2","GSON1112061410")</f>
        <v>#NAME?</v>
      </c>
      <c r="H1240" s="24" t="e">
        <f ca="1">[1]!BexGetData("DP_1","003N8EMH8GTFRCSWKMPXRS42M","GSON1112061410")</f>
        <v>#NAME?</v>
      </c>
      <c r="I1240" s="24" t="e">
        <f ca="1">[1]!BexGetData("DP_1","003N8EMH8GTFRCSWKMPXRSAE6","GSON1112061410")</f>
        <v>#NAME?</v>
      </c>
      <c r="J1240" s="24" t="e">
        <f ca="1">[1]!BexGetData("DP_1","003N8EMH8GTFRCSWKMPXRSGPQ","GSON1112061410")</f>
        <v>#NAME?</v>
      </c>
      <c r="K1240" s="23" t="e">
        <f ca="1">[1]!BexGetData("DP_1","003N8EMH8GTFRIVNUPY288VJH","GSON1112061410")</f>
        <v>#NAME?</v>
      </c>
      <c r="L1240" s="23" t="e">
        <f ca="1">[1]!BexGetData("DP_1","003N8EMH8GTFRIVNUPY2891V1","GSON1112061410")</f>
        <v>#NAME?</v>
      </c>
      <c r="M1240" s="28" t="e">
        <f ca="1">[1]!BexGetData("DP_1","003N8EMH8GTFRIVOG7KG9IQXA","GSON1112061410")</f>
        <v>#NAME?</v>
      </c>
      <c r="N1240" s="23" t="e">
        <f ca="1">[1]!BexGetData("DP_1","003N8EMH8GTFRIVOG7KG9IX8U","GSON1112061410")</f>
        <v>#NAME?</v>
      </c>
      <c r="O1240" s="28" t="e">
        <f ca="1">[1]!BexGetData("DP_1","003N8EMH8GTFRIVOG7KG9J3KE","GSON1112061410")</f>
        <v>#NAME?</v>
      </c>
      <c r="P1240" s="23" t="e">
        <f ca="1">[1]!BexGetData("DP_1","003N8EMH8GTFRIVOG7KG9J9VY","GSON1112061410")</f>
        <v>#NAME?</v>
      </c>
      <c r="Q1240" s="24" t="e">
        <f ca="1">[1]!BexGetData("DP_1","00O2TNJGODT0G5Z4TTKYMM5MT","GSON1112061410")</f>
        <v>#NAME?</v>
      </c>
      <c r="R1240" s="24" t="e">
        <f ca="1">[1]!BexGetData("DP_1","00O2TNJGODT0G5Z4TTKYMMBYD","GSON1112061410")</f>
        <v>#NAME?</v>
      </c>
      <c r="S1240" s="24" t="e">
        <f ca="1">[1]!BexGetData("DP_1","00O2TNJGODT0G5Z4TTKYMMI9X","GSON1112061410")</f>
        <v>#NAME?</v>
      </c>
      <c r="T1240" s="24" t="e">
        <f ca="1">[1]!BexGetData("DP_1","00O2TNJGODT0G5Z4TTKYMMOLH","GSON1112061410")</f>
        <v>#NAME?</v>
      </c>
      <c r="U1240" s="24" t="e">
        <f ca="1">[1]!BexGetData("DP_1","00O2TNJGODT0G5Z4TTKYMMUX1","GSON1112061410")</f>
        <v>#NAME?</v>
      </c>
      <c r="V1240" s="24" t="e">
        <f ca="1">[1]!BexGetData("DP_1","00O2TNJGODT0G5Z4TTKYMN18L","GSON1112061410")</f>
        <v>#NAME?</v>
      </c>
      <c r="W1240" s="24" t="e">
        <f ca="1">[1]!BexGetData("DP_1","00O2TNJGODT0G5Z4TTKYMN7K5","GSON1112061410")</f>
        <v>#NAME?</v>
      </c>
    </row>
    <row r="1241" spans="1:23" x14ac:dyDescent="0.2">
      <c r="A1241" s="36" t="s">
        <v>3836</v>
      </c>
      <c r="B1241" s="27" t="s">
        <v>3837</v>
      </c>
      <c r="C1241" s="23" t="e">
        <f ca="1">[1]!BexGetData("DP_1","003N8EMH8GTFRCSWKMPXRR8GU","GSON1112061411")</f>
        <v>#NAME?</v>
      </c>
      <c r="D1241" s="23" t="e">
        <f ca="1">[1]!BexGetData("DP_1","003N8EMH8GTFRCSWKMPXRRESE","GSON1112061411")</f>
        <v>#NAME?</v>
      </c>
      <c r="E1241" s="28" t="e">
        <f ca="1">[1]!BexGetData("DP_1","003N8EMH8GTFRCSWKMPXRRL3Y","GSON1112061411")</f>
        <v>#NAME?</v>
      </c>
      <c r="F1241" s="24" t="e">
        <f ca="1">[1]!BexGetData("DP_1","003N8EMH8GTFRCSWKMPXRRRFI","GSON1112061411")</f>
        <v>#NAME?</v>
      </c>
      <c r="G1241" s="24" t="e">
        <f ca="1">[1]!BexGetData("DP_1","003N8EMH8GTFRCSWKMPXRRXR2","GSON1112061411")</f>
        <v>#NAME?</v>
      </c>
      <c r="H1241" s="24" t="e">
        <f ca="1">[1]!BexGetData("DP_1","003N8EMH8GTFRCSWKMPXRS42M","GSON1112061411")</f>
        <v>#NAME?</v>
      </c>
      <c r="I1241" s="24" t="e">
        <f ca="1">[1]!BexGetData("DP_1","003N8EMH8GTFRCSWKMPXRSAE6","GSON1112061411")</f>
        <v>#NAME?</v>
      </c>
      <c r="J1241" s="24" t="e">
        <f ca="1">[1]!BexGetData("DP_1","003N8EMH8GTFRCSWKMPXRSGPQ","GSON1112061411")</f>
        <v>#NAME?</v>
      </c>
      <c r="K1241" s="28" t="e">
        <f ca="1">[1]!BexGetData("DP_1","003N8EMH8GTFRIVNUPY288VJH","GSON1112061411")</f>
        <v>#NAME?</v>
      </c>
      <c r="L1241" s="28" t="e">
        <f ca="1">[1]!BexGetData("DP_1","003N8EMH8GTFRIVNUPY2891V1","GSON1112061411")</f>
        <v>#NAME?</v>
      </c>
      <c r="M1241" s="28" t="e">
        <f ca="1">[1]!BexGetData("DP_1","003N8EMH8GTFRIVOG7KG9IQXA","GSON1112061411")</f>
        <v>#NAME?</v>
      </c>
      <c r="N1241" s="28" t="e">
        <f ca="1">[1]!BexGetData("DP_1","003N8EMH8GTFRIVOG7KG9IX8U","GSON1112061411")</f>
        <v>#NAME?</v>
      </c>
      <c r="O1241" s="28" t="e">
        <f ca="1">[1]!BexGetData("DP_1","003N8EMH8GTFRIVOG7KG9J3KE","GSON1112061411")</f>
        <v>#NAME?</v>
      </c>
      <c r="P1241" s="28" t="e">
        <f ca="1">[1]!BexGetData("DP_1","003N8EMH8GTFRIVOG7KG9J9VY","GSON1112061411")</f>
        <v>#NAME?</v>
      </c>
      <c r="Q1241" s="24" t="e">
        <f ca="1">[1]!BexGetData("DP_1","00O2TNJGODT0G5Z4TTKYMM5MT","GSON1112061411")</f>
        <v>#NAME?</v>
      </c>
      <c r="R1241" s="24" t="e">
        <f ca="1">[1]!BexGetData("DP_1","00O2TNJGODT0G5Z4TTKYMMBYD","GSON1112061411")</f>
        <v>#NAME?</v>
      </c>
      <c r="S1241" s="24" t="e">
        <f ca="1">[1]!BexGetData("DP_1","00O2TNJGODT0G5Z4TTKYMMI9X","GSON1112061411")</f>
        <v>#NAME?</v>
      </c>
      <c r="T1241" s="24" t="e">
        <f ca="1">[1]!BexGetData("DP_1","00O2TNJGODT0G5Z4TTKYMMOLH","GSON1112061411")</f>
        <v>#NAME?</v>
      </c>
      <c r="U1241" s="24" t="e">
        <f ca="1">[1]!BexGetData("DP_1","00O2TNJGODT0G5Z4TTKYMMUX1","GSON1112061411")</f>
        <v>#NAME?</v>
      </c>
      <c r="V1241" s="24" t="e">
        <f ca="1">[1]!BexGetData("DP_1","00O2TNJGODT0G5Z4TTKYMN18L","GSON1112061411")</f>
        <v>#NAME?</v>
      </c>
      <c r="W1241" s="24" t="e">
        <f ca="1">[1]!BexGetData("DP_1","00O2TNJGODT0G5Z4TTKYMN7K5","GSON1112061411")</f>
        <v>#NAME?</v>
      </c>
    </row>
    <row r="1242" spans="1:23" x14ac:dyDescent="0.2">
      <c r="A1242" s="36" t="s">
        <v>3838</v>
      </c>
      <c r="B1242" s="27" t="s">
        <v>3839</v>
      </c>
      <c r="C1242" s="23" t="e">
        <f ca="1">[1]!BexGetData("DP_1","003N8EMH8GTFRCSWKMPXRR8GU","GSON1112061413")</f>
        <v>#NAME?</v>
      </c>
      <c r="D1242" s="23" t="e">
        <f ca="1">[1]!BexGetData("DP_1","003N8EMH8GTFRCSWKMPXRRESE","GSON1112061413")</f>
        <v>#NAME?</v>
      </c>
      <c r="E1242" s="28" t="e">
        <f ca="1">[1]!BexGetData("DP_1","003N8EMH8GTFRCSWKMPXRRL3Y","GSON1112061413")</f>
        <v>#NAME?</v>
      </c>
      <c r="F1242" s="24" t="e">
        <f ca="1">[1]!BexGetData("DP_1","003N8EMH8GTFRCSWKMPXRRRFI","GSON1112061413")</f>
        <v>#NAME?</v>
      </c>
      <c r="G1242" s="24" t="e">
        <f ca="1">[1]!BexGetData("DP_1","003N8EMH8GTFRCSWKMPXRRXR2","GSON1112061413")</f>
        <v>#NAME?</v>
      </c>
      <c r="H1242" s="24" t="e">
        <f ca="1">[1]!BexGetData("DP_1","003N8EMH8GTFRCSWKMPXRS42M","GSON1112061413")</f>
        <v>#NAME?</v>
      </c>
      <c r="I1242" s="24" t="e">
        <f ca="1">[1]!BexGetData("DP_1","003N8EMH8GTFRCSWKMPXRSAE6","GSON1112061413")</f>
        <v>#NAME?</v>
      </c>
      <c r="J1242" s="24" t="e">
        <f ca="1">[1]!BexGetData("DP_1","003N8EMH8GTFRCSWKMPXRSGPQ","GSON1112061413")</f>
        <v>#NAME?</v>
      </c>
      <c r="K1242" s="28" t="e">
        <f ca="1">[1]!BexGetData("DP_1","003N8EMH8GTFRIVNUPY288VJH","GSON1112061413")</f>
        <v>#NAME?</v>
      </c>
      <c r="L1242" s="28" t="e">
        <f ca="1">[1]!BexGetData("DP_1","003N8EMH8GTFRIVNUPY2891V1","GSON1112061413")</f>
        <v>#NAME?</v>
      </c>
      <c r="M1242" s="28" t="e">
        <f ca="1">[1]!BexGetData("DP_1","003N8EMH8GTFRIVOG7KG9IQXA","GSON1112061413")</f>
        <v>#NAME?</v>
      </c>
      <c r="N1242" s="28" t="e">
        <f ca="1">[1]!BexGetData("DP_1","003N8EMH8GTFRIVOG7KG9IX8U","GSON1112061413")</f>
        <v>#NAME?</v>
      </c>
      <c r="O1242" s="28" t="e">
        <f ca="1">[1]!BexGetData("DP_1","003N8EMH8GTFRIVOG7KG9J3KE","GSON1112061413")</f>
        <v>#NAME?</v>
      </c>
      <c r="P1242" s="28" t="e">
        <f ca="1">[1]!BexGetData("DP_1","003N8EMH8GTFRIVOG7KG9J9VY","GSON1112061413")</f>
        <v>#NAME?</v>
      </c>
      <c r="Q1242" s="24" t="e">
        <f ca="1">[1]!BexGetData("DP_1","00O2TNJGODT0G5Z4TTKYMM5MT","GSON1112061413")</f>
        <v>#NAME?</v>
      </c>
      <c r="R1242" s="24" t="e">
        <f ca="1">[1]!BexGetData("DP_1","00O2TNJGODT0G5Z4TTKYMMBYD","GSON1112061413")</f>
        <v>#NAME?</v>
      </c>
      <c r="S1242" s="24" t="e">
        <f ca="1">[1]!BexGetData("DP_1","00O2TNJGODT0G5Z4TTKYMMI9X","GSON1112061413")</f>
        <v>#NAME?</v>
      </c>
      <c r="T1242" s="24" t="e">
        <f ca="1">[1]!BexGetData("DP_1","00O2TNJGODT0G5Z4TTKYMMOLH","GSON1112061413")</f>
        <v>#NAME?</v>
      </c>
      <c r="U1242" s="24" t="e">
        <f ca="1">[1]!BexGetData("DP_1","00O2TNJGODT0G5Z4TTKYMMUX1","GSON1112061413")</f>
        <v>#NAME?</v>
      </c>
      <c r="V1242" s="24" t="e">
        <f ca="1">[1]!BexGetData("DP_1","00O2TNJGODT0G5Z4TTKYMN18L","GSON1112061413")</f>
        <v>#NAME?</v>
      </c>
      <c r="W1242" s="24" t="e">
        <f ca="1">[1]!BexGetData("DP_1","00O2TNJGODT0G5Z4TTKYMN7K5","GSON1112061413")</f>
        <v>#NAME?</v>
      </c>
    </row>
    <row r="1243" spans="1:23" x14ac:dyDescent="0.2">
      <c r="A1243" s="36" t="s">
        <v>3840</v>
      </c>
      <c r="B1243" s="27" t="s">
        <v>3841</v>
      </c>
      <c r="C1243" s="23" t="e">
        <f ca="1">[1]!BexGetData("DP_1","003N8EMH8GTFRCSWKMPXRR8GU","GSON1112061414")</f>
        <v>#NAME?</v>
      </c>
      <c r="D1243" s="23" t="e">
        <f ca="1">[1]!BexGetData("DP_1","003N8EMH8GTFRCSWKMPXRRESE","GSON1112061414")</f>
        <v>#NAME?</v>
      </c>
      <c r="E1243" s="28" t="e">
        <f ca="1">[1]!BexGetData("DP_1","003N8EMH8GTFRCSWKMPXRRL3Y","GSON1112061414")</f>
        <v>#NAME?</v>
      </c>
      <c r="F1243" s="24" t="e">
        <f ca="1">[1]!BexGetData("DP_1","003N8EMH8GTFRCSWKMPXRRRFI","GSON1112061414")</f>
        <v>#NAME?</v>
      </c>
      <c r="G1243" s="24" t="e">
        <f ca="1">[1]!BexGetData("DP_1","003N8EMH8GTFRCSWKMPXRRXR2","GSON1112061414")</f>
        <v>#NAME?</v>
      </c>
      <c r="H1243" s="24" t="e">
        <f ca="1">[1]!BexGetData("DP_1","003N8EMH8GTFRCSWKMPXRS42M","GSON1112061414")</f>
        <v>#NAME?</v>
      </c>
      <c r="I1243" s="24" t="e">
        <f ca="1">[1]!BexGetData("DP_1","003N8EMH8GTFRCSWKMPXRSAE6","GSON1112061414")</f>
        <v>#NAME?</v>
      </c>
      <c r="J1243" s="24" t="e">
        <f ca="1">[1]!BexGetData("DP_1","003N8EMH8GTFRCSWKMPXRSGPQ","GSON1112061414")</f>
        <v>#NAME?</v>
      </c>
      <c r="K1243" s="28" t="e">
        <f ca="1">[1]!BexGetData("DP_1","003N8EMH8GTFRIVNUPY288VJH","GSON1112061414")</f>
        <v>#NAME?</v>
      </c>
      <c r="L1243" s="28" t="e">
        <f ca="1">[1]!BexGetData("DP_1","003N8EMH8GTFRIVNUPY2891V1","GSON1112061414")</f>
        <v>#NAME?</v>
      </c>
      <c r="M1243" s="28" t="e">
        <f ca="1">[1]!BexGetData("DP_1","003N8EMH8GTFRIVOG7KG9IQXA","GSON1112061414")</f>
        <v>#NAME?</v>
      </c>
      <c r="N1243" s="28" t="e">
        <f ca="1">[1]!BexGetData("DP_1","003N8EMH8GTFRIVOG7KG9IX8U","GSON1112061414")</f>
        <v>#NAME?</v>
      </c>
      <c r="O1243" s="28" t="e">
        <f ca="1">[1]!BexGetData("DP_1","003N8EMH8GTFRIVOG7KG9J3KE","GSON1112061414")</f>
        <v>#NAME?</v>
      </c>
      <c r="P1243" s="28" t="e">
        <f ca="1">[1]!BexGetData("DP_1","003N8EMH8GTFRIVOG7KG9J9VY","GSON1112061414")</f>
        <v>#NAME?</v>
      </c>
      <c r="Q1243" s="24" t="e">
        <f ca="1">[1]!BexGetData("DP_1","00O2TNJGODT0G5Z4TTKYMM5MT","GSON1112061414")</f>
        <v>#NAME?</v>
      </c>
      <c r="R1243" s="24" t="e">
        <f ca="1">[1]!BexGetData("DP_1","00O2TNJGODT0G5Z4TTKYMMBYD","GSON1112061414")</f>
        <v>#NAME?</v>
      </c>
      <c r="S1243" s="24" t="e">
        <f ca="1">[1]!BexGetData("DP_1","00O2TNJGODT0G5Z4TTKYMMI9X","GSON1112061414")</f>
        <v>#NAME?</v>
      </c>
      <c r="T1243" s="24" t="e">
        <f ca="1">[1]!BexGetData("DP_1","00O2TNJGODT0G5Z4TTKYMMOLH","GSON1112061414")</f>
        <v>#NAME?</v>
      </c>
      <c r="U1243" s="24" t="e">
        <f ca="1">[1]!BexGetData("DP_1","00O2TNJGODT0G5Z4TTKYMMUX1","GSON1112061414")</f>
        <v>#NAME?</v>
      </c>
      <c r="V1243" s="24" t="e">
        <f ca="1">[1]!BexGetData("DP_1","00O2TNJGODT0G5Z4TTKYMN18L","GSON1112061414")</f>
        <v>#NAME?</v>
      </c>
      <c r="W1243" s="24" t="e">
        <f ca="1">[1]!BexGetData("DP_1","00O2TNJGODT0G5Z4TTKYMN7K5","GSON1112061414")</f>
        <v>#NAME?</v>
      </c>
    </row>
    <row r="1244" spans="1:23" x14ac:dyDescent="0.2">
      <c r="A1244" s="36" t="s">
        <v>3842</v>
      </c>
      <c r="B1244" s="27" t="s">
        <v>3843</v>
      </c>
      <c r="C1244" s="23" t="e">
        <f ca="1">[1]!BexGetData("DP_1","003N8EMH8GTFRCSWKMPXRR8GU","GSON1112061415")</f>
        <v>#NAME?</v>
      </c>
      <c r="D1244" s="23" t="e">
        <f ca="1">[1]!BexGetData("DP_1","003N8EMH8GTFRCSWKMPXRRESE","GSON1112061415")</f>
        <v>#NAME?</v>
      </c>
      <c r="E1244" s="28" t="e">
        <f ca="1">[1]!BexGetData("DP_1","003N8EMH8GTFRCSWKMPXRRL3Y","GSON1112061415")</f>
        <v>#NAME?</v>
      </c>
      <c r="F1244" s="24" t="e">
        <f ca="1">[1]!BexGetData("DP_1","003N8EMH8GTFRCSWKMPXRRRFI","GSON1112061415")</f>
        <v>#NAME?</v>
      </c>
      <c r="G1244" s="24" t="e">
        <f ca="1">[1]!BexGetData("DP_1","003N8EMH8GTFRCSWKMPXRRXR2","GSON1112061415")</f>
        <v>#NAME?</v>
      </c>
      <c r="H1244" s="24" t="e">
        <f ca="1">[1]!BexGetData("DP_1","003N8EMH8GTFRCSWKMPXRS42M","GSON1112061415")</f>
        <v>#NAME?</v>
      </c>
      <c r="I1244" s="24" t="e">
        <f ca="1">[1]!BexGetData("DP_1","003N8EMH8GTFRCSWKMPXRSAE6","GSON1112061415")</f>
        <v>#NAME?</v>
      </c>
      <c r="J1244" s="24" t="e">
        <f ca="1">[1]!BexGetData("DP_1","003N8EMH8GTFRCSWKMPXRSGPQ","GSON1112061415")</f>
        <v>#NAME?</v>
      </c>
      <c r="K1244" s="28" t="e">
        <f ca="1">[1]!BexGetData("DP_1","003N8EMH8GTFRIVNUPY288VJH","GSON1112061415")</f>
        <v>#NAME?</v>
      </c>
      <c r="L1244" s="28" t="e">
        <f ca="1">[1]!BexGetData("DP_1","003N8EMH8GTFRIVNUPY2891V1","GSON1112061415")</f>
        <v>#NAME?</v>
      </c>
      <c r="M1244" s="28" t="e">
        <f ca="1">[1]!BexGetData("DP_1","003N8EMH8GTFRIVOG7KG9IQXA","GSON1112061415")</f>
        <v>#NAME?</v>
      </c>
      <c r="N1244" s="28" t="e">
        <f ca="1">[1]!BexGetData("DP_1","003N8EMH8GTFRIVOG7KG9IX8U","GSON1112061415")</f>
        <v>#NAME?</v>
      </c>
      <c r="O1244" s="28" t="e">
        <f ca="1">[1]!BexGetData("DP_1","003N8EMH8GTFRIVOG7KG9J3KE","GSON1112061415")</f>
        <v>#NAME?</v>
      </c>
      <c r="P1244" s="28" t="e">
        <f ca="1">[1]!BexGetData("DP_1","003N8EMH8GTFRIVOG7KG9J9VY","GSON1112061415")</f>
        <v>#NAME?</v>
      </c>
      <c r="Q1244" s="24" t="e">
        <f ca="1">[1]!BexGetData("DP_1","00O2TNJGODT0G5Z4TTKYMM5MT","GSON1112061415")</f>
        <v>#NAME?</v>
      </c>
      <c r="R1244" s="24" t="e">
        <f ca="1">[1]!BexGetData("DP_1","00O2TNJGODT0G5Z4TTKYMMBYD","GSON1112061415")</f>
        <v>#NAME?</v>
      </c>
      <c r="S1244" s="24" t="e">
        <f ca="1">[1]!BexGetData("DP_1","00O2TNJGODT0G5Z4TTKYMMI9X","GSON1112061415")</f>
        <v>#NAME?</v>
      </c>
      <c r="T1244" s="24" t="e">
        <f ca="1">[1]!BexGetData("DP_1","00O2TNJGODT0G5Z4TTKYMMOLH","GSON1112061415")</f>
        <v>#NAME?</v>
      </c>
      <c r="U1244" s="24" t="e">
        <f ca="1">[1]!BexGetData("DP_1","00O2TNJGODT0G5Z4TTKYMMUX1","GSON1112061415")</f>
        <v>#NAME?</v>
      </c>
      <c r="V1244" s="24" t="e">
        <f ca="1">[1]!BexGetData("DP_1","00O2TNJGODT0G5Z4TTKYMN18L","GSON1112061415")</f>
        <v>#NAME?</v>
      </c>
      <c r="W1244" s="24" t="e">
        <f ca="1">[1]!BexGetData("DP_1","00O2TNJGODT0G5Z4TTKYMN7K5","GSON1112061415")</f>
        <v>#NAME?</v>
      </c>
    </row>
    <row r="1245" spans="1:23" x14ac:dyDescent="0.2">
      <c r="A1245" s="36" t="s">
        <v>3844</v>
      </c>
      <c r="B1245" s="27" t="s">
        <v>3845</v>
      </c>
      <c r="C1245" s="23" t="e">
        <f ca="1">[1]!BexGetData("DP_1","003N8EMH8GTFRCSWKMPXRR8GU","GSON1112061420")</f>
        <v>#NAME?</v>
      </c>
      <c r="D1245" s="23" t="e">
        <f ca="1">[1]!BexGetData("DP_1","003N8EMH8GTFRCSWKMPXRRESE","GSON1112061420")</f>
        <v>#NAME?</v>
      </c>
      <c r="E1245" s="28" t="e">
        <f ca="1">[1]!BexGetData("DP_1","003N8EMH8GTFRCSWKMPXRRL3Y","GSON1112061420")</f>
        <v>#NAME?</v>
      </c>
      <c r="F1245" s="24" t="e">
        <f ca="1">[1]!BexGetData("DP_1","003N8EMH8GTFRCSWKMPXRRRFI","GSON1112061420")</f>
        <v>#NAME?</v>
      </c>
      <c r="G1245" s="24" t="e">
        <f ca="1">[1]!BexGetData("DP_1","003N8EMH8GTFRCSWKMPXRRXR2","GSON1112061420")</f>
        <v>#NAME?</v>
      </c>
      <c r="H1245" s="24" t="e">
        <f ca="1">[1]!BexGetData("DP_1","003N8EMH8GTFRCSWKMPXRS42M","GSON1112061420")</f>
        <v>#NAME?</v>
      </c>
      <c r="I1245" s="24" t="e">
        <f ca="1">[1]!BexGetData("DP_1","003N8EMH8GTFRCSWKMPXRSAE6","GSON1112061420")</f>
        <v>#NAME?</v>
      </c>
      <c r="J1245" s="24" t="e">
        <f ca="1">[1]!BexGetData("DP_1","003N8EMH8GTFRCSWKMPXRSGPQ","GSON1112061420")</f>
        <v>#NAME?</v>
      </c>
      <c r="K1245" s="28" t="e">
        <f ca="1">[1]!BexGetData("DP_1","003N8EMH8GTFRIVNUPY288VJH","GSON1112061420")</f>
        <v>#NAME?</v>
      </c>
      <c r="L1245" s="28" t="e">
        <f ca="1">[1]!BexGetData("DP_1","003N8EMH8GTFRIVNUPY2891V1","GSON1112061420")</f>
        <v>#NAME?</v>
      </c>
      <c r="M1245" s="28" t="e">
        <f ca="1">[1]!BexGetData("DP_1","003N8EMH8GTFRIVOG7KG9IQXA","GSON1112061420")</f>
        <v>#NAME?</v>
      </c>
      <c r="N1245" s="28" t="e">
        <f ca="1">[1]!BexGetData("DP_1","003N8EMH8GTFRIVOG7KG9IX8U","GSON1112061420")</f>
        <v>#NAME?</v>
      </c>
      <c r="O1245" s="28" t="e">
        <f ca="1">[1]!BexGetData("DP_1","003N8EMH8GTFRIVOG7KG9J3KE","GSON1112061420")</f>
        <v>#NAME?</v>
      </c>
      <c r="P1245" s="28" t="e">
        <f ca="1">[1]!BexGetData("DP_1","003N8EMH8GTFRIVOG7KG9J9VY","GSON1112061420")</f>
        <v>#NAME?</v>
      </c>
      <c r="Q1245" s="24" t="e">
        <f ca="1">[1]!BexGetData("DP_1","00O2TNJGODT0G5Z4TTKYMM5MT","GSON1112061420")</f>
        <v>#NAME?</v>
      </c>
      <c r="R1245" s="24" t="e">
        <f ca="1">[1]!BexGetData("DP_1","00O2TNJGODT0G5Z4TTKYMMBYD","GSON1112061420")</f>
        <v>#NAME?</v>
      </c>
      <c r="S1245" s="24" t="e">
        <f ca="1">[1]!BexGetData("DP_1","00O2TNJGODT0G5Z4TTKYMMI9X","GSON1112061420")</f>
        <v>#NAME?</v>
      </c>
      <c r="T1245" s="24" t="e">
        <f ca="1">[1]!BexGetData("DP_1","00O2TNJGODT0G5Z4TTKYMMOLH","GSON1112061420")</f>
        <v>#NAME?</v>
      </c>
      <c r="U1245" s="24" t="e">
        <f ca="1">[1]!BexGetData("DP_1","00O2TNJGODT0G5Z4TTKYMMUX1","GSON1112061420")</f>
        <v>#NAME?</v>
      </c>
      <c r="V1245" s="24" t="e">
        <f ca="1">[1]!BexGetData("DP_1","00O2TNJGODT0G5Z4TTKYMN18L","GSON1112061420")</f>
        <v>#NAME?</v>
      </c>
      <c r="W1245" s="24" t="e">
        <f ca="1">[1]!BexGetData("DP_1","00O2TNJGODT0G5Z4TTKYMN7K5","GSON1112061420")</f>
        <v>#NAME?</v>
      </c>
    </row>
    <row r="1246" spans="1:23" x14ac:dyDescent="0.2">
      <c r="A1246" s="36" t="s">
        <v>3846</v>
      </c>
      <c r="B1246" s="27" t="s">
        <v>3847</v>
      </c>
      <c r="C1246" s="23" t="e">
        <f ca="1">[1]!BexGetData("DP_1","003N8EMH8GTFRCSWKMPXRR8GU","GSON1112061424")</f>
        <v>#NAME?</v>
      </c>
      <c r="D1246" s="23" t="e">
        <f ca="1">[1]!BexGetData("DP_1","003N8EMH8GTFRCSWKMPXRRESE","GSON1112061424")</f>
        <v>#NAME?</v>
      </c>
      <c r="E1246" s="28" t="e">
        <f ca="1">[1]!BexGetData("DP_1","003N8EMH8GTFRCSWKMPXRRL3Y","GSON1112061424")</f>
        <v>#NAME?</v>
      </c>
      <c r="F1246" s="24" t="e">
        <f ca="1">[1]!BexGetData("DP_1","003N8EMH8GTFRCSWKMPXRRRFI","GSON1112061424")</f>
        <v>#NAME?</v>
      </c>
      <c r="G1246" s="24" t="e">
        <f ca="1">[1]!BexGetData("DP_1","003N8EMH8GTFRCSWKMPXRRXR2","GSON1112061424")</f>
        <v>#NAME?</v>
      </c>
      <c r="H1246" s="24" t="e">
        <f ca="1">[1]!BexGetData("DP_1","003N8EMH8GTFRCSWKMPXRS42M","GSON1112061424")</f>
        <v>#NAME?</v>
      </c>
      <c r="I1246" s="24" t="e">
        <f ca="1">[1]!BexGetData("DP_1","003N8EMH8GTFRCSWKMPXRSAE6","GSON1112061424")</f>
        <v>#NAME?</v>
      </c>
      <c r="J1246" s="24" t="e">
        <f ca="1">[1]!BexGetData("DP_1","003N8EMH8GTFRCSWKMPXRSGPQ","GSON1112061424")</f>
        <v>#NAME?</v>
      </c>
      <c r="K1246" s="28" t="e">
        <f ca="1">[1]!BexGetData("DP_1","003N8EMH8GTFRIVNUPY288VJH","GSON1112061424")</f>
        <v>#NAME?</v>
      </c>
      <c r="L1246" s="28" t="e">
        <f ca="1">[1]!BexGetData("DP_1","003N8EMH8GTFRIVNUPY2891V1","GSON1112061424")</f>
        <v>#NAME?</v>
      </c>
      <c r="M1246" s="28" t="e">
        <f ca="1">[1]!BexGetData("DP_1","003N8EMH8GTFRIVOG7KG9IQXA","GSON1112061424")</f>
        <v>#NAME?</v>
      </c>
      <c r="N1246" s="28" t="e">
        <f ca="1">[1]!BexGetData("DP_1","003N8EMH8GTFRIVOG7KG9IX8U","GSON1112061424")</f>
        <v>#NAME?</v>
      </c>
      <c r="O1246" s="28" t="e">
        <f ca="1">[1]!BexGetData("DP_1","003N8EMH8GTFRIVOG7KG9J3KE","GSON1112061424")</f>
        <v>#NAME?</v>
      </c>
      <c r="P1246" s="28" t="e">
        <f ca="1">[1]!BexGetData("DP_1","003N8EMH8GTFRIVOG7KG9J9VY","GSON1112061424")</f>
        <v>#NAME?</v>
      </c>
      <c r="Q1246" s="24" t="e">
        <f ca="1">[1]!BexGetData("DP_1","00O2TNJGODT0G5Z4TTKYMM5MT","GSON1112061424")</f>
        <v>#NAME?</v>
      </c>
      <c r="R1246" s="24" t="e">
        <f ca="1">[1]!BexGetData("DP_1","00O2TNJGODT0G5Z4TTKYMMBYD","GSON1112061424")</f>
        <v>#NAME?</v>
      </c>
      <c r="S1246" s="24" t="e">
        <f ca="1">[1]!BexGetData("DP_1","00O2TNJGODT0G5Z4TTKYMMI9X","GSON1112061424")</f>
        <v>#NAME?</v>
      </c>
      <c r="T1246" s="24" t="e">
        <f ca="1">[1]!BexGetData("DP_1","00O2TNJGODT0G5Z4TTKYMMOLH","GSON1112061424")</f>
        <v>#NAME?</v>
      </c>
      <c r="U1246" s="24" t="e">
        <f ca="1">[1]!BexGetData("DP_1","00O2TNJGODT0G5Z4TTKYMMUX1","GSON1112061424")</f>
        <v>#NAME?</v>
      </c>
      <c r="V1246" s="24" t="e">
        <f ca="1">[1]!BexGetData("DP_1","00O2TNJGODT0G5Z4TTKYMN18L","GSON1112061424")</f>
        <v>#NAME?</v>
      </c>
      <c r="W1246" s="24" t="e">
        <f ca="1">[1]!BexGetData("DP_1","00O2TNJGODT0G5Z4TTKYMN7K5","GSON1112061424")</f>
        <v>#NAME?</v>
      </c>
    </row>
    <row r="1247" spans="1:23" x14ac:dyDescent="0.2">
      <c r="A1247" s="36" t="s">
        <v>3848</v>
      </c>
      <c r="B1247" s="27" t="s">
        <v>3849</v>
      </c>
      <c r="C1247" s="23" t="e">
        <f ca="1">[1]!BexGetData("DP_1","003N8EMH8GTFRCSWKMPXRR8GU","GSON1112061430")</f>
        <v>#NAME?</v>
      </c>
      <c r="D1247" s="23" t="e">
        <f ca="1">[1]!BexGetData("DP_1","003N8EMH8GTFRCSWKMPXRRESE","GSON1112061430")</f>
        <v>#NAME?</v>
      </c>
      <c r="E1247" s="23" t="e">
        <f ca="1">[1]!BexGetData("DP_1","003N8EMH8GTFRCSWKMPXRRL3Y","GSON1112061430")</f>
        <v>#NAME?</v>
      </c>
      <c r="F1247" s="24" t="e">
        <f ca="1">[1]!BexGetData("DP_1","003N8EMH8GTFRCSWKMPXRRRFI","GSON1112061430")</f>
        <v>#NAME?</v>
      </c>
      <c r="G1247" s="24" t="e">
        <f ca="1">[1]!BexGetData("DP_1","003N8EMH8GTFRCSWKMPXRRXR2","GSON1112061430")</f>
        <v>#NAME?</v>
      </c>
      <c r="H1247" s="24" t="e">
        <f ca="1">[1]!BexGetData("DP_1","003N8EMH8GTFRCSWKMPXRS42M","GSON1112061430")</f>
        <v>#NAME?</v>
      </c>
      <c r="I1247" s="24" t="e">
        <f ca="1">[1]!BexGetData("DP_1","003N8EMH8GTFRCSWKMPXRSAE6","GSON1112061430")</f>
        <v>#NAME?</v>
      </c>
      <c r="J1247" s="24" t="e">
        <f ca="1">[1]!BexGetData("DP_1","003N8EMH8GTFRCSWKMPXRSGPQ","GSON1112061430")</f>
        <v>#NAME?</v>
      </c>
      <c r="K1247" s="23" t="e">
        <f ca="1">[1]!BexGetData("DP_1","003N8EMH8GTFRIVNUPY288VJH","GSON1112061430")</f>
        <v>#NAME?</v>
      </c>
      <c r="L1247" s="23" t="e">
        <f ca="1">[1]!BexGetData("DP_1","003N8EMH8GTFRIVNUPY2891V1","GSON1112061430")</f>
        <v>#NAME?</v>
      </c>
      <c r="M1247" s="28" t="e">
        <f ca="1">[1]!BexGetData("DP_1","003N8EMH8GTFRIVOG7KG9IQXA","GSON1112061430")</f>
        <v>#NAME?</v>
      </c>
      <c r="N1247" s="23" t="e">
        <f ca="1">[1]!BexGetData("DP_1","003N8EMH8GTFRIVOG7KG9IX8U","GSON1112061430")</f>
        <v>#NAME?</v>
      </c>
      <c r="O1247" s="28" t="e">
        <f ca="1">[1]!BexGetData("DP_1","003N8EMH8GTFRIVOG7KG9J3KE","GSON1112061430")</f>
        <v>#NAME?</v>
      </c>
      <c r="P1247" s="23" t="e">
        <f ca="1">[1]!BexGetData("DP_1","003N8EMH8GTFRIVOG7KG9J9VY","GSON1112061430")</f>
        <v>#NAME?</v>
      </c>
      <c r="Q1247" s="24" t="e">
        <f ca="1">[1]!BexGetData("DP_1","00O2TNJGODT0G5Z4TTKYMM5MT","GSON1112061430")</f>
        <v>#NAME?</v>
      </c>
      <c r="R1247" s="24" t="e">
        <f ca="1">[1]!BexGetData("DP_1","00O2TNJGODT0G5Z4TTKYMMBYD","GSON1112061430")</f>
        <v>#NAME?</v>
      </c>
      <c r="S1247" s="24" t="e">
        <f ca="1">[1]!BexGetData("DP_1","00O2TNJGODT0G5Z4TTKYMMI9X","GSON1112061430")</f>
        <v>#NAME?</v>
      </c>
      <c r="T1247" s="24" t="e">
        <f ca="1">[1]!BexGetData("DP_1","00O2TNJGODT0G5Z4TTKYMMOLH","GSON1112061430")</f>
        <v>#NAME?</v>
      </c>
      <c r="U1247" s="24" t="e">
        <f ca="1">[1]!BexGetData("DP_1","00O2TNJGODT0G5Z4TTKYMMUX1","GSON1112061430")</f>
        <v>#NAME?</v>
      </c>
      <c r="V1247" s="24" t="e">
        <f ca="1">[1]!BexGetData("DP_1","00O2TNJGODT0G5Z4TTKYMN18L","GSON1112061430")</f>
        <v>#NAME?</v>
      </c>
      <c r="W1247" s="24" t="e">
        <f ca="1">[1]!BexGetData("DP_1","00O2TNJGODT0G5Z4TTKYMN7K5","GSON1112061430")</f>
        <v>#NAME?</v>
      </c>
    </row>
    <row r="1248" spans="1:23" x14ac:dyDescent="0.2">
      <c r="A1248" s="36" t="s">
        <v>3850</v>
      </c>
      <c r="B1248" s="27" t="s">
        <v>3851</v>
      </c>
      <c r="C1248" s="23" t="e">
        <f ca="1">[1]!BexGetData("DP_1","003N8EMH8GTFRCSWKMPXRR8GU","GSON1112061431")</f>
        <v>#NAME?</v>
      </c>
      <c r="D1248" s="23" t="e">
        <f ca="1">[1]!BexGetData("DP_1","003N8EMH8GTFRCSWKMPXRRESE","GSON1112061431")</f>
        <v>#NAME?</v>
      </c>
      <c r="E1248" s="28" t="e">
        <f ca="1">[1]!BexGetData("DP_1","003N8EMH8GTFRCSWKMPXRRL3Y","GSON1112061431")</f>
        <v>#NAME?</v>
      </c>
      <c r="F1248" s="24" t="e">
        <f ca="1">[1]!BexGetData("DP_1","003N8EMH8GTFRCSWKMPXRRRFI","GSON1112061431")</f>
        <v>#NAME?</v>
      </c>
      <c r="G1248" s="24" t="e">
        <f ca="1">[1]!BexGetData("DP_1","003N8EMH8GTFRCSWKMPXRRXR2","GSON1112061431")</f>
        <v>#NAME?</v>
      </c>
      <c r="H1248" s="24" t="e">
        <f ca="1">[1]!BexGetData("DP_1","003N8EMH8GTFRCSWKMPXRS42M","GSON1112061431")</f>
        <v>#NAME?</v>
      </c>
      <c r="I1248" s="24" t="e">
        <f ca="1">[1]!BexGetData("DP_1","003N8EMH8GTFRCSWKMPXRSAE6","GSON1112061431")</f>
        <v>#NAME?</v>
      </c>
      <c r="J1248" s="24" t="e">
        <f ca="1">[1]!BexGetData("DP_1","003N8EMH8GTFRCSWKMPXRSGPQ","GSON1112061431")</f>
        <v>#NAME?</v>
      </c>
      <c r="K1248" s="28" t="e">
        <f ca="1">[1]!BexGetData("DP_1","003N8EMH8GTFRIVNUPY288VJH","GSON1112061431")</f>
        <v>#NAME?</v>
      </c>
      <c r="L1248" s="28" t="e">
        <f ca="1">[1]!BexGetData("DP_1","003N8EMH8GTFRIVNUPY2891V1","GSON1112061431")</f>
        <v>#NAME?</v>
      </c>
      <c r="M1248" s="28" t="e">
        <f ca="1">[1]!BexGetData("DP_1","003N8EMH8GTFRIVOG7KG9IQXA","GSON1112061431")</f>
        <v>#NAME?</v>
      </c>
      <c r="N1248" s="28" t="e">
        <f ca="1">[1]!BexGetData("DP_1","003N8EMH8GTFRIVOG7KG9IX8U","GSON1112061431")</f>
        <v>#NAME?</v>
      </c>
      <c r="O1248" s="28" t="e">
        <f ca="1">[1]!BexGetData("DP_1","003N8EMH8GTFRIVOG7KG9J3KE","GSON1112061431")</f>
        <v>#NAME?</v>
      </c>
      <c r="P1248" s="28" t="e">
        <f ca="1">[1]!BexGetData("DP_1","003N8EMH8GTFRIVOG7KG9J9VY","GSON1112061431")</f>
        <v>#NAME?</v>
      </c>
      <c r="Q1248" s="24" t="e">
        <f ca="1">[1]!BexGetData("DP_1","00O2TNJGODT0G5Z4TTKYMM5MT","GSON1112061431")</f>
        <v>#NAME?</v>
      </c>
      <c r="R1248" s="24" t="e">
        <f ca="1">[1]!BexGetData("DP_1","00O2TNJGODT0G5Z4TTKYMMBYD","GSON1112061431")</f>
        <v>#NAME?</v>
      </c>
      <c r="S1248" s="24" t="e">
        <f ca="1">[1]!BexGetData("DP_1","00O2TNJGODT0G5Z4TTKYMMI9X","GSON1112061431")</f>
        <v>#NAME?</v>
      </c>
      <c r="T1248" s="24" t="e">
        <f ca="1">[1]!BexGetData("DP_1","00O2TNJGODT0G5Z4TTKYMMOLH","GSON1112061431")</f>
        <v>#NAME?</v>
      </c>
      <c r="U1248" s="24" t="e">
        <f ca="1">[1]!BexGetData("DP_1","00O2TNJGODT0G5Z4TTKYMMUX1","GSON1112061431")</f>
        <v>#NAME?</v>
      </c>
      <c r="V1248" s="24" t="e">
        <f ca="1">[1]!BexGetData("DP_1","00O2TNJGODT0G5Z4TTKYMN18L","GSON1112061431")</f>
        <v>#NAME?</v>
      </c>
      <c r="W1248" s="24" t="e">
        <f ca="1">[1]!BexGetData("DP_1","00O2TNJGODT0G5Z4TTKYMN7K5","GSON1112061431")</f>
        <v>#NAME?</v>
      </c>
    </row>
    <row r="1249" spans="1:23" x14ac:dyDescent="0.2">
      <c r="A1249" s="36" t="s">
        <v>3852</v>
      </c>
      <c r="B1249" s="27" t="s">
        <v>3853</v>
      </c>
      <c r="C1249" s="23" t="e">
        <f ca="1">[1]!BexGetData("DP_1","003N8EMH8GTFRCSWKMPXRR8GU","GSON1112061433")</f>
        <v>#NAME?</v>
      </c>
      <c r="D1249" s="23" t="e">
        <f ca="1">[1]!BexGetData("DP_1","003N8EMH8GTFRCSWKMPXRRESE","GSON1112061433")</f>
        <v>#NAME?</v>
      </c>
      <c r="E1249" s="28" t="e">
        <f ca="1">[1]!BexGetData("DP_1","003N8EMH8GTFRCSWKMPXRRL3Y","GSON1112061433")</f>
        <v>#NAME?</v>
      </c>
      <c r="F1249" s="24" t="e">
        <f ca="1">[1]!BexGetData("DP_1","003N8EMH8GTFRCSWKMPXRRRFI","GSON1112061433")</f>
        <v>#NAME?</v>
      </c>
      <c r="G1249" s="24" t="e">
        <f ca="1">[1]!BexGetData("DP_1","003N8EMH8GTFRCSWKMPXRRXR2","GSON1112061433")</f>
        <v>#NAME?</v>
      </c>
      <c r="H1249" s="24" t="e">
        <f ca="1">[1]!BexGetData("DP_1","003N8EMH8GTFRCSWKMPXRS42M","GSON1112061433")</f>
        <v>#NAME?</v>
      </c>
      <c r="I1249" s="24" t="e">
        <f ca="1">[1]!BexGetData("DP_1","003N8EMH8GTFRCSWKMPXRSAE6","GSON1112061433")</f>
        <v>#NAME?</v>
      </c>
      <c r="J1249" s="24" t="e">
        <f ca="1">[1]!BexGetData("DP_1","003N8EMH8GTFRCSWKMPXRSGPQ","GSON1112061433")</f>
        <v>#NAME?</v>
      </c>
      <c r="K1249" s="28" t="e">
        <f ca="1">[1]!BexGetData("DP_1","003N8EMH8GTFRIVNUPY288VJH","GSON1112061433")</f>
        <v>#NAME?</v>
      </c>
      <c r="L1249" s="28" t="e">
        <f ca="1">[1]!BexGetData("DP_1","003N8EMH8GTFRIVNUPY2891V1","GSON1112061433")</f>
        <v>#NAME?</v>
      </c>
      <c r="M1249" s="28" t="e">
        <f ca="1">[1]!BexGetData("DP_1","003N8EMH8GTFRIVOG7KG9IQXA","GSON1112061433")</f>
        <v>#NAME?</v>
      </c>
      <c r="N1249" s="28" t="e">
        <f ca="1">[1]!BexGetData("DP_1","003N8EMH8GTFRIVOG7KG9IX8U","GSON1112061433")</f>
        <v>#NAME?</v>
      </c>
      <c r="O1249" s="28" t="e">
        <f ca="1">[1]!BexGetData("DP_1","003N8EMH8GTFRIVOG7KG9J3KE","GSON1112061433")</f>
        <v>#NAME?</v>
      </c>
      <c r="P1249" s="28" t="e">
        <f ca="1">[1]!BexGetData("DP_1","003N8EMH8GTFRIVOG7KG9J9VY","GSON1112061433")</f>
        <v>#NAME?</v>
      </c>
      <c r="Q1249" s="24" t="e">
        <f ca="1">[1]!BexGetData("DP_1","00O2TNJGODT0G5Z4TTKYMM5MT","GSON1112061433")</f>
        <v>#NAME?</v>
      </c>
      <c r="R1249" s="24" t="e">
        <f ca="1">[1]!BexGetData("DP_1","00O2TNJGODT0G5Z4TTKYMMBYD","GSON1112061433")</f>
        <v>#NAME?</v>
      </c>
      <c r="S1249" s="24" t="e">
        <f ca="1">[1]!BexGetData("DP_1","00O2TNJGODT0G5Z4TTKYMMI9X","GSON1112061433")</f>
        <v>#NAME?</v>
      </c>
      <c r="T1249" s="24" t="e">
        <f ca="1">[1]!BexGetData("DP_1","00O2TNJGODT0G5Z4TTKYMMOLH","GSON1112061433")</f>
        <v>#NAME?</v>
      </c>
      <c r="U1249" s="24" t="e">
        <f ca="1">[1]!BexGetData("DP_1","00O2TNJGODT0G5Z4TTKYMMUX1","GSON1112061433")</f>
        <v>#NAME?</v>
      </c>
      <c r="V1249" s="24" t="e">
        <f ca="1">[1]!BexGetData("DP_1","00O2TNJGODT0G5Z4TTKYMN18L","GSON1112061433")</f>
        <v>#NAME?</v>
      </c>
      <c r="W1249" s="24" t="e">
        <f ca="1">[1]!BexGetData("DP_1","00O2TNJGODT0G5Z4TTKYMN7K5","GSON1112061433")</f>
        <v>#NAME?</v>
      </c>
    </row>
    <row r="1250" spans="1:23" x14ac:dyDescent="0.2">
      <c r="A1250" s="36" t="s">
        <v>3854</v>
      </c>
      <c r="B1250" s="27" t="s">
        <v>3855</v>
      </c>
      <c r="C1250" s="23" t="e">
        <f ca="1">[1]!BexGetData("DP_1","003N8EMH8GTFRCSWKMPXRR8GU","GSON1112061434")</f>
        <v>#NAME?</v>
      </c>
      <c r="D1250" s="23" t="e">
        <f ca="1">[1]!BexGetData("DP_1","003N8EMH8GTFRCSWKMPXRRESE","GSON1112061434")</f>
        <v>#NAME?</v>
      </c>
      <c r="E1250" s="28" t="e">
        <f ca="1">[1]!BexGetData("DP_1","003N8EMH8GTFRCSWKMPXRRL3Y","GSON1112061434")</f>
        <v>#NAME?</v>
      </c>
      <c r="F1250" s="24" t="e">
        <f ca="1">[1]!BexGetData("DP_1","003N8EMH8GTFRCSWKMPXRRRFI","GSON1112061434")</f>
        <v>#NAME?</v>
      </c>
      <c r="G1250" s="24" t="e">
        <f ca="1">[1]!BexGetData("DP_1","003N8EMH8GTFRCSWKMPXRRXR2","GSON1112061434")</f>
        <v>#NAME?</v>
      </c>
      <c r="H1250" s="24" t="e">
        <f ca="1">[1]!BexGetData("DP_1","003N8EMH8GTFRCSWKMPXRS42M","GSON1112061434")</f>
        <v>#NAME?</v>
      </c>
      <c r="I1250" s="24" t="e">
        <f ca="1">[1]!BexGetData("DP_1","003N8EMH8GTFRCSWKMPXRSAE6","GSON1112061434")</f>
        <v>#NAME?</v>
      </c>
      <c r="J1250" s="24" t="e">
        <f ca="1">[1]!BexGetData("DP_1","003N8EMH8GTFRCSWKMPXRSGPQ","GSON1112061434")</f>
        <v>#NAME?</v>
      </c>
      <c r="K1250" s="28" t="e">
        <f ca="1">[1]!BexGetData("DP_1","003N8EMH8GTFRIVNUPY288VJH","GSON1112061434")</f>
        <v>#NAME?</v>
      </c>
      <c r="L1250" s="28" t="e">
        <f ca="1">[1]!BexGetData("DP_1","003N8EMH8GTFRIVNUPY2891V1","GSON1112061434")</f>
        <v>#NAME?</v>
      </c>
      <c r="M1250" s="28" t="e">
        <f ca="1">[1]!BexGetData("DP_1","003N8EMH8GTFRIVOG7KG9IQXA","GSON1112061434")</f>
        <v>#NAME?</v>
      </c>
      <c r="N1250" s="28" t="e">
        <f ca="1">[1]!BexGetData("DP_1","003N8EMH8GTFRIVOG7KG9IX8U","GSON1112061434")</f>
        <v>#NAME?</v>
      </c>
      <c r="O1250" s="28" t="e">
        <f ca="1">[1]!BexGetData("DP_1","003N8EMH8GTFRIVOG7KG9J3KE","GSON1112061434")</f>
        <v>#NAME?</v>
      </c>
      <c r="P1250" s="28" t="e">
        <f ca="1">[1]!BexGetData("DP_1","003N8EMH8GTFRIVOG7KG9J9VY","GSON1112061434")</f>
        <v>#NAME?</v>
      </c>
      <c r="Q1250" s="24" t="e">
        <f ca="1">[1]!BexGetData("DP_1","00O2TNJGODT0G5Z4TTKYMM5MT","GSON1112061434")</f>
        <v>#NAME?</v>
      </c>
      <c r="R1250" s="24" t="e">
        <f ca="1">[1]!BexGetData("DP_1","00O2TNJGODT0G5Z4TTKYMMBYD","GSON1112061434")</f>
        <v>#NAME?</v>
      </c>
      <c r="S1250" s="24" t="e">
        <f ca="1">[1]!BexGetData("DP_1","00O2TNJGODT0G5Z4TTKYMMI9X","GSON1112061434")</f>
        <v>#NAME?</v>
      </c>
      <c r="T1250" s="24" t="e">
        <f ca="1">[1]!BexGetData("DP_1","00O2TNJGODT0G5Z4TTKYMMOLH","GSON1112061434")</f>
        <v>#NAME?</v>
      </c>
      <c r="U1250" s="24" t="e">
        <f ca="1">[1]!BexGetData("DP_1","00O2TNJGODT0G5Z4TTKYMMUX1","GSON1112061434")</f>
        <v>#NAME?</v>
      </c>
      <c r="V1250" s="24" t="e">
        <f ca="1">[1]!BexGetData("DP_1","00O2TNJGODT0G5Z4TTKYMN18L","GSON1112061434")</f>
        <v>#NAME?</v>
      </c>
      <c r="W1250" s="24" t="e">
        <f ca="1">[1]!BexGetData("DP_1","00O2TNJGODT0G5Z4TTKYMN7K5","GSON1112061434")</f>
        <v>#NAME?</v>
      </c>
    </row>
    <row r="1251" spans="1:23" x14ac:dyDescent="0.2">
      <c r="A1251" s="36" t="s">
        <v>3856</v>
      </c>
      <c r="B1251" s="27" t="s">
        <v>3857</v>
      </c>
      <c r="C1251" s="23" t="e">
        <f ca="1">[1]!BexGetData("DP_1","003N8EMH8GTFRCSWKMPXRR8GU","GSON1112061435")</f>
        <v>#NAME?</v>
      </c>
      <c r="D1251" s="23" t="e">
        <f ca="1">[1]!BexGetData("DP_1","003N8EMH8GTFRCSWKMPXRRESE","GSON1112061435")</f>
        <v>#NAME?</v>
      </c>
      <c r="E1251" s="28" t="e">
        <f ca="1">[1]!BexGetData("DP_1","003N8EMH8GTFRCSWKMPXRRL3Y","GSON1112061435")</f>
        <v>#NAME?</v>
      </c>
      <c r="F1251" s="24" t="e">
        <f ca="1">[1]!BexGetData("DP_1","003N8EMH8GTFRCSWKMPXRRRFI","GSON1112061435")</f>
        <v>#NAME?</v>
      </c>
      <c r="G1251" s="24" t="e">
        <f ca="1">[1]!BexGetData("DP_1","003N8EMH8GTFRCSWKMPXRRXR2","GSON1112061435")</f>
        <v>#NAME?</v>
      </c>
      <c r="H1251" s="24" t="e">
        <f ca="1">[1]!BexGetData("DP_1","003N8EMH8GTFRCSWKMPXRS42M","GSON1112061435")</f>
        <v>#NAME?</v>
      </c>
      <c r="I1251" s="24" t="e">
        <f ca="1">[1]!BexGetData("DP_1","003N8EMH8GTFRCSWKMPXRSAE6","GSON1112061435")</f>
        <v>#NAME?</v>
      </c>
      <c r="J1251" s="24" t="e">
        <f ca="1">[1]!BexGetData("DP_1","003N8EMH8GTFRCSWKMPXRSGPQ","GSON1112061435")</f>
        <v>#NAME?</v>
      </c>
      <c r="K1251" s="28" t="e">
        <f ca="1">[1]!BexGetData("DP_1","003N8EMH8GTFRIVNUPY288VJH","GSON1112061435")</f>
        <v>#NAME?</v>
      </c>
      <c r="L1251" s="28" t="e">
        <f ca="1">[1]!BexGetData("DP_1","003N8EMH8GTFRIVNUPY2891V1","GSON1112061435")</f>
        <v>#NAME?</v>
      </c>
      <c r="M1251" s="28" t="e">
        <f ca="1">[1]!BexGetData("DP_1","003N8EMH8GTFRIVOG7KG9IQXA","GSON1112061435")</f>
        <v>#NAME?</v>
      </c>
      <c r="N1251" s="28" t="e">
        <f ca="1">[1]!BexGetData("DP_1","003N8EMH8GTFRIVOG7KG9IX8U","GSON1112061435")</f>
        <v>#NAME?</v>
      </c>
      <c r="O1251" s="28" t="e">
        <f ca="1">[1]!BexGetData("DP_1","003N8EMH8GTFRIVOG7KG9J3KE","GSON1112061435")</f>
        <v>#NAME?</v>
      </c>
      <c r="P1251" s="28" t="e">
        <f ca="1">[1]!BexGetData("DP_1","003N8EMH8GTFRIVOG7KG9J9VY","GSON1112061435")</f>
        <v>#NAME?</v>
      </c>
      <c r="Q1251" s="24" t="e">
        <f ca="1">[1]!BexGetData("DP_1","00O2TNJGODT0G5Z4TTKYMM5MT","GSON1112061435")</f>
        <v>#NAME?</v>
      </c>
      <c r="R1251" s="24" t="e">
        <f ca="1">[1]!BexGetData("DP_1","00O2TNJGODT0G5Z4TTKYMMBYD","GSON1112061435")</f>
        <v>#NAME?</v>
      </c>
      <c r="S1251" s="24" t="e">
        <f ca="1">[1]!BexGetData("DP_1","00O2TNJGODT0G5Z4TTKYMMI9X","GSON1112061435")</f>
        <v>#NAME?</v>
      </c>
      <c r="T1251" s="24" t="e">
        <f ca="1">[1]!BexGetData("DP_1","00O2TNJGODT0G5Z4TTKYMMOLH","GSON1112061435")</f>
        <v>#NAME?</v>
      </c>
      <c r="U1251" s="24" t="e">
        <f ca="1">[1]!BexGetData("DP_1","00O2TNJGODT0G5Z4TTKYMMUX1","GSON1112061435")</f>
        <v>#NAME?</v>
      </c>
      <c r="V1251" s="24" t="e">
        <f ca="1">[1]!BexGetData("DP_1","00O2TNJGODT0G5Z4TTKYMN18L","GSON1112061435")</f>
        <v>#NAME?</v>
      </c>
      <c r="W1251" s="24" t="e">
        <f ca="1">[1]!BexGetData("DP_1","00O2TNJGODT0G5Z4TTKYMN7K5","GSON1112061435")</f>
        <v>#NAME?</v>
      </c>
    </row>
    <row r="1252" spans="1:23" x14ac:dyDescent="0.2">
      <c r="A1252" s="36" t="s">
        <v>3858</v>
      </c>
      <c r="B1252" s="27" t="s">
        <v>3859</v>
      </c>
      <c r="C1252" s="23" t="e">
        <f ca="1">[1]!BexGetData("DP_1","003N8EMH8GTFRCSWKMPXRR8GU","GSON1112061440")</f>
        <v>#NAME?</v>
      </c>
      <c r="D1252" s="28" t="e">
        <f ca="1">[1]!BexGetData("DP_1","003N8EMH8GTFRCSWKMPXRRESE","GSON1112061440")</f>
        <v>#NAME?</v>
      </c>
      <c r="E1252" s="23" t="e">
        <f ca="1">[1]!BexGetData("DP_1","003N8EMH8GTFRCSWKMPXRRL3Y","GSON1112061440")</f>
        <v>#NAME?</v>
      </c>
      <c r="F1252" s="24" t="e">
        <f ca="1">[1]!BexGetData("DP_1","003N8EMH8GTFRCSWKMPXRRRFI","GSON1112061440")</f>
        <v>#NAME?</v>
      </c>
      <c r="G1252" s="24" t="e">
        <f ca="1">[1]!BexGetData("DP_1","003N8EMH8GTFRCSWKMPXRRXR2","GSON1112061440")</f>
        <v>#NAME?</v>
      </c>
      <c r="H1252" s="24" t="e">
        <f ca="1">[1]!BexGetData("DP_1","003N8EMH8GTFRCSWKMPXRS42M","GSON1112061440")</f>
        <v>#NAME?</v>
      </c>
      <c r="I1252" s="24" t="e">
        <f ca="1">[1]!BexGetData("DP_1","003N8EMH8GTFRCSWKMPXRSAE6","GSON1112061440")</f>
        <v>#NAME?</v>
      </c>
      <c r="J1252" s="24" t="e">
        <f ca="1">[1]!BexGetData("DP_1","003N8EMH8GTFRCSWKMPXRSGPQ","GSON1112061440")</f>
        <v>#NAME?</v>
      </c>
      <c r="K1252" s="23" t="e">
        <f ca="1">[1]!BexGetData("DP_1","003N8EMH8GTFRIVNUPY288VJH","GSON1112061440")</f>
        <v>#NAME?</v>
      </c>
      <c r="L1252" s="23" t="e">
        <f ca="1">[1]!BexGetData("DP_1","003N8EMH8GTFRIVNUPY2891V1","GSON1112061440")</f>
        <v>#NAME?</v>
      </c>
      <c r="M1252" s="28" t="e">
        <f ca="1">[1]!BexGetData("DP_1","003N8EMH8GTFRIVOG7KG9IQXA","GSON1112061440")</f>
        <v>#NAME?</v>
      </c>
      <c r="N1252" s="23" t="e">
        <f ca="1">[1]!BexGetData("DP_1","003N8EMH8GTFRIVOG7KG9IX8U","GSON1112061440")</f>
        <v>#NAME?</v>
      </c>
      <c r="O1252" s="28" t="e">
        <f ca="1">[1]!BexGetData("DP_1","003N8EMH8GTFRIVOG7KG9J3KE","GSON1112061440")</f>
        <v>#NAME?</v>
      </c>
      <c r="P1252" s="23" t="e">
        <f ca="1">[1]!BexGetData("DP_1","003N8EMH8GTFRIVOG7KG9J9VY","GSON1112061440")</f>
        <v>#NAME?</v>
      </c>
      <c r="Q1252" s="24" t="e">
        <f ca="1">[1]!BexGetData("DP_1","00O2TNJGODT0G5Z4TTKYMM5MT","GSON1112061440")</f>
        <v>#NAME?</v>
      </c>
      <c r="R1252" s="24" t="e">
        <f ca="1">[1]!BexGetData("DP_1","00O2TNJGODT0G5Z4TTKYMMBYD","GSON1112061440")</f>
        <v>#NAME?</v>
      </c>
      <c r="S1252" s="24" t="e">
        <f ca="1">[1]!BexGetData("DP_1","00O2TNJGODT0G5Z4TTKYMMI9X","GSON1112061440")</f>
        <v>#NAME?</v>
      </c>
      <c r="T1252" s="24" t="e">
        <f ca="1">[1]!BexGetData("DP_1","00O2TNJGODT0G5Z4TTKYMMOLH","GSON1112061440")</f>
        <v>#NAME?</v>
      </c>
      <c r="U1252" s="24" t="e">
        <f ca="1">[1]!BexGetData("DP_1","00O2TNJGODT0G5Z4TTKYMMUX1","GSON1112061440")</f>
        <v>#NAME?</v>
      </c>
      <c r="V1252" s="24" t="e">
        <f ca="1">[1]!BexGetData("DP_1","00O2TNJGODT0G5Z4TTKYMN18L","GSON1112061440")</f>
        <v>#NAME?</v>
      </c>
      <c r="W1252" s="24" t="e">
        <f ca="1">[1]!BexGetData("DP_1","00O2TNJGODT0G5Z4TTKYMN7K5","GSON1112061440")</f>
        <v>#NAME?</v>
      </c>
    </row>
    <row r="1253" spans="1:23" x14ac:dyDescent="0.2">
      <c r="A1253" s="36" t="s">
        <v>3860</v>
      </c>
      <c r="B1253" s="27" t="s">
        <v>3861</v>
      </c>
      <c r="C1253" s="23" t="e">
        <f ca="1">[1]!BexGetData("DP_1","003N8EMH8GTFRCSWKMPXRR8GU","GSON1112061444")</f>
        <v>#NAME?</v>
      </c>
      <c r="D1253" s="23" t="e">
        <f ca="1">[1]!BexGetData("DP_1","003N8EMH8GTFRCSWKMPXRRESE","GSON1112061444")</f>
        <v>#NAME?</v>
      </c>
      <c r="E1253" s="28" t="e">
        <f ca="1">[1]!BexGetData("DP_1","003N8EMH8GTFRCSWKMPXRRL3Y","GSON1112061444")</f>
        <v>#NAME?</v>
      </c>
      <c r="F1253" s="24" t="e">
        <f ca="1">[1]!BexGetData("DP_1","003N8EMH8GTFRCSWKMPXRRRFI","GSON1112061444")</f>
        <v>#NAME?</v>
      </c>
      <c r="G1253" s="24" t="e">
        <f ca="1">[1]!BexGetData("DP_1","003N8EMH8GTFRCSWKMPXRRXR2","GSON1112061444")</f>
        <v>#NAME?</v>
      </c>
      <c r="H1253" s="24" t="e">
        <f ca="1">[1]!BexGetData("DP_1","003N8EMH8GTFRCSWKMPXRS42M","GSON1112061444")</f>
        <v>#NAME?</v>
      </c>
      <c r="I1253" s="24" t="e">
        <f ca="1">[1]!BexGetData("DP_1","003N8EMH8GTFRCSWKMPXRSAE6","GSON1112061444")</f>
        <v>#NAME?</v>
      </c>
      <c r="J1253" s="24" t="e">
        <f ca="1">[1]!BexGetData("DP_1","003N8EMH8GTFRCSWKMPXRSGPQ","GSON1112061444")</f>
        <v>#NAME?</v>
      </c>
      <c r="K1253" s="28" t="e">
        <f ca="1">[1]!BexGetData("DP_1","003N8EMH8GTFRIVNUPY288VJH","GSON1112061444")</f>
        <v>#NAME?</v>
      </c>
      <c r="L1253" s="28" t="e">
        <f ca="1">[1]!BexGetData("DP_1","003N8EMH8GTFRIVNUPY2891V1","GSON1112061444")</f>
        <v>#NAME?</v>
      </c>
      <c r="M1253" s="28" t="e">
        <f ca="1">[1]!BexGetData("DP_1","003N8EMH8GTFRIVOG7KG9IQXA","GSON1112061444")</f>
        <v>#NAME?</v>
      </c>
      <c r="N1253" s="28" t="e">
        <f ca="1">[1]!BexGetData("DP_1","003N8EMH8GTFRIVOG7KG9IX8U","GSON1112061444")</f>
        <v>#NAME?</v>
      </c>
      <c r="O1253" s="28" t="e">
        <f ca="1">[1]!BexGetData("DP_1","003N8EMH8GTFRIVOG7KG9J3KE","GSON1112061444")</f>
        <v>#NAME?</v>
      </c>
      <c r="P1253" s="28" t="e">
        <f ca="1">[1]!BexGetData("DP_1","003N8EMH8GTFRIVOG7KG9J9VY","GSON1112061444")</f>
        <v>#NAME?</v>
      </c>
      <c r="Q1253" s="24" t="e">
        <f ca="1">[1]!BexGetData("DP_1","00O2TNJGODT0G5Z4TTKYMM5MT","GSON1112061444")</f>
        <v>#NAME?</v>
      </c>
      <c r="R1253" s="24" t="e">
        <f ca="1">[1]!BexGetData("DP_1","00O2TNJGODT0G5Z4TTKYMMBYD","GSON1112061444")</f>
        <v>#NAME?</v>
      </c>
      <c r="S1253" s="24" t="e">
        <f ca="1">[1]!BexGetData("DP_1","00O2TNJGODT0G5Z4TTKYMMI9X","GSON1112061444")</f>
        <v>#NAME?</v>
      </c>
      <c r="T1253" s="24" t="e">
        <f ca="1">[1]!BexGetData("DP_1","00O2TNJGODT0G5Z4TTKYMMOLH","GSON1112061444")</f>
        <v>#NAME?</v>
      </c>
      <c r="U1253" s="24" t="e">
        <f ca="1">[1]!BexGetData("DP_1","00O2TNJGODT0G5Z4TTKYMMUX1","GSON1112061444")</f>
        <v>#NAME?</v>
      </c>
      <c r="V1253" s="24" t="e">
        <f ca="1">[1]!BexGetData("DP_1","00O2TNJGODT0G5Z4TTKYMN18L","GSON1112061444")</f>
        <v>#NAME?</v>
      </c>
      <c r="W1253" s="24" t="e">
        <f ca="1">[1]!BexGetData("DP_1","00O2TNJGODT0G5Z4TTKYMN7K5","GSON1112061444")</f>
        <v>#NAME?</v>
      </c>
    </row>
    <row r="1254" spans="1:23" x14ac:dyDescent="0.2">
      <c r="A1254" s="36" t="s">
        <v>3862</v>
      </c>
      <c r="B1254" s="27" t="s">
        <v>3863</v>
      </c>
      <c r="C1254" s="23" t="e">
        <f ca="1">[1]!BexGetData("DP_1","003N8EMH8GTFRCSWKMPXRR8GU","GSON1112061450")</f>
        <v>#NAME?</v>
      </c>
      <c r="D1254" s="28" t="e">
        <f ca="1">[1]!BexGetData("DP_1","003N8EMH8GTFRCSWKMPXRRESE","GSON1112061450")</f>
        <v>#NAME?</v>
      </c>
      <c r="E1254" s="23" t="e">
        <f ca="1">[1]!BexGetData("DP_1","003N8EMH8GTFRCSWKMPXRRL3Y","GSON1112061450")</f>
        <v>#NAME?</v>
      </c>
      <c r="F1254" s="24" t="e">
        <f ca="1">[1]!BexGetData("DP_1","003N8EMH8GTFRCSWKMPXRRRFI","GSON1112061450")</f>
        <v>#NAME?</v>
      </c>
      <c r="G1254" s="24" t="e">
        <f ca="1">[1]!BexGetData("DP_1","003N8EMH8GTFRCSWKMPXRRXR2","GSON1112061450")</f>
        <v>#NAME?</v>
      </c>
      <c r="H1254" s="24" t="e">
        <f ca="1">[1]!BexGetData("DP_1","003N8EMH8GTFRCSWKMPXRS42M","GSON1112061450")</f>
        <v>#NAME?</v>
      </c>
      <c r="I1254" s="24" t="e">
        <f ca="1">[1]!BexGetData("DP_1","003N8EMH8GTFRCSWKMPXRSAE6","GSON1112061450")</f>
        <v>#NAME?</v>
      </c>
      <c r="J1254" s="24" t="e">
        <f ca="1">[1]!BexGetData("DP_1","003N8EMH8GTFRCSWKMPXRSGPQ","GSON1112061450")</f>
        <v>#NAME?</v>
      </c>
      <c r="K1254" s="23" t="e">
        <f ca="1">[1]!BexGetData("DP_1","003N8EMH8GTFRIVNUPY288VJH","GSON1112061450")</f>
        <v>#NAME?</v>
      </c>
      <c r="L1254" s="23" t="e">
        <f ca="1">[1]!BexGetData("DP_1","003N8EMH8GTFRIVNUPY2891V1","GSON1112061450")</f>
        <v>#NAME?</v>
      </c>
      <c r="M1254" s="28" t="e">
        <f ca="1">[1]!BexGetData("DP_1","003N8EMH8GTFRIVOG7KG9IQXA","GSON1112061450")</f>
        <v>#NAME?</v>
      </c>
      <c r="N1254" s="23" t="e">
        <f ca="1">[1]!BexGetData("DP_1","003N8EMH8GTFRIVOG7KG9IX8U","GSON1112061450")</f>
        <v>#NAME?</v>
      </c>
      <c r="O1254" s="28" t="e">
        <f ca="1">[1]!BexGetData("DP_1","003N8EMH8GTFRIVOG7KG9J3KE","GSON1112061450")</f>
        <v>#NAME?</v>
      </c>
      <c r="P1254" s="23" t="e">
        <f ca="1">[1]!BexGetData("DP_1","003N8EMH8GTFRIVOG7KG9J9VY","GSON1112061450")</f>
        <v>#NAME?</v>
      </c>
      <c r="Q1254" s="24" t="e">
        <f ca="1">[1]!BexGetData("DP_1","00O2TNJGODT0G5Z4TTKYMM5MT","GSON1112061450")</f>
        <v>#NAME?</v>
      </c>
      <c r="R1254" s="24" t="e">
        <f ca="1">[1]!BexGetData("DP_1","00O2TNJGODT0G5Z4TTKYMMBYD","GSON1112061450")</f>
        <v>#NAME?</v>
      </c>
      <c r="S1254" s="24" t="e">
        <f ca="1">[1]!BexGetData("DP_1","00O2TNJGODT0G5Z4TTKYMMI9X","GSON1112061450")</f>
        <v>#NAME?</v>
      </c>
      <c r="T1254" s="24" t="e">
        <f ca="1">[1]!BexGetData("DP_1","00O2TNJGODT0G5Z4TTKYMMOLH","GSON1112061450")</f>
        <v>#NAME?</v>
      </c>
      <c r="U1254" s="24" t="e">
        <f ca="1">[1]!BexGetData("DP_1","00O2TNJGODT0G5Z4TTKYMMUX1","GSON1112061450")</f>
        <v>#NAME?</v>
      </c>
      <c r="V1254" s="24" t="e">
        <f ca="1">[1]!BexGetData("DP_1","00O2TNJGODT0G5Z4TTKYMN18L","GSON1112061450")</f>
        <v>#NAME?</v>
      </c>
      <c r="W1254" s="24" t="e">
        <f ca="1">[1]!BexGetData("DP_1","00O2TNJGODT0G5Z4TTKYMN7K5","GSON1112061450")</f>
        <v>#NAME?</v>
      </c>
    </row>
    <row r="1255" spans="1:23" x14ac:dyDescent="0.2">
      <c r="A1255" s="36" t="s">
        <v>3864</v>
      </c>
      <c r="B1255" s="27" t="s">
        <v>3865</v>
      </c>
      <c r="C1255" s="23" t="e">
        <f ca="1">[1]!BexGetData("DP_1","003N8EMH8GTFRCSWKMPXRR8GU","GSON1112061451")</f>
        <v>#NAME?</v>
      </c>
      <c r="D1255" s="23" t="e">
        <f ca="1">[1]!BexGetData("DP_1","003N8EMH8GTFRCSWKMPXRRESE","GSON1112061451")</f>
        <v>#NAME?</v>
      </c>
      <c r="E1255" s="28" t="e">
        <f ca="1">[1]!BexGetData("DP_1","003N8EMH8GTFRCSWKMPXRRL3Y","GSON1112061451")</f>
        <v>#NAME?</v>
      </c>
      <c r="F1255" s="24" t="e">
        <f ca="1">[1]!BexGetData("DP_1","003N8EMH8GTFRCSWKMPXRRRFI","GSON1112061451")</f>
        <v>#NAME?</v>
      </c>
      <c r="G1255" s="24" t="e">
        <f ca="1">[1]!BexGetData("DP_1","003N8EMH8GTFRCSWKMPXRRXR2","GSON1112061451")</f>
        <v>#NAME?</v>
      </c>
      <c r="H1255" s="24" t="e">
        <f ca="1">[1]!BexGetData("DP_1","003N8EMH8GTFRCSWKMPXRS42M","GSON1112061451")</f>
        <v>#NAME?</v>
      </c>
      <c r="I1255" s="24" t="e">
        <f ca="1">[1]!BexGetData("DP_1","003N8EMH8GTFRCSWKMPXRSAE6","GSON1112061451")</f>
        <v>#NAME?</v>
      </c>
      <c r="J1255" s="24" t="e">
        <f ca="1">[1]!BexGetData("DP_1","003N8EMH8GTFRCSWKMPXRSGPQ","GSON1112061451")</f>
        <v>#NAME?</v>
      </c>
      <c r="K1255" s="28" t="e">
        <f ca="1">[1]!BexGetData("DP_1","003N8EMH8GTFRIVNUPY288VJH","GSON1112061451")</f>
        <v>#NAME?</v>
      </c>
      <c r="L1255" s="28" t="e">
        <f ca="1">[1]!BexGetData("DP_1","003N8EMH8GTFRIVNUPY2891V1","GSON1112061451")</f>
        <v>#NAME?</v>
      </c>
      <c r="M1255" s="28" t="e">
        <f ca="1">[1]!BexGetData("DP_1","003N8EMH8GTFRIVOG7KG9IQXA","GSON1112061451")</f>
        <v>#NAME?</v>
      </c>
      <c r="N1255" s="28" t="e">
        <f ca="1">[1]!BexGetData("DP_1","003N8EMH8GTFRIVOG7KG9IX8U","GSON1112061451")</f>
        <v>#NAME?</v>
      </c>
      <c r="O1255" s="28" t="e">
        <f ca="1">[1]!BexGetData("DP_1","003N8EMH8GTFRIVOG7KG9J3KE","GSON1112061451")</f>
        <v>#NAME?</v>
      </c>
      <c r="P1255" s="28" t="e">
        <f ca="1">[1]!BexGetData("DP_1","003N8EMH8GTFRIVOG7KG9J9VY","GSON1112061451")</f>
        <v>#NAME?</v>
      </c>
      <c r="Q1255" s="24" t="e">
        <f ca="1">[1]!BexGetData("DP_1","00O2TNJGODT0G5Z4TTKYMM5MT","GSON1112061451")</f>
        <v>#NAME?</v>
      </c>
      <c r="R1255" s="24" t="e">
        <f ca="1">[1]!BexGetData("DP_1","00O2TNJGODT0G5Z4TTKYMMBYD","GSON1112061451")</f>
        <v>#NAME?</v>
      </c>
      <c r="S1255" s="24" t="e">
        <f ca="1">[1]!BexGetData("DP_1","00O2TNJGODT0G5Z4TTKYMMI9X","GSON1112061451")</f>
        <v>#NAME?</v>
      </c>
      <c r="T1255" s="24" t="e">
        <f ca="1">[1]!BexGetData("DP_1","00O2TNJGODT0G5Z4TTKYMMOLH","GSON1112061451")</f>
        <v>#NAME?</v>
      </c>
      <c r="U1255" s="24" t="e">
        <f ca="1">[1]!BexGetData("DP_1","00O2TNJGODT0G5Z4TTKYMMUX1","GSON1112061451")</f>
        <v>#NAME?</v>
      </c>
      <c r="V1255" s="24" t="e">
        <f ca="1">[1]!BexGetData("DP_1","00O2TNJGODT0G5Z4TTKYMN18L","GSON1112061451")</f>
        <v>#NAME?</v>
      </c>
      <c r="W1255" s="24" t="e">
        <f ca="1">[1]!BexGetData("DP_1","00O2TNJGODT0G5Z4TTKYMN7K5","GSON1112061451")</f>
        <v>#NAME?</v>
      </c>
    </row>
    <row r="1256" spans="1:23" x14ac:dyDescent="0.2">
      <c r="A1256" s="36" t="s">
        <v>3866</v>
      </c>
      <c r="B1256" s="27" t="s">
        <v>3867</v>
      </c>
      <c r="C1256" s="23" t="e">
        <f ca="1">[1]!BexGetData("DP_1","003N8EMH8GTFRCSWKMPXRR8GU","GSON1112061454")</f>
        <v>#NAME?</v>
      </c>
      <c r="D1256" s="23" t="e">
        <f ca="1">[1]!BexGetData("DP_1","003N8EMH8GTFRCSWKMPXRRESE","GSON1112061454")</f>
        <v>#NAME?</v>
      </c>
      <c r="E1256" s="28" t="e">
        <f ca="1">[1]!BexGetData("DP_1","003N8EMH8GTFRCSWKMPXRRL3Y","GSON1112061454")</f>
        <v>#NAME?</v>
      </c>
      <c r="F1256" s="24" t="e">
        <f ca="1">[1]!BexGetData("DP_1","003N8EMH8GTFRCSWKMPXRRRFI","GSON1112061454")</f>
        <v>#NAME?</v>
      </c>
      <c r="G1256" s="24" t="e">
        <f ca="1">[1]!BexGetData("DP_1","003N8EMH8GTFRCSWKMPXRRXR2","GSON1112061454")</f>
        <v>#NAME?</v>
      </c>
      <c r="H1256" s="24" t="e">
        <f ca="1">[1]!BexGetData("DP_1","003N8EMH8GTFRCSWKMPXRS42M","GSON1112061454")</f>
        <v>#NAME?</v>
      </c>
      <c r="I1256" s="24" t="e">
        <f ca="1">[1]!BexGetData("DP_1","003N8EMH8GTFRCSWKMPXRSAE6","GSON1112061454")</f>
        <v>#NAME?</v>
      </c>
      <c r="J1256" s="24" t="e">
        <f ca="1">[1]!BexGetData("DP_1","003N8EMH8GTFRCSWKMPXRSGPQ","GSON1112061454")</f>
        <v>#NAME?</v>
      </c>
      <c r="K1256" s="28" t="e">
        <f ca="1">[1]!BexGetData("DP_1","003N8EMH8GTFRIVNUPY288VJH","GSON1112061454")</f>
        <v>#NAME?</v>
      </c>
      <c r="L1256" s="28" t="e">
        <f ca="1">[1]!BexGetData("DP_1","003N8EMH8GTFRIVNUPY2891V1","GSON1112061454")</f>
        <v>#NAME?</v>
      </c>
      <c r="M1256" s="28" t="e">
        <f ca="1">[1]!BexGetData("DP_1","003N8EMH8GTFRIVOG7KG9IQXA","GSON1112061454")</f>
        <v>#NAME?</v>
      </c>
      <c r="N1256" s="28" t="e">
        <f ca="1">[1]!BexGetData("DP_1","003N8EMH8GTFRIVOG7KG9IX8U","GSON1112061454")</f>
        <v>#NAME?</v>
      </c>
      <c r="O1256" s="28" t="e">
        <f ca="1">[1]!BexGetData("DP_1","003N8EMH8GTFRIVOG7KG9J3KE","GSON1112061454")</f>
        <v>#NAME?</v>
      </c>
      <c r="P1256" s="28" t="e">
        <f ca="1">[1]!BexGetData("DP_1","003N8EMH8GTFRIVOG7KG9J9VY","GSON1112061454")</f>
        <v>#NAME?</v>
      </c>
      <c r="Q1256" s="24" t="e">
        <f ca="1">[1]!BexGetData("DP_1","00O2TNJGODT0G5Z4TTKYMM5MT","GSON1112061454")</f>
        <v>#NAME?</v>
      </c>
      <c r="R1256" s="24" t="e">
        <f ca="1">[1]!BexGetData("DP_1","00O2TNJGODT0G5Z4TTKYMMBYD","GSON1112061454")</f>
        <v>#NAME?</v>
      </c>
      <c r="S1256" s="24" t="e">
        <f ca="1">[1]!BexGetData("DP_1","00O2TNJGODT0G5Z4TTKYMMI9X","GSON1112061454")</f>
        <v>#NAME?</v>
      </c>
      <c r="T1256" s="24" t="e">
        <f ca="1">[1]!BexGetData("DP_1","00O2TNJGODT0G5Z4TTKYMMOLH","GSON1112061454")</f>
        <v>#NAME?</v>
      </c>
      <c r="U1256" s="24" t="e">
        <f ca="1">[1]!BexGetData("DP_1","00O2TNJGODT0G5Z4TTKYMMUX1","GSON1112061454")</f>
        <v>#NAME?</v>
      </c>
      <c r="V1256" s="24" t="e">
        <f ca="1">[1]!BexGetData("DP_1","00O2TNJGODT0G5Z4TTKYMN18L","GSON1112061454")</f>
        <v>#NAME?</v>
      </c>
      <c r="W1256" s="24" t="e">
        <f ca="1">[1]!BexGetData("DP_1","00O2TNJGODT0G5Z4TTKYMN7K5","GSON1112061454")</f>
        <v>#NAME?</v>
      </c>
    </row>
    <row r="1257" spans="1:23" x14ac:dyDescent="0.2">
      <c r="A1257" s="36" t="s">
        <v>3868</v>
      </c>
      <c r="B1257" s="27" t="s">
        <v>3869</v>
      </c>
      <c r="C1257" s="23" t="e">
        <f ca="1">[1]!BexGetData("DP_1","003N8EMH8GTFRCSWKMPXRR8GU","GSON1112061455")</f>
        <v>#NAME?</v>
      </c>
      <c r="D1257" s="23" t="e">
        <f ca="1">[1]!BexGetData("DP_1","003N8EMH8GTFRCSWKMPXRRESE","GSON1112061455")</f>
        <v>#NAME?</v>
      </c>
      <c r="E1257" s="28" t="e">
        <f ca="1">[1]!BexGetData("DP_1","003N8EMH8GTFRCSWKMPXRRL3Y","GSON1112061455")</f>
        <v>#NAME?</v>
      </c>
      <c r="F1257" s="24" t="e">
        <f ca="1">[1]!BexGetData("DP_1","003N8EMH8GTFRCSWKMPXRRRFI","GSON1112061455")</f>
        <v>#NAME?</v>
      </c>
      <c r="G1257" s="24" t="e">
        <f ca="1">[1]!BexGetData("DP_1","003N8EMH8GTFRCSWKMPXRRXR2","GSON1112061455")</f>
        <v>#NAME?</v>
      </c>
      <c r="H1257" s="24" t="e">
        <f ca="1">[1]!BexGetData("DP_1","003N8EMH8GTFRCSWKMPXRS42M","GSON1112061455")</f>
        <v>#NAME?</v>
      </c>
      <c r="I1257" s="24" t="e">
        <f ca="1">[1]!BexGetData("DP_1","003N8EMH8GTFRCSWKMPXRSAE6","GSON1112061455")</f>
        <v>#NAME?</v>
      </c>
      <c r="J1257" s="24" t="e">
        <f ca="1">[1]!BexGetData("DP_1","003N8EMH8GTFRCSWKMPXRSGPQ","GSON1112061455")</f>
        <v>#NAME?</v>
      </c>
      <c r="K1257" s="28" t="e">
        <f ca="1">[1]!BexGetData("DP_1","003N8EMH8GTFRIVNUPY288VJH","GSON1112061455")</f>
        <v>#NAME?</v>
      </c>
      <c r="L1257" s="28" t="e">
        <f ca="1">[1]!BexGetData("DP_1","003N8EMH8GTFRIVNUPY2891V1","GSON1112061455")</f>
        <v>#NAME?</v>
      </c>
      <c r="M1257" s="28" t="e">
        <f ca="1">[1]!BexGetData("DP_1","003N8EMH8GTFRIVOG7KG9IQXA","GSON1112061455")</f>
        <v>#NAME?</v>
      </c>
      <c r="N1257" s="28" t="e">
        <f ca="1">[1]!BexGetData("DP_1","003N8EMH8GTFRIVOG7KG9IX8U","GSON1112061455")</f>
        <v>#NAME?</v>
      </c>
      <c r="O1257" s="28" t="e">
        <f ca="1">[1]!BexGetData("DP_1","003N8EMH8GTFRIVOG7KG9J3KE","GSON1112061455")</f>
        <v>#NAME?</v>
      </c>
      <c r="P1257" s="28" t="e">
        <f ca="1">[1]!BexGetData("DP_1","003N8EMH8GTFRIVOG7KG9J9VY","GSON1112061455")</f>
        <v>#NAME?</v>
      </c>
      <c r="Q1257" s="24" t="e">
        <f ca="1">[1]!BexGetData("DP_1","00O2TNJGODT0G5Z4TTKYMM5MT","GSON1112061455")</f>
        <v>#NAME?</v>
      </c>
      <c r="R1257" s="24" t="e">
        <f ca="1">[1]!BexGetData("DP_1","00O2TNJGODT0G5Z4TTKYMMBYD","GSON1112061455")</f>
        <v>#NAME?</v>
      </c>
      <c r="S1257" s="24" t="e">
        <f ca="1">[1]!BexGetData("DP_1","00O2TNJGODT0G5Z4TTKYMMI9X","GSON1112061455")</f>
        <v>#NAME?</v>
      </c>
      <c r="T1257" s="24" t="e">
        <f ca="1">[1]!BexGetData("DP_1","00O2TNJGODT0G5Z4TTKYMMOLH","GSON1112061455")</f>
        <v>#NAME?</v>
      </c>
      <c r="U1257" s="24" t="e">
        <f ca="1">[1]!BexGetData("DP_1","00O2TNJGODT0G5Z4TTKYMMUX1","GSON1112061455")</f>
        <v>#NAME?</v>
      </c>
      <c r="V1257" s="24" t="e">
        <f ca="1">[1]!BexGetData("DP_1","00O2TNJGODT0G5Z4TTKYMN18L","GSON1112061455")</f>
        <v>#NAME?</v>
      </c>
      <c r="W1257" s="24" t="e">
        <f ca="1">[1]!BexGetData("DP_1","00O2TNJGODT0G5Z4TTKYMN7K5","GSON1112061455")</f>
        <v>#NAME?</v>
      </c>
    </row>
    <row r="1258" spans="1:23" x14ac:dyDescent="0.2">
      <c r="A1258" s="36" t="s">
        <v>3870</v>
      </c>
      <c r="B1258" s="27" t="s">
        <v>3871</v>
      </c>
      <c r="C1258" s="23" t="e">
        <f ca="1">[1]!BexGetData("DP_1","003N8EMH8GTFRCSWKMPXRR8GU","GSON1112061500")</f>
        <v>#NAME?</v>
      </c>
      <c r="D1258" s="28" t="e">
        <f ca="1">[1]!BexGetData("DP_1","003N8EMH8GTFRCSWKMPXRRESE","GSON1112061500")</f>
        <v>#NAME?</v>
      </c>
      <c r="E1258" s="23" t="e">
        <f ca="1">[1]!BexGetData("DP_1","003N8EMH8GTFRCSWKMPXRRL3Y","GSON1112061500")</f>
        <v>#NAME?</v>
      </c>
      <c r="F1258" s="24" t="e">
        <f ca="1">[1]!BexGetData("DP_1","003N8EMH8GTFRCSWKMPXRRRFI","GSON1112061500")</f>
        <v>#NAME?</v>
      </c>
      <c r="G1258" s="24" t="e">
        <f ca="1">[1]!BexGetData("DP_1","003N8EMH8GTFRCSWKMPXRRXR2","GSON1112061500")</f>
        <v>#NAME?</v>
      </c>
      <c r="H1258" s="24" t="e">
        <f ca="1">[1]!BexGetData("DP_1","003N8EMH8GTFRCSWKMPXRS42M","GSON1112061500")</f>
        <v>#NAME?</v>
      </c>
      <c r="I1258" s="24" t="e">
        <f ca="1">[1]!BexGetData("DP_1","003N8EMH8GTFRCSWKMPXRSAE6","GSON1112061500")</f>
        <v>#NAME?</v>
      </c>
      <c r="J1258" s="24" t="e">
        <f ca="1">[1]!BexGetData("DP_1","003N8EMH8GTFRCSWKMPXRSGPQ","GSON1112061500")</f>
        <v>#NAME?</v>
      </c>
      <c r="K1258" s="23" t="e">
        <f ca="1">[1]!BexGetData("DP_1","003N8EMH8GTFRIVNUPY288VJH","GSON1112061500")</f>
        <v>#NAME?</v>
      </c>
      <c r="L1258" s="23" t="e">
        <f ca="1">[1]!BexGetData("DP_1","003N8EMH8GTFRIVNUPY2891V1","GSON1112061500")</f>
        <v>#NAME?</v>
      </c>
      <c r="M1258" s="28" t="e">
        <f ca="1">[1]!BexGetData("DP_1","003N8EMH8GTFRIVOG7KG9IQXA","GSON1112061500")</f>
        <v>#NAME?</v>
      </c>
      <c r="N1258" s="23" t="e">
        <f ca="1">[1]!BexGetData("DP_1","003N8EMH8GTFRIVOG7KG9IX8U","GSON1112061500")</f>
        <v>#NAME?</v>
      </c>
      <c r="O1258" s="28" t="e">
        <f ca="1">[1]!BexGetData("DP_1","003N8EMH8GTFRIVOG7KG9J3KE","GSON1112061500")</f>
        <v>#NAME?</v>
      </c>
      <c r="P1258" s="23" t="e">
        <f ca="1">[1]!BexGetData("DP_1","003N8EMH8GTFRIVOG7KG9J9VY","GSON1112061500")</f>
        <v>#NAME?</v>
      </c>
      <c r="Q1258" s="24" t="e">
        <f ca="1">[1]!BexGetData("DP_1","00O2TNJGODT0G5Z4TTKYMM5MT","GSON1112061500")</f>
        <v>#NAME?</v>
      </c>
      <c r="R1258" s="24" t="e">
        <f ca="1">[1]!BexGetData("DP_1","00O2TNJGODT0G5Z4TTKYMMBYD","GSON1112061500")</f>
        <v>#NAME?</v>
      </c>
      <c r="S1258" s="24" t="e">
        <f ca="1">[1]!BexGetData("DP_1","00O2TNJGODT0G5Z4TTKYMMI9X","GSON1112061500")</f>
        <v>#NAME?</v>
      </c>
      <c r="T1258" s="24" t="e">
        <f ca="1">[1]!BexGetData("DP_1","00O2TNJGODT0G5Z4TTKYMMOLH","GSON1112061500")</f>
        <v>#NAME?</v>
      </c>
      <c r="U1258" s="24" t="e">
        <f ca="1">[1]!BexGetData("DP_1","00O2TNJGODT0G5Z4TTKYMMUX1","GSON1112061500")</f>
        <v>#NAME?</v>
      </c>
      <c r="V1258" s="24" t="e">
        <f ca="1">[1]!BexGetData("DP_1","00O2TNJGODT0G5Z4TTKYMN18L","GSON1112061500")</f>
        <v>#NAME?</v>
      </c>
      <c r="W1258" s="24" t="e">
        <f ca="1">[1]!BexGetData("DP_1","00O2TNJGODT0G5Z4TTKYMN7K5","GSON1112061500")</f>
        <v>#NAME?</v>
      </c>
    </row>
    <row r="1259" spans="1:23" x14ac:dyDescent="0.2">
      <c r="A1259" s="36" t="s">
        <v>3872</v>
      </c>
      <c r="B1259" s="27" t="s">
        <v>3873</v>
      </c>
      <c r="C1259" s="23" t="e">
        <f ca="1">[1]!BexGetData("DP_1","003N8EMH8GTFRCSWKMPXRR8GU","GSON1112061501")</f>
        <v>#NAME?</v>
      </c>
      <c r="D1259" s="23" t="e">
        <f ca="1">[1]!BexGetData("DP_1","003N8EMH8GTFRCSWKMPXRRESE","GSON1112061501")</f>
        <v>#NAME?</v>
      </c>
      <c r="E1259" s="28" t="e">
        <f ca="1">[1]!BexGetData("DP_1","003N8EMH8GTFRCSWKMPXRRL3Y","GSON1112061501")</f>
        <v>#NAME?</v>
      </c>
      <c r="F1259" s="24" t="e">
        <f ca="1">[1]!BexGetData("DP_1","003N8EMH8GTFRCSWKMPXRRRFI","GSON1112061501")</f>
        <v>#NAME?</v>
      </c>
      <c r="G1259" s="24" t="e">
        <f ca="1">[1]!BexGetData("DP_1","003N8EMH8GTFRCSWKMPXRRXR2","GSON1112061501")</f>
        <v>#NAME?</v>
      </c>
      <c r="H1259" s="24" t="e">
        <f ca="1">[1]!BexGetData("DP_1","003N8EMH8GTFRCSWKMPXRS42M","GSON1112061501")</f>
        <v>#NAME?</v>
      </c>
      <c r="I1259" s="24" t="e">
        <f ca="1">[1]!BexGetData("DP_1","003N8EMH8GTFRCSWKMPXRSAE6","GSON1112061501")</f>
        <v>#NAME?</v>
      </c>
      <c r="J1259" s="24" t="e">
        <f ca="1">[1]!BexGetData("DP_1","003N8EMH8GTFRCSWKMPXRSGPQ","GSON1112061501")</f>
        <v>#NAME?</v>
      </c>
      <c r="K1259" s="28" t="e">
        <f ca="1">[1]!BexGetData("DP_1","003N8EMH8GTFRIVNUPY288VJH","GSON1112061501")</f>
        <v>#NAME?</v>
      </c>
      <c r="L1259" s="28" t="e">
        <f ca="1">[1]!BexGetData("DP_1","003N8EMH8GTFRIVNUPY2891V1","GSON1112061501")</f>
        <v>#NAME?</v>
      </c>
      <c r="M1259" s="28" t="e">
        <f ca="1">[1]!BexGetData("DP_1","003N8EMH8GTFRIVOG7KG9IQXA","GSON1112061501")</f>
        <v>#NAME?</v>
      </c>
      <c r="N1259" s="28" t="e">
        <f ca="1">[1]!BexGetData("DP_1","003N8EMH8GTFRIVOG7KG9IX8U","GSON1112061501")</f>
        <v>#NAME?</v>
      </c>
      <c r="O1259" s="28" t="e">
        <f ca="1">[1]!BexGetData("DP_1","003N8EMH8GTFRIVOG7KG9J3KE","GSON1112061501")</f>
        <v>#NAME?</v>
      </c>
      <c r="P1259" s="28" t="e">
        <f ca="1">[1]!BexGetData("DP_1","003N8EMH8GTFRIVOG7KG9J9VY","GSON1112061501")</f>
        <v>#NAME?</v>
      </c>
      <c r="Q1259" s="24" t="e">
        <f ca="1">[1]!BexGetData("DP_1","00O2TNJGODT0G5Z4TTKYMM5MT","GSON1112061501")</f>
        <v>#NAME?</v>
      </c>
      <c r="R1259" s="24" t="e">
        <f ca="1">[1]!BexGetData("DP_1","00O2TNJGODT0G5Z4TTKYMMBYD","GSON1112061501")</f>
        <v>#NAME?</v>
      </c>
      <c r="S1259" s="24" t="e">
        <f ca="1">[1]!BexGetData("DP_1","00O2TNJGODT0G5Z4TTKYMMI9X","GSON1112061501")</f>
        <v>#NAME?</v>
      </c>
      <c r="T1259" s="24" t="e">
        <f ca="1">[1]!BexGetData("DP_1","00O2TNJGODT0G5Z4TTKYMMOLH","GSON1112061501")</f>
        <v>#NAME?</v>
      </c>
      <c r="U1259" s="24" t="e">
        <f ca="1">[1]!BexGetData("DP_1","00O2TNJGODT0G5Z4TTKYMMUX1","GSON1112061501")</f>
        <v>#NAME?</v>
      </c>
      <c r="V1259" s="24" t="e">
        <f ca="1">[1]!BexGetData("DP_1","00O2TNJGODT0G5Z4TTKYMN18L","GSON1112061501")</f>
        <v>#NAME?</v>
      </c>
      <c r="W1259" s="24" t="e">
        <f ca="1">[1]!BexGetData("DP_1","00O2TNJGODT0G5Z4TTKYMN7K5","GSON1112061501")</f>
        <v>#NAME?</v>
      </c>
    </row>
    <row r="1260" spans="1:23" x14ac:dyDescent="0.2">
      <c r="A1260" s="36" t="s">
        <v>3874</v>
      </c>
      <c r="B1260" s="27" t="s">
        <v>3875</v>
      </c>
      <c r="C1260" s="23" t="e">
        <f ca="1">[1]!BexGetData("DP_1","003N8EMH8GTFRCSWKMPXRR8GU","GSON1112061510")</f>
        <v>#NAME?</v>
      </c>
      <c r="D1260" s="28" t="e">
        <f ca="1">[1]!BexGetData("DP_1","003N8EMH8GTFRCSWKMPXRRESE","GSON1112061510")</f>
        <v>#NAME?</v>
      </c>
      <c r="E1260" s="23" t="e">
        <f ca="1">[1]!BexGetData("DP_1","003N8EMH8GTFRCSWKMPXRRL3Y","GSON1112061510")</f>
        <v>#NAME?</v>
      </c>
      <c r="F1260" s="24" t="e">
        <f ca="1">[1]!BexGetData("DP_1","003N8EMH8GTFRCSWKMPXRRRFI","GSON1112061510")</f>
        <v>#NAME?</v>
      </c>
      <c r="G1260" s="24" t="e">
        <f ca="1">[1]!BexGetData("DP_1","003N8EMH8GTFRCSWKMPXRRXR2","GSON1112061510")</f>
        <v>#NAME?</v>
      </c>
      <c r="H1260" s="24" t="e">
        <f ca="1">[1]!BexGetData("DP_1","003N8EMH8GTFRCSWKMPXRS42M","GSON1112061510")</f>
        <v>#NAME?</v>
      </c>
      <c r="I1260" s="24" t="e">
        <f ca="1">[1]!BexGetData("DP_1","003N8EMH8GTFRCSWKMPXRSAE6","GSON1112061510")</f>
        <v>#NAME?</v>
      </c>
      <c r="J1260" s="24" t="e">
        <f ca="1">[1]!BexGetData("DP_1","003N8EMH8GTFRCSWKMPXRSGPQ","GSON1112061510")</f>
        <v>#NAME?</v>
      </c>
      <c r="K1260" s="23" t="e">
        <f ca="1">[1]!BexGetData("DP_1","003N8EMH8GTFRIVNUPY288VJH","GSON1112061510")</f>
        <v>#NAME?</v>
      </c>
      <c r="L1260" s="23" t="e">
        <f ca="1">[1]!BexGetData("DP_1","003N8EMH8GTFRIVNUPY2891V1","GSON1112061510")</f>
        <v>#NAME?</v>
      </c>
      <c r="M1260" s="28" t="e">
        <f ca="1">[1]!BexGetData("DP_1","003N8EMH8GTFRIVOG7KG9IQXA","GSON1112061510")</f>
        <v>#NAME?</v>
      </c>
      <c r="N1260" s="23" t="e">
        <f ca="1">[1]!BexGetData("DP_1","003N8EMH8GTFRIVOG7KG9IX8U","GSON1112061510")</f>
        <v>#NAME?</v>
      </c>
      <c r="O1260" s="28" t="e">
        <f ca="1">[1]!BexGetData("DP_1","003N8EMH8GTFRIVOG7KG9J3KE","GSON1112061510")</f>
        <v>#NAME?</v>
      </c>
      <c r="P1260" s="23" t="e">
        <f ca="1">[1]!BexGetData("DP_1","003N8EMH8GTFRIVOG7KG9J9VY","GSON1112061510")</f>
        <v>#NAME?</v>
      </c>
      <c r="Q1260" s="24" t="e">
        <f ca="1">[1]!BexGetData("DP_1","00O2TNJGODT0G5Z4TTKYMM5MT","GSON1112061510")</f>
        <v>#NAME?</v>
      </c>
      <c r="R1260" s="24" t="e">
        <f ca="1">[1]!BexGetData("DP_1","00O2TNJGODT0G5Z4TTKYMMBYD","GSON1112061510")</f>
        <v>#NAME?</v>
      </c>
      <c r="S1260" s="24" t="e">
        <f ca="1">[1]!BexGetData("DP_1","00O2TNJGODT0G5Z4TTKYMMI9X","GSON1112061510")</f>
        <v>#NAME?</v>
      </c>
      <c r="T1260" s="24" t="e">
        <f ca="1">[1]!BexGetData("DP_1","00O2TNJGODT0G5Z4TTKYMMOLH","GSON1112061510")</f>
        <v>#NAME?</v>
      </c>
      <c r="U1260" s="24" t="e">
        <f ca="1">[1]!BexGetData("DP_1","00O2TNJGODT0G5Z4TTKYMMUX1","GSON1112061510")</f>
        <v>#NAME?</v>
      </c>
      <c r="V1260" s="24" t="e">
        <f ca="1">[1]!BexGetData("DP_1","00O2TNJGODT0G5Z4TTKYMN18L","GSON1112061510")</f>
        <v>#NAME?</v>
      </c>
      <c r="W1260" s="24" t="e">
        <f ca="1">[1]!BexGetData("DP_1","00O2TNJGODT0G5Z4TTKYMN7K5","GSON1112061510")</f>
        <v>#NAME?</v>
      </c>
    </row>
    <row r="1261" spans="1:23" x14ac:dyDescent="0.2">
      <c r="A1261" s="36" t="s">
        <v>3876</v>
      </c>
      <c r="B1261" s="27" t="s">
        <v>3877</v>
      </c>
      <c r="C1261" s="23" t="e">
        <f ca="1">[1]!BexGetData("DP_1","003N8EMH8GTFRCSWKMPXRR8GU","GSON1112061511")</f>
        <v>#NAME?</v>
      </c>
      <c r="D1261" s="23" t="e">
        <f ca="1">[1]!BexGetData("DP_1","003N8EMH8GTFRCSWKMPXRRESE","GSON1112061511")</f>
        <v>#NAME?</v>
      </c>
      <c r="E1261" s="28" t="e">
        <f ca="1">[1]!BexGetData("DP_1","003N8EMH8GTFRCSWKMPXRRL3Y","GSON1112061511")</f>
        <v>#NAME?</v>
      </c>
      <c r="F1261" s="24" t="e">
        <f ca="1">[1]!BexGetData("DP_1","003N8EMH8GTFRCSWKMPXRRRFI","GSON1112061511")</f>
        <v>#NAME?</v>
      </c>
      <c r="G1261" s="24" t="e">
        <f ca="1">[1]!BexGetData("DP_1","003N8EMH8GTFRCSWKMPXRRXR2","GSON1112061511")</f>
        <v>#NAME?</v>
      </c>
      <c r="H1261" s="24" t="e">
        <f ca="1">[1]!BexGetData("DP_1","003N8EMH8GTFRCSWKMPXRS42M","GSON1112061511")</f>
        <v>#NAME?</v>
      </c>
      <c r="I1261" s="24" t="e">
        <f ca="1">[1]!BexGetData("DP_1","003N8EMH8GTFRCSWKMPXRSAE6","GSON1112061511")</f>
        <v>#NAME?</v>
      </c>
      <c r="J1261" s="24" t="e">
        <f ca="1">[1]!BexGetData("DP_1","003N8EMH8GTFRCSWKMPXRSGPQ","GSON1112061511")</f>
        <v>#NAME?</v>
      </c>
      <c r="K1261" s="28" t="e">
        <f ca="1">[1]!BexGetData("DP_1","003N8EMH8GTFRIVNUPY288VJH","GSON1112061511")</f>
        <v>#NAME?</v>
      </c>
      <c r="L1261" s="28" t="e">
        <f ca="1">[1]!BexGetData("DP_1","003N8EMH8GTFRIVNUPY2891V1","GSON1112061511")</f>
        <v>#NAME?</v>
      </c>
      <c r="M1261" s="28" t="e">
        <f ca="1">[1]!BexGetData("DP_1","003N8EMH8GTFRIVOG7KG9IQXA","GSON1112061511")</f>
        <v>#NAME?</v>
      </c>
      <c r="N1261" s="28" t="e">
        <f ca="1">[1]!BexGetData("DP_1","003N8EMH8GTFRIVOG7KG9IX8U","GSON1112061511")</f>
        <v>#NAME?</v>
      </c>
      <c r="O1261" s="28" t="e">
        <f ca="1">[1]!BexGetData("DP_1","003N8EMH8GTFRIVOG7KG9J3KE","GSON1112061511")</f>
        <v>#NAME?</v>
      </c>
      <c r="P1261" s="28" t="e">
        <f ca="1">[1]!BexGetData("DP_1","003N8EMH8GTFRIVOG7KG9J9VY","GSON1112061511")</f>
        <v>#NAME?</v>
      </c>
      <c r="Q1261" s="24" t="e">
        <f ca="1">[1]!BexGetData("DP_1","00O2TNJGODT0G5Z4TTKYMM5MT","GSON1112061511")</f>
        <v>#NAME?</v>
      </c>
      <c r="R1261" s="24" t="e">
        <f ca="1">[1]!BexGetData("DP_1","00O2TNJGODT0G5Z4TTKYMMBYD","GSON1112061511")</f>
        <v>#NAME?</v>
      </c>
      <c r="S1261" s="24" t="e">
        <f ca="1">[1]!BexGetData("DP_1","00O2TNJGODT0G5Z4TTKYMMI9X","GSON1112061511")</f>
        <v>#NAME?</v>
      </c>
      <c r="T1261" s="24" t="e">
        <f ca="1">[1]!BexGetData("DP_1","00O2TNJGODT0G5Z4TTKYMMOLH","GSON1112061511")</f>
        <v>#NAME?</v>
      </c>
      <c r="U1261" s="24" t="e">
        <f ca="1">[1]!BexGetData("DP_1","00O2TNJGODT0G5Z4TTKYMMUX1","GSON1112061511")</f>
        <v>#NAME?</v>
      </c>
      <c r="V1261" s="24" t="e">
        <f ca="1">[1]!BexGetData("DP_1","00O2TNJGODT0G5Z4TTKYMN18L","GSON1112061511")</f>
        <v>#NAME?</v>
      </c>
      <c r="W1261" s="24" t="e">
        <f ca="1">[1]!BexGetData("DP_1","00O2TNJGODT0G5Z4TTKYMN7K5","GSON1112061511")</f>
        <v>#NAME?</v>
      </c>
    </row>
    <row r="1262" spans="1:23" x14ac:dyDescent="0.2">
      <c r="A1262" s="36" t="s">
        <v>3878</v>
      </c>
      <c r="B1262" s="27" t="s">
        <v>3879</v>
      </c>
      <c r="C1262" s="23" t="e">
        <f ca="1">[1]!BexGetData("DP_1","003N8EMH8GTFRCSWKMPXRR8GU","GSON1112061520")</f>
        <v>#NAME?</v>
      </c>
      <c r="D1262" s="28" t="e">
        <f ca="1">[1]!BexGetData("DP_1","003N8EMH8GTFRCSWKMPXRRESE","GSON1112061520")</f>
        <v>#NAME?</v>
      </c>
      <c r="E1262" s="23" t="e">
        <f ca="1">[1]!BexGetData("DP_1","003N8EMH8GTFRCSWKMPXRRL3Y","GSON1112061520")</f>
        <v>#NAME?</v>
      </c>
      <c r="F1262" s="24" t="e">
        <f ca="1">[1]!BexGetData("DP_1","003N8EMH8GTFRCSWKMPXRRRFI","GSON1112061520")</f>
        <v>#NAME?</v>
      </c>
      <c r="G1262" s="24" t="e">
        <f ca="1">[1]!BexGetData("DP_1","003N8EMH8GTFRCSWKMPXRRXR2","GSON1112061520")</f>
        <v>#NAME?</v>
      </c>
      <c r="H1262" s="24" t="e">
        <f ca="1">[1]!BexGetData("DP_1","003N8EMH8GTFRCSWKMPXRS42M","GSON1112061520")</f>
        <v>#NAME?</v>
      </c>
      <c r="I1262" s="24" t="e">
        <f ca="1">[1]!BexGetData("DP_1","003N8EMH8GTFRCSWKMPXRSAE6","GSON1112061520")</f>
        <v>#NAME?</v>
      </c>
      <c r="J1262" s="24" t="e">
        <f ca="1">[1]!BexGetData("DP_1","003N8EMH8GTFRCSWKMPXRSGPQ","GSON1112061520")</f>
        <v>#NAME?</v>
      </c>
      <c r="K1262" s="23" t="e">
        <f ca="1">[1]!BexGetData("DP_1","003N8EMH8GTFRIVNUPY288VJH","GSON1112061520")</f>
        <v>#NAME?</v>
      </c>
      <c r="L1262" s="23" t="e">
        <f ca="1">[1]!BexGetData("DP_1","003N8EMH8GTFRIVNUPY2891V1","GSON1112061520")</f>
        <v>#NAME?</v>
      </c>
      <c r="M1262" s="28" t="e">
        <f ca="1">[1]!BexGetData("DP_1","003N8EMH8GTFRIVOG7KG9IQXA","GSON1112061520")</f>
        <v>#NAME?</v>
      </c>
      <c r="N1262" s="23" t="e">
        <f ca="1">[1]!BexGetData("DP_1","003N8EMH8GTFRIVOG7KG9IX8U","GSON1112061520")</f>
        <v>#NAME?</v>
      </c>
      <c r="O1262" s="28" t="e">
        <f ca="1">[1]!BexGetData("DP_1","003N8EMH8GTFRIVOG7KG9J3KE","GSON1112061520")</f>
        <v>#NAME?</v>
      </c>
      <c r="P1262" s="23" t="e">
        <f ca="1">[1]!BexGetData("DP_1","003N8EMH8GTFRIVOG7KG9J9VY","GSON1112061520")</f>
        <v>#NAME?</v>
      </c>
      <c r="Q1262" s="24" t="e">
        <f ca="1">[1]!BexGetData("DP_1","00O2TNJGODT0G5Z4TTKYMM5MT","GSON1112061520")</f>
        <v>#NAME?</v>
      </c>
      <c r="R1262" s="24" t="e">
        <f ca="1">[1]!BexGetData("DP_1","00O2TNJGODT0G5Z4TTKYMMBYD","GSON1112061520")</f>
        <v>#NAME?</v>
      </c>
      <c r="S1262" s="24" t="e">
        <f ca="1">[1]!BexGetData("DP_1","00O2TNJGODT0G5Z4TTKYMMI9X","GSON1112061520")</f>
        <v>#NAME?</v>
      </c>
      <c r="T1262" s="24" t="e">
        <f ca="1">[1]!BexGetData("DP_1","00O2TNJGODT0G5Z4TTKYMMOLH","GSON1112061520")</f>
        <v>#NAME?</v>
      </c>
      <c r="U1262" s="24" t="e">
        <f ca="1">[1]!BexGetData("DP_1","00O2TNJGODT0G5Z4TTKYMMUX1","GSON1112061520")</f>
        <v>#NAME?</v>
      </c>
      <c r="V1262" s="24" t="e">
        <f ca="1">[1]!BexGetData("DP_1","00O2TNJGODT0G5Z4TTKYMN18L","GSON1112061520")</f>
        <v>#NAME?</v>
      </c>
      <c r="W1262" s="24" t="e">
        <f ca="1">[1]!BexGetData("DP_1","00O2TNJGODT0G5Z4TTKYMN7K5","GSON1112061520")</f>
        <v>#NAME?</v>
      </c>
    </row>
    <row r="1263" spans="1:23" x14ac:dyDescent="0.2">
      <c r="A1263" s="36" t="s">
        <v>3880</v>
      </c>
      <c r="B1263" s="27" t="s">
        <v>3881</v>
      </c>
      <c r="C1263" s="23" t="e">
        <f ca="1">[1]!BexGetData("DP_1","003N8EMH8GTFRCSWKMPXRR8GU","GSON1112061521")</f>
        <v>#NAME?</v>
      </c>
      <c r="D1263" s="23" t="e">
        <f ca="1">[1]!BexGetData("DP_1","003N8EMH8GTFRCSWKMPXRRESE","GSON1112061521")</f>
        <v>#NAME?</v>
      </c>
      <c r="E1263" s="28" t="e">
        <f ca="1">[1]!BexGetData("DP_1","003N8EMH8GTFRCSWKMPXRRL3Y","GSON1112061521")</f>
        <v>#NAME?</v>
      </c>
      <c r="F1263" s="24" t="e">
        <f ca="1">[1]!BexGetData("DP_1","003N8EMH8GTFRCSWKMPXRRRFI","GSON1112061521")</f>
        <v>#NAME?</v>
      </c>
      <c r="G1263" s="24" t="e">
        <f ca="1">[1]!BexGetData("DP_1","003N8EMH8GTFRCSWKMPXRRXR2","GSON1112061521")</f>
        <v>#NAME?</v>
      </c>
      <c r="H1263" s="24" t="e">
        <f ca="1">[1]!BexGetData("DP_1","003N8EMH8GTFRCSWKMPXRS42M","GSON1112061521")</f>
        <v>#NAME?</v>
      </c>
      <c r="I1263" s="24" t="e">
        <f ca="1">[1]!BexGetData("DP_1","003N8EMH8GTFRCSWKMPXRSAE6","GSON1112061521")</f>
        <v>#NAME?</v>
      </c>
      <c r="J1263" s="24" t="e">
        <f ca="1">[1]!BexGetData("DP_1","003N8EMH8GTFRCSWKMPXRSGPQ","GSON1112061521")</f>
        <v>#NAME?</v>
      </c>
      <c r="K1263" s="28" t="e">
        <f ca="1">[1]!BexGetData("DP_1","003N8EMH8GTFRIVNUPY288VJH","GSON1112061521")</f>
        <v>#NAME?</v>
      </c>
      <c r="L1263" s="28" t="e">
        <f ca="1">[1]!BexGetData("DP_1","003N8EMH8GTFRIVNUPY2891V1","GSON1112061521")</f>
        <v>#NAME?</v>
      </c>
      <c r="M1263" s="28" t="e">
        <f ca="1">[1]!BexGetData("DP_1","003N8EMH8GTFRIVOG7KG9IQXA","GSON1112061521")</f>
        <v>#NAME?</v>
      </c>
      <c r="N1263" s="28" t="e">
        <f ca="1">[1]!BexGetData("DP_1","003N8EMH8GTFRIVOG7KG9IX8U","GSON1112061521")</f>
        <v>#NAME?</v>
      </c>
      <c r="O1263" s="28" t="e">
        <f ca="1">[1]!BexGetData("DP_1","003N8EMH8GTFRIVOG7KG9J3KE","GSON1112061521")</f>
        <v>#NAME?</v>
      </c>
      <c r="P1263" s="28" t="e">
        <f ca="1">[1]!BexGetData("DP_1","003N8EMH8GTFRIVOG7KG9J9VY","GSON1112061521")</f>
        <v>#NAME?</v>
      </c>
      <c r="Q1263" s="24" t="e">
        <f ca="1">[1]!BexGetData("DP_1","00O2TNJGODT0G5Z4TTKYMM5MT","GSON1112061521")</f>
        <v>#NAME?</v>
      </c>
      <c r="R1263" s="24" t="e">
        <f ca="1">[1]!BexGetData("DP_1","00O2TNJGODT0G5Z4TTKYMMBYD","GSON1112061521")</f>
        <v>#NAME?</v>
      </c>
      <c r="S1263" s="24" t="e">
        <f ca="1">[1]!BexGetData("DP_1","00O2TNJGODT0G5Z4TTKYMMI9X","GSON1112061521")</f>
        <v>#NAME?</v>
      </c>
      <c r="T1263" s="24" t="e">
        <f ca="1">[1]!BexGetData("DP_1","00O2TNJGODT0G5Z4TTKYMMOLH","GSON1112061521")</f>
        <v>#NAME?</v>
      </c>
      <c r="U1263" s="24" t="e">
        <f ca="1">[1]!BexGetData("DP_1","00O2TNJGODT0G5Z4TTKYMMUX1","GSON1112061521")</f>
        <v>#NAME?</v>
      </c>
      <c r="V1263" s="24" t="e">
        <f ca="1">[1]!BexGetData("DP_1","00O2TNJGODT0G5Z4TTKYMN18L","GSON1112061521")</f>
        <v>#NAME?</v>
      </c>
      <c r="W1263" s="24" t="e">
        <f ca="1">[1]!BexGetData("DP_1","00O2TNJGODT0G5Z4TTKYMN7K5","GSON1112061521")</f>
        <v>#NAME?</v>
      </c>
    </row>
    <row r="1264" spans="1:23" x14ac:dyDescent="0.2">
      <c r="A1264" s="36" t="s">
        <v>3882</v>
      </c>
      <c r="B1264" s="27" t="s">
        <v>3883</v>
      </c>
      <c r="C1264" s="23" t="e">
        <f ca="1">[1]!BexGetData("DP_1","003N8EMH8GTFRCSWKMPXRR8GU","GSON1112061530")</f>
        <v>#NAME?</v>
      </c>
      <c r="D1264" s="28" t="e">
        <f ca="1">[1]!BexGetData("DP_1","003N8EMH8GTFRCSWKMPXRRESE","GSON1112061530")</f>
        <v>#NAME?</v>
      </c>
      <c r="E1264" s="23" t="e">
        <f ca="1">[1]!BexGetData("DP_1","003N8EMH8GTFRCSWKMPXRRL3Y","GSON1112061530")</f>
        <v>#NAME?</v>
      </c>
      <c r="F1264" s="24" t="e">
        <f ca="1">[1]!BexGetData("DP_1","003N8EMH8GTFRCSWKMPXRRRFI","GSON1112061530")</f>
        <v>#NAME?</v>
      </c>
      <c r="G1264" s="24" t="e">
        <f ca="1">[1]!BexGetData("DP_1","003N8EMH8GTFRCSWKMPXRRXR2","GSON1112061530")</f>
        <v>#NAME?</v>
      </c>
      <c r="H1264" s="24" t="e">
        <f ca="1">[1]!BexGetData("DP_1","003N8EMH8GTFRCSWKMPXRS42M","GSON1112061530")</f>
        <v>#NAME?</v>
      </c>
      <c r="I1264" s="24" t="e">
        <f ca="1">[1]!BexGetData("DP_1","003N8EMH8GTFRCSWKMPXRSAE6","GSON1112061530")</f>
        <v>#NAME?</v>
      </c>
      <c r="J1264" s="24" t="e">
        <f ca="1">[1]!BexGetData("DP_1","003N8EMH8GTFRCSWKMPXRSGPQ","GSON1112061530")</f>
        <v>#NAME?</v>
      </c>
      <c r="K1264" s="23" t="e">
        <f ca="1">[1]!BexGetData("DP_1","003N8EMH8GTFRIVNUPY288VJH","GSON1112061530")</f>
        <v>#NAME?</v>
      </c>
      <c r="L1264" s="23" t="e">
        <f ca="1">[1]!BexGetData("DP_1","003N8EMH8GTFRIVNUPY2891V1","GSON1112061530")</f>
        <v>#NAME?</v>
      </c>
      <c r="M1264" s="28" t="e">
        <f ca="1">[1]!BexGetData("DP_1","003N8EMH8GTFRIVOG7KG9IQXA","GSON1112061530")</f>
        <v>#NAME?</v>
      </c>
      <c r="N1264" s="23" t="e">
        <f ca="1">[1]!BexGetData("DP_1","003N8EMH8GTFRIVOG7KG9IX8U","GSON1112061530")</f>
        <v>#NAME?</v>
      </c>
      <c r="O1264" s="28" t="e">
        <f ca="1">[1]!BexGetData("DP_1","003N8EMH8GTFRIVOG7KG9J3KE","GSON1112061530")</f>
        <v>#NAME?</v>
      </c>
      <c r="P1264" s="23" t="e">
        <f ca="1">[1]!BexGetData("DP_1","003N8EMH8GTFRIVOG7KG9J9VY","GSON1112061530")</f>
        <v>#NAME?</v>
      </c>
      <c r="Q1264" s="24" t="e">
        <f ca="1">[1]!BexGetData("DP_1","00O2TNJGODT0G5Z4TTKYMM5MT","GSON1112061530")</f>
        <v>#NAME?</v>
      </c>
      <c r="R1264" s="24" t="e">
        <f ca="1">[1]!BexGetData("DP_1","00O2TNJGODT0G5Z4TTKYMMBYD","GSON1112061530")</f>
        <v>#NAME?</v>
      </c>
      <c r="S1264" s="24" t="e">
        <f ca="1">[1]!BexGetData("DP_1","00O2TNJGODT0G5Z4TTKYMMI9X","GSON1112061530")</f>
        <v>#NAME?</v>
      </c>
      <c r="T1264" s="24" t="e">
        <f ca="1">[1]!BexGetData("DP_1","00O2TNJGODT0G5Z4TTKYMMOLH","GSON1112061530")</f>
        <v>#NAME?</v>
      </c>
      <c r="U1264" s="24" t="e">
        <f ca="1">[1]!BexGetData("DP_1","00O2TNJGODT0G5Z4TTKYMMUX1","GSON1112061530")</f>
        <v>#NAME?</v>
      </c>
      <c r="V1264" s="24" t="e">
        <f ca="1">[1]!BexGetData("DP_1","00O2TNJGODT0G5Z4TTKYMN18L","GSON1112061530")</f>
        <v>#NAME?</v>
      </c>
      <c r="W1264" s="24" t="e">
        <f ca="1">[1]!BexGetData("DP_1","00O2TNJGODT0G5Z4TTKYMN7K5","GSON1112061530")</f>
        <v>#NAME?</v>
      </c>
    </row>
    <row r="1265" spans="1:23" x14ac:dyDescent="0.2">
      <c r="A1265" s="36" t="s">
        <v>3884</v>
      </c>
      <c r="B1265" s="27" t="s">
        <v>3885</v>
      </c>
      <c r="C1265" s="23" t="e">
        <f ca="1">[1]!BexGetData("DP_1","003N8EMH8GTFRCSWKMPXRR8GU","GSON1112061534")</f>
        <v>#NAME?</v>
      </c>
      <c r="D1265" s="23" t="e">
        <f ca="1">[1]!BexGetData("DP_1","003N8EMH8GTFRCSWKMPXRRESE","GSON1112061534")</f>
        <v>#NAME?</v>
      </c>
      <c r="E1265" s="28" t="e">
        <f ca="1">[1]!BexGetData("DP_1","003N8EMH8GTFRCSWKMPXRRL3Y","GSON1112061534")</f>
        <v>#NAME?</v>
      </c>
      <c r="F1265" s="24" t="e">
        <f ca="1">[1]!BexGetData("DP_1","003N8EMH8GTFRCSWKMPXRRRFI","GSON1112061534")</f>
        <v>#NAME?</v>
      </c>
      <c r="G1265" s="24" t="e">
        <f ca="1">[1]!BexGetData("DP_1","003N8EMH8GTFRCSWKMPXRRXR2","GSON1112061534")</f>
        <v>#NAME?</v>
      </c>
      <c r="H1265" s="24" t="e">
        <f ca="1">[1]!BexGetData("DP_1","003N8EMH8GTFRCSWKMPXRS42M","GSON1112061534")</f>
        <v>#NAME?</v>
      </c>
      <c r="I1265" s="24" t="e">
        <f ca="1">[1]!BexGetData("DP_1","003N8EMH8GTFRCSWKMPXRSAE6","GSON1112061534")</f>
        <v>#NAME?</v>
      </c>
      <c r="J1265" s="24" t="e">
        <f ca="1">[1]!BexGetData("DP_1","003N8EMH8GTFRCSWKMPXRSGPQ","GSON1112061534")</f>
        <v>#NAME?</v>
      </c>
      <c r="K1265" s="28" t="e">
        <f ca="1">[1]!BexGetData("DP_1","003N8EMH8GTFRIVNUPY288VJH","GSON1112061534")</f>
        <v>#NAME?</v>
      </c>
      <c r="L1265" s="28" t="e">
        <f ca="1">[1]!BexGetData("DP_1","003N8EMH8GTFRIVNUPY2891V1","GSON1112061534")</f>
        <v>#NAME?</v>
      </c>
      <c r="M1265" s="28" t="e">
        <f ca="1">[1]!BexGetData("DP_1","003N8EMH8GTFRIVOG7KG9IQXA","GSON1112061534")</f>
        <v>#NAME?</v>
      </c>
      <c r="N1265" s="28" t="e">
        <f ca="1">[1]!BexGetData("DP_1","003N8EMH8GTFRIVOG7KG9IX8U","GSON1112061534")</f>
        <v>#NAME?</v>
      </c>
      <c r="O1265" s="28" t="e">
        <f ca="1">[1]!BexGetData("DP_1","003N8EMH8GTFRIVOG7KG9J3KE","GSON1112061534")</f>
        <v>#NAME?</v>
      </c>
      <c r="P1265" s="28" t="e">
        <f ca="1">[1]!BexGetData("DP_1","003N8EMH8GTFRIVOG7KG9J9VY","GSON1112061534")</f>
        <v>#NAME?</v>
      </c>
      <c r="Q1265" s="24" t="e">
        <f ca="1">[1]!BexGetData("DP_1","00O2TNJGODT0G5Z4TTKYMM5MT","GSON1112061534")</f>
        <v>#NAME?</v>
      </c>
      <c r="R1265" s="24" t="e">
        <f ca="1">[1]!BexGetData("DP_1","00O2TNJGODT0G5Z4TTKYMMBYD","GSON1112061534")</f>
        <v>#NAME?</v>
      </c>
      <c r="S1265" s="24" t="e">
        <f ca="1">[1]!BexGetData("DP_1","00O2TNJGODT0G5Z4TTKYMMI9X","GSON1112061534")</f>
        <v>#NAME?</v>
      </c>
      <c r="T1265" s="24" t="e">
        <f ca="1">[1]!BexGetData("DP_1","00O2TNJGODT0G5Z4TTKYMMOLH","GSON1112061534")</f>
        <v>#NAME?</v>
      </c>
      <c r="U1265" s="24" t="e">
        <f ca="1">[1]!BexGetData("DP_1","00O2TNJGODT0G5Z4TTKYMMUX1","GSON1112061534")</f>
        <v>#NAME?</v>
      </c>
      <c r="V1265" s="24" t="e">
        <f ca="1">[1]!BexGetData("DP_1","00O2TNJGODT0G5Z4TTKYMN18L","GSON1112061534")</f>
        <v>#NAME?</v>
      </c>
      <c r="W1265" s="24" t="e">
        <f ca="1">[1]!BexGetData("DP_1","00O2TNJGODT0G5Z4TTKYMN7K5","GSON1112061534")</f>
        <v>#NAME?</v>
      </c>
    </row>
    <row r="1266" spans="1:23" x14ac:dyDescent="0.2">
      <c r="A1266" s="36" t="s">
        <v>3886</v>
      </c>
      <c r="B1266" s="27" t="s">
        <v>3887</v>
      </c>
      <c r="C1266" s="23" t="e">
        <f ca="1">[1]!BexGetData("DP_1","003N8EMH8GTFRCSWKMPXRR8GU","GSON1112061540")</f>
        <v>#NAME?</v>
      </c>
      <c r="D1266" s="28" t="e">
        <f ca="1">[1]!BexGetData("DP_1","003N8EMH8GTFRCSWKMPXRRESE","GSON1112061540")</f>
        <v>#NAME?</v>
      </c>
      <c r="E1266" s="23" t="e">
        <f ca="1">[1]!BexGetData("DP_1","003N8EMH8GTFRCSWKMPXRRL3Y","GSON1112061540")</f>
        <v>#NAME?</v>
      </c>
      <c r="F1266" s="24" t="e">
        <f ca="1">[1]!BexGetData("DP_1","003N8EMH8GTFRCSWKMPXRRRFI","GSON1112061540")</f>
        <v>#NAME?</v>
      </c>
      <c r="G1266" s="24" t="e">
        <f ca="1">[1]!BexGetData("DP_1","003N8EMH8GTFRCSWKMPXRRXR2","GSON1112061540")</f>
        <v>#NAME?</v>
      </c>
      <c r="H1266" s="24" t="e">
        <f ca="1">[1]!BexGetData("DP_1","003N8EMH8GTFRCSWKMPXRS42M","GSON1112061540")</f>
        <v>#NAME?</v>
      </c>
      <c r="I1266" s="24" t="e">
        <f ca="1">[1]!BexGetData("DP_1","003N8EMH8GTFRCSWKMPXRSAE6","GSON1112061540")</f>
        <v>#NAME?</v>
      </c>
      <c r="J1266" s="24" t="e">
        <f ca="1">[1]!BexGetData("DP_1","003N8EMH8GTFRCSWKMPXRSGPQ","GSON1112061540")</f>
        <v>#NAME?</v>
      </c>
      <c r="K1266" s="23" t="e">
        <f ca="1">[1]!BexGetData("DP_1","003N8EMH8GTFRIVNUPY288VJH","GSON1112061540")</f>
        <v>#NAME?</v>
      </c>
      <c r="L1266" s="23" t="e">
        <f ca="1">[1]!BexGetData("DP_1","003N8EMH8GTFRIVNUPY2891V1","GSON1112061540")</f>
        <v>#NAME?</v>
      </c>
      <c r="M1266" s="28" t="e">
        <f ca="1">[1]!BexGetData("DP_1","003N8EMH8GTFRIVOG7KG9IQXA","GSON1112061540")</f>
        <v>#NAME?</v>
      </c>
      <c r="N1266" s="23" t="e">
        <f ca="1">[1]!BexGetData("DP_1","003N8EMH8GTFRIVOG7KG9IX8U","GSON1112061540")</f>
        <v>#NAME?</v>
      </c>
      <c r="O1266" s="28" t="e">
        <f ca="1">[1]!BexGetData("DP_1","003N8EMH8GTFRIVOG7KG9J3KE","GSON1112061540")</f>
        <v>#NAME?</v>
      </c>
      <c r="P1266" s="23" t="e">
        <f ca="1">[1]!BexGetData("DP_1","003N8EMH8GTFRIVOG7KG9J9VY","GSON1112061540")</f>
        <v>#NAME?</v>
      </c>
      <c r="Q1266" s="24" t="e">
        <f ca="1">[1]!BexGetData("DP_1","00O2TNJGODT0G5Z4TTKYMM5MT","GSON1112061540")</f>
        <v>#NAME?</v>
      </c>
      <c r="R1266" s="24" t="e">
        <f ca="1">[1]!BexGetData("DP_1","00O2TNJGODT0G5Z4TTKYMMBYD","GSON1112061540")</f>
        <v>#NAME?</v>
      </c>
      <c r="S1266" s="24" t="e">
        <f ca="1">[1]!BexGetData("DP_1","00O2TNJGODT0G5Z4TTKYMMI9X","GSON1112061540")</f>
        <v>#NAME?</v>
      </c>
      <c r="T1266" s="24" t="e">
        <f ca="1">[1]!BexGetData("DP_1","00O2TNJGODT0G5Z4TTKYMMOLH","GSON1112061540")</f>
        <v>#NAME?</v>
      </c>
      <c r="U1266" s="24" t="e">
        <f ca="1">[1]!BexGetData("DP_1","00O2TNJGODT0G5Z4TTKYMMUX1","GSON1112061540")</f>
        <v>#NAME?</v>
      </c>
      <c r="V1266" s="24" t="e">
        <f ca="1">[1]!BexGetData("DP_1","00O2TNJGODT0G5Z4TTKYMN18L","GSON1112061540")</f>
        <v>#NAME?</v>
      </c>
      <c r="W1266" s="24" t="e">
        <f ca="1">[1]!BexGetData("DP_1","00O2TNJGODT0G5Z4TTKYMN7K5","GSON1112061540")</f>
        <v>#NAME?</v>
      </c>
    </row>
    <row r="1267" spans="1:23" x14ac:dyDescent="0.2">
      <c r="A1267" s="36" t="s">
        <v>3888</v>
      </c>
      <c r="B1267" s="27" t="s">
        <v>3889</v>
      </c>
      <c r="C1267" s="23" t="e">
        <f ca="1">[1]!BexGetData("DP_1","003N8EMH8GTFRCSWKMPXRR8GU","GSON1112061544")</f>
        <v>#NAME?</v>
      </c>
      <c r="D1267" s="23" t="e">
        <f ca="1">[1]!BexGetData("DP_1","003N8EMH8GTFRCSWKMPXRRESE","GSON1112061544")</f>
        <v>#NAME?</v>
      </c>
      <c r="E1267" s="28" t="e">
        <f ca="1">[1]!BexGetData("DP_1","003N8EMH8GTFRCSWKMPXRRL3Y","GSON1112061544")</f>
        <v>#NAME?</v>
      </c>
      <c r="F1267" s="24" t="e">
        <f ca="1">[1]!BexGetData("DP_1","003N8EMH8GTFRCSWKMPXRRRFI","GSON1112061544")</f>
        <v>#NAME?</v>
      </c>
      <c r="G1267" s="24" t="e">
        <f ca="1">[1]!BexGetData("DP_1","003N8EMH8GTFRCSWKMPXRRXR2","GSON1112061544")</f>
        <v>#NAME?</v>
      </c>
      <c r="H1267" s="24" t="e">
        <f ca="1">[1]!BexGetData("DP_1","003N8EMH8GTFRCSWKMPXRS42M","GSON1112061544")</f>
        <v>#NAME?</v>
      </c>
      <c r="I1267" s="24" t="e">
        <f ca="1">[1]!BexGetData("DP_1","003N8EMH8GTFRCSWKMPXRSAE6","GSON1112061544")</f>
        <v>#NAME?</v>
      </c>
      <c r="J1267" s="24" t="e">
        <f ca="1">[1]!BexGetData("DP_1","003N8EMH8GTFRCSWKMPXRSGPQ","GSON1112061544")</f>
        <v>#NAME?</v>
      </c>
      <c r="K1267" s="28" t="e">
        <f ca="1">[1]!BexGetData("DP_1","003N8EMH8GTFRIVNUPY288VJH","GSON1112061544")</f>
        <v>#NAME?</v>
      </c>
      <c r="L1267" s="28" t="e">
        <f ca="1">[1]!BexGetData("DP_1","003N8EMH8GTFRIVNUPY2891V1","GSON1112061544")</f>
        <v>#NAME?</v>
      </c>
      <c r="M1267" s="28" t="e">
        <f ca="1">[1]!BexGetData("DP_1","003N8EMH8GTFRIVOG7KG9IQXA","GSON1112061544")</f>
        <v>#NAME?</v>
      </c>
      <c r="N1267" s="28" t="e">
        <f ca="1">[1]!BexGetData("DP_1","003N8EMH8GTFRIVOG7KG9IX8U","GSON1112061544")</f>
        <v>#NAME?</v>
      </c>
      <c r="O1267" s="28" t="e">
        <f ca="1">[1]!BexGetData("DP_1","003N8EMH8GTFRIVOG7KG9J3KE","GSON1112061544")</f>
        <v>#NAME?</v>
      </c>
      <c r="P1267" s="28" t="e">
        <f ca="1">[1]!BexGetData("DP_1","003N8EMH8GTFRIVOG7KG9J9VY","GSON1112061544")</f>
        <v>#NAME?</v>
      </c>
      <c r="Q1267" s="24" t="e">
        <f ca="1">[1]!BexGetData("DP_1","00O2TNJGODT0G5Z4TTKYMM5MT","GSON1112061544")</f>
        <v>#NAME?</v>
      </c>
      <c r="R1267" s="24" t="e">
        <f ca="1">[1]!BexGetData("DP_1","00O2TNJGODT0G5Z4TTKYMMBYD","GSON1112061544")</f>
        <v>#NAME?</v>
      </c>
      <c r="S1267" s="24" t="e">
        <f ca="1">[1]!BexGetData("DP_1","00O2TNJGODT0G5Z4TTKYMMI9X","GSON1112061544")</f>
        <v>#NAME?</v>
      </c>
      <c r="T1267" s="24" t="e">
        <f ca="1">[1]!BexGetData("DP_1","00O2TNJGODT0G5Z4TTKYMMOLH","GSON1112061544")</f>
        <v>#NAME?</v>
      </c>
      <c r="U1267" s="24" t="e">
        <f ca="1">[1]!BexGetData("DP_1","00O2TNJGODT0G5Z4TTKYMMUX1","GSON1112061544")</f>
        <v>#NAME?</v>
      </c>
      <c r="V1267" s="24" t="e">
        <f ca="1">[1]!BexGetData("DP_1","00O2TNJGODT0G5Z4TTKYMN18L","GSON1112061544")</f>
        <v>#NAME?</v>
      </c>
      <c r="W1267" s="24" t="e">
        <f ca="1">[1]!BexGetData("DP_1","00O2TNJGODT0G5Z4TTKYMN7K5","GSON1112061544")</f>
        <v>#NAME?</v>
      </c>
    </row>
    <row r="1268" spans="1:23" x14ac:dyDescent="0.2">
      <c r="A1268" s="36" t="s">
        <v>983</v>
      </c>
      <c r="B1268" s="27" t="s">
        <v>984</v>
      </c>
      <c r="C1268" s="23" t="e">
        <f ca="1">[1]!BexGetData("DP_1","003N8EMH8GTFRCSWKMPXRR8GU","GSON1112070010")</f>
        <v>#NAME?</v>
      </c>
      <c r="D1268" s="23" t="e">
        <f ca="1">[1]!BexGetData("DP_1","003N8EMH8GTFRCSWKMPXRRESE","GSON1112070010")</f>
        <v>#NAME?</v>
      </c>
      <c r="E1268" s="23" t="e">
        <f ca="1">[1]!BexGetData("DP_1","003N8EMH8GTFRCSWKMPXRRL3Y","GSON1112070010")</f>
        <v>#NAME?</v>
      </c>
      <c r="F1268" s="23" t="e">
        <f ca="1">[1]!BexGetData("DP_1","003N8EMH8GTFRCSWKMPXRRRFI","GSON1112070010")</f>
        <v>#NAME?</v>
      </c>
      <c r="G1268" s="23" t="e">
        <f ca="1">[1]!BexGetData("DP_1","003N8EMH8GTFRCSWKMPXRRXR2","GSON1112070010")</f>
        <v>#NAME?</v>
      </c>
      <c r="H1268" s="23" t="e">
        <f ca="1">[1]!BexGetData("DP_1","003N8EMH8GTFRCSWKMPXRS42M","GSON1112070010")</f>
        <v>#NAME?</v>
      </c>
      <c r="I1268" s="23" t="e">
        <f ca="1">[1]!BexGetData("DP_1","003N8EMH8GTFRCSWKMPXRSAE6","GSON1112070010")</f>
        <v>#NAME?</v>
      </c>
      <c r="J1268" s="23" t="e">
        <f ca="1">[1]!BexGetData("DP_1","003N8EMH8GTFRCSWKMPXRSGPQ","GSON1112070010")</f>
        <v>#NAME?</v>
      </c>
      <c r="K1268" s="23" t="e">
        <f ca="1">[1]!BexGetData("DP_1","003N8EMH8GTFRIVNUPY288VJH","GSON1112070010")</f>
        <v>#NAME?</v>
      </c>
      <c r="L1268" s="23" t="e">
        <f ca="1">[1]!BexGetData("DP_1","003N8EMH8GTFRIVNUPY2891V1","GSON1112070010")</f>
        <v>#NAME?</v>
      </c>
      <c r="M1268" s="28" t="e">
        <f ca="1">[1]!BexGetData("DP_1","003N8EMH8GTFRIVOG7KG9IQXA","GSON1112070010")</f>
        <v>#NAME?</v>
      </c>
      <c r="N1268" s="23" t="e">
        <f ca="1">[1]!BexGetData("DP_1","003N8EMH8GTFRIVOG7KG9IX8U","GSON1112070010")</f>
        <v>#NAME?</v>
      </c>
      <c r="O1268" s="28" t="e">
        <f ca="1">[1]!BexGetData("DP_1","003N8EMH8GTFRIVOG7KG9J3KE","GSON1112070010")</f>
        <v>#NAME?</v>
      </c>
      <c r="P1268" s="23" t="e">
        <f ca="1">[1]!BexGetData("DP_1","003N8EMH8GTFRIVOG7KG9J9VY","GSON1112070010")</f>
        <v>#NAME?</v>
      </c>
      <c r="Q1268" s="23" t="e">
        <f ca="1">[1]!BexGetData("DP_1","00O2TNJGODT0G5Z4TTKYMM5MT","GSON1112070010")</f>
        <v>#NAME?</v>
      </c>
      <c r="R1268" s="23" t="e">
        <f ca="1">[1]!BexGetData("DP_1","00O2TNJGODT0G5Z4TTKYMMBYD","GSON1112070010")</f>
        <v>#NAME?</v>
      </c>
      <c r="S1268" s="23" t="e">
        <f ca="1">[1]!BexGetData("DP_1","00O2TNJGODT0G5Z4TTKYMMI9X","GSON1112070010")</f>
        <v>#NAME?</v>
      </c>
      <c r="T1268" s="28" t="e">
        <f ca="1">[1]!BexGetData("DP_1","00O2TNJGODT0G5Z4TTKYMMOLH","GSON1112070010")</f>
        <v>#NAME?</v>
      </c>
      <c r="U1268" s="23" t="e">
        <f ca="1">[1]!BexGetData("DP_1","00O2TNJGODT0G5Z4TTKYMMUX1","GSON1112070010")</f>
        <v>#NAME?</v>
      </c>
      <c r="V1268" s="28" t="e">
        <f ca="1">[1]!BexGetData("DP_1","00O2TNJGODT0G5Z4TTKYMN18L","GSON1112070010")</f>
        <v>#NAME?</v>
      </c>
      <c r="W1268" s="23" t="e">
        <f ca="1">[1]!BexGetData("DP_1","00O2TNJGODT0G5Z4TTKYMN7K5","GSON1112070010")</f>
        <v>#NAME?</v>
      </c>
    </row>
    <row r="1269" spans="1:23" x14ac:dyDescent="0.2">
      <c r="A1269" s="36" t="s">
        <v>985</v>
      </c>
      <c r="B1269" s="27" t="s">
        <v>986</v>
      </c>
      <c r="C1269" s="23" t="e">
        <f ca="1">[1]!BexGetData("DP_1","003N8EMH8GTFRCSWKMPXRR8GU","GSON1112070011")</f>
        <v>#NAME?</v>
      </c>
      <c r="D1269" s="23" t="e">
        <f ca="1">[1]!BexGetData("DP_1","003N8EMH8GTFRCSWKMPXRRESE","GSON1112070011")</f>
        <v>#NAME?</v>
      </c>
      <c r="E1269" s="28" t="e">
        <f ca="1">[1]!BexGetData("DP_1","003N8EMH8GTFRCSWKMPXRRL3Y","GSON1112070011")</f>
        <v>#NAME?</v>
      </c>
      <c r="F1269" s="28" t="e">
        <f ca="1">[1]!BexGetData("DP_1","003N8EMH8GTFRCSWKMPXRRRFI","GSON1112070011")</f>
        <v>#NAME?</v>
      </c>
      <c r="G1269" s="23" t="e">
        <f ca="1">[1]!BexGetData("DP_1","003N8EMH8GTFRCSWKMPXRRXR2","GSON1112070011")</f>
        <v>#NAME?</v>
      </c>
      <c r="H1269" s="23" t="e">
        <f ca="1">[1]!BexGetData("DP_1","003N8EMH8GTFRCSWKMPXRS42M","GSON1112070011")</f>
        <v>#NAME?</v>
      </c>
      <c r="I1269" s="28" t="e">
        <f ca="1">[1]!BexGetData("DP_1","003N8EMH8GTFRCSWKMPXRSAE6","GSON1112070011")</f>
        <v>#NAME?</v>
      </c>
      <c r="J1269" s="24" t="e">
        <f ca="1">[1]!BexGetData("DP_1","003N8EMH8GTFRCSWKMPXRSGPQ","GSON1112070011")</f>
        <v>#NAME?</v>
      </c>
      <c r="K1269" s="28" t="e">
        <f ca="1">[1]!BexGetData("DP_1","003N8EMH8GTFRIVNUPY288VJH","GSON1112070011")</f>
        <v>#NAME?</v>
      </c>
      <c r="L1269" s="28" t="e">
        <f ca="1">[1]!BexGetData("DP_1","003N8EMH8GTFRIVNUPY2891V1","GSON1112070011")</f>
        <v>#NAME?</v>
      </c>
      <c r="M1269" s="28" t="e">
        <f ca="1">[1]!BexGetData("DP_1","003N8EMH8GTFRIVOG7KG9IQXA","GSON1112070011")</f>
        <v>#NAME?</v>
      </c>
      <c r="N1269" s="28" t="e">
        <f ca="1">[1]!BexGetData("DP_1","003N8EMH8GTFRIVOG7KG9IX8U","GSON1112070011")</f>
        <v>#NAME?</v>
      </c>
      <c r="O1269" s="28" t="e">
        <f ca="1">[1]!BexGetData("DP_1","003N8EMH8GTFRIVOG7KG9J3KE","GSON1112070011")</f>
        <v>#NAME?</v>
      </c>
      <c r="P1269" s="28" t="e">
        <f ca="1">[1]!BexGetData("DP_1","003N8EMH8GTFRIVOG7KG9J9VY","GSON1112070011")</f>
        <v>#NAME?</v>
      </c>
      <c r="Q1269" s="24" t="e">
        <f ca="1">[1]!BexGetData("DP_1","00O2TNJGODT0G5Z4TTKYMM5MT","GSON1112070011")</f>
        <v>#NAME?</v>
      </c>
      <c r="R1269" s="28" t="e">
        <f ca="1">[1]!BexGetData("DP_1","00O2TNJGODT0G5Z4TTKYMMBYD","GSON1112070011")</f>
        <v>#NAME?</v>
      </c>
      <c r="S1269" s="28" t="e">
        <f ca="1">[1]!BexGetData("DP_1","00O2TNJGODT0G5Z4TTKYMMI9X","GSON1112070011")</f>
        <v>#NAME?</v>
      </c>
      <c r="T1269" s="28" t="e">
        <f ca="1">[1]!BexGetData("DP_1","00O2TNJGODT0G5Z4TTKYMMOLH","GSON1112070011")</f>
        <v>#NAME?</v>
      </c>
      <c r="U1269" s="28" t="e">
        <f ca="1">[1]!BexGetData("DP_1","00O2TNJGODT0G5Z4TTKYMMUX1","GSON1112070011")</f>
        <v>#NAME?</v>
      </c>
      <c r="V1269" s="28" t="e">
        <f ca="1">[1]!BexGetData("DP_1","00O2TNJGODT0G5Z4TTKYMN18L","GSON1112070011")</f>
        <v>#NAME?</v>
      </c>
      <c r="W1269" s="28" t="e">
        <f ca="1">[1]!BexGetData("DP_1","00O2TNJGODT0G5Z4TTKYMN7K5","GSON1112070011")</f>
        <v>#NAME?</v>
      </c>
    </row>
    <row r="1270" spans="1:23" x14ac:dyDescent="0.2">
      <c r="A1270" s="36" t="s">
        <v>3890</v>
      </c>
      <c r="B1270" s="27" t="s">
        <v>662</v>
      </c>
      <c r="C1270" s="24" t="e">
        <f ca="1">[1]!BexGetData("DP_1","003N8EMH8GTFRCSWKMPXRR8GU","GSON1112070012")</f>
        <v>#NAME?</v>
      </c>
      <c r="D1270" s="24" t="e">
        <f ca="1">[1]!BexGetData("DP_1","003N8EMH8GTFRCSWKMPXRRESE","GSON1112070012")</f>
        <v>#NAME?</v>
      </c>
      <c r="E1270" s="24" t="e">
        <f ca="1">[1]!BexGetData("DP_1","003N8EMH8GTFRCSWKMPXRRL3Y","GSON1112070012")</f>
        <v>#NAME?</v>
      </c>
      <c r="F1270" s="28" t="e">
        <f ca="1">[1]!BexGetData("DP_1","003N8EMH8GTFRCSWKMPXRRRFI","GSON1112070012")</f>
        <v>#NAME?</v>
      </c>
      <c r="G1270" s="23" t="e">
        <f ca="1">[1]!BexGetData("DP_1","003N8EMH8GTFRCSWKMPXRRXR2","GSON1112070012")</f>
        <v>#NAME?</v>
      </c>
      <c r="H1270" s="23" t="e">
        <f ca="1">[1]!BexGetData("DP_1","003N8EMH8GTFRCSWKMPXRS42M","GSON1112070012")</f>
        <v>#NAME?</v>
      </c>
      <c r="I1270" s="28" t="e">
        <f ca="1">[1]!BexGetData("DP_1","003N8EMH8GTFRCSWKMPXRSAE6","GSON1112070012")</f>
        <v>#NAME?</v>
      </c>
      <c r="J1270" s="23" t="e">
        <f ca="1">[1]!BexGetData("DP_1","003N8EMH8GTFRCSWKMPXRSGPQ","GSON1112070012")</f>
        <v>#NAME?</v>
      </c>
      <c r="K1270" s="28" t="e">
        <f ca="1">[1]!BexGetData("DP_1","003N8EMH8GTFRIVNUPY288VJH","GSON1112070012")</f>
        <v>#NAME?</v>
      </c>
      <c r="L1270" s="28" t="e">
        <f ca="1">[1]!BexGetData("DP_1","003N8EMH8GTFRIVNUPY2891V1","GSON1112070012")</f>
        <v>#NAME?</v>
      </c>
      <c r="M1270" s="28" t="e">
        <f ca="1">[1]!BexGetData("DP_1","003N8EMH8GTFRIVOG7KG9IQXA","GSON1112070012")</f>
        <v>#NAME?</v>
      </c>
      <c r="N1270" s="28" t="e">
        <f ca="1">[1]!BexGetData("DP_1","003N8EMH8GTFRIVOG7KG9IX8U","GSON1112070012")</f>
        <v>#NAME?</v>
      </c>
      <c r="O1270" s="28" t="e">
        <f ca="1">[1]!BexGetData("DP_1","003N8EMH8GTFRIVOG7KG9J3KE","GSON1112070012")</f>
        <v>#NAME?</v>
      </c>
      <c r="P1270" s="28" t="e">
        <f ca="1">[1]!BexGetData("DP_1","003N8EMH8GTFRIVOG7KG9J9VY","GSON1112070012")</f>
        <v>#NAME?</v>
      </c>
      <c r="Q1270" s="23" t="e">
        <f ca="1">[1]!BexGetData("DP_1","00O2TNJGODT0G5Z4TTKYMM5MT","GSON1112070012")</f>
        <v>#NAME?</v>
      </c>
      <c r="R1270" s="23" t="e">
        <f ca="1">[1]!BexGetData("DP_1","00O2TNJGODT0G5Z4TTKYMMBYD","GSON1112070012")</f>
        <v>#NAME?</v>
      </c>
      <c r="S1270" s="23" t="e">
        <f ca="1">[1]!BexGetData("DP_1","00O2TNJGODT0G5Z4TTKYMMI9X","GSON1112070012")</f>
        <v>#NAME?</v>
      </c>
      <c r="T1270" s="28" t="e">
        <f ca="1">[1]!BexGetData("DP_1","00O2TNJGODT0G5Z4TTKYMMOLH","GSON1112070012")</f>
        <v>#NAME?</v>
      </c>
      <c r="U1270" s="23" t="e">
        <f ca="1">[1]!BexGetData("DP_1","00O2TNJGODT0G5Z4TTKYMMUX1","GSON1112070012")</f>
        <v>#NAME?</v>
      </c>
      <c r="V1270" s="28" t="e">
        <f ca="1">[1]!BexGetData("DP_1","00O2TNJGODT0G5Z4TTKYMN18L","GSON1112070012")</f>
        <v>#NAME?</v>
      </c>
      <c r="W1270" s="23" t="e">
        <f ca="1">[1]!BexGetData("DP_1","00O2TNJGODT0G5Z4TTKYMN7K5","GSON1112070012")</f>
        <v>#NAME?</v>
      </c>
    </row>
    <row r="1271" spans="1:23" x14ac:dyDescent="0.2">
      <c r="A1271" s="36" t="s">
        <v>219</v>
      </c>
      <c r="B1271" s="27" t="s">
        <v>220</v>
      </c>
      <c r="C1271" s="23" t="e">
        <f ca="1">[1]!BexGetData("DP_1","003N8EMH8GTFRCSWKMPXRR8GU","GSON1112070013")</f>
        <v>#NAME?</v>
      </c>
      <c r="D1271" s="23" t="e">
        <f ca="1">[1]!BexGetData("DP_1","003N8EMH8GTFRCSWKMPXRRESE","GSON1112070013")</f>
        <v>#NAME?</v>
      </c>
      <c r="E1271" s="28" t="e">
        <f ca="1">[1]!BexGetData("DP_1","003N8EMH8GTFRCSWKMPXRRL3Y","GSON1112070013")</f>
        <v>#NAME?</v>
      </c>
      <c r="F1271" s="28" t="e">
        <f ca="1">[1]!BexGetData("DP_1","003N8EMH8GTFRCSWKMPXRRRFI","GSON1112070013")</f>
        <v>#NAME?</v>
      </c>
      <c r="G1271" s="23" t="e">
        <f ca="1">[1]!BexGetData("DP_1","003N8EMH8GTFRCSWKMPXRRXR2","GSON1112070013")</f>
        <v>#NAME?</v>
      </c>
      <c r="H1271" s="23" t="e">
        <f ca="1">[1]!BexGetData("DP_1","003N8EMH8GTFRCSWKMPXRS42M","GSON1112070013")</f>
        <v>#NAME?</v>
      </c>
      <c r="I1271" s="28" t="e">
        <f ca="1">[1]!BexGetData("DP_1","003N8EMH8GTFRCSWKMPXRSAE6","GSON1112070013")</f>
        <v>#NAME?</v>
      </c>
      <c r="J1271" s="24" t="e">
        <f ca="1">[1]!BexGetData("DP_1","003N8EMH8GTFRCSWKMPXRSGPQ","GSON1112070013")</f>
        <v>#NAME?</v>
      </c>
      <c r="K1271" s="28" t="e">
        <f ca="1">[1]!BexGetData("DP_1","003N8EMH8GTFRIVNUPY288VJH","GSON1112070013")</f>
        <v>#NAME?</v>
      </c>
      <c r="L1271" s="28" t="e">
        <f ca="1">[1]!BexGetData("DP_1","003N8EMH8GTFRIVNUPY2891V1","GSON1112070013")</f>
        <v>#NAME?</v>
      </c>
      <c r="M1271" s="28" t="e">
        <f ca="1">[1]!BexGetData("DP_1","003N8EMH8GTFRIVOG7KG9IQXA","GSON1112070013")</f>
        <v>#NAME?</v>
      </c>
      <c r="N1271" s="28" t="e">
        <f ca="1">[1]!BexGetData("DP_1","003N8EMH8GTFRIVOG7KG9IX8U","GSON1112070013")</f>
        <v>#NAME?</v>
      </c>
      <c r="O1271" s="28" t="e">
        <f ca="1">[1]!BexGetData("DP_1","003N8EMH8GTFRIVOG7KG9J3KE","GSON1112070013")</f>
        <v>#NAME?</v>
      </c>
      <c r="P1271" s="28" t="e">
        <f ca="1">[1]!BexGetData("DP_1","003N8EMH8GTFRIVOG7KG9J9VY","GSON1112070013")</f>
        <v>#NAME?</v>
      </c>
      <c r="Q1271" s="24" t="e">
        <f ca="1">[1]!BexGetData("DP_1","00O2TNJGODT0G5Z4TTKYMM5MT","GSON1112070013")</f>
        <v>#NAME?</v>
      </c>
      <c r="R1271" s="28" t="e">
        <f ca="1">[1]!BexGetData("DP_1","00O2TNJGODT0G5Z4TTKYMMBYD","GSON1112070013")</f>
        <v>#NAME?</v>
      </c>
      <c r="S1271" s="28" t="e">
        <f ca="1">[1]!BexGetData("DP_1","00O2TNJGODT0G5Z4TTKYMMI9X","GSON1112070013")</f>
        <v>#NAME?</v>
      </c>
      <c r="T1271" s="28" t="e">
        <f ca="1">[1]!BexGetData("DP_1","00O2TNJGODT0G5Z4TTKYMMOLH","GSON1112070013")</f>
        <v>#NAME?</v>
      </c>
      <c r="U1271" s="28" t="e">
        <f ca="1">[1]!BexGetData("DP_1","00O2TNJGODT0G5Z4TTKYMMUX1","GSON1112070013")</f>
        <v>#NAME?</v>
      </c>
      <c r="V1271" s="28" t="e">
        <f ca="1">[1]!BexGetData("DP_1","00O2TNJGODT0G5Z4TTKYMN18L","GSON1112070013")</f>
        <v>#NAME?</v>
      </c>
      <c r="W1271" s="28" t="e">
        <f ca="1">[1]!BexGetData("DP_1","00O2TNJGODT0G5Z4TTKYMN7K5","GSON1112070013")</f>
        <v>#NAME?</v>
      </c>
    </row>
    <row r="1272" spans="1:23" x14ac:dyDescent="0.2">
      <c r="A1272" s="36" t="s">
        <v>3891</v>
      </c>
      <c r="B1272" s="27" t="s">
        <v>1680</v>
      </c>
      <c r="C1272" s="23" t="e">
        <f ca="1">[1]!BexGetData("DP_1","003N8EMH8GTFRCSWKMPXRR8GU","GSON1112070014")</f>
        <v>#NAME?</v>
      </c>
      <c r="D1272" s="23" t="e">
        <f ca="1">[1]!BexGetData("DP_1","003N8EMH8GTFRCSWKMPXRRESE","GSON1112070014")</f>
        <v>#NAME?</v>
      </c>
      <c r="E1272" s="28" t="e">
        <f ca="1">[1]!BexGetData("DP_1","003N8EMH8GTFRCSWKMPXRRL3Y","GSON1112070014")</f>
        <v>#NAME?</v>
      </c>
      <c r="F1272" s="28" t="e">
        <f ca="1">[1]!BexGetData("DP_1","003N8EMH8GTFRCSWKMPXRRRFI","GSON1112070014")</f>
        <v>#NAME?</v>
      </c>
      <c r="G1272" s="23" t="e">
        <f ca="1">[1]!BexGetData("DP_1","003N8EMH8GTFRCSWKMPXRRXR2","GSON1112070014")</f>
        <v>#NAME?</v>
      </c>
      <c r="H1272" s="23" t="e">
        <f ca="1">[1]!BexGetData("DP_1","003N8EMH8GTFRCSWKMPXRS42M","GSON1112070014")</f>
        <v>#NAME?</v>
      </c>
      <c r="I1272" s="28" t="e">
        <f ca="1">[1]!BexGetData("DP_1","003N8EMH8GTFRCSWKMPXRSAE6","GSON1112070014")</f>
        <v>#NAME?</v>
      </c>
      <c r="J1272" s="24" t="e">
        <f ca="1">[1]!BexGetData("DP_1","003N8EMH8GTFRCSWKMPXRSGPQ","GSON1112070014")</f>
        <v>#NAME?</v>
      </c>
      <c r="K1272" s="28" t="e">
        <f ca="1">[1]!BexGetData("DP_1","003N8EMH8GTFRIVNUPY288VJH","GSON1112070014")</f>
        <v>#NAME?</v>
      </c>
      <c r="L1272" s="28" t="e">
        <f ca="1">[1]!BexGetData("DP_1","003N8EMH8GTFRIVNUPY2891V1","GSON1112070014")</f>
        <v>#NAME?</v>
      </c>
      <c r="M1272" s="28" t="e">
        <f ca="1">[1]!BexGetData("DP_1","003N8EMH8GTFRIVOG7KG9IQXA","GSON1112070014")</f>
        <v>#NAME?</v>
      </c>
      <c r="N1272" s="28" t="e">
        <f ca="1">[1]!BexGetData("DP_1","003N8EMH8GTFRIVOG7KG9IX8U","GSON1112070014")</f>
        <v>#NAME?</v>
      </c>
      <c r="O1272" s="28" t="e">
        <f ca="1">[1]!BexGetData("DP_1","003N8EMH8GTFRIVOG7KG9J3KE","GSON1112070014")</f>
        <v>#NAME?</v>
      </c>
      <c r="P1272" s="28" t="e">
        <f ca="1">[1]!BexGetData("DP_1","003N8EMH8GTFRIVOG7KG9J9VY","GSON1112070014")</f>
        <v>#NAME?</v>
      </c>
      <c r="Q1272" s="24" t="e">
        <f ca="1">[1]!BexGetData("DP_1","00O2TNJGODT0G5Z4TTKYMM5MT","GSON1112070014")</f>
        <v>#NAME?</v>
      </c>
      <c r="R1272" s="28" t="e">
        <f ca="1">[1]!BexGetData("DP_1","00O2TNJGODT0G5Z4TTKYMMBYD","GSON1112070014")</f>
        <v>#NAME?</v>
      </c>
      <c r="S1272" s="28" t="e">
        <f ca="1">[1]!BexGetData("DP_1","00O2TNJGODT0G5Z4TTKYMMI9X","GSON1112070014")</f>
        <v>#NAME?</v>
      </c>
      <c r="T1272" s="28" t="e">
        <f ca="1">[1]!BexGetData("DP_1","00O2TNJGODT0G5Z4TTKYMMOLH","GSON1112070014")</f>
        <v>#NAME?</v>
      </c>
      <c r="U1272" s="28" t="e">
        <f ca="1">[1]!BexGetData("DP_1","00O2TNJGODT0G5Z4TTKYMMUX1","GSON1112070014")</f>
        <v>#NAME?</v>
      </c>
      <c r="V1272" s="28" t="e">
        <f ca="1">[1]!BexGetData("DP_1","00O2TNJGODT0G5Z4TTKYMN18L","GSON1112070014")</f>
        <v>#NAME?</v>
      </c>
      <c r="W1272" s="28" t="e">
        <f ca="1">[1]!BexGetData("DP_1","00O2TNJGODT0G5Z4TTKYMN7K5","GSON1112070014")</f>
        <v>#NAME?</v>
      </c>
    </row>
    <row r="1273" spans="1:23" x14ac:dyDescent="0.2">
      <c r="A1273" s="36" t="s">
        <v>987</v>
      </c>
      <c r="B1273" s="27" t="s">
        <v>988</v>
      </c>
      <c r="C1273" s="23" t="e">
        <f ca="1">[1]!BexGetData("DP_1","003N8EMH8GTFRCSWKMPXRR8GU","GSON1112070015")</f>
        <v>#NAME?</v>
      </c>
      <c r="D1273" s="23" t="e">
        <f ca="1">[1]!BexGetData("DP_1","003N8EMH8GTFRCSWKMPXRRESE","GSON1112070015")</f>
        <v>#NAME?</v>
      </c>
      <c r="E1273" s="28" t="e">
        <f ca="1">[1]!BexGetData("DP_1","003N8EMH8GTFRCSWKMPXRRL3Y","GSON1112070015")</f>
        <v>#NAME?</v>
      </c>
      <c r="F1273" s="28" t="e">
        <f ca="1">[1]!BexGetData("DP_1","003N8EMH8GTFRCSWKMPXRRRFI","GSON1112070015")</f>
        <v>#NAME?</v>
      </c>
      <c r="G1273" s="23" t="e">
        <f ca="1">[1]!BexGetData("DP_1","003N8EMH8GTFRCSWKMPXRRXR2","GSON1112070015")</f>
        <v>#NAME?</v>
      </c>
      <c r="H1273" s="23" t="e">
        <f ca="1">[1]!BexGetData("DP_1","003N8EMH8GTFRCSWKMPXRS42M","GSON1112070015")</f>
        <v>#NAME?</v>
      </c>
      <c r="I1273" s="28" t="e">
        <f ca="1">[1]!BexGetData("DP_1","003N8EMH8GTFRCSWKMPXRSAE6","GSON1112070015")</f>
        <v>#NAME?</v>
      </c>
      <c r="J1273" s="24" t="e">
        <f ca="1">[1]!BexGetData("DP_1","003N8EMH8GTFRCSWKMPXRSGPQ","GSON1112070015")</f>
        <v>#NAME?</v>
      </c>
      <c r="K1273" s="28" t="e">
        <f ca="1">[1]!BexGetData("DP_1","003N8EMH8GTFRIVNUPY288VJH","GSON1112070015")</f>
        <v>#NAME?</v>
      </c>
      <c r="L1273" s="28" t="e">
        <f ca="1">[1]!BexGetData("DP_1","003N8EMH8GTFRIVNUPY2891V1","GSON1112070015")</f>
        <v>#NAME?</v>
      </c>
      <c r="M1273" s="28" t="e">
        <f ca="1">[1]!BexGetData("DP_1","003N8EMH8GTFRIVOG7KG9IQXA","GSON1112070015")</f>
        <v>#NAME?</v>
      </c>
      <c r="N1273" s="28" t="e">
        <f ca="1">[1]!BexGetData("DP_1","003N8EMH8GTFRIVOG7KG9IX8U","GSON1112070015")</f>
        <v>#NAME?</v>
      </c>
      <c r="O1273" s="28" t="e">
        <f ca="1">[1]!BexGetData("DP_1","003N8EMH8GTFRIVOG7KG9J3KE","GSON1112070015")</f>
        <v>#NAME?</v>
      </c>
      <c r="P1273" s="28" t="e">
        <f ca="1">[1]!BexGetData("DP_1","003N8EMH8GTFRIVOG7KG9J9VY","GSON1112070015")</f>
        <v>#NAME?</v>
      </c>
      <c r="Q1273" s="24" t="e">
        <f ca="1">[1]!BexGetData("DP_1","00O2TNJGODT0G5Z4TTKYMM5MT","GSON1112070015")</f>
        <v>#NAME?</v>
      </c>
      <c r="R1273" s="28" t="e">
        <f ca="1">[1]!BexGetData("DP_1","00O2TNJGODT0G5Z4TTKYMMBYD","GSON1112070015")</f>
        <v>#NAME?</v>
      </c>
      <c r="S1273" s="28" t="e">
        <f ca="1">[1]!BexGetData("DP_1","00O2TNJGODT0G5Z4TTKYMMI9X","GSON1112070015")</f>
        <v>#NAME?</v>
      </c>
      <c r="T1273" s="28" t="e">
        <f ca="1">[1]!BexGetData("DP_1","00O2TNJGODT0G5Z4TTKYMMOLH","GSON1112070015")</f>
        <v>#NAME?</v>
      </c>
      <c r="U1273" s="28" t="e">
        <f ca="1">[1]!BexGetData("DP_1","00O2TNJGODT0G5Z4TTKYMMUX1","GSON1112070015")</f>
        <v>#NAME?</v>
      </c>
      <c r="V1273" s="28" t="e">
        <f ca="1">[1]!BexGetData("DP_1","00O2TNJGODT0G5Z4TTKYMN18L","GSON1112070015")</f>
        <v>#NAME?</v>
      </c>
      <c r="W1273" s="28" t="e">
        <f ca="1">[1]!BexGetData("DP_1","00O2TNJGODT0G5Z4TTKYMN7K5","GSON1112070015")</f>
        <v>#NAME?</v>
      </c>
    </row>
    <row r="1274" spans="1:23" x14ac:dyDescent="0.2">
      <c r="A1274" s="36" t="s">
        <v>989</v>
      </c>
      <c r="B1274" s="27" t="s">
        <v>990</v>
      </c>
      <c r="C1274" s="23" t="e">
        <f ca="1">[1]!BexGetData("DP_1","003N8EMH8GTFRCSWKMPXRR8GU","GSON1112070020")</f>
        <v>#NAME?</v>
      </c>
      <c r="D1274" s="28" t="e">
        <f ca="1">[1]!BexGetData("DP_1","003N8EMH8GTFRCSWKMPXRRESE","GSON1112070020")</f>
        <v>#NAME?</v>
      </c>
      <c r="E1274" s="23" t="e">
        <f ca="1">[1]!BexGetData("DP_1","003N8EMH8GTFRCSWKMPXRRL3Y","GSON1112070020")</f>
        <v>#NAME?</v>
      </c>
      <c r="F1274" s="23" t="e">
        <f ca="1">[1]!BexGetData("DP_1","003N8EMH8GTFRCSWKMPXRRRFI","GSON1112070020")</f>
        <v>#NAME?</v>
      </c>
      <c r="G1274" s="23" t="e">
        <f ca="1">[1]!BexGetData("DP_1","003N8EMH8GTFRCSWKMPXRRXR2","GSON1112070020")</f>
        <v>#NAME?</v>
      </c>
      <c r="H1274" s="23" t="e">
        <f ca="1">[1]!BexGetData("DP_1","003N8EMH8GTFRCSWKMPXRS42M","GSON1112070020")</f>
        <v>#NAME?</v>
      </c>
      <c r="I1274" s="23" t="e">
        <f ca="1">[1]!BexGetData("DP_1","003N8EMH8GTFRCSWKMPXRSAE6","GSON1112070020")</f>
        <v>#NAME?</v>
      </c>
      <c r="J1274" s="23" t="e">
        <f ca="1">[1]!BexGetData("DP_1","003N8EMH8GTFRCSWKMPXRSGPQ","GSON1112070020")</f>
        <v>#NAME?</v>
      </c>
      <c r="K1274" s="23" t="e">
        <f ca="1">[1]!BexGetData("DP_1","003N8EMH8GTFRIVNUPY288VJH","GSON1112070020")</f>
        <v>#NAME?</v>
      </c>
      <c r="L1274" s="23" t="e">
        <f ca="1">[1]!BexGetData("DP_1","003N8EMH8GTFRIVNUPY2891V1","GSON1112070020")</f>
        <v>#NAME?</v>
      </c>
      <c r="M1274" s="28" t="e">
        <f ca="1">[1]!BexGetData("DP_1","003N8EMH8GTFRIVOG7KG9IQXA","GSON1112070020")</f>
        <v>#NAME?</v>
      </c>
      <c r="N1274" s="23" t="e">
        <f ca="1">[1]!BexGetData("DP_1","003N8EMH8GTFRIVOG7KG9IX8U","GSON1112070020")</f>
        <v>#NAME?</v>
      </c>
      <c r="O1274" s="28" t="e">
        <f ca="1">[1]!BexGetData("DP_1","003N8EMH8GTFRIVOG7KG9J3KE","GSON1112070020")</f>
        <v>#NAME?</v>
      </c>
      <c r="P1274" s="23" t="e">
        <f ca="1">[1]!BexGetData("DP_1","003N8EMH8GTFRIVOG7KG9J9VY","GSON1112070020")</f>
        <v>#NAME?</v>
      </c>
      <c r="Q1274" s="23" t="e">
        <f ca="1">[1]!BexGetData("DP_1","00O2TNJGODT0G5Z4TTKYMM5MT","GSON1112070020")</f>
        <v>#NAME?</v>
      </c>
      <c r="R1274" s="23" t="e">
        <f ca="1">[1]!BexGetData("DP_1","00O2TNJGODT0G5Z4TTKYMMBYD","GSON1112070020")</f>
        <v>#NAME?</v>
      </c>
      <c r="S1274" s="23" t="e">
        <f ca="1">[1]!BexGetData("DP_1","00O2TNJGODT0G5Z4TTKYMMI9X","GSON1112070020")</f>
        <v>#NAME?</v>
      </c>
      <c r="T1274" s="28" t="e">
        <f ca="1">[1]!BexGetData("DP_1","00O2TNJGODT0G5Z4TTKYMMOLH","GSON1112070020")</f>
        <v>#NAME?</v>
      </c>
      <c r="U1274" s="23" t="e">
        <f ca="1">[1]!BexGetData("DP_1","00O2TNJGODT0G5Z4TTKYMMUX1","GSON1112070020")</f>
        <v>#NAME?</v>
      </c>
      <c r="V1274" s="28" t="e">
        <f ca="1">[1]!BexGetData("DP_1","00O2TNJGODT0G5Z4TTKYMN18L","GSON1112070020")</f>
        <v>#NAME?</v>
      </c>
      <c r="W1274" s="23" t="e">
        <f ca="1">[1]!BexGetData("DP_1","00O2TNJGODT0G5Z4TTKYMN7K5","GSON1112070020")</f>
        <v>#NAME?</v>
      </c>
    </row>
    <row r="1275" spans="1:23" x14ac:dyDescent="0.2">
      <c r="A1275" s="36" t="s">
        <v>3892</v>
      </c>
      <c r="B1275" s="27" t="s">
        <v>3893</v>
      </c>
      <c r="C1275" s="24" t="e">
        <f ca="1">[1]!BexGetData("DP_1","003N8EMH8GTFRCSWKMPXRR8GU","GSON1112070021")</f>
        <v>#NAME?</v>
      </c>
      <c r="D1275" s="24" t="e">
        <f ca="1">[1]!BexGetData("DP_1","003N8EMH8GTFRCSWKMPXRRESE","GSON1112070021")</f>
        <v>#NAME?</v>
      </c>
      <c r="E1275" s="24" t="e">
        <f ca="1">[1]!BexGetData("DP_1","003N8EMH8GTFRCSWKMPXRRL3Y","GSON1112070021")</f>
        <v>#NAME?</v>
      </c>
      <c r="F1275" s="28" t="e">
        <f ca="1">[1]!BexGetData("DP_1","003N8EMH8GTFRCSWKMPXRRRFI","GSON1112070021")</f>
        <v>#NAME?</v>
      </c>
      <c r="G1275" s="23" t="e">
        <f ca="1">[1]!BexGetData("DP_1","003N8EMH8GTFRCSWKMPXRRXR2","GSON1112070021")</f>
        <v>#NAME?</v>
      </c>
      <c r="H1275" s="23" t="e">
        <f ca="1">[1]!BexGetData("DP_1","003N8EMH8GTFRCSWKMPXRS42M","GSON1112070021")</f>
        <v>#NAME?</v>
      </c>
      <c r="I1275" s="28" t="e">
        <f ca="1">[1]!BexGetData("DP_1","003N8EMH8GTFRCSWKMPXRSAE6","GSON1112070021")</f>
        <v>#NAME?</v>
      </c>
      <c r="J1275" s="24" t="e">
        <f ca="1">[1]!BexGetData("DP_1","003N8EMH8GTFRCSWKMPXRSGPQ","GSON1112070021")</f>
        <v>#NAME?</v>
      </c>
      <c r="K1275" s="28" t="e">
        <f ca="1">[1]!BexGetData("DP_1","003N8EMH8GTFRIVNUPY288VJH","GSON1112070021")</f>
        <v>#NAME?</v>
      </c>
      <c r="L1275" s="28" t="e">
        <f ca="1">[1]!BexGetData("DP_1","003N8EMH8GTFRIVNUPY2891V1","GSON1112070021")</f>
        <v>#NAME?</v>
      </c>
      <c r="M1275" s="28" t="e">
        <f ca="1">[1]!BexGetData("DP_1","003N8EMH8GTFRIVOG7KG9IQXA","GSON1112070021")</f>
        <v>#NAME?</v>
      </c>
      <c r="N1275" s="28" t="e">
        <f ca="1">[1]!BexGetData("DP_1","003N8EMH8GTFRIVOG7KG9IX8U","GSON1112070021")</f>
        <v>#NAME?</v>
      </c>
      <c r="O1275" s="28" t="e">
        <f ca="1">[1]!BexGetData("DP_1","003N8EMH8GTFRIVOG7KG9J3KE","GSON1112070021")</f>
        <v>#NAME?</v>
      </c>
      <c r="P1275" s="28" t="e">
        <f ca="1">[1]!BexGetData("DP_1","003N8EMH8GTFRIVOG7KG9J9VY","GSON1112070021")</f>
        <v>#NAME?</v>
      </c>
      <c r="Q1275" s="24" t="e">
        <f ca="1">[1]!BexGetData("DP_1","00O2TNJGODT0G5Z4TTKYMM5MT","GSON1112070021")</f>
        <v>#NAME?</v>
      </c>
      <c r="R1275" s="28" t="e">
        <f ca="1">[1]!BexGetData("DP_1","00O2TNJGODT0G5Z4TTKYMMBYD","GSON1112070021")</f>
        <v>#NAME?</v>
      </c>
      <c r="S1275" s="28" t="e">
        <f ca="1">[1]!BexGetData("DP_1","00O2TNJGODT0G5Z4TTKYMMI9X","GSON1112070021")</f>
        <v>#NAME?</v>
      </c>
      <c r="T1275" s="28" t="e">
        <f ca="1">[1]!BexGetData("DP_1","00O2TNJGODT0G5Z4TTKYMMOLH","GSON1112070021")</f>
        <v>#NAME?</v>
      </c>
      <c r="U1275" s="28" t="e">
        <f ca="1">[1]!BexGetData("DP_1","00O2TNJGODT0G5Z4TTKYMMUX1","GSON1112070021")</f>
        <v>#NAME?</v>
      </c>
      <c r="V1275" s="28" t="e">
        <f ca="1">[1]!BexGetData("DP_1","00O2TNJGODT0G5Z4TTKYMN18L","GSON1112070021")</f>
        <v>#NAME?</v>
      </c>
      <c r="W1275" s="28" t="e">
        <f ca="1">[1]!BexGetData("DP_1","00O2TNJGODT0G5Z4TTKYMN7K5","GSON1112070021")</f>
        <v>#NAME?</v>
      </c>
    </row>
    <row r="1276" spans="1:23" x14ac:dyDescent="0.2">
      <c r="A1276" s="36" t="s">
        <v>3894</v>
      </c>
      <c r="B1276" s="27" t="s">
        <v>3895</v>
      </c>
      <c r="C1276" s="24" t="e">
        <f ca="1">[1]!BexGetData("DP_1","003N8EMH8GTFRCSWKMPXRR8GU","GSON1112070022")</f>
        <v>#NAME?</v>
      </c>
      <c r="D1276" s="24" t="e">
        <f ca="1">[1]!BexGetData("DP_1","003N8EMH8GTFRCSWKMPXRRESE","GSON1112070022")</f>
        <v>#NAME?</v>
      </c>
      <c r="E1276" s="24" t="e">
        <f ca="1">[1]!BexGetData("DP_1","003N8EMH8GTFRCSWKMPXRRL3Y","GSON1112070022")</f>
        <v>#NAME?</v>
      </c>
      <c r="F1276" s="28" t="e">
        <f ca="1">[1]!BexGetData("DP_1","003N8EMH8GTFRCSWKMPXRRRFI","GSON1112070022")</f>
        <v>#NAME?</v>
      </c>
      <c r="G1276" s="23" t="e">
        <f ca="1">[1]!BexGetData("DP_1","003N8EMH8GTFRCSWKMPXRRXR2","GSON1112070022")</f>
        <v>#NAME?</v>
      </c>
      <c r="H1276" s="23" t="e">
        <f ca="1">[1]!BexGetData("DP_1","003N8EMH8GTFRCSWKMPXRS42M","GSON1112070022")</f>
        <v>#NAME?</v>
      </c>
      <c r="I1276" s="28" t="e">
        <f ca="1">[1]!BexGetData("DP_1","003N8EMH8GTFRCSWKMPXRSAE6","GSON1112070022")</f>
        <v>#NAME?</v>
      </c>
      <c r="J1276" s="24" t="e">
        <f ca="1">[1]!BexGetData("DP_1","003N8EMH8GTFRCSWKMPXRSGPQ","GSON1112070022")</f>
        <v>#NAME?</v>
      </c>
      <c r="K1276" s="28" t="e">
        <f ca="1">[1]!BexGetData("DP_1","003N8EMH8GTFRIVNUPY288VJH","GSON1112070022")</f>
        <v>#NAME?</v>
      </c>
      <c r="L1276" s="28" t="e">
        <f ca="1">[1]!BexGetData("DP_1","003N8EMH8GTFRIVNUPY2891V1","GSON1112070022")</f>
        <v>#NAME?</v>
      </c>
      <c r="M1276" s="28" t="e">
        <f ca="1">[1]!BexGetData("DP_1","003N8EMH8GTFRIVOG7KG9IQXA","GSON1112070022")</f>
        <v>#NAME?</v>
      </c>
      <c r="N1276" s="28" t="e">
        <f ca="1">[1]!BexGetData("DP_1","003N8EMH8GTFRIVOG7KG9IX8U","GSON1112070022")</f>
        <v>#NAME?</v>
      </c>
      <c r="O1276" s="28" t="e">
        <f ca="1">[1]!BexGetData("DP_1","003N8EMH8GTFRIVOG7KG9J3KE","GSON1112070022")</f>
        <v>#NAME?</v>
      </c>
      <c r="P1276" s="28" t="e">
        <f ca="1">[1]!BexGetData("DP_1","003N8EMH8GTFRIVOG7KG9J9VY","GSON1112070022")</f>
        <v>#NAME?</v>
      </c>
      <c r="Q1276" s="24" t="e">
        <f ca="1">[1]!BexGetData("DP_1","00O2TNJGODT0G5Z4TTKYMM5MT","GSON1112070022")</f>
        <v>#NAME?</v>
      </c>
      <c r="R1276" s="28" t="e">
        <f ca="1">[1]!BexGetData("DP_1","00O2TNJGODT0G5Z4TTKYMMBYD","GSON1112070022")</f>
        <v>#NAME?</v>
      </c>
      <c r="S1276" s="28" t="e">
        <f ca="1">[1]!BexGetData("DP_1","00O2TNJGODT0G5Z4TTKYMMI9X","GSON1112070022")</f>
        <v>#NAME?</v>
      </c>
      <c r="T1276" s="28" t="e">
        <f ca="1">[1]!BexGetData("DP_1","00O2TNJGODT0G5Z4TTKYMMOLH","GSON1112070022")</f>
        <v>#NAME?</v>
      </c>
      <c r="U1276" s="28" t="e">
        <f ca="1">[1]!BexGetData("DP_1","00O2TNJGODT0G5Z4TTKYMMUX1","GSON1112070022")</f>
        <v>#NAME?</v>
      </c>
      <c r="V1276" s="28" t="e">
        <f ca="1">[1]!BexGetData("DP_1","00O2TNJGODT0G5Z4TTKYMN18L","GSON1112070022")</f>
        <v>#NAME?</v>
      </c>
      <c r="W1276" s="28" t="e">
        <f ca="1">[1]!BexGetData("DP_1","00O2TNJGODT0G5Z4TTKYMN7K5","GSON1112070022")</f>
        <v>#NAME?</v>
      </c>
    </row>
    <row r="1277" spans="1:23" x14ac:dyDescent="0.2">
      <c r="A1277" s="36" t="s">
        <v>3896</v>
      </c>
      <c r="B1277" s="27" t="s">
        <v>3897</v>
      </c>
      <c r="C1277" s="24" t="e">
        <f ca="1">[1]!BexGetData("DP_1","003N8EMH8GTFRCSWKMPXRR8GU","GSON1112070023")</f>
        <v>#NAME?</v>
      </c>
      <c r="D1277" s="24" t="e">
        <f ca="1">[1]!BexGetData("DP_1","003N8EMH8GTFRCSWKMPXRRESE","GSON1112070023")</f>
        <v>#NAME?</v>
      </c>
      <c r="E1277" s="24" t="e">
        <f ca="1">[1]!BexGetData("DP_1","003N8EMH8GTFRCSWKMPXRRL3Y","GSON1112070023")</f>
        <v>#NAME?</v>
      </c>
      <c r="F1277" s="28" t="e">
        <f ca="1">[1]!BexGetData("DP_1","003N8EMH8GTFRCSWKMPXRRRFI","GSON1112070023")</f>
        <v>#NAME?</v>
      </c>
      <c r="G1277" s="23" t="e">
        <f ca="1">[1]!BexGetData("DP_1","003N8EMH8GTFRCSWKMPXRRXR2","GSON1112070023")</f>
        <v>#NAME?</v>
      </c>
      <c r="H1277" s="23" t="e">
        <f ca="1">[1]!BexGetData("DP_1","003N8EMH8GTFRCSWKMPXRS42M","GSON1112070023")</f>
        <v>#NAME?</v>
      </c>
      <c r="I1277" s="28" t="e">
        <f ca="1">[1]!BexGetData("DP_1","003N8EMH8GTFRCSWKMPXRSAE6","GSON1112070023")</f>
        <v>#NAME?</v>
      </c>
      <c r="J1277" s="24" t="e">
        <f ca="1">[1]!BexGetData("DP_1","003N8EMH8GTFRCSWKMPXRSGPQ","GSON1112070023")</f>
        <v>#NAME?</v>
      </c>
      <c r="K1277" s="28" t="e">
        <f ca="1">[1]!BexGetData("DP_1","003N8EMH8GTFRIVNUPY288VJH","GSON1112070023")</f>
        <v>#NAME?</v>
      </c>
      <c r="L1277" s="28" t="e">
        <f ca="1">[1]!BexGetData("DP_1","003N8EMH8GTFRIVNUPY2891V1","GSON1112070023")</f>
        <v>#NAME?</v>
      </c>
      <c r="M1277" s="28" t="e">
        <f ca="1">[1]!BexGetData("DP_1","003N8EMH8GTFRIVOG7KG9IQXA","GSON1112070023")</f>
        <v>#NAME?</v>
      </c>
      <c r="N1277" s="28" t="e">
        <f ca="1">[1]!BexGetData("DP_1","003N8EMH8GTFRIVOG7KG9IX8U","GSON1112070023")</f>
        <v>#NAME?</v>
      </c>
      <c r="O1277" s="28" t="e">
        <f ca="1">[1]!BexGetData("DP_1","003N8EMH8GTFRIVOG7KG9J3KE","GSON1112070023")</f>
        <v>#NAME?</v>
      </c>
      <c r="P1277" s="28" t="e">
        <f ca="1">[1]!BexGetData("DP_1","003N8EMH8GTFRIVOG7KG9J9VY","GSON1112070023")</f>
        <v>#NAME?</v>
      </c>
      <c r="Q1277" s="24" t="e">
        <f ca="1">[1]!BexGetData("DP_1","00O2TNJGODT0G5Z4TTKYMM5MT","GSON1112070023")</f>
        <v>#NAME?</v>
      </c>
      <c r="R1277" s="28" t="e">
        <f ca="1">[1]!BexGetData("DP_1","00O2TNJGODT0G5Z4TTKYMMBYD","GSON1112070023")</f>
        <v>#NAME?</v>
      </c>
      <c r="S1277" s="28" t="e">
        <f ca="1">[1]!BexGetData("DP_1","00O2TNJGODT0G5Z4TTKYMMI9X","GSON1112070023")</f>
        <v>#NAME?</v>
      </c>
      <c r="T1277" s="28" t="e">
        <f ca="1">[1]!BexGetData("DP_1","00O2TNJGODT0G5Z4TTKYMMOLH","GSON1112070023")</f>
        <v>#NAME?</v>
      </c>
      <c r="U1277" s="28" t="e">
        <f ca="1">[1]!BexGetData("DP_1","00O2TNJGODT0G5Z4TTKYMMUX1","GSON1112070023")</f>
        <v>#NAME?</v>
      </c>
      <c r="V1277" s="28" t="e">
        <f ca="1">[1]!BexGetData("DP_1","00O2TNJGODT0G5Z4TTKYMN18L","GSON1112070023")</f>
        <v>#NAME?</v>
      </c>
      <c r="W1277" s="28" t="e">
        <f ca="1">[1]!BexGetData("DP_1","00O2TNJGODT0G5Z4TTKYMN7K5","GSON1112070023")</f>
        <v>#NAME?</v>
      </c>
    </row>
    <row r="1278" spans="1:23" x14ac:dyDescent="0.2">
      <c r="A1278" s="36" t="s">
        <v>3898</v>
      </c>
      <c r="B1278" s="27" t="s">
        <v>3899</v>
      </c>
      <c r="C1278" s="24" t="e">
        <f ca="1">[1]!BexGetData("DP_1","003N8EMH8GTFRCSWKMPXRR8GU","GSON1112070024")</f>
        <v>#NAME?</v>
      </c>
      <c r="D1278" s="24" t="e">
        <f ca="1">[1]!BexGetData("DP_1","003N8EMH8GTFRCSWKMPXRRESE","GSON1112070024")</f>
        <v>#NAME?</v>
      </c>
      <c r="E1278" s="24" t="e">
        <f ca="1">[1]!BexGetData("DP_1","003N8EMH8GTFRCSWKMPXRRL3Y","GSON1112070024")</f>
        <v>#NAME?</v>
      </c>
      <c r="F1278" s="28" t="e">
        <f ca="1">[1]!BexGetData("DP_1","003N8EMH8GTFRCSWKMPXRRRFI","GSON1112070024")</f>
        <v>#NAME?</v>
      </c>
      <c r="G1278" s="23" t="e">
        <f ca="1">[1]!BexGetData("DP_1","003N8EMH8GTFRCSWKMPXRRXR2","GSON1112070024")</f>
        <v>#NAME?</v>
      </c>
      <c r="H1278" s="23" t="e">
        <f ca="1">[1]!BexGetData("DP_1","003N8EMH8GTFRCSWKMPXRS42M","GSON1112070024")</f>
        <v>#NAME?</v>
      </c>
      <c r="I1278" s="28" t="e">
        <f ca="1">[1]!BexGetData("DP_1","003N8EMH8GTFRCSWKMPXRSAE6","GSON1112070024")</f>
        <v>#NAME?</v>
      </c>
      <c r="J1278" s="24" t="e">
        <f ca="1">[1]!BexGetData("DP_1","003N8EMH8GTFRCSWKMPXRSGPQ","GSON1112070024")</f>
        <v>#NAME?</v>
      </c>
      <c r="K1278" s="28" t="e">
        <f ca="1">[1]!BexGetData("DP_1","003N8EMH8GTFRIVNUPY288VJH","GSON1112070024")</f>
        <v>#NAME?</v>
      </c>
      <c r="L1278" s="28" t="e">
        <f ca="1">[1]!BexGetData("DP_1","003N8EMH8GTFRIVNUPY2891V1","GSON1112070024")</f>
        <v>#NAME?</v>
      </c>
      <c r="M1278" s="28" t="e">
        <f ca="1">[1]!BexGetData("DP_1","003N8EMH8GTFRIVOG7KG9IQXA","GSON1112070024")</f>
        <v>#NAME?</v>
      </c>
      <c r="N1278" s="28" t="e">
        <f ca="1">[1]!BexGetData("DP_1","003N8EMH8GTFRIVOG7KG9IX8U","GSON1112070024")</f>
        <v>#NAME?</v>
      </c>
      <c r="O1278" s="28" t="e">
        <f ca="1">[1]!BexGetData("DP_1","003N8EMH8GTFRIVOG7KG9J3KE","GSON1112070024")</f>
        <v>#NAME?</v>
      </c>
      <c r="P1278" s="28" t="e">
        <f ca="1">[1]!BexGetData("DP_1","003N8EMH8GTFRIVOG7KG9J9VY","GSON1112070024")</f>
        <v>#NAME?</v>
      </c>
      <c r="Q1278" s="24" t="e">
        <f ca="1">[1]!BexGetData("DP_1","00O2TNJGODT0G5Z4TTKYMM5MT","GSON1112070024")</f>
        <v>#NAME?</v>
      </c>
      <c r="R1278" s="28" t="e">
        <f ca="1">[1]!BexGetData("DP_1","00O2TNJGODT0G5Z4TTKYMMBYD","GSON1112070024")</f>
        <v>#NAME?</v>
      </c>
      <c r="S1278" s="28" t="e">
        <f ca="1">[1]!BexGetData("DP_1","00O2TNJGODT0G5Z4TTKYMMI9X","GSON1112070024")</f>
        <v>#NAME?</v>
      </c>
      <c r="T1278" s="28" t="e">
        <f ca="1">[1]!BexGetData("DP_1","00O2TNJGODT0G5Z4TTKYMMOLH","GSON1112070024")</f>
        <v>#NAME?</v>
      </c>
      <c r="U1278" s="28" t="e">
        <f ca="1">[1]!BexGetData("DP_1","00O2TNJGODT0G5Z4TTKYMMUX1","GSON1112070024")</f>
        <v>#NAME?</v>
      </c>
      <c r="V1278" s="28" t="e">
        <f ca="1">[1]!BexGetData("DP_1","00O2TNJGODT0G5Z4TTKYMN18L","GSON1112070024")</f>
        <v>#NAME?</v>
      </c>
      <c r="W1278" s="28" t="e">
        <f ca="1">[1]!BexGetData("DP_1","00O2TNJGODT0G5Z4TTKYMN7K5","GSON1112070024")</f>
        <v>#NAME?</v>
      </c>
    </row>
    <row r="1279" spans="1:23" x14ac:dyDescent="0.2">
      <c r="A1279" s="36" t="s">
        <v>991</v>
      </c>
      <c r="B1279" s="27" t="s">
        <v>992</v>
      </c>
      <c r="C1279" s="23" t="e">
        <f ca="1">[1]!BexGetData("DP_1","003N8EMH8GTFRCSWKMPXRR8GU","GSON1112070025")</f>
        <v>#NAME?</v>
      </c>
      <c r="D1279" s="23" t="e">
        <f ca="1">[1]!BexGetData("DP_1","003N8EMH8GTFRCSWKMPXRRESE","GSON1112070025")</f>
        <v>#NAME?</v>
      </c>
      <c r="E1279" s="28" t="e">
        <f ca="1">[1]!BexGetData("DP_1","003N8EMH8GTFRCSWKMPXRRL3Y","GSON1112070025")</f>
        <v>#NAME?</v>
      </c>
      <c r="F1279" s="28" t="e">
        <f ca="1">[1]!BexGetData("DP_1","003N8EMH8GTFRCSWKMPXRRRFI","GSON1112070025")</f>
        <v>#NAME?</v>
      </c>
      <c r="G1279" s="23" t="e">
        <f ca="1">[1]!BexGetData("DP_1","003N8EMH8GTFRCSWKMPXRRXR2","GSON1112070025")</f>
        <v>#NAME?</v>
      </c>
      <c r="H1279" s="23" t="e">
        <f ca="1">[1]!BexGetData("DP_1","003N8EMH8GTFRCSWKMPXRS42M","GSON1112070025")</f>
        <v>#NAME?</v>
      </c>
      <c r="I1279" s="28" t="e">
        <f ca="1">[1]!BexGetData("DP_1","003N8EMH8GTFRCSWKMPXRSAE6","GSON1112070025")</f>
        <v>#NAME?</v>
      </c>
      <c r="J1279" s="24" t="e">
        <f ca="1">[1]!BexGetData("DP_1","003N8EMH8GTFRCSWKMPXRSGPQ","GSON1112070025")</f>
        <v>#NAME?</v>
      </c>
      <c r="K1279" s="28" t="e">
        <f ca="1">[1]!BexGetData("DP_1","003N8EMH8GTFRIVNUPY288VJH","GSON1112070025")</f>
        <v>#NAME?</v>
      </c>
      <c r="L1279" s="28" t="e">
        <f ca="1">[1]!BexGetData("DP_1","003N8EMH8GTFRIVNUPY2891V1","GSON1112070025")</f>
        <v>#NAME?</v>
      </c>
      <c r="M1279" s="28" t="e">
        <f ca="1">[1]!BexGetData("DP_1","003N8EMH8GTFRIVOG7KG9IQXA","GSON1112070025")</f>
        <v>#NAME?</v>
      </c>
      <c r="N1279" s="28" t="e">
        <f ca="1">[1]!BexGetData("DP_1","003N8EMH8GTFRIVOG7KG9IX8U","GSON1112070025")</f>
        <v>#NAME?</v>
      </c>
      <c r="O1279" s="28" t="e">
        <f ca="1">[1]!BexGetData("DP_1","003N8EMH8GTFRIVOG7KG9J3KE","GSON1112070025")</f>
        <v>#NAME?</v>
      </c>
      <c r="P1279" s="28" t="e">
        <f ca="1">[1]!BexGetData("DP_1","003N8EMH8GTFRIVOG7KG9J9VY","GSON1112070025")</f>
        <v>#NAME?</v>
      </c>
      <c r="Q1279" s="24" t="e">
        <f ca="1">[1]!BexGetData("DP_1","00O2TNJGODT0G5Z4TTKYMM5MT","GSON1112070025")</f>
        <v>#NAME?</v>
      </c>
      <c r="R1279" s="28" t="e">
        <f ca="1">[1]!BexGetData("DP_1","00O2TNJGODT0G5Z4TTKYMMBYD","GSON1112070025")</f>
        <v>#NAME?</v>
      </c>
      <c r="S1279" s="28" t="e">
        <f ca="1">[1]!BexGetData("DP_1","00O2TNJGODT0G5Z4TTKYMMI9X","GSON1112070025")</f>
        <v>#NAME?</v>
      </c>
      <c r="T1279" s="28" t="e">
        <f ca="1">[1]!BexGetData("DP_1","00O2TNJGODT0G5Z4TTKYMMOLH","GSON1112070025")</f>
        <v>#NAME?</v>
      </c>
      <c r="U1279" s="28" t="e">
        <f ca="1">[1]!BexGetData("DP_1","00O2TNJGODT0G5Z4TTKYMMUX1","GSON1112070025")</f>
        <v>#NAME?</v>
      </c>
      <c r="V1279" s="28" t="e">
        <f ca="1">[1]!BexGetData("DP_1","00O2TNJGODT0G5Z4TTKYMN18L","GSON1112070025")</f>
        <v>#NAME?</v>
      </c>
      <c r="W1279" s="28" t="e">
        <f ca="1">[1]!BexGetData("DP_1","00O2TNJGODT0G5Z4TTKYMN7K5","GSON1112070025")</f>
        <v>#NAME?</v>
      </c>
    </row>
    <row r="1280" spans="1:23" x14ac:dyDescent="0.2">
      <c r="A1280" s="36" t="s">
        <v>993</v>
      </c>
      <c r="B1280" s="27" t="s">
        <v>994</v>
      </c>
      <c r="C1280" s="23" t="e">
        <f ca="1">[1]!BexGetData("DP_1","003N8EMH8GTFRCSWKMPXRR8GU","GSON1112070030")</f>
        <v>#NAME?</v>
      </c>
      <c r="D1280" s="28" t="e">
        <f ca="1">[1]!BexGetData("DP_1","003N8EMH8GTFRCSWKMPXRRESE","GSON1112070030")</f>
        <v>#NAME?</v>
      </c>
      <c r="E1280" s="23" t="e">
        <f ca="1">[1]!BexGetData("DP_1","003N8EMH8GTFRCSWKMPXRRL3Y","GSON1112070030")</f>
        <v>#NAME?</v>
      </c>
      <c r="F1280" s="23" t="e">
        <f ca="1">[1]!BexGetData("DP_1","003N8EMH8GTFRCSWKMPXRRRFI","GSON1112070030")</f>
        <v>#NAME?</v>
      </c>
      <c r="G1280" s="23" t="e">
        <f ca="1">[1]!BexGetData("DP_1","003N8EMH8GTFRCSWKMPXRRXR2","GSON1112070030")</f>
        <v>#NAME?</v>
      </c>
      <c r="H1280" s="28" t="e">
        <f ca="1">[1]!BexGetData("DP_1","003N8EMH8GTFRCSWKMPXRS42M","GSON1112070030")</f>
        <v>#NAME?</v>
      </c>
      <c r="I1280" s="23" t="e">
        <f ca="1">[1]!BexGetData("DP_1","003N8EMH8GTFRCSWKMPXRSAE6","GSON1112070030")</f>
        <v>#NAME?</v>
      </c>
      <c r="J1280" s="23" t="e">
        <f ca="1">[1]!BexGetData("DP_1","003N8EMH8GTFRCSWKMPXRSGPQ","GSON1112070030")</f>
        <v>#NAME?</v>
      </c>
      <c r="K1280" s="23" t="e">
        <f ca="1">[1]!BexGetData("DP_1","003N8EMH8GTFRIVNUPY288VJH","GSON1112070030")</f>
        <v>#NAME?</v>
      </c>
      <c r="L1280" s="23" t="e">
        <f ca="1">[1]!BexGetData("DP_1","003N8EMH8GTFRIVNUPY2891V1","GSON1112070030")</f>
        <v>#NAME?</v>
      </c>
      <c r="M1280" s="28" t="e">
        <f ca="1">[1]!BexGetData("DP_1","003N8EMH8GTFRIVOG7KG9IQXA","GSON1112070030")</f>
        <v>#NAME?</v>
      </c>
      <c r="N1280" s="23" t="e">
        <f ca="1">[1]!BexGetData("DP_1","003N8EMH8GTFRIVOG7KG9IX8U","GSON1112070030")</f>
        <v>#NAME?</v>
      </c>
      <c r="O1280" s="28" t="e">
        <f ca="1">[1]!BexGetData("DP_1","003N8EMH8GTFRIVOG7KG9J3KE","GSON1112070030")</f>
        <v>#NAME?</v>
      </c>
      <c r="P1280" s="23" t="e">
        <f ca="1">[1]!BexGetData("DP_1","003N8EMH8GTFRIVOG7KG9J9VY","GSON1112070030")</f>
        <v>#NAME?</v>
      </c>
      <c r="Q1280" s="23" t="e">
        <f ca="1">[1]!BexGetData("DP_1","00O2TNJGODT0G5Z4TTKYMM5MT","GSON1112070030")</f>
        <v>#NAME?</v>
      </c>
      <c r="R1280" s="23" t="e">
        <f ca="1">[1]!BexGetData("DP_1","00O2TNJGODT0G5Z4TTKYMMBYD","GSON1112070030")</f>
        <v>#NAME?</v>
      </c>
      <c r="S1280" s="23" t="e">
        <f ca="1">[1]!BexGetData("DP_1","00O2TNJGODT0G5Z4TTKYMMI9X","GSON1112070030")</f>
        <v>#NAME?</v>
      </c>
      <c r="T1280" s="28" t="e">
        <f ca="1">[1]!BexGetData("DP_1","00O2TNJGODT0G5Z4TTKYMMOLH","GSON1112070030")</f>
        <v>#NAME?</v>
      </c>
      <c r="U1280" s="23" t="e">
        <f ca="1">[1]!BexGetData("DP_1","00O2TNJGODT0G5Z4TTKYMMUX1","GSON1112070030")</f>
        <v>#NAME?</v>
      </c>
      <c r="V1280" s="28" t="e">
        <f ca="1">[1]!BexGetData("DP_1","00O2TNJGODT0G5Z4TTKYMN18L","GSON1112070030")</f>
        <v>#NAME?</v>
      </c>
      <c r="W1280" s="23" t="e">
        <f ca="1">[1]!BexGetData("DP_1","00O2TNJGODT0G5Z4TTKYMN7K5","GSON1112070030")</f>
        <v>#NAME?</v>
      </c>
    </row>
    <row r="1281" spans="1:23" x14ac:dyDescent="0.2">
      <c r="A1281" s="36" t="s">
        <v>3900</v>
      </c>
      <c r="B1281" s="27" t="s">
        <v>3901</v>
      </c>
      <c r="C1281" s="23" t="e">
        <f ca="1">[1]!BexGetData("DP_1","003N8EMH8GTFRCSWKMPXRR8GU","GSON1112070031")</f>
        <v>#NAME?</v>
      </c>
      <c r="D1281" s="23" t="e">
        <f ca="1">[1]!BexGetData("DP_1","003N8EMH8GTFRCSWKMPXRRESE","GSON1112070031")</f>
        <v>#NAME?</v>
      </c>
      <c r="E1281" s="28" t="e">
        <f ca="1">[1]!BexGetData("DP_1","003N8EMH8GTFRCSWKMPXRRL3Y","GSON1112070031")</f>
        <v>#NAME?</v>
      </c>
      <c r="F1281" s="28" t="e">
        <f ca="1">[1]!BexGetData("DP_1","003N8EMH8GTFRCSWKMPXRRRFI","GSON1112070031")</f>
        <v>#NAME?</v>
      </c>
      <c r="G1281" s="23" t="e">
        <f ca="1">[1]!BexGetData("DP_1","003N8EMH8GTFRCSWKMPXRRXR2","GSON1112070031")</f>
        <v>#NAME?</v>
      </c>
      <c r="H1281" s="23" t="e">
        <f ca="1">[1]!BexGetData("DP_1","003N8EMH8GTFRCSWKMPXRS42M","GSON1112070031")</f>
        <v>#NAME?</v>
      </c>
      <c r="I1281" s="28" t="e">
        <f ca="1">[1]!BexGetData("DP_1","003N8EMH8GTFRCSWKMPXRSAE6","GSON1112070031")</f>
        <v>#NAME?</v>
      </c>
      <c r="J1281" s="24" t="e">
        <f ca="1">[1]!BexGetData("DP_1","003N8EMH8GTFRCSWKMPXRSGPQ","GSON1112070031")</f>
        <v>#NAME?</v>
      </c>
      <c r="K1281" s="28" t="e">
        <f ca="1">[1]!BexGetData("DP_1","003N8EMH8GTFRIVNUPY288VJH","GSON1112070031")</f>
        <v>#NAME?</v>
      </c>
      <c r="L1281" s="28" t="e">
        <f ca="1">[1]!BexGetData("DP_1","003N8EMH8GTFRIVNUPY2891V1","GSON1112070031")</f>
        <v>#NAME?</v>
      </c>
      <c r="M1281" s="28" t="e">
        <f ca="1">[1]!BexGetData("DP_1","003N8EMH8GTFRIVOG7KG9IQXA","GSON1112070031")</f>
        <v>#NAME?</v>
      </c>
      <c r="N1281" s="28" t="e">
        <f ca="1">[1]!BexGetData("DP_1","003N8EMH8GTFRIVOG7KG9IX8U","GSON1112070031")</f>
        <v>#NAME?</v>
      </c>
      <c r="O1281" s="28" t="e">
        <f ca="1">[1]!BexGetData("DP_1","003N8EMH8GTFRIVOG7KG9J3KE","GSON1112070031")</f>
        <v>#NAME?</v>
      </c>
      <c r="P1281" s="28" t="e">
        <f ca="1">[1]!BexGetData("DP_1","003N8EMH8GTFRIVOG7KG9J9VY","GSON1112070031")</f>
        <v>#NAME?</v>
      </c>
      <c r="Q1281" s="24" t="e">
        <f ca="1">[1]!BexGetData("DP_1","00O2TNJGODT0G5Z4TTKYMM5MT","GSON1112070031")</f>
        <v>#NAME?</v>
      </c>
      <c r="R1281" s="28" t="e">
        <f ca="1">[1]!BexGetData("DP_1","00O2TNJGODT0G5Z4TTKYMMBYD","GSON1112070031")</f>
        <v>#NAME?</v>
      </c>
      <c r="S1281" s="28" t="e">
        <f ca="1">[1]!BexGetData("DP_1","00O2TNJGODT0G5Z4TTKYMMI9X","GSON1112070031")</f>
        <v>#NAME?</v>
      </c>
      <c r="T1281" s="28" t="e">
        <f ca="1">[1]!BexGetData("DP_1","00O2TNJGODT0G5Z4TTKYMMOLH","GSON1112070031")</f>
        <v>#NAME?</v>
      </c>
      <c r="U1281" s="28" t="e">
        <f ca="1">[1]!BexGetData("DP_1","00O2TNJGODT0G5Z4TTKYMMUX1","GSON1112070031")</f>
        <v>#NAME?</v>
      </c>
      <c r="V1281" s="28" t="e">
        <f ca="1">[1]!BexGetData("DP_1","00O2TNJGODT0G5Z4TTKYMN18L","GSON1112070031")</f>
        <v>#NAME?</v>
      </c>
      <c r="W1281" s="28" t="e">
        <f ca="1">[1]!BexGetData("DP_1","00O2TNJGODT0G5Z4TTKYMN7K5","GSON1112070031")</f>
        <v>#NAME?</v>
      </c>
    </row>
    <row r="1282" spans="1:23" x14ac:dyDescent="0.2">
      <c r="A1282" s="36" t="s">
        <v>995</v>
      </c>
      <c r="B1282" s="27" t="s">
        <v>996</v>
      </c>
      <c r="C1282" s="23" t="e">
        <f ca="1">[1]!BexGetData("DP_1","003N8EMH8GTFRCSWKMPXRR8GU","GSON1112070035")</f>
        <v>#NAME?</v>
      </c>
      <c r="D1282" s="23" t="e">
        <f ca="1">[1]!BexGetData("DP_1","003N8EMH8GTFRCSWKMPXRRESE","GSON1112070035")</f>
        <v>#NAME?</v>
      </c>
      <c r="E1282" s="28" t="e">
        <f ca="1">[1]!BexGetData("DP_1","003N8EMH8GTFRCSWKMPXRRL3Y","GSON1112070035")</f>
        <v>#NAME?</v>
      </c>
      <c r="F1282" s="28" t="e">
        <f ca="1">[1]!BexGetData("DP_1","003N8EMH8GTFRCSWKMPXRRRFI","GSON1112070035")</f>
        <v>#NAME?</v>
      </c>
      <c r="G1282" s="23" t="e">
        <f ca="1">[1]!BexGetData("DP_1","003N8EMH8GTFRCSWKMPXRRXR2","GSON1112070035")</f>
        <v>#NAME?</v>
      </c>
      <c r="H1282" s="23" t="e">
        <f ca="1">[1]!BexGetData("DP_1","003N8EMH8GTFRCSWKMPXRS42M","GSON1112070035")</f>
        <v>#NAME?</v>
      </c>
      <c r="I1282" s="28" t="e">
        <f ca="1">[1]!BexGetData("DP_1","003N8EMH8GTFRCSWKMPXRSAE6","GSON1112070035")</f>
        <v>#NAME?</v>
      </c>
      <c r="J1282" s="24" t="e">
        <f ca="1">[1]!BexGetData("DP_1","003N8EMH8GTFRCSWKMPXRSGPQ","GSON1112070035")</f>
        <v>#NAME?</v>
      </c>
      <c r="K1282" s="28" t="e">
        <f ca="1">[1]!BexGetData("DP_1","003N8EMH8GTFRIVNUPY288VJH","GSON1112070035")</f>
        <v>#NAME?</v>
      </c>
      <c r="L1282" s="28" t="e">
        <f ca="1">[1]!BexGetData("DP_1","003N8EMH8GTFRIVNUPY2891V1","GSON1112070035")</f>
        <v>#NAME?</v>
      </c>
      <c r="M1282" s="28" t="e">
        <f ca="1">[1]!BexGetData("DP_1","003N8EMH8GTFRIVOG7KG9IQXA","GSON1112070035")</f>
        <v>#NAME?</v>
      </c>
      <c r="N1282" s="28" t="e">
        <f ca="1">[1]!BexGetData("DP_1","003N8EMH8GTFRIVOG7KG9IX8U","GSON1112070035")</f>
        <v>#NAME?</v>
      </c>
      <c r="O1282" s="28" t="e">
        <f ca="1">[1]!BexGetData("DP_1","003N8EMH8GTFRIVOG7KG9J3KE","GSON1112070035")</f>
        <v>#NAME?</v>
      </c>
      <c r="P1282" s="28" t="e">
        <f ca="1">[1]!BexGetData("DP_1","003N8EMH8GTFRIVOG7KG9J9VY","GSON1112070035")</f>
        <v>#NAME?</v>
      </c>
      <c r="Q1282" s="24" t="e">
        <f ca="1">[1]!BexGetData("DP_1","00O2TNJGODT0G5Z4TTKYMM5MT","GSON1112070035")</f>
        <v>#NAME?</v>
      </c>
      <c r="R1282" s="28" t="e">
        <f ca="1">[1]!BexGetData("DP_1","00O2TNJGODT0G5Z4TTKYMMBYD","GSON1112070035")</f>
        <v>#NAME?</v>
      </c>
      <c r="S1282" s="28" t="e">
        <f ca="1">[1]!BexGetData("DP_1","00O2TNJGODT0G5Z4TTKYMMI9X","GSON1112070035")</f>
        <v>#NAME?</v>
      </c>
      <c r="T1282" s="28" t="e">
        <f ca="1">[1]!BexGetData("DP_1","00O2TNJGODT0G5Z4TTKYMMOLH","GSON1112070035")</f>
        <v>#NAME?</v>
      </c>
      <c r="U1282" s="28" t="e">
        <f ca="1">[1]!BexGetData("DP_1","00O2TNJGODT0G5Z4TTKYMMUX1","GSON1112070035")</f>
        <v>#NAME?</v>
      </c>
      <c r="V1282" s="28" t="e">
        <f ca="1">[1]!BexGetData("DP_1","00O2TNJGODT0G5Z4TTKYMN18L","GSON1112070035")</f>
        <v>#NAME?</v>
      </c>
      <c r="W1282" s="28" t="e">
        <f ca="1">[1]!BexGetData("DP_1","00O2TNJGODT0G5Z4TTKYMN7K5","GSON1112070035")</f>
        <v>#NAME?</v>
      </c>
    </row>
    <row r="1283" spans="1:23" x14ac:dyDescent="0.2">
      <c r="A1283" s="36" t="s">
        <v>997</v>
      </c>
      <c r="B1283" s="27" t="s">
        <v>998</v>
      </c>
      <c r="C1283" s="23" t="e">
        <f ca="1">[1]!BexGetData("DP_1","003N8EMH8GTFRCSWKMPXRR8GU","GSON1112070040")</f>
        <v>#NAME?</v>
      </c>
      <c r="D1283" s="28" t="e">
        <f ca="1">[1]!BexGetData("DP_1","003N8EMH8GTFRCSWKMPXRRESE","GSON1112070040")</f>
        <v>#NAME?</v>
      </c>
      <c r="E1283" s="23" t="e">
        <f ca="1">[1]!BexGetData("DP_1","003N8EMH8GTFRCSWKMPXRRL3Y","GSON1112070040")</f>
        <v>#NAME?</v>
      </c>
      <c r="F1283" s="23" t="e">
        <f ca="1">[1]!BexGetData("DP_1","003N8EMH8GTFRCSWKMPXRRRFI","GSON1112070040")</f>
        <v>#NAME?</v>
      </c>
      <c r="G1283" s="23" t="e">
        <f ca="1">[1]!BexGetData("DP_1","003N8EMH8GTFRCSWKMPXRRXR2","GSON1112070040")</f>
        <v>#NAME?</v>
      </c>
      <c r="H1283" s="28" t="e">
        <f ca="1">[1]!BexGetData("DP_1","003N8EMH8GTFRCSWKMPXRS42M","GSON1112070040")</f>
        <v>#NAME?</v>
      </c>
      <c r="I1283" s="23" t="e">
        <f ca="1">[1]!BexGetData("DP_1","003N8EMH8GTFRCSWKMPXRSAE6","GSON1112070040")</f>
        <v>#NAME?</v>
      </c>
      <c r="J1283" s="23" t="e">
        <f ca="1">[1]!BexGetData("DP_1","003N8EMH8GTFRCSWKMPXRSGPQ","GSON1112070040")</f>
        <v>#NAME?</v>
      </c>
      <c r="K1283" s="23" t="e">
        <f ca="1">[1]!BexGetData("DP_1","003N8EMH8GTFRIVNUPY288VJH","GSON1112070040")</f>
        <v>#NAME?</v>
      </c>
      <c r="L1283" s="23" t="e">
        <f ca="1">[1]!BexGetData("DP_1","003N8EMH8GTFRIVNUPY2891V1","GSON1112070040")</f>
        <v>#NAME?</v>
      </c>
      <c r="M1283" s="28" t="e">
        <f ca="1">[1]!BexGetData("DP_1","003N8EMH8GTFRIVOG7KG9IQXA","GSON1112070040")</f>
        <v>#NAME?</v>
      </c>
      <c r="N1283" s="23" t="e">
        <f ca="1">[1]!BexGetData("DP_1","003N8EMH8GTFRIVOG7KG9IX8U","GSON1112070040")</f>
        <v>#NAME?</v>
      </c>
      <c r="O1283" s="28" t="e">
        <f ca="1">[1]!BexGetData("DP_1","003N8EMH8GTFRIVOG7KG9J3KE","GSON1112070040")</f>
        <v>#NAME?</v>
      </c>
      <c r="P1283" s="23" t="e">
        <f ca="1">[1]!BexGetData("DP_1","003N8EMH8GTFRIVOG7KG9J9VY","GSON1112070040")</f>
        <v>#NAME?</v>
      </c>
      <c r="Q1283" s="23" t="e">
        <f ca="1">[1]!BexGetData("DP_1","00O2TNJGODT0G5Z4TTKYMM5MT","GSON1112070040")</f>
        <v>#NAME?</v>
      </c>
      <c r="R1283" s="23" t="e">
        <f ca="1">[1]!BexGetData("DP_1","00O2TNJGODT0G5Z4TTKYMMBYD","GSON1112070040")</f>
        <v>#NAME?</v>
      </c>
      <c r="S1283" s="23" t="e">
        <f ca="1">[1]!BexGetData("DP_1","00O2TNJGODT0G5Z4TTKYMMI9X","GSON1112070040")</f>
        <v>#NAME?</v>
      </c>
      <c r="T1283" s="28" t="e">
        <f ca="1">[1]!BexGetData("DP_1","00O2TNJGODT0G5Z4TTKYMMOLH","GSON1112070040")</f>
        <v>#NAME?</v>
      </c>
      <c r="U1283" s="23" t="e">
        <f ca="1">[1]!BexGetData("DP_1","00O2TNJGODT0G5Z4TTKYMMUX1","GSON1112070040")</f>
        <v>#NAME?</v>
      </c>
      <c r="V1283" s="28" t="e">
        <f ca="1">[1]!BexGetData("DP_1","00O2TNJGODT0G5Z4TTKYMN18L","GSON1112070040")</f>
        <v>#NAME?</v>
      </c>
      <c r="W1283" s="23" t="e">
        <f ca="1">[1]!BexGetData("DP_1","00O2TNJGODT0G5Z4TTKYMN7K5","GSON1112070040")</f>
        <v>#NAME?</v>
      </c>
    </row>
    <row r="1284" spans="1:23" x14ac:dyDescent="0.2">
      <c r="A1284" s="36" t="s">
        <v>3902</v>
      </c>
      <c r="B1284" s="27" t="s">
        <v>3903</v>
      </c>
      <c r="C1284" s="23" t="e">
        <f ca="1">[1]!BexGetData("DP_1","003N8EMH8GTFRCSWKMPXRR8GU","GSON1112070041")</f>
        <v>#NAME?</v>
      </c>
      <c r="D1284" s="23" t="e">
        <f ca="1">[1]!BexGetData("DP_1","003N8EMH8GTFRCSWKMPXRRESE","GSON1112070041")</f>
        <v>#NAME?</v>
      </c>
      <c r="E1284" s="28" t="e">
        <f ca="1">[1]!BexGetData("DP_1","003N8EMH8GTFRCSWKMPXRRL3Y","GSON1112070041")</f>
        <v>#NAME?</v>
      </c>
      <c r="F1284" s="24" t="e">
        <f ca="1">[1]!BexGetData("DP_1","003N8EMH8GTFRCSWKMPXRRRFI","GSON1112070041")</f>
        <v>#NAME?</v>
      </c>
      <c r="G1284" s="24" t="e">
        <f ca="1">[1]!BexGetData("DP_1","003N8EMH8GTFRCSWKMPXRRXR2","GSON1112070041")</f>
        <v>#NAME?</v>
      </c>
      <c r="H1284" s="24" t="e">
        <f ca="1">[1]!BexGetData("DP_1","003N8EMH8GTFRCSWKMPXRS42M","GSON1112070041")</f>
        <v>#NAME?</v>
      </c>
      <c r="I1284" s="24" t="e">
        <f ca="1">[1]!BexGetData("DP_1","003N8EMH8GTFRCSWKMPXRSAE6","GSON1112070041")</f>
        <v>#NAME?</v>
      </c>
      <c r="J1284" s="24" t="e">
        <f ca="1">[1]!BexGetData("DP_1","003N8EMH8GTFRCSWKMPXRSGPQ","GSON1112070041")</f>
        <v>#NAME?</v>
      </c>
      <c r="K1284" s="28" t="e">
        <f ca="1">[1]!BexGetData("DP_1","003N8EMH8GTFRIVNUPY288VJH","GSON1112070041")</f>
        <v>#NAME?</v>
      </c>
      <c r="L1284" s="28" t="e">
        <f ca="1">[1]!BexGetData("DP_1","003N8EMH8GTFRIVNUPY2891V1","GSON1112070041")</f>
        <v>#NAME?</v>
      </c>
      <c r="M1284" s="28" t="e">
        <f ca="1">[1]!BexGetData("DP_1","003N8EMH8GTFRIVOG7KG9IQXA","GSON1112070041")</f>
        <v>#NAME?</v>
      </c>
      <c r="N1284" s="28" t="e">
        <f ca="1">[1]!BexGetData("DP_1","003N8EMH8GTFRIVOG7KG9IX8U","GSON1112070041")</f>
        <v>#NAME?</v>
      </c>
      <c r="O1284" s="28" t="e">
        <f ca="1">[1]!BexGetData("DP_1","003N8EMH8GTFRIVOG7KG9J3KE","GSON1112070041")</f>
        <v>#NAME?</v>
      </c>
      <c r="P1284" s="28" t="e">
        <f ca="1">[1]!BexGetData("DP_1","003N8EMH8GTFRIVOG7KG9J9VY","GSON1112070041")</f>
        <v>#NAME?</v>
      </c>
      <c r="Q1284" s="24" t="e">
        <f ca="1">[1]!BexGetData("DP_1","00O2TNJGODT0G5Z4TTKYMM5MT","GSON1112070041")</f>
        <v>#NAME?</v>
      </c>
      <c r="R1284" s="24" t="e">
        <f ca="1">[1]!BexGetData("DP_1","00O2TNJGODT0G5Z4TTKYMMBYD","GSON1112070041")</f>
        <v>#NAME?</v>
      </c>
      <c r="S1284" s="24" t="e">
        <f ca="1">[1]!BexGetData("DP_1","00O2TNJGODT0G5Z4TTKYMMI9X","GSON1112070041")</f>
        <v>#NAME?</v>
      </c>
      <c r="T1284" s="24" t="e">
        <f ca="1">[1]!BexGetData("DP_1","00O2TNJGODT0G5Z4TTKYMMOLH","GSON1112070041")</f>
        <v>#NAME?</v>
      </c>
      <c r="U1284" s="24" t="e">
        <f ca="1">[1]!BexGetData("DP_1","00O2TNJGODT0G5Z4TTKYMMUX1","GSON1112070041")</f>
        <v>#NAME?</v>
      </c>
      <c r="V1284" s="24" t="e">
        <f ca="1">[1]!BexGetData("DP_1","00O2TNJGODT0G5Z4TTKYMN18L","GSON1112070041")</f>
        <v>#NAME?</v>
      </c>
      <c r="W1284" s="24" t="e">
        <f ca="1">[1]!BexGetData("DP_1","00O2TNJGODT0G5Z4TTKYMN7K5","GSON1112070041")</f>
        <v>#NAME?</v>
      </c>
    </row>
    <row r="1285" spans="1:23" x14ac:dyDescent="0.2">
      <c r="A1285" s="36" t="s">
        <v>999</v>
      </c>
      <c r="B1285" s="27" t="s">
        <v>1000</v>
      </c>
      <c r="C1285" s="23" t="e">
        <f ca="1">[1]!BexGetData("DP_1","003N8EMH8GTFRCSWKMPXRR8GU","GSON1112070045")</f>
        <v>#NAME?</v>
      </c>
      <c r="D1285" s="23" t="e">
        <f ca="1">[1]!BexGetData("DP_1","003N8EMH8GTFRCSWKMPXRRESE","GSON1112070045")</f>
        <v>#NAME?</v>
      </c>
      <c r="E1285" s="28" t="e">
        <f ca="1">[1]!BexGetData("DP_1","003N8EMH8GTFRCSWKMPXRRL3Y","GSON1112070045")</f>
        <v>#NAME?</v>
      </c>
      <c r="F1285" s="28" t="e">
        <f ca="1">[1]!BexGetData("DP_1","003N8EMH8GTFRCSWKMPXRRRFI","GSON1112070045")</f>
        <v>#NAME?</v>
      </c>
      <c r="G1285" s="23" t="e">
        <f ca="1">[1]!BexGetData("DP_1","003N8EMH8GTFRCSWKMPXRRXR2","GSON1112070045")</f>
        <v>#NAME?</v>
      </c>
      <c r="H1285" s="23" t="e">
        <f ca="1">[1]!BexGetData("DP_1","003N8EMH8GTFRCSWKMPXRS42M","GSON1112070045")</f>
        <v>#NAME?</v>
      </c>
      <c r="I1285" s="28" t="e">
        <f ca="1">[1]!BexGetData("DP_1","003N8EMH8GTFRCSWKMPXRSAE6","GSON1112070045")</f>
        <v>#NAME?</v>
      </c>
      <c r="J1285" s="24" t="e">
        <f ca="1">[1]!BexGetData("DP_1","003N8EMH8GTFRCSWKMPXRSGPQ","GSON1112070045")</f>
        <v>#NAME?</v>
      </c>
      <c r="K1285" s="28" t="e">
        <f ca="1">[1]!BexGetData("DP_1","003N8EMH8GTFRIVNUPY288VJH","GSON1112070045")</f>
        <v>#NAME?</v>
      </c>
      <c r="L1285" s="28" t="e">
        <f ca="1">[1]!BexGetData("DP_1","003N8EMH8GTFRIVNUPY2891V1","GSON1112070045")</f>
        <v>#NAME?</v>
      </c>
      <c r="M1285" s="28" t="e">
        <f ca="1">[1]!BexGetData("DP_1","003N8EMH8GTFRIVOG7KG9IQXA","GSON1112070045")</f>
        <v>#NAME?</v>
      </c>
      <c r="N1285" s="28" t="e">
        <f ca="1">[1]!BexGetData("DP_1","003N8EMH8GTFRIVOG7KG9IX8U","GSON1112070045")</f>
        <v>#NAME?</v>
      </c>
      <c r="O1285" s="28" t="e">
        <f ca="1">[1]!BexGetData("DP_1","003N8EMH8GTFRIVOG7KG9J3KE","GSON1112070045")</f>
        <v>#NAME?</v>
      </c>
      <c r="P1285" s="28" t="e">
        <f ca="1">[1]!BexGetData("DP_1","003N8EMH8GTFRIVOG7KG9J9VY","GSON1112070045")</f>
        <v>#NAME?</v>
      </c>
      <c r="Q1285" s="24" t="e">
        <f ca="1">[1]!BexGetData("DP_1","00O2TNJGODT0G5Z4TTKYMM5MT","GSON1112070045")</f>
        <v>#NAME?</v>
      </c>
      <c r="R1285" s="28" t="e">
        <f ca="1">[1]!BexGetData("DP_1","00O2TNJGODT0G5Z4TTKYMMBYD","GSON1112070045")</f>
        <v>#NAME?</v>
      </c>
      <c r="S1285" s="28" t="e">
        <f ca="1">[1]!BexGetData("DP_1","00O2TNJGODT0G5Z4TTKYMMI9X","GSON1112070045")</f>
        <v>#NAME?</v>
      </c>
      <c r="T1285" s="28" t="e">
        <f ca="1">[1]!BexGetData("DP_1","00O2TNJGODT0G5Z4TTKYMMOLH","GSON1112070045")</f>
        <v>#NAME?</v>
      </c>
      <c r="U1285" s="28" t="e">
        <f ca="1">[1]!BexGetData("DP_1","00O2TNJGODT0G5Z4TTKYMMUX1","GSON1112070045")</f>
        <v>#NAME?</v>
      </c>
      <c r="V1285" s="28" t="e">
        <f ca="1">[1]!BexGetData("DP_1","00O2TNJGODT0G5Z4TTKYMN18L","GSON1112070045")</f>
        <v>#NAME?</v>
      </c>
      <c r="W1285" s="28" t="e">
        <f ca="1">[1]!BexGetData("DP_1","00O2TNJGODT0G5Z4TTKYMN7K5","GSON1112070045")</f>
        <v>#NAME?</v>
      </c>
    </row>
    <row r="1286" spans="1:23" x14ac:dyDescent="0.2">
      <c r="A1286" s="36" t="s">
        <v>1001</v>
      </c>
      <c r="B1286" s="27" t="s">
        <v>1002</v>
      </c>
      <c r="C1286" s="23" t="e">
        <f ca="1">[1]!BexGetData("DP_1","003N8EMH8GTFRCSWKMPXRR8GU","GSON1112070050")</f>
        <v>#NAME?</v>
      </c>
      <c r="D1286" s="23" t="e">
        <f ca="1">[1]!BexGetData("DP_1","003N8EMH8GTFRCSWKMPXRRESE","GSON1112070050")</f>
        <v>#NAME?</v>
      </c>
      <c r="E1286" s="28" t="e">
        <f ca="1">[1]!BexGetData("DP_1","003N8EMH8GTFRCSWKMPXRRL3Y","GSON1112070050")</f>
        <v>#NAME?</v>
      </c>
      <c r="F1286" s="23" t="e">
        <f ca="1">[1]!BexGetData("DP_1","003N8EMH8GTFRCSWKMPXRRRFI","GSON1112070050")</f>
        <v>#NAME?</v>
      </c>
      <c r="G1286" s="23" t="e">
        <f ca="1">[1]!BexGetData("DP_1","003N8EMH8GTFRCSWKMPXRRXR2","GSON1112070050")</f>
        <v>#NAME?</v>
      </c>
      <c r="H1286" s="28" t="e">
        <f ca="1">[1]!BexGetData("DP_1","003N8EMH8GTFRCSWKMPXRS42M","GSON1112070050")</f>
        <v>#NAME?</v>
      </c>
      <c r="I1286" s="23" t="e">
        <f ca="1">[1]!BexGetData("DP_1","003N8EMH8GTFRCSWKMPXRSAE6","GSON1112070050")</f>
        <v>#NAME?</v>
      </c>
      <c r="J1286" s="23" t="e">
        <f ca="1">[1]!BexGetData("DP_1","003N8EMH8GTFRCSWKMPXRSGPQ","GSON1112070050")</f>
        <v>#NAME?</v>
      </c>
      <c r="K1286" s="23" t="e">
        <f ca="1">[1]!BexGetData("DP_1","003N8EMH8GTFRIVNUPY288VJH","GSON1112070050")</f>
        <v>#NAME?</v>
      </c>
      <c r="L1286" s="23" t="e">
        <f ca="1">[1]!BexGetData("DP_1","003N8EMH8GTFRIVNUPY2891V1","GSON1112070050")</f>
        <v>#NAME?</v>
      </c>
      <c r="M1286" s="23" t="e">
        <f ca="1">[1]!BexGetData("DP_1","003N8EMH8GTFRIVOG7KG9IQXA","GSON1112070050")</f>
        <v>#NAME?</v>
      </c>
      <c r="N1286" s="28" t="e">
        <f ca="1">[1]!BexGetData("DP_1","003N8EMH8GTFRIVOG7KG9IX8U","GSON1112070050")</f>
        <v>#NAME?</v>
      </c>
      <c r="O1286" s="23" t="e">
        <f ca="1">[1]!BexGetData("DP_1","003N8EMH8GTFRIVOG7KG9J3KE","GSON1112070050")</f>
        <v>#NAME?</v>
      </c>
      <c r="P1286" s="28" t="e">
        <f ca="1">[1]!BexGetData("DP_1","003N8EMH8GTFRIVOG7KG9J9VY","GSON1112070050")</f>
        <v>#NAME?</v>
      </c>
      <c r="Q1286" s="23" t="e">
        <f ca="1">[1]!BexGetData("DP_1","00O2TNJGODT0G5Z4TTKYMM5MT","GSON1112070050")</f>
        <v>#NAME?</v>
      </c>
      <c r="R1286" s="23" t="e">
        <f ca="1">[1]!BexGetData("DP_1","00O2TNJGODT0G5Z4TTKYMMBYD","GSON1112070050")</f>
        <v>#NAME?</v>
      </c>
      <c r="S1286" s="23" t="e">
        <f ca="1">[1]!BexGetData("DP_1","00O2TNJGODT0G5Z4TTKYMMI9X","GSON1112070050")</f>
        <v>#NAME?</v>
      </c>
      <c r="T1286" s="28" t="e">
        <f ca="1">[1]!BexGetData("DP_1","00O2TNJGODT0G5Z4TTKYMMOLH","GSON1112070050")</f>
        <v>#NAME?</v>
      </c>
      <c r="U1286" s="23" t="e">
        <f ca="1">[1]!BexGetData("DP_1","00O2TNJGODT0G5Z4TTKYMMUX1","GSON1112070050")</f>
        <v>#NAME?</v>
      </c>
      <c r="V1286" s="28" t="e">
        <f ca="1">[1]!BexGetData("DP_1","00O2TNJGODT0G5Z4TTKYMN18L","GSON1112070050")</f>
        <v>#NAME?</v>
      </c>
      <c r="W1286" s="23" t="e">
        <f ca="1">[1]!BexGetData("DP_1","00O2TNJGODT0G5Z4TTKYMN7K5","GSON1112070050")</f>
        <v>#NAME?</v>
      </c>
    </row>
    <row r="1287" spans="1:23" x14ac:dyDescent="0.2">
      <c r="A1287" s="36" t="s">
        <v>3904</v>
      </c>
      <c r="B1287" s="27" t="s">
        <v>3905</v>
      </c>
      <c r="C1287" s="23" t="e">
        <f ca="1">[1]!BexGetData("DP_1","003N8EMH8GTFRCSWKMPXRR8GU","GSON1112070053")</f>
        <v>#NAME?</v>
      </c>
      <c r="D1287" s="23" t="e">
        <f ca="1">[1]!BexGetData("DP_1","003N8EMH8GTFRCSWKMPXRRESE","GSON1112070053")</f>
        <v>#NAME?</v>
      </c>
      <c r="E1287" s="28" t="e">
        <f ca="1">[1]!BexGetData("DP_1","003N8EMH8GTFRCSWKMPXRRL3Y","GSON1112070053")</f>
        <v>#NAME?</v>
      </c>
      <c r="F1287" s="24" t="e">
        <f ca="1">[1]!BexGetData("DP_1","003N8EMH8GTFRCSWKMPXRRRFI","GSON1112070053")</f>
        <v>#NAME?</v>
      </c>
      <c r="G1287" s="24" t="e">
        <f ca="1">[1]!BexGetData("DP_1","003N8EMH8GTFRCSWKMPXRRXR2","GSON1112070053")</f>
        <v>#NAME?</v>
      </c>
      <c r="H1287" s="24" t="e">
        <f ca="1">[1]!BexGetData("DP_1","003N8EMH8GTFRCSWKMPXRS42M","GSON1112070053")</f>
        <v>#NAME?</v>
      </c>
      <c r="I1287" s="24" t="e">
        <f ca="1">[1]!BexGetData("DP_1","003N8EMH8GTFRCSWKMPXRSAE6","GSON1112070053")</f>
        <v>#NAME?</v>
      </c>
      <c r="J1287" s="24" t="e">
        <f ca="1">[1]!BexGetData("DP_1","003N8EMH8GTFRCSWKMPXRSGPQ","GSON1112070053")</f>
        <v>#NAME?</v>
      </c>
      <c r="K1287" s="28" t="e">
        <f ca="1">[1]!BexGetData("DP_1","003N8EMH8GTFRIVNUPY288VJH","GSON1112070053")</f>
        <v>#NAME?</v>
      </c>
      <c r="L1287" s="28" t="e">
        <f ca="1">[1]!BexGetData("DP_1","003N8EMH8GTFRIVNUPY2891V1","GSON1112070053")</f>
        <v>#NAME?</v>
      </c>
      <c r="M1287" s="28" t="e">
        <f ca="1">[1]!BexGetData("DP_1","003N8EMH8GTFRIVOG7KG9IQXA","GSON1112070053")</f>
        <v>#NAME?</v>
      </c>
      <c r="N1287" s="28" t="e">
        <f ca="1">[1]!BexGetData("DP_1","003N8EMH8GTFRIVOG7KG9IX8U","GSON1112070053")</f>
        <v>#NAME?</v>
      </c>
      <c r="O1287" s="28" t="e">
        <f ca="1">[1]!BexGetData("DP_1","003N8EMH8GTFRIVOG7KG9J3KE","GSON1112070053")</f>
        <v>#NAME?</v>
      </c>
      <c r="P1287" s="28" t="e">
        <f ca="1">[1]!BexGetData("DP_1","003N8EMH8GTFRIVOG7KG9J9VY","GSON1112070053")</f>
        <v>#NAME?</v>
      </c>
      <c r="Q1287" s="24" t="e">
        <f ca="1">[1]!BexGetData("DP_1","00O2TNJGODT0G5Z4TTKYMM5MT","GSON1112070053")</f>
        <v>#NAME?</v>
      </c>
      <c r="R1287" s="24" t="e">
        <f ca="1">[1]!BexGetData("DP_1","00O2TNJGODT0G5Z4TTKYMMBYD","GSON1112070053")</f>
        <v>#NAME?</v>
      </c>
      <c r="S1287" s="24" t="e">
        <f ca="1">[1]!BexGetData("DP_1","00O2TNJGODT0G5Z4TTKYMMI9X","GSON1112070053")</f>
        <v>#NAME?</v>
      </c>
      <c r="T1287" s="24" t="e">
        <f ca="1">[1]!BexGetData("DP_1","00O2TNJGODT0G5Z4TTKYMMOLH","GSON1112070053")</f>
        <v>#NAME?</v>
      </c>
      <c r="U1287" s="24" t="e">
        <f ca="1">[1]!BexGetData("DP_1","00O2TNJGODT0G5Z4TTKYMMUX1","GSON1112070053")</f>
        <v>#NAME?</v>
      </c>
      <c r="V1287" s="24" t="e">
        <f ca="1">[1]!BexGetData("DP_1","00O2TNJGODT0G5Z4TTKYMN18L","GSON1112070053")</f>
        <v>#NAME?</v>
      </c>
      <c r="W1287" s="24" t="e">
        <f ca="1">[1]!BexGetData("DP_1","00O2TNJGODT0G5Z4TTKYMN7K5","GSON1112070053")</f>
        <v>#NAME?</v>
      </c>
    </row>
    <row r="1288" spans="1:23" x14ac:dyDescent="0.2">
      <c r="A1288" s="36" t="s">
        <v>3906</v>
      </c>
      <c r="B1288" s="27" t="s">
        <v>3907</v>
      </c>
      <c r="C1288" s="23" t="e">
        <f ca="1">[1]!BexGetData("DP_1","003N8EMH8GTFRCSWKMPXRR8GU","GSON1112070054")</f>
        <v>#NAME?</v>
      </c>
      <c r="D1288" s="23" t="e">
        <f ca="1">[1]!BexGetData("DP_1","003N8EMH8GTFRCSWKMPXRRESE","GSON1112070054")</f>
        <v>#NAME?</v>
      </c>
      <c r="E1288" s="28" t="e">
        <f ca="1">[1]!BexGetData("DP_1","003N8EMH8GTFRCSWKMPXRRL3Y","GSON1112070054")</f>
        <v>#NAME?</v>
      </c>
      <c r="F1288" s="24" t="e">
        <f ca="1">[1]!BexGetData("DP_1","003N8EMH8GTFRCSWKMPXRRRFI","GSON1112070054")</f>
        <v>#NAME?</v>
      </c>
      <c r="G1288" s="24" t="e">
        <f ca="1">[1]!BexGetData("DP_1","003N8EMH8GTFRCSWKMPXRRXR2","GSON1112070054")</f>
        <v>#NAME?</v>
      </c>
      <c r="H1288" s="24" t="e">
        <f ca="1">[1]!BexGetData("DP_1","003N8EMH8GTFRCSWKMPXRS42M","GSON1112070054")</f>
        <v>#NAME?</v>
      </c>
      <c r="I1288" s="24" t="e">
        <f ca="1">[1]!BexGetData("DP_1","003N8EMH8GTFRCSWKMPXRSAE6","GSON1112070054")</f>
        <v>#NAME?</v>
      </c>
      <c r="J1288" s="24" t="e">
        <f ca="1">[1]!BexGetData("DP_1","003N8EMH8GTFRCSWKMPXRSGPQ","GSON1112070054")</f>
        <v>#NAME?</v>
      </c>
      <c r="K1288" s="28" t="e">
        <f ca="1">[1]!BexGetData("DP_1","003N8EMH8GTFRIVNUPY288VJH","GSON1112070054")</f>
        <v>#NAME?</v>
      </c>
      <c r="L1288" s="28" t="e">
        <f ca="1">[1]!BexGetData("DP_1","003N8EMH8GTFRIVNUPY2891V1","GSON1112070054")</f>
        <v>#NAME?</v>
      </c>
      <c r="M1288" s="28" t="e">
        <f ca="1">[1]!BexGetData("DP_1","003N8EMH8GTFRIVOG7KG9IQXA","GSON1112070054")</f>
        <v>#NAME?</v>
      </c>
      <c r="N1288" s="28" t="e">
        <f ca="1">[1]!BexGetData("DP_1","003N8EMH8GTFRIVOG7KG9IX8U","GSON1112070054")</f>
        <v>#NAME?</v>
      </c>
      <c r="O1288" s="28" t="e">
        <f ca="1">[1]!BexGetData("DP_1","003N8EMH8GTFRIVOG7KG9J3KE","GSON1112070054")</f>
        <v>#NAME?</v>
      </c>
      <c r="P1288" s="28" t="e">
        <f ca="1">[1]!BexGetData("DP_1","003N8EMH8GTFRIVOG7KG9J9VY","GSON1112070054")</f>
        <v>#NAME?</v>
      </c>
      <c r="Q1288" s="24" t="e">
        <f ca="1">[1]!BexGetData("DP_1","00O2TNJGODT0G5Z4TTKYMM5MT","GSON1112070054")</f>
        <v>#NAME?</v>
      </c>
      <c r="R1288" s="24" t="e">
        <f ca="1">[1]!BexGetData("DP_1","00O2TNJGODT0G5Z4TTKYMMBYD","GSON1112070054")</f>
        <v>#NAME?</v>
      </c>
      <c r="S1288" s="24" t="e">
        <f ca="1">[1]!BexGetData("DP_1","00O2TNJGODT0G5Z4TTKYMMI9X","GSON1112070054")</f>
        <v>#NAME?</v>
      </c>
      <c r="T1288" s="24" t="e">
        <f ca="1">[1]!BexGetData("DP_1","00O2TNJGODT0G5Z4TTKYMMOLH","GSON1112070054")</f>
        <v>#NAME?</v>
      </c>
      <c r="U1288" s="24" t="e">
        <f ca="1">[1]!BexGetData("DP_1","00O2TNJGODT0G5Z4TTKYMMUX1","GSON1112070054")</f>
        <v>#NAME?</v>
      </c>
      <c r="V1288" s="24" t="e">
        <f ca="1">[1]!BexGetData("DP_1","00O2TNJGODT0G5Z4TTKYMN18L","GSON1112070054")</f>
        <v>#NAME?</v>
      </c>
      <c r="W1288" s="24" t="e">
        <f ca="1">[1]!BexGetData("DP_1","00O2TNJGODT0G5Z4TTKYMN7K5","GSON1112070054")</f>
        <v>#NAME?</v>
      </c>
    </row>
    <row r="1289" spans="1:23" x14ac:dyDescent="0.2">
      <c r="A1289" s="36" t="s">
        <v>1003</v>
      </c>
      <c r="B1289" s="27" t="s">
        <v>1004</v>
      </c>
      <c r="C1289" s="23" t="e">
        <f ca="1">[1]!BexGetData("DP_1","003N8EMH8GTFRCSWKMPXRR8GU","GSON1112070055")</f>
        <v>#NAME?</v>
      </c>
      <c r="D1289" s="23" t="e">
        <f ca="1">[1]!BexGetData("DP_1","003N8EMH8GTFRCSWKMPXRRESE","GSON1112070055")</f>
        <v>#NAME?</v>
      </c>
      <c r="E1289" s="28" t="e">
        <f ca="1">[1]!BexGetData("DP_1","003N8EMH8GTFRCSWKMPXRRL3Y","GSON1112070055")</f>
        <v>#NAME?</v>
      </c>
      <c r="F1289" s="28" t="e">
        <f ca="1">[1]!BexGetData("DP_1","003N8EMH8GTFRCSWKMPXRRRFI","GSON1112070055")</f>
        <v>#NAME?</v>
      </c>
      <c r="G1289" s="23" t="e">
        <f ca="1">[1]!BexGetData("DP_1","003N8EMH8GTFRCSWKMPXRRXR2","GSON1112070055")</f>
        <v>#NAME?</v>
      </c>
      <c r="H1289" s="23" t="e">
        <f ca="1">[1]!BexGetData("DP_1","003N8EMH8GTFRCSWKMPXRS42M","GSON1112070055")</f>
        <v>#NAME?</v>
      </c>
      <c r="I1289" s="28" t="e">
        <f ca="1">[1]!BexGetData("DP_1","003N8EMH8GTFRCSWKMPXRSAE6","GSON1112070055")</f>
        <v>#NAME?</v>
      </c>
      <c r="J1289" s="24" t="e">
        <f ca="1">[1]!BexGetData("DP_1","003N8EMH8GTFRCSWKMPXRSGPQ","GSON1112070055")</f>
        <v>#NAME?</v>
      </c>
      <c r="K1289" s="28" t="e">
        <f ca="1">[1]!BexGetData("DP_1","003N8EMH8GTFRIVNUPY288VJH","GSON1112070055")</f>
        <v>#NAME?</v>
      </c>
      <c r="L1289" s="28" t="e">
        <f ca="1">[1]!BexGetData("DP_1","003N8EMH8GTFRIVNUPY2891V1","GSON1112070055")</f>
        <v>#NAME?</v>
      </c>
      <c r="M1289" s="28" t="e">
        <f ca="1">[1]!BexGetData("DP_1","003N8EMH8GTFRIVOG7KG9IQXA","GSON1112070055")</f>
        <v>#NAME?</v>
      </c>
      <c r="N1289" s="28" t="e">
        <f ca="1">[1]!BexGetData("DP_1","003N8EMH8GTFRIVOG7KG9IX8U","GSON1112070055")</f>
        <v>#NAME?</v>
      </c>
      <c r="O1289" s="28" t="e">
        <f ca="1">[1]!BexGetData("DP_1","003N8EMH8GTFRIVOG7KG9J3KE","GSON1112070055")</f>
        <v>#NAME?</v>
      </c>
      <c r="P1289" s="28" t="e">
        <f ca="1">[1]!BexGetData("DP_1","003N8EMH8GTFRIVOG7KG9J9VY","GSON1112070055")</f>
        <v>#NAME?</v>
      </c>
      <c r="Q1289" s="24" t="e">
        <f ca="1">[1]!BexGetData("DP_1","00O2TNJGODT0G5Z4TTKYMM5MT","GSON1112070055")</f>
        <v>#NAME?</v>
      </c>
      <c r="R1289" s="28" t="e">
        <f ca="1">[1]!BexGetData("DP_1","00O2TNJGODT0G5Z4TTKYMMBYD","GSON1112070055")</f>
        <v>#NAME?</v>
      </c>
      <c r="S1289" s="28" t="e">
        <f ca="1">[1]!BexGetData("DP_1","00O2TNJGODT0G5Z4TTKYMMI9X","GSON1112070055")</f>
        <v>#NAME?</v>
      </c>
      <c r="T1289" s="28" t="e">
        <f ca="1">[1]!BexGetData("DP_1","00O2TNJGODT0G5Z4TTKYMMOLH","GSON1112070055")</f>
        <v>#NAME?</v>
      </c>
      <c r="U1289" s="28" t="e">
        <f ca="1">[1]!BexGetData("DP_1","00O2TNJGODT0G5Z4TTKYMMUX1","GSON1112070055")</f>
        <v>#NAME?</v>
      </c>
      <c r="V1289" s="28" t="e">
        <f ca="1">[1]!BexGetData("DP_1","00O2TNJGODT0G5Z4TTKYMN18L","GSON1112070055")</f>
        <v>#NAME?</v>
      </c>
      <c r="W1289" s="28" t="e">
        <f ca="1">[1]!BexGetData("DP_1","00O2TNJGODT0G5Z4TTKYMN7K5","GSON1112070055")</f>
        <v>#NAME?</v>
      </c>
    </row>
    <row r="1290" spans="1:23" x14ac:dyDescent="0.2">
      <c r="A1290" s="36" t="s">
        <v>1005</v>
      </c>
      <c r="B1290" s="27" t="s">
        <v>1006</v>
      </c>
      <c r="C1290" s="23" t="e">
        <f ca="1">[1]!BexGetData("DP_1","003N8EMH8GTFRCSWKMPXRR8GU","GSON1112070060")</f>
        <v>#NAME?</v>
      </c>
      <c r="D1290" s="28" t="e">
        <f ca="1">[1]!BexGetData("DP_1","003N8EMH8GTFRCSWKMPXRRESE","GSON1112070060")</f>
        <v>#NAME?</v>
      </c>
      <c r="E1290" s="23" t="e">
        <f ca="1">[1]!BexGetData("DP_1","003N8EMH8GTFRCSWKMPXRRL3Y","GSON1112070060")</f>
        <v>#NAME?</v>
      </c>
      <c r="F1290" s="23" t="e">
        <f ca="1">[1]!BexGetData("DP_1","003N8EMH8GTFRCSWKMPXRRRFI","GSON1112070060")</f>
        <v>#NAME?</v>
      </c>
      <c r="G1290" s="23" t="e">
        <f ca="1">[1]!BexGetData("DP_1","003N8EMH8GTFRCSWKMPXRRXR2","GSON1112070060")</f>
        <v>#NAME?</v>
      </c>
      <c r="H1290" s="28" t="e">
        <f ca="1">[1]!BexGetData("DP_1","003N8EMH8GTFRCSWKMPXRS42M","GSON1112070060")</f>
        <v>#NAME?</v>
      </c>
      <c r="I1290" s="23" t="e">
        <f ca="1">[1]!BexGetData("DP_1","003N8EMH8GTFRCSWKMPXRSAE6","GSON1112070060")</f>
        <v>#NAME?</v>
      </c>
      <c r="J1290" s="23" t="e">
        <f ca="1">[1]!BexGetData("DP_1","003N8EMH8GTFRCSWKMPXRSGPQ","GSON1112070060")</f>
        <v>#NAME?</v>
      </c>
      <c r="K1290" s="23" t="e">
        <f ca="1">[1]!BexGetData("DP_1","003N8EMH8GTFRIVNUPY288VJH","GSON1112070060")</f>
        <v>#NAME?</v>
      </c>
      <c r="L1290" s="23" t="e">
        <f ca="1">[1]!BexGetData("DP_1","003N8EMH8GTFRIVNUPY2891V1","GSON1112070060")</f>
        <v>#NAME?</v>
      </c>
      <c r="M1290" s="28" t="e">
        <f ca="1">[1]!BexGetData("DP_1","003N8EMH8GTFRIVOG7KG9IQXA","GSON1112070060")</f>
        <v>#NAME?</v>
      </c>
      <c r="N1290" s="23" t="e">
        <f ca="1">[1]!BexGetData("DP_1","003N8EMH8GTFRIVOG7KG9IX8U","GSON1112070060")</f>
        <v>#NAME?</v>
      </c>
      <c r="O1290" s="28" t="e">
        <f ca="1">[1]!BexGetData("DP_1","003N8EMH8GTFRIVOG7KG9J3KE","GSON1112070060")</f>
        <v>#NAME?</v>
      </c>
      <c r="P1290" s="23" t="e">
        <f ca="1">[1]!BexGetData("DP_1","003N8EMH8GTFRIVOG7KG9J9VY","GSON1112070060")</f>
        <v>#NAME?</v>
      </c>
      <c r="Q1290" s="23" t="e">
        <f ca="1">[1]!BexGetData("DP_1","00O2TNJGODT0G5Z4TTKYMM5MT","GSON1112070060")</f>
        <v>#NAME?</v>
      </c>
      <c r="R1290" s="23" t="e">
        <f ca="1">[1]!BexGetData("DP_1","00O2TNJGODT0G5Z4TTKYMMBYD","GSON1112070060")</f>
        <v>#NAME?</v>
      </c>
      <c r="S1290" s="23" t="e">
        <f ca="1">[1]!BexGetData("DP_1","00O2TNJGODT0G5Z4TTKYMMI9X","GSON1112070060")</f>
        <v>#NAME?</v>
      </c>
      <c r="T1290" s="28" t="e">
        <f ca="1">[1]!BexGetData("DP_1","00O2TNJGODT0G5Z4TTKYMMOLH","GSON1112070060")</f>
        <v>#NAME?</v>
      </c>
      <c r="U1290" s="23" t="e">
        <f ca="1">[1]!BexGetData("DP_1","00O2TNJGODT0G5Z4TTKYMMUX1","GSON1112070060")</f>
        <v>#NAME?</v>
      </c>
      <c r="V1290" s="28" t="e">
        <f ca="1">[1]!BexGetData("DP_1","00O2TNJGODT0G5Z4TTKYMN18L","GSON1112070060")</f>
        <v>#NAME?</v>
      </c>
      <c r="W1290" s="23" t="e">
        <f ca="1">[1]!BexGetData("DP_1","00O2TNJGODT0G5Z4TTKYMN7K5","GSON1112070060")</f>
        <v>#NAME?</v>
      </c>
    </row>
    <row r="1291" spans="1:23" x14ac:dyDescent="0.2">
      <c r="A1291" s="36" t="s">
        <v>1007</v>
      </c>
      <c r="B1291" s="27" t="s">
        <v>1008</v>
      </c>
      <c r="C1291" s="23" t="e">
        <f ca="1">[1]!BexGetData("DP_1","003N8EMH8GTFRCSWKMPXRR8GU","GSON1112070065")</f>
        <v>#NAME?</v>
      </c>
      <c r="D1291" s="23" t="e">
        <f ca="1">[1]!BexGetData("DP_1","003N8EMH8GTFRCSWKMPXRRESE","GSON1112070065")</f>
        <v>#NAME?</v>
      </c>
      <c r="E1291" s="28" t="e">
        <f ca="1">[1]!BexGetData("DP_1","003N8EMH8GTFRCSWKMPXRRL3Y","GSON1112070065")</f>
        <v>#NAME?</v>
      </c>
      <c r="F1291" s="28" t="e">
        <f ca="1">[1]!BexGetData("DP_1","003N8EMH8GTFRCSWKMPXRRRFI","GSON1112070065")</f>
        <v>#NAME?</v>
      </c>
      <c r="G1291" s="23" t="e">
        <f ca="1">[1]!BexGetData("DP_1","003N8EMH8GTFRCSWKMPXRRXR2","GSON1112070065")</f>
        <v>#NAME?</v>
      </c>
      <c r="H1291" s="23" t="e">
        <f ca="1">[1]!BexGetData("DP_1","003N8EMH8GTFRCSWKMPXRS42M","GSON1112070065")</f>
        <v>#NAME?</v>
      </c>
      <c r="I1291" s="28" t="e">
        <f ca="1">[1]!BexGetData("DP_1","003N8EMH8GTFRCSWKMPXRSAE6","GSON1112070065")</f>
        <v>#NAME?</v>
      </c>
      <c r="J1291" s="24" t="e">
        <f ca="1">[1]!BexGetData("DP_1","003N8EMH8GTFRCSWKMPXRSGPQ","GSON1112070065")</f>
        <v>#NAME?</v>
      </c>
      <c r="K1291" s="28" t="e">
        <f ca="1">[1]!BexGetData("DP_1","003N8EMH8GTFRIVNUPY288VJH","GSON1112070065")</f>
        <v>#NAME?</v>
      </c>
      <c r="L1291" s="28" t="e">
        <f ca="1">[1]!BexGetData("DP_1","003N8EMH8GTFRIVNUPY2891V1","GSON1112070065")</f>
        <v>#NAME?</v>
      </c>
      <c r="M1291" s="28" t="e">
        <f ca="1">[1]!BexGetData("DP_1","003N8EMH8GTFRIVOG7KG9IQXA","GSON1112070065")</f>
        <v>#NAME?</v>
      </c>
      <c r="N1291" s="28" t="e">
        <f ca="1">[1]!BexGetData("DP_1","003N8EMH8GTFRIVOG7KG9IX8U","GSON1112070065")</f>
        <v>#NAME?</v>
      </c>
      <c r="O1291" s="28" t="e">
        <f ca="1">[1]!BexGetData("DP_1","003N8EMH8GTFRIVOG7KG9J3KE","GSON1112070065")</f>
        <v>#NAME?</v>
      </c>
      <c r="P1291" s="28" t="e">
        <f ca="1">[1]!BexGetData("DP_1","003N8EMH8GTFRIVOG7KG9J9VY","GSON1112070065")</f>
        <v>#NAME?</v>
      </c>
      <c r="Q1291" s="24" t="e">
        <f ca="1">[1]!BexGetData("DP_1","00O2TNJGODT0G5Z4TTKYMM5MT","GSON1112070065")</f>
        <v>#NAME?</v>
      </c>
      <c r="R1291" s="28" t="e">
        <f ca="1">[1]!BexGetData("DP_1","00O2TNJGODT0G5Z4TTKYMMBYD","GSON1112070065")</f>
        <v>#NAME?</v>
      </c>
      <c r="S1291" s="28" t="e">
        <f ca="1">[1]!BexGetData("DP_1","00O2TNJGODT0G5Z4TTKYMMI9X","GSON1112070065")</f>
        <v>#NAME?</v>
      </c>
      <c r="T1291" s="28" t="e">
        <f ca="1">[1]!BexGetData("DP_1","00O2TNJGODT0G5Z4TTKYMMOLH","GSON1112070065")</f>
        <v>#NAME?</v>
      </c>
      <c r="U1291" s="28" t="e">
        <f ca="1">[1]!BexGetData("DP_1","00O2TNJGODT0G5Z4TTKYMMUX1","GSON1112070065")</f>
        <v>#NAME?</v>
      </c>
      <c r="V1291" s="28" t="e">
        <f ca="1">[1]!BexGetData("DP_1","00O2TNJGODT0G5Z4TTKYMN18L","GSON1112070065")</f>
        <v>#NAME?</v>
      </c>
      <c r="W1291" s="28" t="e">
        <f ca="1">[1]!BexGetData("DP_1","00O2TNJGODT0G5Z4TTKYMN7K5","GSON1112070065")</f>
        <v>#NAME?</v>
      </c>
    </row>
    <row r="1292" spans="1:23" x14ac:dyDescent="0.2">
      <c r="A1292" s="36" t="s">
        <v>1009</v>
      </c>
      <c r="B1292" s="27" t="s">
        <v>1010</v>
      </c>
      <c r="C1292" s="23" t="e">
        <f ca="1">[1]!BexGetData("DP_1","003N8EMH8GTFRCSWKMPXRR8GU","GSON1112070070")</f>
        <v>#NAME?</v>
      </c>
      <c r="D1292" s="28" t="e">
        <f ca="1">[1]!BexGetData("DP_1","003N8EMH8GTFRCSWKMPXRRESE","GSON1112070070")</f>
        <v>#NAME?</v>
      </c>
      <c r="E1292" s="23" t="e">
        <f ca="1">[1]!BexGetData("DP_1","003N8EMH8GTFRCSWKMPXRRL3Y","GSON1112070070")</f>
        <v>#NAME?</v>
      </c>
      <c r="F1292" s="23" t="e">
        <f ca="1">[1]!BexGetData("DP_1","003N8EMH8GTFRCSWKMPXRRRFI","GSON1112070070")</f>
        <v>#NAME?</v>
      </c>
      <c r="G1292" s="23" t="e">
        <f ca="1">[1]!BexGetData("DP_1","003N8EMH8GTFRCSWKMPXRRXR2","GSON1112070070")</f>
        <v>#NAME?</v>
      </c>
      <c r="H1292" s="28" t="e">
        <f ca="1">[1]!BexGetData("DP_1","003N8EMH8GTFRCSWKMPXRS42M","GSON1112070070")</f>
        <v>#NAME?</v>
      </c>
      <c r="I1292" s="23" t="e">
        <f ca="1">[1]!BexGetData("DP_1","003N8EMH8GTFRCSWKMPXRSAE6","GSON1112070070")</f>
        <v>#NAME?</v>
      </c>
      <c r="J1292" s="23" t="e">
        <f ca="1">[1]!BexGetData("DP_1","003N8EMH8GTFRCSWKMPXRSGPQ","GSON1112070070")</f>
        <v>#NAME?</v>
      </c>
      <c r="K1292" s="23" t="e">
        <f ca="1">[1]!BexGetData("DP_1","003N8EMH8GTFRIVNUPY288VJH","GSON1112070070")</f>
        <v>#NAME?</v>
      </c>
      <c r="L1292" s="23" t="e">
        <f ca="1">[1]!BexGetData("DP_1","003N8EMH8GTFRIVNUPY2891V1","GSON1112070070")</f>
        <v>#NAME?</v>
      </c>
      <c r="M1292" s="28" t="e">
        <f ca="1">[1]!BexGetData("DP_1","003N8EMH8GTFRIVOG7KG9IQXA","GSON1112070070")</f>
        <v>#NAME?</v>
      </c>
      <c r="N1292" s="23" t="e">
        <f ca="1">[1]!BexGetData("DP_1","003N8EMH8GTFRIVOG7KG9IX8U","GSON1112070070")</f>
        <v>#NAME?</v>
      </c>
      <c r="O1292" s="28" t="e">
        <f ca="1">[1]!BexGetData("DP_1","003N8EMH8GTFRIVOG7KG9J3KE","GSON1112070070")</f>
        <v>#NAME?</v>
      </c>
      <c r="P1292" s="23" t="e">
        <f ca="1">[1]!BexGetData("DP_1","003N8EMH8GTFRIVOG7KG9J9VY","GSON1112070070")</f>
        <v>#NAME?</v>
      </c>
      <c r="Q1292" s="23" t="e">
        <f ca="1">[1]!BexGetData("DP_1","00O2TNJGODT0G5Z4TTKYMM5MT","GSON1112070070")</f>
        <v>#NAME?</v>
      </c>
      <c r="R1292" s="23" t="e">
        <f ca="1">[1]!BexGetData("DP_1","00O2TNJGODT0G5Z4TTKYMMBYD","GSON1112070070")</f>
        <v>#NAME?</v>
      </c>
      <c r="S1292" s="23" t="e">
        <f ca="1">[1]!BexGetData("DP_1","00O2TNJGODT0G5Z4TTKYMMI9X","GSON1112070070")</f>
        <v>#NAME?</v>
      </c>
      <c r="T1292" s="28" t="e">
        <f ca="1">[1]!BexGetData("DP_1","00O2TNJGODT0G5Z4TTKYMMOLH","GSON1112070070")</f>
        <v>#NAME?</v>
      </c>
      <c r="U1292" s="23" t="e">
        <f ca="1">[1]!BexGetData("DP_1","00O2TNJGODT0G5Z4TTKYMMUX1","GSON1112070070")</f>
        <v>#NAME?</v>
      </c>
      <c r="V1292" s="28" t="e">
        <f ca="1">[1]!BexGetData("DP_1","00O2TNJGODT0G5Z4TTKYMN18L","GSON1112070070")</f>
        <v>#NAME?</v>
      </c>
      <c r="W1292" s="23" t="e">
        <f ca="1">[1]!BexGetData("DP_1","00O2TNJGODT0G5Z4TTKYMN7K5","GSON1112070070")</f>
        <v>#NAME?</v>
      </c>
    </row>
    <row r="1293" spans="1:23" x14ac:dyDescent="0.2">
      <c r="A1293" s="36" t="s">
        <v>3908</v>
      </c>
      <c r="B1293" s="27" t="s">
        <v>3909</v>
      </c>
      <c r="C1293" s="28" t="e">
        <f ca="1">[1]!BexGetData("DP_1","003N8EMH8GTFRCSWKMPXRR8GU","GSON1112070071")</f>
        <v>#NAME?</v>
      </c>
      <c r="D1293" s="28" t="e">
        <f ca="1">[1]!BexGetData("DP_1","003N8EMH8GTFRCSWKMPXRRESE","GSON1112070071")</f>
        <v>#NAME?</v>
      </c>
      <c r="E1293" s="28" t="e">
        <f ca="1">[1]!BexGetData("DP_1","003N8EMH8GTFRCSWKMPXRRL3Y","GSON1112070071")</f>
        <v>#NAME?</v>
      </c>
      <c r="F1293" s="28" t="e">
        <f ca="1">[1]!BexGetData("DP_1","003N8EMH8GTFRCSWKMPXRRRFI","GSON1112070071")</f>
        <v>#NAME?</v>
      </c>
      <c r="G1293" s="23" t="e">
        <f ca="1">[1]!BexGetData("DP_1","003N8EMH8GTFRCSWKMPXRRXR2","GSON1112070071")</f>
        <v>#NAME?</v>
      </c>
      <c r="H1293" s="23" t="e">
        <f ca="1">[1]!BexGetData("DP_1","003N8EMH8GTFRCSWKMPXRS42M","GSON1112070071")</f>
        <v>#NAME?</v>
      </c>
      <c r="I1293" s="28" t="e">
        <f ca="1">[1]!BexGetData("DP_1","003N8EMH8GTFRCSWKMPXRSAE6","GSON1112070071")</f>
        <v>#NAME?</v>
      </c>
      <c r="J1293" s="24" t="e">
        <f ca="1">[1]!BexGetData("DP_1","003N8EMH8GTFRCSWKMPXRSGPQ","GSON1112070071")</f>
        <v>#NAME?</v>
      </c>
      <c r="K1293" s="28" t="e">
        <f ca="1">[1]!BexGetData("DP_1","003N8EMH8GTFRIVNUPY288VJH","GSON1112070071")</f>
        <v>#NAME?</v>
      </c>
      <c r="L1293" s="28" t="e">
        <f ca="1">[1]!BexGetData("DP_1","003N8EMH8GTFRIVNUPY2891V1","GSON1112070071")</f>
        <v>#NAME?</v>
      </c>
      <c r="M1293" s="28" t="e">
        <f ca="1">[1]!BexGetData("DP_1","003N8EMH8GTFRIVOG7KG9IQXA","GSON1112070071")</f>
        <v>#NAME?</v>
      </c>
      <c r="N1293" s="28" t="e">
        <f ca="1">[1]!BexGetData("DP_1","003N8EMH8GTFRIVOG7KG9IX8U","GSON1112070071")</f>
        <v>#NAME?</v>
      </c>
      <c r="O1293" s="28" t="e">
        <f ca="1">[1]!BexGetData("DP_1","003N8EMH8GTFRIVOG7KG9J3KE","GSON1112070071")</f>
        <v>#NAME?</v>
      </c>
      <c r="P1293" s="28" t="e">
        <f ca="1">[1]!BexGetData("DP_1","003N8EMH8GTFRIVOG7KG9J9VY","GSON1112070071")</f>
        <v>#NAME?</v>
      </c>
      <c r="Q1293" s="24" t="e">
        <f ca="1">[1]!BexGetData("DP_1","00O2TNJGODT0G5Z4TTKYMM5MT","GSON1112070071")</f>
        <v>#NAME?</v>
      </c>
      <c r="R1293" s="28" t="e">
        <f ca="1">[1]!BexGetData("DP_1","00O2TNJGODT0G5Z4TTKYMMBYD","GSON1112070071")</f>
        <v>#NAME?</v>
      </c>
      <c r="S1293" s="28" t="e">
        <f ca="1">[1]!BexGetData("DP_1","00O2TNJGODT0G5Z4TTKYMMI9X","GSON1112070071")</f>
        <v>#NAME?</v>
      </c>
      <c r="T1293" s="28" t="e">
        <f ca="1">[1]!BexGetData("DP_1","00O2TNJGODT0G5Z4TTKYMMOLH","GSON1112070071")</f>
        <v>#NAME?</v>
      </c>
      <c r="U1293" s="28" t="e">
        <f ca="1">[1]!BexGetData("DP_1","00O2TNJGODT0G5Z4TTKYMMUX1","GSON1112070071")</f>
        <v>#NAME?</v>
      </c>
      <c r="V1293" s="28" t="e">
        <f ca="1">[1]!BexGetData("DP_1","00O2TNJGODT0G5Z4TTKYMN18L","GSON1112070071")</f>
        <v>#NAME?</v>
      </c>
      <c r="W1293" s="28" t="e">
        <f ca="1">[1]!BexGetData("DP_1","00O2TNJGODT0G5Z4TTKYMN7K5","GSON1112070071")</f>
        <v>#NAME?</v>
      </c>
    </row>
    <row r="1294" spans="1:23" x14ac:dyDescent="0.2">
      <c r="A1294" s="36" t="s">
        <v>1011</v>
      </c>
      <c r="B1294" s="27" t="s">
        <v>1012</v>
      </c>
      <c r="C1294" s="23" t="e">
        <f ca="1">[1]!BexGetData("DP_1","003N8EMH8GTFRCSWKMPXRR8GU","GSON1112070075")</f>
        <v>#NAME?</v>
      </c>
      <c r="D1294" s="23" t="e">
        <f ca="1">[1]!BexGetData("DP_1","003N8EMH8GTFRCSWKMPXRRESE","GSON1112070075")</f>
        <v>#NAME?</v>
      </c>
      <c r="E1294" s="28" t="e">
        <f ca="1">[1]!BexGetData("DP_1","003N8EMH8GTFRCSWKMPXRRL3Y","GSON1112070075")</f>
        <v>#NAME?</v>
      </c>
      <c r="F1294" s="28" t="e">
        <f ca="1">[1]!BexGetData("DP_1","003N8EMH8GTFRCSWKMPXRRRFI","GSON1112070075")</f>
        <v>#NAME?</v>
      </c>
      <c r="G1294" s="23" t="e">
        <f ca="1">[1]!BexGetData("DP_1","003N8EMH8GTFRCSWKMPXRRXR2","GSON1112070075")</f>
        <v>#NAME?</v>
      </c>
      <c r="H1294" s="23" t="e">
        <f ca="1">[1]!BexGetData("DP_1","003N8EMH8GTFRCSWKMPXRS42M","GSON1112070075")</f>
        <v>#NAME?</v>
      </c>
      <c r="I1294" s="28" t="e">
        <f ca="1">[1]!BexGetData("DP_1","003N8EMH8GTFRCSWKMPXRSAE6","GSON1112070075")</f>
        <v>#NAME?</v>
      </c>
      <c r="J1294" s="24" t="e">
        <f ca="1">[1]!BexGetData("DP_1","003N8EMH8GTFRCSWKMPXRSGPQ","GSON1112070075")</f>
        <v>#NAME?</v>
      </c>
      <c r="K1294" s="28" t="e">
        <f ca="1">[1]!BexGetData("DP_1","003N8EMH8GTFRIVNUPY288VJH","GSON1112070075")</f>
        <v>#NAME?</v>
      </c>
      <c r="L1294" s="28" t="e">
        <f ca="1">[1]!BexGetData("DP_1","003N8EMH8GTFRIVNUPY2891V1","GSON1112070075")</f>
        <v>#NAME?</v>
      </c>
      <c r="M1294" s="28" t="e">
        <f ca="1">[1]!BexGetData("DP_1","003N8EMH8GTFRIVOG7KG9IQXA","GSON1112070075")</f>
        <v>#NAME?</v>
      </c>
      <c r="N1294" s="28" t="e">
        <f ca="1">[1]!BexGetData("DP_1","003N8EMH8GTFRIVOG7KG9IX8U","GSON1112070075")</f>
        <v>#NAME?</v>
      </c>
      <c r="O1294" s="28" t="e">
        <f ca="1">[1]!BexGetData("DP_1","003N8EMH8GTFRIVOG7KG9J3KE","GSON1112070075")</f>
        <v>#NAME?</v>
      </c>
      <c r="P1294" s="28" t="e">
        <f ca="1">[1]!BexGetData("DP_1","003N8EMH8GTFRIVOG7KG9J9VY","GSON1112070075")</f>
        <v>#NAME?</v>
      </c>
      <c r="Q1294" s="24" t="e">
        <f ca="1">[1]!BexGetData("DP_1","00O2TNJGODT0G5Z4TTKYMM5MT","GSON1112070075")</f>
        <v>#NAME?</v>
      </c>
      <c r="R1294" s="28" t="e">
        <f ca="1">[1]!BexGetData("DP_1","00O2TNJGODT0G5Z4TTKYMMBYD","GSON1112070075")</f>
        <v>#NAME?</v>
      </c>
      <c r="S1294" s="28" t="e">
        <f ca="1">[1]!BexGetData("DP_1","00O2TNJGODT0G5Z4TTKYMMI9X","GSON1112070075")</f>
        <v>#NAME?</v>
      </c>
      <c r="T1294" s="28" t="e">
        <f ca="1">[1]!BexGetData("DP_1","00O2TNJGODT0G5Z4TTKYMMOLH","GSON1112070075")</f>
        <v>#NAME?</v>
      </c>
      <c r="U1294" s="28" t="e">
        <f ca="1">[1]!BexGetData("DP_1","00O2TNJGODT0G5Z4TTKYMMUX1","GSON1112070075")</f>
        <v>#NAME?</v>
      </c>
      <c r="V1294" s="28" t="e">
        <f ca="1">[1]!BexGetData("DP_1","00O2TNJGODT0G5Z4TTKYMN18L","GSON1112070075")</f>
        <v>#NAME?</v>
      </c>
      <c r="W1294" s="28" t="e">
        <f ca="1">[1]!BexGetData("DP_1","00O2TNJGODT0G5Z4TTKYMN7K5","GSON1112070075")</f>
        <v>#NAME?</v>
      </c>
    </row>
    <row r="1295" spans="1:23" x14ac:dyDescent="0.2">
      <c r="A1295" s="36" t="s">
        <v>1013</v>
      </c>
      <c r="B1295" s="27" t="s">
        <v>1014</v>
      </c>
      <c r="C1295" s="28" t="e">
        <f ca="1">[1]!BexGetData("DP_1","003N8EMH8GTFRCSWKMPXRR8GU","GSON1112070080")</f>
        <v>#NAME?</v>
      </c>
      <c r="D1295" s="23" t="e">
        <f ca="1">[1]!BexGetData("DP_1","003N8EMH8GTFRCSWKMPXRRESE","GSON1112070080")</f>
        <v>#NAME?</v>
      </c>
      <c r="E1295" s="28" t="e">
        <f ca="1">[1]!BexGetData("DP_1","003N8EMH8GTFRCSWKMPXRRL3Y","GSON1112070080")</f>
        <v>#NAME?</v>
      </c>
      <c r="F1295" s="23" t="e">
        <f ca="1">[1]!BexGetData("DP_1","003N8EMH8GTFRCSWKMPXRRRFI","GSON1112070080")</f>
        <v>#NAME?</v>
      </c>
      <c r="G1295" s="23" t="e">
        <f ca="1">[1]!BexGetData("DP_1","003N8EMH8GTFRCSWKMPXRRXR2","GSON1112070080")</f>
        <v>#NAME?</v>
      </c>
      <c r="H1295" s="23" t="e">
        <f ca="1">[1]!BexGetData("DP_1","003N8EMH8GTFRCSWKMPXRS42M","GSON1112070080")</f>
        <v>#NAME?</v>
      </c>
      <c r="I1295" s="23" t="e">
        <f ca="1">[1]!BexGetData("DP_1","003N8EMH8GTFRCSWKMPXRSAE6","GSON1112070080")</f>
        <v>#NAME?</v>
      </c>
      <c r="J1295" s="23" t="e">
        <f ca="1">[1]!BexGetData("DP_1","003N8EMH8GTFRCSWKMPXRSGPQ","GSON1112070080")</f>
        <v>#NAME?</v>
      </c>
      <c r="K1295" s="23" t="e">
        <f ca="1">[1]!BexGetData("DP_1","003N8EMH8GTFRIVNUPY288VJH","GSON1112070080")</f>
        <v>#NAME?</v>
      </c>
      <c r="L1295" s="23" t="e">
        <f ca="1">[1]!BexGetData("DP_1","003N8EMH8GTFRIVNUPY2891V1","GSON1112070080")</f>
        <v>#NAME?</v>
      </c>
      <c r="M1295" s="23" t="e">
        <f ca="1">[1]!BexGetData("DP_1","003N8EMH8GTFRIVOG7KG9IQXA","GSON1112070080")</f>
        <v>#NAME?</v>
      </c>
      <c r="N1295" s="28" t="e">
        <f ca="1">[1]!BexGetData("DP_1","003N8EMH8GTFRIVOG7KG9IX8U","GSON1112070080")</f>
        <v>#NAME?</v>
      </c>
      <c r="O1295" s="23" t="e">
        <f ca="1">[1]!BexGetData("DP_1","003N8EMH8GTFRIVOG7KG9J3KE","GSON1112070080")</f>
        <v>#NAME?</v>
      </c>
      <c r="P1295" s="28" t="e">
        <f ca="1">[1]!BexGetData("DP_1","003N8EMH8GTFRIVOG7KG9J9VY","GSON1112070080")</f>
        <v>#NAME?</v>
      </c>
      <c r="Q1295" s="23" t="e">
        <f ca="1">[1]!BexGetData("DP_1","00O2TNJGODT0G5Z4TTKYMM5MT","GSON1112070080")</f>
        <v>#NAME?</v>
      </c>
      <c r="R1295" s="23" t="e">
        <f ca="1">[1]!BexGetData("DP_1","00O2TNJGODT0G5Z4TTKYMMBYD","GSON1112070080")</f>
        <v>#NAME?</v>
      </c>
      <c r="S1295" s="23" t="e">
        <f ca="1">[1]!BexGetData("DP_1","00O2TNJGODT0G5Z4TTKYMMI9X","GSON1112070080")</f>
        <v>#NAME?</v>
      </c>
      <c r="T1295" s="23" t="e">
        <f ca="1">[1]!BexGetData("DP_1","00O2TNJGODT0G5Z4TTKYMMOLH","GSON1112070080")</f>
        <v>#NAME?</v>
      </c>
      <c r="U1295" s="28" t="e">
        <f ca="1">[1]!BexGetData("DP_1","00O2TNJGODT0G5Z4TTKYMMUX1","GSON1112070080")</f>
        <v>#NAME?</v>
      </c>
      <c r="V1295" s="23" t="e">
        <f ca="1">[1]!BexGetData("DP_1","00O2TNJGODT0G5Z4TTKYMN18L","GSON1112070080")</f>
        <v>#NAME?</v>
      </c>
      <c r="W1295" s="28" t="e">
        <f ca="1">[1]!BexGetData("DP_1","00O2TNJGODT0G5Z4TTKYMN7K5","GSON1112070080")</f>
        <v>#NAME?</v>
      </c>
    </row>
    <row r="1296" spans="1:23" x14ac:dyDescent="0.2">
      <c r="A1296" s="36" t="s">
        <v>3910</v>
      </c>
      <c r="B1296" s="27" t="s">
        <v>3911</v>
      </c>
      <c r="C1296" s="23" t="e">
        <f ca="1">[1]!BexGetData("DP_1","003N8EMH8GTFRCSWKMPXRR8GU","GSON1112070083")</f>
        <v>#NAME?</v>
      </c>
      <c r="D1296" s="23" t="e">
        <f ca="1">[1]!BexGetData("DP_1","003N8EMH8GTFRCSWKMPXRRESE","GSON1112070083")</f>
        <v>#NAME?</v>
      </c>
      <c r="E1296" s="28" t="e">
        <f ca="1">[1]!BexGetData("DP_1","003N8EMH8GTFRCSWKMPXRRL3Y","GSON1112070083")</f>
        <v>#NAME?</v>
      </c>
      <c r="F1296" s="28" t="e">
        <f ca="1">[1]!BexGetData("DP_1","003N8EMH8GTFRCSWKMPXRRRFI","GSON1112070083")</f>
        <v>#NAME?</v>
      </c>
      <c r="G1296" s="23" t="e">
        <f ca="1">[1]!BexGetData("DP_1","003N8EMH8GTFRCSWKMPXRRXR2","GSON1112070083")</f>
        <v>#NAME?</v>
      </c>
      <c r="H1296" s="23" t="e">
        <f ca="1">[1]!BexGetData("DP_1","003N8EMH8GTFRCSWKMPXRS42M","GSON1112070083")</f>
        <v>#NAME?</v>
      </c>
      <c r="I1296" s="28" t="e">
        <f ca="1">[1]!BexGetData("DP_1","003N8EMH8GTFRCSWKMPXRSAE6","GSON1112070083")</f>
        <v>#NAME?</v>
      </c>
      <c r="J1296" s="24" t="e">
        <f ca="1">[1]!BexGetData("DP_1","003N8EMH8GTFRCSWKMPXRSGPQ","GSON1112070083")</f>
        <v>#NAME?</v>
      </c>
      <c r="K1296" s="28" t="e">
        <f ca="1">[1]!BexGetData("DP_1","003N8EMH8GTFRIVNUPY288VJH","GSON1112070083")</f>
        <v>#NAME?</v>
      </c>
      <c r="L1296" s="28" t="e">
        <f ca="1">[1]!BexGetData("DP_1","003N8EMH8GTFRIVNUPY2891V1","GSON1112070083")</f>
        <v>#NAME?</v>
      </c>
      <c r="M1296" s="28" t="e">
        <f ca="1">[1]!BexGetData("DP_1","003N8EMH8GTFRIVOG7KG9IQXA","GSON1112070083")</f>
        <v>#NAME?</v>
      </c>
      <c r="N1296" s="28" t="e">
        <f ca="1">[1]!BexGetData("DP_1","003N8EMH8GTFRIVOG7KG9IX8U","GSON1112070083")</f>
        <v>#NAME?</v>
      </c>
      <c r="O1296" s="28" t="e">
        <f ca="1">[1]!BexGetData("DP_1","003N8EMH8GTFRIVOG7KG9J3KE","GSON1112070083")</f>
        <v>#NAME?</v>
      </c>
      <c r="P1296" s="28" t="e">
        <f ca="1">[1]!BexGetData("DP_1","003N8EMH8GTFRIVOG7KG9J9VY","GSON1112070083")</f>
        <v>#NAME?</v>
      </c>
      <c r="Q1296" s="24" t="e">
        <f ca="1">[1]!BexGetData("DP_1","00O2TNJGODT0G5Z4TTKYMM5MT","GSON1112070083")</f>
        <v>#NAME?</v>
      </c>
      <c r="R1296" s="28" t="e">
        <f ca="1">[1]!BexGetData("DP_1","00O2TNJGODT0G5Z4TTKYMMBYD","GSON1112070083")</f>
        <v>#NAME?</v>
      </c>
      <c r="S1296" s="28" t="e">
        <f ca="1">[1]!BexGetData("DP_1","00O2TNJGODT0G5Z4TTKYMMI9X","GSON1112070083")</f>
        <v>#NAME?</v>
      </c>
      <c r="T1296" s="28" t="e">
        <f ca="1">[1]!BexGetData("DP_1","00O2TNJGODT0G5Z4TTKYMMOLH","GSON1112070083")</f>
        <v>#NAME?</v>
      </c>
      <c r="U1296" s="28" t="e">
        <f ca="1">[1]!BexGetData("DP_1","00O2TNJGODT0G5Z4TTKYMMUX1","GSON1112070083")</f>
        <v>#NAME?</v>
      </c>
      <c r="V1296" s="28" t="e">
        <f ca="1">[1]!BexGetData("DP_1","00O2TNJGODT0G5Z4TTKYMN18L","GSON1112070083")</f>
        <v>#NAME?</v>
      </c>
      <c r="W1296" s="28" t="e">
        <f ca="1">[1]!BexGetData("DP_1","00O2TNJGODT0G5Z4TTKYMN7K5","GSON1112070083")</f>
        <v>#NAME?</v>
      </c>
    </row>
    <row r="1297" spans="1:23" x14ac:dyDescent="0.2">
      <c r="A1297" s="36" t="s">
        <v>1015</v>
      </c>
      <c r="B1297" s="27" t="s">
        <v>1016</v>
      </c>
      <c r="C1297" s="28" t="e">
        <f ca="1">[1]!BexGetData("DP_1","003N8EMH8GTFRCSWKMPXRR8GU","GSON1112070085")</f>
        <v>#NAME?</v>
      </c>
      <c r="D1297" s="28" t="e">
        <f ca="1">[1]!BexGetData("DP_1","003N8EMH8GTFRCSWKMPXRRESE","GSON1112070085")</f>
        <v>#NAME?</v>
      </c>
      <c r="E1297" s="28" t="e">
        <f ca="1">[1]!BexGetData("DP_1","003N8EMH8GTFRCSWKMPXRRL3Y","GSON1112070085")</f>
        <v>#NAME?</v>
      </c>
      <c r="F1297" s="28" t="e">
        <f ca="1">[1]!BexGetData("DP_1","003N8EMH8GTFRCSWKMPXRRRFI","GSON1112070085")</f>
        <v>#NAME?</v>
      </c>
      <c r="G1297" s="23" t="e">
        <f ca="1">[1]!BexGetData("DP_1","003N8EMH8GTFRCSWKMPXRRXR2","GSON1112070085")</f>
        <v>#NAME?</v>
      </c>
      <c r="H1297" s="23" t="e">
        <f ca="1">[1]!BexGetData("DP_1","003N8EMH8GTFRCSWKMPXRS42M","GSON1112070085")</f>
        <v>#NAME?</v>
      </c>
      <c r="I1297" s="28" t="e">
        <f ca="1">[1]!BexGetData("DP_1","003N8EMH8GTFRCSWKMPXRSAE6","GSON1112070085")</f>
        <v>#NAME?</v>
      </c>
      <c r="J1297" s="24" t="e">
        <f ca="1">[1]!BexGetData("DP_1","003N8EMH8GTFRCSWKMPXRSGPQ","GSON1112070085")</f>
        <v>#NAME?</v>
      </c>
      <c r="K1297" s="28" t="e">
        <f ca="1">[1]!BexGetData("DP_1","003N8EMH8GTFRIVNUPY288VJH","GSON1112070085")</f>
        <v>#NAME?</v>
      </c>
      <c r="L1297" s="28" t="e">
        <f ca="1">[1]!BexGetData("DP_1","003N8EMH8GTFRIVNUPY2891V1","GSON1112070085")</f>
        <v>#NAME?</v>
      </c>
      <c r="M1297" s="28" t="e">
        <f ca="1">[1]!BexGetData("DP_1","003N8EMH8GTFRIVOG7KG9IQXA","GSON1112070085")</f>
        <v>#NAME?</v>
      </c>
      <c r="N1297" s="28" t="e">
        <f ca="1">[1]!BexGetData("DP_1","003N8EMH8GTFRIVOG7KG9IX8U","GSON1112070085")</f>
        <v>#NAME?</v>
      </c>
      <c r="O1297" s="28" t="e">
        <f ca="1">[1]!BexGetData("DP_1","003N8EMH8GTFRIVOG7KG9J3KE","GSON1112070085")</f>
        <v>#NAME?</v>
      </c>
      <c r="P1297" s="28" t="e">
        <f ca="1">[1]!BexGetData("DP_1","003N8EMH8GTFRIVOG7KG9J9VY","GSON1112070085")</f>
        <v>#NAME?</v>
      </c>
      <c r="Q1297" s="24" t="e">
        <f ca="1">[1]!BexGetData("DP_1","00O2TNJGODT0G5Z4TTKYMM5MT","GSON1112070085")</f>
        <v>#NAME?</v>
      </c>
      <c r="R1297" s="28" t="e">
        <f ca="1">[1]!BexGetData("DP_1","00O2TNJGODT0G5Z4TTKYMMBYD","GSON1112070085")</f>
        <v>#NAME?</v>
      </c>
      <c r="S1297" s="28" t="e">
        <f ca="1">[1]!BexGetData("DP_1","00O2TNJGODT0G5Z4TTKYMMI9X","GSON1112070085")</f>
        <v>#NAME?</v>
      </c>
      <c r="T1297" s="28" t="e">
        <f ca="1">[1]!BexGetData("DP_1","00O2TNJGODT0G5Z4TTKYMMOLH","GSON1112070085")</f>
        <v>#NAME?</v>
      </c>
      <c r="U1297" s="28" t="e">
        <f ca="1">[1]!BexGetData("DP_1","00O2TNJGODT0G5Z4TTKYMMUX1","GSON1112070085")</f>
        <v>#NAME?</v>
      </c>
      <c r="V1297" s="28" t="e">
        <f ca="1">[1]!BexGetData("DP_1","00O2TNJGODT0G5Z4TTKYMN18L","GSON1112070085")</f>
        <v>#NAME?</v>
      </c>
      <c r="W1297" s="28" t="e">
        <f ca="1">[1]!BexGetData("DP_1","00O2TNJGODT0G5Z4TTKYMN7K5","GSON1112070085")</f>
        <v>#NAME?</v>
      </c>
    </row>
    <row r="1298" spans="1:23" x14ac:dyDescent="0.2">
      <c r="A1298" s="36" t="s">
        <v>1017</v>
      </c>
      <c r="B1298" s="27" t="s">
        <v>1018</v>
      </c>
      <c r="C1298" s="28" t="e">
        <f ca="1">[1]!BexGetData("DP_1","003N8EMH8GTFRCSWKMPXRR8GU","GSON1112070090")</f>
        <v>#NAME?</v>
      </c>
      <c r="D1298" s="28" t="e">
        <f ca="1">[1]!BexGetData("DP_1","003N8EMH8GTFRCSWKMPXRRESE","GSON1112070090")</f>
        <v>#NAME?</v>
      </c>
      <c r="E1298" s="28" t="e">
        <f ca="1">[1]!BexGetData("DP_1","003N8EMH8GTFRCSWKMPXRRL3Y","GSON1112070090")</f>
        <v>#NAME?</v>
      </c>
      <c r="F1298" s="28" t="e">
        <f ca="1">[1]!BexGetData("DP_1","003N8EMH8GTFRCSWKMPXRRRFI","GSON1112070090")</f>
        <v>#NAME?</v>
      </c>
      <c r="G1298" s="23" t="e">
        <f ca="1">[1]!BexGetData("DP_1","003N8EMH8GTFRCSWKMPXRRXR2","GSON1112070090")</f>
        <v>#NAME?</v>
      </c>
      <c r="H1298" s="23" t="e">
        <f ca="1">[1]!BexGetData("DP_1","003N8EMH8GTFRCSWKMPXRS42M","GSON1112070090")</f>
        <v>#NAME?</v>
      </c>
      <c r="I1298" s="28" t="e">
        <f ca="1">[1]!BexGetData("DP_1","003N8EMH8GTFRCSWKMPXRSAE6","GSON1112070090")</f>
        <v>#NAME?</v>
      </c>
      <c r="J1298" s="23" t="e">
        <f ca="1">[1]!BexGetData("DP_1","003N8EMH8GTFRCSWKMPXRSGPQ","GSON1112070090")</f>
        <v>#NAME?</v>
      </c>
      <c r="K1298" s="28" t="e">
        <f ca="1">[1]!BexGetData("DP_1","003N8EMH8GTFRIVNUPY288VJH","GSON1112070090")</f>
        <v>#NAME?</v>
      </c>
      <c r="L1298" s="28" t="e">
        <f ca="1">[1]!BexGetData("DP_1","003N8EMH8GTFRIVNUPY2891V1","GSON1112070090")</f>
        <v>#NAME?</v>
      </c>
      <c r="M1298" s="28" t="e">
        <f ca="1">[1]!BexGetData("DP_1","003N8EMH8GTFRIVOG7KG9IQXA","GSON1112070090")</f>
        <v>#NAME?</v>
      </c>
      <c r="N1298" s="28" t="e">
        <f ca="1">[1]!BexGetData("DP_1","003N8EMH8GTFRIVOG7KG9IX8U","GSON1112070090")</f>
        <v>#NAME?</v>
      </c>
      <c r="O1298" s="28" t="e">
        <f ca="1">[1]!BexGetData("DP_1","003N8EMH8GTFRIVOG7KG9J3KE","GSON1112070090")</f>
        <v>#NAME?</v>
      </c>
      <c r="P1298" s="28" t="e">
        <f ca="1">[1]!BexGetData("DP_1","003N8EMH8GTFRIVOG7KG9J9VY","GSON1112070090")</f>
        <v>#NAME?</v>
      </c>
      <c r="Q1298" s="23" t="e">
        <f ca="1">[1]!BexGetData("DP_1","00O2TNJGODT0G5Z4TTKYMM5MT","GSON1112070090")</f>
        <v>#NAME?</v>
      </c>
      <c r="R1298" s="23" t="e">
        <f ca="1">[1]!BexGetData("DP_1","00O2TNJGODT0G5Z4TTKYMMBYD","GSON1112070090")</f>
        <v>#NAME?</v>
      </c>
      <c r="S1298" s="23" t="e">
        <f ca="1">[1]!BexGetData("DP_1","00O2TNJGODT0G5Z4TTKYMMI9X","GSON1112070090")</f>
        <v>#NAME?</v>
      </c>
      <c r="T1298" s="23" t="e">
        <f ca="1">[1]!BexGetData("DP_1","00O2TNJGODT0G5Z4TTKYMMOLH","GSON1112070090")</f>
        <v>#NAME?</v>
      </c>
      <c r="U1298" s="28" t="e">
        <f ca="1">[1]!BexGetData("DP_1","00O2TNJGODT0G5Z4TTKYMMUX1","GSON1112070090")</f>
        <v>#NAME?</v>
      </c>
      <c r="V1298" s="23" t="e">
        <f ca="1">[1]!BexGetData("DP_1","00O2TNJGODT0G5Z4TTKYMN18L","GSON1112070090")</f>
        <v>#NAME?</v>
      </c>
      <c r="W1298" s="28" t="e">
        <f ca="1">[1]!BexGetData("DP_1","00O2TNJGODT0G5Z4TTKYMN7K5","GSON1112070090")</f>
        <v>#NAME?</v>
      </c>
    </row>
    <row r="1299" spans="1:23" x14ac:dyDescent="0.2">
      <c r="A1299" s="36" t="s">
        <v>3912</v>
      </c>
      <c r="B1299" s="27" t="s">
        <v>3913</v>
      </c>
      <c r="C1299" s="24" t="e">
        <f ca="1">[1]!BexGetData("DP_1","003N8EMH8GTFRCSWKMPXRR8GU","GSON1112070091")</f>
        <v>#NAME?</v>
      </c>
      <c r="D1299" s="24" t="e">
        <f ca="1">[1]!BexGetData("DP_1","003N8EMH8GTFRCSWKMPXRRESE","GSON1112070091")</f>
        <v>#NAME?</v>
      </c>
      <c r="E1299" s="24" t="e">
        <f ca="1">[1]!BexGetData("DP_1","003N8EMH8GTFRCSWKMPXRRL3Y","GSON1112070091")</f>
        <v>#NAME?</v>
      </c>
      <c r="F1299" s="28" t="e">
        <f ca="1">[1]!BexGetData("DP_1","003N8EMH8GTFRCSWKMPXRRRFI","GSON1112070091")</f>
        <v>#NAME?</v>
      </c>
      <c r="G1299" s="23" t="e">
        <f ca="1">[1]!BexGetData("DP_1","003N8EMH8GTFRCSWKMPXRRXR2","GSON1112070091")</f>
        <v>#NAME?</v>
      </c>
      <c r="H1299" s="23" t="e">
        <f ca="1">[1]!BexGetData("DP_1","003N8EMH8GTFRCSWKMPXRS42M","GSON1112070091")</f>
        <v>#NAME?</v>
      </c>
      <c r="I1299" s="28" t="e">
        <f ca="1">[1]!BexGetData("DP_1","003N8EMH8GTFRCSWKMPXRSAE6","GSON1112070091")</f>
        <v>#NAME?</v>
      </c>
      <c r="J1299" s="24" t="e">
        <f ca="1">[1]!BexGetData("DP_1","003N8EMH8GTFRCSWKMPXRSGPQ","GSON1112070091")</f>
        <v>#NAME?</v>
      </c>
      <c r="K1299" s="28" t="e">
        <f ca="1">[1]!BexGetData("DP_1","003N8EMH8GTFRIVNUPY288VJH","GSON1112070091")</f>
        <v>#NAME?</v>
      </c>
      <c r="L1299" s="28" t="e">
        <f ca="1">[1]!BexGetData("DP_1","003N8EMH8GTFRIVNUPY2891V1","GSON1112070091")</f>
        <v>#NAME?</v>
      </c>
      <c r="M1299" s="28" t="e">
        <f ca="1">[1]!BexGetData("DP_1","003N8EMH8GTFRIVOG7KG9IQXA","GSON1112070091")</f>
        <v>#NAME?</v>
      </c>
      <c r="N1299" s="28" t="e">
        <f ca="1">[1]!BexGetData("DP_1","003N8EMH8GTFRIVOG7KG9IX8U","GSON1112070091")</f>
        <v>#NAME?</v>
      </c>
      <c r="O1299" s="28" t="e">
        <f ca="1">[1]!BexGetData("DP_1","003N8EMH8GTFRIVOG7KG9J3KE","GSON1112070091")</f>
        <v>#NAME?</v>
      </c>
      <c r="P1299" s="28" t="e">
        <f ca="1">[1]!BexGetData("DP_1","003N8EMH8GTFRIVOG7KG9J9VY","GSON1112070091")</f>
        <v>#NAME?</v>
      </c>
      <c r="Q1299" s="24" t="e">
        <f ca="1">[1]!BexGetData("DP_1","00O2TNJGODT0G5Z4TTKYMM5MT","GSON1112070091")</f>
        <v>#NAME?</v>
      </c>
      <c r="R1299" s="28" t="e">
        <f ca="1">[1]!BexGetData("DP_1","00O2TNJGODT0G5Z4TTKYMMBYD","GSON1112070091")</f>
        <v>#NAME?</v>
      </c>
      <c r="S1299" s="28" t="e">
        <f ca="1">[1]!BexGetData("DP_1","00O2TNJGODT0G5Z4TTKYMMI9X","GSON1112070091")</f>
        <v>#NAME?</v>
      </c>
      <c r="T1299" s="28" t="e">
        <f ca="1">[1]!BexGetData("DP_1","00O2TNJGODT0G5Z4TTKYMMOLH","GSON1112070091")</f>
        <v>#NAME?</v>
      </c>
      <c r="U1299" s="28" t="e">
        <f ca="1">[1]!BexGetData("DP_1","00O2TNJGODT0G5Z4TTKYMMUX1","GSON1112070091")</f>
        <v>#NAME?</v>
      </c>
      <c r="V1299" s="28" t="e">
        <f ca="1">[1]!BexGetData("DP_1","00O2TNJGODT0G5Z4TTKYMN18L","GSON1112070091")</f>
        <v>#NAME?</v>
      </c>
      <c r="W1299" s="28" t="e">
        <f ca="1">[1]!BexGetData("DP_1","00O2TNJGODT0G5Z4TTKYMN7K5","GSON1112070091")</f>
        <v>#NAME?</v>
      </c>
    </row>
    <row r="1300" spans="1:23" x14ac:dyDescent="0.2">
      <c r="A1300" s="36" t="s">
        <v>3914</v>
      </c>
      <c r="B1300" s="27" t="s">
        <v>3915</v>
      </c>
      <c r="C1300" s="24" t="e">
        <f ca="1">[1]!BexGetData("DP_1","003N8EMH8GTFRCSWKMPXRR8GU","GSON1112070093")</f>
        <v>#NAME?</v>
      </c>
      <c r="D1300" s="24" t="e">
        <f ca="1">[1]!BexGetData("DP_1","003N8EMH8GTFRCSWKMPXRRESE","GSON1112070093")</f>
        <v>#NAME?</v>
      </c>
      <c r="E1300" s="24" t="e">
        <f ca="1">[1]!BexGetData("DP_1","003N8EMH8GTFRCSWKMPXRRL3Y","GSON1112070093")</f>
        <v>#NAME?</v>
      </c>
      <c r="F1300" s="28" t="e">
        <f ca="1">[1]!BexGetData("DP_1","003N8EMH8GTFRCSWKMPXRRRFI","GSON1112070093")</f>
        <v>#NAME?</v>
      </c>
      <c r="G1300" s="23" t="e">
        <f ca="1">[1]!BexGetData("DP_1","003N8EMH8GTFRCSWKMPXRRXR2","GSON1112070093")</f>
        <v>#NAME?</v>
      </c>
      <c r="H1300" s="23" t="e">
        <f ca="1">[1]!BexGetData("DP_1","003N8EMH8GTFRCSWKMPXRS42M","GSON1112070093")</f>
        <v>#NAME?</v>
      </c>
      <c r="I1300" s="28" t="e">
        <f ca="1">[1]!BexGetData("DP_1","003N8EMH8GTFRCSWKMPXRSAE6","GSON1112070093")</f>
        <v>#NAME?</v>
      </c>
      <c r="J1300" s="24" t="e">
        <f ca="1">[1]!BexGetData("DP_1","003N8EMH8GTFRCSWKMPXRSGPQ","GSON1112070093")</f>
        <v>#NAME?</v>
      </c>
      <c r="K1300" s="28" t="e">
        <f ca="1">[1]!BexGetData("DP_1","003N8EMH8GTFRIVNUPY288VJH","GSON1112070093")</f>
        <v>#NAME?</v>
      </c>
      <c r="L1300" s="28" t="e">
        <f ca="1">[1]!BexGetData("DP_1","003N8EMH8GTFRIVNUPY2891V1","GSON1112070093")</f>
        <v>#NAME?</v>
      </c>
      <c r="M1300" s="28" t="e">
        <f ca="1">[1]!BexGetData("DP_1","003N8EMH8GTFRIVOG7KG9IQXA","GSON1112070093")</f>
        <v>#NAME?</v>
      </c>
      <c r="N1300" s="28" t="e">
        <f ca="1">[1]!BexGetData("DP_1","003N8EMH8GTFRIVOG7KG9IX8U","GSON1112070093")</f>
        <v>#NAME?</v>
      </c>
      <c r="O1300" s="28" t="e">
        <f ca="1">[1]!BexGetData("DP_1","003N8EMH8GTFRIVOG7KG9J3KE","GSON1112070093")</f>
        <v>#NAME?</v>
      </c>
      <c r="P1300" s="28" t="e">
        <f ca="1">[1]!BexGetData("DP_1","003N8EMH8GTFRIVOG7KG9J9VY","GSON1112070093")</f>
        <v>#NAME?</v>
      </c>
      <c r="Q1300" s="24" t="e">
        <f ca="1">[1]!BexGetData("DP_1","00O2TNJGODT0G5Z4TTKYMM5MT","GSON1112070093")</f>
        <v>#NAME?</v>
      </c>
      <c r="R1300" s="28" t="e">
        <f ca="1">[1]!BexGetData("DP_1","00O2TNJGODT0G5Z4TTKYMMBYD","GSON1112070093")</f>
        <v>#NAME?</v>
      </c>
      <c r="S1300" s="28" t="e">
        <f ca="1">[1]!BexGetData("DP_1","00O2TNJGODT0G5Z4TTKYMMI9X","GSON1112070093")</f>
        <v>#NAME?</v>
      </c>
      <c r="T1300" s="28" t="e">
        <f ca="1">[1]!BexGetData("DP_1","00O2TNJGODT0G5Z4TTKYMMOLH","GSON1112070093")</f>
        <v>#NAME?</v>
      </c>
      <c r="U1300" s="28" t="e">
        <f ca="1">[1]!BexGetData("DP_1","00O2TNJGODT0G5Z4TTKYMMUX1","GSON1112070093")</f>
        <v>#NAME?</v>
      </c>
      <c r="V1300" s="28" t="e">
        <f ca="1">[1]!BexGetData("DP_1","00O2TNJGODT0G5Z4TTKYMN18L","GSON1112070093")</f>
        <v>#NAME?</v>
      </c>
      <c r="W1300" s="28" t="e">
        <f ca="1">[1]!BexGetData("DP_1","00O2TNJGODT0G5Z4TTKYMN7K5","GSON1112070093")</f>
        <v>#NAME?</v>
      </c>
    </row>
    <row r="1301" spans="1:23" x14ac:dyDescent="0.2">
      <c r="A1301" s="36" t="s">
        <v>1019</v>
      </c>
      <c r="B1301" s="27" t="s">
        <v>1020</v>
      </c>
      <c r="C1301" s="28" t="e">
        <f ca="1">[1]!BexGetData("DP_1","003N8EMH8GTFRCSWKMPXRR8GU","GSON1112070095")</f>
        <v>#NAME?</v>
      </c>
      <c r="D1301" s="28" t="e">
        <f ca="1">[1]!BexGetData("DP_1","003N8EMH8GTFRCSWKMPXRRESE","GSON1112070095")</f>
        <v>#NAME?</v>
      </c>
      <c r="E1301" s="28" t="e">
        <f ca="1">[1]!BexGetData("DP_1","003N8EMH8GTFRCSWKMPXRRL3Y","GSON1112070095")</f>
        <v>#NAME?</v>
      </c>
      <c r="F1301" s="28" t="e">
        <f ca="1">[1]!BexGetData("DP_1","003N8EMH8GTFRCSWKMPXRRRFI","GSON1112070095")</f>
        <v>#NAME?</v>
      </c>
      <c r="G1301" s="23" t="e">
        <f ca="1">[1]!BexGetData("DP_1","003N8EMH8GTFRCSWKMPXRRXR2","GSON1112070095")</f>
        <v>#NAME?</v>
      </c>
      <c r="H1301" s="23" t="e">
        <f ca="1">[1]!BexGetData("DP_1","003N8EMH8GTFRCSWKMPXRS42M","GSON1112070095")</f>
        <v>#NAME?</v>
      </c>
      <c r="I1301" s="28" t="e">
        <f ca="1">[1]!BexGetData("DP_1","003N8EMH8GTFRCSWKMPXRSAE6","GSON1112070095")</f>
        <v>#NAME?</v>
      </c>
      <c r="J1301" s="24" t="e">
        <f ca="1">[1]!BexGetData("DP_1","003N8EMH8GTFRCSWKMPXRSGPQ","GSON1112070095")</f>
        <v>#NAME?</v>
      </c>
      <c r="K1301" s="28" t="e">
        <f ca="1">[1]!BexGetData("DP_1","003N8EMH8GTFRIVNUPY288VJH","GSON1112070095")</f>
        <v>#NAME?</v>
      </c>
      <c r="L1301" s="28" t="e">
        <f ca="1">[1]!BexGetData("DP_1","003N8EMH8GTFRIVNUPY2891V1","GSON1112070095")</f>
        <v>#NAME?</v>
      </c>
      <c r="M1301" s="28" t="e">
        <f ca="1">[1]!BexGetData("DP_1","003N8EMH8GTFRIVOG7KG9IQXA","GSON1112070095")</f>
        <v>#NAME?</v>
      </c>
      <c r="N1301" s="28" t="e">
        <f ca="1">[1]!BexGetData("DP_1","003N8EMH8GTFRIVOG7KG9IX8U","GSON1112070095")</f>
        <v>#NAME?</v>
      </c>
      <c r="O1301" s="28" t="e">
        <f ca="1">[1]!BexGetData("DP_1","003N8EMH8GTFRIVOG7KG9J3KE","GSON1112070095")</f>
        <v>#NAME?</v>
      </c>
      <c r="P1301" s="28" t="e">
        <f ca="1">[1]!BexGetData("DP_1","003N8EMH8GTFRIVOG7KG9J9VY","GSON1112070095")</f>
        <v>#NAME?</v>
      </c>
      <c r="Q1301" s="24" t="e">
        <f ca="1">[1]!BexGetData("DP_1","00O2TNJGODT0G5Z4TTKYMM5MT","GSON1112070095")</f>
        <v>#NAME?</v>
      </c>
      <c r="R1301" s="28" t="e">
        <f ca="1">[1]!BexGetData("DP_1","00O2TNJGODT0G5Z4TTKYMMBYD","GSON1112070095")</f>
        <v>#NAME?</v>
      </c>
      <c r="S1301" s="28" t="e">
        <f ca="1">[1]!BexGetData("DP_1","00O2TNJGODT0G5Z4TTKYMMI9X","GSON1112070095")</f>
        <v>#NAME?</v>
      </c>
      <c r="T1301" s="28" t="e">
        <f ca="1">[1]!BexGetData("DP_1","00O2TNJGODT0G5Z4TTKYMMOLH","GSON1112070095")</f>
        <v>#NAME?</v>
      </c>
      <c r="U1301" s="28" t="e">
        <f ca="1">[1]!BexGetData("DP_1","00O2TNJGODT0G5Z4TTKYMMUX1","GSON1112070095")</f>
        <v>#NAME?</v>
      </c>
      <c r="V1301" s="28" t="e">
        <f ca="1">[1]!BexGetData("DP_1","00O2TNJGODT0G5Z4TTKYMN18L","GSON1112070095")</f>
        <v>#NAME?</v>
      </c>
      <c r="W1301" s="28" t="e">
        <f ca="1">[1]!BexGetData("DP_1","00O2TNJGODT0G5Z4TTKYMN7K5","GSON1112070095")</f>
        <v>#NAME?</v>
      </c>
    </row>
    <row r="1302" spans="1:23" x14ac:dyDescent="0.2">
      <c r="A1302" s="36" t="s">
        <v>1021</v>
      </c>
      <c r="B1302" s="27" t="s">
        <v>1022</v>
      </c>
      <c r="C1302" s="23" t="e">
        <f ca="1">[1]!BexGetData("DP_1","003N8EMH8GTFRCSWKMPXRR8GU","GSON1112070100")</f>
        <v>#NAME?</v>
      </c>
      <c r="D1302" s="28" t="e">
        <f ca="1">[1]!BexGetData("DP_1","003N8EMH8GTFRCSWKMPXRRESE","GSON1112070100")</f>
        <v>#NAME?</v>
      </c>
      <c r="E1302" s="23" t="e">
        <f ca="1">[1]!BexGetData("DP_1","003N8EMH8GTFRCSWKMPXRRL3Y","GSON1112070100")</f>
        <v>#NAME?</v>
      </c>
      <c r="F1302" s="23" t="e">
        <f ca="1">[1]!BexGetData("DP_1","003N8EMH8GTFRCSWKMPXRRRFI","GSON1112070100")</f>
        <v>#NAME?</v>
      </c>
      <c r="G1302" s="23" t="e">
        <f ca="1">[1]!BexGetData("DP_1","003N8EMH8GTFRCSWKMPXRRXR2","GSON1112070100")</f>
        <v>#NAME?</v>
      </c>
      <c r="H1302" s="28" t="e">
        <f ca="1">[1]!BexGetData("DP_1","003N8EMH8GTFRCSWKMPXRS42M","GSON1112070100")</f>
        <v>#NAME?</v>
      </c>
      <c r="I1302" s="23" t="e">
        <f ca="1">[1]!BexGetData("DP_1","003N8EMH8GTFRCSWKMPXRSAE6","GSON1112070100")</f>
        <v>#NAME?</v>
      </c>
      <c r="J1302" s="23" t="e">
        <f ca="1">[1]!BexGetData("DP_1","003N8EMH8GTFRCSWKMPXRSGPQ","GSON1112070100")</f>
        <v>#NAME?</v>
      </c>
      <c r="K1302" s="23" t="e">
        <f ca="1">[1]!BexGetData("DP_1","003N8EMH8GTFRIVNUPY288VJH","GSON1112070100")</f>
        <v>#NAME?</v>
      </c>
      <c r="L1302" s="23" t="e">
        <f ca="1">[1]!BexGetData("DP_1","003N8EMH8GTFRIVNUPY2891V1","GSON1112070100")</f>
        <v>#NAME?</v>
      </c>
      <c r="M1302" s="28" t="e">
        <f ca="1">[1]!BexGetData("DP_1","003N8EMH8GTFRIVOG7KG9IQXA","GSON1112070100")</f>
        <v>#NAME?</v>
      </c>
      <c r="N1302" s="23" t="e">
        <f ca="1">[1]!BexGetData("DP_1","003N8EMH8GTFRIVOG7KG9IX8U","GSON1112070100")</f>
        <v>#NAME?</v>
      </c>
      <c r="O1302" s="28" t="e">
        <f ca="1">[1]!BexGetData("DP_1","003N8EMH8GTFRIVOG7KG9J3KE","GSON1112070100")</f>
        <v>#NAME?</v>
      </c>
      <c r="P1302" s="23" t="e">
        <f ca="1">[1]!BexGetData("DP_1","003N8EMH8GTFRIVOG7KG9J9VY","GSON1112070100")</f>
        <v>#NAME?</v>
      </c>
      <c r="Q1302" s="23" t="e">
        <f ca="1">[1]!BexGetData("DP_1","00O2TNJGODT0G5Z4TTKYMM5MT","GSON1112070100")</f>
        <v>#NAME?</v>
      </c>
      <c r="R1302" s="23" t="e">
        <f ca="1">[1]!BexGetData("DP_1","00O2TNJGODT0G5Z4TTKYMMBYD","GSON1112070100")</f>
        <v>#NAME?</v>
      </c>
      <c r="S1302" s="23" t="e">
        <f ca="1">[1]!BexGetData("DP_1","00O2TNJGODT0G5Z4TTKYMMI9X","GSON1112070100")</f>
        <v>#NAME?</v>
      </c>
      <c r="T1302" s="28" t="e">
        <f ca="1">[1]!BexGetData("DP_1","00O2TNJGODT0G5Z4TTKYMMOLH","GSON1112070100")</f>
        <v>#NAME?</v>
      </c>
      <c r="U1302" s="23" t="e">
        <f ca="1">[1]!BexGetData("DP_1","00O2TNJGODT0G5Z4TTKYMMUX1","GSON1112070100")</f>
        <v>#NAME?</v>
      </c>
      <c r="V1302" s="28" t="e">
        <f ca="1">[1]!BexGetData("DP_1","00O2TNJGODT0G5Z4TTKYMN18L","GSON1112070100")</f>
        <v>#NAME?</v>
      </c>
      <c r="W1302" s="23" t="e">
        <f ca="1">[1]!BexGetData("DP_1","00O2TNJGODT0G5Z4TTKYMN7K5","GSON1112070100")</f>
        <v>#NAME?</v>
      </c>
    </row>
    <row r="1303" spans="1:23" x14ac:dyDescent="0.2">
      <c r="A1303" s="36" t="s">
        <v>3916</v>
      </c>
      <c r="B1303" s="27" t="s">
        <v>3917</v>
      </c>
      <c r="C1303" s="23" t="e">
        <f ca="1">[1]!BexGetData("DP_1","003N8EMH8GTFRCSWKMPXRR8GU","GSON1112070101")</f>
        <v>#NAME?</v>
      </c>
      <c r="D1303" s="23" t="e">
        <f ca="1">[1]!BexGetData("DP_1","003N8EMH8GTFRCSWKMPXRRESE","GSON1112070101")</f>
        <v>#NAME?</v>
      </c>
      <c r="E1303" s="28" t="e">
        <f ca="1">[1]!BexGetData("DP_1","003N8EMH8GTFRCSWKMPXRRL3Y","GSON1112070101")</f>
        <v>#NAME?</v>
      </c>
      <c r="F1303" s="24" t="e">
        <f ca="1">[1]!BexGetData("DP_1","003N8EMH8GTFRCSWKMPXRRRFI","GSON1112070101")</f>
        <v>#NAME?</v>
      </c>
      <c r="G1303" s="24" t="e">
        <f ca="1">[1]!BexGetData("DP_1","003N8EMH8GTFRCSWKMPXRRXR2","GSON1112070101")</f>
        <v>#NAME?</v>
      </c>
      <c r="H1303" s="24" t="e">
        <f ca="1">[1]!BexGetData("DP_1","003N8EMH8GTFRCSWKMPXRS42M","GSON1112070101")</f>
        <v>#NAME?</v>
      </c>
      <c r="I1303" s="24" t="e">
        <f ca="1">[1]!BexGetData("DP_1","003N8EMH8GTFRCSWKMPXRSAE6","GSON1112070101")</f>
        <v>#NAME?</v>
      </c>
      <c r="J1303" s="24" t="e">
        <f ca="1">[1]!BexGetData("DP_1","003N8EMH8GTFRCSWKMPXRSGPQ","GSON1112070101")</f>
        <v>#NAME?</v>
      </c>
      <c r="K1303" s="28" t="e">
        <f ca="1">[1]!BexGetData("DP_1","003N8EMH8GTFRIVNUPY288VJH","GSON1112070101")</f>
        <v>#NAME?</v>
      </c>
      <c r="L1303" s="28" t="e">
        <f ca="1">[1]!BexGetData("DP_1","003N8EMH8GTFRIVNUPY2891V1","GSON1112070101")</f>
        <v>#NAME?</v>
      </c>
      <c r="M1303" s="28" t="e">
        <f ca="1">[1]!BexGetData("DP_1","003N8EMH8GTFRIVOG7KG9IQXA","GSON1112070101")</f>
        <v>#NAME?</v>
      </c>
      <c r="N1303" s="28" t="e">
        <f ca="1">[1]!BexGetData("DP_1","003N8EMH8GTFRIVOG7KG9IX8U","GSON1112070101")</f>
        <v>#NAME?</v>
      </c>
      <c r="O1303" s="28" t="e">
        <f ca="1">[1]!BexGetData("DP_1","003N8EMH8GTFRIVOG7KG9J3KE","GSON1112070101")</f>
        <v>#NAME?</v>
      </c>
      <c r="P1303" s="28" t="e">
        <f ca="1">[1]!BexGetData("DP_1","003N8EMH8GTFRIVOG7KG9J9VY","GSON1112070101")</f>
        <v>#NAME?</v>
      </c>
      <c r="Q1303" s="24" t="e">
        <f ca="1">[1]!BexGetData("DP_1","00O2TNJGODT0G5Z4TTKYMM5MT","GSON1112070101")</f>
        <v>#NAME?</v>
      </c>
      <c r="R1303" s="24" t="e">
        <f ca="1">[1]!BexGetData("DP_1","00O2TNJGODT0G5Z4TTKYMMBYD","GSON1112070101")</f>
        <v>#NAME?</v>
      </c>
      <c r="S1303" s="24" t="e">
        <f ca="1">[1]!BexGetData("DP_1","00O2TNJGODT0G5Z4TTKYMMI9X","GSON1112070101")</f>
        <v>#NAME?</v>
      </c>
      <c r="T1303" s="24" t="e">
        <f ca="1">[1]!BexGetData("DP_1","00O2TNJGODT0G5Z4TTKYMMOLH","GSON1112070101")</f>
        <v>#NAME?</v>
      </c>
      <c r="U1303" s="24" t="e">
        <f ca="1">[1]!BexGetData("DP_1","00O2TNJGODT0G5Z4TTKYMMUX1","GSON1112070101")</f>
        <v>#NAME?</v>
      </c>
      <c r="V1303" s="24" t="e">
        <f ca="1">[1]!BexGetData("DP_1","00O2TNJGODT0G5Z4TTKYMN18L","GSON1112070101")</f>
        <v>#NAME?</v>
      </c>
      <c r="W1303" s="24" t="e">
        <f ca="1">[1]!BexGetData("DP_1","00O2TNJGODT0G5Z4TTKYMN7K5","GSON1112070101")</f>
        <v>#NAME?</v>
      </c>
    </row>
    <row r="1304" spans="1:23" x14ac:dyDescent="0.2">
      <c r="A1304" s="36" t="s">
        <v>1023</v>
      </c>
      <c r="B1304" s="27" t="s">
        <v>1024</v>
      </c>
      <c r="C1304" s="23" t="e">
        <f ca="1">[1]!BexGetData("DP_1","003N8EMH8GTFRCSWKMPXRR8GU","GSON1112070105")</f>
        <v>#NAME?</v>
      </c>
      <c r="D1304" s="23" t="e">
        <f ca="1">[1]!BexGetData("DP_1","003N8EMH8GTFRCSWKMPXRRESE","GSON1112070105")</f>
        <v>#NAME?</v>
      </c>
      <c r="E1304" s="28" t="e">
        <f ca="1">[1]!BexGetData("DP_1","003N8EMH8GTFRCSWKMPXRRL3Y","GSON1112070105")</f>
        <v>#NAME?</v>
      </c>
      <c r="F1304" s="28" t="e">
        <f ca="1">[1]!BexGetData("DP_1","003N8EMH8GTFRCSWKMPXRRRFI","GSON1112070105")</f>
        <v>#NAME?</v>
      </c>
      <c r="G1304" s="23" t="e">
        <f ca="1">[1]!BexGetData("DP_1","003N8EMH8GTFRCSWKMPXRRXR2","GSON1112070105")</f>
        <v>#NAME?</v>
      </c>
      <c r="H1304" s="23" t="e">
        <f ca="1">[1]!BexGetData("DP_1","003N8EMH8GTFRCSWKMPXRS42M","GSON1112070105")</f>
        <v>#NAME?</v>
      </c>
      <c r="I1304" s="28" t="e">
        <f ca="1">[1]!BexGetData("DP_1","003N8EMH8GTFRCSWKMPXRSAE6","GSON1112070105")</f>
        <v>#NAME?</v>
      </c>
      <c r="J1304" s="24" t="e">
        <f ca="1">[1]!BexGetData("DP_1","003N8EMH8GTFRCSWKMPXRSGPQ","GSON1112070105")</f>
        <v>#NAME?</v>
      </c>
      <c r="K1304" s="28" t="e">
        <f ca="1">[1]!BexGetData("DP_1","003N8EMH8GTFRIVNUPY288VJH","GSON1112070105")</f>
        <v>#NAME?</v>
      </c>
      <c r="L1304" s="28" t="e">
        <f ca="1">[1]!BexGetData("DP_1","003N8EMH8GTFRIVNUPY2891V1","GSON1112070105")</f>
        <v>#NAME?</v>
      </c>
      <c r="M1304" s="28" t="e">
        <f ca="1">[1]!BexGetData("DP_1","003N8EMH8GTFRIVOG7KG9IQXA","GSON1112070105")</f>
        <v>#NAME?</v>
      </c>
      <c r="N1304" s="28" t="e">
        <f ca="1">[1]!BexGetData("DP_1","003N8EMH8GTFRIVOG7KG9IX8U","GSON1112070105")</f>
        <v>#NAME?</v>
      </c>
      <c r="O1304" s="28" t="e">
        <f ca="1">[1]!BexGetData("DP_1","003N8EMH8GTFRIVOG7KG9J3KE","GSON1112070105")</f>
        <v>#NAME?</v>
      </c>
      <c r="P1304" s="28" t="e">
        <f ca="1">[1]!BexGetData("DP_1","003N8EMH8GTFRIVOG7KG9J9VY","GSON1112070105")</f>
        <v>#NAME?</v>
      </c>
      <c r="Q1304" s="24" t="e">
        <f ca="1">[1]!BexGetData("DP_1","00O2TNJGODT0G5Z4TTKYMM5MT","GSON1112070105")</f>
        <v>#NAME?</v>
      </c>
      <c r="R1304" s="28" t="e">
        <f ca="1">[1]!BexGetData("DP_1","00O2TNJGODT0G5Z4TTKYMMBYD","GSON1112070105")</f>
        <v>#NAME?</v>
      </c>
      <c r="S1304" s="28" t="e">
        <f ca="1">[1]!BexGetData("DP_1","00O2TNJGODT0G5Z4TTKYMMI9X","GSON1112070105")</f>
        <v>#NAME?</v>
      </c>
      <c r="T1304" s="28" t="e">
        <f ca="1">[1]!BexGetData("DP_1","00O2TNJGODT0G5Z4TTKYMMOLH","GSON1112070105")</f>
        <v>#NAME?</v>
      </c>
      <c r="U1304" s="28" t="e">
        <f ca="1">[1]!BexGetData("DP_1","00O2TNJGODT0G5Z4TTKYMMUX1","GSON1112070105")</f>
        <v>#NAME?</v>
      </c>
      <c r="V1304" s="28" t="e">
        <f ca="1">[1]!BexGetData("DP_1","00O2TNJGODT0G5Z4TTKYMN18L","GSON1112070105")</f>
        <v>#NAME?</v>
      </c>
      <c r="W1304" s="28" t="e">
        <f ca="1">[1]!BexGetData("DP_1","00O2TNJGODT0G5Z4TTKYMN7K5","GSON1112070105")</f>
        <v>#NAME?</v>
      </c>
    </row>
    <row r="1305" spans="1:23" x14ac:dyDescent="0.2">
      <c r="A1305" s="36" t="s">
        <v>1025</v>
      </c>
      <c r="B1305" s="27" t="s">
        <v>1026</v>
      </c>
      <c r="C1305" s="23" t="e">
        <f ca="1">[1]!BexGetData("DP_1","003N8EMH8GTFRCSWKMPXRR8GU","GSON1112070110")</f>
        <v>#NAME?</v>
      </c>
      <c r="D1305" s="28" t="e">
        <f ca="1">[1]!BexGetData("DP_1","003N8EMH8GTFRCSWKMPXRRESE","GSON1112070110")</f>
        <v>#NAME?</v>
      </c>
      <c r="E1305" s="23" t="e">
        <f ca="1">[1]!BexGetData("DP_1","003N8EMH8GTFRCSWKMPXRRL3Y","GSON1112070110")</f>
        <v>#NAME?</v>
      </c>
      <c r="F1305" s="23" t="e">
        <f ca="1">[1]!BexGetData("DP_1","003N8EMH8GTFRCSWKMPXRRRFI","GSON1112070110")</f>
        <v>#NAME?</v>
      </c>
      <c r="G1305" s="23" t="e">
        <f ca="1">[1]!BexGetData("DP_1","003N8EMH8GTFRCSWKMPXRRXR2","GSON1112070110")</f>
        <v>#NAME?</v>
      </c>
      <c r="H1305" s="23" t="e">
        <f ca="1">[1]!BexGetData("DP_1","003N8EMH8GTFRCSWKMPXRS42M","GSON1112070110")</f>
        <v>#NAME?</v>
      </c>
      <c r="I1305" s="23" t="e">
        <f ca="1">[1]!BexGetData("DP_1","003N8EMH8GTFRCSWKMPXRSAE6","GSON1112070110")</f>
        <v>#NAME?</v>
      </c>
      <c r="J1305" s="23" t="e">
        <f ca="1">[1]!BexGetData("DP_1","003N8EMH8GTFRCSWKMPXRSGPQ","GSON1112070110")</f>
        <v>#NAME?</v>
      </c>
      <c r="K1305" s="23" t="e">
        <f ca="1">[1]!BexGetData("DP_1","003N8EMH8GTFRIVNUPY288VJH","GSON1112070110")</f>
        <v>#NAME?</v>
      </c>
      <c r="L1305" s="23" t="e">
        <f ca="1">[1]!BexGetData("DP_1","003N8EMH8GTFRIVNUPY2891V1","GSON1112070110")</f>
        <v>#NAME?</v>
      </c>
      <c r="M1305" s="28" t="e">
        <f ca="1">[1]!BexGetData("DP_1","003N8EMH8GTFRIVOG7KG9IQXA","GSON1112070110")</f>
        <v>#NAME?</v>
      </c>
      <c r="N1305" s="23" t="e">
        <f ca="1">[1]!BexGetData("DP_1","003N8EMH8GTFRIVOG7KG9IX8U","GSON1112070110")</f>
        <v>#NAME?</v>
      </c>
      <c r="O1305" s="28" t="e">
        <f ca="1">[1]!BexGetData("DP_1","003N8EMH8GTFRIVOG7KG9J3KE","GSON1112070110")</f>
        <v>#NAME?</v>
      </c>
      <c r="P1305" s="23" t="e">
        <f ca="1">[1]!BexGetData("DP_1","003N8EMH8GTFRIVOG7KG9J9VY","GSON1112070110")</f>
        <v>#NAME?</v>
      </c>
      <c r="Q1305" s="23" t="e">
        <f ca="1">[1]!BexGetData("DP_1","00O2TNJGODT0G5Z4TTKYMM5MT","GSON1112070110")</f>
        <v>#NAME?</v>
      </c>
      <c r="R1305" s="23" t="e">
        <f ca="1">[1]!BexGetData("DP_1","00O2TNJGODT0G5Z4TTKYMMBYD","GSON1112070110")</f>
        <v>#NAME?</v>
      </c>
      <c r="S1305" s="23" t="e">
        <f ca="1">[1]!BexGetData("DP_1","00O2TNJGODT0G5Z4TTKYMMI9X","GSON1112070110")</f>
        <v>#NAME?</v>
      </c>
      <c r="T1305" s="23" t="e">
        <f ca="1">[1]!BexGetData("DP_1","00O2TNJGODT0G5Z4TTKYMMOLH","GSON1112070110")</f>
        <v>#NAME?</v>
      </c>
      <c r="U1305" s="28" t="e">
        <f ca="1">[1]!BexGetData("DP_1","00O2TNJGODT0G5Z4TTKYMMUX1","GSON1112070110")</f>
        <v>#NAME?</v>
      </c>
      <c r="V1305" s="23" t="e">
        <f ca="1">[1]!BexGetData("DP_1","00O2TNJGODT0G5Z4TTKYMN18L","GSON1112070110")</f>
        <v>#NAME?</v>
      </c>
      <c r="W1305" s="28" t="e">
        <f ca="1">[1]!BexGetData("DP_1","00O2TNJGODT0G5Z4TTKYMN7K5","GSON1112070110")</f>
        <v>#NAME?</v>
      </c>
    </row>
    <row r="1306" spans="1:23" x14ac:dyDescent="0.2">
      <c r="A1306" s="36" t="s">
        <v>3918</v>
      </c>
      <c r="B1306" s="27" t="s">
        <v>3919</v>
      </c>
      <c r="C1306" s="24" t="e">
        <f ca="1">[1]!BexGetData("DP_1","003N8EMH8GTFRCSWKMPXRR8GU","GSON1112070111")</f>
        <v>#NAME?</v>
      </c>
      <c r="D1306" s="24" t="e">
        <f ca="1">[1]!BexGetData("DP_1","003N8EMH8GTFRCSWKMPXRRESE","GSON1112070111")</f>
        <v>#NAME?</v>
      </c>
      <c r="E1306" s="24" t="e">
        <f ca="1">[1]!BexGetData("DP_1","003N8EMH8GTFRCSWKMPXRRL3Y","GSON1112070111")</f>
        <v>#NAME?</v>
      </c>
      <c r="F1306" s="28" t="e">
        <f ca="1">[1]!BexGetData("DP_1","003N8EMH8GTFRCSWKMPXRRRFI","GSON1112070111")</f>
        <v>#NAME?</v>
      </c>
      <c r="G1306" s="23" t="e">
        <f ca="1">[1]!BexGetData("DP_1","003N8EMH8GTFRCSWKMPXRRXR2","GSON1112070111")</f>
        <v>#NAME?</v>
      </c>
      <c r="H1306" s="23" t="e">
        <f ca="1">[1]!BexGetData("DP_1","003N8EMH8GTFRCSWKMPXRS42M","GSON1112070111")</f>
        <v>#NAME?</v>
      </c>
      <c r="I1306" s="28" t="e">
        <f ca="1">[1]!BexGetData("DP_1","003N8EMH8GTFRCSWKMPXRSAE6","GSON1112070111")</f>
        <v>#NAME?</v>
      </c>
      <c r="J1306" s="24" t="e">
        <f ca="1">[1]!BexGetData("DP_1","003N8EMH8GTFRCSWKMPXRSGPQ","GSON1112070111")</f>
        <v>#NAME?</v>
      </c>
      <c r="K1306" s="28" t="e">
        <f ca="1">[1]!BexGetData("DP_1","003N8EMH8GTFRIVNUPY288VJH","GSON1112070111")</f>
        <v>#NAME?</v>
      </c>
      <c r="L1306" s="28" t="e">
        <f ca="1">[1]!BexGetData("DP_1","003N8EMH8GTFRIVNUPY2891V1","GSON1112070111")</f>
        <v>#NAME?</v>
      </c>
      <c r="M1306" s="28" t="e">
        <f ca="1">[1]!BexGetData("DP_1","003N8EMH8GTFRIVOG7KG9IQXA","GSON1112070111")</f>
        <v>#NAME?</v>
      </c>
      <c r="N1306" s="28" t="e">
        <f ca="1">[1]!BexGetData("DP_1","003N8EMH8GTFRIVOG7KG9IX8U","GSON1112070111")</f>
        <v>#NAME?</v>
      </c>
      <c r="O1306" s="28" t="e">
        <f ca="1">[1]!BexGetData("DP_1","003N8EMH8GTFRIVOG7KG9J3KE","GSON1112070111")</f>
        <v>#NAME?</v>
      </c>
      <c r="P1306" s="28" t="e">
        <f ca="1">[1]!BexGetData("DP_1","003N8EMH8GTFRIVOG7KG9J9VY","GSON1112070111")</f>
        <v>#NAME?</v>
      </c>
      <c r="Q1306" s="24" t="e">
        <f ca="1">[1]!BexGetData("DP_1","00O2TNJGODT0G5Z4TTKYMM5MT","GSON1112070111")</f>
        <v>#NAME?</v>
      </c>
      <c r="R1306" s="28" t="e">
        <f ca="1">[1]!BexGetData("DP_1","00O2TNJGODT0G5Z4TTKYMMBYD","GSON1112070111")</f>
        <v>#NAME?</v>
      </c>
      <c r="S1306" s="28" t="e">
        <f ca="1">[1]!BexGetData("DP_1","00O2TNJGODT0G5Z4TTKYMMI9X","GSON1112070111")</f>
        <v>#NAME?</v>
      </c>
      <c r="T1306" s="28" t="e">
        <f ca="1">[1]!BexGetData("DP_1","00O2TNJGODT0G5Z4TTKYMMOLH","GSON1112070111")</f>
        <v>#NAME?</v>
      </c>
      <c r="U1306" s="28" t="e">
        <f ca="1">[1]!BexGetData("DP_1","00O2TNJGODT0G5Z4TTKYMMUX1","GSON1112070111")</f>
        <v>#NAME?</v>
      </c>
      <c r="V1306" s="28" t="e">
        <f ca="1">[1]!BexGetData("DP_1","00O2TNJGODT0G5Z4TTKYMN18L","GSON1112070111")</f>
        <v>#NAME?</v>
      </c>
      <c r="W1306" s="28" t="e">
        <f ca="1">[1]!BexGetData("DP_1","00O2TNJGODT0G5Z4TTKYMN7K5","GSON1112070111")</f>
        <v>#NAME?</v>
      </c>
    </row>
    <row r="1307" spans="1:23" x14ac:dyDescent="0.2">
      <c r="A1307" s="36" t="s">
        <v>3920</v>
      </c>
      <c r="B1307" s="27" t="s">
        <v>3921</v>
      </c>
      <c r="C1307" s="24" t="e">
        <f ca="1">[1]!BexGetData("DP_1","003N8EMH8GTFRCSWKMPXRR8GU","GSON1112070112")</f>
        <v>#NAME?</v>
      </c>
      <c r="D1307" s="24" t="e">
        <f ca="1">[1]!BexGetData("DP_1","003N8EMH8GTFRCSWKMPXRRESE","GSON1112070112")</f>
        <v>#NAME?</v>
      </c>
      <c r="E1307" s="24" t="e">
        <f ca="1">[1]!BexGetData("DP_1","003N8EMH8GTFRCSWKMPXRRL3Y","GSON1112070112")</f>
        <v>#NAME?</v>
      </c>
      <c r="F1307" s="28" t="e">
        <f ca="1">[1]!BexGetData("DP_1","003N8EMH8GTFRCSWKMPXRRRFI","GSON1112070112")</f>
        <v>#NAME?</v>
      </c>
      <c r="G1307" s="23" t="e">
        <f ca="1">[1]!BexGetData("DP_1","003N8EMH8GTFRCSWKMPXRRXR2","GSON1112070112")</f>
        <v>#NAME?</v>
      </c>
      <c r="H1307" s="23" t="e">
        <f ca="1">[1]!BexGetData("DP_1","003N8EMH8GTFRCSWKMPXRS42M","GSON1112070112")</f>
        <v>#NAME?</v>
      </c>
      <c r="I1307" s="28" t="e">
        <f ca="1">[1]!BexGetData("DP_1","003N8EMH8GTFRCSWKMPXRSAE6","GSON1112070112")</f>
        <v>#NAME?</v>
      </c>
      <c r="J1307" s="23" t="e">
        <f ca="1">[1]!BexGetData("DP_1","003N8EMH8GTFRCSWKMPXRSGPQ","GSON1112070112")</f>
        <v>#NAME?</v>
      </c>
      <c r="K1307" s="28" t="e">
        <f ca="1">[1]!BexGetData("DP_1","003N8EMH8GTFRIVNUPY288VJH","GSON1112070112")</f>
        <v>#NAME?</v>
      </c>
      <c r="L1307" s="28" t="e">
        <f ca="1">[1]!BexGetData("DP_1","003N8EMH8GTFRIVNUPY2891V1","GSON1112070112")</f>
        <v>#NAME?</v>
      </c>
      <c r="M1307" s="28" t="e">
        <f ca="1">[1]!BexGetData("DP_1","003N8EMH8GTFRIVOG7KG9IQXA","GSON1112070112")</f>
        <v>#NAME?</v>
      </c>
      <c r="N1307" s="28" t="e">
        <f ca="1">[1]!BexGetData("DP_1","003N8EMH8GTFRIVOG7KG9IX8U","GSON1112070112")</f>
        <v>#NAME?</v>
      </c>
      <c r="O1307" s="28" t="e">
        <f ca="1">[1]!BexGetData("DP_1","003N8EMH8GTFRIVOG7KG9J3KE","GSON1112070112")</f>
        <v>#NAME?</v>
      </c>
      <c r="P1307" s="28" t="e">
        <f ca="1">[1]!BexGetData("DP_1","003N8EMH8GTFRIVOG7KG9J9VY","GSON1112070112")</f>
        <v>#NAME?</v>
      </c>
      <c r="Q1307" s="23" t="e">
        <f ca="1">[1]!BexGetData("DP_1","00O2TNJGODT0G5Z4TTKYMM5MT","GSON1112070112")</f>
        <v>#NAME?</v>
      </c>
      <c r="R1307" s="23" t="e">
        <f ca="1">[1]!BexGetData("DP_1","00O2TNJGODT0G5Z4TTKYMMBYD","GSON1112070112")</f>
        <v>#NAME?</v>
      </c>
      <c r="S1307" s="23" t="e">
        <f ca="1">[1]!BexGetData("DP_1","00O2TNJGODT0G5Z4TTKYMMI9X","GSON1112070112")</f>
        <v>#NAME?</v>
      </c>
      <c r="T1307" s="28" t="e">
        <f ca="1">[1]!BexGetData("DP_1","00O2TNJGODT0G5Z4TTKYMMOLH","GSON1112070112")</f>
        <v>#NAME?</v>
      </c>
      <c r="U1307" s="23" t="e">
        <f ca="1">[1]!BexGetData("DP_1","00O2TNJGODT0G5Z4TTKYMMUX1","GSON1112070112")</f>
        <v>#NAME?</v>
      </c>
      <c r="V1307" s="28" t="e">
        <f ca="1">[1]!BexGetData("DP_1","00O2TNJGODT0G5Z4TTKYMN18L","GSON1112070112")</f>
        <v>#NAME?</v>
      </c>
      <c r="W1307" s="23" t="e">
        <f ca="1">[1]!BexGetData("DP_1","00O2TNJGODT0G5Z4TTKYMN7K5","GSON1112070112")</f>
        <v>#NAME?</v>
      </c>
    </row>
    <row r="1308" spans="1:23" x14ac:dyDescent="0.2">
      <c r="A1308" s="36" t="s">
        <v>3922</v>
      </c>
      <c r="B1308" s="27" t="s">
        <v>3923</v>
      </c>
      <c r="C1308" s="24" t="e">
        <f ca="1">[1]!BexGetData("DP_1","003N8EMH8GTFRCSWKMPXRR8GU","GSON1112070113")</f>
        <v>#NAME?</v>
      </c>
      <c r="D1308" s="24" t="e">
        <f ca="1">[1]!BexGetData("DP_1","003N8EMH8GTFRCSWKMPXRRESE","GSON1112070113")</f>
        <v>#NAME?</v>
      </c>
      <c r="E1308" s="24" t="e">
        <f ca="1">[1]!BexGetData("DP_1","003N8EMH8GTFRCSWKMPXRRL3Y","GSON1112070113")</f>
        <v>#NAME?</v>
      </c>
      <c r="F1308" s="28" t="e">
        <f ca="1">[1]!BexGetData("DP_1","003N8EMH8GTFRCSWKMPXRRRFI","GSON1112070113")</f>
        <v>#NAME?</v>
      </c>
      <c r="G1308" s="23" t="e">
        <f ca="1">[1]!BexGetData("DP_1","003N8EMH8GTFRCSWKMPXRRXR2","GSON1112070113")</f>
        <v>#NAME?</v>
      </c>
      <c r="H1308" s="23" t="e">
        <f ca="1">[1]!BexGetData("DP_1","003N8EMH8GTFRCSWKMPXRS42M","GSON1112070113")</f>
        <v>#NAME?</v>
      </c>
      <c r="I1308" s="28" t="e">
        <f ca="1">[1]!BexGetData("DP_1","003N8EMH8GTFRCSWKMPXRSAE6","GSON1112070113")</f>
        <v>#NAME?</v>
      </c>
      <c r="J1308" s="24" t="e">
        <f ca="1">[1]!BexGetData("DP_1","003N8EMH8GTFRCSWKMPXRSGPQ","GSON1112070113")</f>
        <v>#NAME?</v>
      </c>
      <c r="K1308" s="28" t="e">
        <f ca="1">[1]!BexGetData("DP_1","003N8EMH8GTFRIVNUPY288VJH","GSON1112070113")</f>
        <v>#NAME?</v>
      </c>
      <c r="L1308" s="28" t="e">
        <f ca="1">[1]!BexGetData("DP_1","003N8EMH8GTFRIVNUPY2891V1","GSON1112070113")</f>
        <v>#NAME?</v>
      </c>
      <c r="M1308" s="28" t="e">
        <f ca="1">[1]!BexGetData("DP_1","003N8EMH8GTFRIVOG7KG9IQXA","GSON1112070113")</f>
        <v>#NAME?</v>
      </c>
      <c r="N1308" s="28" t="e">
        <f ca="1">[1]!BexGetData("DP_1","003N8EMH8GTFRIVOG7KG9IX8U","GSON1112070113")</f>
        <v>#NAME?</v>
      </c>
      <c r="O1308" s="28" t="e">
        <f ca="1">[1]!BexGetData("DP_1","003N8EMH8GTFRIVOG7KG9J3KE","GSON1112070113")</f>
        <v>#NAME?</v>
      </c>
      <c r="P1308" s="28" t="e">
        <f ca="1">[1]!BexGetData("DP_1","003N8EMH8GTFRIVOG7KG9J9VY","GSON1112070113")</f>
        <v>#NAME?</v>
      </c>
      <c r="Q1308" s="24" t="e">
        <f ca="1">[1]!BexGetData("DP_1","00O2TNJGODT0G5Z4TTKYMM5MT","GSON1112070113")</f>
        <v>#NAME?</v>
      </c>
      <c r="R1308" s="28" t="e">
        <f ca="1">[1]!BexGetData("DP_1","00O2TNJGODT0G5Z4TTKYMMBYD","GSON1112070113")</f>
        <v>#NAME?</v>
      </c>
      <c r="S1308" s="28" t="e">
        <f ca="1">[1]!BexGetData("DP_1","00O2TNJGODT0G5Z4TTKYMMI9X","GSON1112070113")</f>
        <v>#NAME?</v>
      </c>
      <c r="T1308" s="28" t="e">
        <f ca="1">[1]!BexGetData("DP_1","00O2TNJGODT0G5Z4TTKYMMOLH","GSON1112070113")</f>
        <v>#NAME?</v>
      </c>
      <c r="U1308" s="28" t="e">
        <f ca="1">[1]!BexGetData("DP_1","00O2TNJGODT0G5Z4TTKYMMUX1","GSON1112070113")</f>
        <v>#NAME?</v>
      </c>
      <c r="V1308" s="28" t="e">
        <f ca="1">[1]!BexGetData("DP_1","00O2TNJGODT0G5Z4TTKYMN18L","GSON1112070113")</f>
        <v>#NAME?</v>
      </c>
      <c r="W1308" s="28" t="e">
        <f ca="1">[1]!BexGetData("DP_1","00O2TNJGODT0G5Z4TTKYMN7K5","GSON1112070113")</f>
        <v>#NAME?</v>
      </c>
    </row>
    <row r="1309" spans="1:23" x14ac:dyDescent="0.2">
      <c r="A1309" s="36" t="s">
        <v>3924</v>
      </c>
      <c r="B1309" s="27" t="s">
        <v>3925</v>
      </c>
      <c r="C1309" s="24" t="e">
        <f ca="1">[1]!BexGetData("DP_1","003N8EMH8GTFRCSWKMPXRR8GU","GSON1112070114")</f>
        <v>#NAME?</v>
      </c>
      <c r="D1309" s="24" t="e">
        <f ca="1">[1]!BexGetData("DP_1","003N8EMH8GTFRCSWKMPXRRESE","GSON1112070114")</f>
        <v>#NAME?</v>
      </c>
      <c r="E1309" s="24" t="e">
        <f ca="1">[1]!BexGetData("DP_1","003N8EMH8GTFRCSWKMPXRRL3Y","GSON1112070114")</f>
        <v>#NAME?</v>
      </c>
      <c r="F1309" s="28" t="e">
        <f ca="1">[1]!BexGetData("DP_1","003N8EMH8GTFRCSWKMPXRRRFI","GSON1112070114")</f>
        <v>#NAME?</v>
      </c>
      <c r="G1309" s="23" t="e">
        <f ca="1">[1]!BexGetData("DP_1","003N8EMH8GTFRCSWKMPXRRXR2","GSON1112070114")</f>
        <v>#NAME?</v>
      </c>
      <c r="H1309" s="23" t="e">
        <f ca="1">[1]!BexGetData("DP_1","003N8EMH8GTFRCSWKMPXRS42M","GSON1112070114")</f>
        <v>#NAME?</v>
      </c>
      <c r="I1309" s="28" t="e">
        <f ca="1">[1]!BexGetData("DP_1","003N8EMH8GTFRCSWKMPXRSAE6","GSON1112070114")</f>
        <v>#NAME?</v>
      </c>
      <c r="J1309" s="24" t="e">
        <f ca="1">[1]!BexGetData("DP_1","003N8EMH8GTFRCSWKMPXRSGPQ","GSON1112070114")</f>
        <v>#NAME?</v>
      </c>
      <c r="K1309" s="28" t="e">
        <f ca="1">[1]!BexGetData("DP_1","003N8EMH8GTFRIVNUPY288VJH","GSON1112070114")</f>
        <v>#NAME?</v>
      </c>
      <c r="L1309" s="28" t="e">
        <f ca="1">[1]!BexGetData("DP_1","003N8EMH8GTFRIVNUPY2891V1","GSON1112070114")</f>
        <v>#NAME?</v>
      </c>
      <c r="M1309" s="28" t="e">
        <f ca="1">[1]!BexGetData("DP_1","003N8EMH8GTFRIVOG7KG9IQXA","GSON1112070114")</f>
        <v>#NAME?</v>
      </c>
      <c r="N1309" s="28" t="e">
        <f ca="1">[1]!BexGetData("DP_1","003N8EMH8GTFRIVOG7KG9IX8U","GSON1112070114")</f>
        <v>#NAME?</v>
      </c>
      <c r="O1309" s="28" t="e">
        <f ca="1">[1]!BexGetData("DP_1","003N8EMH8GTFRIVOG7KG9J3KE","GSON1112070114")</f>
        <v>#NAME?</v>
      </c>
      <c r="P1309" s="28" t="e">
        <f ca="1">[1]!BexGetData("DP_1","003N8EMH8GTFRIVOG7KG9J9VY","GSON1112070114")</f>
        <v>#NAME?</v>
      </c>
      <c r="Q1309" s="24" t="e">
        <f ca="1">[1]!BexGetData("DP_1","00O2TNJGODT0G5Z4TTKYMM5MT","GSON1112070114")</f>
        <v>#NAME?</v>
      </c>
      <c r="R1309" s="28" t="e">
        <f ca="1">[1]!BexGetData("DP_1","00O2TNJGODT0G5Z4TTKYMMBYD","GSON1112070114")</f>
        <v>#NAME?</v>
      </c>
      <c r="S1309" s="28" t="e">
        <f ca="1">[1]!BexGetData("DP_1","00O2TNJGODT0G5Z4TTKYMMI9X","GSON1112070114")</f>
        <v>#NAME?</v>
      </c>
      <c r="T1309" s="28" t="e">
        <f ca="1">[1]!BexGetData("DP_1","00O2TNJGODT0G5Z4TTKYMMOLH","GSON1112070114")</f>
        <v>#NAME?</v>
      </c>
      <c r="U1309" s="28" t="e">
        <f ca="1">[1]!BexGetData("DP_1","00O2TNJGODT0G5Z4TTKYMMUX1","GSON1112070114")</f>
        <v>#NAME?</v>
      </c>
      <c r="V1309" s="28" t="e">
        <f ca="1">[1]!BexGetData("DP_1","00O2TNJGODT0G5Z4TTKYMN18L","GSON1112070114")</f>
        <v>#NAME?</v>
      </c>
      <c r="W1309" s="28" t="e">
        <f ca="1">[1]!BexGetData("DP_1","00O2TNJGODT0G5Z4TTKYMN7K5","GSON1112070114")</f>
        <v>#NAME?</v>
      </c>
    </row>
    <row r="1310" spans="1:23" x14ac:dyDescent="0.2">
      <c r="A1310" s="36" t="s">
        <v>1027</v>
      </c>
      <c r="B1310" s="27" t="s">
        <v>1028</v>
      </c>
      <c r="C1310" s="23" t="e">
        <f ca="1">[1]!BexGetData("DP_1","003N8EMH8GTFRCSWKMPXRR8GU","GSON1112070115")</f>
        <v>#NAME?</v>
      </c>
      <c r="D1310" s="23" t="e">
        <f ca="1">[1]!BexGetData("DP_1","003N8EMH8GTFRCSWKMPXRRESE","GSON1112070115")</f>
        <v>#NAME?</v>
      </c>
      <c r="E1310" s="28" t="e">
        <f ca="1">[1]!BexGetData("DP_1","003N8EMH8GTFRCSWKMPXRRL3Y","GSON1112070115")</f>
        <v>#NAME?</v>
      </c>
      <c r="F1310" s="28" t="e">
        <f ca="1">[1]!BexGetData("DP_1","003N8EMH8GTFRCSWKMPXRRRFI","GSON1112070115")</f>
        <v>#NAME?</v>
      </c>
      <c r="G1310" s="23" t="e">
        <f ca="1">[1]!BexGetData("DP_1","003N8EMH8GTFRCSWKMPXRRXR2","GSON1112070115")</f>
        <v>#NAME?</v>
      </c>
      <c r="H1310" s="23" t="e">
        <f ca="1">[1]!BexGetData("DP_1","003N8EMH8GTFRCSWKMPXRS42M","GSON1112070115")</f>
        <v>#NAME?</v>
      </c>
      <c r="I1310" s="28" t="e">
        <f ca="1">[1]!BexGetData("DP_1","003N8EMH8GTFRCSWKMPXRSAE6","GSON1112070115")</f>
        <v>#NAME?</v>
      </c>
      <c r="J1310" s="24" t="e">
        <f ca="1">[1]!BexGetData("DP_1","003N8EMH8GTFRCSWKMPXRSGPQ","GSON1112070115")</f>
        <v>#NAME?</v>
      </c>
      <c r="K1310" s="28" t="e">
        <f ca="1">[1]!BexGetData("DP_1","003N8EMH8GTFRIVNUPY288VJH","GSON1112070115")</f>
        <v>#NAME?</v>
      </c>
      <c r="L1310" s="28" t="e">
        <f ca="1">[1]!BexGetData("DP_1","003N8EMH8GTFRIVNUPY2891V1","GSON1112070115")</f>
        <v>#NAME?</v>
      </c>
      <c r="M1310" s="28" t="e">
        <f ca="1">[1]!BexGetData("DP_1","003N8EMH8GTFRIVOG7KG9IQXA","GSON1112070115")</f>
        <v>#NAME?</v>
      </c>
      <c r="N1310" s="28" t="e">
        <f ca="1">[1]!BexGetData("DP_1","003N8EMH8GTFRIVOG7KG9IX8U","GSON1112070115")</f>
        <v>#NAME?</v>
      </c>
      <c r="O1310" s="28" t="e">
        <f ca="1">[1]!BexGetData("DP_1","003N8EMH8GTFRIVOG7KG9J3KE","GSON1112070115")</f>
        <v>#NAME?</v>
      </c>
      <c r="P1310" s="28" t="e">
        <f ca="1">[1]!BexGetData("DP_1","003N8EMH8GTFRIVOG7KG9J9VY","GSON1112070115")</f>
        <v>#NAME?</v>
      </c>
      <c r="Q1310" s="24" t="e">
        <f ca="1">[1]!BexGetData("DP_1","00O2TNJGODT0G5Z4TTKYMM5MT","GSON1112070115")</f>
        <v>#NAME?</v>
      </c>
      <c r="R1310" s="28" t="e">
        <f ca="1">[1]!BexGetData("DP_1","00O2TNJGODT0G5Z4TTKYMMBYD","GSON1112070115")</f>
        <v>#NAME?</v>
      </c>
      <c r="S1310" s="28" t="e">
        <f ca="1">[1]!BexGetData("DP_1","00O2TNJGODT0G5Z4TTKYMMI9X","GSON1112070115")</f>
        <v>#NAME?</v>
      </c>
      <c r="T1310" s="28" t="e">
        <f ca="1">[1]!BexGetData("DP_1","00O2TNJGODT0G5Z4TTKYMMOLH","GSON1112070115")</f>
        <v>#NAME?</v>
      </c>
      <c r="U1310" s="28" t="e">
        <f ca="1">[1]!BexGetData("DP_1","00O2TNJGODT0G5Z4TTKYMMUX1","GSON1112070115")</f>
        <v>#NAME?</v>
      </c>
      <c r="V1310" s="28" t="e">
        <f ca="1">[1]!BexGetData("DP_1","00O2TNJGODT0G5Z4TTKYMN18L","GSON1112070115")</f>
        <v>#NAME?</v>
      </c>
      <c r="W1310" s="28" t="e">
        <f ca="1">[1]!BexGetData("DP_1","00O2TNJGODT0G5Z4TTKYMN7K5","GSON1112070115")</f>
        <v>#NAME?</v>
      </c>
    </row>
    <row r="1311" spans="1:23" x14ac:dyDescent="0.2">
      <c r="A1311" s="36" t="s">
        <v>1029</v>
      </c>
      <c r="B1311" s="27" t="s">
        <v>1030</v>
      </c>
      <c r="C1311" s="23" t="e">
        <f ca="1">[1]!BexGetData("DP_1","003N8EMH8GTFRCSWKMPXRR8GU","GSON1112070120")</f>
        <v>#NAME?</v>
      </c>
      <c r="D1311" s="28" t="e">
        <f ca="1">[1]!BexGetData("DP_1","003N8EMH8GTFRCSWKMPXRRESE","GSON1112070120")</f>
        <v>#NAME?</v>
      </c>
      <c r="E1311" s="23" t="e">
        <f ca="1">[1]!BexGetData("DP_1","003N8EMH8GTFRCSWKMPXRRL3Y","GSON1112070120")</f>
        <v>#NAME?</v>
      </c>
      <c r="F1311" s="23" t="e">
        <f ca="1">[1]!BexGetData("DP_1","003N8EMH8GTFRCSWKMPXRRRFI","GSON1112070120")</f>
        <v>#NAME?</v>
      </c>
      <c r="G1311" s="23" t="e">
        <f ca="1">[1]!BexGetData("DP_1","003N8EMH8GTFRCSWKMPXRRXR2","GSON1112070120")</f>
        <v>#NAME?</v>
      </c>
      <c r="H1311" s="28" t="e">
        <f ca="1">[1]!BexGetData("DP_1","003N8EMH8GTFRCSWKMPXRS42M","GSON1112070120")</f>
        <v>#NAME?</v>
      </c>
      <c r="I1311" s="23" t="e">
        <f ca="1">[1]!BexGetData("DP_1","003N8EMH8GTFRCSWKMPXRSAE6","GSON1112070120")</f>
        <v>#NAME?</v>
      </c>
      <c r="J1311" s="23" t="e">
        <f ca="1">[1]!BexGetData("DP_1","003N8EMH8GTFRCSWKMPXRSGPQ","GSON1112070120")</f>
        <v>#NAME?</v>
      </c>
      <c r="K1311" s="23" t="e">
        <f ca="1">[1]!BexGetData("DP_1","003N8EMH8GTFRIVNUPY288VJH","GSON1112070120")</f>
        <v>#NAME?</v>
      </c>
      <c r="L1311" s="23" t="e">
        <f ca="1">[1]!BexGetData("DP_1","003N8EMH8GTFRIVNUPY2891V1","GSON1112070120")</f>
        <v>#NAME?</v>
      </c>
      <c r="M1311" s="28" t="e">
        <f ca="1">[1]!BexGetData("DP_1","003N8EMH8GTFRIVOG7KG9IQXA","GSON1112070120")</f>
        <v>#NAME?</v>
      </c>
      <c r="N1311" s="23" t="e">
        <f ca="1">[1]!BexGetData("DP_1","003N8EMH8GTFRIVOG7KG9IX8U","GSON1112070120")</f>
        <v>#NAME?</v>
      </c>
      <c r="O1311" s="28" t="e">
        <f ca="1">[1]!BexGetData("DP_1","003N8EMH8GTFRIVOG7KG9J3KE","GSON1112070120")</f>
        <v>#NAME?</v>
      </c>
      <c r="P1311" s="23" t="e">
        <f ca="1">[1]!BexGetData("DP_1","003N8EMH8GTFRIVOG7KG9J9VY","GSON1112070120")</f>
        <v>#NAME?</v>
      </c>
      <c r="Q1311" s="23" t="e">
        <f ca="1">[1]!BexGetData("DP_1","00O2TNJGODT0G5Z4TTKYMM5MT","GSON1112070120")</f>
        <v>#NAME?</v>
      </c>
      <c r="R1311" s="23" t="e">
        <f ca="1">[1]!BexGetData("DP_1","00O2TNJGODT0G5Z4TTKYMMBYD","GSON1112070120")</f>
        <v>#NAME?</v>
      </c>
      <c r="S1311" s="23" t="e">
        <f ca="1">[1]!BexGetData("DP_1","00O2TNJGODT0G5Z4TTKYMMI9X","GSON1112070120")</f>
        <v>#NAME?</v>
      </c>
      <c r="T1311" s="28" t="e">
        <f ca="1">[1]!BexGetData("DP_1","00O2TNJGODT0G5Z4TTKYMMOLH","GSON1112070120")</f>
        <v>#NAME?</v>
      </c>
      <c r="U1311" s="23" t="e">
        <f ca="1">[1]!BexGetData("DP_1","00O2TNJGODT0G5Z4TTKYMMUX1","GSON1112070120")</f>
        <v>#NAME?</v>
      </c>
      <c r="V1311" s="28" t="e">
        <f ca="1">[1]!BexGetData("DP_1","00O2TNJGODT0G5Z4TTKYMN18L","GSON1112070120")</f>
        <v>#NAME?</v>
      </c>
      <c r="W1311" s="23" t="e">
        <f ca="1">[1]!BexGetData("DP_1","00O2TNJGODT0G5Z4TTKYMN7K5","GSON1112070120")</f>
        <v>#NAME?</v>
      </c>
    </row>
    <row r="1312" spans="1:23" x14ac:dyDescent="0.2">
      <c r="A1312" s="36" t="s">
        <v>3926</v>
      </c>
      <c r="B1312" s="27" t="s">
        <v>3927</v>
      </c>
      <c r="C1312" s="23" t="e">
        <f ca="1">[1]!BexGetData("DP_1","003N8EMH8GTFRCSWKMPXRR8GU","GSON1112070121")</f>
        <v>#NAME?</v>
      </c>
      <c r="D1312" s="23" t="e">
        <f ca="1">[1]!BexGetData("DP_1","003N8EMH8GTFRCSWKMPXRRESE","GSON1112070121")</f>
        <v>#NAME?</v>
      </c>
      <c r="E1312" s="28" t="e">
        <f ca="1">[1]!BexGetData("DP_1","003N8EMH8GTFRCSWKMPXRRL3Y","GSON1112070121")</f>
        <v>#NAME?</v>
      </c>
      <c r="F1312" s="24" t="e">
        <f ca="1">[1]!BexGetData("DP_1","003N8EMH8GTFRCSWKMPXRRRFI","GSON1112070121")</f>
        <v>#NAME?</v>
      </c>
      <c r="G1312" s="24" t="e">
        <f ca="1">[1]!BexGetData("DP_1","003N8EMH8GTFRCSWKMPXRRXR2","GSON1112070121")</f>
        <v>#NAME?</v>
      </c>
      <c r="H1312" s="24" t="e">
        <f ca="1">[1]!BexGetData("DP_1","003N8EMH8GTFRCSWKMPXRS42M","GSON1112070121")</f>
        <v>#NAME?</v>
      </c>
      <c r="I1312" s="24" t="e">
        <f ca="1">[1]!BexGetData("DP_1","003N8EMH8GTFRCSWKMPXRSAE6","GSON1112070121")</f>
        <v>#NAME?</v>
      </c>
      <c r="J1312" s="24" t="e">
        <f ca="1">[1]!BexGetData("DP_1","003N8EMH8GTFRCSWKMPXRSGPQ","GSON1112070121")</f>
        <v>#NAME?</v>
      </c>
      <c r="K1312" s="28" t="e">
        <f ca="1">[1]!BexGetData("DP_1","003N8EMH8GTFRIVNUPY288VJH","GSON1112070121")</f>
        <v>#NAME?</v>
      </c>
      <c r="L1312" s="28" t="e">
        <f ca="1">[1]!BexGetData("DP_1","003N8EMH8GTFRIVNUPY2891V1","GSON1112070121")</f>
        <v>#NAME?</v>
      </c>
      <c r="M1312" s="28" t="e">
        <f ca="1">[1]!BexGetData("DP_1","003N8EMH8GTFRIVOG7KG9IQXA","GSON1112070121")</f>
        <v>#NAME?</v>
      </c>
      <c r="N1312" s="28" t="e">
        <f ca="1">[1]!BexGetData("DP_1","003N8EMH8GTFRIVOG7KG9IX8U","GSON1112070121")</f>
        <v>#NAME?</v>
      </c>
      <c r="O1312" s="28" t="e">
        <f ca="1">[1]!BexGetData("DP_1","003N8EMH8GTFRIVOG7KG9J3KE","GSON1112070121")</f>
        <v>#NAME?</v>
      </c>
      <c r="P1312" s="28" t="e">
        <f ca="1">[1]!BexGetData("DP_1","003N8EMH8GTFRIVOG7KG9J9VY","GSON1112070121")</f>
        <v>#NAME?</v>
      </c>
      <c r="Q1312" s="24" t="e">
        <f ca="1">[1]!BexGetData("DP_1","00O2TNJGODT0G5Z4TTKYMM5MT","GSON1112070121")</f>
        <v>#NAME?</v>
      </c>
      <c r="R1312" s="24" t="e">
        <f ca="1">[1]!BexGetData("DP_1","00O2TNJGODT0G5Z4TTKYMMBYD","GSON1112070121")</f>
        <v>#NAME?</v>
      </c>
      <c r="S1312" s="24" t="e">
        <f ca="1">[1]!BexGetData("DP_1","00O2TNJGODT0G5Z4TTKYMMI9X","GSON1112070121")</f>
        <v>#NAME?</v>
      </c>
      <c r="T1312" s="24" t="e">
        <f ca="1">[1]!BexGetData("DP_1","00O2TNJGODT0G5Z4TTKYMMOLH","GSON1112070121")</f>
        <v>#NAME?</v>
      </c>
      <c r="U1312" s="24" t="e">
        <f ca="1">[1]!BexGetData("DP_1","00O2TNJGODT0G5Z4TTKYMMUX1","GSON1112070121")</f>
        <v>#NAME?</v>
      </c>
      <c r="V1312" s="24" t="e">
        <f ca="1">[1]!BexGetData("DP_1","00O2TNJGODT0G5Z4TTKYMN18L","GSON1112070121")</f>
        <v>#NAME?</v>
      </c>
      <c r="W1312" s="24" t="e">
        <f ca="1">[1]!BexGetData("DP_1","00O2TNJGODT0G5Z4TTKYMN7K5","GSON1112070121")</f>
        <v>#NAME?</v>
      </c>
    </row>
    <row r="1313" spans="1:23" x14ac:dyDescent="0.2">
      <c r="A1313" s="36" t="s">
        <v>1031</v>
      </c>
      <c r="B1313" s="27" t="s">
        <v>1032</v>
      </c>
      <c r="C1313" s="23" t="e">
        <f ca="1">[1]!BexGetData("DP_1","003N8EMH8GTFRCSWKMPXRR8GU","GSON1112070125")</f>
        <v>#NAME?</v>
      </c>
      <c r="D1313" s="23" t="e">
        <f ca="1">[1]!BexGetData("DP_1","003N8EMH8GTFRCSWKMPXRRESE","GSON1112070125")</f>
        <v>#NAME?</v>
      </c>
      <c r="E1313" s="28" t="e">
        <f ca="1">[1]!BexGetData("DP_1","003N8EMH8GTFRCSWKMPXRRL3Y","GSON1112070125")</f>
        <v>#NAME?</v>
      </c>
      <c r="F1313" s="28" t="e">
        <f ca="1">[1]!BexGetData("DP_1","003N8EMH8GTFRCSWKMPXRRRFI","GSON1112070125")</f>
        <v>#NAME?</v>
      </c>
      <c r="G1313" s="23" t="e">
        <f ca="1">[1]!BexGetData("DP_1","003N8EMH8GTFRCSWKMPXRRXR2","GSON1112070125")</f>
        <v>#NAME?</v>
      </c>
      <c r="H1313" s="23" t="e">
        <f ca="1">[1]!BexGetData("DP_1","003N8EMH8GTFRCSWKMPXRS42M","GSON1112070125")</f>
        <v>#NAME?</v>
      </c>
      <c r="I1313" s="28" t="e">
        <f ca="1">[1]!BexGetData("DP_1","003N8EMH8GTFRCSWKMPXRSAE6","GSON1112070125")</f>
        <v>#NAME?</v>
      </c>
      <c r="J1313" s="24" t="e">
        <f ca="1">[1]!BexGetData("DP_1","003N8EMH8GTFRCSWKMPXRSGPQ","GSON1112070125")</f>
        <v>#NAME?</v>
      </c>
      <c r="K1313" s="28" t="e">
        <f ca="1">[1]!BexGetData("DP_1","003N8EMH8GTFRIVNUPY288VJH","GSON1112070125")</f>
        <v>#NAME?</v>
      </c>
      <c r="L1313" s="28" t="e">
        <f ca="1">[1]!BexGetData("DP_1","003N8EMH8GTFRIVNUPY2891V1","GSON1112070125")</f>
        <v>#NAME?</v>
      </c>
      <c r="M1313" s="28" t="e">
        <f ca="1">[1]!BexGetData("DP_1","003N8EMH8GTFRIVOG7KG9IQXA","GSON1112070125")</f>
        <v>#NAME?</v>
      </c>
      <c r="N1313" s="28" t="e">
        <f ca="1">[1]!BexGetData("DP_1","003N8EMH8GTFRIVOG7KG9IX8U","GSON1112070125")</f>
        <v>#NAME?</v>
      </c>
      <c r="O1313" s="28" t="e">
        <f ca="1">[1]!BexGetData("DP_1","003N8EMH8GTFRIVOG7KG9J3KE","GSON1112070125")</f>
        <v>#NAME?</v>
      </c>
      <c r="P1313" s="28" t="e">
        <f ca="1">[1]!BexGetData("DP_1","003N8EMH8GTFRIVOG7KG9J9VY","GSON1112070125")</f>
        <v>#NAME?</v>
      </c>
      <c r="Q1313" s="24" t="e">
        <f ca="1">[1]!BexGetData("DP_1","00O2TNJGODT0G5Z4TTKYMM5MT","GSON1112070125")</f>
        <v>#NAME?</v>
      </c>
      <c r="R1313" s="28" t="e">
        <f ca="1">[1]!BexGetData("DP_1","00O2TNJGODT0G5Z4TTKYMMBYD","GSON1112070125")</f>
        <v>#NAME?</v>
      </c>
      <c r="S1313" s="28" t="e">
        <f ca="1">[1]!BexGetData("DP_1","00O2TNJGODT0G5Z4TTKYMMI9X","GSON1112070125")</f>
        <v>#NAME?</v>
      </c>
      <c r="T1313" s="28" t="e">
        <f ca="1">[1]!BexGetData("DP_1","00O2TNJGODT0G5Z4TTKYMMOLH","GSON1112070125")</f>
        <v>#NAME?</v>
      </c>
      <c r="U1313" s="28" t="e">
        <f ca="1">[1]!BexGetData("DP_1","00O2TNJGODT0G5Z4TTKYMMUX1","GSON1112070125")</f>
        <v>#NAME?</v>
      </c>
      <c r="V1313" s="28" t="e">
        <f ca="1">[1]!BexGetData("DP_1","00O2TNJGODT0G5Z4TTKYMN18L","GSON1112070125")</f>
        <v>#NAME?</v>
      </c>
      <c r="W1313" s="28" t="e">
        <f ca="1">[1]!BexGetData("DP_1","00O2TNJGODT0G5Z4TTKYMN7K5","GSON1112070125")</f>
        <v>#NAME?</v>
      </c>
    </row>
    <row r="1314" spans="1:23" x14ac:dyDescent="0.2">
      <c r="A1314" s="36" t="s">
        <v>1033</v>
      </c>
      <c r="B1314" s="27" t="s">
        <v>1034</v>
      </c>
      <c r="C1314" s="23" t="e">
        <f ca="1">[1]!BexGetData("DP_1","003N8EMH8GTFRCSWKMPXRR8GU","GSON1112070130")</f>
        <v>#NAME?</v>
      </c>
      <c r="D1314" s="28" t="e">
        <f ca="1">[1]!BexGetData("DP_1","003N8EMH8GTFRCSWKMPXRRESE","GSON1112070130")</f>
        <v>#NAME?</v>
      </c>
      <c r="E1314" s="23" t="e">
        <f ca="1">[1]!BexGetData("DP_1","003N8EMH8GTFRCSWKMPXRRL3Y","GSON1112070130")</f>
        <v>#NAME?</v>
      </c>
      <c r="F1314" s="23" t="e">
        <f ca="1">[1]!BexGetData("DP_1","003N8EMH8GTFRCSWKMPXRRRFI","GSON1112070130")</f>
        <v>#NAME?</v>
      </c>
      <c r="G1314" s="23" t="e">
        <f ca="1">[1]!BexGetData("DP_1","003N8EMH8GTFRCSWKMPXRRXR2","GSON1112070130")</f>
        <v>#NAME?</v>
      </c>
      <c r="H1314" s="28" t="e">
        <f ca="1">[1]!BexGetData("DP_1","003N8EMH8GTFRCSWKMPXRS42M","GSON1112070130")</f>
        <v>#NAME?</v>
      </c>
      <c r="I1314" s="23" t="e">
        <f ca="1">[1]!BexGetData("DP_1","003N8EMH8GTFRCSWKMPXRSAE6","GSON1112070130")</f>
        <v>#NAME?</v>
      </c>
      <c r="J1314" s="23" t="e">
        <f ca="1">[1]!BexGetData("DP_1","003N8EMH8GTFRCSWKMPXRSGPQ","GSON1112070130")</f>
        <v>#NAME?</v>
      </c>
      <c r="K1314" s="23" t="e">
        <f ca="1">[1]!BexGetData("DP_1","003N8EMH8GTFRIVNUPY288VJH","GSON1112070130")</f>
        <v>#NAME?</v>
      </c>
      <c r="L1314" s="23" t="e">
        <f ca="1">[1]!BexGetData("DP_1","003N8EMH8GTFRIVNUPY2891V1","GSON1112070130")</f>
        <v>#NAME?</v>
      </c>
      <c r="M1314" s="28" t="e">
        <f ca="1">[1]!BexGetData("DP_1","003N8EMH8GTFRIVOG7KG9IQXA","GSON1112070130")</f>
        <v>#NAME?</v>
      </c>
      <c r="N1314" s="23" t="e">
        <f ca="1">[1]!BexGetData("DP_1","003N8EMH8GTFRIVOG7KG9IX8U","GSON1112070130")</f>
        <v>#NAME?</v>
      </c>
      <c r="O1314" s="28" t="e">
        <f ca="1">[1]!BexGetData("DP_1","003N8EMH8GTFRIVOG7KG9J3KE","GSON1112070130")</f>
        <v>#NAME?</v>
      </c>
      <c r="P1314" s="23" t="e">
        <f ca="1">[1]!BexGetData("DP_1","003N8EMH8GTFRIVOG7KG9J9VY","GSON1112070130")</f>
        <v>#NAME?</v>
      </c>
      <c r="Q1314" s="23" t="e">
        <f ca="1">[1]!BexGetData("DP_1","00O2TNJGODT0G5Z4TTKYMM5MT","GSON1112070130")</f>
        <v>#NAME?</v>
      </c>
      <c r="R1314" s="23" t="e">
        <f ca="1">[1]!BexGetData("DP_1","00O2TNJGODT0G5Z4TTKYMMBYD","GSON1112070130")</f>
        <v>#NAME?</v>
      </c>
      <c r="S1314" s="23" t="e">
        <f ca="1">[1]!BexGetData("DP_1","00O2TNJGODT0G5Z4TTKYMMI9X","GSON1112070130")</f>
        <v>#NAME?</v>
      </c>
      <c r="T1314" s="28" t="e">
        <f ca="1">[1]!BexGetData("DP_1","00O2TNJGODT0G5Z4TTKYMMOLH","GSON1112070130")</f>
        <v>#NAME?</v>
      </c>
      <c r="U1314" s="23" t="e">
        <f ca="1">[1]!BexGetData("DP_1","00O2TNJGODT0G5Z4TTKYMMUX1","GSON1112070130")</f>
        <v>#NAME?</v>
      </c>
      <c r="V1314" s="28" t="e">
        <f ca="1">[1]!BexGetData("DP_1","00O2TNJGODT0G5Z4TTKYMN18L","GSON1112070130")</f>
        <v>#NAME?</v>
      </c>
      <c r="W1314" s="23" t="e">
        <f ca="1">[1]!BexGetData("DP_1","00O2TNJGODT0G5Z4TTKYMN7K5","GSON1112070130")</f>
        <v>#NAME?</v>
      </c>
    </row>
    <row r="1315" spans="1:23" x14ac:dyDescent="0.2">
      <c r="A1315" s="36" t="s">
        <v>3928</v>
      </c>
      <c r="B1315" s="27" t="s">
        <v>3929</v>
      </c>
      <c r="C1315" s="23" t="e">
        <f ca="1">[1]!BexGetData("DP_1","003N8EMH8GTFRCSWKMPXRR8GU","GSON1112070131")</f>
        <v>#NAME?</v>
      </c>
      <c r="D1315" s="23" t="e">
        <f ca="1">[1]!BexGetData("DP_1","003N8EMH8GTFRCSWKMPXRRESE","GSON1112070131")</f>
        <v>#NAME?</v>
      </c>
      <c r="E1315" s="28" t="e">
        <f ca="1">[1]!BexGetData("DP_1","003N8EMH8GTFRCSWKMPXRRL3Y","GSON1112070131")</f>
        <v>#NAME?</v>
      </c>
      <c r="F1315" s="24" t="e">
        <f ca="1">[1]!BexGetData("DP_1","003N8EMH8GTFRCSWKMPXRRRFI","GSON1112070131")</f>
        <v>#NAME?</v>
      </c>
      <c r="G1315" s="24" t="e">
        <f ca="1">[1]!BexGetData("DP_1","003N8EMH8GTFRCSWKMPXRRXR2","GSON1112070131")</f>
        <v>#NAME?</v>
      </c>
      <c r="H1315" s="24" t="e">
        <f ca="1">[1]!BexGetData("DP_1","003N8EMH8GTFRCSWKMPXRS42M","GSON1112070131")</f>
        <v>#NAME?</v>
      </c>
      <c r="I1315" s="24" t="e">
        <f ca="1">[1]!BexGetData("DP_1","003N8EMH8GTFRCSWKMPXRSAE6","GSON1112070131")</f>
        <v>#NAME?</v>
      </c>
      <c r="J1315" s="24" t="e">
        <f ca="1">[1]!BexGetData("DP_1","003N8EMH8GTFRCSWKMPXRSGPQ","GSON1112070131")</f>
        <v>#NAME?</v>
      </c>
      <c r="K1315" s="28" t="e">
        <f ca="1">[1]!BexGetData("DP_1","003N8EMH8GTFRIVNUPY288VJH","GSON1112070131")</f>
        <v>#NAME?</v>
      </c>
      <c r="L1315" s="28" t="e">
        <f ca="1">[1]!BexGetData("DP_1","003N8EMH8GTFRIVNUPY2891V1","GSON1112070131")</f>
        <v>#NAME?</v>
      </c>
      <c r="M1315" s="28" t="e">
        <f ca="1">[1]!BexGetData("DP_1","003N8EMH8GTFRIVOG7KG9IQXA","GSON1112070131")</f>
        <v>#NAME?</v>
      </c>
      <c r="N1315" s="28" t="e">
        <f ca="1">[1]!BexGetData("DP_1","003N8EMH8GTFRIVOG7KG9IX8U","GSON1112070131")</f>
        <v>#NAME?</v>
      </c>
      <c r="O1315" s="28" t="e">
        <f ca="1">[1]!BexGetData("DP_1","003N8EMH8GTFRIVOG7KG9J3KE","GSON1112070131")</f>
        <v>#NAME?</v>
      </c>
      <c r="P1315" s="28" t="e">
        <f ca="1">[1]!BexGetData("DP_1","003N8EMH8GTFRIVOG7KG9J9VY","GSON1112070131")</f>
        <v>#NAME?</v>
      </c>
      <c r="Q1315" s="24" t="e">
        <f ca="1">[1]!BexGetData("DP_1","00O2TNJGODT0G5Z4TTKYMM5MT","GSON1112070131")</f>
        <v>#NAME?</v>
      </c>
      <c r="R1315" s="24" t="e">
        <f ca="1">[1]!BexGetData("DP_1","00O2TNJGODT0G5Z4TTKYMMBYD","GSON1112070131")</f>
        <v>#NAME?</v>
      </c>
      <c r="S1315" s="24" t="e">
        <f ca="1">[1]!BexGetData("DP_1","00O2TNJGODT0G5Z4TTKYMMI9X","GSON1112070131")</f>
        <v>#NAME?</v>
      </c>
      <c r="T1315" s="24" t="e">
        <f ca="1">[1]!BexGetData("DP_1","00O2TNJGODT0G5Z4TTKYMMOLH","GSON1112070131")</f>
        <v>#NAME?</v>
      </c>
      <c r="U1315" s="24" t="e">
        <f ca="1">[1]!BexGetData("DP_1","00O2TNJGODT0G5Z4TTKYMMUX1","GSON1112070131")</f>
        <v>#NAME?</v>
      </c>
      <c r="V1315" s="24" t="e">
        <f ca="1">[1]!BexGetData("DP_1","00O2TNJGODT0G5Z4TTKYMN18L","GSON1112070131")</f>
        <v>#NAME?</v>
      </c>
      <c r="W1315" s="24" t="e">
        <f ca="1">[1]!BexGetData("DP_1","00O2TNJGODT0G5Z4TTKYMN7K5","GSON1112070131")</f>
        <v>#NAME?</v>
      </c>
    </row>
    <row r="1316" spans="1:23" x14ac:dyDescent="0.2">
      <c r="A1316" s="36" t="s">
        <v>1035</v>
      </c>
      <c r="B1316" s="27" t="s">
        <v>1036</v>
      </c>
      <c r="C1316" s="23" t="e">
        <f ca="1">[1]!BexGetData("DP_1","003N8EMH8GTFRCSWKMPXRR8GU","GSON1112070135")</f>
        <v>#NAME?</v>
      </c>
      <c r="D1316" s="23" t="e">
        <f ca="1">[1]!BexGetData("DP_1","003N8EMH8GTFRCSWKMPXRRESE","GSON1112070135")</f>
        <v>#NAME?</v>
      </c>
      <c r="E1316" s="28" t="e">
        <f ca="1">[1]!BexGetData("DP_1","003N8EMH8GTFRCSWKMPXRRL3Y","GSON1112070135")</f>
        <v>#NAME?</v>
      </c>
      <c r="F1316" s="28" t="e">
        <f ca="1">[1]!BexGetData("DP_1","003N8EMH8GTFRCSWKMPXRRRFI","GSON1112070135")</f>
        <v>#NAME?</v>
      </c>
      <c r="G1316" s="23" t="e">
        <f ca="1">[1]!BexGetData("DP_1","003N8EMH8GTFRCSWKMPXRRXR2","GSON1112070135")</f>
        <v>#NAME?</v>
      </c>
      <c r="H1316" s="23" t="e">
        <f ca="1">[1]!BexGetData("DP_1","003N8EMH8GTFRCSWKMPXRS42M","GSON1112070135")</f>
        <v>#NAME?</v>
      </c>
      <c r="I1316" s="28" t="e">
        <f ca="1">[1]!BexGetData("DP_1","003N8EMH8GTFRCSWKMPXRSAE6","GSON1112070135")</f>
        <v>#NAME?</v>
      </c>
      <c r="J1316" s="24" t="e">
        <f ca="1">[1]!BexGetData("DP_1","003N8EMH8GTFRCSWKMPXRSGPQ","GSON1112070135")</f>
        <v>#NAME?</v>
      </c>
      <c r="K1316" s="28" t="e">
        <f ca="1">[1]!BexGetData("DP_1","003N8EMH8GTFRIVNUPY288VJH","GSON1112070135")</f>
        <v>#NAME?</v>
      </c>
      <c r="L1316" s="28" t="e">
        <f ca="1">[1]!BexGetData("DP_1","003N8EMH8GTFRIVNUPY2891V1","GSON1112070135")</f>
        <v>#NAME?</v>
      </c>
      <c r="M1316" s="28" t="e">
        <f ca="1">[1]!BexGetData("DP_1","003N8EMH8GTFRIVOG7KG9IQXA","GSON1112070135")</f>
        <v>#NAME?</v>
      </c>
      <c r="N1316" s="28" t="e">
        <f ca="1">[1]!BexGetData("DP_1","003N8EMH8GTFRIVOG7KG9IX8U","GSON1112070135")</f>
        <v>#NAME?</v>
      </c>
      <c r="O1316" s="28" t="e">
        <f ca="1">[1]!BexGetData("DP_1","003N8EMH8GTFRIVOG7KG9J3KE","GSON1112070135")</f>
        <v>#NAME?</v>
      </c>
      <c r="P1316" s="28" t="e">
        <f ca="1">[1]!BexGetData("DP_1","003N8EMH8GTFRIVOG7KG9J9VY","GSON1112070135")</f>
        <v>#NAME?</v>
      </c>
      <c r="Q1316" s="24" t="e">
        <f ca="1">[1]!BexGetData("DP_1","00O2TNJGODT0G5Z4TTKYMM5MT","GSON1112070135")</f>
        <v>#NAME?</v>
      </c>
      <c r="R1316" s="28" t="e">
        <f ca="1">[1]!BexGetData("DP_1","00O2TNJGODT0G5Z4TTKYMMBYD","GSON1112070135")</f>
        <v>#NAME?</v>
      </c>
      <c r="S1316" s="28" t="e">
        <f ca="1">[1]!BexGetData("DP_1","00O2TNJGODT0G5Z4TTKYMMI9X","GSON1112070135")</f>
        <v>#NAME?</v>
      </c>
      <c r="T1316" s="28" t="e">
        <f ca="1">[1]!BexGetData("DP_1","00O2TNJGODT0G5Z4TTKYMMOLH","GSON1112070135")</f>
        <v>#NAME?</v>
      </c>
      <c r="U1316" s="28" t="e">
        <f ca="1">[1]!BexGetData("DP_1","00O2TNJGODT0G5Z4TTKYMMUX1","GSON1112070135")</f>
        <v>#NAME?</v>
      </c>
      <c r="V1316" s="28" t="e">
        <f ca="1">[1]!BexGetData("DP_1","00O2TNJGODT0G5Z4TTKYMN18L","GSON1112070135")</f>
        <v>#NAME?</v>
      </c>
      <c r="W1316" s="28" t="e">
        <f ca="1">[1]!BexGetData("DP_1","00O2TNJGODT0G5Z4TTKYMN7K5","GSON1112070135")</f>
        <v>#NAME?</v>
      </c>
    </row>
    <row r="1317" spans="1:23" x14ac:dyDescent="0.2">
      <c r="A1317" s="36" t="s">
        <v>1037</v>
      </c>
      <c r="B1317" s="27" t="s">
        <v>1038</v>
      </c>
      <c r="C1317" s="23" t="e">
        <f ca="1">[1]!BexGetData("DP_1","003N8EMH8GTFRCSWKMPXRR8GU","GSON1112070140")</f>
        <v>#NAME?</v>
      </c>
      <c r="D1317" s="28" t="e">
        <f ca="1">[1]!BexGetData("DP_1","003N8EMH8GTFRCSWKMPXRRESE","GSON1112070140")</f>
        <v>#NAME?</v>
      </c>
      <c r="E1317" s="23" t="e">
        <f ca="1">[1]!BexGetData("DP_1","003N8EMH8GTFRCSWKMPXRRL3Y","GSON1112070140")</f>
        <v>#NAME?</v>
      </c>
      <c r="F1317" s="23" t="e">
        <f ca="1">[1]!BexGetData("DP_1","003N8EMH8GTFRCSWKMPXRRRFI","GSON1112070140")</f>
        <v>#NAME?</v>
      </c>
      <c r="G1317" s="23" t="e">
        <f ca="1">[1]!BexGetData("DP_1","003N8EMH8GTFRCSWKMPXRRXR2","GSON1112070140")</f>
        <v>#NAME?</v>
      </c>
      <c r="H1317" s="23" t="e">
        <f ca="1">[1]!BexGetData("DP_1","003N8EMH8GTFRCSWKMPXRS42M","GSON1112070140")</f>
        <v>#NAME?</v>
      </c>
      <c r="I1317" s="23" t="e">
        <f ca="1">[1]!BexGetData("DP_1","003N8EMH8GTFRCSWKMPXRSAE6","GSON1112070140")</f>
        <v>#NAME?</v>
      </c>
      <c r="J1317" s="23" t="e">
        <f ca="1">[1]!BexGetData("DP_1","003N8EMH8GTFRCSWKMPXRSGPQ","GSON1112070140")</f>
        <v>#NAME?</v>
      </c>
      <c r="K1317" s="23" t="e">
        <f ca="1">[1]!BexGetData("DP_1","003N8EMH8GTFRIVNUPY288VJH","GSON1112070140")</f>
        <v>#NAME?</v>
      </c>
      <c r="L1317" s="23" t="e">
        <f ca="1">[1]!BexGetData("DP_1","003N8EMH8GTFRIVNUPY2891V1","GSON1112070140")</f>
        <v>#NAME?</v>
      </c>
      <c r="M1317" s="28" t="e">
        <f ca="1">[1]!BexGetData("DP_1","003N8EMH8GTFRIVOG7KG9IQXA","GSON1112070140")</f>
        <v>#NAME?</v>
      </c>
      <c r="N1317" s="23" t="e">
        <f ca="1">[1]!BexGetData("DP_1","003N8EMH8GTFRIVOG7KG9IX8U","GSON1112070140")</f>
        <v>#NAME?</v>
      </c>
      <c r="O1317" s="28" t="e">
        <f ca="1">[1]!BexGetData("DP_1","003N8EMH8GTFRIVOG7KG9J3KE","GSON1112070140")</f>
        <v>#NAME?</v>
      </c>
      <c r="P1317" s="23" t="e">
        <f ca="1">[1]!BexGetData("DP_1","003N8EMH8GTFRIVOG7KG9J9VY","GSON1112070140")</f>
        <v>#NAME?</v>
      </c>
      <c r="Q1317" s="23" t="e">
        <f ca="1">[1]!BexGetData("DP_1","00O2TNJGODT0G5Z4TTKYMM5MT","GSON1112070140")</f>
        <v>#NAME?</v>
      </c>
      <c r="R1317" s="23" t="e">
        <f ca="1">[1]!BexGetData("DP_1","00O2TNJGODT0G5Z4TTKYMMBYD","GSON1112070140")</f>
        <v>#NAME?</v>
      </c>
      <c r="S1317" s="23" t="e">
        <f ca="1">[1]!BexGetData("DP_1","00O2TNJGODT0G5Z4TTKYMMI9X","GSON1112070140")</f>
        <v>#NAME?</v>
      </c>
      <c r="T1317" s="23" t="e">
        <f ca="1">[1]!BexGetData("DP_1","00O2TNJGODT0G5Z4TTKYMMOLH","GSON1112070140")</f>
        <v>#NAME?</v>
      </c>
      <c r="U1317" s="28" t="e">
        <f ca="1">[1]!BexGetData("DP_1","00O2TNJGODT0G5Z4TTKYMMUX1","GSON1112070140")</f>
        <v>#NAME?</v>
      </c>
      <c r="V1317" s="23" t="e">
        <f ca="1">[1]!BexGetData("DP_1","00O2TNJGODT0G5Z4TTKYMN18L","GSON1112070140")</f>
        <v>#NAME?</v>
      </c>
      <c r="W1317" s="28" t="e">
        <f ca="1">[1]!BexGetData("DP_1","00O2TNJGODT0G5Z4TTKYMN7K5","GSON1112070140")</f>
        <v>#NAME?</v>
      </c>
    </row>
    <row r="1318" spans="1:23" x14ac:dyDescent="0.2">
      <c r="A1318" s="36" t="s">
        <v>1681</v>
      </c>
      <c r="B1318" s="27" t="s">
        <v>1682</v>
      </c>
      <c r="C1318" s="24" t="e">
        <f ca="1">[1]!BexGetData("DP_1","003N8EMH8GTFRCSWKMPXRR8GU","GSON1112070141")</f>
        <v>#NAME?</v>
      </c>
      <c r="D1318" s="24" t="e">
        <f ca="1">[1]!BexGetData("DP_1","003N8EMH8GTFRCSWKMPXRRESE","GSON1112070141")</f>
        <v>#NAME?</v>
      </c>
      <c r="E1318" s="24" t="e">
        <f ca="1">[1]!BexGetData("DP_1","003N8EMH8GTFRCSWKMPXRRL3Y","GSON1112070141")</f>
        <v>#NAME?</v>
      </c>
      <c r="F1318" s="28" t="e">
        <f ca="1">[1]!BexGetData("DP_1","003N8EMH8GTFRCSWKMPXRRRFI","GSON1112070141")</f>
        <v>#NAME?</v>
      </c>
      <c r="G1318" s="23" t="e">
        <f ca="1">[1]!BexGetData("DP_1","003N8EMH8GTFRCSWKMPXRRXR2","GSON1112070141")</f>
        <v>#NAME?</v>
      </c>
      <c r="H1318" s="23" t="e">
        <f ca="1">[1]!BexGetData("DP_1","003N8EMH8GTFRCSWKMPXRS42M","GSON1112070141")</f>
        <v>#NAME?</v>
      </c>
      <c r="I1318" s="28" t="e">
        <f ca="1">[1]!BexGetData("DP_1","003N8EMH8GTFRCSWKMPXRSAE6","GSON1112070141")</f>
        <v>#NAME?</v>
      </c>
      <c r="J1318" s="24" t="e">
        <f ca="1">[1]!BexGetData("DP_1","003N8EMH8GTFRCSWKMPXRSGPQ","GSON1112070141")</f>
        <v>#NAME?</v>
      </c>
      <c r="K1318" s="28" t="e">
        <f ca="1">[1]!BexGetData("DP_1","003N8EMH8GTFRIVNUPY288VJH","GSON1112070141")</f>
        <v>#NAME?</v>
      </c>
      <c r="L1318" s="28" t="e">
        <f ca="1">[1]!BexGetData("DP_1","003N8EMH8GTFRIVNUPY2891V1","GSON1112070141")</f>
        <v>#NAME?</v>
      </c>
      <c r="M1318" s="28" t="e">
        <f ca="1">[1]!BexGetData("DP_1","003N8EMH8GTFRIVOG7KG9IQXA","GSON1112070141")</f>
        <v>#NAME?</v>
      </c>
      <c r="N1318" s="28" t="e">
        <f ca="1">[1]!BexGetData("DP_1","003N8EMH8GTFRIVOG7KG9IX8U","GSON1112070141")</f>
        <v>#NAME?</v>
      </c>
      <c r="O1318" s="28" t="e">
        <f ca="1">[1]!BexGetData("DP_1","003N8EMH8GTFRIVOG7KG9J3KE","GSON1112070141")</f>
        <v>#NAME?</v>
      </c>
      <c r="P1318" s="28" t="e">
        <f ca="1">[1]!BexGetData("DP_1","003N8EMH8GTFRIVOG7KG9J9VY","GSON1112070141")</f>
        <v>#NAME?</v>
      </c>
      <c r="Q1318" s="24" t="e">
        <f ca="1">[1]!BexGetData("DP_1","00O2TNJGODT0G5Z4TTKYMM5MT","GSON1112070141")</f>
        <v>#NAME?</v>
      </c>
      <c r="R1318" s="28" t="e">
        <f ca="1">[1]!BexGetData("DP_1","00O2TNJGODT0G5Z4TTKYMMBYD","GSON1112070141")</f>
        <v>#NAME?</v>
      </c>
      <c r="S1318" s="28" t="e">
        <f ca="1">[1]!BexGetData("DP_1","00O2TNJGODT0G5Z4TTKYMMI9X","GSON1112070141")</f>
        <v>#NAME?</v>
      </c>
      <c r="T1318" s="28" t="e">
        <f ca="1">[1]!BexGetData("DP_1","00O2TNJGODT0G5Z4TTKYMMOLH","GSON1112070141")</f>
        <v>#NAME?</v>
      </c>
      <c r="U1318" s="28" t="e">
        <f ca="1">[1]!BexGetData("DP_1","00O2TNJGODT0G5Z4TTKYMMUX1","GSON1112070141")</f>
        <v>#NAME?</v>
      </c>
      <c r="V1318" s="28" t="e">
        <f ca="1">[1]!BexGetData("DP_1","00O2TNJGODT0G5Z4TTKYMN18L","GSON1112070141")</f>
        <v>#NAME?</v>
      </c>
      <c r="W1318" s="28" t="e">
        <f ca="1">[1]!BexGetData("DP_1","00O2TNJGODT0G5Z4TTKYMN7K5","GSON1112070141")</f>
        <v>#NAME?</v>
      </c>
    </row>
    <row r="1319" spans="1:23" x14ac:dyDescent="0.2">
      <c r="A1319" s="36" t="s">
        <v>3930</v>
      </c>
      <c r="B1319" s="27" t="s">
        <v>1039</v>
      </c>
      <c r="C1319" s="24" t="e">
        <f ca="1">[1]!BexGetData("DP_1","003N8EMH8GTFRCSWKMPXRR8GU","GSON1112070142")</f>
        <v>#NAME?</v>
      </c>
      <c r="D1319" s="24" t="e">
        <f ca="1">[1]!BexGetData("DP_1","003N8EMH8GTFRCSWKMPXRRESE","GSON1112070142")</f>
        <v>#NAME?</v>
      </c>
      <c r="E1319" s="24" t="e">
        <f ca="1">[1]!BexGetData("DP_1","003N8EMH8GTFRCSWKMPXRRL3Y","GSON1112070142")</f>
        <v>#NAME?</v>
      </c>
      <c r="F1319" s="28" t="e">
        <f ca="1">[1]!BexGetData("DP_1","003N8EMH8GTFRCSWKMPXRRRFI","GSON1112070142")</f>
        <v>#NAME?</v>
      </c>
      <c r="G1319" s="23" t="e">
        <f ca="1">[1]!BexGetData("DP_1","003N8EMH8GTFRCSWKMPXRRXR2","GSON1112070142")</f>
        <v>#NAME?</v>
      </c>
      <c r="H1319" s="23" t="e">
        <f ca="1">[1]!BexGetData("DP_1","003N8EMH8GTFRCSWKMPXRS42M","GSON1112070142")</f>
        <v>#NAME?</v>
      </c>
      <c r="I1319" s="28" t="e">
        <f ca="1">[1]!BexGetData("DP_1","003N8EMH8GTFRCSWKMPXRSAE6","GSON1112070142")</f>
        <v>#NAME?</v>
      </c>
      <c r="J1319" s="23" t="e">
        <f ca="1">[1]!BexGetData("DP_1","003N8EMH8GTFRCSWKMPXRSGPQ","GSON1112070142")</f>
        <v>#NAME?</v>
      </c>
      <c r="K1319" s="28" t="e">
        <f ca="1">[1]!BexGetData("DP_1","003N8EMH8GTFRIVNUPY288VJH","GSON1112070142")</f>
        <v>#NAME?</v>
      </c>
      <c r="L1319" s="28" t="e">
        <f ca="1">[1]!BexGetData("DP_1","003N8EMH8GTFRIVNUPY2891V1","GSON1112070142")</f>
        <v>#NAME?</v>
      </c>
      <c r="M1319" s="28" t="e">
        <f ca="1">[1]!BexGetData("DP_1","003N8EMH8GTFRIVOG7KG9IQXA","GSON1112070142")</f>
        <v>#NAME?</v>
      </c>
      <c r="N1319" s="28" t="e">
        <f ca="1">[1]!BexGetData("DP_1","003N8EMH8GTFRIVOG7KG9IX8U","GSON1112070142")</f>
        <v>#NAME?</v>
      </c>
      <c r="O1319" s="28" t="e">
        <f ca="1">[1]!BexGetData("DP_1","003N8EMH8GTFRIVOG7KG9J3KE","GSON1112070142")</f>
        <v>#NAME?</v>
      </c>
      <c r="P1319" s="28" t="e">
        <f ca="1">[1]!BexGetData("DP_1","003N8EMH8GTFRIVOG7KG9J9VY","GSON1112070142")</f>
        <v>#NAME?</v>
      </c>
      <c r="Q1319" s="23" t="e">
        <f ca="1">[1]!BexGetData("DP_1","00O2TNJGODT0G5Z4TTKYMM5MT","GSON1112070142")</f>
        <v>#NAME?</v>
      </c>
      <c r="R1319" s="23" t="e">
        <f ca="1">[1]!BexGetData("DP_1","00O2TNJGODT0G5Z4TTKYMMBYD","GSON1112070142")</f>
        <v>#NAME?</v>
      </c>
      <c r="S1319" s="23" t="e">
        <f ca="1">[1]!BexGetData("DP_1","00O2TNJGODT0G5Z4TTKYMMI9X","GSON1112070142")</f>
        <v>#NAME?</v>
      </c>
      <c r="T1319" s="28" t="e">
        <f ca="1">[1]!BexGetData("DP_1","00O2TNJGODT0G5Z4TTKYMMOLH","GSON1112070142")</f>
        <v>#NAME?</v>
      </c>
      <c r="U1319" s="23" t="e">
        <f ca="1">[1]!BexGetData("DP_1","00O2TNJGODT0G5Z4TTKYMMUX1","GSON1112070142")</f>
        <v>#NAME?</v>
      </c>
      <c r="V1319" s="28" t="e">
        <f ca="1">[1]!BexGetData("DP_1","00O2TNJGODT0G5Z4TTKYMN18L","GSON1112070142")</f>
        <v>#NAME?</v>
      </c>
      <c r="W1319" s="23" t="e">
        <f ca="1">[1]!BexGetData("DP_1","00O2TNJGODT0G5Z4TTKYMN7K5","GSON1112070142")</f>
        <v>#NAME?</v>
      </c>
    </row>
    <row r="1320" spans="1:23" x14ac:dyDescent="0.2">
      <c r="A1320" s="36" t="s">
        <v>1683</v>
      </c>
      <c r="B1320" s="27" t="s">
        <v>1684</v>
      </c>
      <c r="C1320" s="24" t="e">
        <f ca="1">[1]!BexGetData("DP_1","003N8EMH8GTFRCSWKMPXRR8GU","GSON1112070143")</f>
        <v>#NAME?</v>
      </c>
      <c r="D1320" s="24" t="e">
        <f ca="1">[1]!BexGetData("DP_1","003N8EMH8GTFRCSWKMPXRRESE","GSON1112070143")</f>
        <v>#NAME?</v>
      </c>
      <c r="E1320" s="24" t="e">
        <f ca="1">[1]!BexGetData("DP_1","003N8EMH8GTFRCSWKMPXRRL3Y","GSON1112070143")</f>
        <v>#NAME?</v>
      </c>
      <c r="F1320" s="28" t="e">
        <f ca="1">[1]!BexGetData("DP_1","003N8EMH8GTFRCSWKMPXRRRFI","GSON1112070143")</f>
        <v>#NAME?</v>
      </c>
      <c r="G1320" s="23" t="e">
        <f ca="1">[1]!BexGetData("DP_1","003N8EMH8GTFRCSWKMPXRRXR2","GSON1112070143")</f>
        <v>#NAME?</v>
      </c>
      <c r="H1320" s="23" t="e">
        <f ca="1">[1]!BexGetData("DP_1","003N8EMH8GTFRCSWKMPXRS42M","GSON1112070143")</f>
        <v>#NAME?</v>
      </c>
      <c r="I1320" s="28" t="e">
        <f ca="1">[1]!BexGetData("DP_1","003N8EMH8GTFRCSWKMPXRSAE6","GSON1112070143")</f>
        <v>#NAME?</v>
      </c>
      <c r="J1320" s="24" t="e">
        <f ca="1">[1]!BexGetData("DP_1","003N8EMH8GTFRCSWKMPXRSGPQ","GSON1112070143")</f>
        <v>#NAME?</v>
      </c>
      <c r="K1320" s="28" t="e">
        <f ca="1">[1]!BexGetData("DP_1","003N8EMH8GTFRIVNUPY288VJH","GSON1112070143")</f>
        <v>#NAME?</v>
      </c>
      <c r="L1320" s="28" t="e">
        <f ca="1">[1]!BexGetData("DP_1","003N8EMH8GTFRIVNUPY2891V1","GSON1112070143")</f>
        <v>#NAME?</v>
      </c>
      <c r="M1320" s="28" t="e">
        <f ca="1">[1]!BexGetData("DP_1","003N8EMH8GTFRIVOG7KG9IQXA","GSON1112070143")</f>
        <v>#NAME?</v>
      </c>
      <c r="N1320" s="28" t="e">
        <f ca="1">[1]!BexGetData("DP_1","003N8EMH8GTFRIVOG7KG9IX8U","GSON1112070143")</f>
        <v>#NAME?</v>
      </c>
      <c r="O1320" s="28" t="e">
        <f ca="1">[1]!BexGetData("DP_1","003N8EMH8GTFRIVOG7KG9J3KE","GSON1112070143")</f>
        <v>#NAME?</v>
      </c>
      <c r="P1320" s="28" t="e">
        <f ca="1">[1]!BexGetData("DP_1","003N8EMH8GTFRIVOG7KG9J9VY","GSON1112070143")</f>
        <v>#NAME?</v>
      </c>
      <c r="Q1320" s="24" t="e">
        <f ca="1">[1]!BexGetData("DP_1","00O2TNJGODT0G5Z4TTKYMM5MT","GSON1112070143")</f>
        <v>#NAME?</v>
      </c>
      <c r="R1320" s="28" t="e">
        <f ca="1">[1]!BexGetData("DP_1","00O2TNJGODT0G5Z4TTKYMMBYD","GSON1112070143")</f>
        <v>#NAME?</v>
      </c>
      <c r="S1320" s="28" t="e">
        <f ca="1">[1]!BexGetData("DP_1","00O2TNJGODT0G5Z4TTKYMMI9X","GSON1112070143")</f>
        <v>#NAME?</v>
      </c>
      <c r="T1320" s="28" t="e">
        <f ca="1">[1]!BexGetData("DP_1","00O2TNJGODT0G5Z4TTKYMMOLH","GSON1112070143")</f>
        <v>#NAME?</v>
      </c>
      <c r="U1320" s="28" t="e">
        <f ca="1">[1]!BexGetData("DP_1","00O2TNJGODT0G5Z4TTKYMMUX1","GSON1112070143")</f>
        <v>#NAME?</v>
      </c>
      <c r="V1320" s="28" t="e">
        <f ca="1">[1]!BexGetData("DP_1","00O2TNJGODT0G5Z4TTKYMN18L","GSON1112070143")</f>
        <v>#NAME?</v>
      </c>
      <c r="W1320" s="28" t="e">
        <f ca="1">[1]!BexGetData("DP_1","00O2TNJGODT0G5Z4TTKYMN7K5","GSON1112070143")</f>
        <v>#NAME?</v>
      </c>
    </row>
    <row r="1321" spans="1:23" x14ac:dyDescent="0.2">
      <c r="A1321" s="36" t="s">
        <v>3931</v>
      </c>
      <c r="B1321" s="27" t="s">
        <v>3932</v>
      </c>
      <c r="C1321" s="24" t="e">
        <f ca="1">[1]!BexGetData("DP_1","003N8EMH8GTFRCSWKMPXRR8GU","GSON1112070144")</f>
        <v>#NAME?</v>
      </c>
      <c r="D1321" s="24" t="e">
        <f ca="1">[1]!BexGetData("DP_1","003N8EMH8GTFRCSWKMPXRRESE","GSON1112070144")</f>
        <v>#NAME?</v>
      </c>
      <c r="E1321" s="24" t="e">
        <f ca="1">[1]!BexGetData("DP_1","003N8EMH8GTFRCSWKMPXRRL3Y","GSON1112070144")</f>
        <v>#NAME?</v>
      </c>
      <c r="F1321" s="28" t="e">
        <f ca="1">[1]!BexGetData("DP_1","003N8EMH8GTFRCSWKMPXRRRFI","GSON1112070144")</f>
        <v>#NAME?</v>
      </c>
      <c r="G1321" s="23" t="e">
        <f ca="1">[1]!BexGetData("DP_1","003N8EMH8GTFRCSWKMPXRRXR2","GSON1112070144")</f>
        <v>#NAME?</v>
      </c>
      <c r="H1321" s="23" t="e">
        <f ca="1">[1]!BexGetData("DP_1","003N8EMH8GTFRCSWKMPXRS42M","GSON1112070144")</f>
        <v>#NAME?</v>
      </c>
      <c r="I1321" s="28" t="e">
        <f ca="1">[1]!BexGetData("DP_1","003N8EMH8GTFRCSWKMPXRSAE6","GSON1112070144")</f>
        <v>#NAME?</v>
      </c>
      <c r="J1321" s="24" t="e">
        <f ca="1">[1]!BexGetData("DP_1","003N8EMH8GTFRCSWKMPXRSGPQ","GSON1112070144")</f>
        <v>#NAME?</v>
      </c>
      <c r="K1321" s="28" t="e">
        <f ca="1">[1]!BexGetData("DP_1","003N8EMH8GTFRIVNUPY288VJH","GSON1112070144")</f>
        <v>#NAME?</v>
      </c>
      <c r="L1321" s="28" t="e">
        <f ca="1">[1]!BexGetData("DP_1","003N8EMH8GTFRIVNUPY2891V1","GSON1112070144")</f>
        <v>#NAME?</v>
      </c>
      <c r="M1321" s="28" t="e">
        <f ca="1">[1]!BexGetData("DP_1","003N8EMH8GTFRIVOG7KG9IQXA","GSON1112070144")</f>
        <v>#NAME?</v>
      </c>
      <c r="N1321" s="28" t="e">
        <f ca="1">[1]!BexGetData("DP_1","003N8EMH8GTFRIVOG7KG9IX8U","GSON1112070144")</f>
        <v>#NAME?</v>
      </c>
      <c r="O1321" s="28" t="e">
        <f ca="1">[1]!BexGetData("DP_1","003N8EMH8GTFRIVOG7KG9J3KE","GSON1112070144")</f>
        <v>#NAME?</v>
      </c>
      <c r="P1321" s="28" t="e">
        <f ca="1">[1]!BexGetData("DP_1","003N8EMH8GTFRIVOG7KG9J9VY","GSON1112070144")</f>
        <v>#NAME?</v>
      </c>
      <c r="Q1321" s="24" t="e">
        <f ca="1">[1]!BexGetData("DP_1","00O2TNJGODT0G5Z4TTKYMM5MT","GSON1112070144")</f>
        <v>#NAME?</v>
      </c>
      <c r="R1321" s="28" t="e">
        <f ca="1">[1]!BexGetData("DP_1","00O2TNJGODT0G5Z4TTKYMMBYD","GSON1112070144")</f>
        <v>#NAME?</v>
      </c>
      <c r="S1321" s="28" t="e">
        <f ca="1">[1]!BexGetData("DP_1","00O2TNJGODT0G5Z4TTKYMMI9X","GSON1112070144")</f>
        <v>#NAME?</v>
      </c>
      <c r="T1321" s="28" t="e">
        <f ca="1">[1]!BexGetData("DP_1","00O2TNJGODT0G5Z4TTKYMMOLH","GSON1112070144")</f>
        <v>#NAME?</v>
      </c>
      <c r="U1321" s="28" t="e">
        <f ca="1">[1]!BexGetData("DP_1","00O2TNJGODT0G5Z4TTKYMMUX1","GSON1112070144")</f>
        <v>#NAME?</v>
      </c>
      <c r="V1321" s="28" t="e">
        <f ca="1">[1]!BexGetData("DP_1","00O2TNJGODT0G5Z4TTKYMN18L","GSON1112070144")</f>
        <v>#NAME?</v>
      </c>
      <c r="W1321" s="28" t="e">
        <f ca="1">[1]!BexGetData("DP_1","00O2TNJGODT0G5Z4TTKYMN7K5","GSON1112070144")</f>
        <v>#NAME?</v>
      </c>
    </row>
    <row r="1322" spans="1:23" x14ac:dyDescent="0.2">
      <c r="A1322" s="36" t="s">
        <v>1040</v>
      </c>
      <c r="B1322" s="27" t="s">
        <v>1041</v>
      </c>
      <c r="C1322" s="23" t="e">
        <f ca="1">[1]!BexGetData("DP_1","003N8EMH8GTFRCSWKMPXRR8GU","GSON1112070145")</f>
        <v>#NAME?</v>
      </c>
      <c r="D1322" s="23" t="e">
        <f ca="1">[1]!BexGetData("DP_1","003N8EMH8GTFRCSWKMPXRRESE","GSON1112070145")</f>
        <v>#NAME?</v>
      </c>
      <c r="E1322" s="28" t="e">
        <f ca="1">[1]!BexGetData("DP_1","003N8EMH8GTFRCSWKMPXRRL3Y","GSON1112070145")</f>
        <v>#NAME?</v>
      </c>
      <c r="F1322" s="28" t="e">
        <f ca="1">[1]!BexGetData("DP_1","003N8EMH8GTFRCSWKMPXRRRFI","GSON1112070145")</f>
        <v>#NAME?</v>
      </c>
      <c r="G1322" s="23" t="e">
        <f ca="1">[1]!BexGetData("DP_1","003N8EMH8GTFRCSWKMPXRRXR2","GSON1112070145")</f>
        <v>#NAME?</v>
      </c>
      <c r="H1322" s="23" t="e">
        <f ca="1">[1]!BexGetData("DP_1","003N8EMH8GTFRCSWKMPXRS42M","GSON1112070145")</f>
        <v>#NAME?</v>
      </c>
      <c r="I1322" s="28" t="e">
        <f ca="1">[1]!BexGetData("DP_1","003N8EMH8GTFRCSWKMPXRSAE6","GSON1112070145")</f>
        <v>#NAME?</v>
      </c>
      <c r="J1322" s="24" t="e">
        <f ca="1">[1]!BexGetData("DP_1","003N8EMH8GTFRCSWKMPXRSGPQ","GSON1112070145")</f>
        <v>#NAME?</v>
      </c>
      <c r="K1322" s="28" t="e">
        <f ca="1">[1]!BexGetData("DP_1","003N8EMH8GTFRIVNUPY288VJH","GSON1112070145")</f>
        <v>#NAME?</v>
      </c>
      <c r="L1322" s="28" t="e">
        <f ca="1">[1]!BexGetData("DP_1","003N8EMH8GTFRIVNUPY2891V1","GSON1112070145")</f>
        <v>#NAME?</v>
      </c>
      <c r="M1322" s="28" t="e">
        <f ca="1">[1]!BexGetData("DP_1","003N8EMH8GTFRIVOG7KG9IQXA","GSON1112070145")</f>
        <v>#NAME?</v>
      </c>
      <c r="N1322" s="28" t="e">
        <f ca="1">[1]!BexGetData("DP_1","003N8EMH8GTFRIVOG7KG9IX8U","GSON1112070145")</f>
        <v>#NAME?</v>
      </c>
      <c r="O1322" s="28" t="e">
        <f ca="1">[1]!BexGetData("DP_1","003N8EMH8GTFRIVOG7KG9J3KE","GSON1112070145")</f>
        <v>#NAME?</v>
      </c>
      <c r="P1322" s="28" t="e">
        <f ca="1">[1]!BexGetData("DP_1","003N8EMH8GTFRIVOG7KG9J9VY","GSON1112070145")</f>
        <v>#NAME?</v>
      </c>
      <c r="Q1322" s="24" t="e">
        <f ca="1">[1]!BexGetData("DP_1","00O2TNJGODT0G5Z4TTKYMM5MT","GSON1112070145")</f>
        <v>#NAME?</v>
      </c>
      <c r="R1322" s="28" t="e">
        <f ca="1">[1]!BexGetData("DP_1","00O2TNJGODT0G5Z4TTKYMMBYD","GSON1112070145")</f>
        <v>#NAME?</v>
      </c>
      <c r="S1322" s="28" t="e">
        <f ca="1">[1]!BexGetData("DP_1","00O2TNJGODT0G5Z4TTKYMMI9X","GSON1112070145")</f>
        <v>#NAME?</v>
      </c>
      <c r="T1322" s="28" t="e">
        <f ca="1">[1]!BexGetData("DP_1","00O2TNJGODT0G5Z4TTKYMMOLH","GSON1112070145")</f>
        <v>#NAME?</v>
      </c>
      <c r="U1322" s="28" t="e">
        <f ca="1">[1]!BexGetData("DP_1","00O2TNJGODT0G5Z4TTKYMMUX1","GSON1112070145")</f>
        <v>#NAME?</v>
      </c>
      <c r="V1322" s="28" t="e">
        <f ca="1">[1]!BexGetData("DP_1","00O2TNJGODT0G5Z4TTKYMN18L","GSON1112070145")</f>
        <v>#NAME?</v>
      </c>
      <c r="W1322" s="28" t="e">
        <f ca="1">[1]!BexGetData("DP_1","00O2TNJGODT0G5Z4TTKYMN7K5","GSON1112070145")</f>
        <v>#NAME?</v>
      </c>
    </row>
    <row r="1323" spans="1:23" x14ac:dyDescent="0.2">
      <c r="A1323" s="36" t="s">
        <v>3933</v>
      </c>
      <c r="B1323" s="27" t="s">
        <v>3934</v>
      </c>
      <c r="C1323" s="28" t="e">
        <f ca="1">[1]!BexGetData("DP_1","003N8EMH8GTFRCSWKMPXRR8GU","GSON1112070151")</f>
        <v>#NAME?</v>
      </c>
      <c r="D1323" s="28" t="e">
        <f ca="1">[1]!BexGetData("DP_1","003N8EMH8GTFRCSWKMPXRRESE","GSON1112070151")</f>
        <v>#NAME?</v>
      </c>
      <c r="E1323" s="28" t="e">
        <f ca="1">[1]!BexGetData("DP_1","003N8EMH8GTFRCSWKMPXRRL3Y","GSON1112070151")</f>
        <v>#NAME?</v>
      </c>
      <c r="F1323" s="28" t="e">
        <f ca="1">[1]!BexGetData("DP_1","003N8EMH8GTFRCSWKMPXRRRFI","GSON1112070151")</f>
        <v>#NAME?</v>
      </c>
      <c r="G1323" s="23" t="e">
        <f ca="1">[1]!BexGetData("DP_1","003N8EMH8GTFRCSWKMPXRRXR2","GSON1112070151")</f>
        <v>#NAME?</v>
      </c>
      <c r="H1323" s="23" t="e">
        <f ca="1">[1]!BexGetData("DP_1","003N8EMH8GTFRCSWKMPXRS42M","GSON1112070151")</f>
        <v>#NAME?</v>
      </c>
      <c r="I1323" s="28" t="e">
        <f ca="1">[1]!BexGetData("DP_1","003N8EMH8GTFRCSWKMPXRSAE6","GSON1112070151")</f>
        <v>#NAME?</v>
      </c>
      <c r="J1323" s="24" t="e">
        <f ca="1">[1]!BexGetData("DP_1","003N8EMH8GTFRCSWKMPXRSGPQ","GSON1112070151")</f>
        <v>#NAME?</v>
      </c>
      <c r="K1323" s="28" t="e">
        <f ca="1">[1]!BexGetData("DP_1","003N8EMH8GTFRIVNUPY288VJH","GSON1112070151")</f>
        <v>#NAME?</v>
      </c>
      <c r="L1323" s="28" t="e">
        <f ca="1">[1]!BexGetData("DP_1","003N8EMH8GTFRIVNUPY2891V1","GSON1112070151")</f>
        <v>#NAME?</v>
      </c>
      <c r="M1323" s="28" t="e">
        <f ca="1">[1]!BexGetData("DP_1","003N8EMH8GTFRIVOG7KG9IQXA","GSON1112070151")</f>
        <v>#NAME?</v>
      </c>
      <c r="N1323" s="28" t="e">
        <f ca="1">[1]!BexGetData("DP_1","003N8EMH8GTFRIVOG7KG9IX8U","GSON1112070151")</f>
        <v>#NAME?</v>
      </c>
      <c r="O1323" s="28" t="e">
        <f ca="1">[1]!BexGetData("DP_1","003N8EMH8GTFRIVOG7KG9J3KE","GSON1112070151")</f>
        <v>#NAME?</v>
      </c>
      <c r="P1323" s="28" t="e">
        <f ca="1">[1]!BexGetData("DP_1","003N8EMH8GTFRIVOG7KG9J9VY","GSON1112070151")</f>
        <v>#NAME?</v>
      </c>
      <c r="Q1323" s="24" t="e">
        <f ca="1">[1]!BexGetData("DP_1","00O2TNJGODT0G5Z4TTKYMM5MT","GSON1112070151")</f>
        <v>#NAME?</v>
      </c>
      <c r="R1323" s="28" t="e">
        <f ca="1">[1]!BexGetData("DP_1","00O2TNJGODT0G5Z4TTKYMMBYD","GSON1112070151")</f>
        <v>#NAME?</v>
      </c>
      <c r="S1323" s="28" t="e">
        <f ca="1">[1]!BexGetData("DP_1","00O2TNJGODT0G5Z4TTKYMMI9X","GSON1112070151")</f>
        <v>#NAME?</v>
      </c>
      <c r="T1323" s="28" t="e">
        <f ca="1">[1]!BexGetData("DP_1","00O2TNJGODT0G5Z4TTKYMMOLH","GSON1112070151")</f>
        <v>#NAME?</v>
      </c>
      <c r="U1323" s="28" t="e">
        <f ca="1">[1]!BexGetData("DP_1","00O2TNJGODT0G5Z4TTKYMMUX1","GSON1112070151")</f>
        <v>#NAME?</v>
      </c>
      <c r="V1323" s="28" t="e">
        <f ca="1">[1]!BexGetData("DP_1","00O2TNJGODT0G5Z4TTKYMN18L","GSON1112070151")</f>
        <v>#NAME?</v>
      </c>
      <c r="W1323" s="28" t="e">
        <f ca="1">[1]!BexGetData("DP_1","00O2TNJGODT0G5Z4TTKYMN7K5","GSON1112070151")</f>
        <v>#NAME?</v>
      </c>
    </row>
    <row r="1324" spans="1:23" x14ac:dyDescent="0.2">
      <c r="A1324" s="36" t="s">
        <v>1042</v>
      </c>
      <c r="B1324" s="27" t="s">
        <v>1043</v>
      </c>
      <c r="C1324" s="23" t="e">
        <f ca="1">[1]!BexGetData("DP_1","003N8EMH8GTFRCSWKMPXRR8GU","GSON1112070160")</f>
        <v>#NAME?</v>
      </c>
      <c r="D1324" s="28" t="e">
        <f ca="1">[1]!BexGetData("DP_1","003N8EMH8GTFRCSWKMPXRRESE","GSON1112070160")</f>
        <v>#NAME?</v>
      </c>
      <c r="E1324" s="23" t="e">
        <f ca="1">[1]!BexGetData("DP_1","003N8EMH8GTFRCSWKMPXRRL3Y","GSON1112070160")</f>
        <v>#NAME?</v>
      </c>
      <c r="F1324" s="23" t="e">
        <f ca="1">[1]!BexGetData("DP_1","003N8EMH8GTFRCSWKMPXRRRFI","GSON1112070160")</f>
        <v>#NAME?</v>
      </c>
      <c r="G1324" s="23" t="e">
        <f ca="1">[1]!BexGetData("DP_1","003N8EMH8GTFRCSWKMPXRRXR2","GSON1112070160")</f>
        <v>#NAME?</v>
      </c>
      <c r="H1324" s="28" t="e">
        <f ca="1">[1]!BexGetData("DP_1","003N8EMH8GTFRCSWKMPXRS42M","GSON1112070160")</f>
        <v>#NAME?</v>
      </c>
      <c r="I1324" s="23" t="e">
        <f ca="1">[1]!BexGetData("DP_1","003N8EMH8GTFRCSWKMPXRSAE6","GSON1112070160")</f>
        <v>#NAME?</v>
      </c>
      <c r="J1324" s="23" t="e">
        <f ca="1">[1]!BexGetData("DP_1","003N8EMH8GTFRCSWKMPXRSGPQ","GSON1112070160")</f>
        <v>#NAME?</v>
      </c>
      <c r="K1324" s="23" t="e">
        <f ca="1">[1]!BexGetData("DP_1","003N8EMH8GTFRIVNUPY288VJH","GSON1112070160")</f>
        <v>#NAME?</v>
      </c>
      <c r="L1324" s="23" t="e">
        <f ca="1">[1]!BexGetData("DP_1","003N8EMH8GTFRIVNUPY2891V1","GSON1112070160")</f>
        <v>#NAME?</v>
      </c>
      <c r="M1324" s="28" t="e">
        <f ca="1">[1]!BexGetData("DP_1","003N8EMH8GTFRIVOG7KG9IQXA","GSON1112070160")</f>
        <v>#NAME?</v>
      </c>
      <c r="N1324" s="23" t="e">
        <f ca="1">[1]!BexGetData("DP_1","003N8EMH8GTFRIVOG7KG9IX8U","GSON1112070160")</f>
        <v>#NAME?</v>
      </c>
      <c r="O1324" s="28" t="e">
        <f ca="1">[1]!BexGetData("DP_1","003N8EMH8GTFRIVOG7KG9J3KE","GSON1112070160")</f>
        <v>#NAME?</v>
      </c>
      <c r="P1324" s="23" t="e">
        <f ca="1">[1]!BexGetData("DP_1","003N8EMH8GTFRIVOG7KG9J9VY","GSON1112070160")</f>
        <v>#NAME?</v>
      </c>
      <c r="Q1324" s="23" t="e">
        <f ca="1">[1]!BexGetData("DP_1","00O2TNJGODT0G5Z4TTKYMM5MT","GSON1112070160")</f>
        <v>#NAME?</v>
      </c>
      <c r="R1324" s="23" t="e">
        <f ca="1">[1]!BexGetData("DP_1","00O2TNJGODT0G5Z4TTKYMMBYD","GSON1112070160")</f>
        <v>#NAME?</v>
      </c>
      <c r="S1324" s="23" t="e">
        <f ca="1">[1]!BexGetData("DP_1","00O2TNJGODT0G5Z4TTKYMMI9X","GSON1112070160")</f>
        <v>#NAME?</v>
      </c>
      <c r="T1324" s="28" t="e">
        <f ca="1">[1]!BexGetData("DP_1","00O2TNJGODT0G5Z4TTKYMMOLH","GSON1112070160")</f>
        <v>#NAME?</v>
      </c>
      <c r="U1324" s="23" t="e">
        <f ca="1">[1]!BexGetData("DP_1","00O2TNJGODT0G5Z4TTKYMMUX1","GSON1112070160")</f>
        <v>#NAME?</v>
      </c>
      <c r="V1324" s="28" t="e">
        <f ca="1">[1]!BexGetData("DP_1","00O2TNJGODT0G5Z4TTKYMN18L","GSON1112070160")</f>
        <v>#NAME?</v>
      </c>
      <c r="W1324" s="23" t="e">
        <f ca="1">[1]!BexGetData("DP_1","00O2TNJGODT0G5Z4TTKYMN7K5","GSON1112070160")</f>
        <v>#NAME?</v>
      </c>
    </row>
    <row r="1325" spans="1:23" x14ac:dyDescent="0.2">
      <c r="A1325" s="36" t="s">
        <v>3935</v>
      </c>
      <c r="B1325" s="27" t="s">
        <v>3936</v>
      </c>
      <c r="C1325" s="23" t="e">
        <f ca="1">[1]!BexGetData("DP_1","003N8EMH8GTFRCSWKMPXRR8GU","GSON1112070161")</f>
        <v>#NAME?</v>
      </c>
      <c r="D1325" s="23" t="e">
        <f ca="1">[1]!BexGetData("DP_1","003N8EMH8GTFRCSWKMPXRRESE","GSON1112070161")</f>
        <v>#NAME?</v>
      </c>
      <c r="E1325" s="28" t="e">
        <f ca="1">[1]!BexGetData("DP_1","003N8EMH8GTFRCSWKMPXRRL3Y","GSON1112070161")</f>
        <v>#NAME?</v>
      </c>
      <c r="F1325" s="24" t="e">
        <f ca="1">[1]!BexGetData("DP_1","003N8EMH8GTFRCSWKMPXRRRFI","GSON1112070161")</f>
        <v>#NAME?</v>
      </c>
      <c r="G1325" s="24" t="e">
        <f ca="1">[1]!BexGetData("DP_1","003N8EMH8GTFRCSWKMPXRRXR2","GSON1112070161")</f>
        <v>#NAME?</v>
      </c>
      <c r="H1325" s="24" t="e">
        <f ca="1">[1]!BexGetData("DP_1","003N8EMH8GTFRCSWKMPXRS42M","GSON1112070161")</f>
        <v>#NAME?</v>
      </c>
      <c r="I1325" s="24" t="e">
        <f ca="1">[1]!BexGetData("DP_1","003N8EMH8GTFRCSWKMPXRSAE6","GSON1112070161")</f>
        <v>#NAME?</v>
      </c>
      <c r="J1325" s="24" t="e">
        <f ca="1">[1]!BexGetData("DP_1","003N8EMH8GTFRCSWKMPXRSGPQ","GSON1112070161")</f>
        <v>#NAME?</v>
      </c>
      <c r="K1325" s="28" t="e">
        <f ca="1">[1]!BexGetData("DP_1","003N8EMH8GTFRIVNUPY288VJH","GSON1112070161")</f>
        <v>#NAME?</v>
      </c>
      <c r="L1325" s="28" t="e">
        <f ca="1">[1]!BexGetData("DP_1","003N8EMH8GTFRIVNUPY2891V1","GSON1112070161")</f>
        <v>#NAME?</v>
      </c>
      <c r="M1325" s="28" t="e">
        <f ca="1">[1]!BexGetData("DP_1","003N8EMH8GTFRIVOG7KG9IQXA","GSON1112070161")</f>
        <v>#NAME?</v>
      </c>
      <c r="N1325" s="28" t="e">
        <f ca="1">[1]!BexGetData("DP_1","003N8EMH8GTFRIVOG7KG9IX8U","GSON1112070161")</f>
        <v>#NAME?</v>
      </c>
      <c r="O1325" s="28" t="e">
        <f ca="1">[1]!BexGetData("DP_1","003N8EMH8GTFRIVOG7KG9J3KE","GSON1112070161")</f>
        <v>#NAME?</v>
      </c>
      <c r="P1325" s="28" t="e">
        <f ca="1">[1]!BexGetData("DP_1","003N8EMH8GTFRIVOG7KG9J9VY","GSON1112070161")</f>
        <v>#NAME?</v>
      </c>
      <c r="Q1325" s="24" t="e">
        <f ca="1">[1]!BexGetData("DP_1","00O2TNJGODT0G5Z4TTKYMM5MT","GSON1112070161")</f>
        <v>#NAME?</v>
      </c>
      <c r="R1325" s="24" t="e">
        <f ca="1">[1]!BexGetData("DP_1","00O2TNJGODT0G5Z4TTKYMMBYD","GSON1112070161")</f>
        <v>#NAME?</v>
      </c>
      <c r="S1325" s="24" t="e">
        <f ca="1">[1]!BexGetData("DP_1","00O2TNJGODT0G5Z4TTKYMMI9X","GSON1112070161")</f>
        <v>#NAME?</v>
      </c>
      <c r="T1325" s="24" t="e">
        <f ca="1">[1]!BexGetData("DP_1","00O2TNJGODT0G5Z4TTKYMMOLH","GSON1112070161")</f>
        <v>#NAME?</v>
      </c>
      <c r="U1325" s="24" t="e">
        <f ca="1">[1]!BexGetData("DP_1","00O2TNJGODT0G5Z4TTKYMMUX1","GSON1112070161")</f>
        <v>#NAME?</v>
      </c>
      <c r="V1325" s="24" t="e">
        <f ca="1">[1]!BexGetData("DP_1","00O2TNJGODT0G5Z4TTKYMN18L","GSON1112070161")</f>
        <v>#NAME?</v>
      </c>
      <c r="W1325" s="24" t="e">
        <f ca="1">[1]!BexGetData("DP_1","00O2TNJGODT0G5Z4TTKYMN7K5","GSON1112070161")</f>
        <v>#NAME?</v>
      </c>
    </row>
    <row r="1326" spans="1:23" x14ac:dyDescent="0.2">
      <c r="A1326" s="36" t="s">
        <v>3937</v>
      </c>
      <c r="B1326" s="27" t="s">
        <v>3938</v>
      </c>
      <c r="C1326" s="23" t="e">
        <f ca="1">[1]!BexGetData("DP_1","003N8EMH8GTFRCSWKMPXRR8GU","GSON1112070164")</f>
        <v>#NAME?</v>
      </c>
      <c r="D1326" s="23" t="e">
        <f ca="1">[1]!BexGetData("DP_1","003N8EMH8GTFRCSWKMPXRRESE","GSON1112070164")</f>
        <v>#NAME?</v>
      </c>
      <c r="E1326" s="28" t="e">
        <f ca="1">[1]!BexGetData("DP_1","003N8EMH8GTFRCSWKMPXRRL3Y","GSON1112070164")</f>
        <v>#NAME?</v>
      </c>
      <c r="F1326" s="24" t="e">
        <f ca="1">[1]!BexGetData("DP_1","003N8EMH8GTFRCSWKMPXRRRFI","GSON1112070164")</f>
        <v>#NAME?</v>
      </c>
      <c r="G1326" s="24" t="e">
        <f ca="1">[1]!BexGetData("DP_1","003N8EMH8GTFRCSWKMPXRRXR2","GSON1112070164")</f>
        <v>#NAME?</v>
      </c>
      <c r="H1326" s="24" t="e">
        <f ca="1">[1]!BexGetData("DP_1","003N8EMH8GTFRCSWKMPXRS42M","GSON1112070164")</f>
        <v>#NAME?</v>
      </c>
      <c r="I1326" s="24" t="e">
        <f ca="1">[1]!BexGetData("DP_1","003N8EMH8GTFRCSWKMPXRSAE6","GSON1112070164")</f>
        <v>#NAME?</v>
      </c>
      <c r="J1326" s="24" t="e">
        <f ca="1">[1]!BexGetData("DP_1","003N8EMH8GTFRCSWKMPXRSGPQ","GSON1112070164")</f>
        <v>#NAME?</v>
      </c>
      <c r="K1326" s="28" t="e">
        <f ca="1">[1]!BexGetData("DP_1","003N8EMH8GTFRIVNUPY288VJH","GSON1112070164")</f>
        <v>#NAME?</v>
      </c>
      <c r="L1326" s="28" t="e">
        <f ca="1">[1]!BexGetData("DP_1","003N8EMH8GTFRIVNUPY2891V1","GSON1112070164")</f>
        <v>#NAME?</v>
      </c>
      <c r="M1326" s="28" t="e">
        <f ca="1">[1]!BexGetData("DP_1","003N8EMH8GTFRIVOG7KG9IQXA","GSON1112070164")</f>
        <v>#NAME?</v>
      </c>
      <c r="N1326" s="28" t="e">
        <f ca="1">[1]!BexGetData("DP_1","003N8EMH8GTFRIVOG7KG9IX8U","GSON1112070164")</f>
        <v>#NAME?</v>
      </c>
      <c r="O1326" s="28" t="e">
        <f ca="1">[1]!BexGetData("DP_1","003N8EMH8GTFRIVOG7KG9J3KE","GSON1112070164")</f>
        <v>#NAME?</v>
      </c>
      <c r="P1326" s="28" t="e">
        <f ca="1">[1]!BexGetData("DP_1","003N8EMH8GTFRIVOG7KG9J9VY","GSON1112070164")</f>
        <v>#NAME?</v>
      </c>
      <c r="Q1326" s="24" t="e">
        <f ca="1">[1]!BexGetData("DP_1","00O2TNJGODT0G5Z4TTKYMM5MT","GSON1112070164")</f>
        <v>#NAME?</v>
      </c>
      <c r="R1326" s="24" t="e">
        <f ca="1">[1]!BexGetData("DP_1","00O2TNJGODT0G5Z4TTKYMMBYD","GSON1112070164")</f>
        <v>#NAME?</v>
      </c>
      <c r="S1326" s="24" t="e">
        <f ca="1">[1]!BexGetData("DP_1","00O2TNJGODT0G5Z4TTKYMMI9X","GSON1112070164")</f>
        <v>#NAME?</v>
      </c>
      <c r="T1326" s="24" t="e">
        <f ca="1">[1]!BexGetData("DP_1","00O2TNJGODT0G5Z4TTKYMMOLH","GSON1112070164")</f>
        <v>#NAME?</v>
      </c>
      <c r="U1326" s="24" t="e">
        <f ca="1">[1]!BexGetData("DP_1","00O2TNJGODT0G5Z4TTKYMMUX1","GSON1112070164")</f>
        <v>#NAME?</v>
      </c>
      <c r="V1326" s="24" t="e">
        <f ca="1">[1]!BexGetData("DP_1","00O2TNJGODT0G5Z4TTKYMN18L","GSON1112070164")</f>
        <v>#NAME?</v>
      </c>
      <c r="W1326" s="24" t="e">
        <f ca="1">[1]!BexGetData("DP_1","00O2TNJGODT0G5Z4TTKYMN7K5","GSON1112070164")</f>
        <v>#NAME?</v>
      </c>
    </row>
    <row r="1327" spans="1:23" x14ac:dyDescent="0.2">
      <c r="A1327" s="36" t="s">
        <v>1044</v>
      </c>
      <c r="B1327" s="27" t="s">
        <v>1045</v>
      </c>
      <c r="C1327" s="23" t="e">
        <f ca="1">[1]!BexGetData("DP_1","003N8EMH8GTFRCSWKMPXRR8GU","GSON1112070165")</f>
        <v>#NAME?</v>
      </c>
      <c r="D1327" s="23" t="e">
        <f ca="1">[1]!BexGetData("DP_1","003N8EMH8GTFRCSWKMPXRRESE","GSON1112070165")</f>
        <v>#NAME?</v>
      </c>
      <c r="E1327" s="28" t="e">
        <f ca="1">[1]!BexGetData("DP_1","003N8EMH8GTFRCSWKMPXRRL3Y","GSON1112070165")</f>
        <v>#NAME?</v>
      </c>
      <c r="F1327" s="28" t="e">
        <f ca="1">[1]!BexGetData("DP_1","003N8EMH8GTFRCSWKMPXRRRFI","GSON1112070165")</f>
        <v>#NAME?</v>
      </c>
      <c r="G1327" s="23" t="e">
        <f ca="1">[1]!BexGetData("DP_1","003N8EMH8GTFRCSWKMPXRRXR2","GSON1112070165")</f>
        <v>#NAME?</v>
      </c>
      <c r="H1327" s="23" t="e">
        <f ca="1">[1]!BexGetData("DP_1","003N8EMH8GTFRCSWKMPXRS42M","GSON1112070165")</f>
        <v>#NAME?</v>
      </c>
      <c r="I1327" s="28" t="e">
        <f ca="1">[1]!BexGetData("DP_1","003N8EMH8GTFRCSWKMPXRSAE6","GSON1112070165")</f>
        <v>#NAME?</v>
      </c>
      <c r="J1327" s="24" t="e">
        <f ca="1">[1]!BexGetData("DP_1","003N8EMH8GTFRCSWKMPXRSGPQ","GSON1112070165")</f>
        <v>#NAME?</v>
      </c>
      <c r="K1327" s="28" t="e">
        <f ca="1">[1]!BexGetData("DP_1","003N8EMH8GTFRIVNUPY288VJH","GSON1112070165")</f>
        <v>#NAME?</v>
      </c>
      <c r="L1327" s="28" t="e">
        <f ca="1">[1]!BexGetData("DP_1","003N8EMH8GTFRIVNUPY2891V1","GSON1112070165")</f>
        <v>#NAME?</v>
      </c>
      <c r="M1327" s="28" t="e">
        <f ca="1">[1]!BexGetData("DP_1","003N8EMH8GTFRIVOG7KG9IQXA","GSON1112070165")</f>
        <v>#NAME?</v>
      </c>
      <c r="N1327" s="28" t="e">
        <f ca="1">[1]!BexGetData("DP_1","003N8EMH8GTFRIVOG7KG9IX8U","GSON1112070165")</f>
        <v>#NAME?</v>
      </c>
      <c r="O1327" s="28" t="e">
        <f ca="1">[1]!BexGetData("DP_1","003N8EMH8GTFRIVOG7KG9J3KE","GSON1112070165")</f>
        <v>#NAME?</v>
      </c>
      <c r="P1327" s="28" t="e">
        <f ca="1">[1]!BexGetData("DP_1","003N8EMH8GTFRIVOG7KG9J9VY","GSON1112070165")</f>
        <v>#NAME?</v>
      </c>
      <c r="Q1327" s="24" t="e">
        <f ca="1">[1]!BexGetData("DP_1","00O2TNJGODT0G5Z4TTKYMM5MT","GSON1112070165")</f>
        <v>#NAME?</v>
      </c>
      <c r="R1327" s="28" t="e">
        <f ca="1">[1]!BexGetData("DP_1","00O2TNJGODT0G5Z4TTKYMMBYD","GSON1112070165")</f>
        <v>#NAME?</v>
      </c>
      <c r="S1327" s="28" t="e">
        <f ca="1">[1]!BexGetData("DP_1","00O2TNJGODT0G5Z4TTKYMMI9X","GSON1112070165")</f>
        <v>#NAME?</v>
      </c>
      <c r="T1327" s="28" t="e">
        <f ca="1">[1]!BexGetData("DP_1","00O2TNJGODT0G5Z4TTKYMMOLH","GSON1112070165")</f>
        <v>#NAME?</v>
      </c>
      <c r="U1327" s="28" t="e">
        <f ca="1">[1]!BexGetData("DP_1","00O2TNJGODT0G5Z4TTKYMMUX1","GSON1112070165")</f>
        <v>#NAME?</v>
      </c>
      <c r="V1327" s="28" t="e">
        <f ca="1">[1]!BexGetData("DP_1","00O2TNJGODT0G5Z4TTKYMN18L","GSON1112070165")</f>
        <v>#NAME?</v>
      </c>
      <c r="W1327" s="28" t="e">
        <f ca="1">[1]!BexGetData("DP_1","00O2TNJGODT0G5Z4TTKYMN7K5","GSON1112070165")</f>
        <v>#NAME?</v>
      </c>
    </row>
    <row r="1328" spans="1:23" x14ac:dyDescent="0.2">
      <c r="A1328" s="36" t="s">
        <v>1046</v>
      </c>
      <c r="B1328" s="27" t="s">
        <v>1047</v>
      </c>
      <c r="C1328" s="28" t="e">
        <f ca="1">[1]!BexGetData("DP_1","003N8EMH8GTFRCSWKMPXRR8GU","GSON1112070170")</f>
        <v>#NAME?</v>
      </c>
      <c r="D1328" s="28" t="e">
        <f ca="1">[1]!BexGetData("DP_1","003N8EMH8GTFRCSWKMPXRRESE","GSON1112070170")</f>
        <v>#NAME?</v>
      </c>
      <c r="E1328" s="28" t="e">
        <f ca="1">[1]!BexGetData("DP_1","003N8EMH8GTFRCSWKMPXRRL3Y","GSON1112070170")</f>
        <v>#NAME?</v>
      </c>
      <c r="F1328" s="28" t="e">
        <f ca="1">[1]!BexGetData("DP_1","003N8EMH8GTFRCSWKMPXRRRFI","GSON1112070170")</f>
        <v>#NAME?</v>
      </c>
      <c r="G1328" s="23" t="e">
        <f ca="1">[1]!BexGetData("DP_1","003N8EMH8GTFRCSWKMPXRRXR2","GSON1112070170")</f>
        <v>#NAME?</v>
      </c>
      <c r="H1328" s="23" t="e">
        <f ca="1">[1]!BexGetData("DP_1","003N8EMH8GTFRCSWKMPXRS42M","GSON1112070170")</f>
        <v>#NAME?</v>
      </c>
      <c r="I1328" s="28" t="e">
        <f ca="1">[1]!BexGetData("DP_1","003N8EMH8GTFRCSWKMPXRSAE6","GSON1112070170")</f>
        <v>#NAME?</v>
      </c>
      <c r="J1328" s="23" t="e">
        <f ca="1">[1]!BexGetData("DP_1","003N8EMH8GTFRCSWKMPXRSGPQ","GSON1112070170")</f>
        <v>#NAME?</v>
      </c>
      <c r="K1328" s="28" t="e">
        <f ca="1">[1]!BexGetData("DP_1","003N8EMH8GTFRIVNUPY288VJH","GSON1112070170")</f>
        <v>#NAME?</v>
      </c>
      <c r="L1328" s="28" t="e">
        <f ca="1">[1]!BexGetData("DP_1","003N8EMH8GTFRIVNUPY2891V1","GSON1112070170")</f>
        <v>#NAME?</v>
      </c>
      <c r="M1328" s="28" t="e">
        <f ca="1">[1]!BexGetData("DP_1","003N8EMH8GTFRIVOG7KG9IQXA","GSON1112070170")</f>
        <v>#NAME?</v>
      </c>
      <c r="N1328" s="28" t="e">
        <f ca="1">[1]!BexGetData("DP_1","003N8EMH8GTFRIVOG7KG9IX8U","GSON1112070170")</f>
        <v>#NAME?</v>
      </c>
      <c r="O1328" s="28" t="e">
        <f ca="1">[1]!BexGetData("DP_1","003N8EMH8GTFRIVOG7KG9J3KE","GSON1112070170")</f>
        <v>#NAME?</v>
      </c>
      <c r="P1328" s="28" t="e">
        <f ca="1">[1]!BexGetData("DP_1","003N8EMH8GTFRIVOG7KG9J9VY","GSON1112070170")</f>
        <v>#NAME?</v>
      </c>
      <c r="Q1328" s="23" t="e">
        <f ca="1">[1]!BexGetData("DP_1","00O2TNJGODT0G5Z4TTKYMM5MT","GSON1112070170")</f>
        <v>#NAME?</v>
      </c>
      <c r="R1328" s="23" t="e">
        <f ca="1">[1]!BexGetData("DP_1","00O2TNJGODT0G5Z4TTKYMMBYD","GSON1112070170")</f>
        <v>#NAME?</v>
      </c>
      <c r="S1328" s="23" t="e">
        <f ca="1">[1]!BexGetData("DP_1","00O2TNJGODT0G5Z4TTKYMMI9X","GSON1112070170")</f>
        <v>#NAME?</v>
      </c>
      <c r="T1328" s="23" t="e">
        <f ca="1">[1]!BexGetData("DP_1","00O2TNJGODT0G5Z4TTKYMMOLH","GSON1112070170")</f>
        <v>#NAME?</v>
      </c>
      <c r="U1328" s="28" t="e">
        <f ca="1">[1]!BexGetData("DP_1","00O2TNJGODT0G5Z4TTKYMMUX1","GSON1112070170")</f>
        <v>#NAME?</v>
      </c>
      <c r="V1328" s="23" t="e">
        <f ca="1">[1]!BexGetData("DP_1","00O2TNJGODT0G5Z4TTKYMN18L","GSON1112070170")</f>
        <v>#NAME?</v>
      </c>
      <c r="W1328" s="28" t="e">
        <f ca="1">[1]!BexGetData("DP_1","00O2TNJGODT0G5Z4TTKYMN7K5","GSON1112070170")</f>
        <v>#NAME?</v>
      </c>
    </row>
    <row r="1329" spans="1:23" x14ac:dyDescent="0.2">
      <c r="A1329" s="36" t="s">
        <v>3939</v>
      </c>
      <c r="B1329" s="27" t="s">
        <v>3940</v>
      </c>
      <c r="C1329" s="28" t="e">
        <f ca="1">[1]!BexGetData("DP_1","003N8EMH8GTFRCSWKMPXRR8GU","GSON1112070171")</f>
        <v>#NAME?</v>
      </c>
      <c r="D1329" s="28" t="e">
        <f ca="1">[1]!BexGetData("DP_1","003N8EMH8GTFRCSWKMPXRRESE","GSON1112070171")</f>
        <v>#NAME?</v>
      </c>
      <c r="E1329" s="28" t="e">
        <f ca="1">[1]!BexGetData("DP_1","003N8EMH8GTFRCSWKMPXRRL3Y","GSON1112070171")</f>
        <v>#NAME?</v>
      </c>
      <c r="F1329" s="28" t="e">
        <f ca="1">[1]!BexGetData("DP_1","003N8EMH8GTFRCSWKMPXRRRFI","GSON1112070171")</f>
        <v>#NAME?</v>
      </c>
      <c r="G1329" s="23" t="e">
        <f ca="1">[1]!BexGetData("DP_1","003N8EMH8GTFRCSWKMPXRRXR2","GSON1112070171")</f>
        <v>#NAME?</v>
      </c>
      <c r="H1329" s="23" t="e">
        <f ca="1">[1]!BexGetData("DP_1","003N8EMH8GTFRCSWKMPXRS42M","GSON1112070171")</f>
        <v>#NAME?</v>
      </c>
      <c r="I1329" s="28" t="e">
        <f ca="1">[1]!BexGetData("DP_1","003N8EMH8GTFRCSWKMPXRSAE6","GSON1112070171")</f>
        <v>#NAME?</v>
      </c>
      <c r="J1329" s="24" t="e">
        <f ca="1">[1]!BexGetData("DP_1","003N8EMH8GTFRCSWKMPXRSGPQ","GSON1112070171")</f>
        <v>#NAME?</v>
      </c>
      <c r="K1329" s="28" t="e">
        <f ca="1">[1]!BexGetData("DP_1","003N8EMH8GTFRIVNUPY288VJH","GSON1112070171")</f>
        <v>#NAME?</v>
      </c>
      <c r="L1329" s="28" t="e">
        <f ca="1">[1]!BexGetData("DP_1","003N8EMH8GTFRIVNUPY2891V1","GSON1112070171")</f>
        <v>#NAME?</v>
      </c>
      <c r="M1329" s="28" t="e">
        <f ca="1">[1]!BexGetData("DP_1","003N8EMH8GTFRIVOG7KG9IQXA","GSON1112070171")</f>
        <v>#NAME?</v>
      </c>
      <c r="N1329" s="28" t="e">
        <f ca="1">[1]!BexGetData("DP_1","003N8EMH8GTFRIVOG7KG9IX8U","GSON1112070171")</f>
        <v>#NAME?</v>
      </c>
      <c r="O1329" s="28" t="e">
        <f ca="1">[1]!BexGetData("DP_1","003N8EMH8GTFRIVOG7KG9J3KE","GSON1112070171")</f>
        <v>#NAME?</v>
      </c>
      <c r="P1329" s="28" t="e">
        <f ca="1">[1]!BexGetData("DP_1","003N8EMH8GTFRIVOG7KG9J9VY","GSON1112070171")</f>
        <v>#NAME?</v>
      </c>
      <c r="Q1329" s="24" t="e">
        <f ca="1">[1]!BexGetData("DP_1","00O2TNJGODT0G5Z4TTKYMM5MT","GSON1112070171")</f>
        <v>#NAME?</v>
      </c>
      <c r="R1329" s="28" t="e">
        <f ca="1">[1]!BexGetData("DP_1","00O2TNJGODT0G5Z4TTKYMMBYD","GSON1112070171")</f>
        <v>#NAME?</v>
      </c>
      <c r="S1329" s="28" t="e">
        <f ca="1">[1]!BexGetData("DP_1","00O2TNJGODT0G5Z4TTKYMMI9X","GSON1112070171")</f>
        <v>#NAME?</v>
      </c>
      <c r="T1329" s="28" t="e">
        <f ca="1">[1]!BexGetData("DP_1","00O2TNJGODT0G5Z4TTKYMMOLH","GSON1112070171")</f>
        <v>#NAME?</v>
      </c>
      <c r="U1329" s="28" t="e">
        <f ca="1">[1]!BexGetData("DP_1","00O2TNJGODT0G5Z4TTKYMMUX1","GSON1112070171")</f>
        <v>#NAME?</v>
      </c>
      <c r="V1329" s="28" t="e">
        <f ca="1">[1]!BexGetData("DP_1","00O2TNJGODT0G5Z4TTKYMN18L","GSON1112070171")</f>
        <v>#NAME?</v>
      </c>
      <c r="W1329" s="28" t="e">
        <f ca="1">[1]!BexGetData("DP_1","00O2TNJGODT0G5Z4TTKYMN7K5","GSON1112070171")</f>
        <v>#NAME?</v>
      </c>
    </row>
    <row r="1330" spans="1:23" x14ac:dyDescent="0.2">
      <c r="A1330" s="36" t="s">
        <v>3941</v>
      </c>
      <c r="B1330" s="27" t="s">
        <v>3942</v>
      </c>
      <c r="C1330" s="24" t="e">
        <f ca="1">[1]!BexGetData("DP_1","003N8EMH8GTFRCSWKMPXRR8GU","GSON1112070173")</f>
        <v>#NAME?</v>
      </c>
      <c r="D1330" s="24" t="e">
        <f ca="1">[1]!BexGetData("DP_1","003N8EMH8GTFRCSWKMPXRRESE","GSON1112070173")</f>
        <v>#NAME?</v>
      </c>
      <c r="E1330" s="24" t="e">
        <f ca="1">[1]!BexGetData("DP_1","003N8EMH8GTFRCSWKMPXRRL3Y","GSON1112070173")</f>
        <v>#NAME?</v>
      </c>
      <c r="F1330" s="28" t="e">
        <f ca="1">[1]!BexGetData("DP_1","003N8EMH8GTFRCSWKMPXRRRFI","GSON1112070173")</f>
        <v>#NAME?</v>
      </c>
      <c r="G1330" s="23" t="e">
        <f ca="1">[1]!BexGetData("DP_1","003N8EMH8GTFRCSWKMPXRRXR2","GSON1112070173")</f>
        <v>#NAME?</v>
      </c>
      <c r="H1330" s="23" t="e">
        <f ca="1">[1]!BexGetData("DP_1","003N8EMH8GTFRCSWKMPXRS42M","GSON1112070173")</f>
        <v>#NAME?</v>
      </c>
      <c r="I1330" s="28" t="e">
        <f ca="1">[1]!BexGetData("DP_1","003N8EMH8GTFRCSWKMPXRSAE6","GSON1112070173")</f>
        <v>#NAME?</v>
      </c>
      <c r="J1330" s="24" t="e">
        <f ca="1">[1]!BexGetData("DP_1","003N8EMH8GTFRCSWKMPXRSGPQ","GSON1112070173")</f>
        <v>#NAME?</v>
      </c>
      <c r="K1330" s="28" t="e">
        <f ca="1">[1]!BexGetData("DP_1","003N8EMH8GTFRIVNUPY288VJH","GSON1112070173")</f>
        <v>#NAME?</v>
      </c>
      <c r="L1330" s="28" t="e">
        <f ca="1">[1]!BexGetData("DP_1","003N8EMH8GTFRIVNUPY2891V1","GSON1112070173")</f>
        <v>#NAME?</v>
      </c>
      <c r="M1330" s="28" t="e">
        <f ca="1">[1]!BexGetData("DP_1","003N8EMH8GTFRIVOG7KG9IQXA","GSON1112070173")</f>
        <v>#NAME?</v>
      </c>
      <c r="N1330" s="28" t="e">
        <f ca="1">[1]!BexGetData("DP_1","003N8EMH8GTFRIVOG7KG9IX8U","GSON1112070173")</f>
        <v>#NAME?</v>
      </c>
      <c r="O1330" s="28" t="e">
        <f ca="1">[1]!BexGetData("DP_1","003N8EMH8GTFRIVOG7KG9J3KE","GSON1112070173")</f>
        <v>#NAME?</v>
      </c>
      <c r="P1330" s="28" t="e">
        <f ca="1">[1]!BexGetData("DP_1","003N8EMH8GTFRIVOG7KG9J9VY","GSON1112070173")</f>
        <v>#NAME?</v>
      </c>
      <c r="Q1330" s="24" t="e">
        <f ca="1">[1]!BexGetData("DP_1","00O2TNJGODT0G5Z4TTKYMM5MT","GSON1112070173")</f>
        <v>#NAME?</v>
      </c>
      <c r="R1330" s="28" t="e">
        <f ca="1">[1]!BexGetData("DP_1","00O2TNJGODT0G5Z4TTKYMMBYD","GSON1112070173")</f>
        <v>#NAME?</v>
      </c>
      <c r="S1330" s="28" t="e">
        <f ca="1">[1]!BexGetData("DP_1","00O2TNJGODT0G5Z4TTKYMMI9X","GSON1112070173")</f>
        <v>#NAME?</v>
      </c>
      <c r="T1330" s="28" t="e">
        <f ca="1">[1]!BexGetData("DP_1","00O2TNJGODT0G5Z4TTKYMMOLH","GSON1112070173")</f>
        <v>#NAME?</v>
      </c>
      <c r="U1330" s="28" t="e">
        <f ca="1">[1]!BexGetData("DP_1","00O2TNJGODT0G5Z4TTKYMMUX1","GSON1112070173")</f>
        <v>#NAME?</v>
      </c>
      <c r="V1330" s="28" t="e">
        <f ca="1">[1]!BexGetData("DP_1","00O2TNJGODT0G5Z4TTKYMN18L","GSON1112070173")</f>
        <v>#NAME?</v>
      </c>
      <c r="W1330" s="28" t="e">
        <f ca="1">[1]!BexGetData("DP_1","00O2TNJGODT0G5Z4TTKYMN7K5","GSON1112070173")</f>
        <v>#NAME?</v>
      </c>
    </row>
    <row r="1331" spans="1:23" x14ac:dyDescent="0.2">
      <c r="A1331" s="36" t="s">
        <v>3943</v>
      </c>
      <c r="B1331" s="27" t="s">
        <v>1048</v>
      </c>
      <c r="C1331" s="24" t="e">
        <f ca="1">[1]!BexGetData("DP_1","003N8EMH8GTFRCSWKMPXRR8GU","GSON1112070174")</f>
        <v>#NAME?</v>
      </c>
      <c r="D1331" s="24" t="e">
        <f ca="1">[1]!BexGetData("DP_1","003N8EMH8GTFRCSWKMPXRRESE","GSON1112070174")</f>
        <v>#NAME?</v>
      </c>
      <c r="E1331" s="24" t="e">
        <f ca="1">[1]!BexGetData("DP_1","003N8EMH8GTFRCSWKMPXRRL3Y","GSON1112070174")</f>
        <v>#NAME?</v>
      </c>
      <c r="F1331" s="28" t="e">
        <f ca="1">[1]!BexGetData("DP_1","003N8EMH8GTFRCSWKMPXRRRFI","GSON1112070174")</f>
        <v>#NAME?</v>
      </c>
      <c r="G1331" s="23" t="e">
        <f ca="1">[1]!BexGetData("DP_1","003N8EMH8GTFRCSWKMPXRRXR2","GSON1112070174")</f>
        <v>#NAME?</v>
      </c>
      <c r="H1331" s="23" t="e">
        <f ca="1">[1]!BexGetData("DP_1","003N8EMH8GTFRCSWKMPXRS42M","GSON1112070174")</f>
        <v>#NAME?</v>
      </c>
      <c r="I1331" s="28" t="e">
        <f ca="1">[1]!BexGetData("DP_1","003N8EMH8GTFRCSWKMPXRSAE6","GSON1112070174")</f>
        <v>#NAME?</v>
      </c>
      <c r="J1331" s="24" t="e">
        <f ca="1">[1]!BexGetData("DP_1","003N8EMH8GTFRCSWKMPXRSGPQ","GSON1112070174")</f>
        <v>#NAME?</v>
      </c>
      <c r="K1331" s="28" t="e">
        <f ca="1">[1]!BexGetData("DP_1","003N8EMH8GTFRIVNUPY288VJH","GSON1112070174")</f>
        <v>#NAME?</v>
      </c>
      <c r="L1331" s="28" t="e">
        <f ca="1">[1]!BexGetData("DP_1","003N8EMH8GTFRIVNUPY2891V1","GSON1112070174")</f>
        <v>#NAME?</v>
      </c>
      <c r="M1331" s="28" t="e">
        <f ca="1">[1]!BexGetData("DP_1","003N8EMH8GTFRIVOG7KG9IQXA","GSON1112070174")</f>
        <v>#NAME?</v>
      </c>
      <c r="N1331" s="28" t="e">
        <f ca="1">[1]!BexGetData("DP_1","003N8EMH8GTFRIVOG7KG9IX8U","GSON1112070174")</f>
        <v>#NAME?</v>
      </c>
      <c r="O1331" s="28" t="e">
        <f ca="1">[1]!BexGetData("DP_1","003N8EMH8GTFRIVOG7KG9J3KE","GSON1112070174")</f>
        <v>#NAME?</v>
      </c>
      <c r="P1331" s="28" t="e">
        <f ca="1">[1]!BexGetData("DP_1","003N8EMH8GTFRIVOG7KG9J9VY","GSON1112070174")</f>
        <v>#NAME?</v>
      </c>
      <c r="Q1331" s="24" t="e">
        <f ca="1">[1]!BexGetData("DP_1","00O2TNJGODT0G5Z4TTKYMM5MT","GSON1112070174")</f>
        <v>#NAME?</v>
      </c>
      <c r="R1331" s="28" t="e">
        <f ca="1">[1]!BexGetData("DP_1","00O2TNJGODT0G5Z4TTKYMMBYD","GSON1112070174")</f>
        <v>#NAME?</v>
      </c>
      <c r="S1331" s="28" t="e">
        <f ca="1">[1]!BexGetData("DP_1","00O2TNJGODT0G5Z4TTKYMMI9X","GSON1112070174")</f>
        <v>#NAME?</v>
      </c>
      <c r="T1331" s="28" t="e">
        <f ca="1">[1]!BexGetData("DP_1","00O2TNJGODT0G5Z4TTKYMMOLH","GSON1112070174")</f>
        <v>#NAME?</v>
      </c>
      <c r="U1331" s="28" t="e">
        <f ca="1">[1]!BexGetData("DP_1","00O2TNJGODT0G5Z4TTKYMMUX1","GSON1112070174")</f>
        <v>#NAME?</v>
      </c>
      <c r="V1331" s="28" t="e">
        <f ca="1">[1]!BexGetData("DP_1","00O2TNJGODT0G5Z4TTKYMN18L","GSON1112070174")</f>
        <v>#NAME?</v>
      </c>
      <c r="W1331" s="28" t="e">
        <f ca="1">[1]!BexGetData("DP_1","00O2TNJGODT0G5Z4TTKYMN7K5","GSON1112070174")</f>
        <v>#NAME?</v>
      </c>
    </row>
    <row r="1332" spans="1:23" x14ac:dyDescent="0.2">
      <c r="A1332" s="36" t="s">
        <v>1049</v>
      </c>
      <c r="B1332" s="27" t="s">
        <v>1050</v>
      </c>
      <c r="C1332" s="24" t="e">
        <f ca="1">[1]!BexGetData("DP_1","003N8EMH8GTFRCSWKMPXRR8GU","GSON1112070175")</f>
        <v>#NAME?</v>
      </c>
      <c r="D1332" s="24" t="e">
        <f ca="1">[1]!BexGetData("DP_1","003N8EMH8GTFRCSWKMPXRRESE","GSON1112070175")</f>
        <v>#NAME?</v>
      </c>
      <c r="E1332" s="24" t="e">
        <f ca="1">[1]!BexGetData("DP_1","003N8EMH8GTFRCSWKMPXRRL3Y","GSON1112070175")</f>
        <v>#NAME?</v>
      </c>
      <c r="F1332" s="28" t="e">
        <f ca="1">[1]!BexGetData("DP_1","003N8EMH8GTFRCSWKMPXRRRFI","GSON1112070175")</f>
        <v>#NAME?</v>
      </c>
      <c r="G1332" s="23" t="e">
        <f ca="1">[1]!BexGetData("DP_1","003N8EMH8GTFRCSWKMPXRRXR2","GSON1112070175")</f>
        <v>#NAME?</v>
      </c>
      <c r="H1332" s="23" t="e">
        <f ca="1">[1]!BexGetData("DP_1","003N8EMH8GTFRCSWKMPXRS42M","GSON1112070175")</f>
        <v>#NAME?</v>
      </c>
      <c r="I1332" s="28" t="e">
        <f ca="1">[1]!BexGetData("DP_1","003N8EMH8GTFRCSWKMPXRSAE6","GSON1112070175")</f>
        <v>#NAME?</v>
      </c>
      <c r="J1332" s="24" t="e">
        <f ca="1">[1]!BexGetData("DP_1","003N8EMH8GTFRCSWKMPXRSGPQ","GSON1112070175")</f>
        <v>#NAME?</v>
      </c>
      <c r="K1332" s="28" t="e">
        <f ca="1">[1]!BexGetData("DP_1","003N8EMH8GTFRIVNUPY288VJH","GSON1112070175")</f>
        <v>#NAME?</v>
      </c>
      <c r="L1332" s="28" t="e">
        <f ca="1">[1]!BexGetData("DP_1","003N8EMH8GTFRIVNUPY2891V1","GSON1112070175")</f>
        <v>#NAME?</v>
      </c>
      <c r="M1332" s="28" t="e">
        <f ca="1">[1]!BexGetData("DP_1","003N8EMH8GTFRIVOG7KG9IQXA","GSON1112070175")</f>
        <v>#NAME?</v>
      </c>
      <c r="N1332" s="28" t="e">
        <f ca="1">[1]!BexGetData("DP_1","003N8EMH8GTFRIVOG7KG9IX8U","GSON1112070175")</f>
        <v>#NAME?</v>
      </c>
      <c r="O1332" s="28" t="e">
        <f ca="1">[1]!BexGetData("DP_1","003N8EMH8GTFRIVOG7KG9J3KE","GSON1112070175")</f>
        <v>#NAME?</v>
      </c>
      <c r="P1332" s="28" t="e">
        <f ca="1">[1]!BexGetData("DP_1","003N8EMH8GTFRIVOG7KG9J9VY","GSON1112070175")</f>
        <v>#NAME?</v>
      </c>
      <c r="Q1332" s="24" t="e">
        <f ca="1">[1]!BexGetData("DP_1","00O2TNJGODT0G5Z4TTKYMM5MT","GSON1112070175")</f>
        <v>#NAME?</v>
      </c>
      <c r="R1332" s="28" t="e">
        <f ca="1">[1]!BexGetData("DP_1","00O2TNJGODT0G5Z4TTKYMMBYD","GSON1112070175")</f>
        <v>#NAME?</v>
      </c>
      <c r="S1332" s="28" t="e">
        <f ca="1">[1]!BexGetData("DP_1","00O2TNJGODT0G5Z4TTKYMMI9X","GSON1112070175")</f>
        <v>#NAME?</v>
      </c>
      <c r="T1332" s="28" t="e">
        <f ca="1">[1]!BexGetData("DP_1","00O2TNJGODT0G5Z4TTKYMMOLH","GSON1112070175")</f>
        <v>#NAME?</v>
      </c>
      <c r="U1332" s="28" t="e">
        <f ca="1">[1]!BexGetData("DP_1","00O2TNJGODT0G5Z4TTKYMMUX1","GSON1112070175")</f>
        <v>#NAME?</v>
      </c>
      <c r="V1332" s="28" t="e">
        <f ca="1">[1]!BexGetData("DP_1","00O2TNJGODT0G5Z4TTKYMN18L","GSON1112070175")</f>
        <v>#NAME?</v>
      </c>
      <c r="W1332" s="28" t="e">
        <f ca="1">[1]!BexGetData("DP_1","00O2TNJGODT0G5Z4TTKYMN7K5","GSON1112070175")</f>
        <v>#NAME?</v>
      </c>
    </row>
    <row r="1333" spans="1:23" x14ac:dyDescent="0.2">
      <c r="A1333" s="36" t="s">
        <v>1051</v>
      </c>
      <c r="B1333" s="27" t="s">
        <v>1052</v>
      </c>
      <c r="C1333" s="23" t="e">
        <f ca="1">[1]!BexGetData("DP_1","003N8EMH8GTFRCSWKMPXRR8GU","GSON1112070180")</f>
        <v>#NAME?</v>
      </c>
      <c r="D1333" s="28" t="e">
        <f ca="1">[1]!BexGetData("DP_1","003N8EMH8GTFRCSWKMPXRRESE","GSON1112070180")</f>
        <v>#NAME?</v>
      </c>
      <c r="E1333" s="23" t="e">
        <f ca="1">[1]!BexGetData("DP_1","003N8EMH8GTFRCSWKMPXRRL3Y","GSON1112070180")</f>
        <v>#NAME?</v>
      </c>
      <c r="F1333" s="23" t="e">
        <f ca="1">[1]!BexGetData("DP_1","003N8EMH8GTFRCSWKMPXRRRFI","GSON1112070180")</f>
        <v>#NAME?</v>
      </c>
      <c r="G1333" s="23" t="e">
        <f ca="1">[1]!BexGetData("DP_1","003N8EMH8GTFRCSWKMPXRRXR2","GSON1112070180")</f>
        <v>#NAME?</v>
      </c>
      <c r="H1333" s="23" t="e">
        <f ca="1">[1]!BexGetData("DP_1","003N8EMH8GTFRCSWKMPXRS42M","GSON1112070180")</f>
        <v>#NAME?</v>
      </c>
      <c r="I1333" s="23" t="e">
        <f ca="1">[1]!BexGetData("DP_1","003N8EMH8GTFRCSWKMPXRSAE6","GSON1112070180")</f>
        <v>#NAME?</v>
      </c>
      <c r="J1333" s="23" t="e">
        <f ca="1">[1]!BexGetData("DP_1","003N8EMH8GTFRCSWKMPXRSGPQ","GSON1112070180")</f>
        <v>#NAME?</v>
      </c>
      <c r="K1333" s="23" t="e">
        <f ca="1">[1]!BexGetData("DP_1","003N8EMH8GTFRIVNUPY288VJH","GSON1112070180")</f>
        <v>#NAME?</v>
      </c>
      <c r="L1333" s="23" t="e">
        <f ca="1">[1]!BexGetData("DP_1","003N8EMH8GTFRIVNUPY2891V1","GSON1112070180")</f>
        <v>#NAME?</v>
      </c>
      <c r="M1333" s="28" t="e">
        <f ca="1">[1]!BexGetData("DP_1","003N8EMH8GTFRIVOG7KG9IQXA","GSON1112070180")</f>
        <v>#NAME?</v>
      </c>
      <c r="N1333" s="23" t="e">
        <f ca="1">[1]!BexGetData("DP_1","003N8EMH8GTFRIVOG7KG9IX8U","GSON1112070180")</f>
        <v>#NAME?</v>
      </c>
      <c r="O1333" s="28" t="e">
        <f ca="1">[1]!BexGetData("DP_1","003N8EMH8GTFRIVOG7KG9J3KE","GSON1112070180")</f>
        <v>#NAME?</v>
      </c>
      <c r="P1333" s="23" t="e">
        <f ca="1">[1]!BexGetData("DP_1","003N8EMH8GTFRIVOG7KG9J9VY","GSON1112070180")</f>
        <v>#NAME?</v>
      </c>
      <c r="Q1333" s="23" t="e">
        <f ca="1">[1]!BexGetData("DP_1","00O2TNJGODT0G5Z4TTKYMM5MT","GSON1112070180")</f>
        <v>#NAME?</v>
      </c>
      <c r="R1333" s="23" t="e">
        <f ca="1">[1]!BexGetData("DP_1","00O2TNJGODT0G5Z4TTKYMMBYD","GSON1112070180")</f>
        <v>#NAME?</v>
      </c>
      <c r="S1333" s="23" t="e">
        <f ca="1">[1]!BexGetData("DP_1","00O2TNJGODT0G5Z4TTKYMMI9X","GSON1112070180")</f>
        <v>#NAME?</v>
      </c>
      <c r="T1333" s="28" t="e">
        <f ca="1">[1]!BexGetData("DP_1","00O2TNJGODT0G5Z4TTKYMMOLH","GSON1112070180")</f>
        <v>#NAME?</v>
      </c>
      <c r="U1333" s="23" t="e">
        <f ca="1">[1]!BexGetData("DP_1","00O2TNJGODT0G5Z4TTKYMMUX1","GSON1112070180")</f>
        <v>#NAME?</v>
      </c>
      <c r="V1333" s="28" t="e">
        <f ca="1">[1]!BexGetData("DP_1","00O2TNJGODT0G5Z4TTKYMN18L","GSON1112070180")</f>
        <v>#NAME?</v>
      </c>
      <c r="W1333" s="23" t="e">
        <f ca="1">[1]!BexGetData("DP_1","00O2TNJGODT0G5Z4TTKYMN7K5","GSON1112070180")</f>
        <v>#NAME?</v>
      </c>
    </row>
    <row r="1334" spans="1:23" x14ac:dyDescent="0.2">
      <c r="A1334" s="36" t="s">
        <v>1053</v>
      </c>
      <c r="B1334" s="27" t="s">
        <v>1054</v>
      </c>
      <c r="C1334" s="23" t="e">
        <f ca="1">[1]!BexGetData("DP_1","003N8EMH8GTFRCSWKMPXRR8GU","GSON1112070185")</f>
        <v>#NAME?</v>
      </c>
      <c r="D1334" s="23" t="e">
        <f ca="1">[1]!BexGetData("DP_1","003N8EMH8GTFRCSWKMPXRRESE","GSON1112070185")</f>
        <v>#NAME?</v>
      </c>
      <c r="E1334" s="28" t="e">
        <f ca="1">[1]!BexGetData("DP_1","003N8EMH8GTFRCSWKMPXRRL3Y","GSON1112070185")</f>
        <v>#NAME?</v>
      </c>
      <c r="F1334" s="28" t="e">
        <f ca="1">[1]!BexGetData("DP_1","003N8EMH8GTFRCSWKMPXRRRFI","GSON1112070185")</f>
        <v>#NAME?</v>
      </c>
      <c r="G1334" s="23" t="e">
        <f ca="1">[1]!BexGetData("DP_1","003N8EMH8GTFRCSWKMPXRRXR2","GSON1112070185")</f>
        <v>#NAME?</v>
      </c>
      <c r="H1334" s="23" t="e">
        <f ca="1">[1]!BexGetData("DP_1","003N8EMH8GTFRCSWKMPXRS42M","GSON1112070185")</f>
        <v>#NAME?</v>
      </c>
      <c r="I1334" s="28" t="e">
        <f ca="1">[1]!BexGetData("DP_1","003N8EMH8GTFRCSWKMPXRSAE6","GSON1112070185")</f>
        <v>#NAME?</v>
      </c>
      <c r="J1334" s="24" t="e">
        <f ca="1">[1]!BexGetData("DP_1","003N8EMH8GTFRCSWKMPXRSGPQ","GSON1112070185")</f>
        <v>#NAME?</v>
      </c>
      <c r="K1334" s="28" t="e">
        <f ca="1">[1]!BexGetData("DP_1","003N8EMH8GTFRIVNUPY288VJH","GSON1112070185")</f>
        <v>#NAME?</v>
      </c>
      <c r="L1334" s="28" t="e">
        <f ca="1">[1]!BexGetData("DP_1","003N8EMH8GTFRIVNUPY2891V1","GSON1112070185")</f>
        <v>#NAME?</v>
      </c>
      <c r="M1334" s="28" t="e">
        <f ca="1">[1]!BexGetData("DP_1","003N8EMH8GTFRIVOG7KG9IQXA","GSON1112070185")</f>
        <v>#NAME?</v>
      </c>
      <c r="N1334" s="28" t="e">
        <f ca="1">[1]!BexGetData("DP_1","003N8EMH8GTFRIVOG7KG9IX8U","GSON1112070185")</f>
        <v>#NAME?</v>
      </c>
      <c r="O1334" s="28" t="e">
        <f ca="1">[1]!BexGetData("DP_1","003N8EMH8GTFRIVOG7KG9J3KE","GSON1112070185")</f>
        <v>#NAME?</v>
      </c>
      <c r="P1334" s="28" t="e">
        <f ca="1">[1]!BexGetData("DP_1","003N8EMH8GTFRIVOG7KG9J9VY","GSON1112070185")</f>
        <v>#NAME?</v>
      </c>
      <c r="Q1334" s="24" t="e">
        <f ca="1">[1]!BexGetData("DP_1","00O2TNJGODT0G5Z4TTKYMM5MT","GSON1112070185")</f>
        <v>#NAME?</v>
      </c>
      <c r="R1334" s="28" t="e">
        <f ca="1">[1]!BexGetData("DP_1","00O2TNJGODT0G5Z4TTKYMMBYD","GSON1112070185")</f>
        <v>#NAME?</v>
      </c>
      <c r="S1334" s="28" t="e">
        <f ca="1">[1]!BexGetData("DP_1","00O2TNJGODT0G5Z4TTKYMMI9X","GSON1112070185")</f>
        <v>#NAME?</v>
      </c>
      <c r="T1334" s="28" t="e">
        <f ca="1">[1]!BexGetData("DP_1","00O2TNJGODT0G5Z4TTKYMMOLH","GSON1112070185")</f>
        <v>#NAME?</v>
      </c>
      <c r="U1334" s="28" t="e">
        <f ca="1">[1]!BexGetData("DP_1","00O2TNJGODT0G5Z4TTKYMMUX1","GSON1112070185")</f>
        <v>#NAME?</v>
      </c>
      <c r="V1334" s="28" t="e">
        <f ca="1">[1]!BexGetData("DP_1","00O2TNJGODT0G5Z4TTKYMN18L","GSON1112070185")</f>
        <v>#NAME?</v>
      </c>
      <c r="W1334" s="28" t="e">
        <f ca="1">[1]!BexGetData("DP_1","00O2TNJGODT0G5Z4TTKYMN7K5","GSON1112070185")</f>
        <v>#NAME?</v>
      </c>
    </row>
    <row r="1335" spans="1:23" x14ac:dyDescent="0.2">
      <c r="A1335" s="36" t="s">
        <v>1055</v>
      </c>
      <c r="B1335" s="27" t="s">
        <v>1056</v>
      </c>
      <c r="C1335" s="23" t="e">
        <f ca="1">[1]!BexGetData("DP_1","003N8EMH8GTFRCSWKMPXRR8GU","GSON1112070190")</f>
        <v>#NAME?</v>
      </c>
      <c r="D1335" s="23" t="e">
        <f ca="1">[1]!BexGetData("DP_1","003N8EMH8GTFRCSWKMPXRRESE","GSON1112070190")</f>
        <v>#NAME?</v>
      </c>
      <c r="E1335" s="28" t="e">
        <f ca="1">[1]!BexGetData("DP_1","003N8EMH8GTFRCSWKMPXRRL3Y","GSON1112070190")</f>
        <v>#NAME?</v>
      </c>
      <c r="F1335" s="23" t="e">
        <f ca="1">[1]!BexGetData("DP_1","003N8EMH8GTFRCSWKMPXRRRFI","GSON1112070190")</f>
        <v>#NAME?</v>
      </c>
      <c r="G1335" s="23" t="e">
        <f ca="1">[1]!BexGetData("DP_1","003N8EMH8GTFRCSWKMPXRRXR2","GSON1112070190")</f>
        <v>#NAME?</v>
      </c>
      <c r="H1335" s="23" t="e">
        <f ca="1">[1]!BexGetData("DP_1","003N8EMH8GTFRCSWKMPXRS42M","GSON1112070190")</f>
        <v>#NAME?</v>
      </c>
      <c r="I1335" s="23" t="e">
        <f ca="1">[1]!BexGetData("DP_1","003N8EMH8GTFRCSWKMPXRSAE6","GSON1112070190")</f>
        <v>#NAME?</v>
      </c>
      <c r="J1335" s="23" t="e">
        <f ca="1">[1]!BexGetData("DP_1","003N8EMH8GTFRCSWKMPXRSGPQ","GSON1112070190")</f>
        <v>#NAME?</v>
      </c>
      <c r="K1335" s="23" t="e">
        <f ca="1">[1]!BexGetData("DP_1","003N8EMH8GTFRIVNUPY288VJH","GSON1112070190")</f>
        <v>#NAME?</v>
      </c>
      <c r="L1335" s="23" t="e">
        <f ca="1">[1]!BexGetData("DP_1","003N8EMH8GTFRIVNUPY2891V1","GSON1112070190")</f>
        <v>#NAME?</v>
      </c>
      <c r="M1335" s="23" t="e">
        <f ca="1">[1]!BexGetData("DP_1","003N8EMH8GTFRIVOG7KG9IQXA","GSON1112070190")</f>
        <v>#NAME?</v>
      </c>
      <c r="N1335" s="28" t="e">
        <f ca="1">[1]!BexGetData("DP_1","003N8EMH8GTFRIVOG7KG9IX8U","GSON1112070190")</f>
        <v>#NAME?</v>
      </c>
      <c r="O1335" s="23" t="e">
        <f ca="1">[1]!BexGetData("DP_1","003N8EMH8GTFRIVOG7KG9J3KE","GSON1112070190")</f>
        <v>#NAME?</v>
      </c>
      <c r="P1335" s="28" t="e">
        <f ca="1">[1]!BexGetData("DP_1","003N8EMH8GTFRIVOG7KG9J9VY","GSON1112070190")</f>
        <v>#NAME?</v>
      </c>
      <c r="Q1335" s="23" t="e">
        <f ca="1">[1]!BexGetData("DP_1","00O2TNJGODT0G5Z4TTKYMM5MT","GSON1112070190")</f>
        <v>#NAME?</v>
      </c>
      <c r="R1335" s="23" t="e">
        <f ca="1">[1]!BexGetData("DP_1","00O2TNJGODT0G5Z4TTKYMMBYD","GSON1112070190")</f>
        <v>#NAME?</v>
      </c>
      <c r="S1335" s="23" t="e">
        <f ca="1">[1]!BexGetData("DP_1","00O2TNJGODT0G5Z4TTKYMMI9X","GSON1112070190")</f>
        <v>#NAME?</v>
      </c>
      <c r="T1335" s="23" t="e">
        <f ca="1">[1]!BexGetData("DP_1","00O2TNJGODT0G5Z4TTKYMMOLH","GSON1112070190")</f>
        <v>#NAME?</v>
      </c>
      <c r="U1335" s="28" t="e">
        <f ca="1">[1]!BexGetData("DP_1","00O2TNJGODT0G5Z4TTKYMMUX1","GSON1112070190")</f>
        <v>#NAME?</v>
      </c>
      <c r="V1335" s="23" t="e">
        <f ca="1">[1]!BexGetData("DP_1","00O2TNJGODT0G5Z4TTKYMN18L","GSON1112070190")</f>
        <v>#NAME?</v>
      </c>
      <c r="W1335" s="28" t="e">
        <f ca="1">[1]!BexGetData("DP_1","00O2TNJGODT0G5Z4TTKYMN7K5","GSON1112070190")</f>
        <v>#NAME?</v>
      </c>
    </row>
    <row r="1336" spans="1:23" x14ac:dyDescent="0.2">
      <c r="A1336" s="36" t="s">
        <v>3944</v>
      </c>
      <c r="B1336" s="27" t="s">
        <v>3945</v>
      </c>
      <c r="C1336" s="28" t="e">
        <f ca="1">[1]!BexGetData("DP_1","003N8EMH8GTFRCSWKMPXRR8GU","GSON1112070191")</f>
        <v>#NAME?</v>
      </c>
      <c r="D1336" s="28" t="e">
        <f ca="1">[1]!BexGetData("DP_1","003N8EMH8GTFRCSWKMPXRRESE","GSON1112070191")</f>
        <v>#NAME?</v>
      </c>
      <c r="E1336" s="28" t="e">
        <f ca="1">[1]!BexGetData("DP_1","003N8EMH8GTFRCSWKMPXRRL3Y","GSON1112070191")</f>
        <v>#NAME?</v>
      </c>
      <c r="F1336" s="28" t="e">
        <f ca="1">[1]!BexGetData("DP_1","003N8EMH8GTFRCSWKMPXRRRFI","GSON1112070191")</f>
        <v>#NAME?</v>
      </c>
      <c r="G1336" s="23" t="e">
        <f ca="1">[1]!BexGetData("DP_1","003N8EMH8GTFRCSWKMPXRRXR2","GSON1112070191")</f>
        <v>#NAME?</v>
      </c>
      <c r="H1336" s="23" t="e">
        <f ca="1">[1]!BexGetData("DP_1","003N8EMH8GTFRCSWKMPXRS42M","GSON1112070191")</f>
        <v>#NAME?</v>
      </c>
      <c r="I1336" s="28" t="e">
        <f ca="1">[1]!BexGetData("DP_1","003N8EMH8GTFRCSWKMPXRSAE6","GSON1112070191")</f>
        <v>#NAME?</v>
      </c>
      <c r="J1336" s="24" t="e">
        <f ca="1">[1]!BexGetData("DP_1","003N8EMH8GTFRCSWKMPXRSGPQ","GSON1112070191")</f>
        <v>#NAME?</v>
      </c>
      <c r="K1336" s="28" t="e">
        <f ca="1">[1]!BexGetData("DP_1","003N8EMH8GTFRIVNUPY288VJH","GSON1112070191")</f>
        <v>#NAME?</v>
      </c>
      <c r="L1336" s="28" t="e">
        <f ca="1">[1]!BexGetData("DP_1","003N8EMH8GTFRIVNUPY2891V1","GSON1112070191")</f>
        <v>#NAME?</v>
      </c>
      <c r="M1336" s="28" t="e">
        <f ca="1">[1]!BexGetData("DP_1","003N8EMH8GTFRIVOG7KG9IQXA","GSON1112070191")</f>
        <v>#NAME?</v>
      </c>
      <c r="N1336" s="28" t="e">
        <f ca="1">[1]!BexGetData("DP_1","003N8EMH8GTFRIVOG7KG9IX8U","GSON1112070191")</f>
        <v>#NAME?</v>
      </c>
      <c r="O1336" s="28" t="e">
        <f ca="1">[1]!BexGetData("DP_1","003N8EMH8GTFRIVOG7KG9J3KE","GSON1112070191")</f>
        <v>#NAME?</v>
      </c>
      <c r="P1336" s="28" t="e">
        <f ca="1">[1]!BexGetData("DP_1","003N8EMH8GTFRIVOG7KG9J9VY","GSON1112070191")</f>
        <v>#NAME?</v>
      </c>
      <c r="Q1336" s="24" t="e">
        <f ca="1">[1]!BexGetData("DP_1","00O2TNJGODT0G5Z4TTKYMM5MT","GSON1112070191")</f>
        <v>#NAME?</v>
      </c>
      <c r="R1336" s="28" t="e">
        <f ca="1">[1]!BexGetData("DP_1","00O2TNJGODT0G5Z4TTKYMMBYD","GSON1112070191")</f>
        <v>#NAME?</v>
      </c>
      <c r="S1336" s="28" t="e">
        <f ca="1">[1]!BexGetData("DP_1","00O2TNJGODT0G5Z4TTKYMMI9X","GSON1112070191")</f>
        <v>#NAME?</v>
      </c>
      <c r="T1336" s="28" t="e">
        <f ca="1">[1]!BexGetData("DP_1","00O2TNJGODT0G5Z4TTKYMMOLH","GSON1112070191")</f>
        <v>#NAME?</v>
      </c>
      <c r="U1336" s="28" t="e">
        <f ca="1">[1]!BexGetData("DP_1","00O2TNJGODT0G5Z4TTKYMMUX1","GSON1112070191")</f>
        <v>#NAME?</v>
      </c>
      <c r="V1336" s="28" t="e">
        <f ca="1">[1]!BexGetData("DP_1","00O2TNJGODT0G5Z4TTKYMN18L","GSON1112070191")</f>
        <v>#NAME?</v>
      </c>
      <c r="W1336" s="28" t="e">
        <f ca="1">[1]!BexGetData("DP_1","00O2TNJGODT0G5Z4TTKYMN7K5","GSON1112070191")</f>
        <v>#NAME?</v>
      </c>
    </row>
    <row r="1337" spans="1:23" x14ac:dyDescent="0.2">
      <c r="A1337" s="36" t="s">
        <v>3946</v>
      </c>
      <c r="B1337" s="27" t="s">
        <v>3947</v>
      </c>
      <c r="C1337" s="23" t="e">
        <f ca="1">[1]!BexGetData("DP_1","003N8EMH8GTFRCSWKMPXRR8GU","GSON1112070193")</f>
        <v>#NAME?</v>
      </c>
      <c r="D1337" s="23" t="e">
        <f ca="1">[1]!BexGetData("DP_1","003N8EMH8GTFRCSWKMPXRRESE","GSON1112070193")</f>
        <v>#NAME?</v>
      </c>
      <c r="E1337" s="28" t="e">
        <f ca="1">[1]!BexGetData("DP_1","003N8EMH8GTFRCSWKMPXRRL3Y","GSON1112070193")</f>
        <v>#NAME?</v>
      </c>
      <c r="F1337" s="28" t="e">
        <f ca="1">[1]!BexGetData("DP_1","003N8EMH8GTFRCSWKMPXRRRFI","GSON1112070193")</f>
        <v>#NAME?</v>
      </c>
      <c r="G1337" s="23" t="e">
        <f ca="1">[1]!BexGetData("DP_1","003N8EMH8GTFRCSWKMPXRRXR2","GSON1112070193")</f>
        <v>#NAME?</v>
      </c>
      <c r="H1337" s="23" t="e">
        <f ca="1">[1]!BexGetData("DP_1","003N8EMH8GTFRCSWKMPXRS42M","GSON1112070193")</f>
        <v>#NAME?</v>
      </c>
      <c r="I1337" s="28" t="e">
        <f ca="1">[1]!BexGetData("DP_1","003N8EMH8GTFRCSWKMPXRSAE6","GSON1112070193")</f>
        <v>#NAME?</v>
      </c>
      <c r="J1337" s="24" t="e">
        <f ca="1">[1]!BexGetData("DP_1","003N8EMH8GTFRCSWKMPXRSGPQ","GSON1112070193")</f>
        <v>#NAME?</v>
      </c>
      <c r="K1337" s="28" t="e">
        <f ca="1">[1]!BexGetData("DP_1","003N8EMH8GTFRIVNUPY288VJH","GSON1112070193")</f>
        <v>#NAME?</v>
      </c>
      <c r="L1337" s="28" t="e">
        <f ca="1">[1]!BexGetData("DP_1","003N8EMH8GTFRIVNUPY2891V1","GSON1112070193")</f>
        <v>#NAME?</v>
      </c>
      <c r="M1337" s="28" t="e">
        <f ca="1">[1]!BexGetData("DP_1","003N8EMH8GTFRIVOG7KG9IQXA","GSON1112070193")</f>
        <v>#NAME?</v>
      </c>
      <c r="N1337" s="28" t="e">
        <f ca="1">[1]!BexGetData("DP_1","003N8EMH8GTFRIVOG7KG9IX8U","GSON1112070193")</f>
        <v>#NAME?</v>
      </c>
      <c r="O1337" s="28" t="e">
        <f ca="1">[1]!BexGetData("DP_1","003N8EMH8GTFRIVOG7KG9J3KE","GSON1112070193")</f>
        <v>#NAME?</v>
      </c>
      <c r="P1337" s="28" t="e">
        <f ca="1">[1]!BexGetData("DP_1","003N8EMH8GTFRIVOG7KG9J9VY","GSON1112070193")</f>
        <v>#NAME?</v>
      </c>
      <c r="Q1337" s="24" t="e">
        <f ca="1">[1]!BexGetData("DP_1","00O2TNJGODT0G5Z4TTKYMM5MT","GSON1112070193")</f>
        <v>#NAME?</v>
      </c>
      <c r="R1337" s="28" t="e">
        <f ca="1">[1]!BexGetData("DP_1","00O2TNJGODT0G5Z4TTKYMMBYD","GSON1112070193")</f>
        <v>#NAME?</v>
      </c>
      <c r="S1337" s="28" t="e">
        <f ca="1">[1]!BexGetData("DP_1","00O2TNJGODT0G5Z4TTKYMMI9X","GSON1112070193")</f>
        <v>#NAME?</v>
      </c>
      <c r="T1337" s="28" t="e">
        <f ca="1">[1]!BexGetData("DP_1","00O2TNJGODT0G5Z4TTKYMMOLH","GSON1112070193")</f>
        <v>#NAME?</v>
      </c>
      <c r="U1337" s="28" t="e">
        <f ca="1">[1]!BexGetData("DP_1","00O2TNJGODT0G5Z4TTKYMMUX1","GSON1112070193")</f>
        <v>#NAME?</v>
      </c>
      <c r="V1337" s="28" t="e">
        <f ca="1">[1]!BexGetData("DP_1","00O2TNJGODT0G5Z4TTKYMN18L","GSON1112070193")</f>
        <v>#NAME?</v>
      </c>
      <c r="W1337" s="28" t="e">
        <f ca="1">[1]!BexGetData("DP_1","00O2TNJGODT0G5Z4TTKYMN7K5","GSON1112070193")</f>
        <v>#NAME?</v>
      </c>
    </row>
    <row r="1338" spans="1:23" x14ac:dyDescent="0.2">
      <c r="A1338" s="36" t="s">
        <v>3948</v>
      </c>
      <c r="B1338" s="27" t="s">
        <v>1057</v>
      </c>
      <c r="C1338" s="23" t="e">
        <f ca="1">[1]!BexGetData("DP_1","003N8EMH8GTFRCSWKMPXRR8GU","GSON1112070194")</f>
        <v>#NAME?</v>
      </c>
      <c r="D1338" s="23" t="e">
        <f ca="1">[1]!BexGetData("DP_1","003N8EMH8GTFRCSWKMPXRRESE","GSON1112070194")</f>
        <v>#NAME?</v>
      </c>
      <c r="E1338" s="28" t="e">
        <f ca="1">[1]!BexGetData("DP_1","003N8EMH8GTFRCSWKMPXRRL3Y","GSON1112070194")</f>
        <v>#NAME?</v>
      </c>
      <c r="F1338" s="28" t="e">
        <f ca="1">[1]!BexGetData("DP_1","003N8EMH8GTFRCSWKMPXRRRFI","GSON1112070194")</f>
        <v>#NAME?</v>
      </c>
      <c r="G1338" s="23" t="e">
        <f ca="1">[1]!BexGetData("DP_1","003N8EMH8GTFRCSWKMPXRRXR2","GSON1112070194")</f>
        <v>#NAME?</v>
      </c>
      <c r="H1338" s="23" t="e">
        <f ca="1">[1]!BexGetData("DP_1","003N8EMH8GTFRCSWKMPXRS42M","GSON1112070194")</f>
        <v>#NAME?</v>
      </c>
      <c r="I1338" s="28" t="e">
        <f ca="1">[1]!BexGetData("DP_1","003N8EMH8GTFRCSWKMPXRSAE6","GSON1112070194")</f>
        <v>#NAME?</v>
      </c>
      <c r="J1338" s="24" t="e">
        <f ca="1">[1]!BexGetData("DP_1","003N8EMH8GTFRCSWKMPXRSGPQ","GSON1112070194")</f>
        <v>#NAME?</v>
      </c>
      <c r="K1338" s="28" t="e">
        <f ca="1">[1]!BexGetData("DP_1","003N8EMH8GTFRIVNUPY288VJH","GSON1112070194")</f>
        <v>#NAME?</v>
      </c>
      <c r="L1338" s="28" t="e">
        <f ca="1">[1]!BexGetData("DP_1","003N8EMH8GTFRIVNUPY2891V1","GSON1112070194")</f>
        <v>#NAME?</v>
      </c>
      <c r="M1338" s="28" t="e">
        <f ca="1">[1]!BexGetData("DP_1","003N8EMH8GTFRIVOG7KG9IQXA","GSON1112070194")</f>
        <v>#NAME?</v>
      </c>
      <c r="N1338" s="28" t="e">
        <f ca="1">[1]!BexGetData("DP_1","003N8EMH8GTFRIVOG7KG9IX8U","GSON1112070194")</f>
        <v>#NAME?</v>
      </c>
      <c r="O1338" s="28" t="e">
        <f ca="1">[1]!BexGetData("DP_1","003N8EMH8GTFRIVOG7KG9J3KE","GSON1112070194")</f>
        <v>#NAME?</v>
      </c>
      <c r="P1338" s="28" t="e">
        <f ca="1">[1]!BexGetData("DP_1","003N8EMH8GTFRIVOG7KG9J9VY","GSON1112070194")</f>
        <v>#NAME?</v>
      </c>
      <c r="Q1338" s="24" t="e">
        <f ca="1">[1]!BexGetData("DP_1","00O2TNJGODT0G5Z4TTKYMM5MT","GSON1112070194")</f>
        <v>#NAME?</v>
      </c>
      <c r="R1338" s="28" t="e">
        <f ca="1">[1]!BexGetData("DP_1","00O2TNJGODT0G5Z4TTKYMMBYD","GSON1112070194")</f>
        <v>#NAME?</v>
      </c>
      <c r="S1338" s="28" t="e">
        <f ca="1">[1]!BexGetData("DP_1","00O2TNJGODT0G5Z4TTKYMMI9X","GSON1112070194")</f>
        <v>#NAME?</v>
      </c>
      <c r="T1338" s="28" t="e">
        <f ca="1">[1]!BexGetData("DP_1","00O2TNJGODT0G5Z4TTKYMMOLH","GSON1112070194")</f>
        <v>#NAME?</v>
      </c>
      <c r="U1338" s="28" t="e">
        <f ca="1">[1]!BexGetData("DP_1","00O2TNJGODT0G5Z4TTKYMMUX1","GSON1112070194")</f>
        <v>#NAME?</v>
      </c>
      <c r="V1338" s="28" t="e">
        <f ca="1">[1]!BexGetData("DP_1","00O2TNJGODT0G5Z4TTKYMN18L","GSON1112070194")</f>
        <v>#NAME?</v>
      </c>
      <c r="W1338" s="28" t="e">
        <f ca="1">[1]!BexGetData("DP_1","00O2TNJGODT0G5Z4TTKYMN7K5","GSON1112070194")</f>
        <v>#NAME?</v>
      </c>
    </row>
    <row r="1339" spans="1:23" x14ac:dyDescent="0.2">
      <c r="A1339" s="36" t="s">
        <v>1058</v>
      </c>
      <c r="B1339" s="27" t="s">
        <v>1059</v>
      </c>
      <c r="C1339" s="23" t="e">
        <f ca="1">[1]!BexGetData("DP_1","003N8EMH8GTFRCSWKMPXRR8GU","GSON1112070195")</f>
        <v>#NAME?</v>
      </c>
      <c r="D1339" s="23" t="e">
        <f ca="1">[1]!BexGetData("DP_1","003N8EMH8GTFRCSWKMPXRRESE","GSON1112070195")</f>
        <v>#NAME?</v>
      </c>
      <c r="E1339" s="28" t="e">
        <f ca="1">[1]!BexGetData("DP_1","003N8EMH8GTFRCSWKMPXRRL3Y","GSON1112070195")</f>
        <v>#NAME?</v>
      </c>
      <c r="F1339" s="28" t="e">
        <f ca="1">[1]!BexGetData("DP_1","003N8EMH8GTFRCSWKMPXRRRFI","GSON1112070195")</f>
        <v>#NAME?</v>
      </c>
      <c r="G1339" s="23" t="e">
        <f ca="1">[1]!BexGetData("DP_1","003N8EMH8GTFRCSWKMPXRRXR2","GSON1112070195")</f>
        <v>#NAME?</v>
      </c>
      <c r="H1339" s="23" t="e">
        <f ca="1">[1]!BexGetData("DP_1","003N8EMH8GTFRCSWKMPXRS42M","GSON1112070195")</f>
        <v>#NAME?</v>
      </c>
      <c r="I1339" s="28" t="e">
        <f ca="1">[1]!BexGetData("DP_1","003N8EMH8GTFRCSWKMPXRSAE6","GSON1112070195")</f>
        <v>#NAME?</v>
      </c>
      <c r="J1339" s="24" t="e">
        <f ca="1">[1]!BexGetData("DP_1","003N8EMH8GTFRCSWKMPXRSGPQ","GSON1112070195")</f>
        <v>#NAME?</v>
      </c>
      <c r="K1339" s="28" t="e">
        <f ca="1">[1]!BexGetData("DP_1","003N8EMH8GTFRIVNUPY288VJH","GSON1112070195")</f>
        <v>#NAME?</v>
      </c>
      <c r="L1339" s="28" t="e">
        <f ca="1">[1]!BexGetData("DP_1","003N8EMH8GTFRIVNUPY2891V1","GSON1112070195")</f>
        <v>#NAME?</v>
      </c>
      <c r="M1339" s="28" t="e">
        <f ca="1">[1]!BexGetData("DP_1","003N8EMH8GTFRIVOG7KG9IQXA","GSON1112070195")</f>
        <v>#NAME?</v>
      </c>
      <c r="N1339" s="28" t="e">
        <f ca="1">[1]!BexGetData("DP_1","003N8EMH8GTFRIVOG7KG9IX8U","GSON1112070195")</f>
        <v>#NAME?</v>
      </c>
      <c r="O1339" s="28" t="e">
        <f ca="1">[1]!BexGetData("DP_1","003N8EMH8GTFRIVOG7KG9J3KE","GSON1112070195")</f>
        <v>#NAME?</v>
      </c>
      <c r="P1339" s="28" t="e">
        <f ca="1">[1]!BexGetData("DP_1","003N8EMH8GTFRIVOG7KG9J9VY","GSON1112070195")</f>
        <v>#NAME?</v>
      </c>
      <c r="Q1339" s="24" t="e">
        <f ca="1">[1]!BexGetData("DP_1","00O2TNJGODT0G5Z4TTKYMM5MT","GSON1112070195")</f>
        <v>#NAME?</v>
      </c>
      <c r="R1339" s="28" t="e">
        <f ca="1">[1]!BexGetData("DP_1","00O2TNJGODT0G5Z4TTKYMMBYD","GSON1112070195")</f>
        <v>#NAME?</v>
      </c>
      <c r="S1339" s="28" t="e">
        <f ca="1">[1]!BexGetData("DP_1","00O2TNJGODT0G5Z4TTKYMMI9X","GSON1112070195")</f>
        <v>#NAME?</v>
      </c>
      <c r="T1339" s="28" t="e">
        <f ca="1">[1]!BexGetData("DP_1","00O2TNJGODT0G5Z4TTKYMMOLH","GSON1112070195")</f>
        <v>#NAME?</v>
      </c>
      <c r="U1339" s="28" t="e">
        <f ca="1">[1]!BexGetData("DP_1","00O2TNJGODT0G5Z4TTKYMMUX1","GSON1112070195")</f>
        <v>#NAME?</v>
      </c>
      <c r="V1339" s="28" t="e">
        <f ca="1">[1]!BexGetData("DP_1","00O2TNJGODT0G5Z4TTKYMN18L","GSON1112070195")</f>
        <v>#NAME?</v>
      </c>
      <c r="W1339" s="28" t="e">
        <f ca="1">[1]!BexGetData("DP_1","00O2TNJGODT0G5Z4TTKYMN7K5","GSON1112070195")</f>
        <v>#NAME?</v>
      </c>
    </row>
    <row r="1340" spans="1:23" x14ac:dyDescent="0.2">
      <c r="A1340" s="36" t="s">
        <v>1060</v>
      </c>
      <c r="B1340" s="27" t="s">
        <v>1061</v>
      </c>
      <c r="C1340" s="23" t="e">
        <f ca="1">[1]!BexGetData("DP_1","003N8EMH8GTFRCSWKMPXRR8GU","GSON1112070200")</f>
        <v>#NAME?</v>
      </c>
      <c r="D1340" s="28" t="e">
        <f ca="1">[1]!BexGetData("DP_1","003N8EMH8GTFRCSWKMPXRRESE","GSON1112070200")</f>
        <v>#NAME?</v>
      </c>
      <c r="E1340" s="23" t="e">
        <f ca="1">[1]!BexGetData("DP_1","003N8EMH8GTFRCSWKMPXRRL3Y","GSON1112070200")</f>
        <v>#NAME?</v>
      </c>
      <c r="F1340" s="23" t="e">
        <f ca="1">[1]!BexGetData("DP_1","003N8EMH8GTFRCSWKMPXRRRFI","GSON1112070200")</f>
        <v>#NAME?</v>
      </c>
      <c r="G1340" s="23" t="e">
        <f ca="1">[1]!BexGetData("DP_1","003N8EMH8GTFRCSWKMPXRRXR2","GSON1112070200")</f>
        <v>#NAME?</v>
      </c>
      <c r="H1340" s="23" t="e">
        <f ca="1">[1]!BexGetData("DP_1","003N8EMH8GTFRCSWKMPXRS42M","GSON1112070200")</f>
        <v>#NAME?</v>
      </c>
      <c r="I1340" s="23" t="e">
        <f ca="1">[1]!BexGetData("DP_1","003N8EMH8GTFRCSWKMPXRSAE6","GSON1112070200")</f>
        <v>#NAME?</v>
      </c>
      <c r="J1340" s="23" t="e">
        <f ca="1">[1]!BexGetData("DP_1","003N8EMH8GTFRCSWKMPXRSGPQ","GSON1112070200")</f>
        <v>#NAME?</v>
      </c>
      <c r="K1340" s="23" t="e">
        <f ca="1">[1]!BexGetData("DP_1","003N8EMH8GTFRIVNUPY288VJH","GSON1112070200")</f>
        <v>#NAME?</v>
      </c>
      <c r="L1340" s="23" t="e">
        <f ca="1">[1]!BexGetData("DP_1","003N8EMH8GTFRIVNUPY2891V1","GSON1112070200")</f>
        <v>#NAME?</v>
      </c>
      <c r="M1340" s="28" t="e">
        <f ca="1">[1]!BexGetData("DP_1","003N8EMH8GTFRIVOG7KG9IQXA","GSON1112070200")</f>
        <v>#NAME?</v>
      </c>
      <c r="N1340" s="23" t="e">
        <f ca="1">[1]!BexGetData("DP_1","003N8EMH8GTFRIVOG7KG9IX8U","GSON1112070200")</f>
        <v>#NAME?</v>
      </c>
      <c r="O1340" s="28" t="e">
        <f ca="1">[1]!BexGetData("DP_1","003N8EMH8GTFRIVOG7KG9J3KE","GSON1112070200")</f>
        <v>#NAME?</v>
      </c>
      <c r="P1340" s="23" t="e">
        <f ca="1">[1]!BexGetData("DP_1","003N8EMH8GTFRIVOG7KG9J9VY","GSON1112070200")</f>
        <v>#NAME?</v>
      </c>
      <c r="Q1340" s="23" t="e">
        <f ca="1">[1]!BexGetData("DP_1","00O2TNJGODT0G5Z4TTKYMM5MT","GSON1112070200")</f>
        <v>#NAME?</v>
      </c>
      <c r="R1340" s="23" t="e">
        <f ca="1">[1]!BexGetData("DP_1","00O2TNJGODT0G5Z4TTKYMMBYD","GSON1112070200")</f>
        <v>#NAME?</v>
      </c>
      <c r="S1340" s="23" t="e">
        <f ca="1">[1]!BexGetData("DP_1","00O2TNJGODT0G5Z4TTKYMMI9X","GSON1112070200")</f>
        <v>#NAME?</v>
      </c>
      <c r="T1340" s="23" t="e">
        <f ca="1">[1]!BexGetData("DP_1","00O2TNJGODT0G5Z4TTKYMMOLH","GSON1112070200")</f>
        <v>#NAME?</v>
      </c>
      <c r="U1340" s="28" t="e">
        <f ca="1">[1]!BexGetData("DP_1","00O2TNJGODT0G5Z4TTKYMMUX1","GSON1112070200")</f>
        <v>#NAME?</v>
      </c>
      <c r="V1340" s="23" t="e">
        <f ca="1">[1]!BexGetData("DP_1","00O2TNJGODT0G5Z4TTKYMN18L","GSON1112070200")</f>
        <v>#NAME?</v>
      </c>
      <c r="W1340" s="28" t="e">
        <f ca="1">[1]!BexGetData("DP_1","00O2TNJGODT0G5Z4TTKYMN7K5","GSON1112070200")</f>
        <v>#NAME?</v>
      </c>
    </row>
    <row r="1341" spans="1:23" x14ac:dyDescent="0.2">
      <c r="A1341" s="36" t="s">
        <v>3949</v>
      </c>
      <c r="B1341" s="27" t="s">
        <v>3950</v>
      </c>
      <c r="C1341" s="28" t="e">
        <f ca="1">[1]!BexGetData("DP_1","003N8EMH8GTFRCSWKMPXRR8GU","GSON1112070201")</f>
        <v>#NAME?</v>
      </c>
      <c r="D1341" s="28" t="e">
        <f ca="1">[1]!BexGetData("DP_1","003N8EMH8GTFRCSWKMPXRRESE","GSON1112070201")</f>
        <v>#NAME?</v>
      </c>
      <c r="E1341" s="28" t="e">
        <f ca="1">[1]!BexGetData("DP_1","003N8EMH8GTFRCSWKMPXRRL3Y","GSON1112070201")</f>
        <v>#NAME?</v>
      </c>
      <c r="F1341" s="28" t="e">
        <f ca="1">[1]!BexGetData("DP_1","003N8EMH8GTFRCSWKMPXRRRFI","GSON1112070201")</f>
        <v>#NAME?</v>
      </c>
      <c r="G1341" s="23" t="e">
        <f ca="1">[1]!BexGetData("DP_1","003N8EMH8GTFRCSWKMPXRRXR2","GSON1112070201")</f>
        <v>#NAME?</v>
      </c>
      <c r="H1341" s="23" t="e">
        <f ca="1">[1]!BexGetData("DP_1","003N8EMH8GTFRCSWKMPXRS42M","GSON1112070201")</f>
        <v>#NAME?</v>
      </c>
      <c r="I1341" s="28" t="e">
        <f ca="1">[1]!BexGetData("DP_1","003N8EMH8GTFRCSWKMPXRSAE6","GSON1112070201")</f>
        <v>#NAME?</v>
      </c>
      <c r="J1341" s="24" t="e">
        <f ca="1">[1]!BexGetData("DP_1","003N8EMH8GTFRCSWKMPXRSGPQ","GSON1112070201")</f>
        <v>#NAME?</v>
      </c>
      <c r="K1341" s="28" t="e">
        <f ca="1">[1]!BexGetData("DP_1","003N8EMH8GTFRIVNUPY288VJH","GSON1112070201")</f>
        <v>#NAME?</v>
      </c>
      <c r="L1341" s="28" t="e">
        <f ca="1">[1]!BexGetData("DP_1","003N8EMH8GTFRIVNUPY2891V1","GSON1112070201")</f>
        <v>#NAME?</v>
      </c>
      <c r="M1341" s="28" t="e">
        <f ca="1">[1]!BexGetData("DP_1","003N8EMH8GTFRIVOG7KG9IQXA","GSON1112070201")</f>
        <v>#NAME?</v>
      </c>
      <c r="N1341" s="28" t="e">
        <f ca="1">[1]!BexGetData("DP_1","003N8EMH8GTFRIVOG7KG9IX8U","GSON1112070201")</f>
        <v>#NAME?</v>
      </c>
      <c r="O1341" s="28" t="e">
        <f ca="1">[1]!BexGetData("DP_1","003N8EMH8GTFRIVOG7KG9J3KE","GSON1112070201")</f>
        <v>#NAME?</v>
      </c>
      <c r="P1341" s="28" t="e">
        <f ca="1">[1]!BexGetData("DP_1","003N8EMH8GTFRIVOG7KG9J9VY","GSON1112070201")</f>
        <v>#NAME?</v>
      </c>
      <c r="Q1341" s="24" t="e">
        <f ca="1">[1]!BexGetData("DP_1","00O2TNJGODT0G5Z4TTKYMM5MT","GSON1112070201")</f>
        <v>#NAME?</v>
      </c>
      <c r="R1341" s="28" t="e">
        <f ca="1">[1]!BexGetData("DP_1","00O2TNJGODT0G5Z4TTKYMMBYD","GSON1112070201")</f>
        <v>#NAME?</v>
      </c>
      <c r="S1341" s="28" t="e">
        <f ca="1">[1]!BexGetData("DP_1","00O2TNJGODT0G5Z4TTKYMMI9X","GSON1112070201")</f>
        <v>#NAME?</v>
      </c>
      <c r="T1341" s="28" t="e">
        <f ca="1">[1]!BexGetData("DP_1","00O2TNJGODT0G5Z4TTKYMMOLH","GSON1112070201")</f>
        <v>#NAME?</v>
      </c>
      <c r="U1341" s="28" t="e">
        <f ca="1">[1]!BexGetData("DP_1","00O2TNJGODT0G5Z4TTKYMMUX1","GSON1112070201")</f>
        <v>#NAME?</v>
      </c>
      <c r="V1341" s="28" t="e">
        <f ca="1">[1]!BexGetData("DP_1","00O2TNJGODT0G5Z4TTKYMN18L","GSON1112070201")</f>
        <v>#NAME?</v>
      </c>
      <c r="W1341" s="28" t="e">
        <f ca="1">[1]!BexGetData("DP_1","00O2TNJGODT0G5Z4TTKYMN7K5","GSON1112070201")</f>
        <v>#NAME?</v>
      </c>
    </row>
    <row r="1342" spans="1:23" x14ac:dyDescent="0.2">
      <c r="A1342" s="36" t="s">
        <v>3951</v>
      </c>
      <c r="B1342" s="27" t="s">
        <v>3952</v>
      </c>
      <c r="C1342" s="24" t="e">
        <f ca="1">[1]!BexGetData("DP_1","003N8EMH8GTFRCSWKMPXRR8GU","GSON1112070202")</f>
        <v>#NAME?</v>
      </c>
      <c r="D1342" s="24" t="e">
        <f ca="1">[1]!BexGetData("DP_1","003N8EMH8GTFRCSWKMPXRRESE","GSON1112070202")</f>
        <v>#NAME?</v>
      </c>
      <c r="E1342" s="24" t="e">
        <f ca="1">[1]!BexGetData("DP_1","003N8EMH8GTFRCSWKMPXRRL3Y","GSON1112070202")</f>
        <v>#NAME?</v>
      </c>
      <c r="F1342" s="28" t="e">
        <f ca="1">[1]!BexGetData("DP_1","003N8EMH8GTFRCSWKMPXRRRFI","GSON1112070202")</f>
        <v>#NAME?</v>
      </c>
      <c r="G1342" s="23" t="e">
        <f ca="1">[1]!BexGetData("DP_1","003N8EMH8GTFRCSWKMPXRRXR2","GSON1112070202")</f>
        <v>#NAME?</v>
      </c>
      <c r="H1342" s="23" t="e">
        <f ca="1">[1]!BexGetData("DP_1","003N8EMH8GTFRCSWKMPXRS42M","GSON1112070202")</f>
        <v>#NAME?</v>
      </c>
      <c r="I1342" s="28" t="e">
        <f ca="1">[1]!BexGetData("DP_1","003N8EMH8GTFRCSWKMPXRSAE6","GSON1112070202")</f>
        <v>#NAME?</v>
      </c>
      <c r="J1342" s="23" t="e">
        <f ca="1">[1]!BexGetData("DP_1","003N8EMH8GTFRCSWKMPXRSGPQ","GSON1112070202")</f>
        <v>#NAME?</v>
      </c>
      <c r="K1342" s="28" t="e">
        <f ca="1">[1]!BexGetData("DP_1","003N8EMH8GTFRIVNUPY288VJH","GSON1112070202")</f>
        <v>#NAME?</v>
      </c>
      <c r="L1342" s="28" t="e">
        <f ca="1">[1]!BexGetData("DP_1","003N8EMH8GTFRIVNUPY2891V1","GSON1112070202")</f>
        <v>#NAME?</v>
      </c>
      <c r="M1342" s="28" t="e">
        <f ca="1">[1]!BexGetData("DP_1","003N8EMH8GTFRIVOG7KG9IQXA","GSON1112070202")</f>
        <v>#NAME?</v>
      </c>
      <c r="N1342" s="28" t="e">
        <f ca="1">[1]!BexGetData("DP_1","003N8EMH8GTFRIVOG7KG9IX8U","GSON1112070202")</f>
        <v>#NAME?</v>
      </c>
      <c r="O1342" s="28" t="e">
        <f ca="1">[1]!BexGetData("DP_1","003N8EMH8GTFRIVOG7KG9J3KE","GSON1112070202")</f>
        <v>#NAME?</v>
      </c>
      <c r="P1342" s="28" t="e">
        <f ca="1">[1]!BexGetData("DP_1","003N8EMH8GTFRIVOG7KG9J9VY","GSON1112070202")</f>
        <v>#NAME?</v>
      </c>
      <c r="Q1342" s="23" t="e">
        <f ca="1">[1]!BexGetData("DP_1","00O2TNJGODT0G5Z4TTKYMM5MT","GSON1112070202")</f>
        <v>#NAME?</v>
      </c>
      <c r="R1342" s="23" t="e">
        <f ca="1">[1]!BexGetData("DP_1","00O2TNJGODT0G5Z4TTKYMMBYD","GSON1112070202")</f>
        <v>#NAME?</v>
      </c>
      <c r="S1342" s="23" t="e">
        <f ca="1">[1]!BexGetData("DP_1","00O2TNJGODT0G5Z4TTKYMMI9X","GSON1112070202")</f>
        <v>#NAME?</v>
      </c>
      <c r="T1342" s="28" t="e">
        <f ca="1">[1]!BexGetData("DP_1","00O2TNJGODT0G5Z4TTKYMMOLH","GSON1112070202")</f>
        <v>#NAME?</v>
      </c>
      <c r="U1342" s="23" t="e">
        <f ca="1">[1]!BexGetData("DP_1","00O2TNJGODT0G5Z4TTKYMMUX1","GSON1112070202")</f>
        <v>#NAME?</v>
      </c>
      <c r="V1342" s="28" t="e">
        <f ca="1">[1]!BexGetData("DP_1","00O2TNJGODT0G5Z4TTKYMN18L","GSON1112070202")</f>
        <v>#NAME?</v>
      </c>
      <c r="W1342" s="23" t="e">
        <f ca="1">[1]!BexGetData("DP_1","00O2TNJGODT0G5Z4TTKYMN7K5","GSON1112070202")</f>
        <v>#NAME?</v>
      </c>
    </row>
    <row r="1343" spans="1:23" x14ac:dyDescent="0.2">
      <c r="A1343" s="36" t="s">
        <v>1685</v>
      </c>
      <c r="B1343" s="27" t="s">
        <v>1686</v>
      </c>
      <c r="C1343" s="24" t="e">
        <f ca="1">[1]!BexGetData("DP_1","003N8EMH8GTFRCSWKMPXRR8GU","GSON1112070203")</f>
        <v>#NAME?</v>
      </c>
      <c r="D1343" s="24" t="e">
        <f ca="1">[1]!BexGetData("DP_1","003N8EMH8GTFRCSWKMPXRRESE","GSON1112070203")</f>
        <v>#NAME?</v>
      </c>
      <c r="E1343" s="24" t="e">
        <f ca="1">[1]!BexGetData("DP_1","003N8EMH8GTFRCSWKMPXRRL3Y","GSON1112070203")</f>
        <v>#NAME?</v>
      </c>
      <c r="F1343" s="28" t="e">
        <f ca="1">[1]!BexGetData("DP_1","003N8EMH8GTFRCSWKMPXRRRFI","GSON1112070203")</f>
        <v>#NAME?</v>
      </c>
      <c r="G1343" s="23" t="e">
        <f ca="1">[1]!BexGetData("DP_1","003N8EMH8GTFRCSWKMPXRRXR2","GSON1112070203")</f>
        <v>#NAME?</v>
      </c>
      <c r="H1343" s="23" t="e">
        <f ca="1">[1]!BexGetData("DP_1","003N8EMH8GTFRCSWKMPXRS42M","GSON1112070203")</f>
        <v>#NAME?</v>
      </c>
      <c r="I1343" s="28" t="e">
        <f ca="1">[1]!BexGetData("DP_1","003N8EMH8GTFRCSWKMPXRSAE6","GSON1112070203")</f>
        <v>#NAME?</v>
      </c>
      <c r="J1343" s="24" t="e">
        <f ca="1">[1]!BexGetData("DP_1","003N8EMH8GTFRCSWKMPXRSGPQ","GSON1112070203")</f>
        <v>#NAME?</v>
      </c>
      <c r="K1343" s="28" t="e">
        <f ca="1">[1]!BexGetData("DP_1","003N8EMH8GTFRIVNUPY288VJH","GSON1112070203")</f>
        <v>#NAME?</v>
      </c>
      <c r="L1343" s="28" t="e">
        <f ca="1">[1]!BexGetData("DP_1","003N8EMH8GTFRIVNUPY2891V1","GSON1112070203")</f>
        <v>#NAME?</v>
      </c>
      <c r="M1343" s="28" t="e">
        <f ca="1">[1]!BexGetData("DP_1","003N8EMH8GTFRIVOG7KG9IQXA","GSON1112070203")</f>
        <v>#NAME?</v>
      </c>
      <c r="N1343" s="28" t="e">
        <f ca="1">[1]!BexGetData("DP_1","003N8EMH8GTFRIVOG7KG9IX8U","GSON1112070203")</f>
        <v>#NAME?</v>
      </c>
      <c r="O1343" s="28" t="e">
        <f ca="1">[1]!BexGetData("DP_1","003N8EMH8GTFRIVOG7KG9J3KE","GSON1112070203")</f>
        <v>#NAME?</v>
      </c>
      <c r="P1343" s="28" t="e">
        <f ca="1">[1]!BexGetData("DP_1","003N8EMH8GTFRIVOG7KG9J9VY","GSON1112070203")</f>
        <v>#NAME?</v>
      </c>
      <c r="Q1343" s="24" t="e">
        <f ca="1">[1]!BexGetData("DP_1","00O2TNJGODT0G5Z4TTKYMM5MT","GSON1112070203")</f>
        <v>#NAME?</v>
      </c>
      <c r="R1343" s="28" t="e">
        <f ca="1">[1]!BexGetData("DP_1","00O2TNJGODT0G5Z4TTKYMMBYD","GSON1112070203")</f>
        <v>#NAME?</v>
      </c>
      <c r="S1343" s="28" t="e">
        <f ca="1">[1]!BexGetData("DP_1","00O2TNJGODT0G5Z4TTKYMMI9X","GSON1112070203")</f>
        <v>#NAME?</v>
      </c>
      <c r="T1343" s="28" t="e">
        <f ca="1">[1]!BexGetData("DP_1","00O2TNJGODT0G5Z4TTKYMMOLH","GSON1112070203")</f>
        <v>#NAME?</v>
      </c>
      <c r="U1343" s="28" t="e">
        <f ca="1">[1]!BexGetData("DP_1","00O2TNJGODT0G5Z4TTKYMMUX1","GSON1112070203")</f>
        <v>#NAME?</v>
      </c>
      <c r="V1343" s="28" t="e">
        <f ca="1">[1]!BexGetData("DP_1","00O2TNJGODT0G5Z4TTKYMN18L","GSON1112070203")</f>
        <v>#NAME?</v>
      </c>
      <c r="W1343" s="28" t="e">
        <f ca="1">[1]!BexGetData("DP_1","00O2TNJGODT0G5Z4TTKYMN7K5","GSON1112070203")</f>
        <v>#NAME?</v>
      </c>
    </row>
    <row r="1344" spans="1:23" x14ac:dyDescent="0.2">
      <c r="A1344" s="36" t="s">
        <v>3953</v>
      </c>
      <c r="B1344" s="27" t="s">
        <v>1687</v>
      </c>
      <c r="C1344" s="28" t="e">
        <f ca="1">[1]!BexGetData("DP_1","003N8EMH8GTFRCSWKMPXRR8GU","GSON1112070204")</f>
        <v>#NAME?</v>
      </c>
      <c r="D1344" s="28" t="e">
        <f ca="1">[1]!BexGetData("DP_1","003N8EMH8GTFRCSWKMPXRRESE","GSON1112070204")</f>
        <v>#NAME?</v>
      </c>
      <c r="E1344" s="28" t="e">
        <f ca="1">[1]!BexGetData("DP_1","003N8EMH8GTFRCSWKMPXRRL3Y","GSON1112070204")</f>
        <v>#NAME?</v>
      </c>
      <c r="F1344" s="28" t="e">
        <f ca="1">[1]!BexGetData("DP_1","003N8EMH8GTFRCSWKMPXRRRFI","GSON1112070204")</f>
        <v>#NAME?</v>
      </c>
      <c r="G1344" s="23" t="e">
        <f ca="1">[1]!BexGetData("DP_1","003N8EMH8GTFRCSWKMPXRRXR2","GSON1112070204")</f>
        <v>#NAME?</v>
      </c>
      <c r="H1344" s="23" t="e">
        <f ca="1">[1]!BexGetData("DP_1","003N8EMH8GTFRCSWKMPXRS42M","GSON1112070204")</f>
        <v>#NAME?</v>
      </c>
      <c r="I1344" s="28" t="e">
        <f ca="1">[1]!BexGetData("DP_1","003N8EMH8GTFRCSWKMPXRSAE6","GSON1112070204")</f>
        <v>#NAME?</v>
      </c>
      <c r="J1344" s="24" t="e">
        <f ca="1">[1]!BexGetData("DP_1","003N8EMH8GTFRCSWKMPXRSGPQ","GSON1112070204")</f>
        <v>#NAME?</v>
      </c>
      <c r="K1344" s="28" t="e">
        <f ca="1">[1]!BexGetData("DP_1","003N8EMH8GTFRIVNUPY288VJH","GSON1112070204")</f>
        <v>#NAME?</v>
      </c>
      <c r="L1344" s="28" t="e">
        <f ca="1">[1]!BexGetData("DP_1","003N8EMH8GTFRIVNUPY2891V1","GSON1112070204")</f>
        <v>#NAME?</v>
      </c>
      <c r="M1344" s="28" t="e">
        <f ca="1">[1]!BexGetData("DP_1","003N8EMH8GTFRIVOG7KG9IQXA","GSON1112070204")</f>
        <v>#NAME?</v>
      </c>
      <c r="N1344" s="28" t="e">
        <f ca="1">[1]!BexGetData("DP_1","003N8EMH8GTFRIVOG7KG9IX8U","GSON1112070204")</f>
        <v>#NAME?</v>
      </c>
      <c r="O1344" s="28" t="e">
        <f ca="1">[1]!BexGetData("DP_1","003N8EMH8GTFRIVOG7KG9J3KE","GSON1112070204")</f>
        <v>#NAME?</v>
      </c>
      <c r="P1344" s="28" t="e">
        <f ca="1">[1]!BexGetData("DP_1","003N8EMH8GTFRIVOG7KG9J9VY","GSON1112070204")</f>
        <v>#NAME?</v>
      </c>
      <c r="Q1344" s="24" t="e">
        <f ca="1">[1]!BexGetData("DP_1","00O2TNJGODT0G5Z4TTKYMM5MT","GSON1112070204")</f>
        <v>#NAME?</v>
      </c>
      <c r="R1344" s="28" t="e">
        <f ca="1">[1]!BexGetData("DP_1","00O2TNJGODT0G5Z4TTKYMMBYD","GSON1112070204")</f>
        <v>#NAME?</v>
      </c>
      <c r="S1344" s="28" t="e">
        <f ca="1">[1]!BexGetData("DP_1","00O2TNJGODT0G5Z4TTKYMMI9X","GSON1112070204")</f>
        <v>#NAME?</v>
      </c>
      <c r="T1344" s="28" t="e">
        <f ca="1">[1]!BexGetData("DP_1","00O2TNJGODT0G5Z4TTKYMMOLH","GSON1112070204")</f>
        <v>#NAME?</v>
      </c>
      <c r="U1344" s="28" t="e">
        <f ca="1">[1]!BexGetData("DP_1","00O2TNJGODT0G5Z4TTKYMMUX1","GSON1112070204")</f>
        <v>#NAME?</v>
      </c>
      <c r="V1344" s="28" t="e">
        <f ca="1">[1]!BexGetData("DP_1","00O2TNJGODT0G5Z4TTKYMN18L","GSON1112070204")</f>
        <v>#NAME?</v>
      </c>
      <c r="W1344" s="28" t="e">
        <f ca="1">[1]!BexGetData("DP_1","00O2TNJGODT0G5Z4TTKYMN7K5","GSON1112070204")</f>
        <v>#NAME?</v>
      </c>
    </row>
    <row r="1345" spans="1:23" x14ac:dyDescent="0.2">
      <c r="A1345" s="36" t="s">
        <v>1062</v>
      </c>
      <c r="B1345" s="27" t="s">
        <v>1063</v>
      </c>
      <c r="C1345" s="23" t="e">
        <f ca="1">[1]!BexGetData("DP_1","003N8EMH8GTFRCSWKMPXRR8GU","GSON1112070205")</f>
        <v>#NAME?</v>
      </c>
      <c r="D1345" s="23" t="e">
        <f ca="1">[1]!BexGetData("DP_1","003N8EMH8GTFRCSWKMPXRRESE","GSON1112070205")</f>
        <v>#NAME?</v>
      </c>
      <c r="E1345" s="28" t="e">
        <f ca="1">[1]!BexGetData("DP_1","003N8EMH8GTFRCSWKMPXRRL3Y","GSON1112070205")</f>
        <v>#NAME?</v>
      </c>
      <c r="F1345" s="28" t="e">
        <f ca="1">[1]!BexGetData("DP_1","003N8EMH8GTFRCSWKMPXRRRFI","GSON1112070205")</f>
        <v>#NAME?</v>
      </c>
      <c r="G1345" s="23" t="e">
        <f ca="1">[1]!BexGetData("DP_1","003N8EMH8GTFRCSWKMPXRRXR2","GSON1112070205")</f>
        <v>#NAME?</v>
      </c>
      <c r="H1345" s="23" t="e">
        <f ca="1">[1]!BexGetData("DP_1","003N8EMH8GTFRCSWKMPXRS42M","GSON1112070205")</f>
        <v>#NAME?</v>
      </c>
      <c r="I1345" s="28" t="e">
        <f ca="1">[1]!BexGetData("DP_1","003N8EMH8GTFRCSWKMPXRSAE6","GSON1112070205")</f>
        <v>#NAME?</v>
      </c>
      <c r="J1345" s="24" t="e">
        <f ca="1">[1]!BexGetData("DP_1","003N8EMH8GTFRCSWKMPXRSGPQ","GSON1112070205")</f>
        <v>#NAME?</v>
      </c>
      <c r="K1345" s="28" t="e">
        <f ca="1">[1]!BexGetData("DP_1","003N8EMH8GTFRIVNUPY288VJH","GSON1112070205")</f>
        <v>#NAME?</v>
      </c>
      <c r="L1345" s="28" t="e">
        <f ca="1">[1]!BexGetData("DP_1","003N8EMH8GTFRIVNUPY2891V1","GSON1112070205")</f>
        <v>#NAME?</v>
      </c>
      <c r="M1345" s="28" t="e">
        <f ca="1">[1]!BexGetData("DP_1","003N8EMH8GTFRIVOG7KG9IQXA","GSON1112070205")</f>
        <v>#NAME?</v>
      </c>
      <c r="N1345" s="28" t="e">
        <f ca="1">[1]!BexGetData("DP_1","003N8EMH8GTFRIVOG7KG9IX8U","GSON1112070205")</f>
        <v>#NAME?</v>
      </c>
      <c r="O1345" s="28" t="e">
        <f ca="1">[1]!BexGetData("DP_1","003N8EMH8GTFRIVOG7KG9J3KE","GSON1112070205")</f>
        <v>#NAME?</v>
      </c>
      <c r="P1345" s="28" t="e">
        <f ca="1">[1]!BexGetData("DP_1","003N8EMH8GTFRIVOG7KG9J9VY","GSON1112070205")</f>
        <v>#NAME?</v>
      </c>
      <c r="Q1345" s="24" t="e">
        <f ca="1">[1]!BexGetData("DP_1","00O2TNJGODT0G5Z4TTKYMM5MT","GSON1112070205")</f>
        <v>#NAME?</v>
      </c>
      <c r="R1345" s="28" t="e">
        <f ca="1">[1]!BexGetData("DP_1","00O2TNJGODT0G5Z4TTKYMMBYD","GSON1112070205")</f>
        <v>#NAME?</v>
      </c>
      <c r="S1345" s="28" t="e">
        <f ca="1">[1]!BexGetData("DP_1","00O2TNJGODT0G5Z4TTKYMMI9X","GSON1112070205")</f>
        <v>#NAME?</v>
      </c>
      <c r="T1345" s="28" t="e">
        <f ca="1">[1]!BexGetData("DP_1","00O2TNJGODT0G5Z4TTKYMMOLH","GSON1112070205")</f>
        <v>#NAME?</v>
      </c>
      <c r="U1345" s="28" t="e">
        <f ca="1">[1]!BexGetData("DP_1","00O2TNJGODT0G5Z4TTKYMMUX1","GSON1112070205")</f>
        <v>#NAME?</v>
      </c>
      <c r="V1345" s="28" t="e">
        <f ca="1">[1]!BexGetData("DP_1","00O2TNJGODT0G5Z4TTKYMN18L","GSON1112070205")</f>
        <v>#NAME?</v>
      </c>
      <c r="W1345" s="28" t="e">
        <f ca="1">[1]!BexGetData("DP_1","00O2TNJGODT0G5Z4TTKYMN7K5","GSON1112070205")</f>
        <v>#NAME?</v>
      </c>
    </row>
    <row r="1346" spans="1:23" x14ac:dyDescent="0.2">
      <c r="A1346" s="36" t="s">
        <v>1064</v>
      </c>
      <c r="B1346" s="27" t="s">
        <v>1065</v>
      </c>
      <c r="C1346" s="23" t="e">
        <f ca="1">[1]!BexGetData("DP_1","003N8EMH8GTFRCSWKMPXRR8GU","GSON1112070210")</f>
        <v>#NAME?</v>
      </c>
      <c r="D1346" s="28" t="e">
        <f ca="1">[1]!BexGetData("DP_1","003N8EMH8GTFRCSWKMPXRRESE","GSON1112070210")</f>
        <v>#NAME?</v>
      </c>
      <c r="E1346" s="23" t="e">
        <f ca="1">[1]!BexGetData("DP_1","003N8EMH8GTFRCSWKMPXRRL3Y","GSON1112070210")</f>
        <v>#NAME?</v>
      </c>
      <c r="F1346" s="23" t="e">
        <f ca="1">[1]!BexGetData("DP_1","003N8EMH8GTFRCSWKMPXRRRFI","GSON1112070210")</f>
        <v>#NAME?</v>
      </c>
      <c r="G1346" s="23" t="e">
        <f ca="1">[1]!BexGetData("DP_1","003N8EMH8GTFRCSWKMPXRRXR2","GSON1112070210")</f>
        <v>#NAME?</v>
      </c>
      <c r="H1346" s="28" t="e">
        <f ca="1">[1]!BexGetData("DP_1","003N8EMH8GTFRCSWKMPXRS42M","GSON1112070210")</f>
        <v>#NAME?</v>
      </c>
      <c r="I1346" s="23" t="e">
        <f ca="1">[1]!BexGetData("DP_1","003N8EMH8GTFRCSWKMPXRSAE6","GSON1112070210")</f>
        <v>#NAME?</v>
      </c>
      <c r="J1346" s="23" t="e">
        <f ca="1">[1]!BexGetData("DP_1","003N8EMH8GTFRCSWKMPXRSGPQ","GSON1112070210")</f>
        <v>#NAME?</v>
      </c>
      <c r="K1346" s="23" t="e">
        <f ca="1">[1]!BexGetData("DP_1","003N8EMH8GTFRIVNUPY288VJH","GSON1112070210")</f>
        <v>#NAME?</v>
      </c>
      <c r="L1346" s="23" t="e">
        <f ca="1">[1]!BexGetData("DP_1","003N8EMH8GTFRIVNUPY2891V1","GSON1112070210")</f>
        <v>#NAME?</v>
      </c>
      <c r="M1346" s="28" t="e">
        <f ca="1">[1]!BexGetData("DP_1","003N8EMH8GTFRIVOG7KG9IQXA","GSON1112070210")</f>
        <v>#NAME?</v>
      </c>
      <c r="N1346" s="23" t="e">
        <f ca="1">[1]!BexGetData("DP_1","003N8EMH8GTFRIVOG7KG9IX8U","GSON1112070210")</f>
        <v>#NAME?</v>
      </c>
      <c r="O1346" s="28" t="e">
        <f ca="1">[1]!BexGetData("DP_1","003N8EMH8GTFRIVOG7KG9J3KE","GSON1112070210")</f>
        <v>#NAME?</v>
      </c>
      <c r="P1346" s="23" t="e">
        <f ca="1">[1]!BexGetData("DP_1","003N8EMH8GTFRIVOG7KG9J9VY","GSON1112070210")</f>
        <v>#NAME?</v>
      </c>
      <c r="Q1346" s="23" t="e">
        <f ca="1">[1]!BexGetData("DP_1","00O2TNJGODT0G5Z4TTKYMM5MT","GSON1112070210")</f>
        <v>#NAME?</v>
      </c>
      <c r="R1346" s="23" t="e">
        <f ca="1">[1]!BexGetData("DP_1","00O2TNJGODT0G5Z4TTKYMMBYD","GSON1112070210")</f>
        <v>#NAME?</v>
      </c>
      <c r="S1346" s="23" t="e">
        <f ca="1">[1]!BexGetData("DP_1","00O2TNJGODT0G5Z4TTKYMMI9X","GSON1112070210")</f>
        <v>#NAME?</v>
      </c>
      <c r="T1346" s="28" t="e">
        <f ca="1">[1]!BexGetData("DP_1","00O2TNJGODT0G5Z4TTKYMMOLH","GSON1112070210")</f>
        <v>#NAME?</v>
      </c>
      <c r="U1346" s="23" t="e">
        <f ca="1">[1]!BexGetData("DP_1","00O2TNJGODT0G5Z4TTKYMMUX1","GSON1112070210")</f>
        <v>#NAME?</v>
      </c>
      <c r="V1346" s="28" t="e">
        <f ca="1">[1]!BexGetData("DP_1","00O2TNJGODT0G5Z4TTKYMN18L","GSON1112070210")</f>
        <v>#NAME?</v>
      </c>
      <c r="W1346" s="23" t="e">
        <f ca="1">[1]!BexGetData("DP_1","00O2TNJGODT0G5Z4TTKYMN7K5","GSON1112070210")</f>
        <v>#NAME?</v>
      </c>
    </row>
    <row r="1347" spans="1:23" x14ac:dyDescent="0.2">
      <c r="A1347" s="36" t="s">
        <v>1066</v>
      </c>
      <c r="B1347" s="27" t="s">
        <v>1067</v>
      </c>
      <c r="C1347" s="23" t="e">
        <f ca="1">[1]!BexGetData("DP_1","003N8EMH8GTFRCSWKMPXRR8GU","GSON1112070215")</f>
        <v>#NAME?</v>
      </c>
      <c r="D1347" s="23" t="e">
        <f ca="1">[1]!BexGetData("DP_1","003N8EMH8GTFRCSWKMPXRRESE","GSON1112070215")</f>
        <v>#NAME?</v>
      </c>
      <c r="E1347" s="28" t="e">
        <f ca="1">[1]!BexGetData("DP_1","003N8EMH8GTFRCSWKMPXRRL3Y","GSON1112070215")</f>
        <v>#NAME?</v>
      </c>
      <c r="F1347" s="28" t="e">
        <f ca="1">[1]!BexGetData("DP_1","003N8EMH8GTFRCSWKMPXRRRFI","GSON1112070215")</f>
        <v>#NAME?</v>
      </c>
      <c r="G1347" s="23" t="e">
        <f ca="1">[1]!BexGetData("DP_1","003N8EMH8GTFRCSWKMPXRRXR2","GSON1112070215")</f>
        <v>#NAME?</v>
      </c>
      <c r="H1347" s="23" t="e">
        <f ca="1">[1]!BexGetData("DP_1","003N8EMH8GTFRCSWKMPXRS42M","GSON1112070215")</f>
        <v>#NAME?</v>
      </c>
      <c r="I1347" s="28" t="e">
        <f ca="1">[1]!BexGetData("DP_1","003N8EMH8GTFRCSWKMPXRSAE6","GSON1112070215")</f>
        <v>#NAME?</v>
      </c>
      <c r="J1347" s="24" t="e">
        <f ca="1">[1]!BexGetData("DP_1","003N8EMH8GTFRCSWKMPXRSGPQ","GSON1112070215")</f>
        <v>#NAME?</v>
      </c>
      <c r="K1347" s="28" t="e">
        <f ca="1">[1]!BexGetData("DP_1","003N8EMH8GTFRIVNUPY288VJH","GSON1112070215")</f>
        <v>#NAME?</v>
      </c>
      <c r="L1347" s="28" t="e">
        <f ca="1">[1]!BexGetData("DP_1","003N8EMH8GTFRIVNUPY2891V1","GSON1112070215")</f>
        <v>#NAME?</v>
      </c>
      <c r="M1347" s="28" t="e">
        <f ca="1">[1]!BexGetData("DP_1","003N8EMH8GTFRIVOG7KG9IQXA","GSON1112070215")</f>
        <v>#NAME?</v>
      </c>
      <c r="N1347" s="28" t="e">
        <f ca="1">[1]!BexGetData("DP_1","003N8EMH8GTFRIVOG7KG9IX8U","GSON1112070215")</f>
        <v>#NAME?</v>
      </c>
      <c r="O1347" s="28" t="e">
        <f ca="1">[1]!BexGetData("DP_1","003N8EMH8GTFRIVOG7KG9J3KE","GSON1112070215")</f>
        <v>#NAME?</v>
      </c>
      <c r="P1347" s="28" t="e">
        <f ca="1">[1]!BexGetData("DP_1","003N8EMH8GTFRIVOG7KG9J9VY","GSON1112070215")</f>
        <v>#NAME?</v>
      </c>
      <c r="Q1347" s="24" t="e">
        <f ca="1">[1]!BexGetData("DP_1","00O2TNJGODT0G5Z4TTKYMM5MT","GSON1112070215")</f>
        <v>#NAME?</v>
      </c>
      <c r="R1347" s="28" t="e">
        <f ca="1">[1]!BexGetData("DP_1","00O2TNJGODT0G5Z4TTKYMMBYD","GSON1112070215")</f>
        <v>#NAME?</v>
      </c>
      <c r="S1347" s="28" t="e">
        <f ca="1">[1]!BexGetData("DP_1","00O2TNJGODT0G5Z4TTKYMMI9X","GSON1112070215")</f>
        <v>#NAME?</v>
      </c>
      <c r="T1347" s="28" t="e">
        <f ca="1">[1]!BexGetData("DP_1","00O2TNJGODT0G5Z4TTKYMMOLH","GSON1112070215")</f>
        <v>#NAME?</v>
      </c>
      <c r="U1347" s="28" t="e">
        <f ca="1">[1]!BexGetData("DP_1","00O2TNJGODT0G5Z4TTKYMMUX1","GSON1112070215")</f>
        <v>#NAME?</v>
      </c>
      <c r="V1347" s="28" t="e">
        <f ca="1">[1]!BexGetData("DP_1","00O2TNJGODT0G5Z4TTKYMN18L","GSON1112070215")</f>
        <v>#NAME?</v>
      </c>
      <c r="W1347" s="28" t="e">
        <f ca="1">[1]!BexGetData("DP_1","00O2TNJGODT0G5Z4TTKYMN7K5","GSON1112070215")</f>
        <v>#NAME?</v>
      </c>
    </row>
    <row r="1348" spans="1:23" x14ac:dyDescent="0.2">
      <c r="A1348" s="36" t="s">
        <v>1068</v>
      </c>
      <c r="B1348" s="27" t="s">
        <v>1069</v>
      </c>
      <c r="C1348" s="23" t="e">
        <f ca="1">[1]!BexGetData("DP_1","003N8EMH8GTFRCSWKMPXRR8GU","GSON1112070250")</f>
        <v>#NAME?</v>
      </c>
      <c r="D1348" s="28" t="e">
        <f ca="1">[1]!BexGetData("DP_1","003N8EMH8GTFRCSWKMPXRRESE","GSON1112070250")</f>
        <v>#NAME?</v>
      </c>
      <c r="E1348" s="23" t="e">
        <f ca="1">[1]!BexGetData("DP_1","003N8EMH8GTFRCSWKMPXRRL3Y","GSON1112070250")</f>
        <v>#NAME?</v>
      </c>
      <c r="F1348" s="23" t="e">
        <f ca="1">[1]!BexGetData("DP_1","003N8EMH8GTFRCSWKMPXRRRFI","GSON1112070250")</f>
        <v>#NAME?</v>
      </c>
      <c r="G1348" s="23" t="e">
        <f ca="1">[1]!BexGetData("DP_1","003N8EMH8GTFRCSWKMPXRRXR2","GSON1112070250")</f>
        <v>#NAME?</v>
      </c>
      <c r="H1348" s="23" t="e">
        <f ca="1">[1]!BexGetData("DP_1","003N8EMH8GTFRCSWKMPXRS42M","GSON1112070250")</f>
        <v>#NAME?</v>
      </c>
      <c r="I1348" s="23" t="e">
        <f ca="1">[1]!BexGetData("DP_1","003N8EMH8GTFRCSWKMPXRSAE6","GSON1112070250")</f>
        <v>#NAME?</v>
      </c>
      <c r="J1348" s="23" t="e">
        <f ca="1">[1]!BexGetData("DP_1","003N8EMH8GTFRCSWKMPXRSGPQ","GSON1112070250")</f>
        <v>#NAME?</v>
      </c>
      <c r="K1348" s="23" t="e">
        <f ca="1">[1]!BexGetData("DP_1","003N8EMH8GTFRIVNUPY288VJH","GSON1112070250")</f>
        <v>#NAME?</v>
      </c>
      <c r="L1348" s="23" t="e">
        <f ca="1">[1]!BexGetData("DP_1","003N8EMH8GTFRIVNUPY2891V1","GSON1112070250")</f>
        <v>#NAME?</v>
      </c>
      <c r="M1348" s="28" t="e">
        <f ca="1">[1]!BexGetData("DP_1","003N8EMH8GTFRIVOG7KG9IQXA","GSON1112070250")</f>
        <v>#NAME?</v>
      </c>
      <c r="N1348" s="23" t="e">
        <f ca="1">[1]!BexGetData("DP_1","003N8EMH8GTFRIVOG7KG9IX8U","GSON1112070250")</f>
        <v>#NAME?</v>
      </c>
      <c r="O1348" s="28" t="e">
        <f ca="1">[1]!BexGetData("DP_1","003N8EMH8GTFRIVOG7KG9J3KE","GSON1112070250")</f>
        <v>#NAME?</v>
      </c>
      <c r="P1348" s="23" t="e">
        <f ca="1">[1]!BexGetData("DP_1","003N8EMH8GTFRIVOG7KG9J9VY","GSON1112070250")</f>
        <v>#NAME?</v>
      </c>
      <c r="Q1348" s="23" t="e">
        <f ca="1">[1]!BexGetData("DP_1","00O2TNJGODT0G5Z4TTKYMM5MT","GSON1112070250")</f>
        <v>#NAME?</v>
      </c>
      <c r="R1348" s="23" t="e">
        <f ca="1">[1]!BexGetData("DP_1","00O2TNJGODT0G5Z4TTKYMMBYD","GSON1112070250")</f>
        <v>#NAME?</v>
      </c>
      <c r="S1348" s="23" t="e">
        <f ca="1">[1]!BexGetData("DP_1","00O2TNJGODT0G5Z4TTKYMMI9X","GSON1112070250")</f>
        <v>#NAME?</v>
      </c>
      <c r="T1348" s="28" t="e">
        <f ca="1">[1]!BexGetData("DP_1","00O2TNJGODT0G5Z4TTKYMMOLH","GSON1112070250")</f>
        <v>#NAME?</v>
      </c>
      <c r="U1348" s="23" t="e">
        <f ca="1">[1]!BexGetData("DP_1","00O2TNJGODT0G5Z4TTKYMMUX1","GSON1112070250")</f>
        <v>#NAME?</v>
      </c>
      <c r="V1348" s="28" t="e">
        <f ca="1">[1]!BexGetData("DP_1","00O2TNJGODT0G5Z4TTKYMN18L","GSON1112070250")</f>
        <v>#NAME?</v>
      </c>
      <c r="W1348" s="23" t="e">
        <f ca="1">[1]!BexGetData("DP_1","00O2TNJGODT0G5Z4TTKYMN7K5","GSON1112070250")</f>
        <v>#NAME?</v>
      </c>
    </row>
    <row r="1349" spans="1:23" x14ac:dyDescent="0.2">
      <c r="A1349" s="36" t="s">
        <v>1688</v>
      </c>
      <c r="B1349" s="27" t="s">
        <v>1689</v>
      </c>
      <c r="C1349" s="24" t="e">
        <f ca="1">[1]!BexGetData("DP_1","003N8EMH8GTFRCSWKMPXRR8GU","GSON1112070251")</f>
        <v>#NAME?</v>
      </c>
      <c r="D1349" s="24" t="e">
        <f ca="1">[1]!BexGetData("DP_1","003N8EMH8GTFRCSWKMPXRRESE","GSON1112070251")</f>
        <v>#NAME?</v>
      </c>
      <c r="E1349" s="24" t="e">
        <f ca="1">[1]!BexGetData("DP_1","003N8EMH8GTFRCSWKMPXRRL3Y","GSON1112070251")</f>
        <v>#NAME?</v>
      </c>
      <c r="F1349" s="28" t="e">
        <f ca="1">[1]!BexGetData("DP_1","003N8EMH8GTFRCSWKMPXRRRFI","GSON1112070251")</f>
        <v>#NAME?</v>
      </c>
      <c r="G1349" s="23" t="e">
        <f ca="1">[1]!BexGetData("DP_1","003N8EMH8GTFRCSWKMPXRRXR2","GSON1112070251")</f>
        <v>#NAME?</v>
      </c>
      <c r="H1349" s="23" t="e">
        <f ca="1">[1]!BexGetData("DP_1","003N8EMH8GTFRCSWKMPXRS42M","GSON1112070251")</f>
        <v>#NAME?</v>
      </c>
      <c r="I1349" s="28" t="e">
        <f ca="1">[1]!BexGetData("DP_1","003N8EMH8GTFRCSWKMPXRSAE6","GSON1112070251")</f>
        <v>#NAME?</v>
      </c>
      <c r="J1349" s="24" t="e">
        <f ca="1">[1]!BexGetData("DP_1","003N8EMH8GTFRCSWKMPXRSGPQ","GSON1112070251")</f>
        <v>#NAME?</v>
      </c>
      <c r="K1349" s="28" t="e">
        <f ca="1">[1]!BexGetData("DP_1","003N8EMH8GTFRIVNUPY288VJH","GSON1112070251")</f>
        <v>#NAME?</v>
      </c>
      <c r="L1349" s="28" t="e">
        <f ca="1">[1]!BexGetData("DP_1","003N8EMH8GTFRIVNUPY2891V1","GSON1112070251")</f>
        <v>#NAME?</v>
      </c>
      <c r="M1349" s="28" t="e">
        <f ca="1">[1]!BexGetData("DP_1","003N8EMH8GTFRIVOG7KG9IQXA","GSON1112070251")</f>
        <v>#NAME?</v>
      </c>
      <c r="N1349" s="28" t="e">
        <f ca="1">[1]!BexGetData("DP_1","003N8EMH8GTFRIVOG7KG9IX8U","GSON1112070251")</f>
        <v>#NAME?</v>
      </c>
      <c r="O1349" s="28" t="e">
        <f ca="1">[1]!BexGetData("DP_1","003N8EMH8GTFRIVOG7KG9J3KE","GSON1112070251")</f>
        <v>#NAME?</v>
      </c>
      <c r="P1349" s="28" t="e">
        <f ca="1">[1]!BexGetData("DP_1","003N8EMH8GTFRIVOG7KG9J9VY","GSON1112070251")</f>
        <v>#NAME?</v>
      </c>
      <c r="Q1349" s="24" t="e">
        <f ca="1">[1]!BexGetData("DP_1","00O2TNJGODT0G5Z4TTKYMM5MT","GSON1112070251")</f>
        <v>#NAME?</v>
      </c>
      <c r="R1349" s="28" t="e">
        <f ca="1">[1]!BexGetData("DP_1","00O2TNJGODT0G5Z4TTKYMMBYD","GSON1112070251")</f>
        <v>#NAME?</v>
      </c>
      <c r="S1349" s="28" t="e">
        <f ca="1">[1]!BexGetData("DP_1","00O2TNJGODT0G5Z4TTKYMMI9X","GSON1112070251")</f>
        <v>#NAME?</v>
      </c>
      <c r="T1349" s="28" t="e">
        <f ca="1">[1]!BexGetData("DP_1","00O2TNJGODT0G5Z4TTKYMMOLH","GSON1112070251")</f>
        <v>#NAME?</v>
      </c>
      <c r="U1349" s="28" t="e">
        <f ca="1">[1]!BexGetData("DP_1","00O2TNJGODT0G5Z4TTKYMMUX1","GSON1112070251")</f>
        <v>#NAME?</v>
      </c>
      <c r="V1349" s="28" t="e">
        <f ca="1">[1]!BexGetData("DP_1","00O2TNJGODT0G5Z4TTKYMN18L","GSON1112070251")</f>
        <v>#NAME?</v>
      </c>
      <c r="W1349" s="28" t="e">
        <f ca="1">[1]!BexGetData("DP_1","00O2TNJGODT0G5Z4TTKYMN7K5","GSON1112070251")</f>
        <v>#NAME?</v>
      </c>
    </row>
    <row r="1350" spans="1:23" x14ac:dyDescent="0.2">
      <c r="A1350" s="36" t="s">
        <v>1690</v>
      </c>
      <c r="B1350" s="27" t="s">
        <v>1691</v>
      </c>
      <c r="C1350" s="24" t="e">
        <f ca="1">[1]!BexGetData("DP_1","003N8EMH8GTFRCSWKMPXRR8GU","GSON1112070253")</f>
        <v>#NAME?</v>
      </c>
      <c r="D1350" s="24" t="e">
        <f ca="1">[1]!BexGetData("DP_1","003N8EMH8GTFRCSWKMPXRRESE","GSON1112070253")</f>
        <v>#NAME?</v>
      </c>
      <c r="E1350" s="24" t="e">
        <f ca="1">[1]!BexGetData("DP_1","003N8EMH8GTFRCSWKMPXRRL3Y","GSON1112070253")</f>
        <v>#NAME?</v>
      </c>
      <c r="F1350" s="28" t="e">
        <f ca="1">[1]!BexGetData("DP_1","003N8EMH8GTFRCSWKMPXRRRFI","GSON1112070253")</f>
        <v>#NAME?</v>
      </c>
      <c r="G1350" s="23" t="e">
        <f ca="1">[1]!BexGetData("DP_1","003N8EMH8GTFRCSWKMPXRRXR2","GSON1112070253")</f>
        <v>#NAME?</v>
      </c>
      <c r="H1350" s="23" t="e">
        <f ca="1">[1]!BexGetData("DP_1","003N8EMH8GTFRCSWKMPXRS42M","GSON1112070253")</f>
        <v>#NAME?</v>
      </c>
      <c r="I1350" s="28" t="e">
        <f ca="1">[1]!BexGetData("DP_1","003N8EMH8GTFRCSWKMPXRSAE6","GSON1112070253")</f>
        <v>#NAME?</v>
      </c>
      <c r="J1350" s="24" t="e">
        <f ca="1">[1]!BexGetData("DP_1","003N8EMH8GTFRCSWKMPXRSGPQ","GSON1112070253")</f>
        <v>#NAME?</v>
      </c>
      <c r="K1350" s="28" t="e">
        <f ca="1">[1]!BexGetData("DP_1","003N8EMH8GTFRIVNUPY288VJH","GSON1112070253")</f>
        <v>#NAME?</v>
      </c>
      <c r="L1350" s="28" t="e">
        <f ca="1">[1]!BexGetData("DP_1","003N8EMH8GTFRIVNUPY2891V1","GSON1112070253")</f>
        <v>#NAME?</v>
      </c>
      <c r="M1350" s="28" t="e">
        <f ca="1">[1]!BexGetData("DP_1","003N8EMH8GTFRIVOG7KG9IQXA","GSON1112070253")</f>
        <v>#NAME?</v>
      </c>
      <c r="N1350" s="28" t="e">
        <f ca="1">[1]!BexGetData("DP_1","003N8EMH8GTFRIVOG7KG9IX8U","GSON1112070253")</f>
        <v>#NAME?</v>
      </c>
      <c r="O1350" s="28" t="e">
        <f ca="1">[1]!BexGetData("DP_1","003N8EMH8GTFRIVOG7KG9J3KE","GSON1112070253")</f>
        <v>#NAME?</v>
      </c>
      <c r="P1350" s="28" t="e">
        <f ca="1">[1]!BexGetData("DP_1","003N8EMH8GTFRIVOG7KG9J9VY","GSON1112070253")</f>
        <v>#NAME?</v>
      </c>
      <c r="Q1350" s="24" t="e">
        <f ca="1">[1]!BexGetData("DP_1","00O2TNJGODT0G5Z4TTKYMM5MT","GSON1112070253")</f>
        <v>#NAME?</v>
      </c>
      <c r="R1350" s="28" t="e">
        <f ca="1">[1]!BexGetData("DP_1","00O2TNJGODT0G5Z4TTKYMMBYD","GSON1112070253")</f>
        <v>#NAME?</v>
      </c>
      <c r="S1350" s="28" t="e">
        <f ca="1">[1]!BexGetData("DP_1","00O2TNJGODT0G5Z4TTKYMMI9X","GSON1112070253")</f>
        <v>#NAME?</v>
      </c>
      <c r="T1350" s="28" t="e">
        <f ca="1">[1]!BexGetData("DP_1","00O2TNJGODT0G5Z4TTKYMMOLH","GSON1112070253")</f>
        <v>#NAME?</v>
      </c>
      <c r="U1350" s="28" t="e">
        <f ca="1">[1]!BexGetData("DP_1","00O2TNJGODT0G5Z4TTKYMMUX1","GSON1112070253")</f>
        <v>#NAME?</v>
      </c>
      <c r="V1350" s="28" t="e">
        <f ca="1">[1]!BexGetData("DP_1","00O2TNJGODT0G5Z4TTKYMN18L","GSON1112070253")</f>
        <v>#NAME?</v>
      </c>
      <c r="W1350" s="28" t="e">
        <f ca="1">[1]!BexGetData("DP_1","00O2TNJGODT0G5Z4TTKYMN7K5","GSON1112070253")</f>
        <v>#NAME?</v>
      </c>
    </row>
    <row r="1351" spans="1:23" x14ac:dyDescent="0.2">
      <c r="A1351" s="36" t="s">
        <v>3954</v>
      </c>
      <c r="B1351" s="27" t="s">
        <v>3955</v>
      </c>
      <c r="C1351" s="24" t="e">
        <f ca="1">[1]!BexGetData("DP_1","003N8EMH8GTFRCSWKMPXRR8GU","GSON1112070254")</f>
        <v>#NAME?</v>
      </c>
      <c r="D1351" s="24" t="e">
        <f ca="1">[1]!BexGetData("DP_1","003N8EMH8GTFRCSWKMPXRRESE","GSON1112070254")</f>
        <v>#NAME?</v>
      </c>
      <c r="E1351" s="24" t="e">
        <f ca="1">[1]!BexGetData("DP_1","003N8EMH8GTFRCSWKMPXRRL3Y","GSON1112070254")</f>
        <v>#NAME?</v>
      </c>
      <c r="F1351" s="28" t="e">
        <f ca="1">[1]!BexGetData("DP_1","003N8EMH8GTFRCSWKMPXRRRFI","GSON1112070254")</f>
        <v>#NAME?</v>
      </c>
      <c r="G1351" s="23" t="e">
        <f ca="1">[1]!BexGetData("DP_1","003N8EMH8GTFRCSWKMPXRRXR2","GSON1112070254")</f>
        <v>#NAME?</v>
      </c>
      <c r="H1351" s="23" t="e">
        <f ca="1">[1]!BexGetData("DP_1","003N8EMH8GTFRCSWKMPXRS42M","GSON1112070254")</f>
        <v>#NAME?</v>
      </c>
      <c r="I1351" s="28" t="e">
        <f ca="1">[1]!BexGetData("DP_1","003N8EMH8GTFRCSWKMPXRSAE6","GSON1112070254")</f>
        <v>#NAME?</v>
      </c>
      <c r="J1351" s="24" t="e">
        <f ca="1">[1]!BexGetData("DP_1","003N8EMH8GTFRCSWKMPXRSGPQ","GSON1112070254")</f>
        <v>#NAME?</v>
      </c>
      <c r="K1351" s="28" t="e">
        <f ca="1">[1]!BexGetData("DP_1","003N8EMH8GTFRIVNUPY288VJH","GSON1112070254")</f>
        <v>#NAME?</v>
      </c>
      <c r="L1351" s="28" t="e">
        <f ca="1">[1]!BexGetData("DP_1","003N8EMH8GTFRIVNUPY2891V1","GSON1112070254")</f>
        <v>#NAME?</v>
      </c>
      <c r="M1351" s="28" t="e">
        <f ca="1">[1]!BexGetData("DP_1","003N8EMH8GTFRIVOG7KG9IQXA","GSON1112070254")</f>
        <v>#NAME?</v>
      </c>
      <c r="N1351" s="28" t="e">
        <f ca="1">[1]!BexGetData("DP_1","003N8EMH8GTFRIVOG7KG9IX8U","GSON1112070254")</f>
        <v>#NAME?</v>
      </c>
      <c r="O1351" s="28" t="e">
        <f ca="1">[1]!BexGetData("DP_1","003N8EMH8GTFRIVOG7KG9J3KE","GSON1112070254")</f>
        <v>#NAME?</v>
      </c>
      <c r="P1351" s="28" t="e">
        <f ca="1">[1]!BexGetData("DP_1","003N8EMH8GTFRIVOG7KG9J9VY","GSON1112070254")</f>
        <v>#NAME?</v>
      </c>
      <c r="Q1351" s="24" t="e">
        <f ca="1">[1]!BexGetData("DP_1","00O2TNJGODT0G5Z4TTKYMM5MT","GSON1112070254")</f>
        <v>#NAME?</v>
      </c>
      <c r="R1351" s="28" t="e">
        <f ca="1">[1]!BexGetData("DP_1","00O2TNJGODT0G5Z4TTKYMMBYD","GSON1112070254")</f>
        <v>#NAME?</v>
      </c>
      <c r="S1351" s="28" t="e">
        <f ca="1">[1]!BexGetData("DP_1","00O2TNJGODT0G5Z4TTKYMMI9X","GSON1112070254")</f>
        <v>#NAME?</v>
      </c>
      <c r="T1351" s="28" t="e">
        <f ca="1">[1]!BexGetData("DP_1","00O2TNJGODT0G5Z4TTKYMMOLH","GSON1112070254")</f>
        <v>#NAME?</v>
      </c>
      <c r="U1351" s="28" t="e">
        <f ca="1">[1]!BexGetData("DP_1","00O2TNJGODT0G5Z4TTKYMMUX1","GSON1112070254")</f>
        <v>#NAME?</v>
      </c>
      <c r="V1351" s="28" t="e">
        <f ca="1">[1]!BexGetData("DP_1","00O2TNJGODT0G5Z4TTKYMN18L","GSON1112070254")</f>
        <v>#NAME?</v>
      </c>
      <c r="W1351" s="28" t="e">
        <f ca="1">[1]!BexGetData("DP_1","00O2TNJGODT0G5Z4TTKYMN7K5","GSON1112070254")</f>
        <v>#NAME?</v>
      </c>
    </row>
    <row r="1352" spans="1:23" x14ac:dyDescent="0.2">
      <c r="A1352" s="36" t="s">
        <v>1070</v>
      </c>
      <c r="B1352" s="27" t="s">
        <v>1071</v>
      </c>
      <c r="C1352" s="23" t="e">
        <f ca="1">[1]!BexGetData("DP_1","003N8EMH8GTFRCSWKMPXRR8GU","GSON1112070255")</f>
        <v>#NAME?</v>
      </c>
      <c r="D1352" s="23" t="e">
        <f ca="1">[1]!BexGetData("DP_1","003N8EMH8GTFRCSWKMPXRRESE","GSON1112070255")</f>
        <v>#NAME?</v>
      </c>
      <c r="E1352" s="28" t="e">
        <f ca="1">[1]!BexGetData("DP_1","003N8EMH8GTFRCSWKMPXRRL3Y","GSON1112070255")</f>
        <v>#NAME?</v>
      </c>
      <c r="F1352" s="28" t="e">
        <f ca="1">[1]!BexGetData("DP_1","003N8EMH8GTFRCSWKMPXRRRFI","GSON1112070255")</f>
        <v>#NAME?</v>
      </c>
      <c r="G1352" s="23" t="e">
        <f ca="1">[1]!BexGetData("DP_1","003N8EMH8GTFRCSWKMPXRRXR2","GSON1112070255")</f>
        <v>#NAME?</v>
      </c>
      <c r="H1352" s="23" t="e">
        <f ca="1">[1]!BexGetData("DP_1","003N8EMH8GTFRCSWKMPXRS42M","GSON1112070255")</f>
        <v>#NAME?</v>
      </c>
      <c r="I1352" s="28" t="e">
        <f ca="1">[1]!BexGetData("DP_1","003N8EMH8GTFRCSWKMPXRSAE6","GSON1112070255")</f>
        <v>#NAME?</v>
      </c>
      <c r="J1352" s="24" t="e">
        <f ca="1">[1]!BexGetData("DP_1","003N8EMH8GTFRCSWKMPXRSGPQ","GSON1112070255")</f>
        <v>#NAME?</v>
      </c>
      <c r="K1352" s="28" t="e">
        <f ca="1">[1]!BexGetData("DP_1","003N8EMH8GTFRIVNUPY288VJH","GSON1112070255")</f>
        <v>#NAME?</v>
      </c>
      <c r="L1352" s="28" t="e">
        <f ca="1">[1]!BexGetData("DP_1","003N8EMH8GTFRIVNUPY2891V1","GSON1112070255")</f>
        <v>#NAME?</v>
      </c>
      <c r="M1352" s="28" t="e">
        <f ca="1">[1]!BexGetData("DP_1","003N8EMH8GTFRIVOG7KG9IQXA","GSON1112070255")</f>
        <v>#NAME?</v>
      </c>
      <c r="N1352" s="28" t="e">
        <f ca="1">[1]!BexGetData("DP_1","003N8EMH8GTFRIVOG7KG9IX8U","GSON1112070255")</f>
        <v>#NAME?</v>
      </c>
      <c r="O1352" s="28" t="e">
        <f ca="1">[1]!BexGetData("DP_1","003N8EMH8GTFRIVOG7KG9J3KE","GSON1112070255")</f>
        <v>#NAME?</v>
      </c>
      <c r="P1352" s="28" t="e">
        <f ca="1">[1]!BexGetData("DP_1","003N8EMH8GTFRIVOG7KG9J9VY","GSON1112070255")</f>
        <v>#NAME?</v>
      </c>
      <c r="Q1352" s="24" t="e">
        <f ca="1">[1]!BexGetData("DP_1","00O2TNJGODT0G5Z4TTKYMM5MT","GSON1112070255")</f>
        <v>#NAME?</v>
      </c>
      <c r="R1352" s="28" t="e">
        <f ca="1">[1]!BexGetData("DP_1","00O2TNJGODT0G5Z4TTKYMMBYD","GSON1112070255")</f>
        <v>#NAME?</v>
      </c>
      <c r="S1352" s="28" t="e">
        <f ca="1">[1]!BexGetData("DP_1","00O2TNJGODT0G5Z4TTKYMMI9X","GSON1112070255")</f>
        <v>#NAME?</v>
      </c>
      <c r="T1352" s="28" t="e">
        <f ca="1">[1]!BexGetData("DP_1","00O2TNJGODT0G5Z4TTKYMMOLH","GSON1112070255")</f>
        <v>#NAME?</v>
      </c>
      <c r="U1352" s="28" t="e">
        <f ca="1">[1]!BexGetData("DP_1","00O2TNJGODT0G5Z4TTKYMMUX1","GSON1112070255")</f>
        <v>#NAME?</v>
      </c>
      <c r="V1352" s="28" t="e">
        <f ca="1">[1]!BexGetData("DP_1","00O2TNJGODT0G5Z4TTKYMN18L","GSON1112070255")</f>
        <v>#NAME?</v>
      </c>
      <c r="W1352" s="28" t="e">
        <f ca="1">[1]!BexGetData("DP_1","00O2TNJGODT0G5Z4TTKYMN7K5","GSON1112070255")</f>
        <v>#NAME?</v>
      </c>
    </row>
    <row r="1353" spans="1:23" x14ac:dyDescent="0.2">
      <c r="A1353" s="36" t="s">
        <v>1072</v>
      </c>
      <c r="B1353" s="27" t="s">
        <v>1073</v>
      </c>
      <c r="C1353" s="23" t="e">
        <f ca="1">[1]!BexGetData("DP_1","003N8EMH8GTFRCSWKMPXRR8GU","GSON1112070260")</f>
        <v>#NAME?</v>
      </c>
      <c r="D1353" s="23" t="e">
        <f ca="1">[1]!BexGetData("DP_1","003N8EMH8GTFRCSWKMPXRRESE","GSON1112070260")</f>
        <v>#NAME?</v>
      </c>
      <c r="E1353" s="28" t="e">
        <f ca="1">[1]!BexGetData("DP_1","003N8EMH8GTFRCSWKMPXRRL3Y","GSON1112070260")</f>
        <v>#NAME?</v>
      </c>
      <c r="F1353" s="23" t="e">
        <f ca="1">[1]!BexGetData("DP_1","003N8EMH8GTFRCSWKMPXRRRFI","GSON1112070260")</f>
        <v>#NAME?</v>
      </c>
      <c r="G1353" s="23" t="e">
        <f ca="1">[1]!BexGetData("DP_1","003N8EMH8GTFRCSWKMPXRRXR2","GSON1112070260")</f>
        <v>#NAME?</v>
      </c>
      <c r="H1353" s="23" t="e">
        <f ca="1">[1]!BexGetData("DP_1","003N8EMH8GTFRCSWKMPXRS42M","GSON1112070260")</f>
        <v>#NAME?</v>
      </c>
      <c r="I1353" s="23" t="e">
        <f ca="1">[1]!BexGetData("DP_1","003N8EMH8GTFRCSWKMPXRSAE6","GSON1112070260")</f>
        <v>#NAME?</v>
      </c>
      <c r="J1353" s="23" t="e">
        <f ca="1">[1]!BexGetData("DP_1","003N8EMH8GTFRCSWKMPXRSGPQ","GSON1112070260")</f>
        <v>#NAME?</v>
      </c>
      <c r="K1353" s="23" t="e">
        <f ca="1">[1]!BexGetData("DP_1","003N8EMH8GTFRIVNUPY288VJH","GSON1112070260")</f>
        <v>#NAME?</v>
      </c>
      <c r="L1353" s="23" t="e">
        <f ca="1">[1]!BexGetData("DP_1","003N8EMH8GTFRIVNUPY2891V1","GSON1112070260")</f>
        <v>#NAME?</v>
      </c>
      <c r="M1353" s="23" t="e">
        <f ca="1">[1]!BexGetData("DP_1","003N8EMH8GTFRIVOG7KG9IQXA","GSON1112070260")</f>
        <v>#NAME?</v>
      </c>
      <c r="N1353" s="28" t="e">
        <f ca="1">[1]!BexGetData("DP_1","003N8EMH8GTFRIVOG7KG9IX8U","GSON1112070260")</f>
        <v>#NAME?</v>
      </c>
      <c r="O1353" s="23" t="e">
        <f ca="1">[1]!BexGetData("DP_1","003N8EMH8GTFRIVOG7KG9J3KE","GSON1112070260")</f>
        <v>#NAME?</v>
      </c>
      <c r="P1353" s="28" t="e">
        <f ca="1">[1]!BexGetData("DP_1","003N8EMH8GTFRIVOG7KG9J9VY","GSON1112070260")</f>
        <v>#NAME?</v>
      </c>
      <c r="Q1353" s="23" t="e">
        <f ca="1">[1]!BexGetData("DP_1","00O2TNJGODT0G5Z4TTKYMM5MT","GSON1112070260")</f>
        <v>#NAME?</v>
      </c>
      <c r="R1353" s="23" t="e">
        <f ca="1">[1]!BexGetData("DP_1","00O2TNJGODT0G5Z4TTKYMMBYD","GSON1112070260")</f>
        <v>#NAME?</v>
      </c>
      <c r="S1353" s="23" t="e">
        <f ca="1">[1]!BexGetData("DP_1","00O2TNJGODT0G5Z4TTKYMMI9X","GSON1112070260")</f>
        <v>#NAME?</v>
      </c>
      <c r="T1353" s="23" t="e">
        <f ca="1">[1]!BexGetData("DP_1","00O2TNJGODT0G5Z4TTKYMMOLH","GSON1112070260")</f>
        <v>#NAME?</v>
      </c>
      <c r="U1353" s="28" t="e">
        <f ca="1">[1]!BexGetData("DP_1","00O2TNJGODT0G5Z4TTKYMMUX1","GSON1112070260")</f>
        <v>#NAME?</v>
      </c>
      <c r="V1353" s="23" t="e">
        <f ca="1">[1]!BexGetData("DP_1","00O2TNJGODT0G5Z4TTKYMN18L","GSON1112070260")</f>
        <v>#NAME?</v>
      </c>
      <c r="W1353" s="28" t="e">
        <f ca="1">[1]!BexGetData("DP_1","00O2TNJGODT0G5Z4TTKYMN7K5","GSON1112070260")</f>
        <v>#NAME?</v>
      </c>
    </row>
    <row r="1354" spans="1:23" x14ac:dyDescent="0.2">
      <c r="A1354" s="36" t="s">
        <v>3956</v>
      </c>
      <c r="B1354" s="27" t="s">
        <v>3957</v>
      </c>
      <c r="C1354" s="24" t="e">
        <f ca="1">[1]!BexGetData("DP_1","003N8EMH8GTFRCSWKMPXRR8GU","GSON1112070261")</f>
        <v>#NAME?</v>
      </c>
      <c r="D1354" s="24" t="e">
        <f ca="1">[1]!BexGetData("DP_1","003N8EMH8GTFRCSWKMPXRRESE","GSON1112070261")</f>
        <v>#NAME?</v>
      </c>
      <c r="E1354" s="24" t="e">
        <f ca="1">[1]!BexGetData("DP_1","003N8EMH8GTFRCSWKMPXRRL3Y","GSON1112070261")</f>
        <v>#NAME?</v>
      </c>
      <c r="F1354" s="28" t="e">
        <f ca="1">[1]!BexGetData("DP_1","003N8EMH8GTFRCSWKMPXRRRFI","GSON1112070261")</f>
        <v>#NAME?</v>
      </c>
      <c r="G1354" s="23" t="e">
        <f ca="1">[1]!BexGetData("DP_1","003N8EMH8GTFRCSWKMPXRRXR2","GSON1112070261")</f>
        <v>#NAME?</v>
      </c>
      <c r="H1354" s="23" t="e">
        <f ca="1">[1]!BexGetData("DP_1","003N8EMH8GTFRCSWKMPXRS42M","GSON1112070261")</f>
        <v>#NAME?</v>
      </c>
      <c r="I1354" s="28" t="e">
        <f ca="1">[1]!BexGetData("DP_1","003N8EMH8GTFRCSWKMPXRSAE6","GSON1112070261")</f>
        <v>#NAME?</v>
      </c>
      <c r="J1354" s="24" t="e">
        <f ca="1">[1]!BexGetData("DP_1","003N8EMH8GTFRCSWKMPXRSGPQ","GSON1112070261")</f>
        <v>#NAME?</v>
      </c>
      <c r="K1354" s="28" t="e">
        <f ca="1">[1]!BexGetData("DP_1","003N8EMH8GTFRIVNUPY288VJH","GSON1112070261")</f>
        <v>#NAME?</v>
      </c>
      <c r="L1354" s="28" t="e">
        <f ca="1">[1]!BexGetData("DP_1","003N8EMH8GTFRIVNUPY2891V1","GSON1112070261")</f>
        <v>#NAME?</v>
      </c>
      <c r="M1354" s="28" t="e">
        <f ca="1">[1]!BexGetData("DP_1","003N8EMH8GTFRIVOG7KG9IQXA","GSON1112070261")</f>
        <v>#NAME?</v>
      </c>
      <c r="N1354" s="28" t="e">
        <f ca="1">[1]!BexGetData("DP_1","003N8EMH8GTFRIVOG7KG9IX8U","GSON1112070261")</f>
        <v>#NAME?</v>
      </c>
      <c r="O1354" s="28" t="e">
        <f ca="1">[1]!BexGetData("DP_1","003N8EMH8GTFRIVOG7KG9J3KE","GSON1112070261")</f>
        <v>#NAME?</v>
      </c>
      <c r="P1354" s="28" t="e">
        <f ca="1">[1]!BexGetData("DP_1","003N8EMH8GTFRIVOG7KG9J9VY","GSON1112070261")</f>
        <v>#NAME?</v>
      </c>
      <c r="Q1354" s="24" t="e">
        <f ca="1">[1]!BexGetData("DP_1","00O2TNJGODT0G5Z4TTKYMM5MT","GSON1112070261")</f>
        <v>#NAME?</v>
      </c>
      <c r="R1354" s="28" t="e">
        <f ca="1">[1]!BexGetData("DP_1","00O2TNJGODT0G5Z4TTKYMMBYD","GSON1112070261")</f>
        <v>#NAME?</v>
      </c>
      <c r="S1354" s="28" t="e">
        <f ca="1">[1]!BexGetData("DP_1","00O2TNJGODT0G5Z4TTKYMMI9X","GSON1112070261")</f>
        <v>#NAME?</v>
      </c>
      <c r="T1354" s="28" t="e">
        <f ca="1">[1]!BexGetData("DP_1","00O2TNJGODT0G5Z4TTKYMMOLH","GSON1112070261")</f>
        <v>#NAME?</v>
      </c>
      <c r="U1354" s="28" t="e">
        <f ca="1">[1]!BexGetData("DP_1","00O2TNJGODT0G5Z4TTKYMMUX1","GSON1112070261")</f>
        <v>#NAME?</v>
      </c>
      <c r="V1354" s="28" t="e">
        <f ca="1">[1]!BexGetData("DP_1","00O2TNJGODT0G5Z4TTKYMN18L","GSON1112070261")</f>
        <v>#NAME?</v>
      </c>
      <c r="W1354" s="28" t="e">
        <f ca="1">[1]!BexGetData("DP_1","00O2TNJGODT0G5Z4TTKYMN7K5","GSON1112070261")</f>
        <v>#NAME?</v>
      </c>
    </row>
    <row r="1355" spans="1:23" x14ac:dyDescent="0.2">
      <c r="A1355" s="36" t="s">
        <v>3958</v>
      </c>
      <c r="B1355" s="27" t="s">
        <v>3959</v>
      </c>
      <c r="C1355" s="24" t="e">
        <f ca="1">[1]!BexGetData("DP_1","003N8EMH8GTFRCSWKMPXRR8GU","GSON1112070262")</f>
        <v>#NAME?</v>
      </c>
      <c r="D1355" s="24" t="e">
        <f ca="1">[1]!BexGetData("DP_1","003N8EMH8GTFRCSWKMPXRRESE","GSON1112070262")</f>
        <v>#NAME?</v>
      </c>
      <c r="E1355" s="24" t="e">
        <f ca="1">[1]!BexGetData("DP_1","003N8EMH8GTFRCSWKMPXRRL3Y","GSON1112070262")</f>
        <v>#NAME?</v>
      </c>
      <c r="F1355" s="28" t="e">
        <f ca="1">[1]!BexGetData("DP_1","003N8EMH8GTFRCSWKMPXRRRFI","GSON1112070262")</f>
        <v>#NAME?</v>
      </c>
      <c r="G1355" s="23" t="e">
        <f ca="1">[1]!BexGetData("DP_1","003N8EMH8GTFRCSWKMPXRRXR2","GSON1112070262")</f>
        <v>#NAME?</v>
      </c>
      <c r="H1355" s="23" t="e">
        <f ca="1">[1]!BexGetData("DP_1","003N8EMH8GTFRCSWKMPXRS42M","GSON1112070262")</f>
        <v>#NAME?</v>
      </c>
      <c r="I1355" s="28" t="e">
        <f ca="1">[1]!BexGetData("DP_1","003N8EMH8GTFRCSWKMPXRSAE6","GSON1112070262")</f>
        <v>#NAME?</v>
      </c>
      <c r="J1355" s="23" t="e">
        <f ca="1">[1]!BexGetData("DP_1","003N8EMH8GTFRCSWKMPXRSGPQ","GSON1112070262")</f>
        <v>#NAME?</v>
      </c>
      <c r="K1355" s="28" t="e">
        <f ca="1">[1]!BexGetData("DP_1","003N8EMH8GTFRIVNUPY288VJH","GSON1112070262")</f>
        <v>#NAME?</v>
      </c>
      <c r="L1355" s="28" t="e">
        <f ca="1">[1]!BexGetData("DP_1","003N8EMH8GTFRIVNUPY2891V1","GSON1112070262")</f>
        <v>#NAME?</v>
      </c>
      <c r="M1355" s="28" t="e">
        <f ca="1">[1]!BexGetData("DP_1","003N8EMH8GTFRIVOG7KG9IQXA","GSON1112070262")</f>
        <v>#NAME?</v>
      </c>
      <c r="N1355" s="28" t="e">
        <f ca="1">[1]!BexGetData("DP_1","003N8EMH8GTFRIVOG7KG9IX8U","GSON1112070262")</f>
        <v>#NAME?</v>
      </c>
      <c r="O1355" s="28" t="e">
        <f ca="1">[1]!BexGetData("DP_1","003N8EMH8GTFRIVOG7KG9J3KE","GSON1112070262")</f>
        <v>#NAME?</v>
      </c>
      <c r="P1355" s="28" t="e">
        <f ca="1">[1]!BexGetData("DP_1","003N8EMH8GTFRIVOG7KG9J9VY","GSON1112070262")</f>
        <v>#NAME?</v>
      </c>
      <c r="Q1355" s="23" t="e">
        <f ca="1">[1]!BexGetData("DP_1","00O2TNJGODT0G5Z4TTKYMM5MT","GSON1112070262")</f>
        <v>#NAME?</v>
      </c>
      <c r="R1355" s="23" t="e">
        <f ca="1">[1]!BexGetData("DP_1","00O2TNJGODT0G5Z4TTKYMMBYD","GSON1112070262")</f>
        <v>#NAME?</v>
      </c>
      <c r="S1355" s="23" t="e">
        <f ca="1">[1]!BexGetData("DP_1","00O2TNJGODT0G5Z4TTKYMMI9X","GSON1112070262")</f>
        <v>#NAME?</v>
      </c>
      <c r="T1355" s="28" t="e">
        <f ca="1">[1]!BexGetData("DP_1","00O2TNJGODT0G5Z4TTKYMMOLH","GSON1112070262")</f>
        <v>#NAME?</v>
      </c>
      <c r="U1355" s="23" t="e">
        <f ca="1">[1]!BexGetData("DP_1","00O2TNJGODT0G5Z4TTKYMMUX1","GSON1112070262")</f>
        <v>#NAME?</v>
      </c>
      <c r="V1355" s="28" t="e">
        <f ca="1">[1]!BexGetData("DP_1","00O2TNJGODT0G5Z4TTKYMN18L","GSON1112070262")</f>
        <v>#NAME?</v>
      </c>
      <c r="W1355" s="23" t="e">
        <f ca="1">[1]!BexGetData("DP_1","00O2TNJGODT0G5Z4TTKYMN7K5","GSON1112070262")</f>
        <v>#NAME?</v>
      </c>
    </row>
    <row r="1356" spans="1:23" x14ac:dyDescent="0.2">
      <c r="A1356" s="36" t="s">
        <v>3960</v>
      </c>
      <c r="B1356" s="27" t="s">
        <v>3961</v>
      </c>
      <c r="C1356" s="23" t="e">
        <f ca="1">[1]!BexGetData("DP_1","003N8EMH8GTFRCSWKMPXRR8GU","GSON1112070263")</f>
        <v>#NAME?</v>
      </c>
      <c r="D1356" s="23" t="e">
        <f ca="1">[1]!BexGetData("DP_1","003N8EMH8GTFRCSWKMPXRRESE","GSON1112070263")</f>
        <v>#NAME?</v>
      </c>
      <c r="E1356" s="28" t="e">
        <f ca="1">[1]!BexGetData("DP_1","003N8EMH8GTFRCSWKMPXRRL3Y","GSON1112070263")</f>
        <v>#NAME?</v>
      </c>
      <c r="F1356" s="28" t="e">
        <f ca="1">[1]!BexGetData("DP_1","003N8EMH8GTFRCSWKMPXRRRFI","GSON1112070263")</f>
        <v>#NAME?</v>
      </c>
      <c r="G1356" s="23" t="e">
        <f ca="1">[1]!BexGetData("DP_1","003N8EMH8GTFRCSWKMPXRRXR2","GSON1112070263")</f>
        <v>#NAME?</v>
      </c>
      <c r="H1356" s="23" t="e">
        <f ca="1">[1]!BexGetData("DP_1","003N8EMH8GTFRCSWKMPXRS42M","GSON1112070263")</f>
        <v>#NAME?</v>
      </c>
      <c r="I1356" s="28" t="e">
        <f ca="1">[1]!BexGetData("DP_1","003N8EMH8GTFRCSWKMPXRSAE6","GSON1112070263")</f>
        <v>#NAME?</v>
      </c>
      <c r="J1356" s="24" t="e">
        <f ca="1">[1]!BexGetData("DP_1","003N8EMH8GTFRCSWKMPXRSGPQ","GSON1112070263")</f>
        <v>#NAME?</v>
      </c>
      <c r="K1356" s="28" t="e">
        <f ca="1">[1]!BexGetData("DP_1","003N8EMH8GTFRIVNUPY288VJH","GSON1112070263")</f>
        <v>#NAME?</v>
      </c>
      <c r="L1356" s="28" t="e">
        <f ca="1">[1]!BexGetData("DP_1","003N8EMH8GTFRIVNUPY2891V1","GSON1112070263")</f>
        <v>#NAME?</v>
      </c>
      <c r="M1356" s="28" t="e">
        <f ca="1">[1]!BexGetData("DP_1","003N8EMH8GTFRIVOG7KG9IQXA","GSON1112070263")</f>
        <v>#NAME?</v>
      </c>
      <c r="N1356" s="28" t="e">
        <f ca="1">[1]!BexGetData("DP_1","003N8EMH8GTFRIVOG7KG9IX8U","GSON1112070263")</f>
        <v>#NAME?</v>
      </c>
      <c r="O1356" s="28" t="e">
        <f ca="1">[1]!BexGetData("DP_1","003N8EMH8GTFRIVOG7KG9J3KE","GSON1112070263")</f>
        <v>#NAME?</v>
      </c>
      <c r="P1356" s="28" t="e">
        <f ca="1">[1]!BexGetData("DP_1","003N8EMH8GTFRIVOG7KG9J9VY","GSON1112070263")</f>
        <v>#NAME?</v>
      </c>
      <c r="Q1356" s="24" t="e">
        <f ca="1">[1]!BexGetData("DP_1","00O2TNJGODT0G5Z4TTKYMM5MT","GSON1112070263")</f>
        <v>#NAME?</v>
      </c>
      <c r="R1356" s="28" t="e">
        <f ca="1">[1]!BexGetData("DP_1","00O2TNJGODT0G5Z4TTKYMMBYD","GSON1112070263")</f>
        <v>#NAME?</v>
      </c>
      <c r="S1356" s="28" t="e">
        <f ca="1">[1]!BexGetData("DP_1","00O2TNJGODT0G5Z4TTKYMMI9X","GSON1112070263")</f>
        <v>#NAME?</v>
      </c>
      <c r="T1356" s="28" t="e">
        <f ca="1">[1]!BexGetData("DP_1","00O2TNJGODT0G5Z4TTKYMMOLH","GSON1112070263")</f>
        <v>#NAME?</v>
      </c>
      <c r="U1356" s="28" t="e">
        <f ca="1">[1]!BexGetData("DP_1","00O2TNJGODT0G5Z4TTKYMMUX1","GSON1112070263")</f>
        <v>#NAME?</v>
      </c>
      <c r="V1356" s="28" t="e">
        <f ca="1">[1]!BexGetData("DP_1","00O2TNJGODT0G5Z4TTKYMN18L","GSON1112070263")</f>
        <v>#NAME?</v>
      </c>
      <c r="W1356" s="28" t="e">
        <f ca="1">[1]!BexGetData("DP_1","00O2TNJGODT0G5Z4TTKYMN7K5","GSON1112070263")</f>
        <v>#NAME?</v>
      </c>
    </row>
    <row r="1357" spans="1:23" x14ac:dyDescent="0.2">
      <c r="A1357" s="36" t="s">
        <v>3962</v>
      </c>
      <c r="B1357" s="27" t="s">
        <v>3963</v>
      </c>
      <c r="C1357" s="24" t="e">
        <f ca="1">[1]!BexGetData("DP_1","003N8EMH8GTFRCSWKMPXRR8GU","GSON1112070264")</f>
        <v>#NAME?</v>
      </c>
      <c r="D1357" s="24" t="e">
        <f ca="1">[1]!BexGetData("DP_1","003N8EMH8GTFRCSWKMPXRRESE","GSON1112070264")</f>
        <v>#NAME?</v>
      </c>
      <c r="E1357" s="24" t="e">
        <f ca="1">[1]!BexGetData("DP_1","003N8EMH8GTFRCSWKMPXRRL3Y","GSON1112070264")</f>
        <v>#NAME?</v>
      </c>
      <c r="F1357" s="28" t="e">
        <f ca="1">[1]!BexGetData("DP_1","003N8EMH8GTFRCSWKMPXRRRFI","GSON1112070264")</f>
        <v>#NAME?</v>
      </c>
      <c r="G1357" s="23" t="e">
        <f ca="1">[1]!BexGetData("DP_1","003N8EMH8GTFRCSWKMPXRRXR2","GSON1112070264")</f>
        <v>#NAME?</v>
      </c>
      <c r="H1357" s="23" t="e">
        <f ca="1">[1]!BexGetData("DP_1","003N8EMH8GTFRCSWKMPXRS42M","GSON1112070264")</f>
        <v>#NAME?</v>
      </c>
      <c r="I1357" s="28" t="e">
        <f ca="1">[1]!BexGetData("DP_1","003N8EMH8GTFRCSWKMPXRSAE6","GSON1112070264")</f>
        <v>#NAME?</v>
      </c>
      <c r="J1357" s="24" t="e">
        <f ca="1">[1]!BexGetData("DP_1","003N8EMH8GTFRCSWKMPXRSGPQ","GSON1112070264")</f>
        <v>#NAME?</v>
      </c>
      <c r="K1357" s="28" t="e">
        <f ca="1">[1]!BexGetData("DP_1","003N8EMH8GTFRIVNUPY288VJH","GSON1112070264")</f>
        <v>#NAME?</v>
      </c>
      <c r="L1357" s="28" t="e">
        <f ca="1">[1]!BexGetData("DP_1","003N8EMH8GTFRIVNUPY2891V1","GSON1112070264")</f>
        <v>#NAME?</v>
      </c>
      <c r="M1357" s="28" t="e">
        <f ca="1">[1]!BexGetData("DP_1","003N8EMH8GTFRIVOG7KG9IQXA","GSON1112070264")</f>
        <v>#NAME?</v>
      </c>
      <c r="N1357" s="28" t="e">
        <f ca="1">[1]!BexGetData("DP_1","003N8EMH8GTFRIVOG7KG9IX8U","GSON1112070264")</f>
        <v>#NAME?</v>
      </c>
      <c r="O1357" s="28" t="e">
        <f ca="1">[1]!BexGetData("DP_1","003N8EMH8GTFRIVOG7KG9J3KE","GSON1112070264")</f>
        <v>#NAME?</v>
      </c>
      <c r="P1357" s="28" t="e">
        <f ca="1">[1]!BexGetData("DP_1","003N8EMH8GTFRIVOG7KG9J9VY","GSON1112070264")</f>
        <v>#NAME?</v>
      </c>
      <c r="Q1357" s="24" t="e">
        <f ca="1">[1]!BexGetData("DP_1","00O2TNJGODT0G5Z4TTKYMM5MT","GSON1112070264")</f>
        <v>#NAME?</v>
      </c>
      <c r="R1357" s="28" t="e">
        <f ca="1">[1]!BexGetData("DP_1","00O2TNJGODT0G5Z4TTKYMMBYD","GSON1112070264")</f>
        <v>#NAME?</v>
      </c>
      <c r="S1357" s="28" t="e">
        <f ca="1">[1]!BexGetData("DP_1","00O2TNJGODT0G5Z4TTKYMMI9X","GSON1112070264")</f>
        <v>#NAME?</v>
      </c>
      <c r="T1357" s="28" t="e">
        <f ca="1">[1]!BexGetData("DP_1","00O2TNJGODT0G5Z4TTKYMMOLH","GSON1112070264")</f>
        <v>#NAME?</v>
      </c>
      <c r="U1357" s="28" t="e">
        <f ca="1">[1]!BexGetData("DP_1","00O2TNJGODT0G5Z4TTKYMMUX1","GSON1112070264")</f>
        <v>#NAME?</v>
      </c>
      <c r="V1357" s="28" t="e">
        <f ca="1">[1]!BexGetData("DP_1","00O2TNJGODT0G5Z4TTKYMN18L","GSON1112070264")</f>
        <v>#NAME?</v>
      </c>
      <c r="W1357" s="28" t="e">
        <f ca="1">[1]!BexGetData("DP_1","00O2TNJGODT0G5Z4TTKYMN7K5","GSON1112070264")</f>
        <v>#NAME?</v>
      </c>
    </row>
    <row r="1358" spans="1:23" x14ac:dyDescent="0.2">
      <c r="A1358" s="36" t="s">
        <v>1074</v>
      </c>
      <c r="B1358" s="27" t="s">
        <v>1075</v>
      </c>
      <c r="C1358" s="23" t="e">
        <f ca="1">[1]!BexGetData("DP_1","003N8EMH8GTFRCSWKMPXRR8GU","GSON1112070265")</f>
        <v>#NAME?</v>
      </c>
      <c r="D1358" s="23" t="e">
        <f ca="1">[1]!BexGetData("DP_1","003N8EMH8GTFRCSWKMPXRRESE","GSON1112070265")</f>
        <v>#NAME?</v>
      </c>
      <c r="E1358" s="28" t="e">
        <f ca="1">[1]!BexGetData("DP_1","003N8EMH8GTFRCSWKMPXRRL3Y","GSON1112070265")</f>
        <v>#NAME?</v>
      </c>
      <c r="F1358" s="28" t="e">
        <f ca="1">[1]!BexGetData("DP_1","003N8EMH8GTFRCSWKMPXRRRFI","GSON1112070265")</f>
        <v>#NAME?</v>
      </c>
      <c r="G1358" s="23" t="e">
        <f ca="1">[1]!BexGetData("DP_1","003N8EMH8GTFRCSWKMPXRRXR2","GSON1112070265")</f>
        <v>#NAME?</v>
      </c>
      <c r="H1358" s="23" t="e">
        <f ca="1">[1]!BexGetData("DP_1","003N8EMH8GTFRCSWKMPXRS42M","GSON1112070265")</f>
        <v>#NAME?</v>
      </c>
      <c r="I1358" s="28" t="e">
        <f ca="1">[1]!BexGetData("DP_1","003N8EMH8GTFRCSWKMPXRSAE6","GSON1112070265")</f>
        <v>#NAME?</v>
      </c>
      <c r="J1358" s="24" t="e">
        <f ca="1">[1]!BexGetData("DP_1","003N8EMH8GTFRCSWKMPXRSGPQ","GSON1112070265")</f>
        <v>#NAME?</v>
      </c>
      <c r="K1358" s="28" t="e">
        <f ca="1">[1]!BexGetData("DP_1","003N8EMH8GTFRIVNUPY288VJH","GSON1112070265")</f>
        <v>#NAME?</v>
      </c>
      <c r="L1358" s="28" t="e">
        <f ca="1">[1]!BexGetData("DP_1","003N8EMH8GTFRIVNUPY2891V1","GSON1112070265")</f>
        <v>#NAME?</v>
      </c>
      <c r="M1358" s="28" t="e">
        <f ca="1">[1]!BexGetData("DP_1","003N8EMH8GTFRIVOG7KG9IQXA","GSON1112070265")</f>
        <v>#NAME?</v>
      </c>
      <c r="N1358" s="28" t="e">
        <f ca="1">[1]!BexGetData("DP_1","003N8EMH8GTFRIVOG7KG9IX8U","GSON1112070265")</f>
        <v>#NAME?</v>
      </c>
      <c r="O1358" s="28" t="e">
        <f ca="1">[1]!BexGetData("DP_1","003N8EMH8GTFRIVOG7KG9J3KE","GSON1112070265")</f>
        <v>#NAME?</v>
      </c>
      <c r="P1358" s="28" t="e">
        <f ca="1">[1]!BexGetData("DP_1","003N8EMH8GTFRIVOG7KG9J9VY","GSON1112070265")</f>
        <v>#NAME?</v>
      </c>
      <c r="Q1358" s="24" t="e">
        <f ca="1">[1]!BexGetData("DP_1","00O2TNJGODT0G5Z4TTKYMM5MT","GSON1112070265")</f>
        <v>#NAME?</v>
      </c>
      <c r="R1358" s="28" t="e">
        <f ca="1">[1]!BexGetData("DP_1","00O2TNJGODT0G5Z4TTKYMMBYD","GSON1112070265")</f>
        <v>#NAME?</v>
      </c>
      <c r="S1358" s="28" t="e">
        <f ca="1">[1]!BexGetData("DP_1","00O2TNJGODT0G5Z4TTKYMMI9X","GSON1112070265")</f>
        <v>#NAME?</v>
      </c>
      <c r="T1358" s="28" t="e">
        <f ca="1">[1]!BexGetData("DP_1","00O2TNJGODT0G5Z4TTKYMMOLH","GSON1112070265")</f>
        <v>#NAME?</v>
      </c>
      <c r="U1358" s="28" t="e">
        <f ca="1">[1]!BexGetData("DP_1","00O2TNJGODT0G5Z4TTKYMMUX1","GSON1112070265")</f>
        <v>#NAME?</v>
      </c>
      <c r="V1358" s="28" t="e">
        <f ca="1">[1]!BexGetData("DP_1","00O2TNJGODT0G5Z4TTKYMN18L","GSON1112070265")</f>
        <v>#NAME?</v>
      </c>
      <c r="W1358" s="28" t="e">
        <f ca="1">[1]!BexGetData("DP_1","00O2TNJGODT0G5Z4TTKYMN7K5","GSON1112070265")</f>
        <v>#NAME?</v>
      </c>
    </row>
    <row r="1359" spans="1:23" x14ac:dyDescent="0.2">
      <c r="A1359" s="36" t="s">
        <v>3964</v>
      </c>
      <c r="B1359" s="27" t="s">
        <v>3965</v>
      </c>
      <c r="C1359" s="23" t="e">
        <f ca="1">[1]!BexGetData("DP_1","003N8EMH8GTFRCSWKMPXRR8GU","GSON1112070270")</f>
        <v>#NAME?</v>
      </c>
      <c r="D1359" s="23" t="e">
        <f ca="1">[1]!BexGetData("DP_1","003N8EMH8GTFRCSWKMPXRRESE","GSON1112070270")</f>
        <v>#NAME?</v>
      </c>
      <c r="E1359" s="23" t="e">
        <f ca="1">[1]!BexGetData("DP_1","003N8EMH8GTFRCSWKMPXRRL3Y","GSON1112070270")</f>
        <v>#NAME?</v>
      </c>
      <c r="F1359" s="23" t="e">
        <f ca="1">[1]!BexGetData("DP_1","003N8EMH8GTFRCSWKMPXRRRFI","GSON1112070270")</f>
        <v>#NAME?</v>
      </c>
      <c r="G1359" s="23" t="e">
        <f ca="1">[1]!BexGetData("DP_1","003N8EMH8GTFRCSWKMPXRRXR2","GSON1112070270")</f>
        <v>#NAME?</v>
      </c>
      <c r="H1359" s="23" t="e">
        <f ca="1">[1]!BexGetData("DP_1","003N8EMH8GTFRCSWKMPXRS42M","GSON1112070270")</f>
        <v>#NAME?</v>
      </c>
      <c r="I1359" s="23" t="e">
        <f ca="1">[1]!BexGetData("DP_1","003N8EMH8GTFRCSWKMPXRSAE6","GSON1112070270")</f>
        <v>#NAME?</v>
      </c>
      <c r="J1359" s="24" t="e">
        <f ca="1">[1]!BexGetData("DP_1","003N8EMH8GTFRCSWKMPXRSGPQ","GSON1112070270")</f>
        <v>#NAME?</v>
      </c>
      <c r="K1359" s="23" t="e">
        <f ca="1">[1]!BexGetData("DP_1","003N8EMH8GTFRIVNUPY288VJH","GSON1112070270")</f>
        <v>#NAME?</v>
      </c>
      <c r="L1359" s="23" t="e">
        <f ca="1">[1]!BexGetData("DP_1","003N8EMH8GTFRIVNUPY2891V1","GSON1112070270")</f>
        <v>#NAME?</v>
      </c>
      <c r="M1359" s="23" t="e">
        <f ca="1">[1]!BexGetData("DP_1","003N8EMH8GTFRIVOG7KG9IQXA","GSON1112070270")</f>
        <v>#NAME?</v>
      </c>
      <c r="N1359" s="28" t="e">
        <f ca="1">[1]!BexGetData("DP_1","003N8EMH8GTFRIVOG7KG9IX8U","GSON1112070270")</f>
        <v>#NAME?</v>
      </c>
      <c r="O1359" s="23" t="e">
        <f ca="1">[1]!BexGetData("DP_1","003N8EMH8GTFRIVOG7KG9J3KE","GSON1112070270")</f>
        <v>#NAME?</v>
      </c>
      <c r="P1359" s="28" t="e">
        <f ca="1">[1]!BexGetData("DP_1","003N8EMH8GTFRIVOG7KG9J9VY","GSON1112070270")</f>
        <v>#NAME?</v>
      </c>
      <c r="Q1359" s="24" t="e">
        <f ca="1">[1]!BexGetData("DP_1","00O2TNJGODT0G5Z4TTKYMM5MT","GSON1112070270")</f>
        <v>#NAME?</v>
      </c>
      <c r="R1359" s="23" t="e">
        <f ca="1">[1]!BexGetData("DP_1","00O2TNJGODT0G5Z4TTKYMMBYD","GSON1112070270")</f>
        <v>#NAME?</v>
      </c>
      <c r="S1359" s="23" t="e">
        <f ca="1">[1]!BexGetData("DP_1","00O2TNJGODT0G5Z4TTKYMMI9X","GSON1112070270")</f>
        <v>#NAME?</v>
      </c>
      <c r="T1359" s="28" t="e">
        <f ca="1">[1]!BexGetData("DP_1","00O2TNJGODT0G5Z4TTKYMMOLH","GSON1112070270")</f>
        <v>#NAME?</v>
      </c>
      <c r="U1359" s="23" t="e">
        <f ca="1">[1]!BexGetData("DP_1","00O2TNJGODT0G5Z4TTKYMMUX1","GSON1112070270")</f>
        <v>#NAME?</v>
      </c>
      <c r="V1359" s="28" t="e">
        <f ca="1">[1]!BexGetData("DP_1","00O2TNJGODT0G5Z4TTKYMN18L","GSON1112070270")</f>
        <v>#NAME?</v>
      </c>
      <c r="W1359" s="23" t="e">
        <f ca="1">[1]!BexGetData("DP_1","00O2TNJGODT0G5Z4TTKYMN7K5","GSON1112070270")</f>
        <v>#NAME?</v>
      </c>
    </row>
    <row r="1360" spans="1:23" x14ac:dyDescent="0.2">
      <c r="A1360" s="36" t="s">
        <v>3966</v>
      </c>
      <c r="B1360" s="27" t="s">
        <v>3967</v>
      </c>
      <c r="C1360" s="23" t="e">
        <f ca="1">[1]!BexGetData("DP_1","003N8EMH8GTFRCSWKMPXRR8GU","GSON1112070271")</f>
        <v>#NAME?</v>
      </c>
      <c r="D1360" s="23" t="e">
        <f ca="1">[1]!BexGetData("DP_1","003N8EMH8GTFRCSWKMPXRRESE","GSON1112070271")</f>
        <v>#NAME?</v>
      </c>
      <c r="E1360" s="28" t="e">
        <f ca="1">[1]!BexGetData("DP_1","003N8EMH8GTFRCSWKMPXRRL3Y","GSON1112070271")</f>
        <v>#NAME?</v>
      </c>
      <c r="F1360" s="28" t="e">
        <f ca="1">[1]!BexGetData("DP_1","003N8EMH8GTFRCSWKMPXRRRFI","GSON1112070271")</f>
        <v>#NAME?</v>
      </c>
      <c r="G1360" s="23" t="e">
        <f ca="1">[1]!BexGetData("DP_1","003N8EMH8GTFRCSWKMPXRRXR2","GSON1112070271")</f>
        <v>#NAME?</v>
      </c>
      <c r="H1360" s="23" t="e">
        <f ca="1">[1]!BexGetData("DP_1","003N8EMH8GTFRCSWKMPXRS42M","GSON1112070271")</f>
        <v>#NAME?</v>
      </c>
      <c r="I1360" s="28" t="e">
        <f ca="1">[1]!BexGetData("DP_1","003N8EMH8GTFRCSWKMPXRSAE6","GSON1112070271")</f>
        <v>#NAME?</v>
      </c>
      <c r="J1360" s="24" t="e">
        <f ca="1">[1]!BexGetData("DP_1","003N8EMH8GTFRCSWKMPXRSGPQ","GSON1112070271")</f>
        <v>#NAME?</v>
      </c>
      <c r="K1360" s="28" t="e">
        <f ca="1">[1]!BexGetData("DP_1","003N8EMH8GTFRIVNUPY288VJH","GSON1112070271")</f>
        <v>#NAME?</v>
      </c>
      <c r="L1360" s="28" t="e">
        <f ca="1">[1]!BexGetData("DP_1","003N8EMH8GTFRIVNUPY2891V1","GSON1112070271")</f>
        <v>#NAME?</v>
      </c>
      <c r="M1360" s="28" t="e">
        <f ca="1">[1]!BexGetData("DP_1","003N8EMH8GTFRIVOG7KG9IQXA","GSON1112070271")</f>
        <v>#NAME?</v>
      </c>
      <c r="N1360" s="28" t="e">
        <f ca="1">[1]!BexGetData("DP_1","003N8EMH8GTFRIVOG7KG9IX8U","GSON1112070271")</f>
        <v>#NAME?</v>
      </c>
      <c r="O1360" s="28" t="e">
        <f ca="1">[1]!BexGetData("DP_1","003N8EMH8GTFRIVOG7KG9J3KE","GSON1112070271")</f>
        <v>#NAME?</v>
      </c>
      <c r="P1360" s="28" t="e">
        <f ca="1">[1]!BexGetData("DP_1","003N8EMH8GTFRIVOG7KG9J9VY","GSON1112070271")</f>
        <v>#NAME?</v>
      </c>
      <c r="Q1360" s="24" t="e">
        <f ca="1">[1]!BexGetData("DP_1","00O2TNJGODT0G5Z4TTKYMM5MT","GSON1112070271")</f>
        <v>#NAME?</v>
      </c>
      <c r="R1360" s="28" t="e">
        <f ca="1">[1]!BexGetData("DP_1","00O2TNJGODT0G5Z4TTKYMMBYD","GSON1112070271")</f>
        <v>#NAME?</v>
      </c>
      <c r="S1360" s="28" t="e">
        <f ca="1">[1]!BexGetData("DP_1","00O2TNJGODT0G5Z4TTKYMMI9X","GSON1112070271")</f>
        <v>#NAME?</v>
      </c>
      <c r="T1360" s="28" t="e">
        <f ca="1">[1]!BexGetData("DP_1","00O2TNJGODT0G5Z4TTKYMMOLH","GSON1112070271")</f>
        <v>#NAME?</v>
      </c>
      <c r="U1360" s="28" t="e">
        <f ca="1">[1]!BexGetData("DP_1","00O2TNJGODT0G5Z4TTKYMMUX1","GSON1112070271")</f>
        <v>#NAME?</v>
      </c>
      <c r="V1360" s="28" t="e">
        <f ca="1">[1]!BexGetData("DP_1","00O2TNJGODT0G5Z4TTKYMN18L","GSON1112070271")</f>
        <v>#NAME?</v>
      </c>
      <c r="W1360" s="28" t="e">
        <f ca="1">[1]!BexGetData("DP_1","00O2TNJGODT0G5Z4TTKYMN7K5","GSON1112070271")</f>
        <v>#NAME?</v>
      </c>
    </row>
    <row r="1361" spans="1:23" x14ac:dyDescent="0.2">
      <c r="A1361" s="36" t="s">
        <v>3968</v>
      </c>
      <c r="B1361" s="27" t="s">
        <v>3969</v>
      </c>
      <c r="C1361" s="23" t="e">
        <f ca="1">[1]!BexGetData("DP_1","003N8EMH8GTFRCSWKMPXRR8GU","GSON1112070273")</f>
        <v>#NAME?</v>
      </c>
      <c r="D1361" s="23" t="e">
        <f ca="1">[1]!BexGetData("DP_1","003N8EMH8GTFRCSWKMPXRRESE","GSON1112070273")</f>
        <v>#NAME?</v>
      </c>
      <c r="E1361" s="28" t="e">
        <f ca="1">[1]!BexGetData("DP_1","003N8EMH8GTFRCSWKMPXRRL3Y","GSON1112070273")</f>
        <v>#NAME?</v>
      </c>
      <c r="F1361" s="28" t="e">
        <f ca="1">[1]!BexGetData("DP_1","003N8EMH8GTFRCSWKMPXRRRFI","GSON1112070273")</f>
        <v>#NAME?</v>
      </c>
      <c r="G1361" s="23" t="e">
        <f ca="1">[1]!BexGetData("DP_1","003N8EMH8GTFRCSWKMPXRRXR2","GSON1112070273")</f>
        <v>#NAME?</v>
      </c>
      <c r="H1361" s="23" t="e">
        <f ca="1">[1]!BexGetData("DP_1","003N8EMH8GTFRCSWKMPXRS42M","GSON1112070273")</f>
        <v>#NAME?</v>
      </c>
      <c r="I1361" s="28" t="e">
        <f ca="1">[1]!BexGetData("DP_1","003N8EMH8GTFRCSWKMPXRSAE6","GSON1112070273")</f>
        <v>#NAME?</v>
      </c>
      <c r="J1361" s="24" t="e">
        <f ca="1">[1]!BexGetData("DP_1","003N8EMH8GTFRCSWKMPXRSGPQ","GSON1112070273")</f>
        <v>#NAME?</v>
      </c>
      <c r="K1361" s="28" t="e">
        <f ca="1">[1]!BexGetData("DP_1","003N8EMH8GTFRIVNUPY288VJH","GSON1112070273")</f>
        <v>#NAME?</v>
      </c>
      <c r="L1361" s="28" t="e">
        <f ca="1">[1]!BexGetData("DP_1","003N8EMH8GTFRIVNUPY2891V1","GSON1112070273")</f>
        <v>#NAME?</v>
      </c>
      <c r="M1361" s="28" t="e">
        <f ca="1">[1]!BexGetData("DP_1","003N8EMH8GTFRIVOG7KG9IQXA","GSON1112070273")</f>
        <v>#NAME?</v>
      </c>
      <c r="N1361" s="28" t="e">
        <f ca="1">[1]!BexGetData("DP_1","003N8EMH8GTFRIVOG7KG9IX8U","GSON1112070273")</f>
        <v>#NAME?</v>
      </c>
      <c r="O1361" s="28" t="e">
        <f ca="1">[1]!BexGetData("DP_1","003N8EMH8GTFRIVOG7KG9J3KE","GSON1112070273")</f>
        <v>#NAME?</v>
      </c>
      <c r="P1361" s="28" t="e">
        <f ca="1">[1]!BexGetData("DP_1","003N8EMH8GTFRIVOG7KG9J9VY","GSON1112070273")</f>
        <v>#NAME?</v>
      </c>
      <c r="Q1361" s="24" t="e">
        <f ca="1">[1]!BexGetData("DP_1","00O2TNJGODT0G5Z4TTKYMM5MT","GSON1112070273")</f>
        <v>#NAME?</v>
      </c>
      <c r="R1361" s="28" t="e">
        <f ca="1">[1]!BexGetData("DP_1","00O2TNJGODT0G5Z4TTKYMMBYD","GSON1112070273")</f>
        <v>#NAME?</v>
      </c>
      <c r="S1361" s="28" t="e">
        <f ca="1">[1]!BexGetData("DP_1","00O2TNJGODT0G5Z4TTKYMMI9X","GSON1112070273")</f>
        <v>#NAME?</v>
      </c>
      <c r="T1361" s="28" t="e">
        <f ca="1">[1]!BexGetData("DP_1","00O2TNJGODT0G5Z4TTKYMMOLH","GSON1112070273")</f>
        <v>#NAME?</v>
      </c>
      <c r="U1361" s="28" t="e">
        <f ca="1">[1]!BexGetData("DP_1","00O2TNJGODT0G5Z4TTKYMMUX1","GSON1112070273")</f>
        <v>#NAME?</v>
      </c>
      <c r="V1361" s="28" t="e">
        <f ca="1">[1]!BexGetData("DP_1","00O2TNJGODT0G5Z4TTKYMN18L","GSON1112070273")</f>
        <v>#NAME?</v>
      </c>
      <c r="W1361" s="28" t="e">
        <f ca="1">[1]!BexGetData("DP_1","00O2TNJGODT0G5Z4TTKYMN7K5","GSON1112070273")</f>
        <v>#NAME?</v>
      </c>
    </row>
    <row r="1362" spans="1:23" x14ac:dyDescent="0.2">
      <c r="A1362" s="36" t="s">
        <v>3970</v>
      </c>
      <c r="B1362" s="27" t="s">
        <v>3971</v>
      </c>
      <c r="C1362" s="23" t="e">
        <f ca="1">[1]!BexGetData("DP_1","003N8EMH8GTFRCSWKMPXRR8GU","GSON1112070274")</f>
        <v>#NAME?</v>
      </c>
      <c r="D1362" s="23" t="e">
        <f ca="1">[1]!BexGetData("DP_1","003N8EMH8GTFRCSWKMPXRRESE","GSON1112070274")</f>
        <v>#NAME?</v>
      </c>
      <c r="E1362" s="28" t="e">
        <f ca="1">[1]!BexGetData("DP_1","003N8EMH8GTFRCSWKMPXRRL3Y","GSON1112070274")</f>
        <v>#NAME?</v>
      </c>
      <c r="F1362" s="28" t="e">
        <f ca="1">[1]!BexGetData("DP_1","003N8EMH8GTFRCSWKMPXRRRFI","GSON1112070274")</f>
        <v>#NAME?</v>
      </c>
      <c r="G1362" s="23" t="e">
        <f ca="1">[1]!BexGetData("DP_1","003N8EMH8GTFRCSWKMPXRRXR2","GSON1112070274")</f>
        <v>#NAME?</v>
      </c>
      <c r="H1362" s="23" t="e">
        <f ca="1">[1]!BexGetData("DP_1","003N8EMH8GTFRCSWKMPXRS42M","GSON1112070274")</f>
        <v>#NAME?</v>
      </c>
      <c r="I1362" s="28" t="e">
        <f ca="1">[1]!BexGetData("DP_1","003N8EMH8GTFRCSWKMPXRSAE6","GSON1112070274")</f>
        <v>#NAME?</v>
      </c>
      <c r="J1362" s="24" t="e">
        <f ca="1">[1]!BexGetData("DP_1","003N8EMH8GTFRCSWKMPXRSGPQ","GSON1112070274")</f>
        <v>#NAME?</v>
      </c>
      <c r="K1362" s="28" t="e">
        <f ca="1">[1]!BexGetData("DP_1","003N8EMH8GTFRIVNUPY288VJH","GSON1112070274")</f>
        <v>#NAME?</v>
      </c>
      <c r="L1362" s="28" t="e">
        <f ca="1">[1]!BexGetData("DP_1","003N8EMH8GTFRIVNUPY2891V1","GSON1112070274")</f>
        <v>#NAME?</v>
      </c>
      <c r="M1362" s="28" t="e">
        <f ca="1">[1]!BexGetData("DP_1","003N8EMH8GTFRIVOG7KG9IQXA","GSON1112070274")</f>
        <v>#NAME?</v>
      </c>
      <c r="N1362" s="28" t="e">
        <f ca="1">[1]!BexGetData("DP_1","003N8EMH8GTFRIVOG7KG9IX8U","GSON1112070274")</f>
        <v>#NAME?</v>
      </c>
      <c r="O1362" s="28" t="e">
        <f ca="1">[1]!BexGetData("DP_1","003N8EMH8GTFRIVOG7KG9J3KE","GSON1112070274")</f>
        <v>#NAME?</v>
      </c>
      <c r="P1362" s="28" t="e">
        <f ca="1">[1]!BexGetData("DP_1","003N8EMH8GTFRIVOG7KG9J9VY","GSON1112070274")</f>
        <v>#NAME?</v>
      </c>
      <c r="Q1362" s="24" t="e">
        <f ca="1">[1]!BexGetData("DP_1","00O2TNJGODT0G5Z4TTKYMM5MT","GSON1112070274")</f>
        <v>#NAME?</v>
      </c>
      <c r="R1362" s="28" t="e">
        <f ca="1">[1]!BexGetData("DP_1","00O2TNJGODT0G5Z4TTKYMMBYD","GSON1112070274")</f>
        <v>#NAME?</v>
      </c>
      <c r="S1362" s="28" t="e">
        <f ca="1">[1]!BexGetData("DP_1","00O2TNJGODT0G5Z4TTKYMMI9X","GSON1112070274")</f>
        <v>#NAME?</v>
      </c>
      <c r="T1362" s="28" t="e">
        <f ca="1">[1]!BexGetData("DP_1","00O2TNJGODT0G5Z4TTKYMMOLH","GSON1112070274")</f>
        <v>#NAME?</v>
      </c>
      <c r="U1362" s="28" t="e">
        <f ca="1">[1]!BexGetData("DP_1","00O2TNJGODT0G5Z4TTKYMMUX1","GSON1112070274")</f>
        <v>#NAME?</v>
      </c>
      <c r="V1362" s="28" t="e">
        <f ca="1">[1]!BexGetData("DP_1","00O2TNJGODT0G5Z4TTKYMN18L","GSON1112070274")</f>
        <v>#NAME?</v>
      </c>
      <c r="W1362" s="28" t="e">
        <f ca="1">[1]!BexGetData("DP_1","00O2TNJGODT0G5Z4TTKYMN7K5","GSON1112070274")</f>
        <v>#NAME?</v>
      </c>
    </row>
    <row r="1363" spans="1:23" x14ac:dyDescent="0.2">
      <c r="A1363" s="36" t="s">
        <v>3972</v>
      </c>
      <c r="B1363" s="27" t="s">
        <v>3973</v>
      </c>
      <c r="C1363" s="23" t="e">
        <f ca="1">[1]!BexGetData("DP_1","003N8EMH8GTFRCSWKMPXRR8GU","GSON1112070275")</f>
        <v>#NAME?</v>
      </c>
      <c r="D1363" s="23" t="e">
        <f ca="1">[1]!BexGetData("DP_1","003N8EMH8GTFRCSWKMPXRRESE","GSON1112070275")</f>
        <v>#NAME?</v>
      </c>
      <c r="E1363" s="28" t="e">
        <f ca="1">[1]!BexGetData("DP_1","003N8EMH8GTFRCSWKMPXRRL3Y","GSON1112070275")</f>
        <v>#NAME?</v>
      </c>
      <c r="F1363" s="28" t="e">
        <f ca="1">[1]!BexGetData("DP_1","003N8EMH8GTFRCSWKMPXRRRFI","GSON1112070275")</f>
        <v>#NAME?</v>
      </c>
      <c r="G1363" s="23" t="e">
        <f ca="1">[1]!BexGetData("DP_1","003N8EMH8GTFRCSWKMPXRRXR2","GSON1112070275")</f>
        <v>#NAME?</v>
      </c>
      <c r="H1363" s="23" t="e">
        <f ca="1">[1]!BexGetData("DP_1","003N8EMH8GTFRCSWKMPXRS42M","GSON1112070275")</f>
        <v>#NAME?</v>
      </c>
      <c r="I1363" s="28" t="e">
        <f ca="1">[1]!BexGetData("DP_1","003N8EMH8GTFRCSWKMPXRSAE6","GSON1112070275")</f>
        <v>#NAME?</v>
      </c>
      <c r="J1363" s="24" t="e">
        <f ca="1">[1]!BexGetData("DP_1","003N8EMH8GTFRCSWKMPXRSGPQ","GSON1112070275")</f>
        <v>#NAME?</v>
      </c>
      <c r="K1363" s="28" t="e">
        <f ca="1">[1]!BexGetData("DP_1","003N8EMH8GTFRIVNUPY288VJH","GSON1112070275")</f>
        <v>#NAME?</v>
      </c>
      <c r="L1363" s="28" t="e">
        <f ca="1">[1]!BexGetData("DP_1","003N8EMH8GTFRIVNUPY2891V1","GSON1112070275")</f>
        <v>#NAME?</v>
      </c>
      <c r="M1363" s="28" t="e">
        <f ca="1">[1]!BexGetData("DP_1","003N8EMH8GTFRIVOG7KG9IQXA","GSON1112070275")</f>
        <v>#NAME?</v>
      </c>
      <c r="N1363" s="28" t="e">
        <f ca="1">[1]!BexGetData("DP_1","003N8EMH8GTFRIVOG7KG9IX8U","GSON1112070275")</f>
        <v>#NAME?</v>
      </c>
      <c r="O1363" s="28" t="e">
        <f ca="1">[1]!BexGetData("DP_1","003N8EMH8GTFRIVOG7KG9J3KE","GSON1112070275")</f>
        <v>#NAME?</v>
      </c>
      <c r="P1363" s="28" t="e">
        <f ca="1">[1]!BexGetData("DP_1","003N8EMH8GTFRIVOG7KG9J9VY","GSON1112070275")</f>
        <v>#NAME?</v>
      </c>
      <c r="Q1363" s="24" t="e">
        <f ca="1">[1]!BexGetData("DP_1","00O2TNJGODT0G5Z4TTKYMM5MT","GSON1112070275")</f>
        <v>#NAME?</v>
      </c>
      <c r="R1363" s="28" t="e">
        <f ca="1">[1]!BexGetData("DP_1","00O2TNJGODT0G5Z4TTKYMMBYD","GSON1112070275")</f>
        <v>#NAME?</v>
      </c>
      <c r="S1363" s="28" t="e">
        <f ca="1">[1]!BexGetData("DP_1","00O2TNJGODT0G5Z4TTKYMMI9X","GSON1112070275")</f>
        <v>#NAME?</v>
      </c>
      <c r="T1363" s="28" t="e">
        <f ca="1">[1]!BexGetData("DP_1","00O2TNJGODT0G5Z4TTKYMMOLH","GSON1112070275")</f>
        <v>#NAME?</v>
      </c>
      <c r="U1363" s="28" t="e">
        <f ca="1">[1]!BexGetData("DP_1","00O2TNJGODT0G5Z4TTKYMMUX1","GSON1112070275")</f>
        <v>#NAME?</v>
      </c>
      <c r="V1363" s="28" t="e">
        <f ca="1">[1]!BexGetData("DP_1","00O2TNJGODT0G5Z4TTKYMN18L","GSON1112070275")</f>
        <v>#NAME?</v>
      </c>
      <c r="W1363" s="28" t="e">
        <f ca="1">[1]!BexGetData("DP_1","00O2TNJGODT0G5Z4TTKYMN7K5","GSON1112070275")</f>
        <v>#NAME?</v>
      </c>
    </row>
    <row r="1364" spans="1:23" x14ac:dyDescent="0.2">
      <c r="A1364" s="36" t="s">
        <v>3974</v>
      </c>
      <c r="B1364" s="27" t="s">
        <v>3975</v>
      </c>
      <c r="C1364" s="23" t="e">
        <f ca="1">[1]!BexGetData("DP_1","003N8EMH8GTFRCSWKMPXRR8GU","GSON1112070280")</f>
        <v>#NAME?</v>
      </c>
      <c r="D1364" s="23" t="e">
        <f ca="1">[1]!BexGetData("DP_1","003N8EMH8GTFRCSWKMPXRRESE","GSON1112070280")</f>
        <v>#NAME?</v>
      </c>
      <c r="E1364" s="28" t="e">
        <f ca="1">[1]!BexGetData("DP_1","003N8EMH8GTFRCSWKMPXRRL3Y","GSON1112070280")</f>
        <v>#NAME?</v>
      </c>
      <c r="F1364" s="23" t="e">
        <f ca="1">[1]!BexGetData("DP_1","003N8EMH8GTFRCSWKMPXRRRFI","GSON1112070280")</f>
        <v>#NAME?</v>
      </c>
      <c r="G1364" s="23" t="e">
        <f ca="1">[1]!BexGetData("DP_1","003N8EMH8GTFRCSWKMPXRRXR2","GSON1112070280")</f>
        <v>#NAME?</v>
      </c>
      <c r="H1364" s="23" t="e">
        <f ca="1">[1]!BexGetData("DP_1","003N8EMH8GTFRCSWKMPXRS42M","GSON1112070280")</f>
        <v>#NAME?</v>
      </c>
      <c r="I1364" s="23" t="e">
        <f ca="1">[1]!BexGetData("DP_1","003N8EMH8GTFRCSWKMPXRSAE6","GSON1112070280")</f>
        <v>#NAME?</v>
      </c>
      <c r="J1364" s="24" t="e">
        <f ca="1">[1]!BexGetData("DP_1","003N8EMH8GTFRCSWKMPXRSGPQ","GSON1112070280")</f>
        <v>#NAME?</v>
      </c>
      <c r="K1364" s="23" t="e">
        <f ca="1">[1]!BexGetData("DP_1","003N8EMH8GTFRIVNUPY288VJH","GSON1112070280")</f>
        <v>#NAME?</v>
      </c>
      <c r="L1364" s="23" t="e">
        <f ca="1">[1]!BexGetData("DP_1","003N8EMH8GTFRIVNUPY2891V1","GSON1112070280")</f>
        <v>#NAME?</v>
      </c>
      <c r="M1364" s="23" t="e">
        <f ca="1">[1]!BexGetData("DP_1","003N8EMH8GTFRIVOG7KG9IQXA","GSON1112070280")</f>
        <v>#NAME?</v>
      </c>
      <c r="N1364" s="28" t="e">
        <f ca="1">[1]!BexGetData("DP_1","003N8EMH8GTFRIVOG7KG9IX8U","GSON1112070280")</f>
        <v>#NAME?</v>
      </c>
      <c r="O1364" s="23" t="e">
        <f ca="1">[1]!BexGetData("DP_1","003N8EMH8GTFRIVOG7KG9J3KE","GSON1112070280")</f>
        <v>#NAME?</v>
      </c>
      <c r="P1364" s="28" t="e">
        <f ca="1">[1]!BexGetData("DP_1","003N8EMH8GTFRIVOG7KG9J9VY","GSON1112070280")</f>
        <v>#NAME?</v>
      </c>
      <c r="Q1364" s="24" t="e">
        <f ca="1">[1]!BexGetData("DP_1","00O2TNJGODT0G5Z4TTKYMM5MT","GSON1112070280")</f>
        <v>#NAME?</v>
      </c>
      <c r="R1364" s="23" t="e">
        <f ca="1">[1]!BexGetData("DP_1","00O2TNJGODT0G5Z4TTKYMMBYD","GSON1112070280")</f>
        <v>#NAME?</v>
      </c>
      <c r="S1364" s="23" t="e">
        <f ca="1">[1]!BexGetData("DP_1","00O2TNJGODT0G5Z4TTKYMMI9X","GSON1112070280")</f>
        <v>#NAME?</v>
      </c>
      <c r="T1364" s="28" t="e">
        <f ca="1">[1]!BexGetData("DP_1","00O2TNJGODT0G5Z4TTKYMMOLH","GSON1112070280")</f>
        <v>#NAME?</v>
      </c>
      <c r="U1364" s="23" t="e">
        <f ca="1">[1]!BexGetData("DP_1","00O2TNJGODT0G5Z4TTKYMMUX1","GSON1112070280")</f>
        <v>#NAME?</v>
      </c>
      <c r="V1364" s="28" t="e">
        <f ca="1">[1]!BexGetData("DP_1","00O2TNJGODT0G5Z4TTKYMN18L","GSON1112070280")</f>
        <v>#NAME?</v>
      </c>
      <c r="W1364" s="23" t="e">
        <f ca="1">[1]!BexGetData("DP_1","00O2TNJGODT0G5Z4TTKYMN7K5","GSON1112070280")</f>
        <v>#NAME?</v>
      </c>
    </row>
    <row r="1365" spans="1:23" x14ac:dyDescent="0.2">
      <c r="A1365" s="36" t="s">
        <v>3976</v>
      </c>
      <c r="B1365" s="27" t="s">
        <v>3977</v>
      </c>
      <c r="C1365" s="23" t="e">
        <f ca="1">[1]!BexGetData("DP_1","003N8EMH8GTFRCSWKMPXRR8GU","GSON1112070281")</f>
        <v>#NAME?</v>
      </c>
      <c r="D1365" s="23" t="e">
        <f ca="1">[1]!BexGetData("DP_1","003N8EMH8GTFRCSWKMPXRRESE","GSON1112070281")</f>
        <v>#NAME?</v>
      </c>
      <c r="E1365" s="28" t="e">
        <f ca="1">[1]!BexGetData("DP_1","003N8EMH8GTFRCSWKMPXRRL3Y","GSON1112070281")</f>
        <v>#NAME?</v>
      </c>
      <c r="F1365" s="28" t="e">
        <f ca="1">[1]!BexGetData("DP_1","003N8EMH8GTFRCSWKMPXRRRFI","GSON1112070281")</f>
        <v>#NAME?</v>
      </c>
      <c r="G1365" s="23" t="e">
        <f ca="1">[1]!BexGetData("DP_1","003N8EMH8GTFRCSWKMPXRRXR2","GSON1112070281")</f>
        <v>#NAME?</v>
      </c>
      <c r="H1365" s="23" t="e">
        <f ca="1">[1]!BexGetData("DP_1","003N8EMH8GTFRCSWKMPXRS42M","GSON1112070281")</f>
        <v>#NAME?</v>
      </c>
      <c r="I1365" s="28" t="e">
        <f ca="1">[1]!BexGetData("DP_1","003N8EMH8GTFRCSWKMPXRSAE6","GSON1112070281")</f>
        <v>#NAME?</v>
      </c>
      <c r="J1365" s="24" t="e">
        <f ca="1">[1]!BexGetData("DP_1","003N8EMH8GTFRCSWKMPXRSGPQ","GSON1112070281")</f>
        <v>#NAME?</v>
      </c>
      <c r="K1365" s="28" t="e">
        <f ca="1">[1]!BexGetData("DP_1","003N8EMH8GTFRIVNUPY288VJH","GSON1112070281")</f>
        <v>#NAME?</v>
      </c>
      <c r="L1365" s="28" t="e">
        <f ca="1">[1]!BexGetData("DP_1","003N8EMH8GTFRIVNUPY2891V1","GSON1112070281")</f>
        <v>#NAME?</v>
      </c>
      <c r="M1365" s="28" t="e">
        <f ca="1">[1]!BexGetData("DP_1","003N8EMH8GTFRIVOG7KG9IQXA","GSON1112070281")</f>
        <v>#NAME?</v>
      </c>
      <c r="N1365" s="28" t="e">
        <f ca="1">[1]!BexGetData("DP_1","003N8EMH8GTFRIVOG7KG9IX8U","GSON1112070281")</f>
        <v>#NAME?</v>
      </c>
      <c r="O1365" s="28" t="e">
        <f ca="1">[1]!BexGetData("DP_1","003N8EMH8GTFRIVOG7KG9J3KE","GSON1112070281")</f>
        <v>#NAME?</v>
      </c>
      <c r="P1365" s="28" t="e">
        <f ca="1">[1]!BexGetData("DP_1","003N8EMH8GTFRIVOG7KG9J9VY","GSON1112070281")</f>
        <v>#NAME?</v>
      </c>
      <c r="Q1365" s="24" t="e">
        <f ca="1">[1]!BexGetData("DP_1","00O2TNJGODT0G5Z4TTKYMM5MT","GSON1112070281")</f>
        <v>#NAME?</v>
      </c>
      <c r="R1365" s="28" t="e">
        <f ca="1">[1]!BexGetData("DP_1","00O2TNJGODT0G5Z4TTKYMMBYD","GSON1112070281")</f>
        <v>#NAME?</v>
      </c>
      <c r="S1365" s="28" t="e">
        <f ca="1">[1]!BexGetData("DP_1","00O2TNJGODT0G5Z4TTKYMMI9X","GSON1112070281")</f>
        <v>#NAME?</v>
      </c>
      <c r="T1365" s="28" t="e">
        <f ca="1">[1]!BexGetData("DP_1","00O2TNJGODT0G5Z4TTKYMMOLH","GSON1112070281")</f>
        <v>#NAME?</v>
      </c>
      <c r="U1365" s="28" t="e">
        <f ca="1">[1]!BexGetData("DP_1","00O2TNJGODT0G5Z4TTKYMMUX1","GSON1112070281")</f>
        <v>#NAME?</v>
      </c>
      <c r="V1365" s="28" t="e">
        <f ca="1">[1]!BexGetData("DP_1","00O2TNJGODT0G5Z4TTKYMN18L","GSON1112070281")</f>
        <v>#NAME?</v>
      </c>
      <c r="W1365" s="28" t="e">
        <f ca="1">[1]!BexGetData("DP_1","00O2TNJGODT0G5Z4TTKYMN7K5","GSON1112070281")</f>
        <v>#NAME?</v>
      </c>
    </row>
    <row r="1366" spans="1:23" x14ac:dyDescent="0.2">
      <c r="A1366" s="36" t="s">
        <v>3978</v>
      </c>
      <c r="B1366" s="27" t="s">
        <v>3979</v>
      </c>
      <c r="C1366" s="23" t="e">
        <f ca="1">[1]!BexGetData("DP_1","003N8EMH8GTFRCSWKMPXRR8GU","GSON1112070283")</f>
        <v>#NAME?</v>
      </c>
      <c r="D1366" s="23" t="e">
        <f ca="1">[1]!BexGetData("DP_1","003N8EMH8GTFRCSWKMPXRRESE","GSON1112070283")</f>
        <v>#NAME?</v>
      </c>
      <c r="E1366" s="28" t="e">
        <f ca="1">[1]!BexGetData("DP_1","003N8EMH8GTFRCSWKMPXRRL3Y","GSON1112070283")</f>
        <v>#NAME?</v>
      </c>
      <c r="F1366" s="28" t="e">
        <f ca="1">[1]!BexGetData("DP_1","003N8EMH8GTFRCSWKMPXRRRFI","GSON1112070283")</f>
        <v>#NAME?</v>
      </c>
      <c r="G1366" s="23" t="e">
        <f ca="1">[1]!BexGetData("DP_1","003N8EMH8GTFRCSWKMPXRRXR2","GSON1112070283")</f>
        <v>#NAME?</v>
      </c>
      <c r="H1366" s="23" t="e">
        <f ca="1">[1]!BexGetData("DP_1","003N8EMH8GTFRCSWKMPXRS42M","GSON1112070283")</f>
        <v>#NAME?</v>
      </c>
      <c r="I1366" s="28" t="e">
        <f ca="1">[1]!BexGetData("DP_1","003N8EMH8GTFRCSWKMPXRSAE6","GSON1112070283")</f>
        <v>#NAME?</v>
      </c>
      <c r="J1366" s="24" t="e">
        <f ca="1">[1]!BexGetData("DP_1","003N8EMH8GTFRCSWKMPXRSGPQ","GSON1112070283")</f>
        <v>#NAME?</v>
      </c>
      <c r="K1366" s="28" t="e">
        <f ca="1">[1]!BexGetData("DP_1","003N8EMH8GTFRIVNUPY288VJH","GSON1112070283")</f>
        <v>#NAME?</v>
      </c>
      <c r="L1366" s="28" t="e">
        <f ca="1">[1]!BexGetData("DP_1","003N8EMH8GTFRIVNUPY2891V1","GSON1112070283")</f>
        <v>#NAME?</v>
      </c>
      <c r="M1366" s="28" t="e">
        <f ca="1">[1]!BexGetData("DP_1","003N8EMH8GTFRIVOG7KG9IQXA","GSON1112070283")</f>
        <v>#NAME?</v>
      </c>
      <c r="N1366" s="28" t="e">
        <f ca="1">[1]!BexGetData("DP_1","003N8EMH8GTFRIVOG7KG9IX8U","GSON1112070283")</f>
        <v>#NAME?</v>
      </c>
      <c r="O1366" s="28" t="e">
        <f ca="1">[1]!BexGetData("DP_1","003N8EMH8GTFRIVOG7KG9J3KE","GSON1112070283")</f>
        <v>#NAME?</v>
      </c>
      <c r="P1366" s="28" t="e">
        <f ca="1">[1]!BexGetData("DP_1","003N8EMH8GTFRIVOG7KG9J9VY","GSON1112070283")</f>
        <v>#NAME?</v>
      </c>
      <c r="Q1366" s="24" t="e">
        <f ca="1">[1]!BexGetData("DP_1","00O2TNJGODT0G5Z4TTKYMM5MT","GSON1112070283")</f>
        <v>#NAME?</v>
      </c>
      <c r="R1366" s="28" t="e">
        <f ca="1">[1]!BexGetData("DP_1","00O2TNJGODT0G5Z4TTKYMMBYD","GSON1112070283")</f>
        <v>#NAME?</v>
      </c>
      <c r="S1366" s="28" t="e">
        <f ca="1">[1]!BexGetData("DP_1","00O2TNJGODT0G5Z4TTKYMMI9X","GSON1112070283")</f>
        <v>#NAME?</v>
      </c>
      <c r="T1366" s="28" t="e">
        <f ca="1">[1]!BexGetData("DP_1","00O2TNJGODT0G5Z4TTKYMMOLH","GSON1112070283")</f>
        <v>#NAME?</v>
      </c>
      <c r="U1366" s="28" t="e">
        <f ca="1">[1]!BexGetData("DP_1","00O2TNJGODT0G5Z4TTKYMMUX1","GSON1112070283")</f>
        <v>#NAME?</v>
      </c>
      <c r="V1366" s="28" t="e">
        <f ca="1">[1]!BexGetData("DP_1","00O2TNJGODT0G5Z4TTKYMN18L","GSON1112070283")</f>
        <v>#NAME?</v>
      </c>
      <c r="W1366" s="28" t="e">
        <f ca="1">[1]!BexGetData("DP_1","00O2TNJGODT0G5Z4TTKYMN7K5","GSON1112070283")</f>
        <v>#NAME?</v>
      </c>
    </row>
    <row r="1367" spans="1:23" x14ac:dyDescent="0.2">
      <c r="A1367" s="36" t="s">
        <v>3980</v>
      </c>
      <c r="B1367" s="27" t="s">
        <v>3981</v>
      </c>
      <c r="C1367" s="23" t="e">
        <f ca="1">[1]!BexGetData("DP_1","003N8EMH8GTFRCSWKMPXRR8GU","GSON1112070284")</f>
        <v>#NAME?</v>
      </c>
      <c r="D1367" s="23" t="e">
        <f ca="1">[1]!BexGetData("DP_1","003N8EMH8GTFRCSWKMPXRRESE","GSON1112070284")</f>
        <v>#NAME?</v>
      </c>
      <c r="E1367" s="28" t="e">
        <f ca="1">[1]!BexGetData("DP_1","003N8EMH8GTFRCSWKMPXRRL3Y","GSON1112070284")</f>
        <v>#NAME?</v>
      </c>
      <c r="F1367" s="28" t="e">
        <f ca="1">[1]!BexGetData("DP_1","003N8EMH8GTFRCSWKMPXRRRFI","GSON1112070284")</f>
        <v>#NAME?</v>
      </c>
      <c r="G1367" s="23" t="e">
        <f ca="1">[1]!BexGetData("DP_1","003N8EMH8GTFRCSWKMPXRRXR2","GSON1112070284")</f>
        <v>#NAME?</v>
      </c>
      <c r="H1367" s="23" t="e">
        <f ca="1">[1]!BexGetData("DP_1","003N8EMH8GTFRCSWKMPXRS42M","GSON1112070284")</f>
        <v>#NAME?</v>
      </c>
      <c r="I1367" s="28" t="e">
        <f ca="1">[1]!BexGetData("DP_1","003N8EMH8GTFRCSWKMPXRSAE6","GSON1112070284")</f>
        <v>#NAME?</v>
      </c>
      <c r="J1367" s="24" t="e">
        <f ca="1">[1]!BexGetData("DP_1","003N8EMH8GTFRCSWKMPXRSGPQ","GSON1112070284")</f>
        <v>#NAME?</v>
      </c>
      <c r="K1367" s="28" t="e">
        <f ca="1">[1]!BexGetData("DP_1","003N8EMH8GTFRIVNUPY288VJH","GSON1112070284")</f>
        <v>#NAME?</v>
      </c>
      <c r="L1367" s="28" t="e">
        <f ca="1">[1]!BexGetData("DP_1","003N8EMH8GTFRIVNUPY2891V1","GSON1112070284")</f>
        <v>#NAME?</v>
      </c>
      <c r="M1367" s="28" t="e">
        <f ca="1">[1]!BexGetData("DP_1","003N8EMH8GTFRIVOG7KG9IQXA","GSON1112070284")</f>
        <v>#NAME?</v>
      </c>
      <c r="N1367" s="28" t="e">
        <f ca="1">[1]!BexGetData("DP_1","003N8EMH8GTFRIVOG7KG9IX8U","GSON1112070284")</f>
        <v>#NAME?</v>
      </c>
      <c r="O1367" s="28" t="e">
        <f ca="1">[1]!BexGetData("DP_1","003N8EMH8GTFRIVOG7KG9J3KE","GSON1112070284")</f>
        <v>#NAME?</v>
      </c>
      <c r="P1367" s="28" t="e">
        <f ca="1">[1]!BexGetData("DP_1","003N8EMH8GTFRIVOG7KG9J9VY","GSON1112070284")</f>
        <v>#NAME?</v>
      </c>
      <c r="Q1367" s="24" t="e">
        <f ca="1">[1]!BexGetData("DP_1","00O2TNJGODT0G5Z4TTKYMM5MT","GSON1112070284")</f>
        <v>#NAME?</v>
      </c>
      <c r="R1367" s="28" t="e">
        <f ca="1">[1]!BexGetData("DP_1","00O2TNJGODT0G5Z4TTKYMMBYD","GSON1112070284")</f>
        <v>#NAME?</v>
      </c>
      <c r="S1367" s="28" t="e">
        <f ca="1">[1]!BexGetData("DP_1","00O2TNJGODT0G5Z4TTKYMMI9X","GSON1112070284")</f>
        <v>#NAME?</v>
      </c>
      <c r="T1367" s="28" t="e">
        <f ca="1">[1]!BexGetData("DP_1","00O2TNJGODT0G5Z4TTKYMMOLH","GSON1112070284")</f>
        <v>#NAME?</v>
      </c>
      <c r="U1367" s="28" t="e">
        <f ca="1">[1]!BexGetData("DP_1","00O2TNJGODT0G5Z4TTKYMMUX1","GSON1112070284")</f>
        <v>#NAME?</v>
      </c>
      <c r="V1367" s="28" t="e">
        <f ca="1">[1]!BexGetData("DP_1","00O2TNJGODT0G5Z4TTKYMN18L","GSON1112070284")</f>
        <v>#NAME?</v>
      </c>
      <c r="W1367" s="28" t="e">
        <f ca="1">[1]!BexGetData("DP_1","00O2TNJGODT0G5Z4TTKYMN7K5","GSON1112070284")</f>
        <v>#NAME?</v>
      </c>
    </row>
    <row r="1368" spans="1:23" x14ac:dyDescent="0.2">
      <c r="A1368" s="36" t="s">
        <v>3982</v>
      </c>
      <c r="B1368" s="27" t="s">
        <v>3983</v>
      </c>
      <c r="C1368" s="23" t="e">
        <f ca="1">[1]!BexGetData("DP_1","003N8EMH8GTFRCSWKMPXRR8GU","GSON1112070285")</f>
        <v>#NAME?</v>
      </c>
      <c r="D1368" s="23" t="e">
        <f ca="1">[1]!BexGetData("DP_1","003N8EMH8GTFRCSWKMPXRRESE","GSON1112070285")</f>
        <v>#NAME?</v>
      </c>
      <c r="E1368" s="28" t="e">
        <f ca="1">[1]!BexGetData("DP_1","003N8EMH8GTFRCSWKMPXRRL3Y","GSON1112070285")</f>
        <v>#NAME?</v>
      </c>
      <c r="F1368" s="28" t="e">
        <f ca="1">[1]!BexGetData("DP_1","003N8EMH8GTFRCSWKMPXRRRFI","GSON1112070285")</f>
        <v>#NAME?</v>
      </c>
      <c r="G1368" s="23" t="e">
        <f ca="1">[1]!BexGetData("DP_1","003N8EMH8GTFRCSWKMPXRRXR2","GSON1112070285")</f>
        <v>#NAME?</v>
      </c>
      <c r="H1368" s="23" t="e">
        <f ca="1">[1]!BexGetData("DP_1","003N8EMH8GTFRCSWKMPXRS42M","GSON1112070285")</f>
        <v>#NAME?</v>
      </c>
      <c r="I1368" s="28" t="e">
        <f ca="1">[1]!BexGetData("DP_1","003N8EMH8GTFRCSWKMPXRSAE6","GSON1112070285")</f>
        <v>#NAME?</v>
      </c>
      <c r="J1368" s="24" t="e">
        <f ca="1">[1]!BexGetData("DP_1","003N8EMH8GTFRCSWKMPXRSGPQ","GSON1112070285")</f>
        <v>#NAME?</v>
      </c>
      <c r="K1368" s="28" t="e">
        <f ca="1">[1]!BexGetData("DP_1","003N8EMH8GTFRIVNUPY288VJH","GSON1112070285")</f>
        <v>#NAME?</v>
      </c>
      <c r="L1368" s="28" t="e">
        <f ca="1">[1]!BexGetData("DP_1","003N8EMH8GTFRIVNUPY2891V1","GSON1112070285")</f>
        <v>#NAME?</v>
      </c>
      <c r="M1368" s="28" t="e">
        <f ca="1">[1]!BexGetData("DP_1","003N8EMH8GTFRIVOG7KG9IQXA","GSON1112070285")</f>
        <v>#NAME?</v>
      </c>
      <c r="N1368" s="28" t="e">
        <f ca="1">[1]!BexGetData("DP_1","003N8EMH8GTFRIVOG7KG9IX8U","GSON1112070285")</f>
        <v>#NAME?</v>
      </c>
      <c r="O1368" s="28" t="e">
        <f ca="1">[1]!BexGetData("DP_1","003N8EMH8GTFRIVOG7KG9J3KE","GSON1112070285")</f>
        <v>#NAME?</v>
      </c>
      <c r="P1368" s="28" t="e">
        <f ca="1">[1]!BexGetData("DP_1","003N8EMH8GTFRIVOG7KG9J9VY","GSON1112070285")</f>
        <v>#NAME?</v>
      </c>
      <c r="Q1368" s="24" t="e">
        <f ca="1">[1]!BexGetData("DP_1","00O2TNJGODT0G5Z4TTKYMM5MT","GSON1112070285")</f>
        <v>#NAME?</v>
      </c>
      <c r="R1368" s="28" t="e">
        <f ca="1">[1]!BexGetData("DP_1","00O2TNJGODT0G5Z4TTKYMMBYD","GSON1112070285")</f>
        <v>#NAME?</v>
      </c>
      <c r="S1368" s="28" t="e">
        <f ca="1">[1]!BexGetData("DP_1","00O2TNJGODT0G5Z4TTKYMMI9X","GSON1112070285")</f>
        <v>#NAME?</v>
      </c>
      <c r="T1368" s="28" t="e">
        <f ca="1">[1]!BexGetData("DP_1","00O2TNJGODT0G5Z4TTKYMMOLH","GSON1112070285")</f>
        <v>#NAME?</v>
      </c>
      <c r="U1368" s="28" t="e">
        <f ca="1">[1]!BexGetData("DP_1","00O2TNJGODT0G5Z4TTKYMMUX1","GSON1112070285")</f>
        <v>#NAME?</v>
      </c>
      <c r="V1368" s="28" t="e">
        <f ca="1">[1]!BexGetData("DP_1","00O2TNJGODT0G5Z4TTKYMN18L","GSON1112070285")</f>
        <v>#NAME?</v>
      </c>
      <c r="W1368" s="28" t="e">
        <f ca="1">[1]!BexGetData("DP_1","00O2TNJGODT0G5Z4TTKYMN7K5","GSON1112070285")</f>
        <v>#NAME?</v>
      </c>
    </row>
    <row r="1369" spans="1:23" x14ac:dyDescent="0.2">
      <c r="A1369" s="36" t="s">
        <v>3984</v>
      </c>
      <c r="B1369" s="27" t="s">
        <v>3985</v>
      </c>
      <c r="C1369" s="23" t="e">
        <f ca="1">[1]!BexGetData("DP_1","003N8EMH8GTFRCSWKMPXRR8GU","GSON1112070290")</f>
        <v>#NAME?</v>
      </c>
      <c r="D1369" s="23" t="e">
        <f ca="1">[1]!BexGetData("DP_1","003N8EMH8GTFRCSWKMPXRRESE","GSON1112070290")</f>
        <v>#NAME?</v>
      </c>
      <c r="E1369" s="28" t="e">
        <f ca="1">[1]!BexGetData("DP_1","003N8EMH8GTFRCSWKMPXRRL3Y","GSON1112070290")</f>
        <v>#NAME?</v>
      </c>
      <c r="F1369" s="23" t="e">
        <f ca="1">[1]!BexGetData("DP_1","003N8EMH8GTFRCSWKMPXRRRFI","GSON1112070290")</f>
        <v>#NAME?</v>
      </c>
      <c r="G1369" s="23" t="e">
        <f ca="1">[1]!BexGetData("DP_1","003N8EMH8GTFRCSWKMPXRRXR2","GSON1112070290")</f>
        <v>#NAME?</v>
      </c>
      <c r="H1369" s="23" t="e">
        <f ca="1">[1]!BexGetData("DP_1","003N8EMH8GTFRCSWKMPXRS42M","GSON1112070290")</f>
        <v>#NAME?</v>
      </c>
      <c r="I1369" s="23" t="e">
        <f ca="1">[1]!BexGetData("DP_1","003N8EMH8GTFRCSWKMPXRSAE6","GSON1112070290")</f>
        <v>#NAME?</v>
      </c>
      <c r="J1369" s="24" t="e">
        <f ca="1">[1]!BexGetData("DP_1","003N8EMH8GTFRCSWKMPXRSGPQ","GSON1112070290")</f>
        <v>#NAME?</v>
      </c>
      <c r="K1369" s="23" t="e">
        <f ca="1">[1]!BexGetData("DP_1","003N8EMH8GTFRIVNUPY288VJH","GSON1112070290")</f>
        <v>#NAME?</v>
      </c>
      <c r="L1369" s="23" t="e">
        <f ca="1">[1]!BexGetData("DP_1","003N8EMH8GTFRIVNUPY2891V1","GSON1112070290")</f>
        <v>#NAME?</v>
      </c>
      <c r="M1369" s="23" t="e">
        <f ca="1">[1]!BexGetData("DP_1","003N8EMH8GTFRIVOG7KG9IQXA","GSON1112070290")</f>
        <v>#NAME?</v>
      </c>
      <c r="N1369" s="28" t="e">
        <f ca="1">[1]!BexGetData("DP_1","003N8EMH8GTFRIVOG7KG9IX8U","GSON1112070290")</f>
        <v>#NAME?</v>
      </c>
      <c r="O1369" s="23" t="e">
        <f ca="1">[1]!BexGetData("DP_1","003N8EMH8GTFRIVOG7KG9J3KE","GSON1112070290")</f>
        <v>#NAME?</v>
      </c>
      <c r="P1369" s="28" t="e">
        <f ca="1">[1]!BexGetData("DP_1","003N8EMH8GTFRIVOG7KG9J9VY","GSON1112070290")</f>
        <v>#NAME?</v>
      </c>
      <c r="Q1369" s="24" t="e">
        <f ca="1">[1]!BexGetData("DP_1","00O2TNJGODT0G5Z4TTKYMM5MT","GSON1112070290")</f>
        <v>#NAME?</v>
      </c>
      <c r="R1369" s="23" t="e">
        <f ca="1">[1]!BexGetData("DP_1","00O2TNJGODT0G5Z4TTKYMMBYD","GSON1112070290")</f>
        <v>#NAME?</v>
      </c>
      <c r="S1369" s="23" t="e">
        <f ca="1">[1]!BexGetData("DP_1","00O2TNJGODT0G5Z4TTKYMMI9X","GSON1112070290")</f>
        <v>#NAME?</v>
      </c>
      <c r="T1369" s="28" t="e">
        <f ca="1">[1]!BexGetData("DP_1","00O2TNJGODT0G5Z4TTKYMMOLH","GSON1112070290")</f>
        <v>#NAME?</v>
      </c>
      <c r="U1369" s="23" t="e">
        <f ca="1">[1]!BexGetData("DP_1","00O2TNJGODT0G5Z4TTKYMMUX1","GSON1112070290")</f>
        <v>#NAME?</v>
      </c>
      <c r="V1369" s="28" t="e">
        <f ca="1">[1]!BexGetData("DP_1","00O2TNJGODT0G5Z4TTKYMN18L","GSON1112070290")</f>
        <v>#NAME?</v>
      </c>
      <c r="W1369" s="23" t="e">
        <f ca="1">[1]!BexGetData("DP_1","00O2TNJGODT0G5Z4TTKYMN7K5","GSON1112070290")</f>
        <v>#NAME?</v>
      </c>
    </row>
    <row r="1370" spans="1:23" x14ac:dyDescent="0.2">
      <c r="A1370" s="36" t="s">
        <v>3986</v>
      </c>
      <c r="B1370" s="27" t="s">
        <v>3987</v>
      </c>
      <c r="C1370" s="28" t="e">
        <f ca="1">[1]!BexGetData("DP_1","003N8EMH8GTFRCSWKMPXRR8GU","GSON1112070291")</f>
        <v>#NAME?</v>
      </c>
      <c r="D1370" s="28" t="e">
        <f ca="1">[1]!BexGetData("DP_1","003N8EMH8GTFRCSWKMPXRRESE","GSON1112070291")</f>
        <v>#NAME?</v>
      </c>
      <c r="E1370" s="28" t="e">
        <f ca="1">[1]!BexGetData("DP_1","003N8EMH8GTFRCSWKMPXRRL3Y","GSON1112070291")</f>
        <v>#NAME?</v>
      </c>
      <c r="F1370" s="28" t="e">
        <f ca="1">[1]!BexGetData("DP_1","003N8EMH8GTFRCSWKMPXRRRFI","GSON1112070291")</f>
        <v>#NAME?</v>
      </c>
      <c r="G1370" s="23" t="e">
        <f ca="1">[1]!BexGetData("DP_1","003N8EMH8GTFRCSWKMPXRRXR2","GSON1112070291")</f>
        <v>#NAME?</v>
      </c>
      <c r="H1370" s="23" t="e">
        <f ca="1">[1]!BexGetData("DP_1","003N8EMH8GTFRCSWKMPXRS42M","GSON1112070291")</f>
        <v>#NAME?</v>
      </c>
      <c r="I1370" s="28" t="e">
        <f ca="1">[1]!BexGetData("DP_1","003N8EMH8GTFRCSWKMPXRSAE6","GSON1112070291")</f>
        <v>#NAME?</v>
      </c>
      <c r="J1370" s="24" t="e">
        <f ca="1">[1]!BexGetData("DP_1","003N8EMH8GTFRCSWKMPXRSGPQ","GSON1112070291")</f>
        <v>#NAME?</v>
      </c>
      <c r="K1370" s="28" t="e">
        <f ca="1">[1]!BexGetData("DP_1","003N8EMH8GTFRIVNUPY288VJH","GSON1112070291")</f>
        <v>#NAME?</v>
      </c>
      <c r="L1370" s="28" t="e">
        <f ca="1">[1]!BexGetData("DP_1","003N8EMH8GTFRIVNUPY2891V1","GSON1112070291")</f>
        <v>#NAME?</v>
      </c>
      <c r="M1370" s="28" t="e">
        <f ca="1">[1]!BexGetData("DP_1","003N8EMH8GTFRIVOG7KG9IQXA","GSON1112070291")</f>
        <v>#NAME?</v>
      </c>
      <c r="N1370" s="28" t="e">
        <f ca="1">[1]!BexGetData("DP_1","003N8EMH8GTFRIVOG7KG9IX8U","GSON1112070291")</f>
        <v>#NAME?</v>
      </c>
      <c r="O1370" s="28" t="e">
        <f ca="1">[1]!BexGetData("DP_1","003N8EMH8GTFRIVOG7KG9J3KE","GSON1112070291")</f>
        <v>#NAME?</v>
      </c>
      <c r="P1370" s="28" t="e">
        <f ca="1">[1]!BexGetData("DP_1","003N8EMH8GTFRIVOG7KG9J9VY","GSON1112070291")</f>
        <v>#NAME?</v>
      </c>
      <c r="Q1370" s="24" t="e">
        <f ca="1">[1]!BexGetData("DP_1","00O2TNJGODT0G5Z4TTKYMM5MT","GSON1112070291")</f>
        <v>#NAME?</v>
      </c>
      <c r="R1370" s="28" t="e">
        <f ca="1">[1]!BexGetData("DP_1","00O2TNJGODT0G5Z4TTKYMMBYD","GSON1112070291")</f>
        <v>#NAME?</v>
      </c>
      <c r="S1370" s="28" t="e">
        <f ca="1">[1]!BexGetData("DP_1","00O2TNJGODT0G5Z4TTKYMMI9X","GSON1112070291")</f>
        <v>#NAME?</v>
      </c>
      <c r="T1370" s="28" t="e">
        <f ca="1">[1]!BexGetData("DP_1","00O2TNJGODT0G5Z4TTKYMMOLH","GSON1112070291")</f>
        <v>#NAME?</v>
      </c>
      <c r="U1370" s="28" t="e">
        <f ca="1">[1]!BexGetData("DP_1","00O2TNJGODT0G5Z4TTKYMMUX1","GSON1112070291")</f>
        <v>#NAME?</v>
      </c>
      <c r="V1370" s="28" t="e">
        <f ca="1">[1]!BexGetData("DP_1","00O2TNJGODT0G5Z4TTKYMN18L","GSON1112070291")</f>
        <v>#NAME?</v>
      </c>
      <c r="W1370" s="28" t="e">
        <f ca="1">[1]!BexGetData("DP_1","00O2TNJGODT0G5Z4TTKYMN7K5","GSON1112070291")</f>
        <v>#NAME?</v>
      </c>
    </row>
    <row r="1371" spans="1:23" x14ac:dyDescent="0.2">
      <c r="A1371" s="36" t="s">
        <v>3988</v>
      </c>
      <c r="B1371" s="27" t="s">
        <v>3989</v>
      </c>
      <c r="C1371" s="23" t="e">
        <f ca="1">[1]!BexGetData("DP_1","003N8EMH8GTFRCSWKMPXRR8GU","GSON1112070293")</f>
        <v>#NAME?</v>
      </c>
      <c r="D1371" s="23" t="e">
        <f ca="1">[1]!BexGetData("DP_1","003N8EMH8GTFRCSWKMPXRRESE","GSON1112070293")</f>
        <v>#NAME?</v>
      </c>
      <c r="E1371" s="28" t="e">
        <f ca="1">[1]!BexGetData("DP_1","003N8EMH8GTFRCSWKMPXRRL3Y","GSON1112070293")</f>
        <v>#NAME?</v>
      </c>
      <c r="F1371" s="28" t="e">
        <f ca="1">[1]!BexGetData("DP_1","003N8EMH8GTFRCSWKMPXRRRFI","GSON1112070293")</f>
        <v>#NAME?</v>
      </c>
      <c r="G1371" s="23" t="e">
        <f ca="1">[1]!BexGetData("DP_1","003N8EMH8GTFRCSWKMPXRRXR2","GSON1112070293")</f>
        <v>#NAME?</v>
      </c>
      <c r="H1371" s="23" t="e">
        <f ca="1">[1]!BexGetData("DP_1","003N8EMH8GTFRCSWKMPXRS42M","GSON1112070293")</f>
        <v>#NAME?</v>
      </c>
      <c r="I1371" s="28" t="e">
        <f ca="1">[1]!BexGetData("DP_1","003N8EMH8GTFRCSWKMPXRSAE6","GSON1112070293")</f>
        <v>#NAME?</v>
      </c>
      <c r="J1371" s="24" t="e">
        <f ca="1">[1]!BexGetData("DP_1","003N8EMH8GTFRCSWKMPXRSGPQ","GSON1112070293")</f>
        <v>#NAME?</v>
      </c>
      <c r="K1371" s="28" t="e">
        <f ca="1">[1]!BexGetData("DP_1","003N8EMH8GTFRIVNUPY288VJH","GSON1112070293")</f>
        <v>#NAME?</v>
      </c>
      <c r="L1371" s="28" t="e">
        <f ca="1">[1]!BexGetData("DP_1","003N8EMH8GTFRIVNUPY2891V1","GSON1112070293")</f>
        <v>#NAME?</v>
      </c>
      <c r="M1371" s="28" t="e">
        <f ca="1">[1]!BexGetData("DP_1","003N8EMH8GTFRIVOG7KG9IQXA","GSON1112070293")</f>
        <v>#NAME?</v>
      </c>
      <c r="N1371" s="28" t="e">
        <f ca="1">[1]!BexGetData("DP_1","003N8EMH8GTFRIVOG7KG9IX8U","GSON1112070293")</f>
        <v>#NAME?</v>
      </c>
      <c r="O1371" s="28" t="e">
        <f ca="1">[1]!BexGetData("DP_1","003N8EMH8GTFRIVOG7KG9J3KE","GSON1112070293")</f>
        <v>#NAME?</v>
      </c>
      <c r="P1371" s="28" t="e">
        <f ca="1">[1]!BexGetData("DP_1","003N8EMH8GTFRIVOG7KG9J9VY","GSON1112070293")</f>
        <v>#NAME?</v>
      </c>
      <c r="Q1371" s="24" t="e">
        <f ca="1">[1]!BexGetData("DP_1","00O2TNJGODT0G5Z4TTKYMM5MT","GSON1112070293")</f>
        <v>#NAME?</v>
      </c>
      <c r="R1371" s="28" t="e">
        <f ca="1">[1]!BexGetData("DP_1","00O2TNJGODT0G5Z4TTKYMMBYD","GSON1112070293")</f>
        <v>#NAME?</v>
      </c>
      <c r="S1371" s="28" t="e">
        <f ca="1">[1]!BexGetData("DP_1","00O2TNJGODT0G5Z4TTKYMMI9X","GSON1112070293")</f>
        <v>#NAME?</v>
      </c>
      <c r="T1371" s="28" t="e">
        <f ca="1">[1]!BexGetData("DP_1","00O2TNJGODT0G5Z4TTKYMMOLH","GSON1112070293")</f>
        <v>#NAME?</v>
      </c>
      <c r="U1371" s="28" t="e">
        <f ca="1">[1]!BexGetData("DP_1","00O2TNJGODT0G5Z4TTKYMMUX1","GSON1112070293")</f>
        <v>#NAME?</v>
      </c>
      <c r="V1371" s="28" t="e">
        <f ca="1">[1]!BexGetData("DP_1","00O2TNJGODT0G5Z4TTKYMN18L","GSON1112070293")</f>
        <v>#NAME?</v>
      </c>
      <c r="W1371" s="28" t="e">
        <f ca="1">[1]!BexGetData("DP_1","00O2TNJGODT0G5Z4TTKYMN7K5","GSON1112070293")</f>
        <v>#NAME?</v>
      </c>
    </row>
    <row r="1372" spans="1:23" x14ac:dyDescent="0.2">
      <c r="A1372" s="36" t="s">
        <v>3990</v>
      </c>
      <c r="B1372" s="27" t="s">
        <v>3991</v>
      </c>
      <c r="C1372" s="23" t="e">
        <f ca="1">[1]!BexGetData("DP_1","003N8EMH8GTFRCSWKMPXRR8GU","GSON1112070294")</f>
        <v>#NAME?</v>
      </c>
      <c r="D1372" s="23" t="e">
        <f ca="1">[1]!BexGetData("DP_1","003N8EMH8GTFRCSWKMPXRRESE","GSON1112070294")</f>
        <v>#NAME?</v>
      </c>
      <c r="E1372" s="28" t="e">
        <f ca="1">[1]!BexGetData("DP_1","003N8EMH8GTFRCSWKMPXRRL3Y","GSON1112070294")</f>
        <v>#NAME?</v>
      </c>
      <c r="F1372" s="28" t="e">
        <f ca="1">[1]!BexGetData("DP_1","003N8EMH8GTFRCSWKMPXRRRFI","GSON1112070294")</f>
        <v>#NAME?</v>
      </c>
      <c r="G1372" s="23" t="e">
        <f ca="1">[1]!BexGetData("DP_1","003N8EMH8GTFRCSWKMPXRRXR2","GSON1112070294")</f>
        <v>#NAME?</v>
      </c>
      <c r="H1372" s="23" t="e">
        <f ca="1">[1]!BexGetData("DP_1","003N8EMH8GTFRCSWKMPXRS42M","GSON1112070294")</f>
        <v>#NAME?</v>
      </c>
      <c r="I1372" s="28" t="e">
        <f ca="1">[1]!BexGetData("DP_1","003N8EMH8GTFRCSWKMPXRSAE6","GSON1112070294")</f>
        <v>#NAME?</v>
      </c>
      <c r="J1372" s="24" t="e">
        <f ca="1">[1]!BexGetData("DP_1","003N8EMH8GTFRCSWKMPXRSGPQ","GSON1112070294")</f>
        <v>#NAME?</v>
      </c>
      <c r="K1372" s="28" t="e">
        <f ca="1">[1]!BexGetData("DP_1","003N8EMH8GTFRIVNUPY288VJH","GSON1112070294")</f>
        <v>#NAME?</v>
      </c>
      <c r="L1372" s="28" t="e">
        <f ca="1">[1]!BexGetData("DP_1","003N8EMH8GTFRIVNUPY2891V1","GSON1112070294")</f>
        <v>#NAME?</v>
      </c>
      <c r="M1372" s="28" t="e">
        <f ca="1">[1]!BexGetData("DP_1","003N8EMH8GTFRIVOG7KG9IQXA","GSON1112070294")</f>
        <v>#NAME?</v>
      </c>
      <c r="N1372" s="28" t="e">
        <f ca="1">[1]!BexGetData("DP_1","003N8EMH8GTFRIVOG7KG9IX8U","GSON1112070294")</f>
        <v>#NAME?</v>
      </c>
      <c r="O1372" s="28" t="e">
        <f ca="1">[1]!BexGetData("DP_1","003N8EMH8GTFRIVOG7KG9J3KE","GSON1112070294")</f>
        <v>#NAME?</v>
      </c>
      <c r="P1372" s="28" t="e">
        <f ca="1">[1]!BexGetData("DP_1","003N8EMH8GTFRIVOG7KG9J9VY","GSON1112070294")</f>
        <v>#NAME?</v>
      </c>
      <c r="Q1372" s="24" t="e">
        <f ca="1">[1]!BexGetData("DP_1","00O2TNJGODT0G5Z4TTKYMM5MT","GSON1112070294")</f>
        <v>#NAME?</v>
      </c>
      <c r="R1372" s="28" t="e">
        <f ca="1">[1]!BexGetData("DP_1","00O2TNJGODT0G5Z4TTKYMMBYD","GSON1112070294")</f>
        <v>#NAME?</v>
      </c>
      <c r="S1372" s="28" t="e">
        <f ca="1">[1]!BexGetData("DP_1","00O2TNJGODT0G5Z4TTKYMMI9X","GSON1112070294")</f>
        <v>#NAME?</v>
      </c>
      <c r="T1372" s="28" t="e">
        <f ca="1">[1]!BexGetData("DP_1","00O2TNJGODT0G5Z4TTKYMMOLH","GSON1112070294")</f>
        <v>#NAME?</v>
      </c>
      <c r="U1372" s="28" t="e">
        <f ca="1">[1]!BexGetData("DP_1","00O2TNJGODT0G5Z4TTKYMMUX1","GSON1112070294")</f>
        <v>#NAME?</v>
      </c>
      <c r="V1372" s="28" t="e">
        <f ca="1">[1]!BexGetData("DP_1","00O2TNJGODT0G5Z4TTKYMN18L","GSON1112070294")</f>
        <v>#NAME?</v>
      </c>
      <c r="W1372" s="28" t="e">
        <f ca="1">[1]!BexGetData("DP_1","00O2TNJGODT0G5Z4TTKYMN7K5","GSON1112070294")</f>
        <v>#NAME?</v>
      </c>
    </row>
    <row r="1373" spans="1:23" x14ac:dyDescent="0.2">
      <c r="A1373" s="36" t="s">
        <v>3992</v>
      </c>
      <c r="B1373" s="27" t="s">
        <v>3993</v>
      </c>
      <c r="C1373" s="23" t="e">
        <f ca="1">[1]!BexGetData("DP_1","003N8EMH8GTFRCSWKMPXRR8GU","GSON1112070295")</f>
        <v>#NAME?</v>
      </c>
      <c r="D1373" s="23" t="e">
        <f ca="1">[1]!BexGetData("DP_1","003N8EMH8GTFRCSWKMPXRRESE","GSON1112070295")</f>
        <v>#NAME?</v>
      </c>
      <c r="E1373" s="28" t="e">
        <f ca="1">[1]!BexGetData("DP_1","003N8EMH8GTFRCSWKMPXRRL3Y","GSON1112070295")</f>
        <v>#NAME?</v>
      </c>
      <c r="F1373" s="28" t="e">
        <f ca="1">[1]!BexGetData("DP_1","003N8EMH8GTFRCSWKMPXRRRFI","GSON1112070295")</f>
        <v>#NAME?</v>
      </c>
      <c r="G1373" s="23" t="e">
        <f ca="1">[1]!BexGetData("DP_1","003N8EMH8GTFRCSWKMPXRRXR2","GSON1112070295")</f>
        <v>#NAME?</v>
      </c>
      <c r="H1373" s="23" t="e">
        <f ca="1">[1]!BexGetData("DP_1","003N8EMH8GTFRCSWKMPXRS42M","GSON1112070295")</f>
        <v>#NAME?</v>
      </c>
      <c r="I1373" s="28" t="e">
        <f ca="1">[1]!BexGetData("DP_1","003N8EMH8GTFRCSWKMPXRSAE6","GSON1112070295")</f>
        <v>#NAME?</v>
      </c>
      <c r="J1373" s="24" t="e">
        <f ca="1">[1]!BexGetData("DP_1","003N8EMH8GTFRCSWKMPXRSGPQ","GSON1112070295")</f>
        <v>#NAME?</v>
      </c>
      <c r="K1373" s="28" t="e">
        <f ca="1">[1]!BexGetData("DP_1","003N8EMH8GTFRIVNUPY288VJH","GSON1112070295")</f>
        <v>#NAME?</v>
      </c>
      <c r="L1373" s="28" t="e">
        <f ca="1">[1]!BexGetData("DP_1","003N8EMH8GTFRIVNUPY2891V1","GSON1112070295")</f>
        <v>#NAME?</v>
      </c>
      <c r="M1373" s="28" t="e">
        <f ca="1">[1]!BexGetData("DP_1","003N8EMH8GTFRIVOG7KG9IQXA","GSON1112070295")</f>
        <v>#NAME?</v>
      </c>
      <c r="N1373" s="28" t="e">
        <f ca="1">[1]!BexGetData("DP_1","003N8EMH8GTFRIVOG7KG9IX8U","GSON1112070295")</f>
        <v>#NAME?</v>
      </c>
      <c r="O1373" s="28" t="e">
        <f ca="1">[1]!BexGetData("DP_1","003N8EMH8GTFRIVOG7KG9J3KE","GSON1112070295")</f>
        <v>#NAME?</v>
      </c>
      <c r="P1373" s="28" t="e">
        <f ca="1">[1]!BexGetData("DP_1","003N8EMH8GTFRIVOG7KG9J9VY","GSON1112070295")</f>
        <v>#NAME?</v>
      </c>
      <c r="Q1373" s="24" t="e">
        <f ca="1">[1]!BexGetData("DP_1","00O2TNJGODT0G5Z4TTKYMM5MT","GSON1112070295")</f>
        <v>#NAME?</v>
      </c>
      <c r="R1373" s="28" t="e">
        <f ca="1">[1]!BexGetData("DP_1","00O2TNJGODT0G5Z4TTKYMMBYD","GSON1112070295")</f>
        <v>#NAME?</v>
      </c>
      <c r="S1373" s="28" t="e">
        <f ca="1">[1]!BexGetData("DP_1","00O2TNJGODT0G5Z4TTKYMMI9X","GSON1112070295")</f>
        <v>#NAME?</v>
      </c>
      <c r="T1373" s="28" t="e">
        <f ca="1">[1]!BexGetData("DP_1","00O2TNJGODT0G5Z4TTKYMMOLH","GSON1112070295")</f>
        <v>#NAME?</v>
      </c>
      <c r="U1373" s="28" t="e">
        <f ca="1">[1]!BexGetData("DP_1","00O2TNJGODT0G5Z4TTKYMMUX1","GSON1112070295")</f>
        <v>#NAME?</v>
      </c>
      <c r="V1373" s="28" t="e">
        <f ca="1">[1]!BexGetData("DP_1","00O2TNJGODT0G5Z4TTKYMN18L","GSON1112070295")</f>
        <v>#NAME?</v>
      </c>
      <c r="W1373" s="28" t="e">
        <f ca="1">[1]!BexGetData("DP_1","00O2TNJGODT0G5Z4TTKYMN7K5","GSON1112070295")</f>
        <v>#NAME?</v>
      </c>
    </row>
    <row r="1374" spans="1:23" x14ac:dyDescent="0.2">
      <c r="A1374" s="36" t="s">
        <v>3994</v>
      </c>
      <c r="B1374" s="27" t="s">
        <v>3995</v>
      </c>
      <c r="C1374" s="23" t="e">
        <f ca="1">[1]!BexGetData("DP_1","003N8EMH8GTFRCSWKMPXRR8GU","GSON1112070300")</f>
        <v>#NAME?</v>
      </c>
      <c r="D1374" s="28" t="e">
        <f ca="1">[1]!BexGetData("DP_1","003N8EMH8GTFRCSWKMPXRRESE","GSON1112070300")</f>
        <v>#NAME?</v>
      </c>
      <c r="E1374" s="23" t="e">
        <f ca="1">[1]!BexGetData("DP_1","003N8EMH8GTFRCSWKMPXRRL3Y","GSON1112070300")</f>
        <v>#NAME?</v>
      </c>
      <c r="F1374" s="23" t="e">
        <f ca="1">[1]!BexGetData("DP_1","003N8EMH8GTFRCSWKMPXRRRFI","GSON1112070300")</f>
        <v>#NAME?</v>
      </c>
      <c r="G1374" s="23" t="e">
        <f ca="1">[1]!BexGetData("DP_1","003N8EMH8GTFRCSWKMPXRRXR2","GSON1112070300")</f>
        <v>#NAME?</v>
      </c>
      <c r="H1374" s="23" t="e">
        <f ca="1">[1]!BexGetData("DP_1","003N8EMH8GTFRCSWKMPXRS42M","GSON1112070300")</f>
        <v>#NAME?</v>
      </c>
      <c r="I1374" s="23" t="e">
        <f ca="1">[1]!BexGetData("DP_1","003N8EMH8GTFRCSWKMPXRSAE6","GSON1112070300")</f>
        <v>#NAME?</v>
      </c>
      <c r="J1374" s="24" t="e">
        <f ca="1">[1]!BexGetData("DP_1","003N8EMH8GTFRCSWKMPXRSGPQ","GSON1112070300")</f>
        <v>#NAME?</v>
      </c>
      <c r="K1374" s="23" t="e">
        <f ca="1">[1]!BexGetData("DP_1","003N8EMH8GTFRIVNUPY288VJH","GSON1112070300")</f>
        <v>#NAME?</v>
      </c>
      <c r="L1374" s="23" t="e">
        <f ca="1">[1]!BexGetData("DP_1","003N8EMH8GTFRIVNUPY2891V1","GSON1112070300")</f>
        <v>#NAME?</v>
      </c>
      <c r="M1374" s="28" t="e">
        <f ca="1">[1]!BexGetData("DP_1","003N8EMH8GTFRIVOG7KG9IQXA","GSON1112070300")</f>
        <v>#NAME?</v>
      </c>
      <c r="N1374" s="23" t="e">
        <f ca="1">[1]!BexGetData("DP_1","003N8EMH8GTFRIVOG7KG9IX8U","GSON1112070300")</f>
        <v>#NAME?</v>
      </c>
      <c r="O1374" s="28" t="e">
        <f ca="1">[1]!BexGetData("DP_1","003N8EMH8GTFRIVOG7KG9J3KE","GSON1112070300")</f>
        <v>#NAME?</v>
      </c>
      <c r="P1374" s="23" t="e">
        <f ca="1">[1]!BexGetData("DP_1","003N8EMH8GTFRIVOG7KG9J9VY","GSON1112070300")</f>
        <v>#NAME?</v>
      </c>
      <c r="Q1374" s="24" t="e">
        <f ca="1">[1]!BexGetData("DP_1","00O2TNJGODT0G5Z4TTKYMM5MT","GSON1112070300")</f>
        <v>#NAME?</v>
      </c>
      <c r="R1374" s="23" t="e">
        <f ca="1">[1]!BexGetData("DP_1","00O2TNJGODT0G5Z4TTKYMMBYD","GSON1112070300")</f>
        <v>#NAME?</v>
      </c>
      <c r="S1374" s="23" t="e">
        <f ca="1">[1]!BexGetData("DP_1","00O2TNJGODT0G5Z4TTKYMMI9X","GSON1112070300")</f>
        <v>#NAME?</v>
      </c>
      <c r="T1374" s="28" t="e">
        <f ca="1">[1]!BexGetData("DP_1","00O2TNJGODT0G5Z4TTKYMMOLH","GSON1112070300")</f>
        <v>#NAME?</v>
      </c>
      <c r="U1374" s="23" t="e">
        <f ca="1">[1]!BexGetData("DP_1","00O2TNJGODT0G5Z4TTKYMMUX1","GSON1112070300")</f>
        <v>#NAME?</v>
      </c>
      <c r="V1374" s="28" t="e">
        <f ca="1">[1]!BexGetData("DP_1","00O2TNJGODT0G5Z4TTKYMN18L","GSON1112070300")</f>
        <v>#NAME?</v>
      </c>
      <c r="W1374" s="23" t="e">
        <f ca="1">[1]!BexGetData("DP_1","00O2TNJGODT0G5Z4TTKYMN7K5","GSON1112070300")</f>
        <v>#NAME?</v>
      </c>
    </row>
    <row r="1375" spans="1:23" x14ac:dyDescent="0.2">
      <c r="A1375" s="36" t="s">
        <v>3996</v>
      </c>
      <c r="B1375" s="27" t="s">
        <v>3997</v>
      </c>
      <c r="C1375" s="28" t="e">
        <f ca="1">[1]!BexGetData("DP_1","003N8EMH8GTFRCSWKMPXRR8GU","GSON1112070301")</f>
        <v>#NAME?</v>
      </c>
      <c r="D1375" s="28" t="e">
        <f ca="1">[1]!BexGetData("DP_1","003N8EMH8GTFRCSWKMPXRRESE","GSON1112070301")</f>
        <v>#NAME?</v>
      </c>
      <c r="E1375" s="28" t="e">
        <f ca="1">[1]!BexGetData("DP_1","003N8EMH8GTFRCSWKMPXRRL3Y","GSON1112070301")</f>
        <v>#NAME?</v>
      </c>
      <c r="F1375" s="28" t="e">
        <f ca="1">[1]!BexGetData("DP_1","003N8EMH8GTFRCSWKMPXRRRFI","GSON1112070301")</f>
        <v>#NAME?</v>
      </c>
      <c r="G1375" s="23" t="e">
        <f ca="1">[1]!BexGetData("DP_1","003N8EMH8GTFRCSWKMPXRRXR2","GSON1112070301")</f>
        <v>#NAME?</v>
      </c>
      <c r="H1375" s="23" t="e">
        <f ca="1">[1]!BexGetData("DP_1","003N8EMH8GTFRCSWKMPXRS42M","GSON1112070301")</f>
        <v>#NAME?</v>
      </c>
      <c r="I1375" s="28" t="e">
        <f ca="1">[1]!BexGetData("DP_1","003N8EMH8GTFRCSWKMPXRSAE6","GSON1112070301")</f>
        <v>#NAME?</v>
      </c>
      <c r="J1375" s="24" t="e">
        <f ca="1">[1]!BexGetData("DP_1","003N8EMH8GTFRCSWKMPXRSGPQ","GSON1112070301")</f>
        <v>#NAME?</v>
      </c>
      <c r="K1375" s="28" t="e">
        <f ca="1">[1]!BexGetData("DP_1","003N8EMH8GTFRIVNUPY288VJH","GSON1112070301")</f>
        <v>#NAME?</v>
      </c>
      <c r="L1375" s="28" t="e">
        <f ca="1">[1]!BexGetData("DP_1","003N8EMH8GTFRIVNUPY2891V1","GSON1112070301")</f>
        <v>#NAME?</v>
      </c>
      <c r="M1375" s="28" t="e">
        <f ca="1">[1]!BexGetData("DP_1","003N8EMH8GTFRIVOG7KG9IQXA","GSON1112070301")</f>
        <v>#NAME?</v>
      </c>
      <c r="N1375" s="28" t="e">
        <f ca="1">[1]!BexGetData("DP_1","003N8EMH8GTFRIVOG7KG9IX8U","GSON1112070301")</f>
        <v>#NAME?</v>
      </c>
      <c r="O1375" s="28" t="e">
        <f ca="1">[1]!BexGetData("DP_1","003N8EMH8GTFRIVOG7KG9J3KE","GSON1112070301")</f>
        <v>#NAME?</v>
      </c>
      <c r="P1375" s="28" t="e">
        <f ca="1">[1]!BexGetData("DP_1","003N8EMH8GTFRIVOG7KG9J9VY","GSON1112070301")</f>
        <v>#NAME?</v>
      </c>
      <c r="Q1375" s="24" t="e">
        <f ca="1">[1]!BexGetData("DP_1","00O2TNJGODT0G5Z4TTKYMM5MT","GSON1112070301")</f>
        <v>#NAME?</v>
      </c>
      <c r="R1375" s="28" t="e">
        <f ca="1">[1]!BexGetData("DP_1","00O2TNJGODT0G5Z4TTKYMMBYD","GSON1112070301")</f>
        <v>#NAME?</v>
      </c>
      <c r="S1375" s="28" t="e">
        <f ca="1">[1]!BexGetData("DP_1","00O2TNJGODT0G5Z4TTKYMMI9X","GSON1112070301")</f>
        <v>#NAME?</v>
      </c>
      <c r="T1375" s="28" t="e">
        <f ca="1">[1]!BexGetData("DP_1","00O2TNJGODT0G5Z4TTKYMMOLH","GSON1112070301")</f>
        <v>#NAME?</v>
      </c>
      <c r="U1375" s="28" t="e">
        <f ca="1">[1]!BexGetData("DP_1","00O2TNJGODT0G5Z4TTKYMMUX1","GSON1112070301")</f>
        <v>#NAME?</v>
      </c>
      <c r="V1375" s="28" t="e">
        <f ca="1">[1]!BexGetData("DP_1","00O2TNJGODT0G5Z4TTKYMN18L","GSON1112070301")</f>
        <v>#NAME?</v>
      </c>
      <c r="W1375" s="28" t="e">
        <f ca="1">[1]!BexGetData("DP_1","00O2TNJGODT0G5Z4TTKYMN7K5","GSON1112070301")</f>
        <v>#NAME?</v>
      </c>
    </row>
    <row r="1376" spans="1:23" x14ac:dyDescent="0.2">
      <c r="A1376" s="36" t="s">
        <v>3998</v>
      </c>
      <c r="B1376" s="27" t="s">
        <v>3999</v>
      </c>
      <c r="C1376" s="24" t="e">
        <f ca="1">[1]!BexGetData("DP_1","003N8EMH8GTFRCSWKMPXRR8GU","GSON1112070303")</f>
        <v>#NAME?</v>
      </c>
      <c r="D1376" s="24" t="e">
        <f ca="1">[1]!BexGetData("DP_1","003N8EMH8GTFRCSWKMPXRRESE","GSON1112070303")</f>
        <v>#NAME?</v>
      </c>
      <c r="E1376" s="24" t="e">
        <f ca="1">[1]!BexGetData("DP_1","003N8EMH8GTFRCSWKMPXRRL3Y","GSON1112070303")</f>
        <v>#NAME?</v>
      </c>
      <c r="F1376" s="28" t="e">
        <f ca="1">[1]!BexGetData("DP_1","003N8EMH8GTFRCSWKMPXRRRFI","GSON1112070303")</f>
        <v>#NAME?</v>
      </c>
      <c r="G1376" s="23" t="e">
        <f ca="1">[1]!BexGetData("DP_1","003N8EMH8GTFRCSWKMPXRRXR2","GSON1112070303")</f>
        <v>#NAME?</v>
      </c>
      <c r="H1376" s="23" t="e">
        <f ca="1">[1]!BexGetData("DP_1","003N8EMH8GTFRCSWKMPXRS42M","GSON1112070303")</f>
        <v>#NAME?</v>
      </c>
      <c r="I1376" s="28" t="e">
        <f ca="1">[1]!BexGetData("DP_1","003N8EMH8GTFRCSWKMPXRSAE6","GSON1112070303")</f>
        <v>#NAME?</v>
      </c>
      <c r="J1376" s="24" t="e">
        <f ca="1">[1]!BexGetData("DP_1","003N8EMH8GTFRCSWKMPXRSGPQ","GSON1112070303")</f>
        <v>#NAME?</v>
      </c>
      <c r="K1376" s="28" t="e">
        <f ca="1">[1]!BexGetData("DP_1","003N8EMH8GTFRIVNUPY288VJH","GSON1112070303")</f>
        <v>#NAME?</v>
      </c>
      <c r="L1376" s="28" t="e">
        <f ca="1">[1]!BexGetData("DP_1","003N8EMH8GTFRIVNUPY2891V1","GSON1112070303")</f>
        <v>#NAME?</v>
      </c>
      <c r="M1376" s="28" t="e">
        <f ca="1">[1]!BexGetData("DP_1","003N8EMH8GTFRIVOG7KG9IQXA","GSON1112070303")</f>
        <v>#NAME?</v>
      </c>
      <c r="N1376" s="28" t="e">
        <f ca="1">[1]!BexGetData("DP_1","003N8EMH8GTFRIVOG7KG9IX8U","GSON1112070303")</f>
        <v>#NAME?</v>
      </c>
      <c r="O1376" s="28" t="e">
        <f ca="1">[1]!BexGetData("DP_1","003N8EMH8GTFRIVOG7KG9J3KE","GSON1112070303")</f>
        <v>#NAME?</v>
      </c>
      <c r="P1376" s="28" t="e">
        <f ca="1">[1]!BexGetData("DP_1","003N8EMH8GTFRIVOG7KG9J9VY","GSON1112070303")</f>
        <v>#NAME?</v>
      </c>
      <c r="Q1376" s="24" t="e">
        <f ca="1">[1]!BexGetData("DP_1","00O2TNJGODT0G5Z4TTKYMM5MT","GSON1112070303")</f>
        <v>#NAME?</v>
      </c>
      <c r="R1376" s="28" t="e">
        <f ca="1">[1]!BexGetData("DP_1","00O2TNJGODT0G5Z4TTKYMMBYD","GSON1112070303")</f>
        <v>#NAME?</v>
      </c>
      <c r="S1376" s="28" t="e">
        <f ca="1">[1]!BexGetData("DP_1","00O2TNJGODT0G5Z4TTKYMMI9X","GSON1112070303")</f>
        <v>#NAME?</v>
      </c>
      <c r="T1376" s="28" t="e">
        <f ca="1">[1]!BexGetData("DP_1","00O2TNJGODT0G5Z4TTKYMMOLH","GSON1112070303")</f>
        <v>#NAME?</v>
      </c>
      <c r="U1376" s="28" t="e">
        <f ca="1">[1]!BexGetData("DP_1","00O2TNJGODT0G5Z4TTKYMMUX1","GSON1112070303")</f>
        <v>#NAME?</v>
      </c>
      <c r="V1376" s="28" t="e">
        <f ca="1">[1]!BexGetData("DP_1","00O2TNJGODT0G5Z4TTKYMN18L","GSON1112070303")</f>
        <v>#NAME?</v>
      </c>
      <c r="W1376" s="28" t="e">
        <f ca="1">[1]!BexGetData("DP_1","00O2TNJGODT0G5Z4TTKYMN7K5","GSON1112070303")</f>
        <v>#NAME?</v>
      </c>
    </row>
    <row r="1377" spans="1:23" x14ac:dyDescent="0.2">
      <c r="A1377" s="36" t="s">
        <v>4000</v>
      </c>
      <c r="B1377" s="27" t="s">
        <v>4001</v>
      </c>
      <c r="C1377" s="24" t="e">
        <f ca="1">[1]!BexGetData("DP_1","003N8EMH8GTFRCSWKMPXRR8GU","GSON1112070304")</f>
        <v>#NAME?</v>
      </c>
      <c r="D1377" s="24" t="e">
        <f ca="1">[1]!BexGetData("DP_1","003N8EMH8GTFRCSWKMPXRRESE","GSON1112070304")</f>
        <v>#NAME?</v>
      </c>
      <c r="E1377" s="24" t="e">
        <f ca="1">[1]!BexGetData("DP_1","003N8EMH8GTFRCSWKMPXRRL3Y","GSON1112070304")</f>
        <v>#NAME?</v>
      </c>
      <c r="F1377" s="28" t="e">
        <f ca="1">[1]!BexGetData("DP_1","003N8EMH8GTFRCSWKMPXRRRFI","GSON1112070304")</f>
        <v>#NAME?</v>
      </c>
      <c r="G1377" s="23" t="e">
        <f ca="1">[1]!BexGetData("DP_1","003N8EMH8GTFRCSWKMPXRRXR2","GSON1112070304")</f>
        <v>#NAME?</v>
      </c>
      <c r="H1377" s="23" t="e">
        <f ca="1">[1]!BexGetData("DP_1","003N8EMH8GTFRCSWKMPXRS42M","GSON1112070304")</f>
        <v>#NAME?</v>
      </c>
      <c r="I1377" s="28" t="e">
        <f ca="1">[1]!BexGetData("DP_1","003N8EMH8GTFRCSWKMPXRSAE6","GSON1112070304")</f>
        <v>#NAME?</v>
      </c>
      <c r="J1377" s="24" t="e">
        <f ca="1">[1]!BexGetData("DP_1","003N8EMH8GTFRCSWKMPXRSGPQ","GSON1112070304")</f>
        <v>#NAME?</v>
      </c>
      <c r="K1377" s="28" t="e">
        <f ca="1">[1]!BexGetData("DP_1","003N8EMH8GTFRIVNUPY288VJH","GSON1112070304")</f>
        <v>#NAME?</v>
      </c>
      <c r="L1377" s="28" t="e">
        <f ca="1">[1]!BexGetData("DP_1","003N8EMH8GTFRIVNUPY2891V1","GSON1112070304")</f>
        <v>#NAME?</v>
      </c>
      <c r="M1377" s="28" t="e">
        <f ca="1">[1]!BexGetData("DP_1","003N8EMH8GTFRIVOG7KG9IQXA","GSON1112070304")</f>
        <v>#NAME?</v>
      </c>
      <c r="N1377" s="28" t="e">
        <f ca="1">[1]!BexGetData("DP_1","003N8EMH8GTFRIVOG7KG9IX8U","GSON1112070304")</f>
        <v>#NAME?</v>
      </c>
      <c r="O1377" s="28" t="e">
        <f ca="1">[1]!BexGetData("DP_1","003N8EMH8GTFRIVOG7KG9J3KE","GSON1112070304")</f>
        <v>#NAME?</v>
      </c>
      <c r="P1377" s="28" t="e">
        <f ca="1">[1]!BexGetData("DP_1","003N8EMH8GTFRIVOG7KG9J9VY","GSON1112070304")</f>
        <v>#NAME?</v>
      </c>
      <c r="Q1377" s="24" t="e">
        <f ca="1">[1]!BexGetData("DP_1","00O2TNJGODT0G5Z4TTKYMM5MT","GSON1112070304")</f>
        <v>#NAME?</v>
      </c>
      <c r="R1377" s="28" t="e">
        <f ca="1">[1]!BexGetData("DP_1","00O2TNJGODT0G5Z4TTKYMMBYD","GSON1112070304")</f>
        <v>#NAME?</v>
      </c>
      <c r="S1377" s="28" t="e">
        <f ca="1">[1]!BexGetData("DP_1","00O2TNJGODT0G5Z4TTKYMMI9X","GSON1112070304")</f>
        <v>#NAME?</v>
      </c>
      <c r="T1377" s="28" t="e">
        <f ca="1">[1]!BexGetData("DP_1","00O2TNJGODT0G5Z4TTKYMMOLH","GSON1112070304")</f>
        <v>#NAME?</v>
      </c>
      <c r="U1377" s="28" t="e">
        <f ca="1">[1]!BexGetData("DP_1","00O2TNJGODT0G5Z4TTKYMMUX1","GSON1112070304")</f>
        <v>#NAME?</v>
      </c>
      <c r="V1377" s="28" t="e">
        <f ca="1">[1]!BexGetData("DP_1","00O2TNJGODT0G5Z4TTKYMN18L","GSON1112070304")</f>
        <v>#NAME?</v>
      </c>
      <c r="W1377" s="28" t="e">
        <f ca="1">[1]!BexGetData("DP_1","00O2TNJGODT0G5Z4TTKYMN7K5","GSON1112070304")</f>
        <v>#NAME?</v>
      </c>
    </row>
    <row r="1378" spans="1:23" x14ac:dyDescent="0.2">
      <c r="A1378" s="36" t="s">
        <v>4002</v>
      </c>
      <c r="B1378" s="27" t="s">
        <v>4003</v>
      </c>
      <c r="C1378" s="23" t="e">
        <f ca="1">[1]!BexGetData("DP_1","003N8EMH8GTFRCSWKMPXRR8GU","GSON1112070305")</f>
        <v>#NAME?</v>
      </c>
      <c r="D1378" s="23" t="e">
        <f ca="1">[1]!BexGetData("DP_1","003N8EMH8GTFRCSWKMPXRRESE","GSON1112070305")</f>
        <v>#NAME?</v>
      </c>
      <c r="E1378" s="28" t="e">
        <f ca="1">[1]!BexGetData("DP_1","003N8EMH8GTFRCSWKMPXRRL3Y","GSON1112070305")</f>
        <v>#NAME?</v>
      </c>
      <c r="F1378" s="28" t="e">
        <f ca="1">[1]!BexGetData("DP_1","003N8EMH8GTFRCSWKMPXRRRFI","GSON1112070305")</f>
        <v>#NAME?</v>
      </c>
      <c r="G1378" s="23" t="e">
        <f ca="1">[1]!BexGetData("DP_1","003N8EMH8GTFRCSWKMPXRRXR2","GSON1112070305")</f>
        <v>#NAME?</v>
      </c>
      <c r="H1378" s="23" t="e">
        <f ca="1">[1]!BexGetData("DP_1","003N8EMH8GTFRCSWKMPXRS42M","GSON1112070305")</f>
        <v>#NAME?</v>
      </c>
      <c r="I1378" s="28" t="e">
        <f ca="1">[1]!BexGetData("DP_1","003N8EMH8GTFRCSWKMPXRSAE6","GSON1112070305")</f>
        <v>#NAME?</v>
      </c>
      <c r="J1378" s="24" t="e">
        <f ca="1">[1]!BexGetData("DP_1","003N8EMH8GTFRCSWKMPXRSGPQ","GSON1112070305")</f>
        <v>#NAME?</v>
      </c>
      <c r="K1378" s="28" t="e">
        <f ca="1">[1]!BexGetData("DP_1","003N8EMH8GTFRIVNUPY288VJH","GSON1112070305")</f>
        <v>#NAME?</v>
      </c>
      <c r="L1378" s="28" t="e">
        <f ca="1">[1]!BexGetData("DP_1","003N8EMH8GTFRIVNUPY2891V1","GSON1112070305")</f>
        <v>#NAME?</v>
      </c>
      <c r="M1378" s="28" t="e">
        <f ca="1">[1]!BexGetData("DP_1","003N8EMH8GTFRIVOG7KG9IQXA","GSON1112070305")</f>
        <v>#NAME?</v>
      </c>
      <c r="N1378" s="28" t="e">
        <f ca="1">[1]!BexGetData("DP_1","003N8EMH8GTFRIVOG7KG9IX8U","GSON1112070305")</f>
        <v>#NAME?</v>
      </c>
      <c r="O1378" s="28" t="e">
        <f ca="1">[1]!BexGetData("DP_1","003N8EMH8GTFRIVOG7KG9J3KE","GSON1112070305")</f>
        <v>#NAME?</v>
      </c>
      <c r="P1378" s="28" t="e">
        <f ca="1">[1]!BexGetData("DP_1","003N8EMH8GTFRIVOG7KG9J9VY","GSON1112070305")</f>
        <v>#NAME?</v>
      </c>
      <c r="Q1378" s="24" t="e">
        <f ca="1">[1]!BexGetData("DP_1","00O2TNJGODT0G5Z4TTKYMM5MT","GSON1112070305")</f>
        <v>#NAME?</v>
      </c>
      <c r="R1378" s="28" t="e">
        <f ca="1">[1]!BexGetData("DP_1","00O2TNJGODT0G5Z4TTKYMMBYD","GSON1112070305")</f>
        <v>#NAME?</v>
      </c>
      <c r="S1378" s="28" t="e">
        <f ca="1">[1]!BexGetData("DP_1","00O2TNJGODT0G5Z4TTKYMMI9X","GSON1112070305")</f>
        <v>#NAME?</v>
      </c>
      <c r="T1378" s="28" t="e">
        <f ca="1">[1]!BexGetData("DP_1","00O2TNJGODT0G5Z4TTKYMMOLH","GSON1112070305")</f>
        <v>#NAME?</v>
      </c>
      <c r="U1378" s="28" t="e">
        <f ca="1">[1]!BexGetData("DP_1","00O2TNJGODT0G5Z4TTKYMMUX1","GSON1112070305")</f>
        <v>#NAME?</v>
      </c>
      <c r="V1378" s="28" t="e">
        <f ca="1">[1]!BexGetData("DP_1","00O2TNJGODT0G5Z4TTKYMN18L","GSON1112070305")</f>
        <v>#NAME?</v>
      </c>
      <c r="W1378" s="28" t="e">
        <f ca="1">[1]!BexGetData("DP_1","00O2TNJGODT0G5Z4TTKYMN7K5","GSON1112070305")</f>
        <v>#NAME?</v>
      </c>
    </row>
    <row r="1379" spans="1:23" x14ac:dyDescent="0.2">
      <c r="A1379" s="36" t="s">
        <v>4004</v>
      </c>
      <c r="B1379" s="27" t="s">
        <v>67</v>
      </c>
      <c r="C1379" s="23" t="e">
        <f ca="1">[1]!BexGetData("DP_1","003N8EMH8GTFRCSWKMPXRR8GU","GSON1112080010")</f>
        <v>#NAME?</v>
      </c>
      <c r="D1379" s="23" t="e">
        <f ca="1">[1]!BexGetData("DP_1","003N8EMH8GTFRCSWKMPXRRESE","GSON1112080010")</f>
        <v>#NAME?</v>
      </c>
      <c r="E1379" s="23" t="e">
        <f ca="1">[1]!BexGetData("DP_1","003N8EMH8GTFRCSWKMPXRRL3Y","GSON1112080010")</f>
        <v>#NAME?</v>
      </c>
      <c r="F1379" s="23" t="e">
        <f ca="1">[1]!BexGetData("DP_1","003N8EMH8GTFRCSWKMPXRRRFI","GSON1112080010")</f>
        <v>#NAME?</v>
      </c>
      <c r="G1379" s="23" t="e">
        <f ca="1">[1]!BexGetData("DP_1","003N8EMH8GTFRCSWKMPXRRXR2","GSON1112080010")</f>
        <v>#NAME?</v>
      </c>
      <c r="H1379" s="23" t="e">
        <f ca="1">[1]!BexGetData("DP_1","003N8EMH8GTFRCSWKMPXRS42M","GSON1112080010")</f>
        <v>#NAME?</v>
      </c>
      <c r="I1379" s="23" t="e">
        <f ca="1">[1]!BexGetData("DP_1","003N8EMH8GTFRCSWKMPXRSAE6","GSON1112080010")</f>
        <v>#NAME?</v>
      </c>
      <c r="J1379" s="23" t="e">
        <f ca="1">[1]!BexGetData("DP_1","003N8EMH8GTFRCSWKMPXRSGPQ","GSON1112080010")</f>
        <v>#NAME?</v>
      </c>
      <c r="K1379" s="23" t="e">
        <f ca="1">[1]!BexGetData("DP_1","003N8EMH8GTFRIVNUPY288VJH","GSON1112080010")</f>
        <v>#NAME?</v>
      </c>
      <c r="L1379" s="23" t="e">
        <f ca="1">[1]!BexGetData("DP_1","003N8EMH8GTFRIVNUPY2891V1","GSON1112080010")</f>
        <v>#NAME?</v>
      </c>
      <c r="M1379" s="28" t="e">
        <f ca="1">[1]!BexGetData("DP_1","003N8EMH8GTFRIVOG7KG9IQXA","GSON1112080010")</f>
        <v>#NAME?</v>
      </c>
      <c r="N1379" s="23" t="e">
        <f ca="1">[1]!BexGetData("DP_1","003N8EMH8GTFRIVOG7KG9IX8U","GSON1112080010")</f>
        <v>#NAME?</v>
      </c>
      <c r="O1379" s="28" t="e">
        <f ca="1">[1]!BexGetData("DP_1","003N8EMH8GTFRIVOG7KG9J3KE","GSON1112080010")</f>
        <v>#NAME?</v>
      </c>
      <c r="P1379" s="23" t="e">
        <f ca="1">[1]!BexGetData("DP_1","003N8EMH8GTFRIVOG7KG9J9VY","GSON1112080010")</f>
        <v>#NAME?</v>
      </c>
      <c r="Q1379" s="23" t="e">
        <f ca="1">[1]!BexGetData("DP_1","00O2TNJGODT0G5Z4TTKYMM5MT","GSON1112080010")</f>
        <v>#NAME?</v>
      </c>
      <c r="R1379" s="23" t="e">
        <f ca="1">[1]!BexGetData("DP_1","00O2TNJGODT0G5Z4TTKYMMBYD","GSON1112080010")</f>
        <v>#NAME?</v>
      </c>
      <c r="S1379" s="23" t="e">
        <f ca="1">[1]!BexGetData("DP_1","00O2TNJGODT0G5Z4TTKYMMI9X","GSON1112080010")</f>
        <v>#NAME?</v>
      </c>
      <c r="T1379" s="23" t="e">
        <f ca="1">[1]!BexGetData("DP_1","00O2TNJGODT0G5Z4TTKYMMOLH","GSON1112080010")</f>
        <v>#NAME?</v>
      </c>
      <c r="U1379" s="28" t="e">
        <f ca="1">[1]!BexGetData("DP_1","00O2TNJGODT0G5Z4TTKYMMUX1","GSON1112080010")</f>
        <v>#NAME?</v>
      </c>
      <c r="V1379" s="23" t="e">
        <f ca="1">[1]!BexGetData("DP_1","00O2TNJGODT0G5Z4TTKYMN18L","GSON1112080010")</f>
        <v>#NAME?</v>
      </c>
      <c r="W1379" s="28" t="e">
        <f ca="1">[1]!BexGetData("DP_1","00O2TNJGODT0G5Z4TTKYMN7K5","GSON1112080010")</f>
        <v>#NAME?</v>
      </c>
    </row>
    <row r="1380" spans="1:23" x14ac:dyDescent="0.2">
      <c r="A1380" s="36" t="s">
        <v>4005</v>
      </c>
      <c r="B1380" s="27" t="s">
        <v>68</v>
      </c>
      <c r="C1380" s="23" t="e">
        <f ca="1">[1]!BexGetData("DP_1","003N8EMH8GTFRCSWKMPXRR8GU","GSON1112080011")</f>
        <v>#NAME?</v>
      </c>
      <c r="D1380" s="23" t="e">
        <f ca="1">[1]!BexGetData("DP_1","003N8EMH8GTFRCSWKMPXRRESE","GSON1112080011")</f>
        <v>#NAME?</v>
      </c>
      <c r="E1380" s="28" t="e">
        <f ca="1">[1]!BexGetData("DP_1","003N8EMH8GTFRCSWKMPXRRL3Y","GSON1112080011")</f>
        <v>#NAME?</v>
      </c>
      <c r="F1380" s="28" t="e">
        <f ca="1">[1]!BexGetData("DP_1","003N8EMH8GTFRCSWKMPXRRRFI","GSON1112080011")</f>
        <v>#NAME?</v>
      </c>
      <c r="G1380" s="23" t="e">
        <f ca="1">[1]!BexGetData("DP_1","003N8EMH8GTFRCSWKMPXRRXR2","GSON1112080011")</f>
        <v>#NAME?</v>
      </c>
      <c r="H1380" s="23" t="e">
        <f ca="1">[1]!BexGetData("DP_1","003N8EMH8GTFRCSWKMPXRS42M","GSON1112080011")</f>
        <v>#NAME?</v>
      </c>
      <c r="I1380" s="28" t="e">
        <f ca="1">[1]!BexGetData("DP_1","003N8EMH8GTFRCSWKMPXRSAE6","GSON1112080011")</f>
        <v>#NAME?</v>
      </c>
      <c r="J1380" s="24" t="e">
        <f ca="1">[1]!BexGetData("DP_1","003N8EMH8GTFRCSWKMPXRSGPQ","GSON1112080011")</f>
        <v>#NAME?</v>
      </c>
      <c r="K1380" s="28" t="e">
        <f ca="1">[1]!BexGetData("DP_1","003N8EMH8GTFRIVNUPY288VJH","GSON1112080011")</f>
        <v>#NAME?</v>
      </c>
      <c r="L1380" s="28" t="e">
        <f ca="1">[1]!BexGetData("DP_1","003N8EMH8GTFRIVNUPY2891V1","GSON1112080011")</f>
        <v>#NAME?</v>
      </c>
      <c r="M1380" s="28" t="e">
        <f ca="1">[1]!BexGetData("DP_1","003N8EMH8GTFRIVOG7KG9IQXA","GSON1112080011")</f>
        <v>#NAME?</v>
      </c>
      <c r="N1380" s="28" t="e">
        <f ca="1">[1]!BexGetData("DP_1","003N8EMH8GTFRIVOG7KG9IX8U","GSON1112080011")</f>
        <v>#NAME?</v>
      </c>
      <c r="O1380" s="28" t="e">
        <f ca="1">[1]!BexGetData("DP_1","003N8EMH8GTFRIVOG7KG9J3KE","GSON1112080011")</f>
        <v>#NAME?</v>
      </c>
      <c r="P1380" s="28" t="e">
        <f ca="1">[1]!BexGetData("DP_1","003N8EMH8GTFRIVOG7KG9J9VY","GSON1112080011")</f>
        <v>#NAME?</v>
      </c>
      <c r="Q1380" s="24" t="e">
        <f ca="1">[1]!BexGetData("DP_1","00O2TNJGODT0G5Z4TTKYMM5MT","GSON1112080011")</f>
        <v>#NAME?</v>
      </c>
      <c r="R1380" s="28" t="e">
        <f ca="1">[1]!BexGetData("DP_1","00O2TNJGODT0G5Z4TTKYMMBYD","GSON1112080011")</f>
        <v>#NAME?</v>
      </c>
      <c r="S1380" s="28" t="e">
        <f ca="1">[1]!BexGetData("DP_1","00O2TNJGODT0G5Z4TTKYMMI9X","GSON1112080011")</f>
        <v>#NAME?</v>
      </c>
      <c r="T1380" s="28" t="e">
        <f ca="1">[1]!BexGetData("DP_1","00O2TNJGODT0G5Z4TTKYMMOLH","GSON1112080011")</f>
        <v>#NAME?</v>
      </c>
      <c r="U1380" s="28" t="e">
        <f ca="1">[1]!BexGetData("DP_1","00O2TNJGODT0G5Z4TTKYMMUX1","GSON1112080011")</f>
        <v>#NAME?</v>
      </c>
      <c r="V1380" s="28" t="e">
        <f ca="1">[1]!BexGetData("DP_1","00O2TNJGODT0G5Z4TTKYMN18L","GSON1112080011")</f>
        <v>#NAME?</v>
      </c>
      <c r="W1380" s="28" t="e">
        <f ca="1">[1]!BexGetData("DP_1","00O2TNJGODT0G5Z4TTKYMN7K5","GSON1112080011")</f>
        <v>#NAME?</v>
      </c>
    </row>
    <row r="1381" spans="1:23" x14ac:dyDescent="0.2">
      <c r="A1381" s="36" t="s">
        <v>4006</v>
      </c>
      <c r="B1381" s="27" t="s">
        <v>221</v>
      </c>
      <c r="C1381" s="23" t="e">
        <f ca="1">[1]!BexGetData("DP_1","003N8EMH8GTFRCSWKMPXRR8GU","GSON1112080012")</f>
        <v>#NAME?</v>
      </c>
      <c r="D1381" s="23" t="e">
        <f ca="1">[1]!BexGetData("DP_1","003N8EMH8GTFRCSWKMPXRRESE","GSON1112080012")</f>
        <v>#NAME?</v>
      </c>
      <c r="E1381" s="28" t="e">
        <f ca="1">[1]!BexGetData("DP_1","003N8EMH8GTFRCSWKMPXRRL3Y","GSON1112080012")</f>
        <v>#NAME?</v>
      </c>
      <c r="F1381" s="28" t="e">
        <f ca="1">[1]!BexGetData("DP_1","003N8EMH8GTFRCSWKMPXRRRFI","GSON1112080012")</f>
        <v>#NAME?</v>
      </c>
      <c r="G1381" s="23" t="e">
        <f ca="1">[1]!BexGetData("DP_1","003N8EMH8GTFRCSWKMPXRRXR2","GSON1112080012")</f>
        <v>#NAME?</v>
      </c>
      <c r="H1381" s="23" t="e">
        <f ca="1">[1]!BexGetData("DP_1","003N8EMH8GTFRCSWKMPXRS42M","GSON1112080012")</f>
        <v>#NAME?</v>
      </c>
      <c r="I1381" s="28" t="e">
        <f ca="1">[1]!BexGetData("DP_1","003N8EMH8GTFRCSWKMPXRSAE6","GSON1112080012")</f>
        <v>#NAME?</v>
      </c>
      <c r="J1381" s="23" t="e">
        <f ca="1">[1]!BexGetData("DP_1","003N8EMH8GTFRCSWKMPXRSGPQ","GSON1112080012")</f>
        <v>#NAME?</v>
      </c>
      <c r="K1381" s="28" t="e">
        <f ca="1">[1]!BexGetData("DP_1","003N8EMH8GTFRIVNUPY288VJH","GSON1112080012")</f>
        <v>#NAME?</v>
      </c>
      <c r="L1381" s="28" t="e">
        <f ca="1">[1]!BexGetData("DP_1","003N8EMH8GTFRIVNUPY2891V1","GSON1112080012")</f>
        <v>#NAME?</v>
      </c>
      <c r="M1381" s="28" t="e">
        <f ca="1">[1]!BexGetData("DP_1","003N8EMH8GTFRIVOG7KG9IQXA","GSON1112080012")</f>
        <v>#NAME?</v>
      </c>
      <c r="N1381" s="28" t="e">
        <f ca="1">[1]!BexGetData("DP_1","003N8EMH8GTFRIVOG7KG9IX8U","GSON1112080012")</f>
        <v>#NAME?</v>
      </c>
      <c r="O1381" s="28" t="e">
        <f ca="1">[1]!BexGetData("DP_1","003N8EMH8GTFRIVOG7KG9J3KE","GSON1112080012")</f>
        <v>#NAME?</v>
      </c>
      <c r="P1381" s="28" t="e">
        <f ca="1">[1]!BexGetData("DP_1","003N8EMH8GTFRIVOG7KG9J9VY","GSON1112080012")</f>
        <v>#NAME?</v>
      </c>
      <c r="Q1381" s="23" t="e">
        <f ca="1">[1]!BexGetData("DP_1","00O2TNJGODT0G5Z4TTKYMM5MT","GSON1112080012")</f>
        <v>#NAME?</v>
      </c>
      <c r="R1381" s="23" t="e">
        <f ca="1">[1]!BexGetData("DP_1","00O2TNJGODT0G5Z4TTKYMMBYD","GSON1112080012")</f>
        <v>#NAME?</v>
      </c>
      <c r="S1381" s="23" t="e">
        <f ca="1">[1]!BexGetData("DP_1","00O2TNJGODT0G5Z4TTKYMMI9X","GSON1112080012")</f>
        <v>#NAME?</v>
      </c>
      <c r="T1381" s="28" t="e">
        <f ca="1">[1]!BexGetData("DP_1","00O2TNJGODT0G5Z4TTKYMMOLH","GSON1112080012")</f>
        <v>#NAME?</v>
      </c>
      <c r="U1381" s="23" t="e">
        <f ca="1">[1]!BexGetData("DP_1","00O2TNJGODT0G5Z4TTKYMMUX1","GSON1112080012")</f>
        <v>#NAME?</v>
      </c>
      <c r="V1381" s="28" t="e">
        <f ca="1">[1]!BexGetData("DP_1","00O2TNJGODT0G5Z4TTKYMN18L","GSON1112080012")</f>
        <v>#NAME?</v>
      </c>
      <c r="W1381" s="23" t="e">
        <f ca="1">[1]!BexGetData("DP_1","00O2TNJGODT0G5Z4TTKYMN7K5","GSON1112080012")</f>
        <v>#NAME?</v>
      </c>
    </row>
    <row r="1382" spans="1:23" x14ac:dyDescent="0.2">
      <c r="A1382" s="36" t="s">
        <v>4007</v>
      </c>
      <c r="B1382" s="27" t="s">
        <v>69</v>
      </c>
      <c r="C1382" s="23" t="e">
        <f ca="1">[1]!BexGetData("DP_1","003N8EMH8GTFRCSWKMPXRR8GU","GSON1112080013")</f>
        <v>#NAME?</v>
      </c>
      <c r="D1382" s="23" t="e">
        <f ca="1">[1]!BexGetData("DP_1","003N8EMH8GTFRCSWKMPXRRESE","GSON1112080013")</f>
        <v>#NAME?</v>
      </c>
      <c r="E1382" s="28" t="e">
        <f ca="1">[1]!BexGetData("DP_1","003N8EMH8GTFRCSWKMPXRRL3Y","GSON1112080013")</f>
        <v>#NAME?</v>
      </c>
      <c r="F1382" s="28" t="e">
        <f ca="1">[1]!BexGetData("DP_1","003N8EMH8GTFRCSWKMPXRRRFI","GSON1112080013")</f>
        <v>#NAME?</v>
      </c>
      <c r="G1382" s="23" t="e">
        <f ca="1">[1]!BexGetData("DP_1","003N8EMH8GTFRCSWKMPXRRXR2","GSON1112080013")</f>
        <v>#NAME?</v>
      </c>
      <c r="H1382" s="23" t="e">
        <f ca="1">[1]!BexGetData("DP_1","003N8EMH8GTFRCSWKMPXRS42M","GSON1112080013")</f>
        <v>#NAME?</v>
      </c>
      <c r="I1382" s="28" t="e">
        <f ca="1">[1]!BexGetData("DP_1","003N8EMH8GTFRCSWKMPXRSAE6","GSON1112080013")</f>
        <v>#NAME?</v>
      </c>
      <c r="J1382" s="24" t="e">
        <f ca="1">[1]!BexGetData("DP_1","003N8EMH8GTFRCSWKMPXRSGPQ","GSON1112080013")</f>
        <v>#NAME?</v>
      </c>
      <c r="K1382" s="28" t="e">
        <f ca="1">[1]!BexGetData("DP_1","003N8EMH8GTFRIVNUPY288VJH","GSON1112080013")</f>
        <v>#NAME?</v>
      </c>
      <c r="L1382" s="28" t="e">
        <f ca="1">[1]!BexGetData("DP_1","003N8EMH8GTFRIVNUPY2891V1","GSON1112080013")</f>
        <v>#NAME?</v>
      </c>
      <c r="M1382" s="28" t="e">
        <f ca="1">[1]!BexGetData("DP_1","003N8EMH8GTFRIVOG7KG9IQXA","GSON1112080013")</f>
        <v>#NAME?</v>
      </c>
      <c r="N1382" s="28" t="e">
        <f ca="1">[1]!BexGetData("DP_1","003N8EMH8GTFRIVOG7KG9IX8U","GSON1112080013")</f>
        <v>#NAME?</v>
      </c>
      <c r="O1382" s="28" t="e">
        <f ca="1">[1]!BexGetData("DP_1","003N8EMH8GTFRIVOG7KG9J3KE","GSON1112080013")</f>
        <v>#NAME?</v>
      </c>
      <c r="P1382" s="28" t="e">
        <f ca="1">[1]!BexGetData("DP_1","003N8EMH8GTFRIVOG7KG9J9VY","GSON1112080013")</f>
        <v>#NAME?</v>
      </c>
      <c r="Q1382" s="24" t="e">
        <f ca="1">[1]!BexGetData("DP_1","00O2TNJGODT0G5Z4TTKYMM5MT","GSON1112080013")</f>
        <v>#NAME?</v>
      </c>
      <c r="R1382" s="28" t="e">
        <f ca="1">[1]!BexGetData("DP_1","00O2TNJGODT0G5Z4TTKYMMBYD","GSON1112080013")</f>
        <v>#NAME?</v>
      </c>
      <c r="S1382" s="28" t="e">
        <f ca="1">[1]!BexGetData("DP_1","00O2TNJGODT0G5Z4TTKYMMI9X","GSON1112080013")</f>
        <v>#NAME?</v>
      </c>
      <c r="T1382" s="28" t="e">
        <f ca="1">[1]!BexGetData("DP_1","00O2TNJGODT0G5Z4TTKYMMOLH","GSON1112080013")</f>
        <v>#NAME?</v>
      </c>
      <c r="U1382" s="28" t="e">
        <f ca="1">[1]!BexGetData("DP_1","00O2TNJGODT0G5Z4TTKYMMUX1","GSON1112080013")</f>
        <v>#NAME?</v>
      </c>
      <c r="V1382" s="28" t="e">
        <f ca="1">[1]!BexGetData("DP_1","00O2TNJGODT0G5Z4TTKYMN18L","GSON1112080013")</f>
        <v>#NAME?</v>
      </c>
      <c r="W1382" s="28" t="e">
        <f ca="1">[1]!BexGetData("DP_1","00O2TNJGODT0G5Z4TTKYMN7K5","GSON1112080013")</f>
        <v>#NAME?</v>
      </c>
    </row>
    <row r="1383" spans="1:23" x14ac:dyDescent="0.2">
      <c r="A1383" s="36" t="s">
        <v>4008</v>
      </c>
      <c r="B1383" s="27" t="s">
        <v>4009</v>
      </c>
      <c r="C1383" s="23" t="e">
        <f ca="1">[1]!BexGetData("DP_1","003N8EMH8GTFRCSWKMPXRR8GU","GSON1112080014")</f>
        <v>#NAME?</v>
      </c>
      <c r="D1383" s="23" t="e">
        <f ca="1">[1]!BexGetData("DP_1","003N8EMH8GTFRCSWKMPXRRESE","GSON1112080014")</f>
        <v>#NAME?</v>
      </c>
      <c r="E1383" s="28" t="e">
        <f ca="1">[1]!BexGetData("DP_1","003N8EMH8GTFRCSWKMPXRRL3Y","GSON1112080014")</f>
        <v>#NAME?</v>
      </c>
      <c r="F1383" s="28" t="e">
        <f ca="1">[1]!BexGetData("DP_1","003N8EMH8GTFRCSWKMPXRRRFI","GSON1112080014")</f>
        <v>#NAME?</v>
      </c>
      <c r="G1383" s="23" t="e">
        <f ca="1">[1]!BexGetData("DP_1","003N8EMH8GTFRCSWKMPXRRXR2","GSON1112080014")</f>
        <v>#NAME?</v>
      </c>
      <c r="H1383" s="23" t="e">
        <f ca="1">[1]!BexGetData("DP_1","003N8EMH8GTFRCSWKMPXRS42M","GSON1112080014")</f>
        <v>#NAME?</v>
      </c>
      <c r="I1383" s="28" t="e">
        <f ca="1">[1]!BexGetData("DP_1","003N8EMH8GTFRCSWKMPXRSAE6","GSON1112080014")</f>
        <v>#NAME?</v>
      </c>
      <c r="J1383" s="24" t="e">
        <f ca="1">[1]!BexGetData("DP_1","003N8EMH8GTFRCSWKMPXRSGPQ","GSON1112080014")</f>
        <v>#NAME?</v>
      </c>
      <c r="K1383" s="28" t="e">
        <f ca="1">[1]!BexGetData("DP_1","003N8EMH8GTFRIVNUPY288VJH","GSON1112080014")</f>
        <v>#NAME?</v>
      </c>
      <c r="L1383" s="28" t="e">
        <f ca="1">[1]!BexGetData("DP_1","003N8EMH8GTFRIVNUPY2891V1","GSON1112080014")</f>
        <v>#NAME?</v>
      </c>
      <c r="M1383" s="28" t="e">
        <f ca="1">[1]!BexGetData("DP_1","003N8EMH8GTFRIVOG7KG9IQXA","GSON1112080014")</f>
        <v>#NAME?</v>
      </c>
      <c r="N1383" s="28" t="e">
        <f ca="1">[1]!BexGetData("DP_1","003N8EMH8GTFRIVOG7KG9IX8U","GSON1112080014")</f>
        <v>#NAME?</v>
      </c>
      <c r="O1383" s="28" t="e">
        <f ca="1">[1]!BexGetData("DP_1","003N8EMH8GTFRIVOG7KG9J3KE","GSON1112080014")</f>
        <v>#NAME?</v>
      </c>
      <c r="P1383" s="28" t="e">
        <f ca="1">[1]!BexGetData("DP_1","003N8EMH8GTFRIVOG7KG9J9VY","GSON1112080014")</f>
        <v>#NAME?</v>
      </c>
      <c r="Q1383" s="24" t="e">
        <f ca="1">[1]!BexGetData("DP_1","00O2TNJGODT0G5Z4TTKYMM5MT","GSON1112080014")</f>
        <v>#NAME?</v>
      </c>
      <c r="R1383" s="28" t="e">
        <f ca="1">[1]!BexGetData("DP_1","00O2TNJGODT0G5Z4TTKYMMBYD","GSON1112080014")</f>
        <v>#NAME?</v>
      </c>
      <c r="S1383" s="28" t="e">
        <f ca="1">[1]!BexGetData("DP_1","00O2TNJGODT0G5Z4TTKYMMI9X","GSON1112080014")</f>
        <v>#NAME?</v>
      </c>
      <c r="T1383" s="28" t="e">
        <f ca="1">[1]!BexGetData("DP_1","00O2TNJGODT0G5Z4TTKYMMOLH","GSON1112080014")</f>
        <v>#NAME?</v>
      </c>
      <c r="U1383" s="28" t="e">
        <f ca="1">[1]!BexGetData("DP_1","00O2TNJGODT0G5Z4TTKYMMUX1","GSON1112080014")</f>
        <v>#NAME?</v>
      </c>
      <c r="V1383" s="28" t="e">
        <f ca="1">[1]!BexGetData("DP_1","00O2TNJGODT0G5Z4TTKYMN18L","GSON1112080014")</f>
        <v>#NAME?</v>
      </c>
      <c r="W1383" s="28" t="e">
        <f ca="1">[1]!BexGetData("DP_1","00O2TNJGODT0G5Z4TTKYMN7K5","GSON1112080014")</f>
        <v>#NAME?</v>
      </c>
    </row>
    <row r="1384" spans="1:23" x14ac:dyDescent="0.2">
      <c r="A1384" s="36" t="s">
        <v>4010</v>
      </c>
      <c r="B1384" s="27" t="s">
        <v>1076</v>
      </c>
      <c r="C1384" s="23" t="e">
        <f ca="1">[1]!BexGetData("DP_1","003N8EMH8GTFRCSWKMPXRR8GU","GSON1112080015")</f>
        <v>#NAME?</v>
      </c>
      <c r="D1384" s="23" t="e">
        <f ca="1">[1]!BexGetData("DP_1","003N8EMH8GTFRCSWKMPXRRESE","GSON1112080015")</f>
        <v>#NAME?</v>
      </c>
      <c r="E1384" s="28" t="e">
        <f ca="1">[1]!BexGetData("DP_1","003N8EMH8GTFRCSWKMPXRRL3Y","GSON1112080015")</f>
        <v>#NAME?</v>
      </c>
      <c r="F1384" s="28" t="e">
        <f ca="1">[1]!BexGetData("DP_1","003N8EMH8GTFRCSWKMPXRRRFI","GSON1112080015")</f>
        <v>#NAME?</v>
      </c>
      <c r="G1384" s="23" t="e">
        <f ca="1">[1]!BexGetData("DP_1","003N8EMH8GTFRCSWKMPXRRXR2","GSON1112080015")</f>
        <v>#NAME?</v>
      </c>
      <c r="H1384" s="23" t="e">
        <f ca="1">[1]!BexGetData("DP_1","003N8EMH8GTFRCSWKMPXRS42M","GSON1112080015")</f>
        <v>#NAME?</v>
      </c>
      <c r="I1384" s="28" t="e">
        <f ca="1">[1]!BexGetData("DP_1","003N8EMH8GTFRCSWKMPXRSAE6","GSON1112080015")</f>
        <v>#NAME?</v>
      </c>
      <c r="J1384" s="24" t="e">
        <f ca="1">[1]!BexGetData("DP_1","003N8EMH8GTFRCSWKMPXRSGPQ","GSON1112080015")</f>
        <v>#NAME?</v>
      </c>
      <c r="K1384" s="28" t="e">
        <f ca="1">[1]!BexGetData("DP_1","003N8EMH8GTFRIVNUPY288VJH","GSON1112080015")</f>
        <v>#NAME?</v>
      </c>
      <c r="L1384" s="28" t="e">
        <f ca="1">[1]!BexGetData("DP_1","003N8EMH8GTFRIVNUPY2891V1","GSON1112080015")</f>
        <v>#NAME?</v>
      </c>
      <c r="M1384" s="28" t="e">
        <f ca="1">[1]!BexGetData("DP_1","003N8EMH8GTFRIVOG7KG9IQXA","GSON1112080015")</f>
        <v>#NAME?</v>
      </c>
      <c r="N1384" s="28" t="e">
        <f ca="1">[1]!BexGetData("DP_1","003N8EMH8GTFRIVOG7KG9IX8U","GSON1112080015")</f>
        <v>#NAME?</v>
      </c>
      <c r="O1384" s="28" t="e">
        <f ca="1">[1]!BexGetData("DP_1","003N8EMH8GTFRIVOG7KG9J3KE","GSON1112080015")</f>
        <v>#NAME?</v>
      </c>
      <c r="P1384" s="28" t="e">
        <f ca="1">[1]!BexGetData("DP_1","003N8EMH8GTFRIVOG7KG9J9VY","GSON1112080015")</f>
        <v>#NAME?</v>
      </c>
      <c r="Q1384" s="24" t="e">
        <f ca="1">[1]!BexGetData("DP_1","00O2TNJGODT0G5Z4TTKYMM5MT","GSON1112080015")</f>
        <v>#NAME?</v>
      </c>
      <c r="R1384" s="28" t="e">
        <f ca="1">[1]!BexGetData("DP_1","00O2TNJGODT0G5Z4TTKYMMBYD","GSON1112080015")</f>
        <v>#NAME?</v>
      </c>
      <c r="S1384" s="28" t="e">
        <f ca="1">[1]!BexGetData("DP_1","00O2TNJGODT0G5Z4TTKYMMI9X","GSON1112080015")</f>
        <v>#NAME?</v>
      </c>
      <c r="T1384" s="28" t="e">
        <f ca="1">[1]!BexGetData("DP_1","00O2TNJGODT0G5Z4TTKYMMOLH","GSON1112080015")</f>
        <v>#NAME?</v>
      </c>
      <c r="U1384" s="28" t="e">
        <f ca="1">[1]!BexGetData("DP_1","00O2TNJGODT0G5Z4TTKYMMUX1","GSON1112080015")</f>
        <v>#NAME?</v>
      </c>
      <c r="V1384" s="28" t="e">
        <f ca="1">[1]!BexGetData("DP_1","00O2TNJGODT0G5Z4TTKYMN18L","GSON1112080015")</f>
        <v>#NAME?</v>
      </c>
      <c r="W1384" s="28" t="e">
        <f ca="1">[1]!BexGetData("DP_1","00O2TNJGODT0G5Z4TTKYMN7K5","GSON1112080015")</f>
        <v>#NAME?</v>
      </c>
    </row>
    <row r="1385" spans="1:23" x14ac:dyDescent="0.2">
      <c r="A1385" s="36" t="s">
        <v>4011</v>
      </c>
      <c r="B1385" s="27" t="s">
        <v>663</v>
      </c>
      <c r="C1385" s="23" t="e">
        <f ca="1">[1]!BexGetData("DP_1","003N8EMH8GTFRCSWKMPXRR8GU","GSON1112080030")</f>
        <v>#NAME?</v>
      </c>
      <c r="D1385" s="23" t="e">
        <f ca="1">[1]!BexGetData("DP_1","003N8EMH8GTFRCSWKMPXRRESE","GSON1112080030")</f>
        <v>#NAME?</v>
      </c>
      <c r="E1385" s="23" t="e">
        <f ca="1">[1]!BexGetData("DP_1","003N8EMH8GTFRCSWKMPXRRL3Y","GSON1112080030")</f>
        <v>#NAME?</v>
      </c>
      <c r="F1385" s="23" t="e">
        <f ca="1">[1]!BexGetData("DP_1","003N8EMH8GTFRCSWKMPXRRRFI","GSON1112080030")</f>
        <v>#NAME?</v>
      </c>
      <c r="G1385" s="23" t="e">
        <f ca="1">[1]!BexGetData("DP_1","003N8EMH8GTFRCSWKMPXRRXR2","GSON1112080030")</f>
        <v>#NAME?</v>
      </c>
      <c r="H1385" s="23" t="e">
        <f ca="1">[1]!BexGetData("DP_1","003N8EMH8GTFRCSWKMPXRS42M","GSON1112080030")</f>
        <v>#NAME?</v>
      </c>
      <c r="I1385" s="23" t="e">
        <f ca="1">[1]!BexGetData("DP_1","003N8EMH8GTFRCSWKMPXRSAE6","GSON1112080030")</f>
        <v>#NAME?</v>
      </c>
      <c r="J1385" s="23" t="e">
        <f ca="1">[1]!BexGetData("DP_1","003N8EMH8GTFRCSWKMPXRSGPQ","GSON1112080030")</f>
        <v>#NAME?</v>
      </c>
      <c r="K1385" s="23" t="e">
        <f ca="1">[1]!BexGetData("DP_1","003N8EMH8GTFRIVNUPY288VJH","GSON1112080030")</f>
        <v>#NAME?</v>
      </c>
      <c r="L1385" s="23" t="e">
        <f ca="1">[1]!BexGetData("DP_1","003N8EMH8GTFRIVNUPY2891V1","GSON1112080030")</f>
        <v>#NAME?</v>
      </c>
      <c r="M1385" s="28" t="e">
        <f ca="1">[1]!BexGetData("DP_1","003N8EMH8GTFRIVOG7KG9IQXA","GSON1112080030")</f>
        <v>#NAME?</v>
      </c>
      <c r="N1385" s="23" t="e">
        <f ca="1">[1]!BexGetData("DP_1","003N8EMH8GTFRIVOG7KG9IX8U","GSON1112080030")</f>
        <v>#NAME?</v>
      </c>
      <c r="O1385" s="28" t="e">
        <f ca="1">[1]!BexGetData("DP_1","003N8EMH8GTFRIVOG7KG9J3KE","GSON1112080030")</f>
        <v>#NAME?</v>
      </c>
      <c r="P1385" s="23" t="e">
        <f ca="1">[1]!BexGetData("DP_1","003N8EMH8GTFRIVOG7KG9J9VY","GSON1112080030")</f>
        <v>#NAME?</v>
      </c>
      <c r="Q1385" s="23" t="e">
        <f ca="1">[1]!BexGetData("DP_1","00O2TNJGODT0G5Z4TTKYMM5MT","GSON1112080030")</f>
        <v>#NAME?</v>
      </c>
      <c r="R1385" s="23" t="e">
        <f ca="1">[1]!BexGetData("DP_1","00O2TNJGODT0G5Z4TTKYMMBYD","GSON1112080030")</f>
        <v>#NAME?</v>
      </c>
      <c r="S1385" s="23" t="e">
        <f ca="1">[1]!BexGetData("DP_1","00O2TNJGODT0G5Z4TTKYMMI9X","GSON1112080030")</f>
        <v>#NAME?</v>
      </c>
      <c r="T1385" s="23" t="e">
        <f ca="1">[1]!BexGetData("DP_1","00O2TNJGODT0G5Z4TTKYMMOLH","GSON1112080030")</f>
        <v>#NAME?</v>
      </c>
      <c r="U1385" s="28" t="e">
        <f ca="1">[1]!BexGetData("DP_1","00O2TNJGODT0G5Z4TTKYMMUX1","GSON1112080030")</f>
        <v>#NAME?</v>
      </c>
      <c r="V1385" s="23" t="e">
        <f ca="1">[1]!BexGetData("DP_1","00O2TNJGODT0G5Z4TTKYMN18L","GSON1112080030")</f>
        <v>#NAME?</v>
      </c>
      <c r="W1385" s="28" t="e">
        <f ca="1">[1]!BexGetData("DP_1","00O2TNJGODT0G5Z4TTKYMN7K5","GSON1112080030")</f>
        <v>#NAME?</v>
      </c>
    </row>
    <row r="1386" spans="1:23" x14ac:dyDescent="0.2">
      <c r="A1386" s="36" t="s">
        <v>4012</v>
      </c>
      <c r="B1386" s="27" t="s">
        <v>423</v>
      </c>
      <c r="C1386" s="23" t="e">
        <f ca="1">[1]!BexGetData("DP_1","003N8EMH8GTFRCSWKMPXRR8GU","GSON1112080031")</f>
        <v>#NAME?</v>
      </c>
      <c r="D1386" s="23" t="e">
        <f ca="1">[1]!BexGetData("DP_1","003N8EMH8GTFRCSWKMPXRRESE","GSON1112080031")</f>
        <v>#NAME?</v>
      </c>
      <c r="E1386" s="28" t="e">
        <f ca="1">[1]!BexGetData("DP_1","003N8EMH8GTFRCSWKMPXRRL3Y","GSON1112080031")</f>
        <v>#NAME?</v>
      </c>
      <c r="F1386" s="28" t="e">
        <f ca="1">[1]!BexGetData("DP_1","003N8EMH8GTFRCSWKMPXRRRFI","GSON1112080031")</f>
        <v>#NAME?</v>
      </c>
      <c r="G1386" s="23" t="e">
        <f ca="1">[1]!BexGetData("DP_1","003N8EMH8GTFRCSWKMPXRRXR2","GSON1112080031")</f>
        <v>#NAME?</v>
      </c>
      <c r="H1386" s="23" t="e">
        <f ca="1">[1]!BexGetData("DP_1","003N8EMH8GTFRCSWKMPXRS42M","GSON1112080031")</f>
        <v>#NAME?</v>
      </c>
      <c r="I1386" s="28" t="e">
        <f ca="1">[1]!BexGetData("DP_1","003N8EMH8GTFRCSWKMPXRSAE6","GSON1112080031")</f>
        <v>#NAME?</v>
      </c>
      <c r="J1386" s="28" t="e">
        <f ca="1">[1]!BexGetData("DP_1","003N8EMH8GTFRCSWKMPXRSGPQ","GSON1112080031")</f>
        <v>#NAME?</v>
      </c>
      <c r="K1386" s="28" t="e">
        <f ca="1">[1]!BexGetData("DP_1","003N8EMH8GTFRIVNUPY288VJH","GSON1112080031")</f>
        <v>#NAME?</v>
      </c>
      <c r="L1386" s="28" t="e">
        <f ca="1">[1]!BexGetData("DP_1","003N8EMH8GTFRIVNUPY2891V1","GSON1112080031")</f>
        <v>#NAME?</v>
      </c>
      <c r="M1386" s="28" t="e">
        <f ca="1">[1]!BexGetData("DP_1","003N8EMH8GTFRIVOG7KG9IQXA","GSON1112080031")</f>
        <v>#NAME?</v>
      </c>
      <c r="N1386" s="28" t="e">
        <f ca="1">[1]!BexGetData("DP_1","003N8EMH8GTFRIVOG7KG9IX8U","GSON1112080031")</f>
        <v>#NAME?</v>
      </c>
      <c r="O1386" s="28" t="e">
        <f ca="1">[1]!BexGetData("DP_1","003N8EMH8GTFRIVOG7KG9J3KE","GSON1112080031")</f>
        <v>#NAME?</v>
      </c>
      <c r="P1386" s="28" t="e">
        <f ca="1">[1]!BexGetData("DP_1","003N8EMH8GTFRIVOG7KG9J9VY","GSON1112080031")</f>
        <v>#NAME?</v>
      </c>
      <c r="Q1386" s="28" t="e">
        <f ca="1">[1]!BexGetData("DP_1","00O2TNJGODT0G5Z4TTKYMM5MT","GSON1112080031")</f>
        <v>#NAME?</v>
      </c>
      <c r="R1386" s="28" t="e">
        <f ca="1">[1]!BexGetData("DP_1","00O2TNJGODT0G5Z4TTKYMMBYD","GSON1112080031")</f>
        <v>#NAME?</v>
      </c>
      <c r="S1386" s="28" t="e">
        <f ca="1">[1]!BexGetData("DP_1","00O2TNJGODT0G5Z4TTKYMMI9X","GSON1112080031")</f>
        <v>#NAME?</v>
      </c>
      <c r="T1386" s="28" t="e">
        <f ca="1">[1]!BexGetData("DP_1","00O2TNJGODT0G5Z4TTKYMMOLH","GSON1112080031")</f>
        <v>#NAME?</v>
      </c>
      <c r="U1386" s="28" t="e">
        <f ca="1">[1]!BexGetData("DP_1","00O2TNJGODT0G5Z4TTKYMMUX1","GSON1112080031")</f>
        <v>#NAME?</v>
      </c>
      <c r="V1386" s="28" t="e">
        <f ca="1">[1]!BexGetData("DP_1","00O2TNJGODT0G5Z4TTKYMN18L","GSON1112080031")</f>
        <v>#NAME?</v>
      </c>
      <c r="W1386" s="28" t="e">
        <f ca="1">[1]!BexGetData("DP_1","00O2TNJGODT0G5Z4TTKYMN7K5","GSON1112080031")</f>
        <v>#NAME?</v>
      </c>
    </row>
    <row r="1387" spans="1:23" x14ac:dyDescent="0.2">
      <c r="A1387" s="36" t="s">
        <v>4013</v>
      </c>
      <c r="B1387" s="27" t="s">
        <v>424</v>
      </c>
      <c r="C1387" s="23" t="e">
        <f ca="1">[1]!BexGetData("DP_1","003N8EMH8GTFRCSWKMPXRR8GU","GSON1112080033")</f>
        <v>#NAME?</v>
      </c>
      <c r="D1387" s="23" t="e">
        <f ca="1">[1]!BexGetData("DP_1","003N8EMH8GTFRCSWKMPXRRESE","GSON1112080033")</f>
        <v>#NAME?</v>
      </c>
      <c r="E1387" s="23" t="e">
        <f ca="1">[1]!BexGetData("DP_1","003N8EMH8GTFRCSWKMPXRRL3Y","GSON1112080033")</f>
        <v>#NAME?</v>
      </c>
      <c r="F1387" s="28" t="e">
        <f ca="1">[1]!BexGetData("DP_1","003N8EMH8GTFRCSWKMPXRRRFI","GSON1112080033")</f>
        <v>#NAME?</v>
      </c>
      <c r="G1387" s="23" t="e">
        <f ca="1">[1]!BexGetData("DP_1","003N8EMH8GTFRCSWKMPXRRXR2","GSON1112080033")</f>
        <v>#NAME?</v>
      </c>
      <c r="H1387" s="23" t="e">
        <f ca="1">[1]!BexGetData("DP_1","003N8EMH8GTFRCSWKMPXRS42M","GSON1112080033")</f>
        <v>#NAME?</v>
      </c>
      <c r="I1387" s="28" t="e">
        <f ca="1">[1]!BexGetData("DP_1","003N8EMH8GTFRCSWKMPXRSAE6","GSON1112080033")</f>
        <v>#NAME?</v>
      </c>
      <c r="J1387" s="24" t="e">
        <f ca="1">[1]!BexGetData("DP_1","003N8EMH8GTFRCSWKMPXRSGPQ","GSON1112080033")</f>
        <v>#NAME?</v>
      </c>
      <c r="K1387" s="23" t="e">
        <f ca="1">[1]!BexGetData("DP_1","003N8EMH8GTFRIVNUPY288VJH","GSON1112080033")</f>
        <v>#NAME?</v>
      </c>
      <c r="L1387" s="23" t="e">
        <f ca="1">[1]!BexGetData("DP_1","003N8EMH8GTFRIVNUPY2891V1","GSON1112080033")</f>
        <v>#NAME?</v>
      </c>
      <c r="M1387" s="28" t="e">
        <f ca="1">[1]!BexGetData("DP_1","003N8EMH8GTFRIVOG7KG9IQXA","GSON1112080033")</f>
        <v>#NAME?</v>
      </c>
      <c r="N1387" s="23" t="e">
        <f ca="1">[1]!BexGetData("DP_1","003N8EMH8GTFRIVOG7KG9IX8U","GSON1112080033")</f>
        <v>#NAME?</v>
      </c>
      <c r="O1387" s="28" t="e">
        <f ca="1">[1]!BexGetData("DP_1","003N8EMH8GTFRIVOG7KG9J3KE","GSON1112080033")</f>
        <v>#NAME?</v>
      </c>
      <c r="P1387" s="23" t="e">
        <f ca="1">[1]!BexGetData("DP_1","003N8EMH8GTFRIVOG7KG9J9VY","GSON1112080033")</f>
        <v>#NAME?</v>
      </c>
      <c r="Q1387" s="24" t="e">
        <f ca="1">[1]!BexGetData("DP_1","00O2TNJGODT0G5Z4TTKYMM5MT","GSON1112080033")</f>
        <v>#NAME?</v>
      </c>
      <c r="R1387" s="28" t="e">
        <f ca="1">[1]!BexGetData("DP_1","00O2TNJGODT0G5Z4TTKYMMBYD","GSON1112080033")</f>
        <v>#NAME?</v>
      </c>
      <c r="S1387" s="28" t="e">
        <f ca="1">[1]!BexGetData("DP_1","00O2TNJGODT0G5Z4TTKYMMI9X","GSON1112080033")</f>
        <v>#NAME?</v>
      </c>
      <c r="T1387" s="28" t="e">
        <f ca="1">[1]!BexGetData("DP_1","00O2TNJGODT0G5Z4TTKYMMOLH","GSON1112080033")</f>
        <v>#NAME?</v>
      </c>
      <c r="U1387" s="28" t="e">
        <f ca="1">[1]!BexGetData("DP_1","00O2TNJGODT0G5Z4TTKYMMUX1","GSON1112080033")</f>
        <v>#NAME?</v>
      </c>
      <c r="V1387" s="28" t="e">
        <f ca="1">[1]!BexGetData("DP_1","00O2TNJGODT0G5Z4TTKYMN18L","GSON1112080033")</f>
        <v>#NAME?</v>
      </c>
      <c r="W1387" s="28" t="e">
        <f ca="1">[1]!BexGetData("DP_1","00O2TNJGODT0G5Z4TTKYMN7K5","GSON1112080033")</f>
        <v>#NAME?</v>
      </c>
    </row>
    <row r="1388" spans="1:23" x14ac:dyDescent="0.2">
      <c r="A1388" s="36" t="s">
        <v>4014</v>
      </c>
      <c r="B1388" s="27" t="s">
        <v>4015</v>
      </c>
      <c r="C1388" s="23" t="e">
        <f ca="1">[1]!BexGetData("DP_1","003N8EMH8GTFRCSWKMPXRR8GU","GSON1112080034")</f>
        <v>#NAME?</v>
      </c>
      <c r="D1388" s="23" t="e">
        <f ca="1">[1]!BexGetData("DP_1","003N8EMH8GTFRCSWKMPXRRESE","GSON1112080034")</f>
        <v>#NAME?</v>
      </c>
      <c r="E1388" s="28" t="e">
        <f ca="1">[1]!BexGetData("DP_1","003N8EMH8GTFRCSWKMPXRRL3Y","GSON1112080034")</f>
        <v>#NAME?</v>
      </c>
      <c r="F1388" s="24" t="e">
        <f ca="1">[1]!BexGetData("DP_1","003N8EMH8GTFRCSWKMPXRRRFI","GSON1112080034")</f>
        <v>#NAME?</v>
      </c>
      <c r="G1388" s="24" t="e">
        <f ca="1">[1]!BexGetData("DP_1","003N8EMH8GTFRCSWKMPXRRXR2","GSON1112080034")</f>
        <v>#NAME?</v>
      </c>
      <c r="H1388" s="24" t="e">
        <f ca="1">[1]!BexGetData("DP_1","003N8EMH8GTFRCSWKMPXRS42M","GSON1112080034")</f>
        <v>#NAME?</v>
      </c>
      <c r="I1388" s="24" t="e">
        <f ca="1">[1]!BexGetData("DP_1","003N8EMH8GTFRCSWKMPXRSAE6","GSON1112080034")</f>
        <v>#NAME?</v>
      </c>
      <c r="J1388" s="24" t="e">
        <f ca="1">[1]!BexGetData("DP_1","003N8EMH8GTFRCSWKMPXRSGPQ","GSON1112080034")</f>
        <v>#NAME?</v>
      </c>
      <c r="K1388" s="28" t="e">
        <f ca="1">[1]!BexGetData("DP_1","003N8EMH8GTFRIVNUPY288VJH","GSON1112080034")</f>
        <v>#NAME?</v>
      </c>
      <c r="L1388" s="28" t="e">
        <f ca="1">[1]!BexGetData("DP_1","003N8EMH8GTFRIVNUPY2891V1","GSON1112080034")</f>
        <v>#NAME?</v>
      </c>
      <c r="M1388" s="28" t="e">
        <f ca="1">[1]!BexGetData("DP_1","003N8EMH8GTFRIVOG7KG9IQXA","GSON1112080034")</f>
        <v>#NAME?</v>
      </c>
      <c r="N1388" s="28" t="e">
        <f ca="1">[1]!BexGetData("DP_1","003N8EMH8GTFRIVOG7KG9IX8U","GSON1112080034")</f>
        <v>#NAME?</v>
      </c>
      <c r="O1388" s="28" t="e">
        <f ca="1">[1]!BexGetData("DP_1","003N8EMH8GTFRIVOG7KG9J3KE","GSON1112080034")</f>
        <v>#NAME?</v>
      </c>
      <c r="P1388" s="28" t="e">
        <f ca="1">[1]!BexGetData("DP_1","003N8EMH8GTFRIVOG7KG9J9VY","GSON1112080034")</f>
        <v>#NAME?</v>
      </c>
      <c r="Q1388" s="24" t="e">
        <f ca="1">[1]!BexGetData("DP_1","00O2TNJGODT0G5Z4TTKYMM5MT","GSON1112080034")</f>
        <v>#NAME?</v>
      </c>
      <c r="R1388" s="24" t="e">
        <f ca="1">[1]!BexGetData("DP_1","00O2TNJGODT0G5Z4TTKYMMBYD","GSON1112080034")</f>
        <v>#NAME?</v>
      </c>
      <c r="S1388" s="24" t="e">
        <f ca="1">[1]!BexGetData("DP_1","00O2TNJGODT0G5Z4TTKYMMI9X","GSON1112080034")</f>
        <v>#NAME?</v>
      </c>
      <c r="T1388" s="24" t="e">
        <f ca="1">[1]!BexGetData("DP_1","00O2TNJGODT0G5Z4TTKYMMOLH","GSON1112080034")</f>
        <v>#NAME?</v>
      </c>
      <c r="U1388" s="24" t="e">
        <f ca="1">[1]!BexGetData("DP_1","00O2TNJGODT0G5Z4TTKYMMUX1","GSON1112080034")</f>
        <v>#NAME?</v>
      </c>
      <c r="V1388" s="24" t="e">
        <f ca="1">[1]!BexGetData("DP_1","00O2TNJGODT0G5Z4TTKYMN18L","GSON1112080034")</f>
        <v>#NAME?</v>
      </c>
      <c r="W1388" s="24" t="e">
        <f ca="1">[1]!BexGetData("DP_1","00O2TNJGODT0G5Z4TTKYMN7K5","GSON1112080034")</f>
        <v>#NAME?</v>
      </c>
    </row>
    <row r="1389" spans="1:23" x14ac:dyDescent="0.2">
      <c r="A1389" s="36" t="s">
        <v>4016</v>
      </c>
      <c r="B1389" s="27" t="s">
        <v>4017</v>
      </c>
      <c r="C1389" s="23" t="e">
        <f ca="1">[1]!BexGetData("DP_1","003N8EMH8GTFRCSWKMPXRR8GU","GSON1112080035")</f>
        <v>#NAME?</v>
      </c>
      <c r="D1389" s="23" t="e">
        <f ca="1">[1]!BexGetData("DP_1","003N8EMH8GTFRCSWKMPXRRESE","GSON1112080035")</f>
        <v>#NAME?</v>
      </c>
      <c r="E1389" s="28" t="e">
        <f ca="1">[1]!BexGetData("DP_1","003N8EMH8GTFRCSWKMPXRRL3Y","GSON1112080035")</f>
        <v>#NAME?</v>
      </c>
      <c r="F1389" s="28" t="e">
        <f ca="1">[1]!BexGetData("DP_1","003N8EMH8GTFRCSWKMPXRRRFI","GSON1112080035")</f>
        <v>#NAME?</v>
      </c>
      <c r="G1389" s="23" t="e">
        <f ca="1">[1]!BexGetData("DP_1","003N8EMH8GTFRCSWKMPXRRXR2","GSON1112080035")</f>
        <v>#NAME?</v>
      </c>
      <c r="H1389" s="23" t="e">
        <f ca="1">[1]!BexGetData("DP_1","003N8EMH8GTFRCSWKMPXRS42M","GSON1112080035")</f>
        <v>#NAME?</v>
      </c>
      <c r="I1389" s="28" t="e">
        <f ca="1">[1]!BexGetData("DP_1","003N8EMH8GTFRCSWKMPXRSAE6","GSON1112080035")</f>
        <v>#NAME?</v>
      </c>
      <c r="J1389" s="24" t="e">
        <f ca="1">[1]!BexGetData("DP_1","003N8EMH8GTFRCSWKMPXRSGPQ","GSON1112080035")</f>
        <v>#NAME?</v>
      </c>
      <c r="K1389" s="28" t="e">
        <f ca="1">[1]!BexGetData("DP_1","003N8EMH8GTFRIVNUPY288VJH","GSON1112080035")</f>
        <v>#NAME?</v>
      </c>
      <c r="L1389" s="28" t="e">
        <f ca="1">[1]!BexGetData("DP_1","003N8EMH8GTFRIVNUPY2891V1","GSON1112080035")</f>
        <v>#NAME?</v>
      </c>
      <c r="M1389" s="28" t="e">
        <f ca="1">[1]!BexGetData("DP_1","003N8EMH8GTFRIVOG7KG9IQXA","GSON1112080035")</f>
        <v>#NAME?</v>
      </c>
      <c r="N1389" s="28" t="e">
        <f ca="1">[1]!BexGetData("DP_1","003N8EMH8GTFRIVOG7KG9IX8U","GSON1112080035")</f>
        <v>#NAME?</v>
      </c>
      <c r="O1389" s="28" t="e">
        <f ca="1">[1]!BexGetData("DP_1","003N8EMH8GTFRIVOG7KG9J3KE","GSON1112080035")</f>
        <v>#NAME?</v>
      </c>
      <c r="P1389" s="28" t="e">
        <f ca="1">[1]!BexGetData("DP_1","003N8EMH8GTFRIVOG7KG9J9VY","GSON1112080035")</f>
        <v>#NAME?</v>
      </c>
      <c r="Q1389" s="24" t="e">
        <f ca="1">[1]!BexGetData("DP_1","00O2TNJGODT0G5Z4TTKYMM5MT","GSON1112080035")</f>
        <v>#NAME?</v>
      </c>
      <c r="R1389" s="28" t="e">
        <f ca="1">[1]!BexGetData("DP_1","00O2TNJGODT0G5Z4TTKYMMBYD","GSON1112080035")</f>
        <v>#NAME?</v>
      </c>
      <c r="S1389" s="28" t="e">
        <f ca="1">[1]!BexGetData("DP_1","00O2TNJGODT0G5Z4TTKYMMI9X","GSON1112080035")</f>
        <v>#NAME?</v>
      </c>
      <c r="T1389" s="28" t="e">
        <f ca="1">[1]!BexGetData("DP_1","00O2TNJGODT0G5Z4TTKYMMOLH","GSON1112080035")</f>
        <v>#NAME?</v>
      </c>
      <c r="U1389" s="28" t="e">
        <f ca="1">[1]!BexGetData("DP_1","00O2TNJGODT0G5Z4TTKYMMUX1","GSON1112080035")</f>
        <v>#NAME?</v>
      </c>
      <c r="V1389" s="28" t="e">
        <f ca="1">[1]!BexGetData("DP_1","00O2TNJGODT0G5Z4TTKYMN18L","GSON1112080035")</f>
        <v>#NAME?</v>
      </c>
      <c r="W1389" s="28" t="e">
        <f ca="1">[1]!BexGetData("DP_1","00O2TNJGODT0G5Z4TTKYMN7K5","GSON1112080035")</f>
        <v>#NAME?</v>
      </c>
    </row>
    <row r="1390" spans="1:23" x14ac:dyDescent="0.2">
      <c r="A1390" s="36" t="s">
        <v>4018</v>
      </c>
      <c r="B1390" s="27" t="s">
        <v>4019</v>
      </c>
      <c r="C1390" s="28" t="e">
        <f ca="1">[1]!BexGetData("DP_1","003N8EMH8GTFRCSWKMPXRR8GU","GSON1112080040")</f>
        <v>#NAME?</v>
      </c>
      <c r="D1390" s="28" t="e">
        <f ca="1">[1]!BexGetData("DP_1","003N8EMH8GTFRCSWKMPXRRESE","GSON1112080040")</f>
        <v>#NAME?</v>
      </c>
      <c r="E1390" s="28" t="e">
        <f ca="1">[1]!BexGetData("DP_1","003N8EMH8GTFRCSWKMPXRRL3Y","GSON1112080040")</f>
        <v>#NAME?</v>
      </c>
      <c r="F1390" s="28" t="e">
        <f ca="1">[1]!BexGetData("DP_1","003N8EMH8GTFRCSWKMPXRRRFI","GSON1112080040")</f>
        <v>#NAME?</v>
      </c>
      <c r="G1390" s="23" t="e">
        <f ca="1">[1]!BexGetData("DP_1","003N8EMH8GTFRCSWKMPXRRXR2","GSON1112080040")</f>
        <v>#NAME?</v>
      </c>
      <c r="H1390" s="23" t="e">
        <f ca="1">[1]!BexGetData("DP_1","003N8EMH8GTFRCSWKMPXRS42M","GSON1112080040")</f>
        <v>#NAME?</v>
      </c>
      <c r="I1390" s="28" t="e">
        <f ca="1">[1]!BexGetData("DP_1","003N8EMH8GTFRCSWKMPXRSAE6","GSON1112080040")</f>
        <v>#NAME?</v>
      </c>
      <c r="J1390" s="23" t="e">
        <f ca="1">[1]!BexGetData("DP_1","003N8EMH8GTFRCSWKMPXRSGPQ","GSON1112080040")</f>
        <v>#NAME?</v>
      </c>
      <c r="K1390" s="28" t="e">
        <f ca="1">[1]!BexGetData("DP_1","003N8EMH8GTFRIVNUPY288VJH","GSON1112080040")</f>
        <v>#NAME?</v>
      </c>
      <c r="L1390" s="28" t="e">
        <f ca="1">[1]!BexGetData("DP_1","003N8EMH8GTFRIVNUPY2891V1","GSON1112080040")</f>
        <v>#NAME?</v>
      </c>
      <c r="M1390" s="28" t="e">
        <f ca="1">[1]!BexGetData("DP_1","003N8EMH8GTFRIVOG7KG9IQXA","GSON1112080040")</f>
        <v>#NAME?</v>
      </c>
      <c r="N1390" s="28" t="e">
        <f ca="1">[1]!BexGetData("DP_1","003N8EMH8GTFRIVOG7KG9IX8U","GSON1112080040")</f>
        <v>#NAME?</v>
      </c>
      <c r="O1390" s="28" t="e">
        <f ca="1">[1]!BexGetData("DP_1","003N8EMH8GTFRIVOG7KG9J3KE","GSON1112080040")</f>
        <v>#NAME?</v>
      </c>
      <c r="P1390" s="28" t="e">
        <f ca="1">[1]!BexGetData("DP_1","003N8EMH8GTFRIVOG7KG9J9VY","GSON1112080040")</f>
        <v>#NAME?</v>
      </c>
      <c r="Q1390" s="23" t="e">
        <f ca="1">[1]!BexGetData("DP_1","00O2TNJGODT0G5Z4TTKYMM5MT","GSON1112080040")</f>
        <v>#NAME?</v>
      </c>
      <c r="R1390" s="23" t="e">
        <f ca="1">[1]!BexGetData("DP_1","00O2TNJGODT0G5Z4TTKYMMBYD","GSON1112080040")</f>
        <v>#NAME?</v>
      </c>
      <c r="S1390" s="23" t="e">
        <f ca="1">[1]!BexGetData("DP_1","00O2TNJGODT0G5Z4TTKYMMI9X","GSON1112080040")</f>
        <v>#NAME?</v>
      </c>
      <c r="T1390" s="23" t="e">
        <f ca="1">[1]!BexGetData("DP_1","00O2TNJGODT0G5Z4TTKYMMOLH","GSON1112080040")</f>
        <v>#NAME?</v>
      </c>
      <c r="U1390" s="28" t="e">
        <f ca="1">[1]!BexGetData("DP_1","00O2TNJGODT0G5Z4TTKYMMUX1","GSON1112080040")</f>
        <v>#NAME?</v>
      </c>
      <c r="V1390" s="23" t="e">
        <f ca="1">[1]!BexGetData("DP_1","00O2TNJGODT0G5Z4TTKYMN18L","GSON1112080040")</f>
        <v>#NAME?</v>
      </c>
      <c r="W1390" s="28" t="e">
        <f ca="1">[1]!BexGetData("DP_1","00O2TNJGODT0G5Z4TTKYMN7K5","GSON1112080040")</f>
        <v>#NAME?</v>
      </c>
    </row>
    <row r="1391" spans="1:23" x14ac:dyDescent="0.2">
      <c r="A1391" s="36" t="s">
        <v>4020</v>
      </c>
      <c r="B1391" s="27" t="s">
        <v>4021</v>
      </c>
      <c r="C1391" s="24" t="e">
        <f ca="1">[1]!BexGetData("DP_1","003N8EMH8GTFRCSWKMPXRR8GU","GSON1112080043")</f>
        <v>#NAME?</v>
      </c>
      <c r="D1391" s="24" t="e">
        <f ca="1">[1]!BexGetData("DP_1","003N8EMH8GTFRCSWKMPXRRESE","GSON1112080043")</f>
        <v>#NAME?</v>
      </c>
      <c r="E1391" s="24" t="e">
        <f ca="1">[1]!BexGetData("DP_1","003N8EMH8GTFRCSWKMPXRRL3Y","GSON1112080043")</f>
        <v>#NAME?</v>
      </c>
      <c r="F1391" s="28" t="e">
        <f ca="1">[1]!BexGetData("DP_1","003N8EMH8GTFRCSWKMPXRRRFI","GSON1112080043")</f>
        <v>#NAME?</v>
      </c>
      <c r="G1391" s="23" t="e">
        <f ca="1">[1]!BexGetData("DP_1","003N8EMH8GTFRCSWKMPXRRXR2","GSON1112080043")</f>
        <v>#NAME?</v>
      </c>
      <c r="H1391" s="23" t="e">
        <f ca="1">[1]!BexGetData("DP_1","003N8EMH8GTFRCSWKMPXRS42M","GSON1112080043")</f>
        <v>#NAME?</v>
      </c>
      <c r="I1391" s="28" t="e">
        <f ca="1">[1]!BexGetData("DP_1","003N8EMH8GTFRCSWKMPXRSAE6","GSON1112080043")</f>
        <v>#NAME?</v>
      </c>
      <c r="J1391" s="24" t="e">
        <f ca="1">[1]!BexGetData("DP_1","003N8EMH8GTFRCSWKMPXRSGPQ","GSON1112080043")</f>
        <v>#NAME?</v>
      </c>
      <c r="K1391" s="28" t="e">
        <f ca="1">[1]!BexGetData("DP_1","003N8EMH8GTFRIVNUPY288VJH","GSON1112080043")</f>
        <v>#NAME?</v>
      </c>
      <c r="L1391" s="28" t="e">
        <f ca="1">[1]!BexGetData("DP_1","003N8EMH8GTFRIVNUPY2891V1","GSON1112080043")</f>
        <v>#NAME?</v>
      </c>
      <c r="M1391" s="28" t="e">
        <f ca="1">[1]!BexGetData("DP_1","003N8EMH8GTFRIVOG7KG9IQXA","GSON1112080043")</f>
        <v>#NAME?</v>
      </c>
      <c r="N1391" s="28" t="e">
        <f ca="1">[1]!BexGetData("DP_1","003N8EMH8GTFRIVOG7KG9IX8U","GSON1112080043")</f>
        <v>#NAME?</v>
      </c>
      <c r="O1391" s="28" t="e">
        <f ca="1">[1]!BexGetData("DP_1","003N8EMH8GTFRIVOG7KG9J3KE","GSON1112080043")</f>
        <v>#NAME?</v>
      </c>
      <c r="P1391" s="28" t="e">
        <f ca="1">[1]!BexGetData("DP_1","003N8EMH8GTFRIVOG7KG9J9VY","GSON1112080043")</f>
        <v>#NAME?</v>
      </c>
      <c r="Q1391" s="24" t="e">
        <f ca="1">[1]!BexGetData("DP_1","00O2TNJGODT0G5Z4TTKYMM5MT","GSON1112080043")</f>
        <v>#NAME?</v>
      </c>
      <c r="R1391" s="28" t="e">
        <f ca="1">[1]!BexGetData("DP_1","00O2TNJGODT0G5Z4TTKYMMBYD","GSON1112080043")</f>
        <v>#NAME?</v>
      </c>
      <c r="S1391" s="28" t="e">
        <f ca="1">[1]!BexGetData("DP_1","00O2TNJGODT0G5Z4TTKYMMI9X","GSON1112080043")</f>
        <v>#NAME?</v>
      </c>
      <c r="T1391" s="28" t="e">
        <f ca="1">[1]!BexGetData("DP_1","00O2TNJGODT0G5Z4TTKYMMOLH","GSON1112080043")</f>
        <v>#NAME?</v>
      </c>
      <c r="U1391" s="28" t="e">
        <f ca="1">[1]!BexGetData("DP_1","00O2TNJGODT0G5Z4TTKYMMUX1","GSON1112080043")</f>
        <v>#NAME?</v>
      </c>
      <c r="V1391" s="28" t="e">
        <f ca="1">[1]!BexGetData("DP_1","00O2TNJGODT0G5Z4TTKYMN18L","GSON1112080043")</f>
        <v>#NAME?</v>
      </c>
      <c r="W1391" s="28" t="e">
        <f ca="1">[1]!BexGetData("DP_1","00O2TNJGODT0G5Z4TTKYMN7K5","GSON1112080043")</f>
        <v>#NAME?</v>
      </c>
    </row>
    <row r="1392" spans="1:23" x14ac:dyDescent="0.2">
      <c r="A1392" s="36" t="s">
        <v>4022</v>
      </c>
      <c r="B1392" s="27" t="s">
        <v>4023</v>
      </c>
      <c r="C1392" s="24" t="e">
        <f ca="1">[1]!BexGetData("DP_1","003N8EMH8GTFRCSWKMPXRR8GU","GSON1112080044")</f>
        <v>#NAME?</v>
      </c>
      <c r="D1392" s="24" t="e">
        <f ca="1">[1]!BexGetData("DP_1","003N8EMH8GTFRCSWKMPXRRESE","GSON1112080044")</f>
        <v>#NAME?</v>
      </c>
      <c r="E1392" s="24" t="e">
        <f ca="1">[1]!BexGetData("DP_1","003N8EMH8GTFRCSWKMPXRRL3Y","GSON1112080044")</f>
        <v>#NAME?</v>
      </c>
      <c r="F1392" s="28" t="e">
        <f ca="1">[1]!BexGetData("DP_1","003N8EMH8GTFRCSWKMPXRRRFI","GSON1112080044")</f>
        <v>#NAME?</v>
      </c>
      <c r="G1392" s="23" t="e">
        <f ca="1">[1]!BexGetData("DP_1","003N8EMH8GTFRCSWKMPXRRXR2","GSON1112080044")</f>
        <v>#NAME?</v>
      </c>
      <c r="H1392" s="23" t="e">
        <f ca="1">[1]!BexGetData("DP_1","003N8EMH8GTFRCSWKMPXRS42M","GSON1112080044")</f>
        <v>#NAME?</v>
      </c>
      <c r="I1392" s="28" t="e">
        <f ca="1">[1]!BexGetData("DP_1","003N8EMH8GTFRCSWKMPXRSAE6","GSON1112080044")</f>
        <v>#NAME?</v>
      </c>
      <c r="J1392" s="24" t="e">
        <f ca="1">[1]!BexGetData("DP_1","003N8EMH8GTFRCSWKMPXRSGPQ","GSON1112080044")</f>
        <v>#NAME?</v>
      </c>
      <c r="K1392" s="28" t="e">
        <f ca="1">[1]!BexGetData("DP_1","003N8EMH8GTFRIVNUPY288VJH","GSON1112080044")</f>
        <v>#NAME?</v>
      </c>
      <c r="L1392" s="28" t="e">
        <f ca="1">[1]!BexGetData("DP_1","003N8EMH8GTFRIVNUPY2891V1","GSON1112080044")</f>
        <v>#NAME?</v>
      </c>
      <c r="M1392" s="28" t="e">
        <f ca="1">[1]!BexGetData("DP_1","003N8EMH8GTFRIVOG7KG9IQXA","GSON1112080044")</f>
        <v>#NAME?</v>
      </c>
      <c r="N1392" s="28" t="e">
        <f ca="1">[1]!BexGetData("DP_1","003N8EMH8GTFRIVOG7KG9IX8U","GSON1112080044")</f>
        <v>#NAME?</v>
      </c>
      <c r="O1392" s="28" t="e">
        <f ca="1">[1]!BexGetData("DP_1","003N8EMH8GTFRIVOG7KG9J3KE","GSON1112080044")</f>
        <v>#NAME?</v>
      </c>
      <c r="P1392" s="28" t="e">
        <f ca="1">[1]!BexGetData("DP_1","003N8EMH8GTFRIVOG7KG9J9VY","GSON1112080044")</f>
        <v>#NAME?</v>
      </c>
      <c r="Q1392" s="24" t="e">
        <f ca="1">[1]!BexGetData("DP_1","00O2TNJGODT0G5Z4TTKYMM5MT","GSON1112080044")</f>
        <v>#NAME?</v>
      </c>
      <c r="R1392" s="28" t="e">
        <f ca="1">[1]!BexGetData("DP_1","00O2TNJGODT0G5Z4TTKYMMBYD","GSON1112080044")</f>
        <v>#NAME?</v>
      </c>
      <c r="S1392" s="28" t="e">
        <f ca="1">[1]!BexGetData("DP_1","00O2TNJGODT0G5Z4TTKYMMI9X","GSON1112080044")</f>
        <v>#NAME?</v>
      </c>
      <c r="T1392" s="28" t="e">
        <f ca="1">[1]!BexGetData("DP_1","00O2TNJGODT0G5Z4TTKYMMOLH","GSON1112080044")</f>
        <v>#NAME?</v>
      </c>
      <c r="U1392" s="28" t="e">
        <f ca="1">[1]!BexGetData("DP_1","00O2TNJGODT0G5Z4TTKYMMUX1","GSON1112080044")</f>
        <v>#NAME?</v>
      </c>
      <c r="V1392" s="28" t="e">
        <f ca="1">[1]!BexGetData("DP_1","00O2TNJGODT0G5Z4TTKYMN18L","GSON1112080044")</f>
        <v>#NAME?</v>
      </c>
      <c r="W1392" s="28" t="e">
        <f ca="1">[1]!BexGetData("DP_1","00O2TNJGODT0G5Z4TTKYMN7K5","GSON1112080044")</f>
        <v>#NAME?</v>
      </c>
    </row>
    <row r="1393" spans="1:23" x14ac:dyDescent="0.2">
      <c r="A1393" s="36" t="s">
        <v>4024</v>
      </c>
      <c r="B1393" s="27" t="s">
        <v>425</v>
      </c>
      <c r="C1393" s="28" t="e">
        <f ca="1">[1]!BexGetData("DP_1","003N8EMH8GTFRCSWKMPXRR8GU","GSON1112080050")</f>
        <v>#NAME?</v>
      </c>
      <c r="D1393" s="28" t="e">
        <f ca="1">[1]!BexGetData("DP_1","003N8EMH8GTFRCSWKMPXRRESE","GSON1112080050")</f>
        <v>#NAME?</v>
      </c>
      <c r="E1393" s="28" t="e">
        <f ca="1">[1]!BexGetData("DP_1","003N8EMH8GTFRCSWKMPXRRL3Y","GSON1112080050")</f>
        <v>#NAME?</v>
      </c>
      <c r="F1393" s="28" t="e">
        <f ca="1">[1]!BexGetData("DP_1","003N8EMH8GTFRCSWKMPXRRRFI","GSON1112080050")</f>
        <v>#NAME?</v>
      </c>
      <c r="G1393" s="23" t="e">
        <f ca="1">[1]!BexGetData("DP_1","003N8EMH8GTFRCSWKMPXRRXR2","GSON1112080050")</f>
        <v>#NAME?</v>
      </c>
      <c r="H1393" s="23" t="e">
        <f ca="1">[1]!BexGetData("DP_1","003N8EMH8GTFRCSWKMPXRS42M","GSON1112080050")</f>
        <v>#NAME?</v>
      </c>
      <c r="I1393" s="28" t="e">
        <f ca="1">[1]!BexGetData("DP_1","003N8EMH8GTFRCSWKMPXRSAE6","GSON1112080050")</f>
        <v>#NAME?</v>
      </c>
      <c r="J1393" s="23" t="e">
        <f ca="1">[1]!BexGetData("DP_1","003N8EMH8GTFRCSWKMPXRSGPQ","GSON1112080050")</f>
        <v>#NAME?</v>
      </c>
      <c r="K1393" s="28" t="e">
        <f ca="1">[1]!BexGetData("DP_1","003N8EMH8GTFRIVNUPY288VJH","GSON1112080050")</f>
        <v>#NAME?</v>
      </c>
      <c r="L1393" s="28" t="e">
        <f ca="1">[1]!BexGetData("DP_1","003N8EMH8GTFRIVNUPY2891V1","GSON1112080050")</f>
        <v>#NAME?</v>
      </c>
      <c r="M1393" s="28" t="e">
        <f ca="1">[1]!BexGetData("DP_1","003N8EMH8GTFRIVOG7KG9IQXA","GSON1112080050")</f>
        <v>#NAME?</v>
      </c>
      <c r="N1393" s="28" t="e">
        <f ca="1">[1]!BexGetData("DP_1","003N8EMH8GTFRIVOG7KG9IX8U","GSON1112080050")</f>
        <v>#NAME?</v>
      </c>
      <c r="O1393" s="28" t="e">
        <f ca="1">[1]!BexGetData("DP_1","003N8EMH8GTFRIVOG7KG9J3KE","GSON1112080050")</f>
        <v>#NAME?</v>
      </c>
      <c r="P1393" s="28" t="e">
        <f ca="1">[1]!BexGetData("DP_1","003N8EMH8GTFRIVOG7KG9J9VY","GSON1112080050")</f>
        <v>#NAME?</v>
      </c>
      <c r="Q1393" s="23" t="e">
        <f ca="1">[1]!BexGetData("DP_1","00O2TNJGODT0G5Z4TTKYMM5MT","GSON1112080050")</f>
        <v>#NAME?</v>
      </c>
      <c r="R1393" s="23" t="e">
        <f ca="1">[1]!BexGetData("DP_1","00O2TNJGODT0G5Z4TTKYMMBYD","GSON1112080050")</f>
        <v>#NAME?</v>
      </c>
      <c r="S1393" s="23" t="e">
        <f ca="1">[1]!BexGetData("DP_1","00O2TNJGODT0G5Z4TTKYMMI9X","GSON1112080050")</f>
        <v>#NAME?</v>
      </c>
      <c r="T1393" s="23" t="e">
        <f ca="1">[1]!BexGetData("DP_1","00O2TNJGODT0G5Z4TTKYMMOLH","GSON1112080050")</f>
        <v>#NAME?</v>
      </c>
      <c r="U1393" s="28" t="e">
        <f ca="1">[1]!BexGetData("DP_1","00O2TNJGODT0G5Z4TTKYMMUX1","GSON1112080050")</f>
        <v>#NAME?</v>
      </c>
      <c r="V1393" s="23" t="e">
        <f ca="1">[1]!BexGetData("DP_1","00O2TNJGODT0G5Z4TTKYMN18L","GSON1112080050")</f>
        <v>#NAME?</v>
      </c>
      <c r="W1393" s="28" t="e">
        <f ca="1">[1]!BexGetData("DP_1","00O2TNJGODT0G5Z4TTKYMN7K5","GSON1112080050")</f>
        <v>#NAME?</v>
      </c>
    </row>
    <row r="1394" spans="1:23" x14ac:dyDescent="0.2">
      <c r="A1394" s="36" t="s">
        <v>4025</v>
      </c>
      <c r="B1394" s="27" t="s">
        <v>426</v>
      </c>
      <c r="C1394" s="24" t="e">
        <f ca="1">[1]!BexGetData("DP_1","003N8EMH8GTFRCSWKMPXRR8GU","GSON1112080051")</f>
        <v>#NAME?</v>
      </c>
      <c r="D1394" s="24" t="e">
        <f ca="1">[1]!BexGetData("DP_1","003N8EMH8GTFRCSWKMPXRRESE","GSON1112080051")</f>
        <v>#NAME?</v>
      </c>
      <c r="E1394" s="24" t="e">
        <f ca="1">[1]!BexGetData("DP_1","003N8EMH8GTFRCSWKMPXRRL3Y","GSON1112080051")</f>
        <v>#NAME?</v>
      </c>
      <c r="F1394" s="28" t="e">
        <f ca="1">[1]!BexGetData("DP_1","003N8EMH8GTFRCSWKMPXRRRFI","GSON1112080051")</f>
        <v>#NAME?</v>
      </c>
      <c r="G1394" s="23" t="e">
        <f ca="1">[1]!BexGetData("DP_1","003N8EMH8GTFRCSWKMPXRRXR2","GSON1112080051")</f>
        <v>#NAME?</v>
      </c>
      <c r="H1394" s="23" t="e">
        <f ca="1">[1]!BexGetData("DP_1","003N8EMH8GTFRCSWKMPXRS42M","GSON1112080051")</f>
        <v>#NAME?</v>
      </c>
      <c r="I1394" s="28" t="e">
        <f ca="1">[1]!BexGetData("DP_1","003N8EMH8GTFRCSWKMPXRSAE6","GSON1112080051")</f>
        <v>#NAME?</v>
      </c>
      <c r="J1394" s="24" t="e">
        <f ca="1">[1]!BexGetData("DP_1","003N8EMH8GTFRCSWKMPXRSGPQ","GSON1112080051")</f>
        <v>#NAME?</v>
      </c>
      <c r="K1394" s="28" t="e">
        <f ca="1">[1]!BexGetData("DP_1","003N8EMH8GTFRIVNUPY288VJH","GSON1112080051")</f>
        <v>#NAME?</v>
      </c>
      <c r="L1394" s="28" t="e">
        <f ca="1">[1]!BexGetData("DP_1","003N8EMH8GTFRIVNUPY2891V1","GSON1112080051")</f>
        <v>#NAME?</v>
      </c>
      <c r="M1394" s="28" t="e">
        <f ca="1">[1]!BexGetData("DP_1","003N8EMH8GTFRIVOG7KG9IQXA","GSON1112080051")</f>
        <v>#NAME?</v>
      </c>
      <c r="N1394" s="28" t="e">
        <f ca="1">[1]!BexGetData("DP_1","003N8EMH8GTFRIVOG7KG9IX8U","GSON1112080051")</f>
        <v>#NAME?</v>
      </c>
      <c r="O1394" s="28" t="e">
        <f ca="1">[1]!BexGetData("DP_1","003N8EMH8GTFRIVOG7KG9J3KE","GSON1112080051")</f>
        <v>#NAME?</v>
      </c>
      <c r="P1394" s="28" t="e">
        <f ca="1">[1]!BexGetData("DP_1","003N8EMH8GTFRIVOG7KG9J9VY","GSON1112080051")</f>
        <v>#NAME?</v>
      </c>
      <c r="Q1394" s="24" t="e">
        <f ca="1">[1]!BexGetData("DP_1","00O2TNJGODT0G5Z4TTKYMM5MT","GSON1112080051")</f>
        <v>#NAME?</v>
      </c>
      <c r="R1394" s="28" t="e">
        <f ca="1">[1]!BexGetData("DP_1","00O2TNJGODT0G5Z4TTKYMMBYD","GSON1112080051")</f>
        <v>#NAME?</v>
      </c>
      <c r="S1394" s="28" t="e">
        <f ca="1">[1]!BexGetData("DP_1","00O2TNJGODT0G5Z4TTKYMMI9X","GSON1112080051")</f>
        <v>#NAME?</v>
      </c>
      <c r="T1394" s="28" t="e">
        <f ca="1">[1]!BexGetData("DP_1","00O2TNJGODT0G5Z4TTKYMMOLH","GSON1112080051")</f>
        <v>#NAME?</v>
      </c>
      <c r="U1394" s="28" t="e">
        <f ca="1">[1]!BexGetData("DP_1","00O2TNJGODT0G5Z4TTKYMMUX1","GSON1112080051")</f>
        <v>#NAME?</v>
      </c>
      <c r="V1394" s="28" t="e">
        <f ca="1">[1]!BexGetData("DP_1","00O2TNJGODT0G5Z4TTKYMN18L","GSON1112080051")</f>
        <v>#NAME?</v>
      </c>
      <c r="W1394" s="28" t="e">
        <f ca="1">[1]!BexGetData("DP_1","00O2TNJGODT0G5Z4TTKYMN7K5","GSON1112080051")</f>
        <v>#NAME?</v>
      </c>
    </row>
    <row r="1395" spans="1:23" x14ac:dyDescent="0.2">
      <c r="A1395" s="36" t="s">
        <v>4026</v>
      </c>
      <c r="B1395" s="27" t="s">
        <v>1077</v>
      </c>
      <c r="C1395" s="24" t="e">
        <f ca="1">[1]!BexGetData("DP_1","003N8EMH8GTFRCSWKMPXRR8GU","GSON1112080053")</f>
        <v>#NAME?</v>
      </c>
      <c r="D1395" s="24" t="e">
        <f ca="1">[1]!BexGetData("DP_1","003N8EMH8GTFRCSWKMPXRRESE","GSON1112080053")</f>
        <v>#NAME?</v>
      </c>
      <c r="E1395" s="24" t="e">
        <f ca="1">[1]!BexGetData("DP_1","003N8EMH8GTFRCSWKMPXRRL3Y","GSON1112080053")</f>
        <v>#NAME?</v>
      </c>
      <c r="F1395" s="28" t="e">
        <f ca="1">[1]!BexGetData("DP_1","003N8EMH8GTFRCSWKMPXRRRFI","GSON1112080053")</f>
        <v>#NAME?</v>
      </c>
      <c r="G1395" s="23" t="e">
        <f ca="1">[1]!BexGetData("DP_1","003N8EMH8GTFRCSWKMPXRRXR2","GSON1112080053")</f>
        <v>#NAME?</v>
      </c>
      <c r="H1395" s="23" t="e">
        <f ca="1">[1]!BexGetData("DP_1","003N8EMH8GTFRCSWKMPXRS42M","GSON1112080053")</f>
        <v>#NAME?</v>
      </c>
      <c r="I1395" s="28" t="e">
        <f ca="1">[1]!BexGetData("DP_1","003N8EMH8GTFRCSWKMPXRSAE6","GSON1112080053")</f>
        <v>#NAME?</v>
      </c>
      <c r="J1395" s="24" t="e">
        <f ca="1">[1]!BexGetData("DP_1","003N8EMH8GTFRCSWKMPXRSGPQ","GSON1112080053")</f>
        <v>#NAME?</v>
      </c>
      <c r="K1395" s="28" t="e">
        <f ca="1">[1]!BexGetData("DP_1","003N8EMH8GTFRIVNUPY288VJH","GSON1112080053")</f>
        <v>#NAME?</v>
      </c>
      <c r="L1395" s="28" t="e">
        <f ca="1">[1]!BexGetData("DP_1","003N8EMH8GTFRIVNUPY2891V1","GSON1112080053")</f>
        <v>#NAME?</v>
      </c>
      <c r="M1395" s="28" t="e">
        <f ca="1">[1]!BexGetData("DP_1","003N8EMH8GTFRIVOG7KG9IQXA","GSON1112080053")</f>
        <v>#NAME?</v>
      </c>
      <c r="N1395" s="28" t="e">
        <f ca="1">[1]!BexGetData("DP_1","003N8EMH8GTFRIVOG7KG9IX8U","GSON1112080053")</f>
        <v>#NAME?</v>
      </c>
      <c r="O1395" s="28" t="e">
        <f ca="1">[1]!BexGetData("DP_1","003N8EMH8GTFRIVOG7KG9J3KE","GSON1112080053")</f>
        <v>#NAME?</v>
      </c>
      <c r="P1395" s="28" t="e">
        <f ca="1">[1]!BexGetData("DP_1","003N8EMH8GTFRIVOG7KG9J9VY","GSON1112080053")</f>
        <v>#NAME?</v>
      </c>
      <c r="Q1395" s="24" t="e">
        <f ca="1">[1]!BexGetData("DP_1","00O2TNJGODT0G5Z4TTKYMM5MT","GSON1112080053")</f>
        <v>#NAME?</v>
      </c>
      <c r="R1395" s="28" t="e">
        <f ca="1">[1]!BexGetData("DP_1","00O2TNJGODT0G5Z4TTKYMMBYD","GSON1112080053")</f>
        <v>#NAME?</v>
      </c>
      <c r="S1395" s="28" t="e">
        <f ca="1">[1]!BexGetData("DP_1","00O2TNJGODT0G5Z4TTKYMMI9X","GSON1112080053")</f>
        <v>#NAME?</v>
      </c>
      <c r="T1395" s="28" t="e">
        <f ca="1">[1]!BexGetData("DP_1","00O2TNJGODT0G5Z4TTKYMMOLH","GSON1112080053")</f>
        <v>#NAME?</v>
      </c>
      <c r="U1395" s="28" t="e">
        <f ca="1">[1]!BexGetData("DP_1","00O2TNJGODT0G5Z4TTKYMMUX1","GSON1112080053")</f>
        <v>#NAME?</v>
      </c>
      <c r="V1395" s="28" t="e">
        <f ca="1">[1]!BexGetData("DP_1","00O2TNJGODT0G5Z4TTKYMN18L","GSON1112080053")</f>
        <v>#NAME?</v>
      </c>
      <c r="W1395" s="28" t="e">
        <f ca="1">[1]!BexGetData("DP_1","00O2TNJGODT0G5Z4TTKYMN7K5","GSON1112080053")</f>
        <v>#NAME?</v>
      </c>
    </row>
    <row r="1396" spans="1:23" x14ac:dyDescent="0.2">
      <c r="A1396" s="36" t="s">
        <v>4027</v>
      </c>
      <c r="B1396" s="27" t="s">
        <v>1078</v>
      </c>
      <c r="C1396" s="28" t="e">
        <f ca="1">[1]!BexGetData("DP_1","003N8EMH8GTFRCSWKMPXRR8GU","GSON1112080055")</f>
        <v>#NAME?</v>
      </c>
      <c r="D1396" s="28" t="e">
        <f ca="1">[1]!BexGetData("DP_1","003N8EMH8GTFRCSWKMPXRRESE","GSON1112080055")</f>
        <v>#NAME?</v>
      </c>
      <c r="E1396" s="28" t="e">
        <f ca="1">[1]!BexGetData("DP_1","003N8EMH8GTFRCSWKMPXRRL3Y","GSON1112080055")</f>
        <v>#NAME?</v>
      </c>
      <c r="F1396" s="28" t="e">
        <f ca="1">[1]!BexGetData("DP_1","003N8EMH8GTFRCSWKMPXRRRFI","GSON1112080055")</f>
        <v>#NAME?</v>
      </c>
      <c r="G1396" s="23" t="e">
        <f ca="1">[1]!BexGetData("DP_1","003N8EMH8GTFRCSWKMPXRRXR2","GSON1112080055")</f>
        <v>#NAME?</v>
      </c>
      <c r="H1396" s="23" t="e">
        <f ca="1">[1]!BexGetData("DP_1","003N8EMH8GTFRCSWKMPXRS42M","GSON1112080055")</f>
        <v>#NAME?</v>
      </c>
      <c r="I1396" s="28" t="e">
        <f ca="1">[1]!BexGetData("DP_1","003N8EMH8GTFRCSWKMPXRSAE6","GSON1112080055")</f>
        <v>#NAME?</v>
      </c>
      <c r="J1396" s="24" t="e">
        <f ca="1">[1]!BexGetData("DP_1","003N8EMH8GTFRCSWKMPXRSGPQ","GSON1112080055")</f>
        <v>#NAME?</v>
      </c>
      <c r="K1396" s="28" t="e">
        <f ca="1">[1]!BexGetData("DP_1","003N8EMH8GTFRIVNUPY288VJH","GSON1112080055")</f>
        <v>#NAME?</v>
      </c>
      <c r="L1396" s="28" t="e">
        <f ca="1">[1]!BexGetData("DP_1","003N8EMH8GTFRIVNUPY2891V1","GSON1112080055")</f>
        <v>#NAME?</v>
      </c>
      <c r="M1396" s="28" t="e">
        <f ca="1">[1]!BexGetData("DP_1","003N8EMH8GTFRIVOG7KG9IQXA","GSON1112080055")</f>
        <v>#NAME?</v>
      </c>
      <c r="N1396" s="28" t="e">
        <f ca="1">[1]!BexGetData("DP_1","003N8EMH8GTFRIVOG7KG9IX8U","GSON1112080055")</f>
        <v>#NAME?</v>
      </c>
      <c r="O1396" s="28" t="e">
        <f ca="1">[1]!BexGetData("DP_1","003N8EMH8GTFRIVOG7KG9J3KE","GSON1112080055")</f>
        <v>#NAME?</v>
      </c>
      <c r="P1396" s="28" t="e">
        <f ca="1">[1]!BexGetData("DP_1","003N8EMH8GTFRIVOG7KG9J9VY","GSON1112080055")</f>
        <v>#NAME?</v>
      </c>
      <c r="Q1396" s="24" t="e">
        <f ca="1">[1]!BexGetData("DP_1","00O2TNJGODT0G5Z4TTKYMM5MT","GSON1112080055")</f>
        <v>#NAME?</v>
      </c>
      <c r="R1396" s="28" t="e">
        <f ca="1">[1]!BexGetData("DP_1","00O2TNJGODT0G5Z4TTKYMMBYD","GSON1112080055")</f>
        <v>#NAME?</v>
      </c>
      <c r="S1396" s="28" t="e">
        <f ca="1">[1]!BexGetData("DP_1","00O2TNJGODT0G5Z4TTKYMMI9X","GSON1112080055")</f>
        <v>#NAME?</v>
      </c>
      <c r="T1396" s="28" t="e">
        <f ca="1">[1]!BexGetData("DP_1","00O2TNJGODT0G5Z4TTKYMMOLH","GSON1112080055")</f>
        <v>#NAME?</v>
      </c>
      <c r="U1396" s="28" t="e">
        <f ca="1">[1]!BexGetData("DP_1","00O2TNJGODT0G5Z4TTKYMMUX1","GSON1112080055")</f>
        <v>#NAME?</v>
      </c>
      <c r="V1396" s="28" t="e">
        <f ca="1">[1]!BexGetData("DP_1","00O2TNJGODT0G5Z4TTKYMN18L","GSON1112080055")</f>
        <v>#NAME?</v>
      </c>
      <c r="W1396" s="28" t="e">
        <f ca="1">[1]!BexGetData("DP_1","00O2TNJGODT0G5Z4TTKYMN7K5","GSON1112080055")</f>
        <v>#NAME?</v>
      </c>
    </row>
    <row r="1397" spans="1:23" x14ac:dyDescent="0.2">
      <c r="A1397" s="36" t="s">
        <v>4028</v>
      </c>
      <c r="B1397" s="27" t="s">
        <v>222</v>
      </c>
      <c r="C1397" s="23" t="e">
        <f ca="1">[1]!BexGetData("DP_1","003N8EMH8GTFRCSWKMPXRR8GU","GSON1112080060")</f>
        <v>#NAME?</v>
      </c>
      <c r="D1397" s="23" t="e">
        <f ca="1">[1]!BexGetData("DP_1","003N8EMH8GTFRCSWKMPXRRESE","GSON1112080060")</f>
        <v>#NAME?</v>
      </c>
      <c r="E1397" s="23" t="e">
        <f ca="1">[1]!BexGetData("DP_1","003N8EMH8GTFRCSWKMPXRRL3Y","GSON1112080060")</f>
        <v>#NAME?</v>
      </c>
      <c r="F1397" s="23" t="e">
        <f ca="1">[1]!BexGetData("DP_1","003N8EMH8GTFRCSWKMPXRRRFI","GSON1112080060")</f>
        <v>#NAME?</v>
      </c>
      <c r="G1397" s="23" t="e">
        <f ca="1">[1]!BexGetData("DP_1","003N8EMH8GTFRCSWKMPXRRXR2","GSON1112080060")</f>
        <v>#NAME?</v>
      </c>
      <c r="H1397" s="28" t="e">
        <f ca="1">[1]!BexGetData("DP_1","003N8EMH8GTFRCSWKMPXRS42M","GSON1112080060")</f>
        <v>#NAME?</v>
      </c>
      <c r="I1397" s="23" t="e">
        <f ca="1">[1]!BexGetData("DP_1","003N8EMH8GTFRCSWKMPXRSAE6","GSON1112080060")</f>
        <v>#NAME?</v>
      </c>
      <c r="J1397" s="23" t="e">
        <f ca="1">[1]!BexGetData("DP_1","003N8EMH8GTFRCSWKMPXRSGPQ","GSON1112080060")</f>
        <v>#NAME?</v>
      </c>
      <c r="K1397" s="23" t="e">
        <f ca="1">[1]!BexGetData("DP_1","003N8EMH8GTFRIVNUPY288VJH","GSON1112080060")</f>
        <v>#NAME?</v>
      </c>
      <c r="L1397" s="23" t="e">
        <f ca="1">[1]!BexGetData("DP_1","003N8EMH8GTFRIVNUPY2891V1","GSON1112080060")</f>
        <v>#NAME?</v>
      </c>
      <c r="M1397" s="23" t="e">
        <f ca="1">[1]!BexGetData("DP_1","003N8EMH8GTFRIVOG7KG9IQXA","GSON1112080060")</f>
        <v>#NAME?</v>
      </c>
      <c r="N1397" s="28" t="e">
        <f ca="1">[1]!BexGetData("DP_1","003N8EMH8GTFRIVOG7KG9IX8U","GSON1112080060")</f>
        <v>#NAME?</v>
      </c>
      <c r="O1397" s="23" t="e">
        <f ca="1">[1]!BexGetData("DP_1","003N8EMH8GTFRIVOG7KG9J3KE","GSON1112080060")</f>
        <v>#NAME?</v>
      </c>
      <c r="P1397" s="28" t="e">
        <f ca="1">[1]!BexGetData("DP_1","003N8EMH8GTFRIVOG7KG9J9VY","GSON1112080060")</f>
        <v>#NAME?</v>
      </c>
      <c r="Q1397" s="23" t="e">
        <f ca="1">[1]!BexGetData("DP_1","00O2TNJGODT0G5Z4TTKYMM5MT","GSON1112080060")</f>
        <v>#NAME?</v>
      </c>
      <c r="R1397" s="23" t="e">
        <f ca="1">[1]!BexGetData("DP_1","00O2TNJGODT0G5Z4TTKYMMBYD","GSON1112080060")</f>
        <v>#NAME?</v>
      </c>
      <c r="S1397" s="23" t="e">
        <f ca="1">[1]!BexGetData("DP_1","00O2TNJGODT0G5Z4TTKYMMI9X","GSON1112080060")</f>
        <v>#NAME?</v>
      </c>
      <c r="T1397" s="28" t="e">
        <f ca="1">[1]!BexGetData("DP_1","00O2TNJGODT0G5Z4TTKYMMOLH","GSON1112080060")</f>
        <v>#NAME?</v>
      </c>
      <c r="U1397" s="23" t="e">
        <f ca="1">[1]!BexGetData("DP_1","00O2TNJGODT0G5Z4TTKYMMUX1","GSON1112080060")</f>
        <v>#NAME?</v>
      </c>
      <c r="V1397" s="28" t="e">
        <f ca="1">[1]!BexGetData("DP_1","00O2TNJGODT0G5Z4TTKYMN18L","GSON1112080060")</f>
        <v>#NAME?</v>
      </c>
      <c r="W1397" s="23" t="e">
        <f ca="1">[1]!BexGetData("DP_1","00O2TNJGODT0G5Z4TTKYMN7K5","GSON1112080060")</f>
        <v>#NAME?</v>
      </c>
    </row>
    <row r="1398" spans="1:23" x14ac:dyDescent="0.2">
      <c r="A1398" s="36" t="s">
        <v>4029</v>
      </c>
      <c r="B1398" s="27" t="s">
        <v>223</v>
      </c>
      <c r="C1398" s="24" t="e">
        <f ca="1">[1]!BexGetData("DP_1","003N8EMH8GTFRCSWKMPXRR8GU","GSON1112080061")</f>
        <v>#NAME?</v>
      </c>
      <c r="D1398" s="24" t="e">
        <f ca="1">[1]!BexGetData("DP_1","003N8EMH8GTFRCSWKMPXRRESE","GSON1112080061")</f>
        <v>#NAME?</v>
      </c>
      <c r="E1398" s="24" t="e">
        <f ca="1">[1]!BexGetData("DP_1","003N8EMH8GTFRCSWKMPXRRL3Y","GSON1112080061")</f>
        <v>#NAME?</v>
      </c>
      <c r="F1398" s="28" t="e">
        <f ca="1">[1]!BexGetData("DP_1","003N8EMH8GTFRCSWKMPXRRRFI","GSON1112080061")</f>
        <v>#NAME?</v>
      </c>
      <c r="G1398" s="23" t="e">
        <f ca="1">[1]!BexGetData("DP_1","003N8EMH8GTFRCSWKMPXRRXR2","GSON1112080061")</f>
        <v>#NAME?</v>
      </c>
      <c r="H1398" s="23" t="e">
        <f ca="1">[1]!BexGetData("DP_1","003N8EMH8GTFRCSWKMPXRS42M","GSON1112080061")</f>
        <v>#NAME?</v>
      </c>
      <c r="I1398" s="28" t="e">
        <f ca="1">[1]!BexGetData("DP_1","003N8EMH8GTFRCSWKMPXRSAE6","GSON1112080061")</f>
        <v>#NAME?</v>
      </c>
      <c r="J1398" s="24" t="e">
        <f ca="1">[1]!BexGetData("DP_1","003N8EMH8GTFRCSWKMPXRSGPQ","GSON1112080061")</f>
        <v>#NAME?</v>
      </c>
      <c r="K1398" s="28" t="e">
        <f ca="1">[1]!BexGetData("DP_1","003N8EMH8GTFRIVNUPY288VJH","GSON1112080061")</f>
        <v>#NAME?</v>
      </c>
      <c r="L1398" s="28" t="e">
        <f ca="1">[1]!BexGetData("DP_1","003N8EMH8GTFRIVNUPY2891V1","GSON1112080061")</f>
        <v>#NAME?</v>
      </c>
      <c r="M1398" s="28" t="e">
        <f ca="1">[1]!BexGetData("DP_1","003N8EMH8GTFRIVOG7KG9IQXA","GSON1112080061")</f>
        <v>#NAME?</v>
      </c>
      <c r="N1398" s="28" t="e">
        <f ca="1">[1]!BexGetData("DP_1","003N8EMH8GTFRIVOG7KG9IX8U","GSON1112080061")</f>
        <v>#NAME?</v>
      </c>
      <c r="O1398" s="28" t="e">
        <f ca="1">[1]!BexGetData("DP_1","003N8EMH8GTFRIVOG7KG9J3KE","GSON1112080061")</f>
        <v>#NAME?</v>
      </c>
      <c r="P1398" s="28" t="e">
        <f ca="1">[1]!BexGetData("DP_1","003N8EMH8GTFRIVOG7KG9J9VY","GSON1112080061")</f>
        <v>#NAME?</v>
      </c>
      <c r="Q1398" s="24" t="e">
        <f ca="1">[1]!BexGetData("DP_1","00O2TNJGODT0G5Z4TTKYMM5MT","GSON1112080061")</f>
        <v>#NAME?</v>
      </c>
      <c r="R1398" s="28" t="e">
        <f ca="1">[1]!BexGetData("DP_1","00O2TNJGODT0G5Z4TTKYMMBYD","GSON1112080061")</f>
        <v>#NAME?</v>
      </c>
      <c r="S1398" s="28" t="e">
        <f ca="1">[1]!BexGetData("DP_1","00O2TNJGODT0G5Z4TTKYMMI9X","GSON1112080061")</f>
        <v>#NAME?</v>
      </c>
      <c r="T1398" s="28" t="e">
        <f ca="1">[1]!BexGetData("DP_1","00O2TNJGODT0G5Z4TTKYMMOLH","GSON1112080061")</f>
        <v>#NAME?</v>
      </c>
      <c r="U1398" s="28" t="e">
        <f ca="1">[1]!BexGetData("DP_1","00O2TNJGODT0G5Z4TTKYMMUX1","GSON1112080061")</f>
        <v>#NAME?</v>
      </c>
      <c r="V1398" s="28" t="e">
        <f ca="1">[1]!BexGetData("DP_1","00O2TNJGODT0G5Z4TTKYMN18L","GSON1112080061")</f>
        <v>#NAME?</v>
      </c>
      <c r="W1398" s="28" t="e">
        <f ca="1">[1]!BexGetData("DP_1","00O2TNJGODT0G5Z4TTKYMN7K5","GSON1112080061")</f>
        <v>#NAME?</v>
      </c>
    </row>
    <row r="1399" spans="1:23" x14ac:dyDescent="0.2">
      <c r="A1399" s="36" t="s">
        <v>4030</v>
      </c>
      <c r="B1399" s="27" t="s">
        <v>4031</v>
      </c>
      <c r="C1399" s="23" t="e">
        <f ca="1">[1]!BexGetData("DP_1","003N8EMH8GTFRCSWKMPXRR8GU","GSON1112080064")</f>
        <v>#NAME?</v>
      </c>
      <c r="D1399" s="23" t="e">
        <f ca="1">[1]!BexGetData("DP_1","003N8EMH8GTFRCSWKMPXRRESE","GSON1112080064")</f>
        <v>#NAME?</v>
      </c>
      <c r="E1399" s="28" t="e">
        <f ca="1">[1]!BexGetData("DP_1","003N8EMH8GTFRCSWKMPXRRL3Y","GSON1112080064")</f>
        <v>#NAME?</v>
      </c>
      <c r="F1399" s="24" t="e">
        <f ca="1">[1]!BexGetData("DP_1","003N8EMH8GTFRCSWKMPXRRRFI","GSON1112080064")</f>
        <v>#NAME?</v>
      </c>
      <c r="G1399" s="24" t="e">
        <f ca="1">[1]!BexGetData("DP_1","003N8EMH8GTFRCSWKMPXRRXR2","GSON1112080064")</f>
        <v>#NAME?</v>
      </c>
      <c r="H1399" s="24" t="e">
        <f ca="1">[1]!BexGetData("DP_1","003N8EMH8GTFRCSWKMPXRS42M","GSON1112080064")</f>
        <v>#NAME?</v>
      </c>
      <c r="I1399" s="24" t="e">
        <f ca="1">[1]!BexGetData("DP_1","003N8EMH8GTFRCSWKMPXRSAE6","GSON1112080064")</f>
        <v>#NAME?</v>
      </c>
      <c r="J1399" s="24" t="e">
        <f ca="1">[1]!BexGetData("DP_1","003N8EMH8GTFRCSWKMPXRSGPQ","GSON1112080064")</f>
        <v>#NAME?</v>
      </c>
      <c r="K1399" s="28" t="e">
        <f ca="1">[1]!BexGetData("DP_1","003N8EMH8GTFRIVNUPY288VJH","GSON1112080064")</f>
        <v>#NAME?</v>
      </c>
      <c r="L1399" s="28" t="e">
        <f ca="1">[1]!BexGetData("DP_1","003N8EMH8GTFRIVNUPY2891V1","GSON1112080064")</f>
        <v>#NAME?</v>
      </c>
      <c r="M1399" s="28" t="e">
        <f ca="1">[1]!BexGetData("DP_1","003N8EMH8GTFRIVOG7KG9IQXA","GSON1112080064")</f>
        <v>#NAME?</v>
      </c>
      <c r="N1399" s="28" t="e">
        <f ca="1">[1]!BexGetData("DP_1","003N8EMH8GTFRIVOG7KG9IX8U","GSON1112080064")</f>
        <v>#NAME?</v>
      </c>
      <c r="O1399" s="28" t="e">
        <f ca="1">[1]!BexGetData("DP_1","003N8EMH8GTFRIVOG7KG9J3KE","GSON1112080064")</f>
        <v>#NAME?</v>
      </c>
      <c r="P1399" s="28" t="e">
        <f ca="1">[1]!BexGetData("DP_1","003N8EMH8GTFRIVOG7KG9J9VY","GSON1112080064")</f>
        <v>#NAME?</v>
      </c>
      <c r="Q1399" s="24" t="e">
        <f ca="1">[1]!BexGetData("DP_1","00O2TNJGODT0G5Z4TTKYMM5MT","GSON1112080064")</f>
        <v>#NAME?</v>
      </c>
      <c r="R1399" s="24" t="e">
        <f ca="1">[1]!BexGetData("DP_1","00O2TNJGODT0G5Z4TTKYMMBYD","GSON1112080064")</f>
        <v>#NAME?</v>
      </c>
      <c r="S1399" s="24" t="e">
        <f ca="1">[1]!BexGetData("DP_1","00O2TNJGODT0G5Z4TTKYMMI9X","GSON1112080064")</f>
        <v>#NAME?</v>
      </c>
      <c r="T1399" s="24" t="e">
        <f ca="1">[1]!BexGetData("DP_1","00O2TNJGODT0G5Z4TTKYMMOLH","GSON1112080064")</f>
        <v>#NAME?</v>
      </c>
      <c r="U1399" s="24" t="e">
        <f ca="1">[1]!BexGetData("DP_1","00O2TNJGODT0G5Z4TTKYMMUX1","GSON1112080064")</f>
        <v>#NAME?</v>
      </c>
      <c r="V1399" s="24" t="e">
        <f ca="1">[1]!BexGetData("DP_1","00O2TNJGODT0G5Z4TTKYMN18L","GSON1112080064")</f>
        <v>#NAME?</v>
      </c>
      <c r="W1399" s="24" t="e">
        <f ca="1">[1]!BexGetData("DP_1","00O2TNJGODT0G5Z4TTKYMN7K5","GSON1112080064")</f>
        <v>#NAME?</v>
      </c>
    </row>
    <row r="1400" spans="1:23" x14ac:dyDescent="0.2">
      <c r="A1400" s="36" t="s">
        <v>4032</v>
      </c>
      <c r="B1400" s="27" t="s">
        <v>4033</v>
      </c>
      <c r="C1400" s="23" t="e">
        <f ca="1">[1]!BexGetData("DP_1","003N8EMH8GTFRCSWKMPXRR8GU","GSON1112080065")</f>
        <v>#NAME?</v>
      </c>
      <c r="D1400" s="23" t="e">
        <f ca="1">[1]!BexGetData("DP_1","003N8EMH8GTFRCSWKMPXRRESE","GSON1112080065")</f>
        <v>#NAME?</v>
      </c>
      <c r="E1400" s="28" t="e">
        <f ca="1">[1]!BexGetData("DP_1","003N8EMH8GTFRCSWKMPXRRL3Y","GSON1112080065")</f>
        <v>#NAME?</v>
      </c>
      <c r="F1400" s="28" t="e">
        <f ca="1">[1]!BexGetData("DP_1","003N8EMH8GTFRCSWKMPXRRRFI","GSON1112080065")</f>
        <v>#NAME?</v>
      </c>
      <c r="G1400" s="23" t="e">
        <f ca="1">[1]!BexGetData("DP_1","003N8EMH8GTFRCSWKMPXRRXR2","GSON1112080065")</f>
        <v>#NAME?</v>
      </c>
      <c r="H1400" s="23" t="e">
        <f ca="1">[1]!BexGetData("DP_1","003N8EMH8GTFRCSWKMPXRS42M","GSON1112080065")</f>
        <v>#NAME?</v>
      </c>
      <c r="I1400" s="28" t="e">
        <f ca="1">[1]!BexGetData("DP_1","003N8EMH8GTFRCSWKMPXRSAE6","GSON1112080065")</f>
        <v>#NAME?</v>
      </c>
      <c r="J1400" s="24" t="e">
        <f ca="1">[1]!BexGetData("DP_1","003N8EMH8GTFRCSWKMPXRSGPQ","GSON1112080065")</f>
        <v>#NAME?</v>
      </c>
      <c r="K1400" s="28" t="e">
        <f ca="1">[1]!BexGetData("DP_1","003N8EMH8GTFRIVNUPY288VJH","GSON1112080065")</f>
        <v>#NAME?</v>
      </c>
      <c r="L1400" s="28" t="e">
        <f ca="1">[1]!BexGetData("DP_1","003N8EMH8GTFRIVNUPY2891V1","GSON1112080065")</f>
        <v>#NAME?</v>
      </c>
      <c r="M1400" s="28" t="e">
        <f ca="1">[1]!BexGetData("DP_1","003N8EMH8GTFRIVOG7KG9IQXA","GSON1112080065")</f>
        <v>#NAME?</v>
      </c>
      <c r="N1400" s="28" t="e">
        <f ca="1">[1]!BexGetData("DP_1","003N8EMH8GTFRIVOG7KG9IX8U","GSON1112080065")</f>
        <v>#NAME?</v>
      </c>
      <c r="O1400" s="28" t="e">
        <f ca="1">[1]!BexGetData("DP_1","003N8EMH8GTFRIVOG7KG9J3KE","GSON1112080065")</f>
        <v>#NAME?</v>
      </c>
      <c r="P1400" s="28" t="e">
        <f ca="1">[1]!BexGetData("DP_1","003N8EMH8GTFRIVOG7KG9J9VY","GSON1112080065")</f>
        <v>#NAME?</v>
      </c>
      <c r="Q1400" s="24" t="e">
        <f ca="1">[1]!BexGetData("DP_1","00O2TNJGODT0G5Z4TTKYMM5MT","GSON1112080065")</f>
        <v>#NAME?</v>
      </c>
      <c r="R1400" s="28" t="e">
        <f ca="1">[1]!BexGetData("DP_1","00O2TNJGODT0G5Z4TTKYMMBYD","GSON1112080065")</f>
        <v>#NAME?</v>
      </c>
      <c r="S1400" s="28" t="e">
        <f ca="1">[1]!BexGetData("DP_1","00O2TNJGODT0G5Z4TTKYMMI9X","GSON1112080065")</f>
        <v>#NAME?</v>
      </c>
      <c r="T1400" s="28" t="e">
        <f ca="1">[1]!BexGetData("DP_1","00O2TNJGODT0G5Z4TTKYMMOLH","GSON1112080065")</f>
        <v>#NAME?</v>
      </c>
      <c r="U1400" s="28" t="e">
        <f ca="1">[1]!BexGetData("DP_1","00O2TNJGODT0G5Z4TTKYMMUX1","GSON1112080065")</f>
        <v>#NAME?</v>
      </c>
      <c r="V1400" s="28" t="e">
        <f ca="1">[1]!BexGetData("DP_1","00O2TNJGODT0G5Z4TTKYMN18L","GSON1112080065")</f>
        <v>#NAME?</v>
      </c>
      <c r="W1400" s="28" t="e">
        <f ca="1">[1]!BexGetData("DP_1","00O2TNJGODT0G5Z4TTKYMN7K5","GSON1112080065")</f>
        <v>#NAME?</v>
      </c>
    </row>
    <row r="1401" spans="1:23" x14ac:dyDescent="0.2">
      <c r="A1401" s="36" t="s">
        <v>4034</v>
      </c>
      <c r="B1401" s="27" t="s">
        <v>4035</v>
      </c>
      <c r="C1401" s="28" t="e">
        <f ca="1">[1]!BexGetData("DP_1","003N8EMH8GTFRCSWKMPXRR8GU","GSON1112080070")</f>
        <v>#NAME?</v>
      </c>
      <c r="D1401" s="28" t="e">
        <f ca="1">[1]!BexGetData("DP_1","003N8EMH8GTFRCSWKMPXRRESE","GSON1112080070")</f>
        <v>#NAME?</v>
      </c>
      <c r="E1401" s="28" t="e">
        <f ca="1">[1]!BexGetData("DP_1","003N8EMH8GTFRCSWKMPXRRL3Y","GSON1112080070")</f>
        <v>#NAME?</v>
      </c>
      <c r="F1401" s="28" t="e">
        <f ca="1">[1]!BexGetData("DP_1","003N8EMH8GTFRCSWKMPXRRRFI","GSON1112080070")</f>
        <v>#NAME?</v>
      </c>
      <c r="G1401" s="23" t="e">
        <f ca="1">[1]!BexGetData("DP_1","003N8EMH8GTFRCSWKMPXRRXR2","GSON1112080070")</f>
        <v>#NAME?</v>
      </c>
      <c r="H1401" s="23" t="e">
        <f ca="1">[1]!BexGetData("DP_1","003N8EMH8GTFRCSWKMPXRS42M","GSON1112080070")</f>
        <v>#NAME?</v>
      </c>
      <c r="I1401" s="28" t="e">
        <f ca="1">[1]!BexGetData("DP_1","003N8EMH8GTFRCSWKMPXRSAE6","GSON1112080070")</f>
        <v>#NAME?</v>
      </c>
      <c r="J1401" s="23" t="e">
        <f ca="1">[1]!BexGetData("DP_1","003N8EMH8GTFRCSWKMPXRSGPQ","GSON1112080070")</f>
        <v>#NAME?</v>
      </c>
      <c r="K1401" s="28" t="e">
        <f ca="1">[1]!BexGetData("DP_1","003N8EMH8GTFRIVNUPY288VJH","GSON1112080070")</f>
        <v>#NAME?</v>
      </c>
      <c r="L1401" s="28" t="e">
        <f ca="1">[1]!BexGetData("DP_1","003N8EMH8GTFRIVNUPY2891V1","GSON1112080070")</f>
        <v>#NAME?</v>
      </c>
      <c r="M1401" s="28" t="e">
        <f ca="1">[1]!BexGetData("DP_1","003N8EMH8GTFRIVOG7KG9IQXA","GSON1112080070")</f>
        <v>#NAME?</v>
      </c>
      <c r="N1401" s="28" t="e">
        <f ca="1">[1]!BexGetData("DP_1","003N8EMH8GTFRIVOG7KG9IX8U","GSON1112080070")</f>
        <v>#NAME?</v>
      </c>
      <c r="O1401" s="28" t="e">
        <f ca="1">[1]!BexGetData("DP_1","003N8EMH8GTFRIVOG7KG9J3KE","GSON1112080070")</f>
        <v>#NAME?</v>
      </c>
      <c r="P1401" s="28" t="e">
        <f ca="1">[1]!BexGetData("DP_1","003N8EMH8GTFRIVOG7KG9J9VY","GSON1112080070")</f>
        <v>#NAME?</v>
      </c>
      <c r="Q1401" s="23" t="e">
        <f ca="1">[1]!BexGetData("DP_1","00O2TNJGODT0G5Z4TTKYMM5MT","GSON1112080070")</f>
        <v>#NAME?</v>
      </c>
      <c r="R1401" s="23" t="e">
        <f ca="1">[1]!BexGetData("DP_1","00O2TNJGODT0G5Z4TTKYMMBYD","GSON1112080070")</f>
        <v>#NAME?</v>
      </c>
      <c r="S1401" s="23" t="e">
        <f ca="1">[1]!BexGetData("DP_1","00O2TNJGODT0G5Z4TTKYMMI9X","GSON1112080070")</f>
        <v>#NAME?</v>
      </c>
      <c r="T1401" s="23" t="e">
        <f ca="1">[1]!BexGetData("DP_1","00O2TNJGODT0G5Z4TTKYMMOLH","GSON1112080070")</f>
        <v>#NAME?</v>
      </c>
      <c r="U1401" s="28" t="e">
        <f ca="1">[1]!BexGetData("DP_1","00O2TNJGODT0G5Z4TTKYMMUX1","GSON1112080070")</f>
        <v>#NAME?</v>
      </c>
      <c r="V1401" s="23" t="e">
        <f ca="1">[1]!BexGetData("DP_1","00O2TNJGODT0G5Z4TTKYMN18L","GSON1112080070")</f>
        <v>#NAME?</v>
      </c>
      <c r="W1401" s="28" t="e">
        <f ca="1">[1]!BexGetData("DP_1","00O2TNJGODT0G5Z4TTKYMN7K5","GSON1112080070")</f>
        <v>#NAME?</v>
      </c>
    </row>
    <row r="1402" spans="1:23" x14ac:dyDescent="0.2">
      <c r="A1402" s="36" t="s">
        <v>4036</v>
      </c>
      <c r="B1402" s="27" t="s">
        <v>4037</v>
      </c>
      <c r="C1402" s="24" t="e">
        <f ca="1">[1]!BexGetData("DP_1","003N8EMH8GTFRCSWKMPXRR8GU","GSON1112080073")</f>
        <v>#NAME?</v>
      </c>
      <c r="D1402" s="24" t="e">
        <f ca="1">[1]!BexGetData("DP_1","003N8EMH8GTFRCSWKMPXRRESE","GSON1112080073")</f>
        <v>#NAME?</v>
      </c>
      <c r="E1402" s="24" t="e">
        <f ca="1">[1]!BexGetData("DP_1","003N8EMH8GTFRCSWKMPXRRL3Y","GSON1112080073")</f>
        <v>#NAME?</v>
      </c>
      <c r="F1402" s="28" t="e">
        <f ca="1">[1]!BexGetData("DP_1","003N8EMH8GTFRCSWKMPXRRRFI","GSON1112080073")</f>
        <v>#NAME?</v>
      </c>
      <c r="G1402" s="23" t="e">
        <f ca="1">[1]!BexGetData("DP_1","003N8EMH8GTFRCSWKMPXRRXR2","GSON1112080073")</f>
        <v>#NAME?</v>
      </c>
      <c r="H1402" s="23" t="e">
        <f ca="1">[1]!BexGetData("DP_1","003N8EMH8GTFRCSWKMPXRS42M","GSON1112080073")</f>
        <v>#NAME?</v>
      </c>
      <c r="I1402" s="28" t="e">
        <f ca="1">[1]!BexGetData("DP_1","003N8EMH8GTFRCSWKMPXRSAE6","GSON1112080073")</f>
        <v>#NAME?</v>
      </c>
      <c r="J1402" s="24" t="e">
        <f ca="1">[1]!BexGetData("DP_1","003N8EMH8GTFRCSWKMPXRSGPQ","GSON1112080073")</f>
        <v>#NAME?</v>
      </c>
      <c r="K1402" s="28" t="e">
        <f ca="1">[1]!BexGetData("DP_1","003N8EMH8GTFRIVNUPY288VJH","GSON1112080073")</f>
        <v>#NAME?</v>
      </c>
      <c r="L1402" s="28" t="e">
        <f ca="1">[1]!BexGetData("DP_1","003N8EMH8GTFRIVNUPY2891V1","GSON1112080073")</f>
        <v>#NAME?</v>
      </c>
      <c r="M1402" s="28" t="e">
        <f ca="1">[1]!BexGetData("DP_1","003N8EMH8GTFRIVOG7KG9IQXA","GSON1112080073")</f>
        <v>#NAME?</v>
      </c>
      <c r="N1402" s="28" t="e">
        <f ca="1">[1]!BexGetData("DP_1","003N8EMH8GTFRIVOG7KG9IX8U","GSON1112080073")</f>
        <v>#NAME?</v>
      </c>
      <c r="O1402" s="28" t="e">
        <f ca="1">[1]!BexGetData("DP_1","003N8EMH8GTFRIVOG7KG9J3KE","GSON1112080073")</f>
        <v>#NAME?</v>
      </c>
      <c r="P1402" s="28" t="e">
        <f ca="1">[1]!BexGetData("DP_1","003N8EMH8GTFRIVOG7KG9J9VY","GSON1112080073")</f>
        <v>#NAME?</v>
      </c>
      <c r="Q1402" s="24" t="e">
        <f ca="1">[1]!BexGetData("DP_1","00O2TNJGODT0G5Z4TTKYMM5MT","GSON1112080073")</f>
        <v>#NAME?</v>
      </c>
      <c r="R1402" s="28" t="e">
        <f ca="1">[1]!BexGetData("DP_1","00O2TNJGODT0G5Z4TTKYMMBYD","GSON1112080073")</f>
        <v>#NAME?</v>
      </c>
      <c r="S1402" s="28" t="e">
        <f ca="1">[1]!BexGetData("DP_1","00O2TNJGODT0G5Z4TTKYMMI9X","GSON1112080073")</f>
        <v>#NAME?</v>
      </c>
      <c r="T1402" s="28" t="e">
        <f ca="1">[1]!BexGetData("DP_1","00O2TNJGODT0G5Z4TTKYMMOLH","GSON1112080073")</f>
        <v>#NAME?</v>
      </c>
      <c r="U1402" s="28" t="e">
        <f ca="1">[1]!BexGetData("DP_1","00O2TNJGODT0G5Z4TTKYMMUX1","GSON1112080073")</f>
        <v>#NAME?</v>
      </c>
      <c r="V1402" s="28" t="e">
        <f ca="1">[1]!BexGetData("DP_1","00O2TNJGODT0G5Z4TTKYMN18L","GSON1112080073")</f>
        <v>#NAME?</v>
      </c>
      <c r="W1402" s="28" t="e">
        <f ca="1">[1]!BexGetData("DP_1","00O2TNJGODT0G5Z4TTKYMN7K5","GSON1112080073")</f>
        <v>#NAME?</v>
      </c>
    </row>
    <row r="1403" spans="1:23" x14ac:dyDescent="0.2">
      <c r="A1403" s="36" t="s">
        <v>4038</v>
      </c>
      <c r="B1403" s="27" t="s">
        <v>4039</v>
      </c>
      <c r="C1403" s="24" t="e">
        <f ca="1">[1]!BexGetData("DP_1","003N8EMH8GTFRCSWKMPXRR8GU","GSON1112080074")</f>
        <v>#NAME?</v>
      </c>
      <c r="D1403" s="24" t="e">
        <f ca="1">[1]!BexGetData("DP_1","003N8EMH8GTFRCSWKMPXRRESE","GSON1112080074")</f>
        <v>#NAME?</v>
      </c>
      <c r="E1403" s="24" t="e">
        <f ca="1">[1]!BexGetData("DP_1","003N8EMH8GTFRCSWKMPXRRL3Y","GSON1112080074")</f>
        <v>#NAME?</v>
      </c>
      <c r="F1403" s="28" t="e">
        <f ca="1">[1]!BexGetData("DP_1","003N8EMH8GTFRCSWKMPXRRRFI","GSON1112080074")</f>
        <v>#NAME?</v>
      </c>
      <c r="G1403" s="23" t="e">
        <f ca="1">[1]!BexGetData("DP_1","003N8EMH8GTFRCSWKMPXRRXR2","GSON1112080074")</f>
        <v>#NAME?</v>
      </c>
      <c r="H1403" s="23" t="e">
        <f ca="1">[1]!BexGetData("DP_1","003N8EMH8GTFRCSWKMPXRS42M","GSON1112080074")</f>
        <v>#NAME?</v>
      </c>
      <c r="I1403" s="28" t="e">
        <f ca="1">[1]!BexGetData("DP_1","003N8EMH8GTFRCSWKMPXRSAE6","GSON1112080074")</f>
        <v>#NAME?</v>
      </c>
      <c r="J1403" s="24" t="e">
        <f ca="1">[1]!BexGetData("DP_1","003N8EMH8GTFRCSWKMPXRSGPQ","GSON1112080074")</f>
        <v>#NAME?</v>
      </c>
      <c r="K1403" s="28" t="e">
        <f ca="1">[1]!BexGetData("DP_1","003N8EMH8GTFRIVNUPY288VJH","GSON1112080074")</f>
        <v>#NAME?</v>
      </c>
      <c r="L1403" s="28" t="e">
        <f ca="1">[1]!BexGetData("DP_1","003N8EMH8GTFRIVNUPY2891V1","GSON1112080074")</f>
        <v>#NAME?</v>
      </c>
      <c r="M1403" s="28" t="e">
        <f ca="1">[1]!BexGetData("DP_1","003N8EMH8GTFRIVOG7KG9IQXA","GSON1112080074")</f>
        <v>#NAME?</v>
      </c>
      <c r="N1403" s="28" t="e">
        <f ca="1">[1]!BexGetData("DP_1","003N8EMH8GTFRIVOG7KG9IX8U","GSON1112080074")</f>
        <v>#NAME?</v>
      </c>
      <c r="O1403" s="28" t="e">
        <f ca="1">[1]!BexGetData("DP_1","003N8EMH8GTFRIVOG7KG9J3KE","GSON1112080074")</f>
        <v>#NAME?</v>
      </c>
      <c r="P1403" s="28" t="e">
        <f ca="1">[1]!BexGetData("DP_1","003N8EMH8GTFRIVOG7KG9J9VY","GSON1112080074")</f>
        <v>#NAME?</v>
      </c>
      <c r="Q1403" s="24" t="e">
        <f ca="1">[1]!BexGetData("DP_1","00O2TNJGODT0G5Z4TTKYMM5MT","GSON1112080074")</f>
        <v>#NAME?</v>
      </c>
      <c r="R1403" s="28" t="e">
        <f ca="1">[1]!BexGetData("DP_1","00O2TNJGODT0G5Z4TTKYMMBYD","GSON1112080074")</f>
        <v>#NAME?</v>
      </c>
      <c r="S1403" s="28" t="e">
        <f ca="1">[1]!BexGetData("DP_1","00O2TNJGODT0G5Z4TTKYMMI9X","GSON1112080074")</f>
        <v>#NAME?</v>
      </c>
      <c r="T1403" s="28" t="e">
        <f ca="1">[1]!BexGetData("DP_1","00O2TNJGODT0G5Z4TTKYMMOLH","GSON1112080074")</f>
        <v>#NAME?</v>
      </c>
      <c r="U1403" s="28" t="e">
        <f ca="1">[1]!BexGetData("DP_1","00O2TNJGODT0G5Z4TTKYMMUX1","GSON1112080074")</f>
        <v>#NAME?</v>
      </c>
      <c r="V1403" s="28" t="e">
        <f ca="1">[1]!BexGetData("DP_1","00O2TNJGODT0G5Z4TTKYMN18L","GSON1112080074")</f>
        <v>#NAME?</v>
      </c>
      <c r="W1403" s="28" t="e">
        <f ca="1">[1]!BexGetData("DP_1","00O2TNJGODT0G5Z4TTKYMN7K5","GSON1112080074")</f>
        <v>#NAME?</v>
      </c>
    </row>
    <row r="1404" spans="1:23" x14ac:dyDescent="0.2">
      <c r="A1404" s="36" t="s">
        <v>4040</v>
      </c>
      <c r="B1404" s="27" t="s">
        <v>4041</v>
      </c>
      <c r="C1404" s="28" t="e">
        <f ca="1">[1]!BexGetData("DP_1","003N8EMH8GTFRCSWKMPXRR8GU","GSON1112080075")</f>
        <v>#NAME?</v>
      </c>
      <c r="D1404" s="28" t="e">
        <f ca="1">[1]!BexGetData("DP_1","003N8EMH8GTFRCSWKMPXRRESE","GSON1112080075")</f>
        <v>#NAME?</v>
      </c>
      <c r="E1404" s="28" t="e">
        <f ca="1">[1]!BexGetData("DP_1","003N8EMH8GTFRCSWKMPXRRL3Y","GSON1112080075")</f>
        <v>#NAME?</v>
      </c>
      <c r="F1404" s="28" t="e">
        <f ca="1">[1]!BexGetData("DP_1","003N8EMH8GTFRCSWKMPXRRRFI","GSON1112080075")</f>
        <v>#NAME?</v>
      </c>
      <c r="G1404" s="23" t="e">
        <f ca="1">[1]!BexGetData("DP_1","003N8EMH8GTFRCSWKMPXRRXR2","GSON1112080075")</f>
        <v>#NAME?</v>
      </c>
      <c r="H1404" s="23" t="e">
        <f ca="1">[1]!BexGetData("DP_1","003N8EMH8GTFRCSWKMPXRS42M","GSON1112080075")</f>
        <v>#NAME?</v>
      </c>
      <c r="I1404" s="28" t="e">
        <f ca="1">[1]!BexGetData("DP_1","003N8EMH8GTFRCSWKMPXRSAE6","GSON1112080075")</f>
        <v>#NAME?</v>
      </c>
      <c r="J1404" s="24" t="e">
        <f ca="1">[1]!BexGetData("DP_1","003N8EMH8GTFRCSWKMPXRSGPQ","GSON1112080075")</f>
        <v>#NAME?</v>
      </c>
      <c r="K1404" s="28" t="e">
        <f ca="1">[1]!BexGetData("DP_1","003N8EMH8GTFRIVNUPY288VJH","GSON1112080075")</f>
        <v>#NAME?</v>
      </c>
      <c r="L1404" s="28" t="e">
        <f ca="1">[1]!BexGetData("DP_1","003N8EMH8GTFRIVNUPY2891V1","GSON1112080075")</f>
        <v>#NAME?</v>
      </c>
      <c r="M1404" s="28" t="e">
        <f ca="1">[1]!BexGetData("DP_1","003N8EMH8GTFRIVOG7KG9IQXA","GSON1112080075")</f>
        <v>#NAME?</v>
      </c>
      <c r="N1404" s="28" t="e">
        <f ca="1">[1]!BexGetData("DP_1","003N8EMH8GTFRIVOG7KG9IX8U","GSON1112080075")</f>
        <v>#NAME?</v>
      </c>
      <c r="O1404" s="28" t="e">
        <f ca="1">[1]!BexGetData("DP_1","003N8EMH8GTFRIVOG7KG9J3KE","GSON1112080075")</f>
        <v>#NAME?</v>
      </c>
      <c r="P1404" s="28" t="e">
        <f ca="1">[1]!BexGetData("DP_1","003N8EMH8GTFRIVOG7KG9J9VY","GSON1112080075")</f>
        <v>#NAME?</v>
      </c>
      <c r="Q1404" s="24" t="e">
        <f ca="1">[1]!BexGetData("DP_1","00O2TNJGODT0G5Z4TTKYMM5MT","GSON1112080075")</f>
        <v>#NAME?</v>
      </c>
      <c r="R1404" s="28" t="e">
        <f ca="1">[1]!BexGetData("DP_1","00O2TNJGODT0G5Z4TTKYMMBYD","GSON1112080075")</f>
        <v>#NAME?</v>
      </c>
      <c r="S1404" s="28" t="e">
        <f ca="1">[1]!BexGetData("DP_1","00O2TNJGODT0G5Z4TTKYMMI9X","GSON1112080075")</f>
        <v>#NAME?</v>
      </c>
      <c r="T1404" s="28" t="e">
        <f ca="1">[1]!BexGetData("DP_1","00O2TNJGODT0G5Z4TTKYMMOLH","GSON1112080075")</f>
        <v>#NAME?</v>
      </c>
      <c r="U1404" s="28" t="e">
        <f ca="1">[1]!BexGetData("DP_1","00O2TNJGODT0G5Z4TTKYMMUX1","GSON1112080075")</f>
        <v>#NAME?</v>
      </c>
      <c r="V1404" s="28" t="e">
        <f ca="1">[1]!BexGetData("DP_1","00O2TNJGODT0G5Z4TTKYMN18L","GSON1112080075")</f>
        <v>#NAME?</v>
      </c>
      <c r="W1404" s="28" t="e">
        <f ca="1">[1]!BexGetData("DP_1","00O2TNJGODT0G5Z4TTKYMN7K5","GSON1112080075")</f>
        <v>#NAME?</v>
      </c>
    </row>
    <row r="1405" spans="1:23" x14ac:dyDescent="0.2">
      <c r="A1405" s="36" t="s">
        <v>4042</v>
      </c>
      <c r="B1405" s="27" t="s">
        <v>4043</v>
      </c>
      <c r="C1405" s="23" t="e">
        <f ca="1">[1]!BexGetData("DP_1","003N8EMH8GTFRCSWKMPXRR8GU","GSON1112080080")</f>
        <v>#NAME?</v>
      </c>
      <c r="D1405" s="23" t="e">
        <f ca="1">[1]!BexGetData("DP_1","003N8EMH8GTFRCSWKMPXRRESE","GSON1112080080")</f>
        <v>#NAME?</v>
      </c>
      <c r="E1405" s="23" t="e">
        <f ca="1">[1]!BexGetData("DP_1","003N8EMH8GTFRCSWKMPXRRL3Y","GSON1112080080")</f>
        <v>#NAME?</v>
      </c>
      <c r="F1405" s="23" t="e">
        <f ca="1">[1]!BexGetData("DP_1","003N8EMH8GTFRCSWKMPXRRRFI","GSON1112080080")</f>
        <v>#NAME?</v>
      </c>
      <c r="G1405" s="23" t="e">
        <f ca="1">[1]!BexGetData("DP_1","003N8EMH8GTFRCSWKMPXRRXR2","GSON1112080080")</f>
        <v>#NAME?</v>
      </c>
      <c r="H1405" s="23" t="e">
        <f ca="1">[1]!BexGetData("DP_1","003N8EMH8GTFRCSWKMPXRS42M","GSON1112080080")</f>
        <v>#NAME?</v>
      </c>
      <c r="I1405" s="23" t="e">
        <f ca="1">[1]!BexGetData("DP_1","003N8EMH8GTFRCSWKMPXRSAE6","GSON1112080080")</f>
        <v>#NAME?</v>
      </c>
      <c r="J1405" s="23" t="e">
        <f ca="1">[1]!BexGetData("DP_1","003N8EMH8GTFRCSWKMPXRSGPQ","GSON1112080080")</f>
        <v>#NAME?</v>
      </c>
      <c r="K1405" s="23" t="e">
        <f ca="1">[1]!BexGetData("DP_1","003N8EMH8GTFRIVNUPY288VJH","GSON1112080080")</f>
        <v>#NAME?</v>
      </c>
      <c r="L1405" s="23" t="e">
        <f ca="1">[1]!BexGetData("DP_1","003N8EMH8GTFRIVNUPY2891V1","GSON1112080080")</f>
        <v>#NAME?</v>
      </c>
      <c r="M1405" s="28" t="e">
        <f ca="1">[1]!BexGetData("DP_1","003N8EMH8GTFRIVOG7KG9IQXA","GSON1112080080")</f>
        <v>#NAME?</v>
      </c>
      <c r="N1405" s="23" t="e">
        <f ca="1">[1]!BexGetData("DP_1","003N8EMH8GTFRIVOG7KG9IX8U","GSON1112080080")</f>
        <v>#NAME?</v>
      </c>
      <c r="O1405" s="28" t="e">
        <f ca="1">[1]!BexGetData("DP_1","003N8EMH8GTFRIVOG7KG9J3KE","GSON1112080080")</f>
        <v>#NAME?</v>
      </c>
      <c r="P1405" s="23" t="e">
        <f ca="1">[1]!BexGetData("DP_1","003N8EMH8GTFRIVOG7KG9J9VY","GSON1112080080")</f>
        <v>#NAME?</v>
      </c>
      <c r="Q1405" s="23" t="e">
        <f ca="1">[1]!BexGetData("DP_1","00O2TNJGODT0G5Z4TTKYMM5MT","GSON1112080080")</f>
        <v>#NAME?</v>
      </c>
      <c r="R1405" s="23" t="e">
        <f ca="1">[1]!BexGetData("DP_1","00O2TNJGODT0G5Z4TTKYMMBYD","GSON1112080080")</f>
        <v>#NAME?</v>
      </c>
      <c r="S1405" s="23" t="e">
        <f ca="1">[1]!BexGetData("DP_1","00O2TNJGODT0G5Z4TTKYMMI9X","GSON1112080080")</f>
        <v>#NAME?</v>
      </c>
      <c r="T1405" s="28" t="e">
        <f ca="1">[1]!BexGetData("DP_1","00O2TNJGODT0G5Z4TTKYMMOLH","GSON1112080080")</f>
        <v>#NAME?</v>
      </c>
      <c r="U1405" s="23" t="e">
        <f ca="1">[1]!BexGetData("DP_1","00O2TNJGODT0G5Z4TTKYMMUX1","GSON1112080080")</f>
        <v>#NAME?</v>
      </c>
      <c r="V1405" s="28" t="e">
        <f ca="1">[1]!BexGetData("DP_1","00O2TNJGODT0G5Z4TTKYMN18L","GSON1112080080")</f>
        <v>#NAME?</v>
      </c>
      <c r="W1405" s="23" t="e">
        <f ca="1">[1]!BexGetData("DP_1","00O2TNJGODT0G5Z4TTKYMN7K5","GSON1112080080")</f>
        <v>#NAME?</v>
      </c>
    </row>
    <row r="1406" spans="1:23" x14ac:dyDescent="0.2">
      <c r="A1406" s="36" t="s">
        <v>4044</v>
      </c>
      <c r="B1406" s="27" t="s">
        <v>664</v>
      </c>
      <c r="C1406" s="23" t="e">
        <f ca="1">[1]!BexGetData("DP_1","003N8EMH8GTFRCSWKMPXRR8GU","GSON1112080081")</f>
        <v>#NAME?</v>
      </c>
      <c r="D1406" s="23" t="e">
        <f ca="1">[1]!BexGetData("DP_1","003N8EMH8GTFRCSWKMPXRRESE","GSON1112080081")</f>
        <v>#NAME?</v>
      </c>
      <c r="E1406" s="28" t="e">
        <f ca="1">[1]!BexGetData("DP_1","003N8EMH8GTFRCSWKMPXRRL3Y","GSON1112080081")</f>
        <v>#NAME?</v>
      </c>
      <c r="F1406" s="28" t="e">
        <f ca="1">[1]!BexGetData("DP_1","003N8EMH8GTFRCSWKMPXRRRFI","GSON1112080081")</f>
        <v>#NAME?</v>
      </c>
      <c r="G1406" s="23" t="e">
        <f ca="1">[1]!BexGetData("DP_1","003N8EMH8GTFRCSWKMPXRRXR2","GSON1112080081")</f>
        <v>#NAME?</v>
      </c>
      <c r="H1406" s="23" t="e">
        <f ca="1">[1]!BexGetData("DP_1","003N8EMH8GTFRCSWKMPXRS42M","GSON1112080081")</f>
        <v>#NAME?</v>
      </c>
      <c r="I1406" s="28" t="e">
        <f ca="1">[1]!BexGetData("DP_1","003N8EMH8GTFRCSWKMPXRSAE6","GSON1112080081")</f>
        <v>#NAME?</v>
      </c>
      <c r="J1406" s="24" t="e">
        <f ca="1">[1]!BexGetData("DP_1","003N8EMH8GTFRCSWKMPXRSGPQ","GSON1112080081")</f>
        <v>#NAME?</v>
      </c>
      <c r="K1406" s="28" t="e">
        <f ca="1">[1]!BexGetData("DP_1","003N8EMH8GTFRIVNUPY288VJH","GSON1112080081")</f>
        <v>#NAME?</v>
      </c>
      <c r="L1406" s="28" t="e">
        <f ca="1">[1]!BexGetData("DP_1","003N8EMH8GTFRIVNUPY2891V1","GSON1112080081")</f>
        <v>#NAME?</v>
      </c>
      <c r="M1406" s="28" t="e">
        <f ca="1">[1]!BexGetData("DP_1","003N8EMH8GTFRIVOG7KG9IQXA","GSON1112080081")</f>
        <v>#NAME?</v>
      </c>
      <c r="N1406" s="28" t="e">
        <f ca="1">[1]!BexGetData("DP_1","003N8EMH8GTFRIVOG7KG9IX8U","GSON1112080081")</f>
        <v>#NAME?</v>
      </c>
      <c r="O1406" s="28" t="e">
        <f ca="1">[1]!BexGetData("DP_1","003N8EMH8GTFRIVOG7KG9J3KE","GSON1112080081")</f>
        <v>#NAME?</v>
      </c>
      <c r="P1406" s="28" t="e">
        <f ca="1">[1]!BexGetData("DP_1","003N8EMH8GTFRIVOG7KG9J9VY","GSON1112080081")</f>
        <v>#NAME?</v>
      </c>
      <c r="Q1406" s="24" t="e">
        <f ca="1">[1]!BexGetData("DP_1","00O2TNJGODT0G5Z4TTKYMM5MT","GSON1112080081")</f>
        <v>#NAME?</v>
      </c>
      <c r="R1406" s="28" t="e">
        <f ca="1">[1]!BexGetData("DP_1","00O2TNJGODT0G5Z4TTKYMMBYD","GSON1112080081")</f>
        <v>#NAME?</v>
      </c>
      <c r="S1406" s="28" t="e">
        <f ca="1">[1]!BexGetData("DP_1","00O2TNJGODT0G5Z4TTKYMMI9X","GSON1112080081")</f>
        <v>#NAME?</v>
      </c>
      <c r="T1406" s="28" t="e">
        <f ca="1">[1]!BexGetData("DP_1","00O2TNJGODT0G5Z4TTKYMMOLH","GSON1112080081")</f>
        <v>#NAME?</v>
      </c>
      <c r="U1406" s="28" t="e">
        <f ca="1">[1]!BexGetData("DP_1","00O2TNJGODT0G5Z4TTKYMMUX1","GSON1112080081")</f>
        <v>#NAME?</v>
      </c>
      <c r="V1406" s="28" t="e">
        <f ca="1">[1]!BexGetData("DP_1","00O2TNJGODT0G5Z4TTKYMN18L","GSON1112080081")</f>
        <v>#NAME?</v>
      </c>
      <c r="W1406" s="28" t="e">
        <f ca="1">[1]!BexGetData("DP_1","00O2TNJGODT0G5Z4TTKYMN7K5","GSON1112080081")</f>
        <v>#NAME?</v>
      </c>
    </row>
    <row r="1407" spans="1:23" x14ac:dyDescent="0.2">
      <c r="A1407" s="36" t="s">
        <v>4045</v>
      </c>
      <c r="B1407" s="27" t="s">
        <v>4046</v>
      </c>
      <c r="C1407" s="23" t="e">
        <f ca="1">[1]!BexGetData("DP_1","003N8EMH8GTFRCSWKMPXRR8GU","GSON1112080083")</f>
        <v>#NAME?</v>
      </c>
      <c r="D1407" s="23" t="e">
        <f ca="1">[1]!BexGetData("DP_1","003N8EMH8GTFRCSWKMPXRRESE","GSON1112080083")</f>
        <v>#NAME?</v>
      </c>
      <c r="E1407" s="28" t="e">
        <f ca="1">[1]!BexGetData("DP_1","003N8EMH8GTFRCSWKMPXRRL3Y","GSON1112080083")</f>
        <v>#NAME?</v>
      </c>
      <c r="F1407" s="28" t="e">
        <f ca="1">[1]!BexGetData("DP_1","003N8EMH8GTFRCSWKMPXRRRFI","GSON1112080083")</f>
        <v>#NAME?</v>
      </c>
      <c r="G1407" s="23" t="e">
        <f ca="1">[1]!BexGetData("DP_1","003N8EMH8GTFRCSWKMPXRRXR2","GSON1112080083")</f>
        <v>#NAME?</v>
      </c>
      <c r="H1407" s="23" t="e">
        <f ca="1">[1]!BexGetData("DP_1","003N8EMH8GTFRCSWKMPXRS42M","GSON1112080083")</f>
        <v>#NAME?</v>
      </c>
      <c r="I1407" s="28" t="e">
        <f ca="1">[1]!BexGetData("DP_1","003N8EMH8GTFRCSWKMPXRSAE6","GSON1112080083")</f>
        <v>#NAME?</v>
      </c>
      <c r="J1407" s="24" t="e">
        <f ca="1">[1]!BexGetData("DP_1","003N8EMH8GTFRCSWKMPXRSGPQ","GSON1112080083")</f>
        <v>#NAME?</v>
      </c>
      <c r="K1407" s="28" t="e">
        <f ca="1">[1]!BexGetData("DP_1","003N8EMH8GTFRIVNUPY288VJH","GSON1112080083")</f>
        <v>#NAME?</v>
      </c>
      <c r="L1407" s="28" t="e">
        <f ca="1">[1]!BexGetData("DP_1","003N8EMH8GTFRIVNUPY2891V1","GSON1112080083")</f>
        <v>#NAME?</v>
      </c>
      <c r="M1407" s="28" t="e">
        <f ca="1">[1]!BexGetData("DP_1","003N8EMH8GTFRIVOG7KG9IQXA","GSON1112080083")</f>
        <v>#NAME?</v>
      </c>
      <c r="N1407" s="28" t="e">
        <f ca="1">[1]!BexGetData("DP_1","003N8EMH8GTFRIVOG7KG9IX8U","GSON1112080083")</f>
        <v>#NAME?</v>
      </c>
      <c r="O1407" s="28" t="e">
        <f ca="1">[1]!BexGetData("DP_1","003N8EMH8GTFRIVOG7KG9J3KE","GSON1112080083")</f>
        <v>#NAME?</v>
      </c>
      <c r="P1407" s="28" t="e">
        <f ca="1">[1]!BexGetData("DP_1","003N8EMH8GTFRIVOG7KG9J9VY","GSON1112080083")</f>
        <v>#NAME?</v>
      </c>
      <c r="Q1407" s="24" t="e">
        <f ca="1">[1]!BexGetData("DP_1","00O2TNJGODT0G5Z4TTKYMM5MT","GSON1112080083")</f>
        <v>#NAME?</v>
      </c>
      <c r="R1407" s="28" t="e">
        <f ca="1">[1]!BexGetData("DP_1","00O2TNJGODT0G5Z4TTKYMMBYD","GSON1112080083")</f>
        <v>#NAME?</v>
      </c>
      <c r="S1407" s="28" t="e">
        <f ca="1">[1]!BexGetData("DP_1","00O2TNJGODT0G5Z4TTKYMMI9X","GSON1112080083")</f>
        <v>#NAME?</v>
      </c>
      <c r="T1407" s="28" t="e">
        <f ca="1">[1]!BexGetData("DP_1","00O2TNJGODT0G5Z4TTKYMMOLH","GSON1112080083")</f>
        <v>#NAME?</v>
      </c>
      <c r="U1407" s="28" t="e">
        <f ca="1">[1]!BexGetData("DP_1","00O2TNJGODT0G5Z4TTKYMMUX1","GSON1112080083")</f>
        <v>#NAME?</v>
      </c>
      <c r="V1407" s="28" t="e">
        <f ca="1">[1]!BexGetData("DP_1","00O2TNJGODT0G5Z4TTKYMN18L","GSON1112080083")</f>
        <v>#NAME?</v>
      </c>
      <c r="W1407" s="28" t="e">
        <f ca="1">[1]!BexGetData("DP_1","00O2TNJGODT0G5Z4TTKYMN7K5","GSON1112080083")</f>
        <v>#NAME?</v>
      </c>
    </row>
    <row r="1408" spans="1:23" x14ac:dyDescent="0.2">
      <c r="A1408" s="36" t="s">
        <v>4047</v>
      </c>
      <c r="B1408" s="27" t="s">
        <v>4048</v>
      </c>
      <c r="C1408" s="24" t="e">
        <f ca="1">[1]!BexGetData("DP_1","003N8EMH8GTFRCSWKMPXRR8GU","GSON1112080084")</f>
        <v>#NAME?</v>
      </c>
      <c r="D1408" s="24" t="e">
        <f ca="1">[1]!BexGetData("DP_1","003N8EMH8GTFRCSWKMPXRRESE","GSON1112080084")</f>
        <v>#NAME?</v>
      </c>
      <c r="E1408" s="24" t="e">
        <f ca="1">[1]!BexGetData("DP_1","003N8EMH8GTFRCSWKMPXRRL3Y","GSON1112080084")</f>
        <v>#NAME?</v>
      </c>
      <c r="F1408" s="28" t="e">
        <f ca="1">[1]!BexGetData("DP_1","003N8EMH8GTFRCSWKMPXRRRFI","GSON1112080084")</f>
        <v>#NAME?</v>
      </c>
      <c r="G1408" s="23" t="e">
        <f ca="1">[1]!BexGetData("DP_1","003N8EMH8GTFRCSWKMPXRRXR2","GSON1112080084")</f>
        <v>#NAME?</v>
      </c>
      <c r="H1408" s="23" t="e">
        <f ca="1">[1]!BexGetData("DP_1","003N8EMH8GTFRCSWKMPXRS42M","GSON1112080084")</f>
        <v>#NAME?</v>
      </c>
      <c r="I1408" s="28" t="e">
        <f ca="1">[1]!BexGetData("DP_1","003N8EMH8GTFRCSWKMPXRSAE6","GSON1112080084")</f>
        <v>#NAME?</v>
      </c>
      <c r="J1408" s="24" t="e">
        <f ca="1">[1]!BexGetData("DP_1","003N8EMH8GTFRCSWKMPXRSGPQ","GSON1112080084")</f>
        <v>#NAME?</v>
      </c>
      <c r="K1408" s="28" t="e">
        <f ca="1">[1]!BexGetData("DP_1","003N8EMH8GTFRIVNUPY288VJH","GSON1112080084")</f>
        <v>#NAME?</v>
      </c>
      <c r="L1408" s="28" t="e">
        <f ca="1">[1]!BexGetData("DP_1","003N8EMH8GTFRIVNUPY2891V1","GSON1112080084")</f>
        <v>#NAME?</v>
      </c>
      <c r="M1408" s="28" t="e">
        <f ca="1">[1]!BexGetData("DP_1","003N8EMH8GTFRIVOG7KG9IQXA","GSON1112080084")</f>
        <v>#NAME?</v>
      </c>
      <c r="N1408" s="28" t="e">
        <f ca="1">[1]!BexGetData("DP_1","003N8EMH8GTFRIVOG7KG9IX8U","GSON1112080084")</f>
        <v>#NAME?</v>
      </c>
      <c r="O1408" s="28" t="e">
        <f ca="1">[1]!BexGetData("DP_1","003N8EMH8GTFRIVOG7KG9J3KE","GSON1112080084")</f>
        <v>#NAME?</v>
      </c>
      <c r="P1408" s="28" t="e">
        <f ca="1">[1]!BexGetData("DP_1","003N8EMH8GTFRIVOG7KG9J9VY","GSON1112080084")</f>
        <v>#NAME?</v>
      </c>
      <c r="Q1408" s="24" t="e">
        <f ca="1">[1]!BexGetData("DP_1","00O2TNJGODT0G5Z4TTKYMM5MT","GSON1112080084")</f>
        <v>#NAME?</v>
      </c>
      <c r="R1408" s="28" t="e">
        <f ca="1">[1]!BexGetData("DP_1","00O2TNJGODT0G5Z4TTKYMMBYD","GSON1112080084")</f>
        <v>#NAME?</v>
      </c>
      <c r="S1408" s="28" t="e">
        <f ca="1">[1]!BexGetData("DP_1","00O2TNJGODT0G5Z4TTKYMMI9X","GSON1112080084")</f>
        <v>#NAME?</v>
      </c>
      <c r="T1408" s="28" t="e">
        <f ca="1">[1]!BexGetData("DP_1","00O2TNJGODT0G5Z4TTKYMMOLH","GSON1112080084")</f>
        <v>#NAME?</v>
      </c>
      <c r="U1408" s="28" t="e">
        <f ca="1">[1]!BexGetData("DP_1","00O2TNJGODT0G5Z4TTKYMMUX1","GSON1112080084")</f>
        <v>#NAME?</v>
      </c>
      <c r="V1408" s="28" t="e">
        <f ca="1">[1]!BexGetData("DP_1","00O2TNJGODT0G5Z4TTKYMN18L","GSON1112080084")</f>
        <v>#NAME?</v>
      </c>
      <c r="W1408" s="28" t="e">
        <f ca="1">[1]!BexGetData("DP_1","00O2TNJGODT0G5Z4TTKYMN7K5","GSON1112080084")</f>
        <v>#NAME?</v>
      </c>
    </row>
    <row r="1409" spans="1:23" x14ac:dyDescent="0.2">
      <c r="A1409" s="36" t="s">
        <v>4049</v>
      </c>
      <c r="B1409" s="27" t="s">
        <v>4050</v>
      </c>
      <c r="C1409" s="23" t="e">
        <f ca="1">[1]!BexGetData("DP_1","003N8EMH8GTFRCSWKMPXRR8GU","GSON1112080085")</f>
        <v>#NAME?</v>
      </c>
      <c r="D1409" s="23" t="e">
        <f ca="1">[1]!BexGetData("DP_1","003N8EMH8GTFRCSWKMPXRRESE","GSON1112080085")</f>
        <v>#NAME?</v>
      </c>
      <c r="E1409" s="28" t="e">
        <f ca="1">[1]!BexGetData("DP_1","003N8EMH8GTFRCSWKMPXRRL3Y","GSON1112080085")</f>
        <v>#NAME?</v>
      </c>
      <c r="F1409" s="28" t="e">
        <f ca="1">[1]!BexGetData("DP_1","003N8EMH8GTFRCSWKMPXRRRFI","GSON1112080085")</f>
        <v>#NAME?</v>
      </c>
      <c r="G1409" s="23" t="e">
        <f ca="1">[1]!BexGetData("DP_1","003N8EMH8GTFRCSWKMPXRRXR2","GSON1112080085")</f>
        <v>#NAME?</v>
      </c>
      <c r="H1409" s="23" t="e">
        <f ca="1">[1]!BexGetData("DP_1","003N8EMH8GTFRCSWKMPXRS42M","GSON1112080085")</f>
        <v>#NAME?</v>
      </c>
      <c r="I1409" s="28" t="e">
        <f ca="1">[1]!BexGetData("DP_1","003N8EMH8GTFRCSWKMPXRSAE6","GSON1112080085")</f>
        <v>#NAME?</v>
      </c>
      <c r="J1409" s="24" t="e">
        <f ca="1">[1]!BexGetData("DP_1","003N8EMH8GTFRCSWKMPXRSGPQ","GSON1112080085")</f>
        <v>#NAME?</v>
      </c>
      <c r="K1409" s="28" t="e">
        <f ca="1">[1]!BexGetData("DP_1","003N8EMH8GTFRIVNUPY288VJH","GSON1112080085")</f>
        <v>#NAME?</v>
      </c>
      <c r="L1409" s="28" t="e">
        <f ca="1">[1]!BexGetData("DP_1","003N8EMH8GTFRIVNUPY2891V1","GSON1112080085")</f>
        <v>#NAME?</v>
      </c>
      <c r="M1409" s="28" t="e">
        <f ca="1">[1]!BexGetData("DP_1","003N8EMH8GTFRIVOG7KG9IQXA","GSON1112080085")</f>
        <v>#NAME?</v>
      </c>
      <c r="N1409" s="28" t="e">
        <f ca="1">[1]!BexGetData("DP_1","003N8EMH8GTFRIVOG7KG9IX8U","GSON1112080085")</f>
        <v>#NAME?</v>
      </c>
      <c r="O1409" s="28" t="e">
        <f ca="1">[1]!BexGetData("DP_1","003N8EMH8GTFRIVOG7KG9J3KE","GSON1112080085")</f>
        <v>#NAME?</v>
      </c>
      <c r="P1409" s="28" t="e">
        <f ca="1">[1]!BexGetData("DP_1","003N8EMH8GTFRIVOG7KG9J9VY","GSON1112080085")</f>
        <v>#NAME?</v>
      </c>
      <c r="Q1409" s="24" t="e">
        <f ca="1">[1]!BexGetData("DP_1","00O2TNJGODT0G5Z4TTKYMM5MT","GSON1112080085")</f>
        <v>#NAME?</v>
      </c>
      <c r="R1409" s="28" t="e">
        <f ca="1">[1]!BexGetData("DP_1","00O2TNJGODT0G5Z4TTKYMMBYD","GSON1112080085")</f>
        <v>#NAME?</v>
      </c>
      <c r="S1409" s="28" t="e">
        <f ca="1">[1]!BexGetData("DP_1","00O2TNJGODT0G5Z4TTKYMMI9X","GSON1112080085")</f>
        <v>#NAME?</v>
      </c>
      <c r="T1409" s="28" t="e">
        <f ca="1">[1]!BexGetData("DP_1","00O2TNJGODT0G5Z4TTKYMMOLH","GSON1112080085")</f>
        <v>#NAME?</v>
      </c>
      <c r="U1409" s="28" t="e">
        <f ca="1">[1]!BexGetData("DP_1","00O2TNJGODT0G5Z4TTKYMMUX1","GSON1112080085")</f>
        <v>#NAME?</v>
      </c>
      <c r="V1409" s="28" t="e">
        <f ca="1">[1]!BexGetData("DP_1","00O2TNJGODT0G5Z4TTKYMN18L","GSON1112080085")</f>
        <v>#NAME?</v>
      </c>
      <c r="W1409" s="28" t="e">
        <f ca="1">[1]!BexGetData("DP_1","00O2TNJGODT0G5Z4TTKYMN7K5","GSON1112080085")</f>
        <v>#NAME?</v>
      </c>
    </row>
    <row r="1410" spans="1:23" x14ac:dyDescent="0.2">
      <c r="A1410" s="36" t="s">
        <v>4051</v>
      </c>
      <c r="B1410" s="27" t="s">
        <v>4052</v>
      </c>
      <c r="C1410" s="24" t="e">
        <f ca="1">[1]!BexGetData("DP_1","003N8EMH8GTFRCSWKMPXRR8GU","GSON1112080100")</f>
        <v>#NAME?</v>
      </c>
      <c r="D1410" s="24" t="e">
        <f ca="1">[1]!BexGetData("DP_1","003N8EMH8GTFRCSWKMPXRRESE","GSON1112080100")</f>
        <v>#NAME?</v>
      </c>
      <c r="E1410" s="24" t="e">
        <f ca="1">[1]!BexGetData("DP_1","003N8EMH8GTFRCSWKMPXRRL3Y","GSON1112080100")</f>
        <v>#NAME?</v>
      </c>
      <c r="F1410" s="28" t="e">
        <f ca="1">[1]!BexGetData("DP_1","003N8EMH8GTFRCSWKMPXRRRFI","GSON1112080100")</f>
        <v>#NAME?</v>
      </c>
      <c r="G1410" s="23" t="e">
        <f ca="1">[1]!BexGetData("DP_1","003N8EMH8GTFRCSWKMPXRRXR2","GSON1112080100")</f>
        <v>#NAME?</v>
      </c>
      <c r="H1410" s="23" t="e">
        <f ca="1">[1]!BexGetData("DP_1","003N8EMH8GTFRCSWKMPXRS42M","GSON1112080100")</f>
        <v>#NAME?</v>
      </c>
      <c r="I1410" s="28" t="e">
        <f ca="1">[1]!BexGetData("DP_1","003N8EMH8GTFRCSWKMPXRSAE6","GSON1112080100")</f>
        <v>#NAME?</v>
      </c>
      <c r="J1410" s="24" t="e">
        <f ca="1">[1]!BexGetData("DP_1","003N8EMH8GTFRCSWKMPXRSGPQ","GSON1112080100")</f>
        <v>#NAME?</v>
      </c>
      <c r="K1410" s="28" t="e">
        <f ca="1">[1]!BexGetData("DP_1","003N8EMH8GTFRIVNUPY288VJH","GSON1112080100")</f>
        <v>#NAME?</v>
      </c>
      <c r="L1410" s="28" t="e">
        <f ca="1">[1]!BexGetData("DP_1","003N8EMH8GTFRIVNUPY2891V1","GSON1112080100")</f>
        <v>#NAME?</v>
      </c>
      <c r="M1410" s="28" t="e">
        <f ca="1">[1]!BexGetData("DP_1","003N8EMH8GTFRIVOG7KG9IQXA","GSON1112080100")</f>
        <v>#NAME?</v>
      </c>
      <c r="N1410" s="28" t="e">
        <f ca="1">[1]!BexGetData("DP_1","003N8EMH8GTFRIVOG7KG9IX8U","GSON1112080100")</f>
        <v>#NAME?</v>
      </c>
      <c r="O1410" s="28" t="e">
        <f ca="1">[1]!BexGetData("DP_1","003N8EMH8GTFRIVOG7KG9J3KE","GSON1112080100")</f>
        <v>#NAME?</v>
      </c>
      <c r="P1410" s="28" t="e">
        <f ca="1">[1]!BexGetData("DP_1","003N8EMH8GTFRIVOG7KG9J9VY","GSON1112080100")</f>
        <v>#NAME?</v>
      </c>
      <c r="Q1410" s="24" t="e">
        <f ca="1">[1]!BexGetData("DP_1","00O2TNJGODT0G5Z4TTKYMM5MT","GSON1112080100")</f>
        <v>#NAME?</v>
      </c>
      <c r="R1410" s="28" t="e">
        <f ca="1">[1]!BexGetData("DP_1","00O2TNJGODT0G5Z4TTKYMMBYD","GSON1112080100")</f>
        <v>#NAME?</v>
      </c>
      <c r="S1410" s="28" t="e">
        <f ca="1">[1]!BexGetData("DP_1","00O2TNJGODT0G5Z4TTKYMMI9X","GSON1112080100")</f>
        <v>#NAME?</v>
      </c>
      <c r="T1410" s="28" t="e">
        <f ca="1">[1]!BexGetData("DP_1","00O2TNJGODT0G5Z4TTKYMMOLH","GSON1112080100")</f>
        <v>#NAME?</v>
      </c>
      <c r="U1410" s="28" t="e">
        <f ca="1">[1]!BexGetData("DP_1","00O2TNJGODT0G5Z4TTKYMMUX1","GSON1112080100")</f>
        <v>#NAME?</v>
      </c>
      <c r="V1410" s="28" t="e">
        <f ca="1">[1]!BexGetData("DP_1","00O2TNJGODT0G5Z4TTKYMN18L","GSON1112080100")</f>
        <v>#NAME?</v>
      </c>
      <c r="W1410" s="28" t="e">
        <f ca="1">[1]!BexGetData("DP_1","00O2TNJGODT0G5Z4TTKYMN7K5","GSON1112080100")</f>
        <v>#NAME?</v>
      </c>
    </row>
    <row r="1411" spans="1:23" x14ac:dyDescent="0.2">
      <c r="A1411" s="36" t="s">
        <v>4053</v>
      </c>
      <c r="B1411" s="27" t="s">
        <v>4054</v>
      </c>
      <c r="C1411" s="24" t="e">
        <f ca="1">[1]!BexGetData("DP_1","003N8EMH8GTFRCSWKMPXRR8GU","GSON1112080101")</f>
        <v>#NAME?</v>
      </c>
      <c r="D1411" s="24" t="e">
        <f ca="1">[1]!BexGetData("DP_1","003N8EMH8GTFRCSWKMPXRRESE","GSON1112080101")</f>
        <v>#NAME?</v>
      </c>
      <c r="E1411" s="24" t="e">
        <f ca="1">[1]!BexGetData("DP_1","003N8EMH8GTFRCSWKMPXRRL3Y","GSON1112080101")</f>
        <v>#NAME?</v>
      </c>
      <c r="F1411" s="28" t="e">
        <f ca="1">[1]!BexGetData("DP_1","003N8EMH8GTFRCSWKMPXRRRFI","GSON1112080101")</f>
        <v>#NAME?</v>
      </c>
      <c r="G1411" s="23" t="e">
        <f ca="1">[1]!BexGetData("DP_1","003N8EMH8GTFRCSWKMPXRRXR2","GSON1112080101")</f>
        <v>#NAME?</v>
      </c>
      <c r="H1411" s="23" t="e">
        <f ca="1">[1]!BexGetData("DP_1","003N8EMH8GTFRCSWKMPXRS42M","GSON1112080101")</f>
        <v>#NAME?</v>
      </c>
      <c r="I1411" s="28" t="e">
        <f ca="1">[1]!BexGetData("DP_1","003N8EMH8GTFRCSWKMPXRSAE6","GSON1112080101")</f>
        <v>#NAME?</v>
      </c>
      <c r="J1411" s="24" t="e">
        <f ca="1">[1]!BexGetData("DP_1","003N8EMH8GTFRCSWKMPXRSGPQ","GSON1112080101")</f>
        <v>#NAME?</v>
      </c>
      <c r="K1411" s="28" t="e">
        <f ca="1">[1]!BexGetData("DP_1","003N8EMH8GTFRIVNUPY288VJH","GSON1112080101")</f>
        <v>#NAME?</v>
      </c>
      <c r="L1411" s="28" t="e">
        <f ca="1">[1]!BexGetData("DP_1","003N8EMH8GTFRIVNUPY2891V1","GSON1112080101")</f>
        <v>#NAME?</v>
      </c>
      <c r="M1411" s="28" t="e">
        <f ca="1">[1]!BexGetData("DP_1","003N8EMH8GTFRIVOG7KG9IQXA","GSON1112080101")</f>
        <v>#NAME?</v>
      </c>
      <c r="N1411" s="28" t="e">
        <f ca="1">[1]!BexGetData("DP_1","003N8EMH8GTFRIVOG7KG9IX8U","GSON1112080101")</f>
        <v>#NAME?</v>
      </c>
      <c r="O1411" s="28" t="e">
        <f ca="1">[1]!BexGetData("DP_1","003N8EMH8GTFRIVOG7KG9J3KE","GSON1112080101")</f>
        <v>#NAME?</v>
      </c>
      <c r="P1411" s="28" t="e">
        <f ca="1">[1]!BexGetData("DP_1","003N8EMH8GTFRIVOG7KG9J9VY","GSON1112080101")</f>
        <v>#NAME?</v>
      </c>
      <c r="Q1411" s="24" t="e">
        <f ca="1">[1]!BexGetData("DP_1","00O2TNJGODT0G5Z4TTKYMM5MT","GSON1112080101")</f>
        <v>#NAME?</v>
      </c>
      <c r="R1411" s="28" t="e">
        <f ca="1">[1]!BexGetData("DP_1","00O2TNJGODT0G5Z4TTKYMMBYD","GSON1112080101")</f>
        <v>#NAME?</v>
      </c>
      <c r="S1411" s="28" t="e">
        <f ca="1">[1]!BexGetData("DP_1","00O2TNJGODT0G5Z4TTKYMMI9X","GSON1112080101")</f>
        <v>#NAME?</v>
      </c>
      <c r="T1411" s="28" t="e">
        <f ca="1">[1]!BexGetData("DP_1","00O2TNJGODT0G5Z4TTKYMMOLH","GSON1112080101")</f>
        <v>#NAME?</v>
      </c>
      <c r="U1411" s="28" t="e">
        <f ca="1">[1]!BexGetData("DP_1","00O2TNJGODT0G5Z4TTKYMMUX1","GSON1112080101")</f>
        <v>#NAME?</v>
      </c>
      <c r="V1411" s="28" t="e">
        <f ca="1">[1]!BexGetData("DP_1","00O2TNJGODT0G5Z4TTKYMN18L","GSON1112080101")</f>
        <v>#NAME?</v>
      </c>
      <c r="W1411" s="28" t="e">
        <f ca="1">[1]!BexGetData("DP_1","00O2TNJGODT0G5Z4TTKYMN7K5","GSON1112080101")</f>
        <v>#NAME?</v>
      </c>
    </row>
    <row r="1412" spans="1:23" x14ac:dyDescent="0.2">
      <c r="A1412" s="36" t="s">
        <v>4055</v>
      </c>
      <c r="B1412" s="27" t="s">
        <v>4056</v>
      </c>
      <c r="C1412" s="24" t="e">
        <f ca="1">[1]!BexGetData("DP_1","003N8EMH8GTFRCSWKMPXRR8GU","GSON1112080103")</f>
        <v>#NAME?</v>
      </c>
      <c r="D1412" s="24" t="e">
        <f ca="1">[1]!BexGetData("DP_1","003N8EMH8GTFRCSWKMPXRRESE","GSON1112080103")</f>
        <v>#NAME?</v>
      </c>
      <c r="E1412" s="24" t="e">
        <f ca="1">[1]!BexGetData("DP_1","003N8EMH8GTFRCSWKMPXRRL3Y","GSON1112080103")</f>
        <v>#NAME?</v>
      </c>
      <c r="F1412" s="28" t="e">
        <f ca="1">[1]!BexGetData("DP_1","003N8EMH8GTFRCSWKMPXRRRFI","GSON1112080103")</f>
        <v>#NAME?</v>
      </c>
      <c r="G1412" s="23" t="e">
        <f ca="1">[1]!BexGetData("DP_1","003N8EMH8GTFRCSWKMPXRRXR2","GSON1112080103")</f>
        <v>#NAME?</v>
      </c>
      <c r="H1412" s="23" t="e">
        <f ca="1">[1]!BexGetData("DP_1","003N8EMH8GTFRCSWKMPXRS42M","GSON1112080103")</f>
        <v>#NAME?</v>
      </c>
      <c r="I1412" s="28" t="e">
        <f ca="1">[1]!BexGetData("DP_1","003N8EMH8GTFRCSWKMPXRSAE6","GSON1112080103")</f>
        <v>#NAME?</v>
      </c>
      <c r="J1412" s="24" t="e">
        <f ca="1">[1]!BexGetData("DP_1","003N8EMH8GTFRCSWKMPXRSGPQ","GSON1112080103")</f>
        <v>#NAME?</v>
      </c>
      <c r="K1412" s="28" t="e">
        <f ca="1">[1]!BexGetData("DP_1","003N8EMH8GTFRIVNUPY288VJH","GSON1112080103")</f>
        <v>#NAME?</v>
      </c>
      <c r="L1412" s="28" t="e">
        <f ca="1">[1]!BexGetData("DP_1","003N8EMH8GTFRIVNUPY2891V1","GSON1112080103")</f>
        <v>#NAME?</v>
      </c>
      <c r="M1412" s="28" t="e">
        <f ca="1">[1]!BexGetData("DP_1","003N8EMH8GTFRIVOG7KG9IQXA","GSON1112080103")</f>
        <v>#NAME?</v>
      </c>
      <c r="N1412" s="28" t="e">
        <f ca="1">[1]!BexGetData("DP_1","003N8EMH8GTFRIVOG7KG9IX8U","GSON1112080103")</f>
        <v>#NAME?</v>
      </c>
      <c r="O1412" s="28" t="e">
        <f ca="1">[1]!BexGetData("DP_1","003N8EMH8GTFRIVOG7KG9J3KE","GSON1112080103")</f>
        <v>#NAME?</v>
      </c>
      <c r="P1412" s="28" t="e">
        <f ca="1">[1]!BexGetData("DP_1","003N8EMH8GTFRIVOG7KG9J9VY","GSON1112080103")</f>
        <v>#NAME?</v>
      </c>
      <c r="Q1412" s="24" t="e">
        <f ca="1">[1]!BexGetData("DP_1","00O2TNJGODT0G5Z4TTKYMM5MT","GSON1112080103")</f>
        <v>#NAME?</v>
      </c>
      <c r="R1412" s="28" t="e">
        <f ca="1">[1]!BexGetData("DP_1","00O2TNJGODT0G5Z4TTKYMMBYD","GSON1112080103")</f>
        <v>#NAME?</v>
      </c>
      <c r="S1412" s="28" t="e">
        <f ca="1">[1]!BexGetData("DP_1","00O2TNJGODT0G5Z4TTKYMMI9X","GSON1112080103")</f>
        <v>#NAME?</v>
      </c>
      <c r="T1412" s="28" t="e">
        <f ca="1">[1]!BexGetData("DP_1","00O2TNJGODT0G5Z4TTKYMMOLH","GSON1112080103")</f>
        <v>#NAME?</v>
      </c>
      <c r="U1412" s="28" t="e">
        <f ca="1">[1]!BexGetData("DP_1","00O2TNJGODT0G5Z4TTKYMMUX1","GSON1112080103")</f>
        <v>#NAME?</v>
      </c>
      <c r="V1412" s="28" t="e">
        <f ca="1">[1]!BexGetData("DP_1","00O2TNJGODT0G5Z4TTKYMN18L","GSON1112080103")</f>
        <v>#NAME?</v>
      </c>
      <c r="W1412" s="28" t="e">
        <f ca="1">[1]!BexGetData("DP_1","00O2TNJGODT0G5Z4TTKYMN7K5","GSON1112080103")</f>
        <v>#NAME?</v>
      </c>
    </row>
    <row r="1413" spans="1:23" x14ac:dyDescent="0.2">
      <c r="A1413" s="36" t="s">
        <v>4057</v>
      </c>
      <c r="B1413" s="27" t="s">
        <v>4058</v>
      </c>
      <c r="C1413" s="28" t="e">
        <f ca="1">[1]!BexGetData("DP_1","003N8EMH8GTFRCSWKMPXRR8GU","GSON1112080125")</f>
        <v>#NAME?</v>
      </c>
      <c r="D1413" s="28" t="e">
        <f ca="1">[1]!BexGetData("DP_1","003N8EMH8GTFRCSWKMPXRRESE","GSON1112080125")</f>
        <v>#NAME?</v>
      </c>
      <c r="E1413" s="28" t="e">
        <f ca="1">[1]!BexGetData("DP_1","003N8EMH8GTFRCSWKMPXRRL3Y","GSON1112080125")</f>
        <v>#NAME?</v>
      </c>
      <c r="F1413" s="28" t="e">
        <f ca="1">[1]!BexGetData("DP_1","003N8EMH8GTFRCSWKMPXRRRFI","GSON1112080125")</f>
        <v>#NAME?</v>
      </c>
      <c r="G1413" s="23" t="e">
        <f ca="1">[1]!BexGetData("DP_1","003N8EMH8GTFRCSWKMPXRRXR2","GSON1112080125")</f>
        <v>#NAME?</v>
      </c>
      <c r="H1413" s="23" t="e">
        <f ca="1">[1]!BexGetData("DP_1","003N8EMH8GTFRCSWKMPXRS42M","GSON1112080125")</f>
        <v>#NAME?</v>
      </c>
      <c r="I1413" s="28" t="e">
        <f ca="1">[1]!BexGetData("DP_1","003N8EMH8GTFRCSWKMPXRSAE6","GSON1112080125")</f>
        <v>#NAME?</v>
      </c>
      <c r="J1413" s="24" t="e">
        <f ca="1">[1]!BexGetData("DP_1","003N8EMH8GTFRCSWKMPXRSGPQ","GSON1112080125")</f>
        <v>#NAME?</v>
      </c>
      <c r="K1413" s="28" t="e">
        <f ca="1">[1]!BexGetData("DP_1","003N8EMH8GTFRIVNUPY288VJH","GSON1112080125")</f>
        <v>#NAME?</v>
      </c>
      <c r="L1413" s="28" t="e">
        <f ca="1">[1]!BexGetData("DP_1","003N8EMH8GTFRIVNUPY2891V1","GSON1112080125")</f>
        <v>#NAME?</v>
      </c>
      <c r="M1413" s="28" t="e">
        <f ca="1">[1]!BexGetData("DP_1","003N8EMH8GTFRIVOG7KG9IQXA","GSON1112080125")</f>
        <v>#NAME?</v>
      </c>
      <c r="N1413" s="28" t="e">
        <f ca="1">[1]!BexGetData("DP_1","003N8EMH8GTFRIVOG7KG9IX8U","GSON1112080125")</f>
        <v>#NAME?</v>
      </c>
      <c r="O1413" s="28" t="e">
        <f ca="1">[1]!BexGetData("DP_1","003N8EMH8GTFRIVOG7KG9J3KE","GSON1112080125")</f>
        <v>#NAME?</v>
      </c>
      <c r="P1413" s="28" t="e">
        <f ca="1">[1]!BexGetData("DP_1","003N8EMH8GTFRIVOG7KG9J9VY","GSON1112080125")</f>
        <v>#NAME?</v>
      </c>
      <c r="Q1413" s="24" t="e">
        <f ca="1">[1]!BexGetData("DP_1","00O2TNJGODT0G5Z4TTKYMM5MT","GSON1112080125")</f>
        <v>#NAME?</v>
      </c>
      <c r="R1413" s="28" t="e">
        <f ca="1">[1]!BexGetData("DP_1","00O2TNJGODT0G5Z4TTKYMMBYD","GSON1112080125")</f>
        <v>#NAME?</v>
      </c>
      <c r="S1413" s="28" t="e">
        <f ca="1">[1]!BexGetData("DP_1","00O2TNJGODT0G5Z4TTKYMMI9X","GSON1112080125")</f>
        <v>#NAME?</v>
      </c>
      <c r="T1413" s="28" t="e">
        <f ca="1">[1]!BexGetData("DP_1","00O2TNJGODT0G5Z4TTKYMMOLH","GSON1112080125")</f>
        <v>#NAME?</v>
      </c>
      <c r="U1413" s="28" t="e">
        <f ca="1">[1]!BexGetData("DP_1","00O2TNJGODT0G5Z4TTKYMMUX1","GSON1112080125")</f>
        <v>#NAME?</v>
      </c>
      <c r="V1413" s="28" t="e">
        <f ca="1">[1]!BexGetData("DP_1","00O2TNJGODT0G5Z4TTKYMN18L","GSON1112080125")</f>
        <v>#NAME?</v>
      </c>
      <c r="W1413" s="28" t="e">
        <f ca="1">[1]!BexGetData("DP_1","00O2TNJGODT0G5Z4TTKYMN7K5","GSON1112080125")</f>
        <v>#NAME?</v>
      </c>
    </row>
    <row r="1414" spans="1:23" x14ac:dyDescent="0.2">
      <c r="A1414" s="36" t="s">
        <v>4059</v>
      </c>
      <c r="B1414" s="27" t="s">
        <v>4060</v>
      </c>
      <c r="C1414" s="28" t="e">
        <f ca="1">[1]!BexGetData("DP_1","003N8EMH8GTFRCSWKMPXRR8GU","GSON1112080131")</f>
        <v>#NAME?</v>
      </c>
      <c r="D1414" s="28" t="e">
        <f ca="1">[1]!BexGetData("DP_1","003N8EMH8GTFRCSWKMPXRRESE","GSON1112080131")</f>
        <v>#NAME?</v>
      </c>
      <c r="E1414" s="28" t="e">
        <f ca="1">[1]!BexGetData("DP_1","003N8EMH8GTFRCSWKMPXRRL3Y","GSON1112080131")</f>
        <v>#NAME?</v>
      </c>
      <c r="F1414" s="28" t="e">
        <f ca="1">[1]!BexGetData("DP_1","003N8EMH8GTFRCSWKMPXRRRFI","GSON1112080131")</f>
        <v>#NAME?</v>
      </c>
      <c r="G1414" s="23" t="e">
        <f ca="1">[1]!BexGetData("DP_1","003N8EMH8GTFRCSWKMPXRRXR2","GSON1112080131")</f>
        <v>#NAME?</v>
      </c>
      <c r="H1414" s="23" t="e">
        <f ca="1">[1]!BexGetData("DP_1","003N8EMH8GTFRCSWKMPXRS42M","GSON1112080131")</f>
        <v>#NAME?</v>
      </c>
      <c r="I1414" s="28" t="e">
        <f ca="1">[1]!BexGetData("DP_1","003N8EMH8GTFRCSWKMPXRSAE6","GSON1112080131")</f>
        <v>#NAME?</v>
      </c>
      <c r="J1414" s="24" t="e">
        <f ca="1">[1]!BexGetData("DP_1","003N8EMH8GTFRCSWKMPXRSGPQ","GSON1112080131")</f>
        <v>#NAME?</v>
      </c>
      <c r="K1414" s="28" t="e">
        <f ca="1">[1]!BexGetData("DP_1","003N8EMH8GTFRIVNUPY288VJH","GSON1112080131")</f>
        <v>#NAME?</v>
      </c>
      <c r="L1414" s="28" t="e">
        <f ca="1">[1]!BexGetData("DP_1","003N8EMH8GTFRIVNUPY2891V1","GSON1112080131")</f>
        <v>#NAME?</v>
      </c>
      <c r="M1414" s="28" t="e">
        <f ca="1">[1]!BexGetData("DP_1","003N8EMH8GTFRIVOG7KG9IQXA","GSON1112080131")</f>
        <v>#NAME?</v>
      </c>
      <c r="N1414" s="28" t="e">
        <f ca="1">[1]!BexGetData("DP_1","003N8EMH8GTFRIVOG7KG9IX8U","GSON1112080131")</f>
        <v>#NAME?</v>
      </c>
      <c r="O1414" s="28" t="e">
        <f ca="1">[1]!BexGetData("DP_1","003N8EMH8GTFRIVOG7KG9J3KE","GSON1112080131")</f>
        <v>#NAME?</v>
      </c>
      <c r="P1414" s="28" t="e">
        <f ca="1">[1]!BexGetData("DP_1","003N8EMH8GTFRIVOG7KG9J9VY","GSON1112080131")</f>
        <v>#NAME?</v>
      </c>
      <c r="Q1414" s="24" t="e">
        <f ca="1">[1]!BexGetData("DP_1","00O2TNJGODT0G5Z4TTKYMM5MT","GSON1112080131")</f>
        <v>#NAME?</v>
      </c>
      <c r="R1414" s="28" t="e">
        <f ca="1">[1]!BexGetData("DP_1","00O2TNJGODT0G5Z4TTKYMMBYD","GSON1112080131")</f>
        <v>#NAME?</v>
      </c>
      <c r="S1414" s="28" t="e">
        <f ca="1">[1]!BexGetData("DP_1","00O2TNJGODT0G5Z4TTKYMMI9X","GSON1112080131")</f>
        <v>#NAME?</v>
      </c>
      <c r="T1414" s="28" t="e">
        <f ca="1">[1]!BexGetData("DP_1","00O2TNJGODT0G5Z4TTKYMMOLH","GSON1112080131")</f>
        <v>#NAME?</v>
      </c>
      <c r="U1414" s="28" t="e">
        <f ca="1">[1]!BexGetData("DP_1","00O2TNJGODT0G5Z4TTKYMMUX1","GSON1112080131")</f>
        <v>#NAME?</v>
      </c>
      <c r="V1414" s="28" t="e">
        <f ca="1">[1]!BexGetData("DP_1","00O2TNJGODT0G5Z4TTKYMN18L","GSON1112080131")</f>
        <v>#NAME?</v>
      </c>
      <c r="W1414" s="28" t="e">
        <f ca="1">[1]!BexGetData("DP_1","00O2TNJGODT0G5Z4TTKYMN7K5","GSON1112080131")</f>
        <v>#NAME?</v>
      </c>
    </row>
    <row r="1415" spans="1:23" x14ac:dyDescent="0.2">
      <c r="A1415" s="36" t="s">
        <v>224</v>
      </c>
      <c r="B1415" s="27" t="s">
        <v>225</v>
      </c>
      <c r="C1415" s="23" t="e">
        <f ca="1">[1]!BexGetData("DP_1","003N8EMH8GTFRCSWKMPXRR8GU","GSON1112080170")</f>
        <v>#NAME?</v>
      </c>
      <c r="D1415" s="23" t="e">
        <f ca="1">[1]!BexGetData("DP_1","003N8EMH8GTFRCSWKMPXRRESE","GSON1112080170")</f>
        <v>#NAME?</v>
      </c>
      <c r="E1415" s="28" t="e">
        <f ca="1">[1]!BexGetData("DP_1","003N8EMH8GTFRCSWKMPXRRL3Y","GSON1112080170")</f>
        <v>#NAME?</v>
      </c>
      <c r="F1415" s="23" t="e">
        <f ca="1">[1]!BexGetData("DP_1","003N8EMH8GTFRCSWKMPXRRRFI","GSON1112080170")</f>
        <v>#NAME?</v>
      </c>
      <c r="G1415" s="23" t="e">
        <f ca="1">[1]!BexGetData("DP_1","003N8EMH8GTFRCSWKMPXRRXR2","GSON1112080170")</f>
        <v>#NAME?</v>
      </c>
      <c r="H1415" s="23" t="e">
        <f ca="1">[1]!BexGetData("DP_1","003N8EMH8GTFRCSWKMPXRS42M","GSON1112080170")</f>
        <v>#NAME?</v>
      </c>
      <c r="I1415" s="23" t="e">
        <f ca="1">[1]!BexGetData("DP_1","003N8EMH8GTFRCSWKMPXRSAE6","GSON1112080170")</f>
        <v>#NAME?</v>
      </c>
      <c r="J1415" s="23" t="e">
        <f ca="1">[1]!BexGetData("DP_1","003N8EMH8GTFRCSWKMPXRSGPQ","GSON1112080170")</f>
        <v>#NAME?</v>
      </c>
      <c r="K1415" s="23" t="e">
        <f ca="1">[1]!BexGetData("DP_1","003N8EMH8GTFRIVNUPY288VJH","GSON1112080170")</f>
        <v>#NAME?</v>
      </c>
      <c r="L1415" s="23" t="e">
        <f ca="1">[1]!BexGetData("DP_1","003N8EMH8GTFRIVNUPY2891V1","GSON1112080170")</f>
        <v>#NAME?</v>
      </c>
      <c r="M1415" s="23" t="e">
        <f ca="1">[1]!BexGetData("DP_1","003N8EMH8GTFRIVOG7KG9IQXA","GSON1112080170")</f>
        <v>#NAME?</v>
      </c>
      <c r="N1415" s="28" t="e">
        <f ca="1">[1]!BexGetData("DP_1","003N8EMH8GTFRIVOG7KG9IX8U","GSON1112080170")</f>
        <v>#NAME?</v>
      </c>
      <c r="O1415" s="23" t="e">
        <f ca="1">[1]!BexGetData("DP_1","003N8EMH8GTFRIVOG7KG9J3KE","GSON1112080170")</f>
        <v>#NAME?</v>
      </c>
      <c r="P1415" s="28" t="e">
        <f ca="1">[1]!BexGetData("DP_1","003N8EMH8GTFRIVOG7KG9J9VY","GSON1112080170")</f>
        <v>#NAME?</v>
      </c>
      <c r="Q1415" s="23" t="e">
        <f ca="1">[1]!BexGetData("DP_1","00O2TNJGODT0G5Z4TTKYMM5MT","GSON1112080170")</f>
        <v>#NAME?</v>
      </c>
      <c r="R1415" s="23" t="e">
        <f ca="1">[1]!BexGetData("DP_1","00O2TNJGODT0G5Z4TTKYMMBYD","GSON1112080170")</f>
        <v>#NAME?</v>
      </c>
      <c r="S1415" s="23" t="e">
        <f ca="1">[1]!BexGetData("DP_1","00O2TNJGODT0G5Z4TTKYMMI9X","GSON1112080170")</f>
        <v>#NAME?</v>
      </c>
      <c r="T1415" s="28" t="e">
        <f ca="1">[1]!BexGetData("DP_1","00O2TNJGODT0G5Z4TTKYMMOLH","GSON1112080170")</f>
        <v>#NAME?</v>
      </c>
      <c r="U1415" s="23" t="e">
        <f ca="1">[1]!BexGetData("DP_1","00O2TNJGODT0G5Z4TTKYMMUX1","GSON1112080170")</f>
        <v>#NAME?</v>
      </c>
      <c r="V1415" s="28" t="e">
        <f ca="1">[1]!BexGetData("DP_1","00O2TNJGODT0G5Z4TTKYMN18L","GSON1112080170")</f>
        <v>#NAME?</v>
      </c>
      <c r="W1415" s="23" t="e">
        <f ca="1">[1]!BexGetData("DP_1","00O2TNJGODT0G5Z4TTKYMN7K5","GSON1112080170")</f>
        <v>#NAME?</v>
      </c>
    </row>
    <row r="1416" spans="1:23" x14ac:dyDescent="0.2">
      <c r="A1416" s="36" t="s">
        <v>226</v>
      </c>
      <c r="B1416" s="27" t="s">
        <v>227</v>
      </c>
      <c r="C1416" s="23" t="e">
        <f ca="1">[1]!BexGetData("DP_1","003N8EMH8GTFRCSWKMPXRR8GU","GSON1112080171")</f>
        <v>#NAME?</v>
      </c>
      <c r="D1416" s="23" t="e">
        <f ca="1">[1]!BexGetData("DP_1","003N8EMH8GTFRCSWKMPXRRESE","GSON1112080171")</f>
        <v>#NAME?</v>
      </c>
      <c r="E1416" s="23" t="e">
        <f ca="1">[1]!BexGetData("DP_1","003N8EMH8GTFRCSWKMPXRRL3Y","GSON1112080171")</f>
        <v>#NAME?</v>
      </c>
      <c r="F1416" s="23" t="e">
        <f ca="1">[1]!BexGetData("DP_1","003N8EMH8GTFRCSWKMPXRRRFI","GSON1112080171")</f>
        <v>#NAME?</v>
      </c>
      <c r="G1416" s="23" t="e">
        <f ca="1">[1]!BexGetData("DP_1","003N8EMH8GTFRCSWKMPXRRXR2","GSON1112080171")</f>
        <v>#NAME?</v>
      </c>
      <c r="H1416" s="23" t="e">
        <f ca="1">[1]!BexGetData("DP_1","003N8EMH8GTFRCSWKMPXRS42M","GSON1112080171")</f>
        <v>#NAME?</v>
      </c>
      <c r="I1416" s="23" t="e">
        <f ca="1">[1]!BexGetData("DP_1","003N8EMH8GTFRCSWKMPXRSAE6","GSON1112080171")</f>
        <v>#NAME?</v>
      </c>
      <c r="J1416" s="23" t="e">
        <f ca="1">[1]!BexGetData("DP_1","003N8EMH8GTFRCSWKMPXRSGPQ","GSON1112080171")</f>
        <v>#NAME?</v>
      </c>
      <c r="K1416" s="23" t="e">
        <f ca="1">[1]!BexGetData("DP_1","003N8EMH8GTFRIVNUPY288VJH","GSON1112080171")</f>
        <v>#NAME?</v>
      </c>
      <c r="L1416" s="23" t="e">
        <f ca="1">[1]!BexGetData("DP_1","003N8EMH8GTFRIVNUPY2891V1","GSON1112080171")</f>
        <v>#NAME?</v>
      </c>
      <c r="M1416" s="28" t="e">
        <f ca="1">[1]!BexGetData("DP_1","003N8EMH8GTFRIVOG7KG9IQXA","GSON1112080171")</f>
        <v>#NAME?</v>
      </c>
      <c r="N1416" s="23" t="e">
        <f ca="1">[1]!BexGetData("DP_1","003N8EMH8GTFRIVOG7KG9IX8U","GSON1112080171")</f>
        <v>#NAME?</v>
      </c>
      <c r="O1416" s="28" t="e">
        <f ca="1">[1]!BexGetData("DP_1","003N8EMH8GTFRIVOG7KG9J3KE","GSON1112080171")</f>
        <v>#NAME?</v>
      </c>
      <c r="P1416" s="23" t="e">
        <f ca="1">[1]!BexGetData("DP_1","003N8EMH8GTFRIVOG7KG9J9VY","GSON1112080171")</f>
        <v>#NAME?</v>
      </c>
      <c r="Q1416" s="23" t="e">
        <f ca="1">[1]!BexGetData("DP_1","00O2TNJGODT0G5Z4TTKYMM5MT","GSON1112080171")</f>
        <v>#NAME?</v>
      </c>
      <c r="R1416" s="23" t="e">
        <f ca="1">[1]!BexGetData("DP_1","00O2TNJGODT0G5Z4TTKYMMBYD","GSON1112080171")</f>
        <v>#NAME?</v>
      </c>
      <c r="S1416" s="23" t="e">
        <f ca="1">[1]!BexGetData("DP_1","00O2TNJGODT0G5Z4TTKYMMI9X","GSON1112080171")</f>
        <v>#NAME?</v>
      </c>
      <c r="T1416" s="23" t="e">
        <f ca="1">[1]!BexGetData("DP_1","00O2TNJGODT0G5Z4TTKYMMOLH","GSON1112080171")</f>
        <v>#NAME?</v>
      </c>
      <c r="U1416" s="28" t="e">
        <f ca="1">[1]!BexGetData("DP_1","00O2TNJGODT0G5Z4TTKYMMUX1","GSON1112080171")</f>
        <v>#NAME?</v>
      </c>
      <c r="V1416" s="23" t="e">
        <f ca="1">[1]!BexGetData("DP_1","00O2TNJGODT0G5Z4TTKYMN18L","GSON1112080171")</f>
        <v>#NAME?</v>
      </c>
      <c r="W1416" s="28" t="e">
        <f ca="1">[1]!BexGetData("DP_1","00O2TNJGODT0G5Z4TTKYMN7K5","GSON1112080171")</f>
        <v>#NAME?</v>
      </c>
    </row>
    <row r="1417" spans="1:23" x14ac:dyDescent="0.2">
      <c r="A1417" s="36" t="s">
        <v>228</v>
      </c>
      <c r="B1417" s="27" t="s">
        <v>229</v>
      </c>
      <c r="C1417" s="23" t="e">
        <f ca="1">[1]!BexGetData("DP_1","003N8EMH8GTFRCSWKMPXRR8GU","GSON1112080173")</f>
        <v>#NAME?</v>
      </c>
      <c r="D1417" s="23" t="e">
        <f ca="1">[1]!BexGetData("DP_1","003N8EMH8GTFRCSWKMPXRRESE","GSON1112080173")</f>
        <v>#NAME?</v>
      </c>
      <c r="E1417" s="23" t="e">
        <f ca="1">[1]!BexGetData("DP_1","003N8EMH8GTFRCSWKMPXRRL3Y","GSON1112080173")</f>
        <v>#NAME?</v>
      </c>
      <c r="F1417" s="23" t="e">
        <f ca="1">[1]!BexGetData("DP_1","003N8EMH8GTFRCSWKMPXRRRFI","GSON1112080173")</f>
        <v>#NAME?</v>
      </c>
      <c r="G1417" s="23" t="e">
        <f ca="1">[1]!BexGetData("DP_1","003N8EMH8GTFRCSWKMPXRRXR2","GSON1112080173")</f>
        <v>#NAME?</v>
      </c>
      <c r="H1417" s="23" t="e">
        <f ca="1">[1]!BexGetData("DP_1","003N8EMH8GTFRCSWKMPXRS42M","GSON1112080173")</f>
        <v>#NAME?</v>
      </c>
      <c r="I1417" s="23" t="e">
        <f ca="1">[1]!BexGetData("DP_1","003N8EMH8GTFRCSWKMPXRSAE6","GSON1112080173")</f>
        <v>#NAME?</v>
      </c>
      <c r="J1417" s="24" t="e">
        <f ca="1">[1]!BexGetData("DP_1","003N8EMH8GTFRCSWKMPXRSGPQ","GSON1112080173")</f>
        <v>#NAME?</v>
      </c>
      <c r="K1417" s="23" t="e">
        <f ca="1">[1]!BexGetData("DP_1","003N8EMH8GTFRIVNUPY288VJH","GSON1112080173")</f>
        <v>#NAME?</v>
      </c>
      <c r="L1417" s="23" t="e">
        <f ca="1">[1]!BexGetData("DP_1","003N8EMH8GTFRIVNUPY2891V1","GSON1112080173")</f>
        <v>#NAME?</v>
      </c>
      <c r="M1417" s="28" t="e">
        <f ca="1">[1]!BexGetData("DP_1","003N8EMH8GTFRIVOG7KG9IQXA","GSON1112080173")</f>
        <v>#NAME?</v>
      </c>
      <c r="N1417" s="23" t="e">
        <f ca="1">[1]!BexGetData("DP_1","003N8EMH8GTFRIVOG7KG9IX8U","GSON1112080173")</f>
        <v>#NAME?</v>
      </c>
      <c r="O1417" s="28" t="e">
        <f ca="1">[1]!BexGetData("DP_1","003N8EMH8GTFRIVOG7KG9J3KE","GSON1112080173")</f>
        <v>#NAME?</v>
      </c>
      <c r="P1417" s="23" t="e">
        <f ca="1">[1]!BexGetData("DP_1","003N8EMH8GTFRIVOG7KG9J9VY","GSON1112080173")</f>
        <v>#NAME?</v>
      </c>
      <c r="Q1417" s="24" t="e">
        <f ca="1">[1]!BexGetData("DP_1","00O2TNJGODT0G5Z4TTKYMM5MT","GSON1112080173")</f>
        <v>#NAME?</v>
      </c>
      <c r="R1417" s="23" t="e">
        <f ca="1">[1]!BexGetData("DP_1","00O2TNJGODT0G5Z4TTKYMMBYD","GSON1112080173")</f>
        <v>#NAME?</v>
      </c>
      <c r="S1417" s="23" t="e">
        <f ca="1">[1]!BexGetData("DP_1","00O2TNJGODT0G5Z4TTKYMMI9X","GSON1112080173")</f>
        <v>#NAME?</v>
      </c>
      <c r="T1417" s="28" t="e">
        <f ca="1">[1]!BexGetData("DP_1","00O2TNJGODT0G5Z4TTKYMMOLH","GSON1112080173")</f>
        <v>#NAME?</v>
      </c>
      <c r="U1417" s="23" t="e">
        <f ca="1">[1]!BexGetData("DP_1","00O2TNJGODT0G5Z4TTKYMMUX1","GSON1112080173")</f>
        <v>#NAME?</v>
      </c>
      <c r="V1417" s="28" t="e">
        <f ca="1">[1]!BexGetData("DP_1","00O2TNJGODT0G5Z4TTKYMN18L","GSON1112080173")</f>
        <v>#NAME?</v>
      </c>
      <c r="W1417" s="23" t="e">
        <f ca="1">[1]!BexGetData("DP_1","00O2TNJGODT0G5Z4TTKYMN7K5","GSON1112080173")</f>
        <v>#NAME?</v>
      </c>
    </row>
    <row r="1418" spans="1:23" x14ac:dyDescent="0.2">
      <c r="A1418" s="36" t="s">
        <v>4061</v>
      </c>
      <c r="B1418" s="27" t="s">
        <v>230</v>
      </c>
      <c r="C1418" s="23" t="e">
        <f ca="1">[1]!BexGetData("DP_1","003N8EMH8GTFRCSWKMPXRR8GU","GSON1112080174")</f>
        <v>#NAME?</v>
      </c>
      <c r="D1418" s="23" t="e">
        <f ca="1">[1]!BexGetData("DP_1","003N8EMH8GTFRCSWKMPXRRESE","GSON1112080174")</f>
        <v>#NAME?</v>
      </c>
      <c r="E1418" s="23" t="e">
        <f ca="1">[1]!BexGetData("DP_1","003N8EMH8GTFRCSWKMPXRRL3Y","GSON1112080174")</f>
        <v>#NAME?</v>
      </c>
      <c r="F1418" s="23" t="e">
        <f ca="1">[1]!BexGetData("DP_1","003N8EMH8GTFRCSWKMPXRRRFI","GSON1112080174")</f>
        <v>#NAME?</v>
      </c>
      <c r="G1418" s="23" t="e">
        <f ca="1">[1]!BexGetData("DP_1","003N8EMH8GTFRCSWKMPXRRXR2","GSON1112080174")</f>
        <v>#NAME?</v>
      </c>
      <c r="H1418" s="23" t="e">
        <f ca="1">[1]!BexGetData("DP_1","003N8EMH8GTFRCSWKMPXRS42M","GSON1112080174")</f>
        <v>#NAME?</v>
      </c>
      <c r="I1418" s="23" t="e">
        <f ca="1">[1]!BexGetData("DP_1","003N8EMH8GTFRCSWKMPXRSAE6","GSON1112080174")</f>
        <v>#NAME?</v>
      </c>
      <c r="J1418" s="24" t="e">
        <f ca="1">[1]!BexGetData("DP_1","003N8EMH8GTFRCSWKMPXRSGPQ","GSON1112080174")</f>
        <v>#NAME?</v>
      </c>
      <c r="K1418" s="23" t="e">
        <f ca="1">[1]!BexGetData("DP_1","003N8EMH8GTFRIVNUPY288VJH","GSON1112080174")</f>
        <v>#NAME?</v>
      </c>
      <c r="L1418" s="23" t="e">
        <f ca="1">[1]!BexGetData("DP_1","003N8EMH8GTFRIVNUPY2891V1","GSON1112080174")</f>
        <v>#NAME?</v>
      </c>
      <c r="M1418" s="23" t="e">
        <f ca="1">[1]!BexGetData("DP_1","003N8EMH8GTFRIVOG7KG9IQXA","GSON1112080174")</f>
        <v>#NAME?</v>
      </c>
      <c r="N1418" s="28" t="e">
        <f ca="1">[1]!BexGetData("DP_1","003N8EMH8GTFRIVOG7KG9IX8U","GSON1112080174")</f>
        <v>#NAME?</v>
      </c>
      <c r="O1418" s="23" t="e">
        <f ca="1">[1]!BexGetData("DP_1","003N8EMH8GTFRIVOG7KG9J3KE","GSON1112080174")</f>
        <v>#NAME?</v>
      </c>
      <c r="P1418" s="28" t="e">
        <f ca="1">[1]!BexGetData("DP_1","003N8EMH8GTFRIVOG7KG9J9VY","GSON1112080174")</f>
        <v>#NAME?</v>
      </c>
      <c r="Q1418" s="24" t="e">
        <f ca="1">[1]!BexGetData("DP_1","00O2TNJGODT0G5Z4TTKYMM5MT","GSON1112080174")</f>
        <v>#NAME?</v>
      </c>
      <c r="R1418" s="23" t="e">
        <f ca="1">[1]!BexGetData("DP_1","00O2TNJGODT0G5Z4TTKYMMBYD","GSON1112080174")</f>
        <v>#NAME?</v>
      </c>
      <c r="S1418" s="23" t="e">
        <f ca="1">[1]!BexGetData("DP_1","00O2TNJGODT0G5Z4TTKYMMI9X","GSON1112080174")</f>
        <v>#NAME?</v>
      </c>
      <c r="T1418" s="28" t="e">
        <f ca="1">[1]!BexGetData("DP_1","00O2TNJGODT0G5Z4TTKYMMOLH","GSON1112080174")</f>
        <v>#NAME?</v>
      </c>
      <c r="U1418" s="23" t="e">
        <f ca="1">[1]!BexGetData("DP_1","00O2TNJGODT0G5Z4TTKYMMUX1","GSON1112080174")</f>
        <v>#NAME?</v>
      </c>
      <c r="V1418" s="28" t="e">
        <f ca="1">[1]!BexGetData("DP_1","00O2TNJGODT0G5Z4TTKYMN18L","GSON1112080174")</f>
        <v>#NAME?</v>
      </c>
      <c r="W1418" s="23" t="e">
        <f ca="1">[1]!BexGetData("DP_1","00O2TNJGODT0G5Z4TTKYMN7K5","GSON1112080174")</f>
        <v>#NAME?</v>
      </c>
    </row>
    <row r="1419" spans="1:23" x14ac:dyDescent="0.2">
      <c r="A1419" s="36" t="s">
        <v>231</v>
      </c>
      <c r="B1419" s="27" t="s">
        <v>232</v>
      </c>
      <c r="C1419" s="23" t="e">
        <f ca="1">[1]!BexGetData("DP_1","003N8EMH8GTFRCSWKMPXRR8GU","GSON1112080180")</f>
        <v>#NAME?</v>
      </c>
      <c r="D1419" s="28" t="e">
        <f ca="1">[1]!BexGetData("DP_1","003N8EMH8GTFRCSWKMPXRRESE","GSON1112080180")</f>
        <v>#NAME?</v>
      </c>
      <c r="E1419" s="23" t="e">
        <f ca="1">[1]!BexGetData("DP_1","003N8EMH8GTFRCSWKMPXRRL3Y","GSON1112080180")</f>
        <v>#NAME?</v>
      </c>
      <c r="F1419" s="23" t="e">
        <f ca="1">[1]!BexGetData("DP_1","003N8EMH8GTFRCSWKMPXRRRFI","GSON1112080180")</f>
        <v>#NAME?</v>
      </c>
      <c r="G1419" s="23" t="e">
        <f ca="1">[1]!BexGetData("DP_1","003N8EMH8GTFRCSWKMPXRRXR2","GSON1112080180")</f>
        <v>#NAME?</v>
      </c>
      <c r="H1419" s="23" t="e">
        <f ca="1">[1]!BexGetData("DP_1","003N8EMH8GTFRCSWKMPXRS42M","GSON1112080180")</f>
        <v>#NAME?</v>
      </c>
      <c r="I1419" s="23" t="e">
        <f ca="1">[1]!BexGetData("DP_1","003N8EMH8GTFRCSWKMPXRSAE6","GSON1112080180")</f>
        <v>#NAME?</v>
      </c>
      <c r="J1419" s="23" t="e">
        <f ca="1">[1]!BexGetData("DP_1","003N8EMH8GTFRCSWKMPXRSGPQ","GSON1112080180")</f>
        <v>#NAME?</v>
      </c>
      <c r="K1419" s="23" t="e">
        <f ca="1">[1]!BexGetData("DP_1","003N8EMH8GTFRIVNUPY288VJH","GSON1112080180")</f>
        <v>#NAME?</v>
      </c>
      <c r="L1419" s="23" t="e">
        <f ca="1">[1]!BexGetData("DP_1","003N8EMH8GTFRIVNUPY2891V1","GSON1112080180")</f>
        <v>#NAME?</v>
      </c>
      <c r="M1419" s="28" t="e">
        <f ca="1">[1]!BexGetData("DP_1","003N8EMH8GTFRIVOG7KG9IQXA","GSON1112080180")</f>
        <v>#NAME?</v>
      </c>
      <c r="N1419" s="23" t="e">
        <f ca="1">[1]!BexGetData("DP_1","003N8EMH8GTFRIVOG7KG9IX8U","GSON1112080180")</f>
        <v>#NAME?</v>
      </c>
      <c r="O1419" s="28" t="e">
        <f ca="1">[1]!BexGetData("DP_1","003N8EMH8GTFRIVOG7KG9J3KE","GSON1112080180")</f>
        <v>#NAME?</v>
      </c>
      <c r="P1419" s="23" t="e">
        <f ca="1">[1]!BexGetData("DP_1","003N8EMH8GTFRIVOG7KG9J9VY","GSON1112080180")</f>
        <v>#NAME?</v>
      </c>
      <c r="Q1419" s="23" t="e">
        <f ca="1">[1]!BexGetData("DP_1","00O2TNJGODT0G5Z4TTKYMM5MT","GSON1112080180")</f>
        <v>#NAME?</v>
      </c>
      <c r="R1419" s="23" t="e">
        <f ca="1">[1]!BexGetData("DP_1","00O2TNJGODT0G5Z4TTKYMMBYD","GSON1112080180")</f>
        <v>#NAME?</v>
      </c>
      <c r="S1419" s="23" t="e">
        <f ca="1">[1]!BexGetData("DP_1","00O2TNJGODT0G5Z4TTKYMMI9X","GSON1112080180")</f>
        <v>#NAME?</v>
      </c>
      <c r="T1419" s="23" t="e">
        <f ca="1">[1]!BexGetData("DP_1","00O2TNJGODT0G5Z4TTKYMMOLH","GSON1112080180")</f>
        <v>#NAME?</v>
      </c>
      <c r="U1419" s="28" t="e">
        <f ca="1">[1]!BexGetData("DP_1","00O2TNJGODT0G5Z4TTKYMMUX1","GSON1112080180")</f>
        <v>#NAME?</v>
      </c>
      <c r="V1419" s="23" t="e">
        <f ca="1">[1]!BexGetData("DP_1","00O2TNJGODT0G5Z4TTKYMN18L","GSON1112080180")</f>
        <v>#NAME?</v>
      </c>
      <c r="W1419" s="28" t="e">
        <f ca="1">[1]!BexGetData("DP_1","00O2TNJGODT0G5Z4TTKYMN7K5","GSON1112080180")</f>
        <v>#NAME?</v>
      </c>
    </row>
    <row r="1420" spans="1:23" x14ac:dyDescent="0.2">
      <c r="A1420" s="36" t="s">
        <v>233</v>
      </c>
      <c r="B1420" s="27" t="s">
        <v>234</v>
      </c>
      <c r="C1420" s="23" t="e">
        <f ca="1">[1]!BexGetData("DP_1","003N8EMH8GTFRCSWKMPXRR8GU","GSON1112080181")</f>
        <v>#NAME?</v>
      </c>
      <c r="D1420" s="23" t="e">
        <f ca="1">[1]!BexGetData("DP_1","003N8EMH8GTFRCSWKMPXRRESE","GSON1112080181")</f>
        <v>#NAME?</v>
      </c>
      <c r="E1420" s="23" t="e">
        <f ca="1">[1]!BexGetData("DP_1","003N8EMH8GTFRCSWKMPXRRL3Y","GSON1112080181")</f>
        <v>#NAME?</v>
      </c>
      <c r="F1420" s="23" t="e">
        <f ca="1">[1]!BexGetData("DP_1","003N8EMH8GTFRCSWKMPXRRRFI","GSON1112080181")</f>
        <v>#NAME?</v>
      </c>
      <c r="G1420" s="23" t="e">
        <f ca="1">[1]!BexGetData("DP_1","003N8EMH8GTFRCSWKMPXRRXR2","GSON1112080181")</f>
        <v>#NAME?</v>
      </c>
      <c r="H1420" s="23" t="e">
        <f ca="1">[1]!BexGetData("DP_1","003N8EMH8GTFRCSWKMPXRS42M","GSON1112080181")</f>
        <v>#NAME?</v>
      </c>
      <c r="I1420" s="23" t="e">
        <f ca="1">[1]!BexGetData("DP_1","003N8EMH8GTFRCSWKMPXRSAE6","GSON1112080181")</f>
        <v>#NAME?</v>
      </c>
      <c r="J1420" s="23" t="e">
        <f ca="1">[1]!BexGetData("DP_1","003N8EMH8GTFRCSWKMPXRSGPQ","GSON1112080181")</f>
        <v>#NAME?</v>
      </c>
      <c r="K1420" s="23" t="e">
        <f ca="1">[1]!BexGetData("DP_1","003N8EMH8GTFRIVNUPY288VJH","GSON1112080181")</f>
        <v>#NAME?</v>
      </c>
      <c r="L1420" s="23" t="e">
        <f ca="1">[1]!BexGetData("DP_1","003N8EMH8GTFRIVNUPY2891V1","GSON1112080181")</f>
        <v>#NAME?</v>
      </c>
      <c r="M1420" s="28" t="e">
        <f ca="1">[1]!BexGetData("DP_1","003N8EMH8GTFRIVOG7KG9IQXA","GSON1112080181")</f>
        <v>#NAME?</v>
      </c>
      <c r="N1420" s="23" t="e">
        <f ca="1">[1]!BexGetData("DP_1","003N8EMH8GTFRIVOG7KG9IX8U","GSON1112080181")</f>
        <v>#NAME?</v>
      </c>
      <c r="O1420" s="28" t="e">
        <f ca="1">[1]!BexGetData("DP_1","003N8EMH8GTFRIVOG7KG9J3KE","GSON1112080181")</f>
        <v>#NAME?</v>
      </c>
      <c r="P1420" s="23" t="e">
        <f ca="1">[1]!BexGetData("DP_1","003N8EMH8GTFRIVOG7KG9J9VY","GSON1112080181")</f>
        <v>#NAME?</v>
      </c>
      <c r="Q1420" s="23" t="e">
        <f ca="1">[1]!BexGetData("DP_1","00O2TNJGODT0G5Z4TTKYMM5MT","GSON1112080181")</f>
        <v>#NAME?</v>
      </c>
      <c r="R1420" s="23" t="e">
        <f ca="1">[1]!BexGetData("DP_1","00O2TNJGODT0G5Z4TTKYMMBYD","GSON1112080181")</f>
        <v>#NAME?</v>
      </c>
      <c r="S1420" s="23" t="e">
        <f ca="1">[1]!BexGetData("DP_1","00O2TNJGODT0G5Z4TTKYMMI9X","GSON1112080181")</f>
        <v>#NAME?</v>
      </c>
      <c r="T1420" s="23" t="e">
        <f ca="1">[1]!BexGetData("DP_1","00O2TNJGODT0G5Z4TTKYMMOLH","GSON1112080181")</f>
        <v>#NAME?</v>
      </c>
      <c r="U1420" s="28" t="e">
        <f ca="1">[1]!BexGetData("DP_1","00O2TNJGODT0G5Z4TTKYMMUX1","GSON1112080181")</f>
        <v>#NAME?</v>
      </c>
      <c r="V1420" s="23" t="e">
        <f ca="1">[1]!BexGetData("DP_1","00O2TNJGODT0G5Z4TTKYMN18L","GSON1112080181")</f>
        <v>#NAME?</v>
      </c>
      <c r="W1420" s="28" t="e">
        <f ca="1">[1]!BexGetData("DP_1","00O2TNJGODT0G5Z4TTKYMN7K5","GSON1112080181")</f>
        <v>#NAME?</v>
      </c>
    </row>
    <row r="1421" spans="1:23" x14ac:dyDescent="0.2">
      <c r="A1421" s="36" t="s">
        <v>235</v>
      </c>
      <c r="B1421" s="27" t="s">
        <v>236</v>
      </c>
      <c r="C1421" s="28" t="e">
        <f ca="1">[1]!BexGetData("DP_1","003N8EMH8GTFRCSWKMPXRR8GU","GSON1112080183")</f>
        <v>#NAME?</v>
      </c>
      <c r="D1421" s="28" t="e">
        <f ca="1">[1]!BexGetData("DP_1","003N8EMH8GTFRCSWKMPXRRESE","GSON1112080183")</f>
        <v>#NAME?</v>
      </c>
      <c r="E1421" s="28" t="e">
        <f ca="1">[1]!BexGetData("DP_1","003N8EMH8GTFRCSWKMPXRRL3Y","GSON1112080183")</f>
        <v>#NAME?</v>
      </c>
      <c r="F1421" s="28" t="e">
        <f ca="1">[1]!BexGetData("DP_1","003N8EMH8GTFRCSWKMPXRRRFI","GSON1112080183")</f>
        <v>#NAME?</v>
      </c>
      <c r="G1421" s="23" t="e">
        <f ca="1">[1]!BexGetData("DP_1","003N8EMH8GTFRCSWKMPXRRXR2","GSON1112080183")</f>
        <v>#NAME?</v>
      </c>
      <c r="H1421" s="23" t="e">
        <f ca="1">[1]!BexGetData("DP_1","003N8EMH8GTFRCSWKMPXRS42M","GSON1112080183")</f>
        <v>#NAME?</v>
      </c>
      <c r="I1421" s="28" t="e">
        <f ca="1">[1]!BexGetData("DP_1","003N8EMH8GTFRCSWKMPXRSAE6","GSON1112080183")</f>
        <v>#NAME?</v>
      </c>
      <c r="J1421" s="24" t="e">
        <f ca="1">[1]!BexGetData("DP_1","003N8EMH8GTFRCSWKMPXRSGPQ","GSON1112080183")</f>
        <v>#NAME?</v>
      </c>
      <c r="K1421" s="28" t="e">
        <f ca="1">[1]!BexGetData("DP_1","003N8EMH8GTFRIVNUPY288VJH","GSON1112080183")</f>
        <v>#NAME?</v>
      </c>
      <c r="L1421" s="28" t="e">
        <f ca="1">[1]!BexGetData("DP_1","003N8EMH8GTFRIVNUPY2891V1","GSON1112080183")</f>
        <v>#NAME?</v>
      </c>
      <c r="M1421" s="28" t="e">
        <f ca="1">[1]!BexGetData("DP_1","003N8EMH8GTFRIVOG7KG9IQXA","GSON1112080183")</f>
        <v>#NAME?</v>
      </c>
      <c r="N1421" s="28" t="e">
        <f ca="1">[1]!BexGetData("DP_1","003N8EMH8GTFRIVOG7KG9IX8U","GSON1112080183")</f>
        <v>#NAME?</v>
      </c>
      <c r="O1421" s="28" t="e">
        <f ca="1">[1]!BexGetData("DP_1","003N8EMH8GTFRIVOG7KG9J3KE","GSON1112080183")</f>
        <v>#NAME?</v>
      </c>
      <c r="P1421" s="28" t="e">
        <f ca="1">[1]!BexGetData("DP_1","003N8EMH8GTFRIVOG7KG9J9VY","GSON1112080183")</f>
        <v>#NAME?</v>
      </c>
      <c r="Q1421" s="24" t="e">
        <f ca="1">[1]!BexGetData("DP_1","00O2TNJGODT0G5Z4TTKYMM5MT","GSON1112080183")</f>
        <v>#NAME?</v>
      </c>
      <c r="R1421" s="28" t="e">
        <f ca="1">[1]!BexGetData("DP_1","00O2TNJGODT0G5Z4TTKYMMBYD","GSON1112080183")</f>
        <v>#NAME?</v>
      </c>
      <c r="S1421" s="28" t="e">
        <f ca="1">[1]!BexGetData("DP_1","00O2TNJGODT0G5Z4TTKYMMI9X","GSON1112080183")</f>
        <v>#NAME?</v>
      </c>
      <c r="T1421" s="28" t="e">
        <f ca="1">[1]!BexGetData("DP_1","00O2TNJGODT0G5Z4TTKYMMOLH","GSON1112080183")</f>
        <v>#NAME?</v>
      </c>
      <c r="U1421" s="28" t="e">
        <f ca="1">[1]!BexGetData("DP_1","00O2TNJGODT0G5Z4TTKYMMUX1","GSON1112080183")</f>
        <v>#NAME?</v>
      </c>
      <c r="V1421" s="28" t="e">
        <f ca="1">[1]!BexGetData("DP_1","00O2TNJGODT0G5Z4TTKYMN18L","GSON1112080183")</f>
        <v>#NAME?</v>
      </c>
      <c r="W1421" s="28" t="e">
        <f ca="1">[1]!BexGetData("DP_1","00O2TNJGODT0G5Z4TTKYMN7K5","GSON1112080183")</f>
        <v>#NAME?</v>
      </c>
    </row>
    <row r="1422" spans="1:23" x14ac:dyDescent="0.2">
      <c r="A1422" s="36" t="s">
        <v>237</v>
      </c>
      <c r="B1422" s="27" t="s">
        <v>238</v>
      </c>
      <c r="C1422" s="28" t="e">
        <f ca="1">[1]!BexGetData("DP_1","003N8EMH8GTFRCSWKMPXRR8GU","GSON1112080190")</f>
        <v>#NAME?</v>
      </c>
      <c r="D1422" s="28" t="e">
        <f ca="1">[1]!BexGetData("DP_1","003N8EMH8GTFRCSWKMPXRRESE","GSON1112080190")</f>
        <v>#NAME?</v>
      </c>
      <c r="E1422" s="28" t="e">
        <f ca="1">[1]!BexGetData("DP_1","003N8EMH8GTFRCSWKMPXRRL3Y","GSON1112080190")</f>
        <v>#NAME?</v>
      </c>
      <c r="F1422" s="28" t="e">
        <f ca="1">[1]!BexGetData("DP_1","003N8EMH8GTFRCSWKMPXRRRFI","GSON1112080190")</f>
        <v>#NAME?</v>
      </c>
      <c r="G1422" s="28" t="e">
        <f ca="1">[1]!BexGetData("DP_1","003N8EMH8GTFRCSWKMPXRRXR2","GSON1112080190")</f>
        <v>#NAME?</v>
      </c>
      <c r="H1422" s="23" t="e">
        <f ca="1">[1]!BexGetData("DP_1","003N8EMH8GTFRCSWKMPXRS42M","GSON1112080190")</f>
        <v>#NAME?</v>
      </c>
      <c r="I1422" s="28" t="e">
        <f ca="1">[1]!BexGetData("DP_1","003N8EMH8GTFRCSWKMPXRSAE6","GSON1112080190")</f>
        <v>#NAME?</v>
      </c>
      <c r="J1422" s="23" t="e">
        <f ca="1">[1]!BexGetData("DP_1","003N8EMH8GTFRCSWKMPXRSGPQ","GSON1112080190")</f>
        <v>#NAME?</v>
      </c>
      <c r="K1422" s="28" t="e">
        <f ca="1">[1]!BexGetData("DP_1","003N8EMH8GTFRIVNUPY288VJH","GSON1112080190")</f>
        <v>#NAME?</v>
      </c>
      <c r="L1422" s="28" t="e">
        <f ca="1">[1]!BexGetData("DP_1","003N8EMH8GTFRIVNUPY2891V1","GSON1112080190")</f>
        <v>#NAME?</v>
      </c>
      <c r="M1422" s="28" t="e">
        <f ca="1">[1]!BexGetData("DP_1","003N8EMH8GTFRIVOG7KG9IQXA","GSON1112080190")</f>
        <v>#NAME?</v>
      </c>
      <c r="N1422" s="28" t="e">
        <f ca="1">[1]!BexGetData("DP_1","003N8EMH8GTFRIVOG7KG9IX8U","GSON1112080190")</f>
        <v>#NAME?</v>
      </c>
      <c r="O1422" s="28" t="e">
        <f ca="1">[1]!BexGetData("DP_1","003N8EMH8GTFRIVOG7KG9J3KE","GSON1112080190")</f>
        <v>#NAME?</v>
      </c>
      <c r="P1422" s="28" t="e">
        <f ca="1">[1]!BexGetData("DP_1","003N8EMH8GTFRIVOG7KG9J9VY","GSON1112080190")</f>
        <v>#NAME?</v>
      </c>
      <c r="Q1422" s="23" t="e">
        <f ca="1">[1]!BexGetData("DP_1","00O2TNJGODT0G5Z4TTKYMM5MT","GSON1112080190")</f>
        <v>#NAME?</v>
      </c>
      <c r="R1422" s="23" t="e">
        <f ca="1">[1]!BexGetData("DP_1","00O2TNJGODT0G5Z4TTKYMMBYD","GSON1112080190")</f>
        <v>#NAME?</v>
      </c>
      <c r="S1422" s="23" t="e">
        <f ca="1">[1]!BexGetData("DP_1","00O2TNJGODT0G5Z4TTKYMMI9X","GSON1112080190")</f>
        <v>#NAME?</v>
      </c>
      <c r="T1422" s="23" t="e">
        <f ca="1">[1]!BexGetData("DP_1","00O2TNJGODT0G5Z4TTKYMMOLH","GSON1112080190")</f>
        <v>#NAME?</v>
      </c>
      <c r="U1422" s="28" t="e">
        <f ca="1">[1]!BexGetData("DP_1","00O2TNJGODT0G5Z4TTKYMMUX1","GSON1112080190")</f>
        <v>#NAME?</v>
      </c>
      <c r="V1422" s="23" t="e">
        <f ca="1">[1]!BexGetData("DP_1","00O2TNJGODT0G5Z4TTKYMN18L","GSON1112080190")</f>
        <v>#NAME?</v>
      </c>
      <c r="W1422" s="28" t="e">
        <f ca="1">[1]!BexGetData("DP_1","00O2TNJGODT0G5Z4TTKYMN7K5","GSON1112080190")</f>
        <v>#NAME?</v>
      </c>
    </row>
    <row r="1423" spans="1:23" x14ac:dyDescent="0.2">
      <c r="A1423" s="36" t="s">
        <v>239</v>
      </c>
      <c r="B1423" s="27" t="s">
        <v>240</v>
      </c>
      <c r="C1423" s="28" t="e">
        <f ca="1">[1]!BexGetData("DP_1","003N8EMH8GTFRCSWKMPXRR8GU","GSON1112080193")</f>
        <v>#NAME?</v>
      </c>
      <c r="D1423" s="28" t="e">
        <f ca="1">[1]!BexGetData("DP_1","003N8EMH8GTFRCSWKMPXRRESE","GSON1112080193")</f>
        <v>#NAME?</v>
      </c>
      <c r="E1423" s="28" t="e">
        <f ca="1">[1]!BexGetData("DP_1","003N8EMH8GTFRCSWKMPXRRL3Y","GSON1112080193")</f>
        <v>#NAME?</v>
      </c>
      <c r="F1423" s="28" t="e">
        <f ca="1">[1]!BexGetData("DP_1","003N8EMH8GTFRCSWKMPXRRRFI","GSON1112080193")</f>
        <v>#NAME?</v>
      </c>
      <c r="G1423" s="23" t="e">
        <f ca="1">[1]!BexGetData("DP_1","003N8EMH8GTFRCSWKMPXRRXR2","GSON1112080193")</f>
        <v>#NAME?</v>
      </c>
      <c r="H1423" s="23" t="e">
        <f ca="1">[1]!BexGetData("DP_1","003N8EMH8GTFRCSWKMPXRS42M","GSON1112080193")</f>
        <v>#NAME?</v>
      </c>
      <c r="I1423" s="28" t="e">
        <f ca="1">[1]!BexGetData("DP_1","003N8EMH8GTFRCSWKMPXRSAE6","GSON1112080193")</f>
        <v>#NAME?</v>
      </c>
      <c r="J1423" s="24" t="e">
        <f ca="1">[1]!BexGetData("DP_1","003N8EMH8GTFRCSWKMPXRSGPQ","GSON1112080193")</f>
        <v>#NAME?</v>
      </c>
      <c r="K1423" s="28" t="e">
        <f ca="1">[1]!BexGetData("DP_1","003N8EMH8GTFRIVNUPY288VJH","GSON1112080193")</f>
        <v>#NAME?</v>
      </c>
      <c r="L1423" s="28" t="e">
        <f ca="1">[1]!BexGetData("DP_1","003N8EMH8GTFRIVNUPY2891V1","GSON1112080193")</f>
        <v>#NAME?</v>
      </c>
      <c r="M1423" s="28" t="e">
        <f ca="1">[1]!BexGetData("DP_1","003N8EMH8GTFRIVOG7KG9IQXA","GSON1112080193")</f>
        <v>#NAME?</v>
      </c>
      <c r="N1423" s="28" t="e">
        <f ca="1">[1]!BexGetData("DP_1","003N8EMH8GTFRIVOG7KG9IX8U","GSON1112080193")</f>
        <v>#NAME?</v>
      </c>
      <c r="O1423" s="28" t="e">
        <f ca="1">[1]!BexGetData("DP_1","003N8EMH8GTFRIVOG7KG9J3KE","GSON1112080193")</f>
        <v>#NAME?</v>
      </c>
      <c r="P1423" s="28" t="e">
        <f ca="1">[1]!BexGetData("DP_1","003N8EMH8GTFRIVOG7KG9J9VY","GSON1112080193")</f>
        <v>#NAME?</v>
      </c>
      <c r="Q1423" s="24" t="e">
        <f ca="1">[1]!BexGetData("DP_1","00O2TNJGODT0G5Z4TTKYMM5MT","GSON1112080193")</f>
        <v>#NAME?</v>
      </c>
      <c r="R1423" s="28" t="e">
        <f ca="1">[1]!BexGetData("DP_1","00O2TNJGODT0G5Z4TTKYMMBYD","GSON1112080193")</f>
        <v>#NAME?</v>
      </c>
      <c r="S1423" s="28" t="e">
        <f ca="1">[1]!BexGetData("DP_1","00O2TNJGODT0G5Z4TTKYMMI9X","GSON1112080193")</f>
        <v>#NAME?</v>
      </c>
      <c r="T1423" s="28" t="e">
        <f ca="1">[1]!BexGetData("DP_1","00O2TNJGODT0G5Z4TTKYMMOLH","GSON1112080193")</f>
        <v>#NAME?</v>
      </c>
      <c r="U1423" s="28" t="e">
        <f ca="1">[1]!BexGetData("DP_1","00O2TNJGODT0G5Z4TTKYMMUX1","GSON1112080193")</f>
        <v>#NAME?</v>
      </c>
      <c r="V1423" s="28" t="e">
        <f ca="1">[1]!BexGetData("DP_1","00O2TNJGODT0G5Z4TTKYMN18L","GSON1112080193")</f>
        <v>#NAME?</v>
      </c>
      <c r="W1423" s="28" t="e">
        <f ca="1">[1]!BexGetData("DP_1","00O2TNJGODT0G5Z4TTKYMN7K5","GSON1112080193")</f>
        <v>#NAME?</v>
      </c>
    </row>
    <row r="1424" spans="1:23" x14ac:dyDescent="0.2">
      <c r="A1424" s="36" t="s">
        <v>241</v>
      </c>
      <c r="B1424" s="27" t="s">
        <v>242</v>
      </c>
      <c r="C1424" s="28" t="e">
        <f ca="1">[1]!BexGetData("DP_1","003N8EMH8GTFRCSWKMPXRR8GU","GSON1112080200")</f>
        <v>#NAME?</v>
      </c>
      <c r="D1424" s="28" t="e">
        <f ca="1">[1]!BexGetData("DP_1","003N8EMH8GTFRCSWKMPXRRESE","GSON1112080200")</f>
        <v>#NAME?</v>
      </c>
      <c r="E1424" s="28" t="e">
        <f ca="1">[1]!BexGetData("DP_1","003N8EMH8GTFRCSWKMPXRRL3Y","GSON1112080200")</f>
        <v>#NAME?</v>
      </c>
      <c r="F1424" s="28" t="e">
        <f ca="1">[1]!BexGetData("DP_1","003N8EMH8GTFRCSWKMPXRRRFI","GSON1112080200")</f>
        <v>#NAME?</v>
      </c>
      <c r="G1424" s="28" t="e">
        <f ca="1">[1]!BexGetData("DP_1","003N8EMH8GTFRCSWKMPXRRXR2","GSON1112080200")</f>
        <v>#NAME?</v>
      </c>
      <c r="H1424" s="23" t="e">
        <f ca="1">[1]!BexGetData("DP_1","003N8EMH8GTFRCSWKMPXRS42M","GSON1112080200")</f>
        <v>#NAME?</v>
      </c>
      <c r="I1424" s="28" t="e">
        <f ca="1">[1]!BexGetData("DP_1","003N8EMH8GTFRCSWKMPXRSAE6","GSON1112080200")</f>
        <v>#NAME?</v>
      </c>
      <c r="J1424" s="23" t="e">
        <f ca="1">[1]!BexGetData("DP_1","003N8EMH8GTFRCSWKMPXRSGPQ","GSON1112080200")</f>
        <v>#NAME?</v>
      </c>
      <c r="K1424" s="28" t="e">
        <f ca="1">[1]!BexGetData("DP_1","003N8EMH8GTFRIVNUPY288VJH","GSON1112080200")</f>
        <v>#NAME?</v>
      </c>
      <c r="L1424" s="28" t="e">
        <f ca="1">[1]!BexGetData("DP_1","003N8EMH8GTFRIVNUPY2891V1","GSON1112080200")</f>
        <v>#NAME?</v>
      </c>
      <c r="M1424" s="28" t="e">
        <f ca="1">[1]!BexGetData("DP_1","003N8EMH8GTFRIVOG7KG9IQXA","GSON1112080200")</f>
        <v>#NAME?</v>
      </c>
      <c r="N1424" s="28" t="e">
        <f ca="1">[1]!BexGetData("DP_1","003N8EMH8GTFRIVOG7KG9IX8U","GSON1112080200")</f>
        <v>#NAME?</v>
      </c>
      <c r="O1424" s="28" t="e">
        <f ca="1">[1]!BexGetData("DP_1","003N8EMH8GTFRIVOG7KG9J3KE","GSON1112080200")</f>
        <v>#NAME?</v>
      </c>
      <c r="P1424" s="28" t="e">
        <f ca="1">[1]!BexGetData("DP_1","003N8EMH8GTFRIVOG7KG9J9VY","GSON1112080200")</f>
        <v>#NAME?</v>
      </c>
      <c r="Q1424" s="23" t="e">
        <f ca="1">[1]!BexGetData("DP_1","00O2TNJGODT0G5Z4TTKYMM5MT","GSON1112080200")</f>
        <v>#NAME?</v>
      </c>
      <c r="R1424" s="23" t="e">
        <f ca="1">[1]!BexGetData("DP_1","00O2TNJGODT0G5Z4TTKYMMBYD","GSON1112080200")</f>
        <v>#NAME?</v>
      </c>
      <c r="S1424" s="23" t="e">
        <f ca="1">[1]!BexGetData("DP_1","00O2TNJGODT0G5Z4TTKYMMI9X","GSON1112080200")</f>
        <v>#NAME?</v>
      </c>
      <c r="T1424" s="23" t="e">
        <f ca="1">[1]!BexGetData("DP_1","00O2TNJGODT0G5Z4TTKYMMOLH","GSON1112080200")</f>
        <v>#NAME?</v>
      </c>
      <c r="U1424" s="28" t="e">
        <f ca="1">[1]!BexGetData("DP_1","00O2TNJGODT0G5Z4TTKYMMUX1","GSON1112080200")</f>
        <v>#NAME?</v>
      </c>
      <c r="V1424" s="23" t="e">
        <f ca="1">[1]!BexGetData("DP_1","00O2TNJGODT0G5Z4TTKYMN18L","GSON1112080200")</f>
        <v>#NAME?</v>
      </c>
      <c r="W1424" s="28" t="e">
        <f ca="1">[1]!BexGetData("DP_1","00O2TNJGODT0G5Z4TTKYMN7K5","GSON1112080200")</f>
        <v>#NAME?</v>
      </c>
    </row>
    <row r="1425" spans="1:23" x14ac:dyDescent="0.2">
      <c r="A1425" s="36" t="s">
        <v>243</v>
      </c>
      <c r="B1425" s="27" t="s">
        <v>244</v>
      </c>
      <c r="C1425" s="28" t="e">
        <f ca="1">[1]!BexGetData("DP_1","003N8EMH8GTFRCSWKMPXRR8GU","GSON1112080201")</f>
        <v>#NAME?</v>
      </c>
      <c r="D1425" s="28" t="e">
        <f ca="1">[1]!BexGetData("DP_1","003N8EMH8GTFRCSWKMPXRRESE","GSON1112080201")</f>
        <v>#NAME?</v>
      </c>
      <c r="E1425" s="23" t="e">
        <f ca="1">[1]!BexGetData("DP_1","003N8EMH8GTFRCSWKMPXRRL3Y","GSON1112080201")</f>
        <v>#NAME?</v>
      </c>
      <c r="F1425" s="23" t="e">
        <f ca="1">[1]!BexGetData("DP_1","003N8EMH8GTFRCSWKMPXRRRFI","GSON1112080201")</f>
        <v>#NAME?</v>
      </c>
      <c r="G1425" s="28" t="e">
        <f ca="1">[1]!BexGetData("DP_1","003N8EMH8GTFRCSWKMPXRRXR2","GSON1112080201")</f>
        <v>#NAME?</v>
      </c>
      <c r="H1425" s="28" t="e">
        <f ca="1">[1]!BexGetData("DP_1","003N8EMH8GTFRCSWKMPXRS42M","GSON1112080201")</f>
        <v>#NAME?</v>
      </c>
      <c r="I1425" s="23" t="e">
        <f ca="1">[1]!BexGetData("DP_1","003N8EMH8GTFRCSWKMPXRSAE6","GSON1112080201")</f>
        <v>#NAME?</v>
      </c>
      <c r="J1425" s="23" t="e">
        <f ca="1">[1]!BexGetData("DP_1","003N8EMH8GTFRCSWKMPXRSGPQ","GSON1112080201")</f>
        <v>#NAME?</v>
      </c>
      <c r="K1425" s="28" t="e">
        <f ca="1">[1]!BexGetData("DP_1","003N8EMH8GTFRIVNUPY288VJH","GSON1112080201")</f>
        <v>#NAME?</v>
      </c>
      <c r="L1425" s="28" t="e">
        <f ca="1">[1]!BexGetData("DP_1","003N8EMH8GTFRIVNUPY2891V1","GSON1112080201")</f>
        <v>#NAME?</v>
      </c>
      <c r="M1425" s="28" t="e">
        <f ca="1">[1]!BexGetData("DP_1","003N8EMH8GTFRIVOG7KG9IQXA","GSON1112080201")</f>
        <v>#NAME?</v>
      </c>
      <c r="N1425" s="28" t="e">
        <f ca="1">[1]!BexGetData("DP_1","003N8EMH8GTFRIVOG7KG9IX8U","GSON1112080201")</f>
        <v>#NAME?</v>
      </c>
      <c r="O1425" s="28" t="e">
        <f ca="1">[1]!BexGetData("DP_1","003N8EMH8GTFRIVOG7KG9J3KE","GSON1112080201")</f>
        <v>#NAME?</v>
      </c>
      <c r="P1425" s="28" t="e">
        <f ca="1">[1]!BexGetData("DP_1","003N8EMH8GTFRIVOG7KG9J9VY","GSON1112080201")</f>
        <v>#NAME?</v>
      </c>
      <c r="Q1425" s="23" t="e">
        <f ca="1">[1]!BexGetData("DP_1","00O2TNJGODT0G5Z4TTKYMM5MT","GSON1112080201")</f>
        <v>#NAME?</v>
      </c>
      <c r="R1425" s="28" t="e">
        <f ca="1">[1]!BexGetData("DP_1","00O2TNJGODT0G5Z4TTKYMMBYD","GSON1112080201")</f>
        <v>#NAME?</v>
      </c>
      <c r="S1425" s="28" t="e">
        <f ca="1">[1]!BexGetData("DP_1","00O2TNJGODT0G5Z4TTKYMMI9X","GSON1112080201")</f>
        <v>#NAME?</v>
      </c>
      <c r="T1425" s="28" t="e">
        <f ca="1">[1]!BexGetData("DP_1","00O2TNJGODT0G5Z4TTKYMMOLH","GSON1112080201")</f>
        <v>#NAME?</v>
      </c>
      <c r="U1425" s="28" t="e">
        <f ca="1">[1]!BexGetData("DP_1","00O2TNJGODT0G5Z4TTKYMMUX1","GSON1112080201")</f>
        <v>#NAME?</v>
      </c>
      <c r="V1425" s="28" t="e">
        <f ca="1">[1]!BexGetData("DP_1","00O2TNJGODT0G5Z4TTKYMN18L","GSON1112080201")</f>
        <v>#NAME?</v>
      </c>
      <c r="W1425" s="28" t="e">
        <f ca="1">[1]!BexGetData("DP_1","00O2TNJGODT0G5Z4TTKYMN7K5","GSON1112080201")</f>
        <v>#NAME?</v>
      </c>
    </row>
    <row r="1426" spans="1:23" x14ac:dyDescent="0.2">
      <c r="A1426" s="36" t="s">
        <v>245</v>
      </c>
      <c r="B1426" s="27" t="s">
        <v>246</v>
      </c>
      <c r="C1426" s="28" t="e">
        <f ca="1">[1]!BexGetData("DP_1","003N8EMH8GTFRCSWKMPXRR8GU","GSON1112080203")</f>
        <v>#NAME?</v>
      </c>
      <c r="D1426" s="28" t="e">
        <f ca="1">[1]!BexGetData("DP_1","003N8EMH8GTFRCSWKMPXRRESE","GSON1112080203")</f>
        <v>#NAME?</v>
      </c>
      <c r="E1426" s="28" t="e">
        <f ca="1">[1]!BexGetData("DP_1","003N8EMH8GTFRCSWKMPXRRL3Y","GSON1112080203")</f>
        <v>#NAME?</v>
      </c>
      <c r="F1426" s="28" t="e">
        <f ca="1">[1]!BexGetData("DP_1","003N8EMH8GTFRCSWKMPXRRRFI","GSON1112080203")</f>
        <v>#NAME?</v>
      </c>
      <c r="G1426" s="23" t="e">
        <f ca="1">[1]!BexGetData("DP_1","003N8EMH8GTFRCSWKMPXRRXR2","GSON1112080203")</f>
        <v>#NAME?</v>
      </c>
      <c r="H1426" s="23" t="e">
        <f ca="1">[1]!BexGetData("DP_1","003N8EMH8GTFRCSWKMPXRS42M","GSON1112080203")</f>
        <v>#NAME?</v>
      </c>
      <c r="I1426" s="28" t="e">
        <f ca="1">[1]!BexGetData("DP_1","003N8EMH8GTFRCSWKMPXRSAE6","GSON1112080203")</f>
        <v>#NAME?</v>
      </c>
      <c r="J1426" s="24" t="e">
        <f ca="1">[1]!BexGetData("DP_1","003N8EMH8GTFRCSWKMPXRSGPQ","GSON1112080203")</f>
        <v>#NAME?</v>
      </c>
      <c r="K1426" s="28" t="e">
        <f ca="1">[1]!BexGetData("DP_1","003N8EMH8GTFRIVNUPY288VJH","GSON1112080203")</f>
        <v>#NAME?</v>
      </c>
      <c r="L1426" s="28" t="e">
        <f ca="1">[1]!BexGetData("DP_1","003N8EMH8GTFRIVNUPY2891V1","GSON1112080203")</f>
        <v>#NAME?</v>
      </c>
      <c r="M1426" s="28" t="e">
        <f ca="1">[1]!BexGetData("DP_1","003N8EMH8GTFRIVOG7KG9IQXA","GSON1112080203")</f>
        <v>#NAME?</v>
      </c>
      <c r="N1426" s="28" t="e">
        <f ca="1">[1]!BexGetData("DP_1","003N8EMH8GTFRIVOG7KG9IX8U","GSON1112080203")</f>
        <v>#NAME?</v>
      </c>
      <c r="O1426" s="28" t="e">
        <f ca="1">[1]!BexGetData("DP_1","003N8EMH8GTFRIVOG7KG9J3KE","GSON1112080203")</f>
        <v>#NAME?</v>
      </c>
      <c r="P1426" s="28" t="e">
        <f ca="1">[1]!BexGetData("DP_1","003N8EMH8GTFRIVOG7KG9J9VY","GSON1112080203")</f>
        <v>#NAME?</v>
      </c>
      <c r="Q1426" s="24" t="e">
        <f ca="1">[1]!BexGetData("DP_1","00O2TNJGODT0G5Z4TTKYMM5MT","GSON1112080203")</f>
        <v>#NAME?</v>
      </c>
      <c r="R1426" s="28" t="e">
        <f ca="1">[1]!BexGetData("DP_1","00O2TNJGODT0G5Z4TTKYMMBYD","GSON1112080203")</f>
        <v>#NAME?</v>
      </c>
      <c r="S1426" s="28" t="e">
        <f ca="1">[1]!BexGetData("DP_1","00O2TNJGODT0G5Z4TTKYMMI9X","GSON1112080203")</f>
        <v>#NAME?</v>
      </c>
      <c r="T1426" s="28" t="e">
        <f ca="1">[1]!BexGetData("DP_1","00O2TNJGODT0G5Z4TTKYMMOLH","GSON1112080203")</f>
        <v>#NAME?</v>
      </c>
      <c r="U1426" s="28" t="e">
        <f ca="1">[1]!BexGetData("DP_1","00O2TNJGODT0G5Z4TTKYMMUX1","GSON1112080203")</f>
        <v>#NAME?</v>
      </c>
      <c r="V1426" s="28" t="e">
        <f ca="1">[1]!BexGetData("DP_1","00O2TNJGODT0G5Z4TTKYMN18L","GSON1112080203")</f>
        <v>#NAME?</v>
      </c>
      <c r="W1426" s="28" t="e">
        <f ca="1">[1]!BexGetData("DP_1","00O2TNJGODT0G5Z4TTKYMN7K5","GSON1112080203")</f>
        <v>#NAME?</v>
      </c>
    </row>
    <row r="1427" spans="1:23" x14ac:dyDescent="0.2">
      <c r="A1427" s="36" t="s">
        <v>247</v>
      </c>
      <c r="B1427" s="27" t="s">
        <v>248</v>
      </c>
      <c r="C1427" s="23" t="e">
        <f ca="1">[1]!BexGetData("DP_1","003N8EMH8GTFRCSWKMPXRR8GU","GSON1112080210")</f>
        <v>#NAME?</v>
      </c>
      <c r="D1427" s="28" t="e">
        <f ca="1">[1]!BexGetData("DP_1","003N8EMH8GTFRCSWKMPXRRESE","GSON1112080210")</f>
        <v>#NAME?</v>
      </c>
      <c r="E1427" s="23" t="e">
        <f ca="1">[1]!BexGetData("DP_1","003N8EMH8GTFRCSWKMPXRRL3Y","GSON1112080210")</f>
        <v>#NAME?</v>
      </c>
      <c r="F1427" s="28" t="e">
        <f ca="1">[1]!BexGetData("DP_1","003N8EMH8GTFRCSWKMPXRRRFI","GSON1112080210")</f>
        <v>#NAME?</v>
      </c>
      <c r="G1427" s="23" t="e">
        <f ca="1">[1]!BexGetData("DP_1","003N8EMH8GTFRCSWKMPXRRXR2","GSON1112080210")</f>
        <v>#NAME?</v>
      </c>
      <c r="H1427" s="23" t="e">
        <f ca="1">[1]!BexGetData("DP_1","003N8EMH8GTFRCSWKMPXRS42M","GSON1112080210")</f>
        <v>#NAME?</v>
      </c>
      <c r="I1427" s="28" t="e">
        <f ca="1">[1]!BexGetData("DP_1","003N8EMH8GTFRCSWKMPXRSAE6","GSON1112080210")</f>
        <v>#NAME?</v>
      </c>
      <c r="J1427" s="23" t="e">
        <f ca="1">[1]!BexGetData("DP_1","003N8EMH8GTFRCSWKMPXRSGPQ","GSON1112080210")</f>
        <v>#NAME?</v>
      </c>
      <c r="K1427" s="23" t="e">
        <f ca="1">[1]!BexGetData("DP_1","003N8EMH8GTFRIVNUPY288VJH","GSON1112080210")</f>
        <v>#NAME?</v>
      </c>
      <c r="L1427" s="23" t="e">
        <f ca="1">[1]!BexGetData("DP_1","003N8EMH8GTFRIVNUPY2891V1","GSON1112080210")</f>
        <v>#NAME?</v>
      </c>
      <c r="M1427" s="28" t="e">
        <f ca="1">[1]!BexGetData("DP_1","003N8EMH8GTFRIVOG7KG9IQXA","GSON1112080210")</f>
        <v>#NAME?</v>
      </c>
      <c r="N1427" s="23" t="e">
        <f ca="1">[1]!BexGetData("DP_1","003N8EMH8GTFRIVOG7KG9IX8U","GSON1112080210")</f>
        <v>#NAME?</v>
      </c>
      <c r="O1427" s="28" t="e">
        <f ca="1">[1]!BexGetData("DP_1","003N8EMH8GTFRIVOG7KG9J3KE","GSON1112080210")</f>
        <v>#NAME?</v>
      </c>
      <c r="P1427" s="23" t="e">
        <f ca="1">[1]!BexGetData("DP_1","003N8EMH8GTFRIVOG7KG9J9VY","GSON1112080210")</f>
        <v>#NAME?</v>
      </c>
      <c r="Q1427" s="23" t="e">
        <f ca="1">[1]!BexGetData("DP_1","00O2TNJGODT0G5Z4TTKYMM5MT","GSON1112080210")</f>
        <v>#NAME?</v>
      </c>
      <c r="R1427" s="23" t="e">
        <f ca="1">[1]!BexGetData("DP_1","00O2TNJGODT0G5Z4TTKYMMBYD","GSON1112080210")</f>
        <v>#NAME?</v>
      </c>
      <c r="S1427" s="23" t="e">
        <f ca="1">[1]!BexGetData("DP_1","00O2TNJGODT0G5Z4TTKYMMI9X","GSON1112080210")</f>
        <v>#NAME?</v>
      </c>
      <c r="T1427" s="23" t="e">
        <f ca="1">[1]!BexGetData("DP_1","00O2TNJGODT0G5Z4TTKYMMOLH","GSON1112080210")</f>
        <v>#NAME?</v>
      </c>
      <c r="U1427" s="28" t="e">
        <f ca="1">[1]!BexGetData("DP_1","00O2TNJGODT0G5Z4TTKYMMUX1","GSON1112080210")</f>
        <v>#NAME?</v>
      </c>
      <c r="V1427" s="23" t="e">
        <f ca="1">[1]!BexGetData("DP_1","00O2TNJGODT0G5Z4TTKYMN18L","GSON1112080210")</f>
        <v>#NAME?</v>
      </c>
      <c r="W1427" s="28" t="e">
        <f ca="1">[1]!BexGetData("DP_1","00O2TNJGODT0G5Z4TTKYMN7K5","GSON1112080210")</f>
        <v>#NAME?</v>
      </c>
    </row>
    <row r="1428" spans="1:23" x14ac:dyDescent="0.2">
      <c r="A1428" s="36" t="s">
        <v>249</v>
      </c>
      <c r="B1428" s="27" t="s">
        <v>250</v>
      </c>
      <c r="C1428" s="23" t="e">
        <f ca="1">[1]!BexGetData("DP_1","003N8EMH8GTFRCSWKMPXRR8GU","GSON1112080211")</f>
        <v>#NAME?</v>
      </c>
      <c r="D1428" s="23" t="e">
        <f ca="1">[1]!BexGetData("DP_1","003N8EMH8GTFRCSWKMPXRRESE","GSON1112080211")</f>
        <v>#NAME?</v>
      </c>
      <c r="E1428" s="23" t="e">
        <f ca="1">[1]!BexGetData("DP_1","003N8EMH8GTFRCSWKMPXRRL3Y","GSON1112080211")</f>
        <v>#NAME?</v>
      </c>
      <c r="F1428" s="23" t="e">
        <f ca="1">[1]!BexGetData("DP_1","003N8EMH8GTFRCSWKMPXRRRFI","GSON1112080211")</f>
        <v>#NAME?</v>
      </c>
      <c r="G1428" s="23" t="e">
        <f ca="1">[1]!BexGetData("DP_1","003N8EMH8GTFRCSWKMPXRRXR2","GSON1112080211")</f>
        <v>#NAME?</v>
      </c>
      <c r="H1428" s="23" t="e">
        <f ca="1">[1]!BexGetData("DP_1","003N8EMH8GTFRCSWKMPXRS42M","GSON1112080211")</f>
        <v>#NAME?</v>
      </c>
      <c r="I1428" s="23" t="e">
        <f ca="1">[1]!BexGetData("DP_1","003N8EMH8GTFRCSWKMPXRSAE6","GSON1112080211")</f>
        <v>#NAME?</v>
      </c>
      <c r="J1428" s="23" t="e">
        <f ca="1">[1]!BexGetData("DP_1","003N8EMH8GTFRCSWKMPXRSGPQ","GSON1112080211")</f>
        <v>#NAME?</v>
      </c>
      <c r="K1428" s="23" t="e">
        <f ca="1">[1]!BexGetData("DP_1","003N8EMH8GTFRIVNUPY288VJH","GSON1112080211")</f>
        <v>#NAME?</v>
      </c>
      <c r="L1428" s="23" t="e">
        <f ca="1">[1]!BexGetData("DP_1","003N8EMH8GTFRIVNUPY2891V1","GSON1112080211")</f>
        <v>#NAME?</v>
      </c>
      <c r="M1428" s="28" t="e">
        <f ca="1">[1]!BexGetData("DP_1","003N8EMH8GTFRIVOG7KG9IQXA","GSON1112080211")</f>
        <v>#NAME?</v>
      </c>
      <c r="N1428" s="23" t="e">
        <f ca="1">[1]!BexGetData("DP_1","003N8EMH8GTFRIVOG7KG9IX8U","GSON1112080211")</f>
        <v>#NAME?</v>
      </c>
      <c r="O1428" s="28" t="e">
        <f ca="1">[1]!BexGetData("DP_1","003N8EMH8GTFRIVOG7KG9J3KE","GSON1112080211")</f>
        <v>#NAME?</v>
      </c>
      <c r="P1428" s="23" t="e">
        <f ca="1">[1]!BexGetData("DP_1","003N8EMH8GTFRIVOG7KG9J9VY","GSON1112080211")</f>
        <v>#NAME?</v>
      </c>
      <c r="Q1428" s="23" t="e">
        <f ca="1">[1]!BexGetData("DP_1","00O2TNJGODT0G5Z4TTKYMM5MT","GSON1112080211")</f>
        <v>#NAME?</v>
      </c>
      <c r="R1428" s="23" t="e">
        <f ca="1">[1]!BexGetData("DP_1","00O2TNJGODT0G5Z4TTKYMMBYD","GSON1112080211")</f>
        <v>#NAME?</v>
      </c>
      <c r="S1428" s="23" t="e">
        <f ca="1">[1]!BexGetData("DP_1","00O2TNJGODT0G5Z4TTKYMMI9X","GSON1112080211")</f>
        <v>#NAME?</v>
      </c>
      <c r="T1428" s="23" t="e">
        <f ca="1">[1]!BexGetData("DP_1","00O2TNJGODT0G5Z4TTKYMMOLH","GSON1112080211")</f>
        <v>#NAME?</v>
      </c>
      <c r="U1428" s="28" t="e">
        <f ca="1">[1]!BexGetData("DP_1","00O2TNJGODT0G5Z4TTKYMMUX1","GSON1112080211")</f>
        <v>#NAME?</v>
      </c>
      <c r="V1428" s="23" t="e">
        <f ca="1">[1]!BexGetData("DP_1","00O2TNJGODT0G5Z4TTKYMN18L","GSON1112080211")</f>
        <v>#NAME?</v>
      </c>
      <c r="W1428" s="28" t="e">
        <f ca="1">[1]!BexGetData("DP_1","00O2TNJGODT0G5Z4TTKYMN7K5","GSON1112080211")</f>
        <v>#NAME?</v>
      </c>
    </row>
    <row r="1429" spans="1:23" x14ac:dyDescent="0.2">
      <c r="A1429" s="36" t="s">
        <v>1612</v>
      </c>
      <c r="B1429" s="27" t="s">
        <v>1613</v>
      </c>
      <c r="C1429" s="28" t="e">
        <f ca="1">[1]!BexGetData("DP_1","003N8EMH8GTFRCSWKMPXRR8GU","GSON1112080213")</f>
        <v>#NAME?</v>
      </c>
      <c r="D1429" s="28" t="e">
        <f ca="1">[1]!BexGetData("DP_1","003N8EMH8GTFRCSWKMPXRRESE","GSON1112080213")</f>
        <v>#NAME?</v>
      </c>
      <c r="E1429" s="28" t="e">
        <f ca="1">[1]!BexGetData("DP_1","003N8EMH8GTFRCSWKMPXRRL3Y","GSON1112080213")</f>
        <v>#NAME?</v>
      </c>
      <c r="F1429" s="28" t="e">
        <f ca="1">[1]!BexGetData("DP_1","003N8EMH8GTFRCSWKMPXRRRFI","GSON1112080213")</f>
        <v>#NAME?</v>
      </c>
      <c r="G1429" s="23" t="e">
        <f ca="1">[1]!BexGetData("DP_1","003N8EMH8GTFRCSWKMPXRRXR2","GSON1112080213")</f>
        <v>#NAME?</v>
      </c>
      <c r="H1429" s="23" t="e">
        <f ca="1">[1]!BexGetData("DP_1","003N8EMH8GTFRCSWKMPXRS42M","GSON1112080213")</f>
        <v>#NAME?</v>
      </c>
      <c r="I1429" s="28" t="e">
        <f ca="1">[1]!BexGetData("DP_1","003N8EMH8GTFRCSWKMPXRSAE6","GSON1112080213")</f>
        <v>#NAME?</v>
      </c>
      <c r="J1429" s="24" t="e">
        <f ca="1">[1]!BexGetData("DP_1","003N8EMH8GTFRCSWKMPXRSGPQ","GSON1112080213")</f>
        <v>#NAME?</v>
      </c>
      <c r="K1429" s="28" t="e">
        <f ca="1">[1]!BexGetData("DP_1","003N8EMH8GTFRIVNUPY288VJH","GSON1112080213")</f>
        <v>#NAME?</v>
      </c>
      <c r="L1429" s="28" t="e">
        <f ca="1">[1]!BexGetData("DP_1","003N8EMH8GTFRIVNUPY2891V1","GSON1112080213")</f>
        <v>#NAME?</v>
      </c>
      <c r="M1429" s="28" t="e">
        <f ca="1">[1]!BexGetData("DP_1","003N8EMH8GTFRIVOG7KG9IQXA","GSON1112080213")</f>
        <v>#NAME?</v>
      </c>
      <c r="N1429" s="28" t="e">
        <f ca="1">[1]!BexGetData("DP_1","003N8EMH8GTFRIVOG7KG9IX8U","GSON1112080213")</f>
        <v>#NAME?</v>
      </c>
      <c r="O1429" s="28" t="e">
        <f ca="1">[1]!BexGetData("DP_1","003N8EMH8GTFRIVOG7KG9J3KE","GSON1112080213")</f>
        <v>#NAME?</v>
      </c>
      <c r="P1429" s="28" t="e">
        <f ca="1">[1]!BexGetData("DP_1","003N8EMH8GTFRIVOG7KG9J9VY","GSON1112080213")</f>
        <v>#NAME?</v>
      </c>
      <c r="Q1429" s="24" t="e">
        <f ca="1">[1]!BexGetData("DP_1","00O2TNJGODT0G5Z4TTKYMM5MT","GSON1112080213")</f>
        <v>#NAME?</v>
      </c>
      <c r="R1429" s="28" t="e">
        <f ca="1">[1]!BexGetData("DP_1","00O2TNJGODT0G5Z4TTKYMMBYD","GSON1112080213")</f>
        <v>#NAME?</v>
      </c>
      <c r="S1429" s="28" t="e">
        <f ca="1">[1]!BexGetData("DP_1","00O2TNJGODT0G5Z4TTKYMMI9X","GSON1112080213")</f>
        <v>#NAME?</v>
      </c>
      <c r="T1429" s="28" t="e">
        <f ca="1">[1]!BexGetData("DP_1","00O2TNJGODT0G5Z4TTKYMMOLH","GSON1112080213")</f>
        <v>#NAME?</v>
      </c>
      <c r="U1429" s="28" t="e">
        <f ca="1">[1]!BexGetData("DP_1","00O2TNJGODT0G5Z4TTKYMMUX1","GSON1112080213")</f>
        <v>#NAME?</v>
      </c>
      <c r="V1429" s="28" t="e">
        <f ca="1">[1]!BexGetData("DP_1","00O2TNJGODT0G5Z4TTKYMN18L","GSON1112080213")</f>
        <v>#NAME?</v>
      </c>
      <c r="W1429" s="28" t="e">
        <f ca="1">[1]!BexGetData("DP_1","00O2TNJGODT0G5Z4TTKYMN7K5","GSON1112080213")</f>
        <v>#NAME?</v>
      </c>
    </row>
    <row r="1430" spans="1:23" x14ac:dyDescent="0.2">
      <c r="A1430" s="36" t="s">
        <v>251</v>
      </c>
      <c r="B1430" s="27" t="s">
        <v>252</v>
      </c>
      <c r="C1430" s="28" t="e">
        <f ca="1">[1]!BexGetData("DP_1","003N8EMH8GTFRCSWKMPXRR8GU","GSON1112080220")</f>
        <v>#NAME?</v>
      </c>
      <c r="D1430" s="28" t="e">
        <f ca="1">[1]!BexGetData("DP_1","003N8EMH8GTFRCSWKMPXRRESE","GSON1112080220")</f>
        <v>#NAME?</v>
      </c>
      <c r="E1430" s="28" t="e">
        <f ca="1">[1]!BexGetData("DP_1","003N8EMH8GTFRCSWKMPXRRL3Y","GSON1112080220")</f>
        <v>#NAME?</v>
      </c>
      <c r="F1430" s="28" t="e">
        <f ca="1">[1]!BexGetData("DP_1","003N8EMH8GTFRCSWKMPXRRRFI","GSON1112080220")</f>
        <v>#NAME?</v>
      </c>
      <c r="G1430" s="28" t="e">
        <f ca="1">[1]!BexGetData("DP_1","003N8EMH8GTFRCSWKMPXRRXR2","GSON1112080220")</f>
        <v>#NAME?</v>
      </c>
      <c r="H1430" s="23" t="e">
        <f ca="1">[1]!BexGetData("DP_1","003N8EMH8GTFRCSWKMPXRS42M","GSON1112080220")</f>
        <v>#NAME?</v>
      </c>
      <c r="I1430" s="28" t="e">
        <f ca="1">[1]!BexGetData("DP_1","003N8EMH8GTFRCSWKMPXRSAE6","GSON1112080220")</f>
        <v>#NAME?</v>
      </c>
      <c r="J1430" s="23" t="e">
        <f ca="1">[1]!BexGetData("DP_1","003N8EMH8GTFRCSWKMPXRSGPQ","GSON1112080220")</f>
        <v>#NAME?</v>
      </c>
      <c r="K1430" s="28" t="e">
        <f ca="1">[1]!BexGetData("DP_1","003N8EMH8GTFRIVNUPY288VJH","GSON1112080220")</f>
        <v>#NAME?</v>
      </c>
      <c r="L1430" s="28" t="e">
        <f ca="1">[1]!BexGetData("DP_1","003N8EMH8GTFRIVNUPY2891V1","GSON1112080220")</f>
        <v>#NAME?</v>
      </c>
      <c r="M1430" s="28" t="e">
        <f ca="1">[1]!BexGetData("DP_1","003N8EMH8GTFRIVOG7KG9IQXA","GSON1112080220")</f>
        <v>#NAME?</v>
      </c>
      <c r="N1430" s="28" t="e">
        <f ca="1">[1]!BexGetData("DP_1","003N8EMH8GTFRIVOG7KG9IX8U","GSON1112080220")</f>
        <v>#NAME?</v>
      </c>
      <c r="O1430" s="28" t="e">
        <f ca="1">[1]!BexGetData("DP_1","003N8EMH8GTFRIVOG7KG9J3KE","GSON1112080220")</f>
        <v>#NAME?</v>
      </c>
      <c r="P1430" s="28" t="e">
        <f ca="1">[1]!BexGetData("DP_1","003N8EMH8GTFRIVOG7KG9J9VY","GSON1112080220")</f>
        <v>#NAME?</v>
      </c>
      <c r="Q1430" s="23" t="e">
        <f ca="1">[1]!BexGetData("DP_1","00O2TNJGODT0G5Z4TTKYMM5MT","GSON1112080220")</f>
        <v>#NAME?</v>
      </c>
      <c r="R1430" s="23" t="e">
        <f ca="1">[1]!BexGetData("DP_1","00O2TNJGODT0G5Z4TTKYMMBYD","GSON1112080220")</f>
        <v>#NAME?</v>
      </c>
      <c r="S1430" s="23" t="e">
        <f ca="1">[1]!BexGetData("DP_1","00O2TNJGODT0G5Z4TTKYMMI9X","GSON1112080220")</f>
        <v>#NAME?</v>
      </c>
      <c r="T1430" s="23" t="e">
        <f ca="1">[1]!BexGetData("DP_1","00O2TNJGODT0G5Z4TTKYMMOLH","GSON1112080220")</f>
        <v>#NAME?</v>
      </c>
      <c r="U1430" s="28" t="e">
        <f ca="1">[1]!BexGetData("DP_1","00O2TNJGODT0G5Z4TTKYMMUX1","GSON1112080220")</f>
        <v>#NAME?</v>
      </c>
      <c r="V1430" s="23" t="e">
        <f ca="1">[1]!BexGetData("DP_1","00O2TNJGODT0G5Z4TTKYMN18L","GSON1112080220")</f>
        <v>#NAME?</v>
      </c>
      <c r="W1430" s="28" t="e">
        <f ca="1">[1]!BexGetData("DP_1","00O2TNJGODT0G5Z4TTKYMN7K5","GSON1112080220")</f>
        <v>#NAME?</v>
      </c>
    </row>
    <row r="1431" spans="1:23" x14ac:dyDescent="0.2">
      <c r="A1431" s="36" t="s">
        <v>253</v>
      </c>
      <c r="B1431" s="27" t="s">
        <v>254</v>
      </c>
      <c r="C1431" s="28" t="e">
        <f ca="1">[1]!BexGetData("DP_1","003N8EMH8GTFRCSWKMPXRR8GU","GSON1112080223")</f>
        <v>#NAME?</v>
      </c>
      <c r="D1431" s="28" t="e">
        <f ca="1">[1]!BexGetData("DP_1","003N8EMH8GTFRCSWKMPXRRESE","GSON1112080223")</f>
        <v>#NAME?</v>
      </c>
      <c r="E1431" s="28" t="e">
        <f ca="1">[1]!BexGetData("DP_1","003N8EMH8GTFRCSWKMPXRRL3Y","GSON1112080223")</f>
        <v>#NAME?</v>
      </c>
      <c r="F1431" s="28" t="e">
        <f ca="1">[1]!BexGetData("DP_1","003N8EMH8GTFRCSWKMPXRRRFI","GSON1112080223")</f>
        <v>#NAME?</v>
      </c>
      <c r="G1431" s="23" t="e">
        <f ca="1">[1]!BexGetData("DP_1","003N8EMH8GTFRCSWKMPXRRXR2","GSON1112080223")</f>
        <v>#NAME?</v>
      </c>
      <c r="H1431" s="23" t="e">
        <f ca="1">[1]!BexGetData("DP_1","003N8EMH8GTFRCSWKMPXRS42M","GSON1112080223")</f>
        <v>#NAME?</v>
      </c>
      <c r="I1431" s="28" t="e">
        <f ca="1">[1]!BexGetData("DP_1","003N8EMH8GTFRCSWKMPXRSAE6","GSON1112080223")</f>
        <v>#NAME?</v>
      </c>
      <c r="J1431" s="24" t="e">
        <f ca="1">[1]!BexGetData("DP_1","003N8EMH8GTFRCSWKMPXRSGPQ","GSON1112080223")</f>
        <v>#NAME?</v>
      </c>
      <c r="K1431" s="28" t="e">
        <f ca="1">[1]!BexGetData("DP_1","003N8EMH8GTFRIVNUPY288VJH","GSON1112080223")</f>
        <v>#NAME?</v>
      </c>
      <c r="L1431" s="28" t="e">
        <f ca="1">[1]!BexGetData("DP_1","003N8EMH8GTFRIVNUPY2891V1","GSON1112080223")</f>
        <v>#NAME?</v>
      </c>
      <c r="M1431" s="28" t="e">
        <f ca="1">[1]!BexGetData("DP_1","003N8EMH8GTFRIVOG7KG9IQXA","GSON1112080223")</f>
        <v>#NAME?</v>
      </c>
      <c r="N1431" s="28" t="e">
        <f ca="1">[1]!BexGetData("DP_1","003N8EMH8GTFRIVOG7KG9IX8U","GSON1112080223")</f>
        <v>#NAME?</v>
      </c>
      <c r="O1431" s="28" t="e">
        <f ca="1">[1]!BexGetData("DP_1","003N8EMH8GTFRIVOG7KG9J3KE","GSON1112080223")</f>
        <v>#NAME?</v>
      </c>
      <c r="P1431" s="28" t="e">
        <f ca="1">[1]!BexGetData("DP_1","003N8EMH8GTFRIVOG7KG9J9VY","GSON1112080223")</f>
        <v>#NAME?</v>
      </c>
      <c r="Q1431" s="24" t="e">
        <f ca="1">[1]!BexGetData("DP_1","00O2TNJGODT0G5Z4TTKYMM5MT","GSON1112080223")</f>
        <v>#NAME?</v>
      </c>
      <c r="R1431" s="28" t="e">
        <f ca="1">[1]!BexGetData("DP_1","00O2TNJGODT0G5Z4TTKYMMBYD","GSON1112080223")</f>
        <v>#NAME?</v>
      </c>
      <c r="S1431" s="28" t="e">
        <f ca="1">[1]!BexGetData("DP_1","00O2TNJGODT0G5Z4TTKYMMI9X","GSON1112080223")</f>
        <v>#NAME?</v>
      </c>
      <c r="T1431" s="28" t="e">
        <f ca="1">[1]!BexGetData("DP_1","00O2TNJGODT0G5Z4TTKYMMOLH","GSON1112080223")</f>
        <v>#NAME?</v>
      </c>
      <c r="U1431" s="28" t="e">
        <f ca="1">[1]!BexGetData("DP_1","00O2TNJGODT0G5Z4TTKYMMUX1","GSON1112080223")</f>
        <v>#NAME?</v>
      </c>
      <c r="V1431" s="28" t="e">
        <f ca="1">[1]!BexGetData("DP_1","00O2TNJGODT0G5Z4TTKYMN18L","GSON1112080223")</f>
        <v>#NAME?</v>
      </c>
      <c r="W1431" s="28" t="e">
        <f ca="1">[1]!BexGetData("DP_1","00O2TNJGODT0G5Z4TTKYMN7K5","GSON1112080223")</f>
        <v>#NAME?</v>
      </c>
    </row>
    <row r="1432" spans="1:23" x14ac:dyDescent="0.2">
      <c r="A1432" s="36" t="s">
        <v>255</v>
      </c>
      <c r="B1432" s="27" t="s">
        <v>256</v>
      </c>
      <c r="C1432" s="28" t="e">
        <f ca="1">[1]!BexGetData("DP_1","003N8EMH8GTFRCSWKMPXRR8GU","GSON1112080230")</f>
        <v>#NAME?</v>
      </c>
      <c r="D1432" s="28" t="e">
        <f ca="1">[1]!BexGetData("DP_1","003N8EMH8GTFRCSWKMPXRRESE","GSON1112080230")</f>
        <v>#NAME?</v>
      </c>
      <c r="E1432" s="28" t="e">
        <f ca="1">[1]!BexGetData("DP_1","003N8EMH8GTFRCSWKMPXRRL3Y","GSON1112080230")</f>
        <v>#NAME?</v>
      </c>
      <c r="F1432" s="28" t="e">
        <f ca="1">[1]!BexGetData("DP_1","003N8EMH8GTFRCSWKMPXRRRFI","GSON1112080230")</f>
        <v>#NAME?</v>
      </c>
      <c r="G1432" s="28" t="e">
        <f ca="1">[1]!BexGetData("DP_1","003N8EMH8GTFRCSWKMPXRRXR2","GSON1112080230")</f>
        <v>#NAME?</v>
      </c>
      <c r="H1432" s="23" t="e">
        <f ca="1">[1]!BexGetData("DP_1","003N8EMH8GTFRCSWKMPXRS42M","GSON1112080230")</f>
        <v>#NAME?</v>
      </c>
      <c r="I1432" s="28" t="e">
        <f ca="1">[1]!BexGetData("DP_1","003N8EMH8GTFRCSWKMPXRSAE6","GSON1112080230")</f>
        <v>#NAME?</v>
      </c>
      <c r="J1432" s="23" t="e">
        <f ca="1">[1]!BexGetData("DP_1","003N8EMH8GTFRCSWKMPXRSGPQ","GSON1112080230")</f>
        <v>#NAME?</v>
      </c>
      <c r="K1432" s="28" t="e">
        <f ca="1">[1]!BexGetData("DP_1","003N8EMH8GTFRIVNUPY288VJH","GSON1112080230")</f>
        <v>#NAME?</v>
      </c>
      <c r="L1432" s="28" t="e">
        <f ca="1">[1]!BexGetData("DP_1","003N8EMH8GTFRIVNUPY2891V1","GSON1112080230")</f>
        <v>#NAME?</v>
      </c>
      <c r="M1432" s="28" t="e">
        <f ca="1">[1]!BexGetData("DP_1","003N8EMH8GTFRIVOG7KG9IQXA","GSON1112080230")</f>
        <v>#NAME?</v>
      </c>
      <c r="N1432" s="28" t="e">
        <f ca="1">[1]!BexGetData("DP_1","003N8EMH8GTFRIVOG7KG9IX8U","GSON1112080230")</f>
        <v>#NAME?</v>
      </c>
      <c r="O1432" s="28" t="e">
        <f ca="1">[1]!BexGetData("DP_1","003N8EMH8GTFRIVOG7KG9J3KE","GSON1112080230")</f>
        <v>#NAME?</v>
      </c>
      <c r="P1432" s="28" t="e">
        <f ca="1">[1]!BexGetData("DP_1","003N8EMH8GTFRIVOG7KG9J9VY","GSON1112080230")</f>
        <v>#NAME?</v>
      </c>
      <c r="Q1432" s="23" t="e">
        <f ca="1">[1]!BexGetData("DP_1","00O2TNJGODT0G5Z4TTKYMM5MT","GSON1112080230")</f>
        <v>#NAME?</v>
      </c>
      <c r="R1432" s="23" t="e">
        <f ca="1">[1]!BexGetData("DP_1","00O2TNJGODT0G5Z4TTKYMMBYD","GSON1112080230")</f>
        <v>#NAME?</v>
      </c>
      <c r="S1432" s="23" t="e">
        <f ca="1">[1]!BexGetData("DP_1","00O2TNJGODT0G5Z4TTKYMMI9X","GSON1112080230")</f>
        <v>#NAME?</v>
      </c>
      <c r="T1432" s="23" t="e">
        <f ca="1">[1]!BexGetData("DP_1","00O2TNJGODT0G5Z4TTKYMMOLH","GSON1112080230")</f>
        <v>#NAME?</v>
      </c>
      <c r="U1432" s="28" t="e">
        <f ca="1">[1]!BexGetData("DP_1","00O2TNJGODT0G5Z4TTKYMMUX1","GSON1112080230")</f>
        <v>#NAME?</v>
      </c>
      <c r="V1432" s="23" t="e">
        <f ca="1">[1]!BexGetData("DP_1","00O2TNJGODT0G5Z4TTKYMN18L","GSON1112080230")</f>
        <v>#NAME?</v>
      </c>
      <c r="W1432" s="28" t="e">
        <f ca="1">[1]!BexGetData("DP_1","00O2TNJGODT0G5Z4TTKYMN7K5","GSON1112080230")</f>
        <v>#NAME?</v>
      </c>
    </row>
    <row r="1433" spans="1:23" x14ac:dyDescent="0.2">
      <c r="A1433" s="36" t="s">
        <v>257</v>
      </c>
      <c r="B1433" s="27" t="s">
        <v>258</v>
      </c>
      <c r="C1433" s="28" t="e">
        <f ca="1">[1]!BexGetData("DP_1","003N8EMH8GTFRCSWKMPXRR8GU","GSON1112080233")</f>
        <v>#NAME?</v>
      </c>
      <c r="D1433" s="28" t="e">
        <f ca="1">[1]!BexGetData("DP_1","003N8EMH8GTFRCSWKMPXRRESE","GSON1112080233")</f>
        <v>#NAME?</v>
      </c>
      <c r="E1433" s="28" t="e">
        <f ca="1">[1]!BexGetData("DP_1","003N8EMH8GTFRCSWKMPXRRL3Y","GSON1112080233")</f>
        <v>#NAME?</v>
      </c>
      <c r="F1433" s="28" t="e">
        <f ca="1">[1]!BexGetData("DP_1","003N8EMH8GTFRCSWKMPXRRRFI","GSON1112080233")</f>
        <v>#NAME?</v>
      </c>
      <c r="G1433" s="23" t="e">
        <f ca="1">[1]!BexGetData("DP_1","003N8EMH8GTFRCSWKMPXRRXR2","GSON1112080233")</f>
        <v>#NAME?</v>
      </c>
      <c r="H1433" s="23" t="e">
        <f ca="1">[1]!BexGetData("DP_1","003N8EMH8GTFRCSWKMPXRS42M","GSON1112080233")</f>
        <v>#NAME?</v>
      </c>
      <c r="I1433" s="28" t="e">
        <f ca="1">[1]!BexGetData("DP_1","003N8EMH8GTFRCSWKMPXRSAE6","GSON1112080233")</f>
        <v>#NAME?</v>
      </c>
      <c r="J1433" s="24" t="e">
        <f ca="1">[1]!BexGetData("DP_1","003N8EMH8GTFRCSWKMPXRSGPQ","GSON1112080233")</f>
        <v>#NAME?</v>
      </c>
      <c r="K1433" s="28" t="e">
        <f ca="1">[1]!BexGetData("DP_1","003N8EMH8GTFRIVNUPY288VJH","GSON1112080233")</f>
        <v>#NAME?</v>
      </c>
      <c r="L1433" s="28" t="e">
        <f ca="1">[1]!BexGetData("DP_1","003N8EMH8GTFRIVNUPY2891V1","GSON1112080233")</f>
        <v>#NAME?</v>
      </c>
      <c r="M1433" s="28" t="e">
        <f ca="1">[1]!BexGetData("DP_1","003N8EMH8GTFRIVOG7KG9IQXA","GSON1112080233")</f>
        <v>#NAME?</v>
      </c>
      <c r="N1433" s="28" t="e">
        <f ca="1">[1]!BexGetData("DP_1","003N8EMH8GTFRIVOG7KG9IX8U","GSON1112080233")</f>
        <v>#NAME?</v>
      </c>
      <c r="O1433" s="28" t="e">
        <f ca="1">[1]!BexGetData("DP_1","003N8EMH8GTFRIVOG7KG9J3KE","GSON1112080233")</f>
        <v>#NAME?</v>
      </c>
      <c r="P1433" s="28" t="e">
        <f ca="1">[1]!BexGetData("DP_1","003N8EMH8GTFRIVOG7KG9J9VY","GSON1112080233")</f>
        <v>#NAME?</v>
      </c>
      <c r="Q1433" s="24" t="e">
        <f ca="1">[1]!BexGetData("DP_1","00O2TNJGODT0G5Z4TTKYMM5MT","GSON1112080233")</f>
        <v>#NAME?</v>
      </c>
      <c r="R1433" s="28" t="e">
        <f ca="1">[1]!BexGetData("DP_1","00O2TNJGODT0G5Z4TTKYMMBYD","GSON1112080233")</f>
        <v>#NAME?</v>
      </c>
      <c r="S1433" s="28" t="e">
        <f ca="1">[1]!BexGetData("DP_1","00O2TNJGODT0G5Z4TTKYMMI9X","GSON1112080233")</f>
        <v>#NAME?</v>
      </c>
      <c r="T1433" s="28" t="e">
        <f ca="1">[1]!BexGetData("DP_1","00O2TNJGODT0G5Z4TTKYMMOLH","GSON1112080233")</f>
        <v>#NAME?</v>
      </c>
      <c r="U1433" s="28" t="e">
        <f ca="1">[1]!BexGetData("DP_1","00O2TNJGODT0G5Z4TTKYMMUX1","GSON1112080233")</f>
        <v>#NAME?</v>
      </c>
      <c r="V1433" s="28" t="e">
        <f ca="1">[1]!BexGetData("DP_1","00O2TNJGODT0G5Z4TTKYMN18L","GSON1112080233")</f>
        <v>#NAME?</v>
      </c>
      <c r="W1433" s="28" t="e">
        <f ca="1">[1]!BexGetData("DP_1","00O2TNJGODT0G5Z4TTKYMN7K5","GSON1112080233")</f>
        <v>#NAME?</v>
      </c>
    </row>
    <row r="1434" spans="1:23" x14ac:dyDescent="0.2">
      <c r="A1434" s="36" t="s">
        <v>259</v>
      </c>
      <c r="B1434" s="27" t="s">
        <v>260</v>
      </c>
      <c r="C1434" s="28" t="e">
        <f ca="1">[1]!BexGetData("DP_1","003N8EMH8GTFRCSWKMPXRR8GU","GSON1112080240")</f>
        <v>#NAME?</v>
      </c>
      <c r="D1434" s="28" t="e">
        <f ca="1">[1]!BexGetData("DP_1","003N8EMH8GTFRCSWKMPXRRESE","GSON1112080240")</f>
        <v>#NAME?</v>
      </c>
      <c r="E1434" s="28" t="e">
        <f ca="1">[1]!BexGetData("DP_1","003N8EMH8GTFRCSWKMPXRRL3Y","GSON1112080240")</f>
        <v>#NAME?</v>
      </c>
      <c r="F1434" s="28" t="e">
        <f ca="1">[1]!BexGetData("DP_1","003N8EMH8GTFRCSWKMPXRRRFI","GSON1112080240")</f>
        <v>#NAME?</v>
      </c>
      <c r="G1434" s="28" t="e">
        <f ca="1">[1]!BexGetData("DP_1","003N8EMH8GTFRCSWKMPXRRXR2","GSON1112080240")</f>
        <v>#NAME?</v>
      </c>
      <c r="H1434" s="23" t="e">
        <f ca="1">[1]!BexGetData("DP_1","003N8EMH8GTFRCSWKMPXRS42M","GSON1112080240")</f>
        <v>#NAME?</v>
      </c>
      <c r="I1434" s="28" t="e">
        <f ca="1">[1]!BexGetData("DP_1","003N8EMH8GTFRCSWKMPXRSAE6","GSON1112080240")</f>
        <v>#NAME?</v>
      </c>
      <c r="J1434" s="23" t="e">
        <f ca="1">[1]!BexGetData("DP_1","003N8EMH8GTFRCSWKMPXRSGPQ","GSON1112080240")</f>
        <v>#NAME?</v>
      </c>
      <c r="K1434" s="28" t="e">
        <f ca="1">[1]!BexGetData("DP_1","003N8EMH8GTFRIVNUPY288VJH","GSON1112080240")</f>
        <v>#NAME?</v>
      </c>
      <c r="L1434" s="28" t="e">
        <f ca="1">[1]!BexGetData("DP_1","003N8EMH8GTFRIVNUPY2891V1","GSON1112080240")</f>
        <v>#NAME?</v>
      </c>
      <c r="M1434" s="28" t="e">
        <f ca="1">[1]!BexGetData("DP_1","003N8EMH8GTFRIVOG7KG9IQXA","GSON1112080240")</f>
        <v>#NAME?</v>
      </c>
      <c r="N1434" s="28" t="e">
        <f ca="1">[1]!BexGetData("DP_1","003N8EMH8GTFRIVOG7KG9IX8U","GSON1112080240")</f>
        <v>#NAME?</v>
      </c>
      <c r="O1434" s="28" t="e">
        <f ca="1">[1]!BexGetData("DP_1","003N8EMH8GTFRIVOG7KG9J3KE","GSON1112080240")</f>
        <v>#NAME?</v>
      </c>
      <c r="P1434" s="28" t="e">
        <f ca="1">[1]!BexGetData("DP_1","003N8EMH8GTFRIVOG7KG9J9VY","GSON1112080240")</f>
        <v>#NAME?</v>
      </c>
      <c r="Q1434" s="23" t="e">
        <f ca="1">[1]!BexGetData("DP_1","00O2TNJGODT0G5Z4TTKYMM5MT","GSON1112080240")</f>
        <v>#NAME?</v>
      </c>
      <c r="R1434" s="23" t="e">
        <f ca="1">[1]!BexGetData("DP_1","00O2TNJGODT0G5Z4TTKYMMBYD","GSON1112080240")</f>
        <v>#NAME?</v>
      </c>
      <c r="S1434" s="23" t="e">
        <f ca="1">[1]!BexGetData("DP_1","00O2TNJGODT0G5Z4TTKYMMI9X","GSON1112080240")</f>
        <v>#NAME?</v>
      </c>
      <c r="T1434" s="23" t="e">
        <f ca="1">[1]!BexGetData("DP_1","00O2TNJGODT0G5Z4TTKYMMOLH","GSON1112080240")</f>
        <v>#NAME?</v>
      </c>
      <c r="U1434" s="28" t="e">
        <f ca="1">[1]!BexGetData("DP_1","00O2TNJGODT0G5Z4TTKYMMUX1","GSON1112080240")</f>
        <v>#NAME?</v>
      </c>
      <c r="V1434" s="23" t="e">
        <f ca="1">[1]!BexGetData("DP_1","00O2TNJGODT0G5Z4TTKYMN18L","GSON1112080240")</f>
        <v>#NAME?</v>
      </c>
      <c r="W1434" s="28" t="e">
        <f ca="1">[1]!BexGetData("DP_1","00O2TNJGODT0G5Z4TTKYMN7K5","GSON1112080240")</f>
        <v>#NAME?</v>
      </c>
    </row>
    <row r="1435" spans="1:23" x14ac:dyDescent="0.2">
      <c r="A1435" s="36" t="s">
        <v>261</v>
      </c>
      <c r="B1435" s="27" t="s">
        <v>262</v>
      </c>
      <c r="C1435" s="28" t="e">
        <f ca="1">[1]!BexGetData("DP_1","003N8EMH8GTFRCSWKMPXRR8GU","GSON1112080243")</f>
        <v>#NAME?</v>
      </c>
      <c r="D1435" s="28" t="e">
        <f ca="1">[1]!BexGetData("DP_1","003N8EMH8GTFRCSWKMPXRRESE","GSON1112080243")</f>
        <v>#NAME?</v>
      </c>
      <c r="E1435" s="28" t="e">
        <f ca="1">[1]!BexGetData("DP_1","003N8EMH8GTFRCSWKMPXRRL3Y","GSON1112080243")</f>
        <v>#NAME?</v>
      </c>
      <c r="F1435" s="28" t="e">
        <f ca="1">[1]!BexGetData("DP_1","003N8EMH8GTFRCSWKMPXRRRFI","GSON1112080243")</f>
        <v>#NAME?</v>
      </c>
      <c r="G1435" s="23" t="e">
        <f ca="1">[1]!BexGetData("DP_1","003N8EMH8GTFRCSWKMPXRRXR2","GSON1112080243")</f>
        <v>#NAME?</v>
      </c>
      <c r="H1435" s="23" t="e">
        <f ca="1">[1]!BexGetData("DP_1","003N8EMH8GTFRCSWKMPXRS42M","GSON1112080243")</f>
        <v>#NAME?</v>
      </c>
      <c r="I1435" s="28" t="e">
        <f ca="1">[1]!BexGetData("DP_1","003N8EMH8GTFRCSWKMPXRSAE6","GSON1112080243")</f>
        <v>#NAME?</v>
      </c>
      <c r="J1435" s="24" t="e">
        <f ca="1">[1]!BexGetData("DP_1","003N8EMH8GTFRCSWKMPXRSGPQ","GSON1112080243")</f>
        <v>#NAME?</v>
      </c>
      <c r="K1435" s="28" t="e">
        <f ca="1">[1]!BexGetData("DP_1","003N8EMH8GTFRIVNUPY288VJH","GSON1112080243")</f>
        <v>#NAME?</v>
      </c>
      <c r="L1435" s="28" t="e">
        <f ca="1">[1]!BexGetData("DP_1","003N8EMH8GTFRIVNUPY2891V1","GSON1112080243")</f>
        <v>#NAME?</v>
      </c>
      <c r="M1435" s="28" t="e">
        <f ca="1">[1]!BexGetData("DP_1","003N8EMH8GTFRIVOG7KG9IQXA","GSON1112080243")</f>
        <v>#NAME?</v>
      </c>
      <c r="N1435" s="28" t="e">
        <f ca="1">[1]!BexGetData("DP_1","003N8EMH8GTFRIVOG7KG9IX8U","GSON1112080243")</f>
        <v>#NAME?</v>
      </c>
      <c r="O1435" s="28" t="e">
        <f ca="1">[1]!BexGetData("DP_1","003N8EMH8GTFRIVOG7KG9J3KE","GSON1112080243")</f>
        <v>#NAME?</v>
      </c>
      <c r="P1435" s="28" t="e">
        <f ca="1">[1]!BexGetData("DP_1","003N8EMH8GTFRIVOG7KG9J9VY","GSON1112080243")</f>
        <v>#NAME?</v>
      </c>
      <c r="Q1435" s="24" t="e">
        <f ca="1">[1]!BexGetData("DP_1","00O2TNJGODT0G5Z4TTKYMM5MT","GSON1112080243")</f>
        <v>#NAME?</v>
      </c>
      <c r="R1435" s="28" t="e">
        <f ca="1">[1]!BexGetData("DP_1","00O2TNJGODT0G5Z4TTKYMMBYD","GSON1112080243")</f>
        <v>#NAME?</v>
      </c>
      <c r="S1435" s="28" t="e">
        <f ca="1">[1]!BexGetData("DP_1","00O2TNJGODT0G5Z4TTKYMMI9X","GSON1112080243")</f>
        <v>#NAME?</v>
      </c>
      <c r="T1435" s="28" t="e">
        <f ca="1">[1]!BexGetData("DP_1","00O2TNJGODT0G5Z4TTKYMMOLH","GSON1112080243")</f>
        <v>#NAME?</v>
      </c>
      <c r="U1435" s="28" t="e">
        <f ca="1">[1]!BexGetData("DP_1","00O2TNJGODT0G5Z4TTKYMMUX1","GSON1112080243")</f>
        <v>#NAME?</v>
      </c>
      <c r="V1435" s="28" t="e">
        <f ca="1">[1]!BexGetData("DP_1","00O2TNJGODT0G5Z4TTKYMN18L","GSON1112080243")</f>
        <v>#NAME?</v>
      </c>
      <c r="W1435" s="28" t="e">
        <f ca="1">[1]!BexGetData("DP_1","00O2TNJGODT0G5Z4TTKYMN7K5","GSON1112080243")</f>
        <v>#NAME?</v>
      </c>
    </row>
    <row r="1436" spans="1:23" x14ac:dyDescent="0.2">
      <c r="A1436" s="36" t="s">
        <v>263</v>
      </c>
      <c r="B1436" s="27" t="s">
        <v>264</v>
      </c>
      <c r="C1436" s="28" t="e">
        <f ca="1">[1]!BexGetData("DP_1","003N8EMH8GTFRCSWKMPXRR8GU","GSON1112080250")</f>
        <v>#NAME?</v>
      </c>
      <c r="D1436" s="28" t="e">
        <f ca="1">[1]!BexGetData("DP_1","003N8EMH8GTFRCSWKMPXRRESE","GSON1112080250")</f>
        <v>#NAME?</v>
      </c>
      <c r="E1436" s="28" t="e">
        <f ca="1">[1]!BexGetData("DP_1","003N8EMH8GTFRCSWKMPXRRL3Y","GSON1112080250")</f>
        <v>#NAME?</v>
      </c>
      <c r="F1436" s="28" t="e">
        <f ca="1">[1]!BexGetData("DP_1","003N8EMH8GTFRCSWKMPXRRRFI","GSON1112080250")</f>
        <v>#NAME?</v>
      </c>
      <c r="G1436" s="28" t="e">
        <f ca="1">[1]!BexGetData("DP_1","003N8EMH8GTFRCSWKMPXRRXR2","GSON1112080250")</f>
        <v>#NAME?</v>
      </c>
      <c r="H1436" s="23" t="e">
        <f ca="1">[1]!BexGetData("DP_1","003N8EMH8GTFRCSWKMPXRS42M","GSON1112080250")</f>
        <v>#NAME?</v>
      </c>
      <c r="I1436" s="28" t="e">
        <f ca="1">[1]!BexGetData("DP_1","003N8EMH8GTFRCSWKMPXRSAE6","GSON1112080250")</f>
        <v>#NAME?</v>
      </c>
      <c r="J1436" s="23" t="e">
        <f ca="1">[1]!BexGetData("DP_1","003N8EMH8GTFRCSWKMPXRSGPQ","GSON1112080250")</f>
        <v>#NAME?</v>
      </c>
      <c r="K1436" s="28" t="e">
        <f ca="1">[1]!BexGetData("DP_1","003N8EMH8GTFRIVNUPY288VJH","GSON1112080250")</f>
        <v>#NAME?</v>
      </c>
      <c r="L1436" s="28" t="e">
        <f ca="1">[1]!BexGetData("DP_1","003N8EMH8GTFRIVNUPY2891V1","GSON1112080250")</f>
        <v>#NAME?</v>
      </c>
      <c r="M1436" s="28" t="e">
        <f ca="1">[1]!BexGetData("DP_1","003N8EMH8GTFRIVOG7KG9IQXA","GSON1112080250")</f>
        <v>#NAME?</v>
      </c>
      <c r="N1436" s="28" t="e">
        <f ca="1">[1]!BexGetData("DP_1","003N8EMH8GTFRIVOG7KG9IX8U","GSON1112080250")</f>
        <v>#NAME?</v>
      </c>
      <c r="O1436" s="28" t="e">
        <f ca="1">[1]!BexGetData("DP_1","003N8EMH8GTFRIVOG7KG9J3KE","GSON1112080250")</f>
        <v>#NAME?</v>
      </c>
      <c r="P1436" s="28" t="e">
        <f ca="1">[1]!BexGetData("DP_1","003N8EMH8GTFRIVOG7KG9J9VY","GSON1112080250")</f>
        <v>#NAME?</v>
      </c>
      <c r="Q1436" s="23" t="e">
        <f ca="1">[1]!BexGetData("DP_1","00O2TNJGODT0G5Z4TTKYMM5MT","GSON1112080250")</f>
        <v>#NAME?</v>
      </c>
      <c r="R1436" s="23" t="e">
        <f ca="1">[1]!BexGetData("DP_1","00O2TNJGODT0G5Z4TTKYMMBYD","GSON1112080250")</f>
        <v>#NAME?</v>
      </c>
      <c r="S1436" s="23" t="e">
        <f ca="1">[1]!BexGetData("DP_1","00O2TNJGODT0G5Z4TTKYMMI9X","GSON1112080250")</f>
        <v>#NAME?</v>
      </c>
      <c r="T1436" s="23" t="e">
        <f ca="1">[1]!BexGetData("DP_1","00O2TNJGODT0G5Z4TTKYMMOLH","GSON1112080250")</f>
        <v>#NAME?</v>
      </c>
      <c r="U1436" s="28" t="e">
        <f ca="1">[1]!BexGetData("DP_1","00O2TNJGODT0G5Z4TTKYMMUX1","GSON1112080250")</f>
        <v>#NAME?</v>
      </c>
      <c r="V1436" s="23" t="e">
        <f ca="1">[1]!BexGetData("DP_1","00O2TNJGODT0G5Z4TTKYMN18L","GSON1112080250")</f>
        <v>#NAME?</v>
      </c>
      <c r="W1436" s="28" t="e">
        <f ca="1">[1]!BexGetData("DP_1","00O2TNJGODT0G5Z4TTKYMN7K5","GSON1112080250")</f>
        <v>#NAME?</v>
      </c>
    </row>
    <row r="1437" spans="1:23" x14ac:dyDescent="0.2">
      <c r="A1437" s="36" t="s">
        <v>265</v>
      </c>
      <c r="B1437" s="27" t="s">
        <v>266</v>
      </c>
      <c r="C1437" s="28" t="e">
        <f ca="1">[1]!BexGetData("DP_1","003N8EMH8GTFRCSWKMPXRR8GU","GSON1112080251")</f>
        <v>#NAME?</v>
      </c>
      <c r="D1437" s="28" t="e">
        <f ca="1">[1]!BexGetData("DP_1","003N8EMH8GTFRCSWKMPXRRESE","GSON1112080251")</f>
        <v>#NAME?</v>
      </c>
      <c r="E1437" s="28" t="e">
        <f ca="1">[1]!BexGetData("DP_1","003N8EMH8GTFRCSWKMPXRRL3Y","GSON1112080251")</f>
        <v>#NAME?</v>
      </c>
      <c r="F1437" s="28" t="e">
        <f ca="1">[1]!BexGetData("DP_1","003N8EMH8GTFRCSWKMPXRRRFI","GSON1112080251")</f>
        <v>#NAME?</v>
      </c>
      <c r="G1437" s="23" t="e">
        <f ca="1">[1]!BexGetData("DP_1","003N8EMH8GTFRCSWKMPXRRXR2","GSON1112080251")</f>
        <v>#NAME?</v>
      </c>
      <c r="H1437" s="23" t="e">
        <f ca="1">[1]!BexGetData("DP_1","003N8EMH8GTFRCSWKMPXRS42M","GSON1112080251")</f>
        <v>#NAME?</v>
      </c>
      <c r="I1437" s="28" t="e">
        <f ca="1">[1]!BexGetData("DP_1","003N8EMH8GTFRCSWKMPXRSAE6","GSON1112080251")</f>
        <v>#NAME?</v>
      </c>
      <c r="J1437" s="23" t="e">
        <f ca="1">[1]!BexGetData("DP_1","003N8EMH8GTFRCSWKMPXRSGPQ","GSON1112080251")</f>
        <v>#NAME?</v>
      </c>
      <c r="K1437" s="28" t="e">
        <f ca="1">[1]!BexGetData("DP_1","003N8EMH8GTFRIVNUPY288VJH","GSON1112080251")</f>
        <v>#NAME?</v>
      </c>
      <c r="L1437" s="28" t="e">
        <f ca="1">[1]!BexGetData("DP_1","003N8EMH8GTFRIVNUPY2891V1","GSON1112080251")</f>
        <v>#NAME?</v>
      </c>
      <c r="M1437" s="28" t="e">
        <f ca="1">[1]!BexGetData("DP_1","003N8EMH8GTFRIVOG7KG9IQXA","GSON1112080251")</f>
        <v>#NAME?</v>
      </c>
      <c r="N1437" s="28" t="e">
        <f ca="1">[1]!BexGetData("DP_1","003N8EMH8GTFRIVOG7KG9IX8U","GSON1112080251")</f>
        <v>#NAME?</v>
      </c>
      <c r="O1437" s="28" t="e">
        <f ca="1">[1]!BexGetData("DP_1","003N8EMH8GTFRIVOG7KG9J3KE","GSON1112080251")</f>
        <v>#NAME?</v>
      </c>
      <c r="P1437" s="28" t="e">
        <f ca="1">[1]!BexGetData("DP_1","003N8EMH8GTFRIVOG7KG9J9VY","GSON1112080251")</f>
        <v>#NAME?</v>
      </c>
      <c r="Q1437" s="23" t="e">
        <f ca="1">[1]!BexGetData("DP_1","00O2TNJGODT0G5Z4TTKYMM5MT","GSON1112080251")</f>
        <v>#NAME?</v>
      </c>
      <c r="R1437" s="23" t="e">
        <f ca="1">[1]!BexGetData("DP_1","00O2TNJGODT0G5Z4TTKYMMBYD","GSON1112080251")</f>
        <v>#NAME?</v>
      </c>
      <c r="S1437" s="23" t="e">
        <f ca="1">[1]!BexGetData("DP_1","00O2TNJGODT0G5Z4TTKYMMI9X","GSON1112080251")</f>
        <v>#NAME?</v>
      </c>
      <c r="T1437" s="23" t="e">
        <f ca="1">[1]!BexGetData("DP_1","00O2TNJGODT0G5Z4TTKYMMOLH","GSON1112080251")</f>
        <v>#NAME?</v>
      </c>
      <c r="U1437" s="28" t="e">
        <f ca="1">[1]!BexGetData("DP_1","00O2TNJGODT0G5Z4TTKYMMUX1","GSON1112080251")</f>
        <v>#NAME?</v>
      </c>
      <c r="V1437" s="23" t="e">
        <f ca="1">[1]!BexGetData("DP_1","00O2TNJGODT0G5Z4TTKYMN18L","GSON1112080251")</f>
        <v>#NAME?</v>
      </c>
      <c r="W1437" s="28" t="e">
        <f ca="1">[1]!BexGetData("DP_1","00O2TNJGODT0G5Z4TTKYMN7K5","GSON1112080251")</f>
        <v>#NAME?</v>
      </c>
    </row>
    <row r="1438" spans="1:23" x14ac:dyDescent="0.2">
      <c r="A1438" s="36" t="s">
        <v>267</v>
      </c>
      <c r="B1438" s="27" t="s">
        <v>268</v>
      </c>
      <c r="C1438" s="28" t="e">
        <f ca="1">[1]!BexGetData("DP_1","003N8EMH8GTFRCSWKMPXRR8GU","GSON1112080253")</f>
        <v>#NAME?</v>
      </c>
      <c r="D1438" s="28" t="e">
        <f ca="1">[1]!BexGetData("DP_1","003N8EMH8GTFRCSWKMPXRRESE","GSON1112080253")</f>
        <v>#NAME?</v>
      </c>
      <c r="E1438" s="28" t="e">
        <f ca="1">[1]!BexGetData("DP_1","003N8EMH8GTFRCSWKMPXRRL3Y","GSON1112080253")</f>
        <v>#NAME?</v>
      </c>
      <c r="F1438" s="28" t="e">
        <f ca="1">[1]!BexGetData("DP_1","003N8EMH8GTFRCSWKMPXRRRFI","GSON1112080253")</f>
        <v>#NAME?</v>
      </c>
      <c r="G1438" s="23" t="e">
        <f ca="1">[1]!BexGetData("DP_1","003N8EMH8GTFRCSWKMPXRRXR2","GSON1112080253")</f>
        <v>#NAME?</v>
      </c>
      <c r="H1438" s="23" t="e">
        <f ca="1">[1]!BexGetData("DP_1","003N8EMH8GTFRCSWKMPXRS42M","GSON1112080253")</f>
        <v>#NAME?</v>
      </c>
      <c r="I1438" s="28" t="e">
        <f ca="1">[1]!BexGetData("DP_1","003N8EMH8GTFRCSWKMPXRSAE6","GSON1112080253")</f>
        <v>#NAME?</v>
      </c>
      <c r="J1438" s="24" t="e">
        <f ca="1">[1]!BexGetData("DP_1","003N8EMH8GTFRCSWKMPXRSGPQ","GSON1112080253")</f>
        <v>#NAME?</v>
      </c>
      <c r="K1438" s="28" t="e">
        <f ca="1">[1]!BexGetData("DP_1","003N8EMH8GTFRIVNUPY288VJH","GSON1112080253")</f>
        <v>#NAME?</v>
      </c>
      <c r="L1438" s="28" t="e">
        <f ca="1">[1]!BexGetData("DP_1","003N8EMH8GTFRIVNUPY2891V1","GSON1112080253")</f>
        <v>#NAME?</v>
      </c>
      <c r="M1438" s="28" t="e">
        <f ca="1">[1]!BexGetData("DP_1","003N8EMH8GTFRIVOG7KG9IQXA","GSON1112080253")</f>
        <v>#NAME?</v>
      </c>
      <c r="N1438" s="28" t="e">
        <f ca="1">[1]!BexGetData("DP_1","003N8EMH8GTFRIVOG7KG9IX8U","GSON1112080253")</f>
        <v>#NAME?</v>
      </c>
      <c r="O1438" s="28" t="e">
        <f ca="1">[1]!BexGetData("DP_1","003N8EMH8GTFRIVOG7KG9J3KE","GSON1112080253")</f>
        <v>#NAME?</v>
      </c>
      <c r="P1438" s="28" t="e">
        <f ca="1">[1]!BexGetData("DP_1","003N8EMH8GTFRIVOG7KG9J9VY","GSON1112080253")</f>
        <v>#NAME?</v>
      </c>
      <c r="Q1438" s="24" t="e">
        <f ca="1">[1]!BexGetData("DP_1","00O2TNJGODT0G5Z4TTKYMM5MT","GSON1112080253")</f>
        <v>#NAME?</v>
      </c>
      <c r="R1438" s="28" t="e">
        <f ca="1">[1]!BexGetData("DP_1","00O2TNJGODT0G5Z4TTKYMMBYD","GSON1112080253")</f>
        <v>#NAME?</v>
      </c>
      <c r="S1438" s="28" t="e">
        <f ca="1">[1]!BexGetData("DP_1","00O2TNJGODT0G5Z4TTKYMMI9X","GSON1112080253")</f>
        <v>#NAME?</v>
      </c>
      <c r="T1438" s="28" t="e">
        <f ca="1">[1]!BexGetData("DP_1","00O2TNJGODT0G5Z4TTKYMMOLH","GSON1112080253")</f>
        <v>#NAME?</v>
      </c>
      <c r="U1438" s="28" t="e">
        <f ca="1">[1]!BexGetData("DP_1","00O2TNJGODT0G5Z4TTKYMMUX1","GSON1112080253")</f>
        <v>#NAME?</v>
      </c>
      <c r="V1438" s="28" t="e">
        <f ca="1">[1]!BexGetData("DP_1","00O2TNJGODT0G5Z4TTKYMN18L","GSON1112080253")</f>
        <v>#NAME?</v>
      </c>
      <c r="W1438" s="28" t="e">
        <f ca="1">[1]!BexGetData("DP_1","00O2TNJGODT0G5Z4TTKYMN7K5","GSON1112080253")</f>
        <v>#NAME?</v>
      </c>
    </row>
    <row r="1439" spans="1:23" x14ac:dyDescent="0.2">
      <c r="A1439" s="36" t="s">
        <v>269</v>
      </c>
      <c r="B1439" s="27" t="s">
        <v>270</v>
      </c>
      <c r="C1439" s="23" t="e">
        <f ca="1">[1]!BexGetData("DP_1","003N8EMH8GTFRCSWKMPXRR8GU","GSON1112080260")</f>
        <v>#NAME?</v>
      </c>
      <c r="D1439" s="23" t="e">
        <f ca="1">[1]!BexGetData("DP_1","003N8EMH8GTFRCSWKMPXRRESE","GSON1112080260")</f>
        <v>#NAME?</v>
      </c>
      <c r="E1439" s="28" t="e">
        <f ca="1">[1]!BexGetData("DP_1","003N8EMH8GTFRCSWKMPXRRL3Y","GSON1112080260")</f>
        <v>#NAME?</v>
      </c>
      <c r="F1439" s="23" t="e">
        <f ca="1">[1]!BexGetData("DP_1","003N8EMH8GTFRCSWKMPXRRRFI","GSON1112080260")</f>
        <v>#NAME?</v>
      </c>
      <c r="G1439" s="28" t="e">
        <f ca="1">[1]!BexGetData("DP_1","003N8EMH8GTFRCSWKMPXRRXR2","GSON1112080260")</f>
        <v>#NAME?</v>
      </c>
      <c r="H1439" s="23" t="e">
        <f ca="1">[1]!BexGetData("DP_1","003N8EMH8GTFRCSWKMPXRS42M","GSON1112080260")</f>
        <v>#NAME?</v>
      </c>
      <c r="I1439" s="23" t="e">
        <f ca="1">[1]!BexGetData("DP_1","003N8EMH8GTFRCSWKMPXRSAE6","GSON1112080260")</f>
        <v>#NAME?</v>
      </c>
      <c r="J1439" s="23" t="e">
        <f ca="1">[1]!BexGetData("DP_1","003N8EMH8GTFRCSWKMPXRSGPQ","GSON1112080260")</f>
        <v>#NAME?</v>
      </c>
      <c r="K1439" s="23" t="e">
        <f ca="1">[1]!BexGetData("DP_1","003N8EMH8GTFRIVNUPY288VJH","GSON1112080260")</f>
        <v>#NAME?</v>
      </c>
      <c r="L1439" s="23" t="e">
        <f ca="1">[1]!BexGetData("DP_1","003N8EMH8GTFRIVNUPY2891V1","GSON1112080260")</f>
        <v>#NAME?</v>
      </c>
      <c r="M1439" s="23" t="e">
        <f ca="1">[1]!BexGetData("DP_1","003N8EMH8GTFRIVOG7KG9IQXA","GSON1112080260")</f>
        <v>#NAME?</v>
      </c>
      <c r="N1439" s="28" t="e">
        <f ca="1">[1]!BexGetData("DP_1","003N8EMH8GTFRIVOG7KG9IX8U","GSON1112080260")</f>
        <v>#NAME?</v>
      </c>
      <c r="O1439" s="23" t="e">
        <f ca="1">[1]!BexGetData("DP_1","003N8EMH8GTFRIVOG7KG9J3KE","GSON1112080260")</f>
        <v>#NAME?</v>
      </c>
      <c r="P1439" s="28" t="e">
        <f ca="1">[1]!BexGetData("DP_1","003N8EMH8GTFRIVOG7KG9J9VY","GSON1112080260")</f>
        <v>#NAME?</v>
      </c>
      <c r="Q1439" s="23" t="e">
        <f ca="1">[1]!BexGetData("DP_1","00O2TNJGODT0G5Z4TTKYMM5MT","GSON1112080260")</f>
        <v>#NAME?</v>
      </c>
      <c r="R1439" s="23" t="e">
        <f ca="1">[1]!BexGetData("DP_1","00O2TNJGODT0G5Z4TTKYMMBYD","GSON1112080260")</f>
        <v>#NAME?</v>
      </c>
      <c r="S1439" s="23" t="e">
        <f ca="1">[1]!BexGetData("DP_1","00O2TNJGODT0G5Z4TTKYMMI9X","GSON1112080260")</f>
        <v>#NAME?</v>
      </c>
      <c r="T1439" s="23" t="e">
        <f ca="1">[1]!BexGetData("DP_1","00O2TNJGODT0G5Z4TTKYMMOLH","GSON1112080260")</f>
        <v>#NAME?</v>
      </c>
      <c r="U1439" s="28" t="e">
        <f ca="1">[1]!BexGetData("DP_1","00O2TNJGODT0G5Z4TTKYMMUX1","GSON1112080260")</f>
        <v>#NAME?</v>
      </c>
      <c r="V1439" s="23" t="e">
        <f ca="1">[1]!BexGetData("DP_1","00O2TNJGODT0G5Z4TTKYMN18L","GSON1112080260")</f>
        <v>#NAME?</v>
      </c>
      <c r="W1439" s="28" t="e">
        <f ca="1">[1]!BexGetData("DP_1","00O2TNJGODT0G5Z4TTKYMN7K5","GSON1112080260")</f>
        <v>#NAME?</v>
      </c>
    </row>
    <row r="1440" spans="1:23" x14ac:dyDescent="0.2">
      <c r="A1440" s="36" t="s">
        <v>271</v>
      </c>
      <c r="B1440" s="27" t="s">
        <v>272</v>
      </c>
      <c r="C1440" s="28" t="e">
        <f ca="1">[1]!BexGetData("DP_1","003N8EMH8GTFRCSWKMPXRR8GU","GSON1112080261")</f>
        <v>#NAME?</v>
      </c>
      <c r="D1440" s="28" t="e">
        <f ca="1">[1]!BexGetData("DP_1","003N8EMH8GTFRCSWKMPXRRESE","GSON1112080261")</f>
        <v>#NAME?</v>
      </c>
      <c r="E1440" s="28" t="e">
        <f ca="1">[1]!BexGetData("DP_1","003N8EMH8GTFRCSWKMPXRRL3Y","GSON1112080261")</f>
        <v>#NAME?</v>
      </c>
      <c r="F1440" s="28" t="e">
        <f ca="1">[1]!BexGetData("DP_1","003N8EMH8GTFRCSWKMPXRRRFI","GSON1112080261")</f>
        <v>#NAME?</v>
      </c>
      <c r="G1440" s="23" t="e">
        <f ca="1">[1]!BexGetData("DP_1","003N8EMH8GTFRCSWKMPXRRXR2","GSON1112080261")</f>
        <v>#NAME?</v>
      </c>
      <c r="H1440" s="23" t="e">
        <f ca="1">[1]!BexGetData("DP_1","003N8EMH8GTFRCSWKMPXRS42M","GSON1112080261")</f>
        <v>#NAME?</v>
      </c>
      <c r="I1440" s="28" t="e">
        <f ca="1">[1]!BexGetData("DP_1","003N8EMH8GTFRCSWKMPXRSAE6","GSON1112080261")</f>
        <v>#NAME?</v>
      </c>
      <c r="J1440" s="23" t="e">
        <f ca="1">[1]!BexGetData("DP_1","003N8EMH8GTFRCSWKMPXRSGPQ","GSON1112080261")</f>
        <v>#NAME?</v>
      </c>
      <c r="K1440" s="28" t="e">
        <f ca="1">[1]!BexGetData("DP_1","003N8EMH8GTFRIVNUPY288VJH","GSON1112080261")</f>
        <v>#NAME?</v>
      </c>
      <c r="L1440" s="28" t="e">
        <f ca="1">[1]!BexGetData("DP_1","003N8EMH8GTFRIVNUPY2891V1","GSON1112080261")</f>
        <v>#NAME?</v>
      </c>
      <c r="M1440" s="28" t="e">
        <f ca="1">[1]!BexGetData("DP_1","003N8EMH8GTFRIVOG7KG9IQXA","GSON1112080261")</f>
        <v>#NAME?</v>
      </c>
      <c r="N1440" s="28" t="e">
        <f ca="1">[1]!BexGetData("DP_1","003N8EMH8GTFRIVOG7KG9IX8U","GSON1112080261")</f>
        <v>#NAME?</v>
      </c>
      <c r="O1440" s="28" t="e">
        <f ca="1">[1]!BexGetData("DP_1","003N8EMH8GTFRIVOG7KG9J3KE","GSON1112080261")</f>
        <v>#NAME?</v>
      </c>
      <c r="P1440" s="28" t="e">
        <f ca="1">[1]!BexGetData("DP_1","003N8EMH8GTFRIVOG7KG9J9VY","GSON1112080261")</f>
        <v>#NAME?</v>
      </c>
      <c r="Q1440" s="23" t="e">
        <f ca="1">[1]!BexGetData("DP_1","00O2TNJGODT0G5Z4TTKYMM5MT","GSON1112080261")</f>
        <v>#NAME?</v>
      </c>
      <c r="R1440" s="23" t="e">
        <f ca="1">[1]!BexGetData("DP_1","00O2TNJGODT0G5Z4TTKYMMBYD","GSON1112080261")</f>
        <v>#NAME?</v>
      </c>
      <c r="S1440" s="23" t="e">
        <f ca="1">[1]!BexGetData("DP_1","00O2TNJGODT0G5Z4TTKYMMI9X","GSON1112080261")</f>
        <v>#NAME?</v>
      </c>
      <c r="T1440" s="23" t="e">
        <f ca="1">[1]!BexGetData("DP_1","00O2TNJGODT0G5Z4TTKYMMOLH","GSON1112080261")</f>
        <v>#NAME?</v>
      </c>
      <c r="U1440" s="28" t="e">
        <f ca="1">[1]!BexGetData("DP_1","00O2TNJGODT0G5Z4TTKYMMUX1","GSON1112080261")</f>
        <v>#NAME?</v>
      </c>
      <c r="V1440" s="23" t="e">
        <f ca="1">[1]!BexGetData("DP_1","00O2TNJGODT0G5Z4TTKYMN18L","GSON1112080261")</f>
        <v>#NAME?</v>
      </c>
      <c r="W1440" s="28" t="e">
        <f ca="1">[1]!BexGetData("DP_1","00O2TNJGODT0G5Z4TTKYMN7K5","GSON1112080261")</f>
        <v>#NAME?</v>
      </c>
    </row>
    <row r="1441" spans="1:23" x14ac:dyDescent="0.2">
      <c r="A1441" s="36" t="s">
        <v>273</v>
      </c>
      <c r="B1441" s="27" t="s">
        <v>274</v>
      </c>
      <c r="C1441" s="23" t="e">
        <f ca="1">[1]!BexGetData("DP_1","003N8EMH8GTFRCSWKMPXRR8GU","GSON1112080263")</f>
        <v>#NAME?</v>
      </c>
      <c r="D1441" s="23" t="e">
        <f ca="1">[1]!BexGetData("DP_1","003N8EMH8GTFRCSWKMPXRRESE","GSON1112080263")</f>
        <v>#NAME?</v>
      </c>
      <c r="E1441" s="28" t="e">
        <f ca="1">[1]!BexGetData("DP_1","003N8EMH8GTFRCSWKMPXRRL3Y","GSON1112080263")</f>
        <v>#NAME?</v>
      </c>
      <c r="F1441" s="23" t="e">
        <f ca="1">[1]!BexGetData("DP_1","003N8EMH8GTFRCSWKMPXRRRFI","GSON1112080263")</f>
        <v>#NAME?</v>
      </c>
      <c r="G1441" s="23" t="e">
        <f ca="1">[1]!BexGetData("DP_1","003N8EMH8GTFRCSWKMPXRRXR2","GSON1112080263")</f>
        <v>#NAME?</v>
      </c>
      <c r="H1441" s="23" t="e">
        <f ca="1">[1]!BexGetData("DP_1","003N8EMH8GTFRCSWKMPXRS42M","GSON1112080263")</f>
        <v>#NAME?</v>
      </c>
      <c r="I1441" s="23" t="e">
        <f ca="1">[1]!BexGetData("DP_1","003N8EMH8GTFRCSWKMPXRSAE6","GSON1112080263")</f>
        <v>#NAME?</v>
      </c>
      <c r="J1441" s="24" t="e">
        <f ca="1">[1]!BexGetData("DP_1","003N8EMH8GTFRCSWKMPXRSGPQ","GSON1112080263")</f>
        <v>#NAME?</v>
      </c>
      <c r="K1441" s="23" t="e">
        <f ca="1">[1]!BexGetData("DP_1","003N8EMH8GTFRIVNUPY288VJH","GSON1112080263")</f>
        <v>#NAME?</v>
      </c>
      <c r="L1441" s="23" t="e">
        <f ca="1">[1]!BexGetData("DP_1","003N8EMH8GTFRIVNUPY2891V1","GSON1112080263")</f>
        <v>#NAME?</v>
      </c>
      <c r="M1441" s="28" t="e">
        <f ca="1">[1]!BexGetData("DP_1","003N8EMH8GTFRIVOG7KG9IQXA","GSON1112080263")</f>
        <v>#NAME?</v>
      </c>
      <c r="N1441" s="23" t="e">
        <f ca="1">[1]!BexGetData("DP_1","003N8EMH8GTFRIVOG7KG9IX8U","GSON1112080263")</f>
        <v>#NAME?</v>
      </c>
      <c r="O1441" s="28" t="e">
        <f ca="1">[1]!BexGetData("DP_1","003N8EMH8GTFRIVOG7KG9J3KE","GSON1112080263")</f>
        <v>#NAME?</v>
      </c>
      <c r="P1441" s="23" t="e">
        <f ca="1">[1]!BexGetData("DP_1","003N8EMH8GTFRIVOG7KG9J9VY","GSON1112080263")</f>
        <v>#NAME?</v>
      </c>
      <c r="Q1441" s="24" t="e">
        <f ca="1">[1]!BexGetData("DP_1","00O2TNJGODT0G5Z4TTKYMM5MT","GSON1112080263")</f>
        <v>#NAME?</v>
      </c>
      <c r="R1441" s="23" t="e">
        <f ca="1">[1]!BexGetData("DP_1","00O2TNJGODT0G5Z4TTKYMMBYD","GSON1112080263")</f>
        <v>#NAME?</v>
      </c>
      <c r="S1441" s="23" t="e">
        <f ca="1">[1]!BexGetData("DP_1","00O2TNJGODT0G5Z4TTKYMMI9X","GSON1112080263")</f>
        <v>#NAME?</v>
      </c>
      <c r="T1441" s="23" t="e">
        <f ca="1">[1]!BexGetData("DP_1","00O2TNJGODT0G5Z4TTKYMMOLH","GSON1112080263")</f>
        <v>#NAME?</v>
      </c>
      <c r="U1441" s="28" t="e">
        <f ca="1">[1]!BexGetData("DP_1","00O2TNJGODT0G5Z4TTKYMMUX1","GSON1112080263")</f>
        <v>#NAME?</v>
      </c>
      <c r="V1441" s="23" t="e">
        <f ca="1">[1]!BexGetData("DP_1","00O2TNJGODT0G5Z4TTKYMN18L","GSON1112080263")</f>
        <v>#NAME?</v>
      </c>
      <c r="W1441" s="28" t="e">
        <f ca="1">[1]!BexGetData("DP_1","00O2TNJGODT0G5Z4TTKYMN7K5","GSON1112080263")</f>
        <v>#NAME?</v>
      </c>
    </row>
    <row r="1442" spans="1:23" x14ac:dyDescent="0.2">
      <c r="A1442" s="36" t="s">
        <v>275</v>
      </c>
      <c r="B1442" s="27" t="s">
        <v>276</v>
      </c>
      <c r="C1442" s="28" t="e">
        <f ca="1">[1]!BexGetData("DP_1","003N8EMH8GTFRCSWKMPXRR8GU","GSON1112080270")</f>
        <v>#NAME?</v>
      </c>
      <c r="D1442" s="28" t="e">
        <f ca="1">[1]!BexGetData("DP_1","003N8EMH8GTFRCSWKMPXRRESE","GSON1112080270")</f>
        <v>#NAME?</v>
      </c>
      <c r="E1442" s="28" t="e">
        <f ca="1">[1]!BexGetData("DP_1","003N8EMH8GTFRCSWKMPXRRL3Y","GSON1112080270")</f>
        <v>#NAME?</v>
      </c>
      <c r="F1442" s="28" t="e">
        <f ca="1">[1]!BexGetData("DP_1","003N8EMH8GTFRCSWKMPXRRRFI","GSON1112080270")</f>
        <v>#NAME?</v>
      </c>
      <c r="G1442" s="28" t="e">
        <f ca="1">[1]!BexGetData("DP_1","003N8EMH8GTFRCSWKMPXRRXR2","GSON1112080270")</f>
        <v>#NAME?</v>
      </c>
      <c r="H1442" s="23" t="e">
        <f ca="1">[1]!BexGetData("DP_1","003N8EMH8GTFRCSWKMPXRS42M","GSON1112080270")</f>
        <v>#NAME?</v>
      </c>
      <c r="I1442" s="28" t="e">
        <f ca="1">[1]!BexGetData("DP_1","003N8EMH8GTFRCSWKMPXRSAE6","GSON1112080270")</f>
        <v>#NAME?</v>
      </c>
      <c r="J1442" s="23" t="e">
        <f ca="1">[1]!BexGetData("DP_1","003N8EMH8GTFRCSWKMPXRSGPQ","GSON1112080270")</f>
        <v>#NAME?</v>
      </c>
      <c r="K1442" s="28" t="e">
        <f ca="1">[1]!BexGetData("DP_1","003N8EMH8GTFRIVNUPY288VJH","GSON1112080270")</f>
        <v>#NAME?</v>
      </c>
      <c r="L1442" s="28" t="e">
        <f ca="1">[1]!BexGetData("DP_1","003N8EMH8GTFRIVNUPY2891V1","GSON1112080270")</f>
        <v>#NAME?</v>
      </c>
      <c r="M1442" s="28" t="e">
        <f ca="1">[1]!BexGetData("DP_1","003N8EMH8GTFRIVOG7KG9IQXA","GSON1112080270")</f>
        <v>#NAME?</v>
      </c>
      <c r="N1442" s="28" t="e">
        <f ca="1">[1]!BexGetData("DP_1","003N8EMH8GTFRIVOG7KG9IX8U","GSON1112080270")</f>
        <v>#NAME?</v>
      </c>
      <c r="O1442" s="28" t="e">
        <f ca="1">[1]!BexGetData("DP_1","003N8EMH8GTFRIVOG7KG9J3KE","GSON1112080270")</f>
        <v>#NAME?</v>
      </c>
      <c r="P1442" s="28" t="e">
        <f ca="1">[1]!BexGetData("DP_1","003N8EMH8GTFRIVOG7KG9J9VY","GSON1112080270")</f>
        <v>#NAME?</v>
      </c>
      <c r="Q1442" s="23" t="e">
        <f ca="1">[1]!BexGetData("DP_1","00O2TNJGODT0G5Z4TTKYMM5MT","GSON1112080270")</f>
        <v>#NAME?</v>
      </c>
      <c r="R1442" s="23" t="e">
        <f ca="1">[1]!BexGetData("DP_1","00O2TNJGODT0G5Z4TTKYMMBYD","GSON1112080270")</f>
        <v>#NAME?</v>
      </c>
      <c r="S1442" s="23" t="e">
        <f ca="1">[1]!BexGetData("DP_1","00O2TNJGODT0G5Z4TTKYMMI9X","GSON1112080270")</f>
        <v>#NAME?</v>
      </c>
      <c r="T1442" s="23" t="e">
        <f ca="1">[1]!BexGetData("DP_1","00O2TNJGODT0G5Z4TTKYMMOLH","GSON1112080270")</f>
        <v>#NAME?</v>
      </c>
      <c r="U1442" s="28" t="e">
        <f ca="1">[1]!BexGetData("DP_1","00O2TNJGODT0G5Z4TTKYMMUX1","GSON1112080270")</f>
        <v>#NAME?</v>
      </c>
      <c r="V1442" s="23" t="e">
        <f ca="1">[1]!BexGetData("DP_1","00O2TNJGODT0G5Z4TTKYMN18L","GSON1112080270")</f>
        <v>#NAME?</v>
      </c>
      <c r="W1442" s="28" t="e">
        <f ca="1">[1]!BexGetData("DP_1","00O2TNJGODT0G5Z4TTKYMN7K5","GSON1112080270")</f>
        <v>#NAME?</v>
      </c>
    </row>
    <row r="1443" spans="1:23" x14ac:dyDescent="0.2">
      <c r="A1443" s="36" t="s">
        <v>277</v>
      </c>
      <c r="B1443" s="27" t="s">
        <v>278</v>
      </c>
      <c r="C1443" s="28" t="e">
        <f ca="1">[1]!BexGetData("DP_1","003N8EMH8GTFRCSWKMPXRR8GU","GSON1112080273")</f>
        <v>#NAME?</v>
      </c>
      <c r="D1443" s="28" t="e">
        <f ca="1">[1]!BexGetData("DP_1","003N8EMH8GTFRCSWKMPXRRESE","GSON1112080273")</f>
        <v>#NAME?</v>
      </c>
      <c r="E1443" s="28" t="e">
        <f ca="1">[1]!BexGetData("DP_1","003N8EMH8GTFRCSWKMPXRRL3Y","GSON1112080273")</f>
        <v>#NAME?</v>
      </c>
      <c r="F1443" s="28" t="e">
        <f ca="1">[1]!BexGetData("DP_1","003N8EMH8GTFRCSWKMPXRRRFI","GSON1112080273")</f>
        <v>#NAME?</v>
      </c>
      <c r="G1443" s="23" t="e">
        <f ca="1">[1]!BexGetData("DP_1","003N8EMH8GTFRCSWKMPXRRXR2","GSON1112080273")</f>
        <v>#NAME?</v>
      </c>
      <c r="H1443" s="23" t="e">
        <f ca="1">[1]!BexGetData("DP_1","003N8EMH8GTFRCSWKMPXRS42M","GSON1112080273")</f>
        <v>#NAME?</v>
      </c>
      <c r="I1443" s="28" t="e">
        <f ca="1">[1]!BexGetData("DP_1","003N8EMH8GTFRCSWKMPXRSAE6","GSON1112080273")</f>
        <v>#NAME?</v>
      </c>
      <c r="J1443" s="24" t="e">
        <f ca="1">[1]!BexGetData("DP_1","003N8EMH8GTFRCSWKMPXRSGPQ","GSON1112080273")</f>
        <v>#NAME?</v>
      </c>
      <c r="K1443" s="28" t="e">
        <f ca="1">[1]!BexGetData("DP_1","003N8EMH8GTFRIVNUPY288VJH","GSON1112080273")</f>
        <v>#NAME?</v>
      </c>
      <c r="L1443" s="28" t="e">
        <f ca="1">[1]!BexGetData("DP_1","003N8EMH8GTFRIVNUPY2891V1","GSON1112080273")</f>
        <v>#NAME?</v>
      </c>
      <c r="M1443" s="28" t="e">
        <f ca="1">[1]!BexGetData("DP_1","003N8EMH8GTFRIVOG7KG9IQXA","GSON1112080273")</f>
        <v>#NAME?</v>
      </c>
      <c r="N1443" s="28" t="e">
        <f ca="1">[1]!BexGetData("DP_1","003N8EMH8GTFRIVOG7KG9IX8U","GSON1112080273")</f>
        <v>#NAME?</v>
      </c>
      <c r="O1443" s="28" t="e">
        <f ca="1">[1]!BexGetData("DP_1","003N8EMH8GTFRIVOG7KG9J3KE","GSON1112080273")</f>
        <v>#NAME?</v>
      </c>
      <c r="P1443" s="28" t="e">
        <f ca="1">[1]!BexGetData("DP_1","003N8EMH8GTFRIVOG7KG9J9VY","GSON1112080273")</f>
        <v>#NAME?</v>
      </c>
      <c r="Q1443" s="24" t="e">
        <f ca="1">[1]!BexGetData("DP_1","00O2TNJGODT0G5Z4TTKYMM5MT","GSON1112080273")</f>
        <v>#NAME?</v>
      </c>
      <c r="R1443" s="28" t="e">
        <f ca="1">[1]!BexGetData("DP_1","00O2TNJGODT0G5Z4TTKYMMBYD","GSON1112080273")</f>
        <v>#NAME?</v>
      </c>
      <c r="S1443" s="28" t="e">
        <f ca="1">[1]!BexGetData("DP_1","00O2TNJGODT0G5Z4TTKYMMI9X","GSON1112080273")</f>
        <v>#NAME?</v>
      </c>
      <c r="T1443" s="28" t="e">
        <f ca="1">[1]!BexGetData("DP_1","00O2TNJGODT0G5Z4TTKYMMOLH","GSON1112080273")</f>
        <v>#NAME?</v>
      </c>
      <c r="U1443" s="28" t="e">
        <f ca="1">[1]!BexGetData("DP_1","00O2TNJGODT0G5Z4TTKYMMUX1","GSON1112080273")</f>
        <v>#NAME?</v>
      </c>
      <c r="V1443" s="28" t="e">
        <f ca="1">[1]!BexGetData("DP_1","00O2TNJGODT0G5Z4TTKYMN18L","GSON1112080273")</f>
        <v>#NAME?</v>
      </c>
      <c r="W1443" s="28" t="e">
        <f ca="1">[1]!BexGetData("DP_1","00O2TNJGODT0G5Z4TTKYMN7K5","GSON1112080273")</f>
        <v>#NAME?</v>
      </c>
    </row>
    <row r="1444" spans="1:23" x14ac:dyDescent="0.2">
      <c r="A1444" s="36" t="s">
        <v>279</v>
      </c>
      <c r="B1444" s="27" t="s">
        <v>280</v>
      </c>
      <c r="C1444" s="28" t="e">
        <f ca="1">[1]!BexGetData("DP_1","003N8EMH8GTFRCSWKMPXRR8GU","GSON1112080280")</f>
        <v>#NAME?</v>
      </c>
      <c r="D1444" s="28" t="e">
        <f ca="1">[1]!BexGetData("DP_1","003N8EMH8GTFRCSWKMPXRRESE","GSON1112080280")</f>
        <v>#NAME?</v>
      </c>
      <c r="E1444" s="28" t="e">
        <f ca="1">[1]!BexGetData("DP_1","003N8EMH8GTFRCSWKMPXRRL3Y","GSON1112080280")</f>
        <v>#NAME?</v>
      </c>
      <c r="F1444" s="28" t="e">
        <f ca="1">[1]!BexGetData("DP_1","003N8EMH8GTFRCSWKMPXRRRFI","GSON1112080280")</f>
        <v>#NAME?</v>
      </c>
      <c r="G1444" s="28" t="e">
        <f ca="1">[1]!BexGetData("DP_1","003N8EMH8GTFRCSWKMPXRRXR2","GSON1112080280")</f>
        <v>#NAME?</v>
      </c>
      <c r="H1444" s="23" t="e">
        <f ca="1">[1]!BexGetData("DP_1","003N8EMH8GTFRCSWKMPXRS42M","GSON1112080280")</f>
        <v>#NAME?</v>
      </c>
      <c r="I1444" s="28" t="e">
        <f ca="1">[1]!BexGetData("DP_1","003N8EMH8GTFRCSWKMPXRSAE6","GSON1112080280")</f>
        <v>#NAME?</v>
      </c>
      <c r="J1444" s="23" t="e">
        <f ca="1">[1]!BexGetData("DP_1","003N8EMH8GTFRCSWKMPXRSGPQ","GSON1112080280")</f>
        <v>#NAME?</v>
      </c>
      <c r="K1444" s="28" t="e">
        <f ca="1">[1]!BexGetData("DP_1","003N8EMH8GTFRIVNUPY288VJH","GSON1112080280")</f>
        <v>#NAME?</v>
      </c>
      <c r="L1444" s="28" t="e">
        <f ca="1">[1]!BexGetData("DP_1","003N8EMH8GTFRIVNUPY2891V1","GSON1112080280")</f>
        <v>#NAME?</v>
      </c>
      <c r="M1444" s="28" t="e">
        <f ca="1">[1]!BexGetData("DP_1","003N8EMH8GTFRIVOG7KG9IQXA","GSON1112080280")</f>
        <v>#NAME?</v>
      </c>
      <c r="N1444" s="28" t="e">
        <f ca="1">[1]!BexGetData("DP_1","003N8EMH8GTFRIVOG7KG9IX8U","GSON1112080280")</f>
        <v>#NAME?</v>
      </c>
      <c r="O1444" s="28" t="e">
        <f ca="1">[1]!BexGetData("DP_1","003N8EMH8GTFRIVOG7KG9J3KE","GSON1112080280")</f>
        <v>#NAME?</v>
      </c>
      <c r="P1444" s="28" t="e">
        <f ca="1">[1]!BexGetData("DP_1","003N8EMH8GTFRIVOG7KG9J9VY","GSON1112080280")</f>
        <v>#NAME?</v>
      </c>
      <c r="Q1444" s="23" t="e">
        <f ca="1">[1]!BexGetData("DP_1","00O2TNJGODT0G5Z4TTKYMM5MT","GSON1112080280")</f>
        <v>#NAME?</v>
      </c>
      <c r="R1444" s="23" t="e">
        <f ca="1">[1]!BexGetData("DP_1","00O2TNJGODT0G5Z4TTKYMMBYD","GSON1112080280")</f>
        <v>#NAME?</v>
      </c>
      <c r="S1444" s="23" t="e">
        <f ca="1">[1]!BexGetData("DP_1","00O2TNJGODT0G5Z4TTKYMMI9X","GSON1112080280")</f>
        <v>#NAME?</v>
      </c>
      <c r="T1444" s="23" t="e">
        <f ca="1">[1]!BexGetData("DP_1","00O2TNJGODT0G5Z4TTKYMMOLH","GSON1112080280")</f>
        <v>#NAME?</v>
      </c>
      <c r="U1444" s="28" t="e">
        <f ca="1">[1]!BexGetData("DP_1","00O2TNJGODT0G5Z4TTKYMMUX1","GSON1112080280")</f>
        <v>#NAME?</v>
      </c>
      <c r="V1444" s="23" t="e">
        <f ca="1">[1]!BexGetData("DP_1","00O2TNJGODT0G5Z4TTKYMN18L","GSON1112080280")</f>
        <v>#NAME?</v>
      </c>
      <c r="W1444" s="28" t="e">
        <f ca="1">[1]!BexGetData("DP_1","00O2TNJGODT0G5Z4TTKYMN7K5","GSON1112080280")</f>
        <v>#NAME?</v>
      </c>
    </row>
    <row r="1445" spans="1:23" x14ac:dyDescent="0.2">
      <c r="A1445" s="36" t="s">
        <v>281</v>
      </c>
      <c r="B1445" s="27" t="s">
        <v>282</v>
      </c>
      <c r="C1445" s="28" t="e">
        <f ca="1">[1]!BexGetData("DP_1","003N8EMH8GTFRCSWKMPXRR8GU","GSON1112080283")</f>
        <v>#NAME?</v>
      </c>
      <c r="D1445" s="28" t="e">
        <f ca="1">[1]!BexGetData("DP_1","003N8EMH8GTFRCSWKMPXRRESE","GSON1112080283")</f>
        <v>#NAME?</v>
      </c>
      <c r="E1445" s="28" t="e">
        <f ca="1">[1]!BexGetData("DP_1","003N8EMH8GTFRCSWKMPXRRL3Y","GSON1112080283")</f>
        <v>#NAME?</v>
      </c>
      <c r="F1445" s="28" t="e">
        <f ca="1">[1]!BexGetData("DP_1","003N8EMH8GTFRCSWKMPXRRRFI","GSON1112080283")</f>
        <v>#NAME?</v>
      </c>
      <c r="G1445" s="23" t="e">
        <f ca="1">[1]!BexGetData("DP_1","003N8EMH8GTFRCSWKMPXRRXR2","GSON1112080283")</f>
        <v>#NAME?</v>
      </c>
      <c r="H1445" s="23" t="e">
        <f ca="1">[1]!BexGetData("DP_1","003N8EMH8GTFRCSWKMPXRS42M","GSON1112080283")</f>
        <v>#NAME?</v>
      </c>
      <c r="I1445" s="28" t="e">
        <f ca="1">[1]!BexGetData("DP_1","003N8EMH8GTFRCSWKMPXRSAE6","GSON1112080283")</f>
        <v>#NAME?</v>
      </c>
      <c r="J1445" s="24" t="e">
        <f ca="1">[1]!BexGetData("DP_1","003N8EMH8GTFRCSWKMPXRSGPQ","GSON1112080283")</f>
        <v>#NAME?</v>
      </c>
      <c r="K1445" s="28" t="e">
        <f ca="1">[1]!BexGetData("DP_1","003N8EMH8GTFRIVNUPY288VJH","GSON1112080283")</f>
        <v>#NAME?</v>
      </c>
      <c r="L1445" s="28" t="e">
        <f ca="1">[1]!BexGetData("DP_1","003N8EMH8GTFRIVNUPY2891V1","GSON1112080283")</f>
        <v>#NAME?</v>
      </c>
      <c r="M1445" s="28" t="e">
        <f ca="1">[1]!BexGetData("DP_1","003N8EMH8GTFRIVOG7KG9IQXA","GSON1112080283")</f>
        <v>#NAME?</v>
      </c>
      <c r="N1445" s="28" t="e">
        <f ca="1">[1]!BexGetData("DP_1","003N8EMH8GTFRIVOG7KG9IX8U","GSON1112080283")</f>
        <v>#NAME?</v>
      </c>
      <c r="O1445" s="28" t="e">
        <f ca="1">[1]!BexGetData("DP_1","003N8EMH8GTFRIVOG7KG9J3KE","GSON1112080283")</f>
        <v>#NAME?</v>
      </c>
      <c r="P1445" s="28" t="e">
        <f ca="1">[1]!BexGetData("DP_1","003N8EMH8GTFRIVOG7KG9J9VY","GSON1112080283")</f>
        <v>#NAME?</v>
      </c>
      <c r="Q1445" s="24" t="e">
        <f ca="1">[1]!BexGetData("DP_1","00O2TNJGODT0G5Z4TTKYMM5MT","GSON1112080283")</f>
        <v>#NAME?</v>
      </c>
      <c r="R1445" s="28" t="e">
        <f ca="1">[1]!BexGetData("DP_1","00O2TNJGODT0G5Z4TTKYMMBYD","GSON1112080283")</f>
        <v>#NAME?</v>
      </c>
      <c r="S1445" s="28" t="e">
        <f ca="1">[1]!BexGetData("DP_1","00O2TNJGODT0G5Z4TTKYMMI9X","GSON1112080283")</f>
        <v>#NAME?</v>
      </c>
      <c r="T1445" s="28" t="e">
        <f ca="1">[1]!BexGetData("DP_1","00O2TNJGODT0G5Z4TTKYMMOLH","GSON1112080283")</f>
        <v>#NAME?</v>
      </c>
      <c r="U1445" s="28" t="e">
        <f ca="1">[1]!BexGetData("DP_1","00O2TNJGODT0G5Z4TTKYMMUX1","GSON1112080283")</f>
        <v>#NAME?</v>
      </c>
      <c r="V1445" s="28" t="e">
        <f ca="1">[1]!BexGetData("DP_1","00O2TNJGODT0G5Z4TTKYMN18L","GSON1112080283")</f>
        <v>#NAME?</v>
      </c>
      <c r="W1445" s="28" t="e">
        <f ca="1">[1]!BexGetData("DP_1","00O2TNJGODT0G5Z4TTKYMN7K5","GSON1112080283")</f>
        <v>#NAME?</v>
      </c>
    </row>
    <row r="1446" spans="1:23" x14ac:dyDescent="0.2">
      <c r="A1446" s="36" t="s">
        <v>283</v>
      </c>
      <c r="B1446" s="27" t="s">
        <v>284</v>
      </c>
      <c r="C1446" s="28" t="e">
        <f ca="1">[1]!BexGetData("DP_1","003N8EMH8GTFRCSWKMPXRR8GU","GSON1112080290")</f>
        <v>#NAME?</v>
      </c>
      <c r="D1446" s="28" t="e">
        <f ca="1">[1]!BexGetData("DP_1","003N8EMH8GTFRCSWKMPXRRESE","GSON1112080290")</f>
        <v>#NAME?</v>
      </c>
      <c r="E1446" s="28" t="e">
        <f ca="1">[1]!BexGetData("DP_1","003N8EMH8GTFRCSWKMPXRRL3Y","GSON1112080290")</f>
        <v>#NAME?</v>
      </c>
      <c r="F1446" s="28" t="e">
        <f ca="1">[1]!BexGetData("DP_1","003N8EMH8GTFRCSWKMPXRRRFI","GSON1112080290")</f>
        <v>#NAME?</v>
      </c>
      <c r="G1446" s="28" t="e">
        <f ca="1">[1]!BexGetData("DP_1","003N8EMH8GTFRCSWKMPXRRXR2","GSON1112080290")</f>
        <v>#NAME?</v>
      </c>
      <c r="H1446" s="23" t="e">
        <f ca="1">[1]!BexGetData("DP_1","003N8EMH8GTFRCSWKMPXRS42M","GSON1112080290")</f>
        <v>#NAME?</v>
      </c>
      <c r="I1446" s="28" t="e">
        <f ca="1">[1]!BexGetData("DP_1","003N8EMH8GTFRCSWKMPXRSAE6","GSON1112080290")</f>
        <v>#NAME?</v>
      </c>
      <c r="J1446" s="23" t="e">
        <f ca="1">[1]!BexGetData("DP_1","003N8EMH8GTFRCSWKMPXRSGPQ","GSON1112080290")</f>
        <v>#NAME?</v>
      </c>
      <c r="K1446" s="28" t="e">
        <f ca="1">[1]!BexGetData("DP_1","003N8EMH8GTFRIVNUPY288VJH","GSON1112080290")</f>
        <v>#NAME?</v>
      </c>
      <c r="L1446" s="28" t="e">
        <f ca="1">[1]!BexGetData("DP_1","003N8EMH8GTFRIVNUPY2891V1","GSON1112080290")</f>
        <v>#NAME?</v>
      </c>
      <c r="M1446" s="28" t="e">
        <f ca="1">[1]!BexGetData("DP_1","003N8EMH8GTFRIVOG7KG9IQXA","GSON1112080290")</f>
        <v>#NAME?</v>
      </c>
      <c r="N1446" s="28" t="e">
        <f ca="1">[1]!BexGetData("DP_1","003N8EMH8GTFRIVOG7KG9IX8U","GSON1112080290")</f>
        <v>#NAME?</v>
      </c>
      <c r="O1446" s="28" t="e">
        <f ca="1">[1]!BexGetData("DP_1","003N8EMH8GTFRIVOG7KG9J3KE","GSON1112080290")</f>
        <v>#NAME?</v>
      </c>
      <c r="P1446" s="28" t="e">
        <f ca="1">[1]!BexGetData("DP_1","003N8EMH8GTFRIVOG7KG9J9VY","GSON1112080290")</f>
        <v>#NAME?</v>
      </c>
      <c r="Q1446" s="23" t="e">
        <f ca="1">[1]!BexGetData("DP_1","00O2TNJGODT0G5Z4TTKYMM5MT","GSON1112080290")</f>
        <v>#NAME?</v>
      </c>
      <c r="R1446" s="23" t="e">
        <f ca="1">[1]!BexGetData("DP_1","00O2TNJGODT0G5Z4TTKYMMBYD","GSON1112080290")</f>
        <v>#NAME?</v>
      </c>
      <c r="S1446" s="23" t="e">
        <f ca="1">[1]!BexGetData("DP_1","00O2TNJGODT0G5Z4TTKYMMI9X","GSON1112080290")</f>
        <v>#NAME?</v>
      </c>
      <c r="T1446" s="23" t="e">
        <f ca="1">[1]!BexGetData("DP_1","00O2TNJGODT0G5Z4TTKYMMOLH","GSON1112080290")</f>
        <v>#NAME?</v>
      </c>
      <c r="U1446" s="28" t="e">
        <f ca="1">[1]!BexGetData("DP_1","00O2TNJGODT0G5Z4TTKYMMUX1","GSON1112080290")</f>
        <v>#NAME?</v>
      </c>
      <c r="V1446" s="23" t="e">
        <f ca="1">[1]!BexGetData("DP_1","00O2TNJGODT0G5Z4TTKYMN18L","GSON1112080290")</f>
        <v>#NAME?</v>
      </c>
      <c r="W1446" s="28" t="e">
        <f ca="1">[1]!BexGetData("DP_1","00O2TNJGODT0G5Z4TTKYMN7K5","GSON1112080290")</f>
        <v>#NAME?</v>
      </c>
    </row>
    <row r="1447" spans="1:23" x14ac:dyDescent="0.2">
      <c r="A1447" s="36" t="s">
        <v>285</v>
      </c>
      <c r="B1447" s="27" t="s">
        <v>286</v>
      </c>
      <c r="C1447" s="28" t="e">
        <f ca="1">[1]!BexGetData("DP_1","003N8EMH8GTFRCSWKMPXRR8GU","GSON1112080293")</f>
        <v>#NAME?</v>
      </c>
      <c r="D1447" s="28" t="e">
        <f ca="1">[1]!BexGetData("DP_1","003N8EMH8GTFRCSWKMPXRRESE","GSON1112080293")</f>
        <v>#NAME?</v>
      </c>
      <c r="E1447" s="28" t="e">
        <f ca="1">[1]!BexGetData("DP_1","003N8EMH8GTFRCSWKMPXRRL3Y","GSON1112080293")</f>
        <v>#NAME?</v>
      </c>
      <c r="F1447" s="28" t="e">
        <f ca="1">[1]!BexGetData("DP_1","003N8EMH8GTFRCSWKMPXRRRFI","GSON1112080293")</f>
        <v>#NAME?</v>
      </c>
      <c r="G1447" s="23" t="e">
        <f ca="1">[1]!BexGetData("DP_1","003N8EMH8GTFRCSWKMPXRRXR2","GSON1112080293")</f>
        <v>#NAME?</v>
      </c>
      <c r="H1447" s="23" t="e">
        <f ca="1">[1]!BexGetData("DP_1","003N8EMH8GTFRCSWKMPXRS42M","GSON1112080293")</f>
        <v>#NAME?</v>
      </c>
      <c r="I1447" s="28" t="e">
        <f ca="1">[1]!BexGetData("DP_1","003N8EMH8GTFRCSWKMPXRSAE6","GSON1112080293")</f>
        <v>#NAME?</v>
      </c>
      <c r="J1447" s="24" t="e">
        <f ca="1">[1]!BexGetData("DP_1","003N8EMH8GTFRCSWKMPXRSGPQ","GSON1112080293")</f>
        <v>#NAME?</v>
      </c>
      <c r="K1447" s="28" t="e">
        <f ca="1">[1]!BexGetData("DP_1","003N8EMH8GTFRIVNUPY288VJH","GSON1112080293")</f>
        <v>#NAME?</v>
      </c>
      <c r="L1447" s="28" t="e">
        <f ca="1">[1]!BexGetData("DP_1","003N8EMH8GTFRIVNUPY2891V1","GSON1112080293")</f>
        <v>#NAME?</v>
      </c>
      <c r="M1447" s="28" t="e">
        <f ca="1">[1]!BexGetData("DP_1","003N8EMH8GTFRIVOG7KG9IQXA","GSON1112080293")</f>
        <v>#NAME?</v>
      </c>
      <c r="N1447" s="28" t="e">
        <f ca="1">[1]!BexGetData("DP_1","003N8EMH8GTFRIVOG7KG9IX8U","GSON1112080293")</f>
        <v>#NAME?</v>
      </c>
      <c r="O1447" s="28" t="e">
        <f ca="1">[1]!BexGetData("DP_1","003N8EMH8GTFRIVOG7KG9J3KE","GSON1112080293")</f>
        <v>#NAME?</v>
      </c>
      <c r="P1447" s="28" t="e">
        <f ca="1">[1]!BexGetData("DP_1","003N8EMH8GTFRIVOG7KG9J9VY","GSON1112080293")</f>
        <v>#NAME?</v>
      </c>
      <c r="Q1447" s="24" t="e">
        <f ca="1">[1]!BexGetData("DP_1","00O2TNJGODT0G5Z4TTKYMM5MT","GSON1112080293")</f>
        <v>#NAME?</v>
      </c>
      <c r="R1447" s="28" t="e">
        <f ca="1">[1]!BexGetData("DP_1","00O2TNJGODT0G5Z4TTKYMMBYD","GSON1112080293")</f>
        <v>#NAME?</v>
      </c>
      <c r="S1447" s="28" t="e">
        <f ca="1">[1]!BexGetData("DP_1","00O2TNJGODT0G5Z4TTKYMMI9X","GSON1112080293")</f>
        <v>#NAME?</v>
      </c>
      <c r="T1447" s="28" t="e">
        <f ca="1">[1]!BexGetData("DP_1","00O2TNJGODT0G5Z4TTKYMMOLH","GSON1112080293")</f>
        <v>#NAME?</v>
      </c>
      <c r="U1447" s="28" t="e">
        <f ca="1">[1]!BexGetData("DP_1","00O2TNJGODT0G5Z4TTKYMMUX1","GSON1112080293")</f>
        <v>#NAME?</v>
      </c>
      <c r="V1447" s="28" t="e">
        <f ca="1">[1]!BexGetData("DP_1","00O2TNJGODT0G5Z4TTKYMN18L","GSON1112080293")</f>
        <v>#NAME?</v>
      </c>
      <c r="W1447" s="28" t="e">
        <f ca="1">[1]!BexGetData("DP_1","00O2TNJGODT0G5Z4TTKYMN7K5","GSON1112080293")</f>
        <v>#NAME?</v>
      </c>
    </row>
    <row r="1448" spans="1:23" x14ac:dyDescent="0.2">
      <c r="A1448" s="36" t="s">
        <v>287</v>
      </c>
      <c r="B1448" s="27" t="s">
        <v>288</v>
      </c>
      <c r="C1448" s="28" t="e">
        <f ca="1">[1]!BexGetData("DP_1","003N8EMH8GTFRCSWKMPXRR8GU","GSON1112080300")</f>
        <v>#NAME?</v>
      </c>
      <c r="D1448" s="28" t="e">
        <f ca="1">[1]!BexGetData("DP_1","003N8EMH8GTFRCSWKMPXRRESE","GSON1112080300")</f>
        <v>#NAME?</v>
      </c>
      <c r="E1448" s="28" t="e">
        <f ca="1">[1]!BexGetData("DP_1","003N8EMH8GTFRCSWKMPXRRL3Y","GSON1112080300")</f>
        <v>#NAME?</v>
      </c>
      <c r="F1448" s="28" t="e">
        <f ca="1">[1]!BexGetData("DP_1","003N8EMH8GTFRCSWKMPXRRRFI","GSON1112080300")</f>
        <v>#NAME?</v>
      </c>
      <c r="G1448" s="28" t="e">
        <f ca="1">[1]!BexGetData("DP_1","003N8EMH8GTFRCSWKMPXRRXR2","GSON1112080300")</f>
        <v>#NAME?</v>
      </c>
      <c r="H1448" s="23" t="e">
        <f ca="1">[1]!BexGetData("DP_1","003N8EMH8GTFRCSWKMPXRS42M","GSON1112080300")</f>
        <v>#NAME?</v>
      </c>
      <c r="I1448" s="28" t="e">
        <f ca="1">[1]!BexGetData("DP_1","003N8EMH8GTFRCSWKMPXRSAE6","GSON1112080300")</f>
        <v>#NAME?</v>
      </c>
      <c r="J1448" s="23" t="e">
        <f ca="1">[1]!BexGetData("DP_1","003N8EMH8GTFRCSWKMPXRSGPQ","GSON1112080300")</f>
        <v>#NAME?</v>
      </c>
      <c r="K1448" s="28" t="e">
        <f ca="1">[1]!BexGetData("DP_1","003N8EMH8GTFRIVNUPY288VJH","GSON1112080300")</f>
        <v>#NAME?</v>
      </c>
      <c r="L1448" s="28" t="e">
        <f ca="1">[1]!BexGetData("DP_1","003N8EMH8GTFRIVNUPY2891V1","GSON1112080300")</f>
        <v>#NAME?</v>
      </c>
      <c r="M1448" s="28" t="e">
        <f ca="1">[1]!BexGetData("DP_1","003N8EMH8GTFRIVOG7KG9IQXA","GSON1112080300")</f>
        <v>#NAME?</v>
      </c>
      <c r="N1448" s="28" t="e">
        <f ca="1">[1]!BexGetData("DP_1","003N8EMH8GTFRIVOG7KG9IX8U","GSON1112080300")</f>
        <v>#NAME?</v>
      </c>
      <c r="O1448" s="28" t="e">
        <f ca="1">[1]!BexGetData("DP_1","003N8EMH8GTFRIVOG7KG9J3KE","GSON1112080300")</f>
        <v>#NAME?</v>
      </c>
      <c r="P1448" s="28" t="e">
        <f ca="1">[1]!BexGetData("DP_1","003N8EMH8GTFRIVOG7KG9J9VY","GSON1112080300")</f>
        <v>#NAME?</v>
      </c>
      <c r="Q1448" s="23" t="e">
        <f ca="1">[1]!BexGetData("DP_1","00O2TNJGODT0G5Z4TTKYMM5MT","GSON1112080300")</f>
        <v>#NAME?</v>
      </c>
      <c r="R1448" s="23" t="e">
        <f ca="1">[1]!BexGetData("DP_1","00O2TNJGODT0G5Z4TTKYMMBYD","GSON1112080300")</f>
        <v>#NAME?</v>
      </c>
      <c r="S1448" s="23" t="e">
        <f ca="1">[1]!BexGetData("DP_1","00O2TNJGODT0G5Z4TTKYMMI9X","GSON1112080300")</f>
        <v>#NAME?</v>
      </c>
      <c r="T1448" s="23" t="e">
        <f ca="1">[1]!BexGetData("DP_1","00O2TNJGODT0G5Z4TTKYMMOLH","GSON1112080300")</f>
        <v>#NAME?</v>
      </c>
      <c r="U1448" s="28" t="e">
        <f ca="1">[1]!BexGetData("DP_1","00O2TNJGODT0G5Z4TTKYMMUX1","GSON1112080300")</f>
        <v>#NAME?</v>
      </c>
      <c r="V1448" s="23" t="e">
        <f ca="1">[1]!BexGetData("DP_1","00O2TNJGODT0G5Z4TTKYMN18L","GSON1112080300")</f>
        <v>#NAME?</v>
      </c>
      <c r="W1448" s="28" t="e">
        <f ca="1">[1]!BexGetData("DP_1","00O2TNJGODT0G5Z4TTKYMN7K5","GSON1112080300")</f>
        <v>#NAME?</v>
      </c>
    </row>
    <row r="1449" spans="1:23" x14ac:dyDescent="0.2">
      <c r="A1449" s="36" t="s">
        <v>289</v>
      </c>
      <c r="B1449" s="27" t="s">
        <v>290</v>
      </c>
      <c r="C1449" s="28" t="e">
        <f ca="1">[1]!BexGetData("DP_1","003N8EMH8GTFRCSWKMPXRR8GU","GSON1112080301")</f>
        <v>#NAME?</v>
      </c>
      <c r="D1449" s="28" t="e">
        <f ca="1">[1]!BexGetData("DP_1","003N8EMH8GTFRCSWKMPXRRESE","GSON1112080301")</f>
        <v>#NAME?</v>
      </c>
      <c r="E1449" s="28" t="e">
        <f ca="1">[1]!BexGetData("DP_1","003N8EMH8GTFRCSWKMPXRRL3Y","GSON1112080301")</f>
        <v>#NAME?</v>
      </c>
      <c r="F1449" s="28" t="e">
        <f ca="1">[1]!BexGetData("DP_1","003N8EMH8GTFRCSWKMPXRRRFI","GSON1112080301")</f>
        <v>#NAME?</v>
      </c>
      <c r="G1449" s="23" t="e">
        <f ca="1">[1]!BexGetData("DP_1","003N8EMH8GTFRCSWKMPXRRXR2","GSON1112080301")</f>
        <v>#NAME?</v>
      </c>
      <c r="H1449" s="23" t="e">
        <f ca="1">[1]!BexGetData("DP_1","003N8EMH8GTFRCSWKMPXRS42M","GSON1112080301")</f>
        <v>#NAME?</v>
      </c>
      <c r="I1449" s="28" t="e">
        <f ca="1">[1]!BexGetData("DP_1","003N8EMH8GTFRCSWKMPXRSAE6","GSON1112080301")</f>
        <v>#NAME?</v>
      </c>
      <c r="J1449" s="23" t="e">
        <f ca="1">[1]!BexGetData("DP_1","003N8EMH8GTFRCSWKMPXRSGPQ","GSON1112080301")</f>
        <v>#NAME?</v>
      </c>
      <c r="K1449" s="28" t="e">
        <f ca="1">[1]!BexGetData("DP_1","003N8EMH8GTFRIVNUPY288VJH","GSON1112080301")</f>
        <v>#NAME?</v>
      </c>
      <c r="L1449" s="28" t="e">
        <f ca="1">[1]!BexGetData("DP_1","003N8EMH8GTFRIVNUPY2891V1","GSON1112080301")</f>
        <v>#NAME?</v>
      </c>
      <c r="M1449" s="28" t="e">
        <f ca="1">[1]!BexGetData("DP_1","003N8EMH8GTFRIVOG7KG9IQXA","GSON1112080301")</f>
        <v>#NAME?</v>
      </c>
      <c r="N1449" s="28" t="e">
        <f ca="1">[1]!BexGetData("DP_1","003N8EMH8GTFRIVOG7KG9IX8U","GSON1112080301")</f>
        <v>#NAME?</v>
      </c>
      <c r="O1449" s="28" t="e">
        <f ca="1">[1]!BexGetData("DP_1","003N8EMH8GTFRIVOG7KG9J3KE","GSON1112080301")</f>
        <v>#NAME?</v>
      </c>
      <c r="P1449" s="28" t="e">
        <f ca="1">[1]!BexGetData("DP_1","003N8EMH8GTFRIVOG7KG9J9VY","GSON1112080301")</f>
        <v>#NAME?</v>
      </c>
      <c r="Q1449" s="23" t="e">
        <f ca="1">[1]!BexGetData("DP_1","00O2TNJGODT0G5Z4TTKYMM5MT","GSON1112080301")</f>
        <v>#NAME?</v>
      </c>
      <c r="R1449" s="23" t="e">
        <f ca="1">[1]!BexGetData("DP_1","00O2TNJGODT0G5Z4TTKYMMBYD","GSON1112080301")</f>
        <v>#NAME?</v>
      </c>
      <c r="S1449" s="23" t="e">
        <f ca="1">[1]!BexGetData("DP_1","00O2TNJGODT0G5Z4TTKYMMI9X","GSON1112080301")</f>
        <v>#NAME?</v>
      </c>
      <c r="T1449" s="23" t="e">
        <f ca="1">[1]!BexGetData("DP_1","00O2TNJGODT0G5Z4TTKYMMOLH","GSON1112080301")</f>
        <v>#NAME?</v>
      </c>
      <c r="U1449" s="28" t="e">
        <f ca="1">[1]!BexGetData("DP_1","00O2TNJGODT0G5Z4TTKYMMUX1","GSON1112080301")</f>
        <v>#NAME?</v>
      </c>
      <c r="V1449" s="23" t="e">
        <f ca="1">[1]!BexGetData("DP_1","00O2TNJGODT0G5Z4TTKYMN18L","GSON1112080301")</f>
        <v>#NAME?</v>
      </c>
      <c r="W1449" s="28" t="e">
        <f ca="1">[1]!BexGetData("DP_1","00O2TNJGODT0G5Z4TTKYMN7K5","GSON1112080301")</f>
        <v>#NAME?</v>
      </c>
    </row>
    <row r="1450" spans="1:23" x14ac:dyDescent="0.2">
      <c r="A1450" s="36" t="s">
        <v>291</v>
      </c>
      <c r="B1450" s="27" t="s">
        <v>292</v>
      </c>
      <c r="C1450" s="28" t="e">
        <f ca="1">[1]!BexGetData("DP_1","003N8EMH8GTFRCSWKMPXRR8GU","GSON1112080303")</f>
        <v>#NAME?</v>
      </c>
      <c r="D1450" s="28" t="e">
        <f ca="1">[1]!BexGetData("DP_1","003N8EMH8GTFRCSWKMPXRRESE","GSON1112080303")</f>
        <v>#NAME?</v>
      </c>
      <c r="E1450" s="28" t="e">
        <f ca="1">[1]!BexGetData("DP_1","003N8EMH8GTFRCSWKMPXRRL3Y","GSON1112080303")</f>
        <v>#NAME?</v>
      </c>
      <c r="F1450" s="28" t="e">
        <f ca="1">[1]!BexGetData("DP_1","003N8EMH8GTFRCSWKMPXRRRFI","GSON1112080303")</f>
        <v>#NAME?</v>
      </c>
      <c r="G1450" s="23" t="e">
        <f ca="1">[1]!BexGetData("DP_1","003N8EMH8GTFRCSWKMPXRRXR2","GSON1112080303")</f>
        <v>#NAME?</v>
      </c>
      <c r="H1450" s="23" t="e">
        <f ca="1">[1]!BexGetData("DP_1","003N8EMH8GTFRCSWKMPXRS42M","GSON1112080303")</f>
        <v>#NAME?</v>
      </c>
      <c r="I1450" s="28" t="e">
        <f ca="1">[1]!BexGetData("DP_1","003N8EMH8GTFRCSWKMPXRSAE6","GSON1112080303")</f>
        <v>#NAME?</v>
      </c>
      <c r="J1450" s="24" t="e">
        <f ca="1">[1]!BexGetData("DP_1","003N8EMH8GTFRCSWKMPXRSGPQ","GSON1112080303")</f>
        <v>#NAME?</v>
      </c>
      <c r="K1450" s="28" t="e">
        <f ca="1">[1]!BexGetData("DP_1","003N8EMH8GTFRIVNUPY288VJH","GSON1112080303")</f>
        <v>#NAME?</v>
      </c>
      <c r="L1450" s="28" t="e">
        <f ca="1">[1]!BexGetData("DP_1","003N8EMH8GTFRIVNUPY2891V1","GSON1112080303")</f>
        <v>#NAME?</v>
      </c>
      <c r="M1450" s="28" t="e">
        <f ca="1">[1]!BexGetData("DP_1","003N8EMH8GTFRIVOG7KG9IQXA","GSON1112080303")</f>
        <v>#NAME?</v>
      </c>
      <c r="N1450" s="28" t="e">
        <f ca="1">[1]!BexGetData("DP_1","003N8EMH8GTFRIVOG7KG9IX8U","GSON1112080303")</f>
        <v>#NAME?</v>
      </c>
      <c r="O1450" s="28" t="e">
        <f ca="1">[1]!BexGetData("DP_1","003N8EMH8GTFRIVOG7KG9J3KE","GSON1112080303")</f>
        <v>#NAME?</v>
      </c>
      <c r="P1450" s="28" t="e">
        <f ca="1">[1]!BexGetData("DP_1","003N8EMH8GTFRIVOG7KG9J9VY","GSON1112080303")</f>
        <v>#NAME?</v>
      </c>
      <c r="Q1450" s="24" t="e">
        <f ca="1">[1]!BexGetData("DP_1","00O2TNJGODT0G5Z4TTKYMM5MT","GSON1112080303")</f>
        <v>#NAME?</v>
      </c>
      <c r="R1450" s="28" t="e">
        <f ca="1">[1]!BexGetData("DP_1","00O2TNJGODT0G5Z4TTKYMMBYD","GSON1112080303")</f>
        <v>#NAME?</v>
      </c>
      <c r="S1450" s="28" t="e">
        <f ca="1">[1]!BexGetData("DP_1","00O2TNJGODT0G5Z4TTKYMMI9X","GSON1112080303")</f>
        <v>#NAME?</v>
      </c>
      <c r="T1450" s="28" t="e">
        <f ca="1">[1]!BexGetData("DP_1","00O2TNJGODT0G5Z4TTKYMMOLH","GSON1112080303")</f>
        <v>#NAME?</v>
      </c>
      <c r="U1450" s="28" t="e">
        <f ca="1">[1]!BexGetData("DP_1","00O2TNJGODT0G5Z4TTKYMMUX1","GSON1112080303")</f>
        <v>#NAME?</v>
      </c>
      <c r="V1450" s="28" t="e">
        <f ca="1">[1]!BexGetData("DP_1","00O2TNJGODT0G5Z4TTKYMN18L","GSON1112080303")</f>
        <v>#NAME?</v>
      </c>
      <c r="W1450" s="28" t="e">
        <f ca="1">[1]!BexGetData("DP_1","00O2TNJGODT0G5Z4TTKYMN7K5","GSON1112080303")</f>
        <v>#NAME?</v>
      </c>
    </row>
    <row r="1451" spans="1:23" x14ac:dyDescent="0.2">
      <c r="A1451" s="36" t="s">
        <v>4062</v>
      </c>
      <c r="B1451" s="27" t="s">
        <v>4063</v>
      </c>
      <c r="C1451" s="23" t="e">
        <f ca="1">[1]!BexGetData("DP_1","003N8EMH8GTFRCSWKMPXRR8GU","GSON1112080310")</f>
        <v>#NAME?</v>
      </c>
      <c r="D1451" s="23" t="e">
        <f ca="1">[1]!BexGetData("DP_1","003N8EMH8GTFRCSWKMPXRRESE","GSON1112080310")</f>
        <v>#NAME?</v>
      </c>
      <c r="E1451" s="23" t="e">
        <f ca="1">[1]!BexGetData("DP_1","003N8EMH8GTFRCSWKMPXRRL3Y","GSON1112080310")</f>
        <v>#NAME?</v>
      </c>
      <c r="F1451" s="23" t="e">
        <f ca="1">[1]!BexGetData("DP_1","003N8EMH8GTFRCSWKMPXRRRFI","GSON1112080310")</f>
        <v>#NAME?</v>
      </c>
      <c r="G1451" s="23" t="e">
        <f ca="1">[1]!BexGetData("DP_1","003N8EMH8GTFRCSWKMPXRRXR2","GSON1112080310")</f>
        <v>#NAME?</v>
      </c>
      <c r="H1451" s="23" t="e">
        <f ca="1">[1]!BexGetData("DP_1","003N8EMH8GTFRCSWKMPXRS42M","GSON1112080310")</f>
        <v>#NAME?</v>
      </c>
      <c r="I1451" s="23" t="e">
        <f ca="1">[1]!BexGetData("DP_1","003N8EMH8GTFRCSWKMPXRSAE6","GSON1112080310")</f>
        <v>#NAME?</v>
      </c>
      <c r="J1451" s="23" t="e">
        <f ca="1">[1]!BexGetData("DP_1","003N8EMH8GTFRCSWKMPXRSGPQ","GSON1112080310")</f>
        <v>#NAME?</v>
      </c>
      <c r="K1451" s="23" t="e">
        <f ca="1">[1]!BexGetData("DP_1","003N8EMH8GTFRIVNUPY288VJH","GSON1112080310")</f>
        <v>#NAME?</v>
      </c>
      <c r="L1451" s="23" t="e">
        <f ca="1">[1]!BexGetData("DP_1","003N8EMH8GTFRIVNUPY2891V1","GSON1112080310")</f>
        <v>#NAME?</v>
      </c>
      <c r="M1451" s="28" t="e">
        <f ca="1">[1]!BexGetData("DP_1","003N8EMH8GTFRIVOG7KG9IQXA","GSON1112080310")</f>
        <v>#NAME?</v>
      </c>
      <c r="N1451" s="23" t="e">
        <f ca="1">[1]!BexGetData("DP_1","003N8EMH8GTFRIVOG7KG9IX8U","GSON1112080310")</f>
        <v>#NAME?</v>
      </c>
      <c r="O1451" s="28" t="e">
        <f ca="1">[1]!BexGetData("DP_1","003N8EMH8GTFRIVOG7KG9J3KE","GSON1112080310")</f>
        <v>#NAME?</v>
      </c>
      <c r="P1451" s="23" t="e">
        <f ca="1">[1]!BexGetData("DP_1","003N8EMH8GTFRIVOG7KG9J9VY","GSON1112080310")</f>
        <v>#NAME?</v>
      </c>
      <c r="Q1451" s="23" t="e">
        <f ca="1">[1]!BexGetData("DP_1","00O2TNJGODT0G5Z4TTKYMM5MT","GSON1112080310")</f>
        <v>#NAME?</v>
      </c>
      <c r="R1451" s="23" t="e">
        <f ca="1">[1]!BexGetData("DP_1","00O2TNJGODT0G5Z4TTKYMMBYD","GSON1112080310")</f>
        <v>#NAME?</v>
      </c>
      <c r="S1451" s="23" t="e">
        <f ca="1">[1]!BexGetData("DP_1","00O2TNJGODT0G5Z4TTKYMMI9X","GSON1112080310")</f>
        <v>#NAME?</v>
      </c>
      <c r="T1451" s="28" t="e">
        <f ca="1">[1]!BexGetData("DP_1","00O2TNJGODT0G5Z4TTKYMMOLH","GSON1112080310")</f>
        <v>#NAME?</v>
      </c>
      <c r="U1451" s="23" t="e">
        <f ca="1">[1]!BexGetData("DP_1","00O2TNJGODT0G5Z4TTKYMMUX1","GSON1112080310")</f>
        <v>#NAME?</v>
      </c>
      <c r="V1451" s="28" t="e">
        <f ca="1">[1]!BexGetData("DP_1","00O2TNJGODT0G5Z4TTKYMN18L","GSON1112080310")</f>
        <v>#NAME?</v>
      </c>
      <c r="W1451" s="23" t="e">
        <f ca="1">[1]!BexGetData("DP_1","00O2TNJGODT0G5Z4TTKYMN7K5","GSON1112080310")</f>
        <v>#NAME?</v>
      </c>
    </row>
    <row r="1452" spans="1:23" x14ac:dyDescent="0.2">
      <c r="A1452" s="36" t="s">
        <v>4064</v>
      </c>
      <c r="B1452" s="27" t="s">
        <v>4065</v>
      </c>
      <c r="C1452" s="23" t="e">
        <f ca="1">[1]!BexGetData("DP_1","003N8EMH8GTFRCSWKMPXRR8GU","GSON1112080311")</f>
        <v>#NAME?</v>
      </c>
      <c r="D1452" s="23" t="e">
        <f ca="1">[1]!BexGetData("DP_1","003N8EMH8GTFRCSWKMPXRRESE","GSON1112080311")</f>
        <v>#NAME?</v>
      </c>
      <c r="E1452" s="23" t="e">
        <f ca="1">[1]!BexGetData("DP_1","003N8EMH8GTFRCSWKMPXRRL3Y","GSON1112080311")</f>
        <v>#NAME?</v>
      </c>
      <c r="F1452" s="28" t="e">
        <f ca="1">[1]!BexGetData("DP_1","003N8EMH8GTFRCSWKMPXRRRFI","GSON1112080311")</f>
        <v>#NAME?</v>
      </c>
      <c r="G1452" s="23" t="e">
        <f ca="1">[1]!BexGetData("DP_1","003N8EMH8GTFRCSWKMPXRRXR2","GSON1112080311")</f>
        <v>#NAME?</v>
      </c>
      <c r="H1452" s="23" t="e">
        <f ca="1">[1]!BexGetData("DP_1","003N8EMH8GTFRCSWKMPXRS42M","GSON1112080311")</f>
        <v>#NAME?</v>
      </c>
      <c r="I1452" s="28" t="e">
        <f ca="1">[1]!BexGetData("DP_1","003N8EMH8GTFRCSWKMPXRSAE6","GSON1112080311")</f>
        <v>#NAME?</v>
      </c>
      <c r="J1452" s="24" t="e">
        <f ca="1">[1]!BexGetData("DP_1","003N8EMH8GTFRCSWKMPXRSGPQ","GSON1112080311")</f>
        <v>#NAME?</v>
      </c>
      <c r="K1452" s="23" t="e">
        <f ca="1">[1]!BexGetData("DP_1","003N8EMH8GTFRIVNUPY288VJH","GSON1112080311")</f>
        <v>#NAME?</v>
      </c>
      <c r="L1452" s="23" t="e">
        <f ca="1">[1]!BexGetData("DP_1","003N8EMH8GTFRIVNUPY2891V1","GSON1112080311")</f>
        <v>#NAME?</v>
      </c>
      <c r="M1452" s="23" t="e">
        <f ca="1">[1]!BexGetData("DP_1","003N8EMH8GTFRIVOG7KG9IQXA","GSON1112080311")</f>
        <v>#NAME?</v>
      </c>
      <c r="N1452" s="28" t="e">
        <f ca="1">[1]!BexGetData("DP_1","003N8EMH8GTFRIVOG7KG9IX8U","GSON1112080311")</f>
        <v>#NAME?</v>
      </c>
      <c r="O1452" s="23" t="e">
        <f ca="1">[1]!BexGetData("DP_1","003N8EMH8GTFRIVOG7KG9J3KE","GSON1112080311")</f>
        <v>#NAME?</v>
      </c>
      <c r="P1452" s="28" t="e">
        <f ca="1">[1]!BexGetData("DP_1","003N8EMH8GTFRIVOG7KG9J9VY","GSON1112080311")</f>
        <v>#NAME?</v>
      </c>
      <c r="Q1452" s="24" t="e">
        <f ca="1">[1]!BexGetData("DP_1","00O2TNJGODT0G5Z4TTKYMM5MT","GSON1112080311")</f>
        <v>#NAME?</v>
      </c>
      <c r="R1452" s="28" t="e">
        <f ca="1">[1]!BexGetData("DP_1","00O2TNJGODT0G5Z4TTKYMMBYD","GSON1112080311")</f>
        <v>#NAME?</v>
      </c>
      <c r="S1452" s="28" t="e">
        <f ca="1">[1]!BexGetData("DP_1","00O2TNJGODT0G5Z4TTKYMMI9X","GSON1112080311")</f>
        <v>#NAME?</v>
      </c>
      <c r="T1452" s="28" t="e">
        <f ca="1">[1]!BexGetData("DP_1","00O2TNJGODT0G5Z4TTKYMMOLH","GSON1112080311")</f>
        <v>#NAME?</v>
      </c>
      <c r="U1452" s="28" t="e">
        <f ca="1">[1]!BexGetData("DP_1","00O2TNJGODT0G5Z4TTKYMMUX1","GSON1112080311")</f>
        <v>#NAME?</v>
      </c>
      <c r="V1452" s="28" t="e">
        <f ca="1">[1]!BexGetData("DP_1","00O2TNJGODT0G5Z4TTKYMN18L","GSON1112080311")</f>
        <v>#NAME?</v>
      </c>
      <c r="W1452" s="28" t="e">
        <f ca="1">[1]!BexGetData("DP_1","00O2TNJGODT0G5Z4TTKYMN7K5","GSON1112080311")</f>
        <v>#NAME?</v>
      </c>
    </row>
    <row r="1453" spans="1:23" x14ac:dyDescent="0.2">
      <c r="A1453" s="36" t="s">
        <v>4066</v>
      </c>
      <c r="B1453" s="27" t="s">
        <v>4067</v>
      </c>
      <c r="C1453" s="23" t="e">
        <f ca="1">[1]!BexGetData("DP_1","003N8EMH8GTFRCSWKMPXRR8GU","GSON1112080313")</f>
        <v>#NAME?</v>
      </c>
      <c r="D1453" s="23" t="e">
        <f ca="1">[1]!BexGetData("DP_1","003N8EMH8GTFRCSWKMPXRRESE","GSON1112080313")</f>
        <v>#NAME?</v>
      </c>
      <c r="E1453" s="28" t="e">
        <f ca="1">[1]!BexGetData("DP_1","003N8EMH8GTFRCSWKMPXRRL3Y","GSON1112080313")</f>
        <v>#NAME?</v>
      </c>
      <c r="F1453" s="28" t="e">
        <f ca="1">[1]!BexGetData("DP_1","003N8EMH8GTFRCSWKMPXRRRFI","GSON1112080313")</f>
        <v>#NAME?</v>
      </c>
      <c r="G1453" s="23" t="e">
        <f ca="1">[1]!BexGetData("DP_1","003N8EMH8GTFRCSWKMPXRRXR2","GSON1112080313")</f>
        <v>#NAME?</v>
      </c>
      <c r="H1453" s="23" t="e">
        <f ca="1">[1]!BexGetData("DP_1","003N8EMH8GTFRCSWKMPXRS42M","GSON1112080313")</f>
        <v>#NAME?</v>
      </c>
      <c r="I1453" s="28" t="e">
        <f ca="1">[1]!BexGetData("DP_1","003N8EMH8GTFRCSWKMPXRSAE6","GSON1112080313")</f>
        <v>#NAME?</v>
      </c>
      <c r="J1453" s="24" t="e">
        <f ca="1">[1]!BexGetData("DP_1","003N8EMH8GTFRCSWKMPXRSGPQ","GSON1112080313")</f>
        <v>#NAME?</v>
      </c>
      <c r="K1453" s="28" t="e">
        <f ca="1">[1]!BexGetData("DP_1","003N8EMH8GTFRIVNUPY288VJH","GSON1112080313")</f>
        <v>#NAME?</v>
      </c>
      <c r="L1453" s="28" t="e">
        <f ca="1">[1]!BexGetData("DP_1","003N8EMH8GTFRIVNUPY2891V1","GSON1112080313")</f>
        <v>#NAME?</v>
      </c>
      <c r="M1453" s="28" t="e">
        <f ca="1">[1]!BexGetData("DP_1","003N8EMH8GTFRIVOG7KG9IQXA","GSON1112080313")</f>
        <v>#NAME?</v>
      </c>
      <c r="N1453" s="28" t="e">
        <f ca="1">[1]!BexGetData("DP_1","003N8EMH8GTFRIVOG7KG9IX8U","GSON1112080313")</f>
        <v>#NAME?</v>
      </c>
      <c r="O1453" s="28" t="e">
        <f ca="1">[1]!BexGetData("DP_1","003N8EMH8GTFRIVOG7KG9J3KE","GSON1112080313")</f>
        <v>#NAME?</v>
      </c>
      <c r="P1453" s="28" t="e">
        <f ca="1">[1]!BexGetData("DP_1","003N8EMH8GTFRIVOG7KG9J9VY","GSON1112080313")</f>
        <v>#NAME?</v>
      </c>
      <c r="Q1453" s="24" t="e">
        <f ca="1">[1]!BexGetData("DP_1","00O2TNJGODT0G5Z4TTKYMM5MT","GSON1112080313")</f>
        <v>#NAME?</v>
      </c>
      <c r="R1453" s="28" t="e">
        <f ca="1">[1]!BexGetData("DP_1","00O2TNJGODT0G5Z4TTKYMMBYD","GSON1112080313")</f>
        <v>#NAME?</v>
      </c>
      <c r="S1453" s="28" t="e">
        <f ca="1">[1]!BexGetData("DP_1","00O2TNJGODT0G5Z4TTKYMMI9X","GSON1112080313")</f>
        <v>#NAME?</v>
      </c>
      <c r="T1453" s="28" t="e">
        <f ca="1">[1]!BexGetData("DP_1","00O2TNJGODT0G5Z4TTKYMMOLH","GSON1112080313")</f>
        <v>#NAME?</v>
      </c>
      <c r="U1453" s="28" t="e">
        <f ca="1">[1]!BexGetData("DP_1","00O2TNJGODT0G5Z4TTKYMMUX1","GSON1112080313")</f>
        <v>#NAME?</v>
      </c>
      <c r="V1453" s="28" t="e">
        <f ca="1">[1]!BexGetData("DP_1","00O2TNJGODT0G5Z4TTKYMN18L","GSON1112080313")</f>
        <v>#NAME?</v>
      </c>
      <c r="W1453" s="28" t="e">
        <f ca="1">[1]!BexGetData("DP_1","00O2TNJGODT0G5Z4TTKYMN7K5","GSON1112080313")</f>
        <v>#NAME?</v>
      </c>
    </row>
    <row r="1454" spans="1:23" x14ac:dyDescent="0.2">
      <c r="A1454" s="36" t="s">
        <v>4068</v>
      </c>
      <c r="B1454" s="27" t="s">
        <v>4069</v>
      </c>
      <c r="C1454" s="23" t="e">
        <f ca="1">[1]!BexGetData("DP_1","003N8EMH8GTFRCSWKMPXRR8GU","GSON1112080315")</f>
        <v>#NAME?</v>
      </c>
      <c r="D1454" s="23" t="e">
        <f ca="1">[1]!BexGetData("DP_1","003N8EMH8GTFRCSWKMPXRRESE","GSON1112080315")</f>
        <v>#NAME?</v>
      </c>
      <c r="E1454" s="28" t="e">
        <f ca="1">[1]!BexGetData("DP_1","003N8EMH8GTFRCSWKMPXRRL3Y","GSON1112080315")</f>
        <v>#NAME?</v>
      </c>
      <c r="F1454" s="28" t="e">
        <f ca="1">[1]!BexGetData("DP_1","003N8EMH8GTFRCSWKMPXRRRFI","GSON1112080315")</f>
        <v>#NAME?</v>
      </c>
      <c r="G1454" s="23" t="e">
        <f ca="1">[1]!BexGetData("DP_1","003N8EMH8GTFRCSWKMPXRRXR2","GSON1112080315")</f>
        <v>#NAME?</v>
      </c>
      <c r="H1454" s="23" t="e">
        <f ca="1">[1]!BexGetData("DP_1","003N8EMH8GTFRCSWKMPXRS42M","GSON1112080315")</f>
        <v>#NAME?</v>
      </c>
      <c r="I1454" s="28" t="e">
        <f ca="1">[1]!BexGetData("DP_1","003N8EMH8GTFRCSWKMPXRSAE6","GSON1112080315")</f>
        <v>#NAME?</v>
      </c>
      <c r="J1454" s="24" t="e">
        <f ca="1">[1]!BexGetData("DP_1","003N8EMH8GTFRCSWKMPXRSGPQ","GSON1112080315")</f>
        <v>#NAME?</v>
      </c>
      <c r="K1454" s="28" t="e">
        <f ca="1">[1]!BexGetData("DP_1","003N8EMH8GTFRIVNUPY288VJH","GSON1112080315")</f>
        <v>#NAME?</v>
      </c>
      <c r="L1454" s="28" t="e">
        <f ca="1">[1]!BexGetData("DP_1","003N8EMH8GTFRIVNUPY2891V1","GSON1112080315")</f>
        <v>#NAME?</v>
      </c>
      <c r="M1454" s="28" t="e">
        <f ca="1">[1]!BexGetData("DP_1","003N8EMH8GTFRIVOG7KG9IQXA","GSON1112080315")</f>
        <v>#NAME?</v>
      </c>
      <c r="N1454" s="28" t="e">
        <f ca="1">[1]!BexGetData("DP_1","003N8EMH8GTFRIVOG7KG9IX8U","GSON1112080315")</f>
        <v>#NAME?</v>
      </c>
      <c r="O1454" s="28" t="e">
        <f ca="1">[1]!BexGetData("DP_1","003N8EMH8GTFRIVOG7KG9J3KE","GSON1112080315")</f>
        <v>#NAME?</v>
      </c>
      <c r="P1454" s="28" t="e">
        <f ca="1">[1]!BexGetData("DP_1","003N8EMH8GTFRIVOG7KG9J9VY","GSON1112080315")</f>
        <v>#NAME?</v>
      </c>
      <c r="Q1454" s="24" t="e">
        <f ca="1">[1]!BexGetData("DP_1","00O2TNJGODT0G5Z4TTKYMM5MT","GSON1112080315")</f>
        <v>#NAME?</v>
      </c>
      <c r="R1454" s="28" t="e">
        <f ca="1">[1]!BexGetData("DP_1","00O2TNJGODT0G5Z4TTKYMMBYD","GSON1112080315")</f>
        <v>#NAME?</v>
      </c>
      <c r="S1454" s="28" t="e">
        <f ca="1">[1]!BexGetData("DP_1","00O2TNJGODT0G5Z4TTKYMMI9X","GSON1112080315")</f>
        <v>#NAME?</v>
      </c>
      <c r="T1454" s="28" t="e">
        <f ca="1">[1]!BexGetData("DP_1","00O2TNJGODT0G5Z4TTKYMMOLH","GSON1112080315")</f>
        <v>#NAME?</v>
      </c>
      <c r="U1454" s="28" t="e">
        <f ca="1">[1]!BexGetData("DP_1","00O2TNJGODT0G5Z4TTKYMMUX1","GSON1112080315")</f>
        <v>#NAME?</v>
      </c>
      <c r="V1454" s="28" t="e">
        <f ca="1">[1]!BexGetData("DP_1","00O2TNJGODT0G5Z4TTKYMN18L","GSON1112080315")</f>
        <v>#NAME?</v>
      </c>
      <c r="W1454" s="28" t="e">
        <f ca="1">[1]!BexGetData("DP_1","00O2TNJGODT0G5Z4TTKYMN7K5","GSON1112080315")</f>
        <v>#NAME?</v>
      </c>
    </row>
    <row r="1455" spans="1:23" x14ac:dyDescent="0.2">
      <c r="A1455" s="36" t="s">
        <v>4070</v>
      </c>
      <c r="B1455" s="27" t="s">
        <v>4071</v>
      </c>
      <c r="C1455" s="28" t="e">
        <f ca="1">[1]!BexGetData("DP_1","003N8EMH8GTFRCSWKMPXRR8GU","GSON1112080320")</f>
        <v>#NAME?</v>
      </c>
      <c r="D1455" s="28" t="e">
        <f ca="1">[1]!BexGetData("DP_1","003N8EMH8GTFRCSWKMPXRRESE","GSON1112080320")</f>
        <v>#NAME?</v>
      </c>
      <c r="E1455" s="28" t="e">
        <f ca="1">[1]!BexGetData("DP_1","003N8EMH8GTFRCSWKMPXRRL3Y","GSON1112080320")</f>
        <v>#NAME?</v>
      </c>
      <c r="F1455" s="28" t="e">
        <f ca="1">[1]!BexGetData("DP_1","003N8EMH8GTFRCSWKMPXRRRFI","GSON1112080320")</f>
        <v>#NAME?</v>
      </c>
      <c r="G1455" s="23" t="e">
        <f ca="1">[1]!BexGetData("DP_1","003N8EMH8GTFRCSWKMPXRRXR2","GSON1112080320")</f>
        <v>#NAME?</v>
      </c>
      <c r="H1455" s="23" t="e">
        <f ca="1">[1]!BexGetData("DP_1","003N8EMH8GTFRCSWKMPXRS42M","GSON1112080320")</f>
        <v>#NAME?</v>
      </c>
      <c r="I1455" s="28" t="e">
        <f ca="1">[1]!BexGetData("DP_1","003N8EMH8GTFRCSWKMPXRSAE6","GSON1112080320")</f>
        <v>#NAME?</v>
      </c>
      <c r="J1455" s="24" t="e">
        <f ca="1">[1]!BexGetData("DP_1","003N8EMH8GTFRCSWKMPXRSGPQ","GSON1112080320")</f>
        <v>#NAME?</v>
      </c>
      <c r="K1455" s="28" t="e">
        <f ca="1">[1]!BexGetData("DP_1","003N8EMH8GTFRIVNUPY288VJH","GSON1112080320")</f>
        <v>#NAME?</v>
      </c>
      <c r="L1455" s="28" t="e">
        <f ca="1">[1]!BexGetData("DP_1","003N8EMH8GTFRIVNUPY2891V1","GSON1112080320")</f>
        <v>#NAME?</v>
      </c>
      <c r="M1455" s="28" t="e">
        <f ca="1">[1]!BexGetData("DP_1","003N8EMH8GTFRIVOG7KG9IQXA","GSON1112080320")</f>
        <v>#NAME?</v>
      </c>
      <c r="N1455" s="28" t="e">
        <f ca="1">[1]!BexGetData("DP_1","003N8EMH8GTFRIVOG7KG9IX8U","GSON1112080320")</f>
        <v>#NAME?</v>
      </c>
      <c r="O1455" s="28" t="e">
        <f ca="1">[1]!BexGetData("DP_1","003N8EMH8GTFRIVOG7KG9J3KE","GSON1112080320")</f>
        <v>#NAME?</v>
      </c>
      <c r="P1455" s="28" t="e">
        <f ca="1">[1]!BexGetData("DP_1","003N8EMH8GTFRIVOG7KG9J9VY","GSON1112080320")</f>
        <v>#NAME?</v>
      </c>
      <c r="Q1455" s="24" t="e">
        <f ca="1">[1]!BexGetData("DP_1","00O2TNJGODT0G5Z4TTKYMM5MT","GSON1112080320")</f>
        <v>#NAME?</v>
      </c>
      <c r="R1455" s="28" t="e">
        <f ca="1">[1]!BexGetData("DP_1","00O2TNJGODT0G5Z4TTKYMMBYD","GSON1112080320")</f>
        <v>#NAME?</v>
      </c>
      <c r="S1455" s="28" t="e">
        <f ca="1">[1]!BexGetData("DP_1","00O2TNJGODT0G5Z4TTKYMMI9X","GSON1112080320")</f>
        <v>#NAME?</v>
      </c>
      <c r="T1455" s="28" t="e">
        <f ca="1">[1]!BexGetData("DP_1","00O2TNJGODT0G5Z4TTKYMMOLH","GSON1112080320")</f>
        <v>#NAME?</v>
      </c>
      <c r="U1455" s="28" t="e">
        <f ca="1">[1]!BexGetData("DP_1","00O2TNJGODT0G5Z4TTKYMMUX1","GSON1112080320")</f>
        <v>#NAME?</v>
      </c>
      <c r="V1455" s="28" t="e">
        <f ca="1">[1]!BexGetData("DP_1","00O2TNJGODT0G5Z4TTKYMN18L","GSON1112080320")</f>
        <v>#NAME?</v>
      </c>
      <c r="W1455" s="28" t="e">
        <f ca="1">[1]!BexGetData("DP_1","00O2TNJGODT0G5Z4TTKYMN7K5","GSON1112080320")</f>
        <v>#NAME?</v>
      </c>
    </row>
    <row r="1456" spans="1:23" x14ac:dyDescent="0.2">
      <c r="A1456" s="36" t="s">
        <v>4072</v>
      </c>
      <c r="B1456" s="27" t="s">
        <v>4073</v>
      </c>
      <c r="C1456" s="28" t="e">
        <f ca="1">[1]!BexGetData("DP_1","003N8EMH8GTFRCSWKMPXRR8GU","GSON1112080321")</f>
        <v>#NAME?</v>
      </c>
      <c r="D1456" s="28" t="e">
        <f ca="1">[1]!BexGetData("DP_1","003N8EMH8GTFRCSWKMPXRRESE","GSON1112080321")</f>
        <v>#NAME?</v>
      </c>
      <c r="E1456" s="28" t="e">
        <f ca="1">[1]!BexGetData("DP_1","003N8EMH8GTFRCSWKMPXRRL3Y","GSON1112080321")</f>
        <v>#NAME?</v>
      </c>
      <c r="F1456" s="28" t="e">
        <f ca="1">[1]!BexGetData("DP_1","003N8EMH8GTFRCSWKMPXRRRFI","GSON1112080321")</f>
        <v>#NAME?</v>
      </c>
      <c r="G1456" s="23" t="e">
        <f ca="1">[1]!BexGetData("DP_1","003N8EMH8GTFRCSWKMPXRRXR2","GSON1112080321")</f>
        <v>#NAME?</v>
      </c>
      <c r="H1456" s="23" t="e">
        <f ca="1">[1]!BexGetData("DP_1","003N8EMH8GTFRCSWKMPXRS42M","GSON1112080321")</f>
        <v>#NAME?</v>
      </c>
      <c r="I1456" s="28" t="e">
        <f ca="1">[1]!BexGetData("DP_1","003N8EMH8GTFRCSWKMPXRSAE6","GSON1112080321")</f>
        <v>#NAME?</v>
      </c>
      <c r="J1456" s="24" t="e">
        <f ca="1">[1]!BexGetData("DP_1","003N8EMH8GTFRCSWKMPXRSGPQ","GSON1112080321")</f>
        <v>#NAME?</v>
      </c>
      <c r="K1456" s="28" t="e">
        <f ca="1">[1]!BexGetData("DP_1","003N8EMH8GTFRIVNUPY288VJH","GSON1112080321")</f>
        <v>#NAME?</v>
      </c>
      <c r="L1456" s="28" t="e">
        <f ca="1">[1]!BexGetData("DP_1","003N8EMH8GTFRIVNUPY2891V1","GSON1112080321")</f>
        <v>#NAME?</v>
      </c>
      <c r="M1456" s="28" t="e">
        <f ca="1">[1]!BexGetData("DP_1","003N8EMH8GTFRIVOG7KG9IQXA","GSON1112080321")</f>
        <v>#NAME?</v>
      </c>
      <c r="N1456" s="28" t="e">
        <f ca="1">[1]!BexGetData("DP_1","003N8EMH8GTFRIVOG7KG9IX8U","GSON1112080321")</f>
        <v>#NAME?</v>
      </c>
      <c r="O1456" s="28" t="e">
        <f ca="1">[1]!BexGetData("DP_1","003N8EMH8GTFRIVOG7KG9J3KE","GSON1112080321")</f>
        <v>#NAME?</v>
      </c>
      <c r="P1456" s="28" t="e">
        <f ca="1">[1]!BexGetData("DP_1","003N8EMH8GTFRIVOG7KG9J9VY","GSON1112080321")</f>
        <v>#NAME?</v>
      </c>
      <c r="Q1456" s="24" t="e">
        <f ca="1">[1]!BexGetData("DP_1","00O2TNJGODT0G5Z4TTKYMM5MT","GSON1112080321")</f>
        <v>#NAME?</v>
      </c>
      <c r="R1456" s="28" t="e">
        <f ca="1">[1]!BexGetData("DP_1","00O2TNJGODT0G5Z4TTKYMMBYD","GSON1112080321")</f>
        <v>#NAME?</v>
      </c>
      <c r="S1456" s="28" t="e">
        <f ca="1">[1]!BexGetData("DP_1","00O2TNJGODT0G5Z4TTKYMMI9X","GSON1112080321")</f>
        <v>#NAME?</v>
      </c>
      <c r="T1456" s="28" t="e">
        <f ca="1">[1]!BexGetData("DP_1","00O2TNJGODT0G5Z4TTKYMMOLH","GSON1112080321")</f>
        <v>#NAME?</v>
      </c>
      <c r="U1456" s="28" t="e">
        <f ca="1">[1]!BexGetData("DP_1","00O2TNJGODT0G5Z4TTKYMMUX1","GSON1112080321")</f>
        <v>#NAME?</v>
      </c>
      <c r="V1456" s="28" t="e">
        <f ca="1">[1]!BexGetData("DP_1","00O2TNJGODT0G5Z4TTKYMN18L","GSON1112080321")</f>
        <v>#NAME?</v>
      </c>
      <c r="W1456" s="28" t="e">
        <f ca="1">[1]!BexGetData("DP_1","00O2TNJGODT0G5Z4TTKYMN7K5","GSON1112080321")</f>
        <v>#NAME?</v>
      </c>
    </row>
    <row r="1457" spans="1:23" x14ac:dyDescent="0.2">
      <c r="A1457" s="36" t="s">
        <v>4074</v>
      </c>
      <c r="B1457" s="27" t="s">
        <v>4075</v>
      </c>
      <c r="C1457" s="28" t="e">
        <f ca="1">[1]!BexGetData("DP_1","003N8EMH8GTFRCSWKMPXRR8GU","GSON1112080324")</f>
        <v>#NAME?</v>
      </c>
      <c r="D1457" s="28" t="e">
        <f ca="1">[1]!BexGetData("DP_1","003N8EMH8GTFRCSWKMPXRRESE","GSON1112080324")</f>
        <v>#NAME?</v>
      </c>
      <c r="E1457" s="28" t="e">
        <f ca="1">[1]!BexGetData("DP_1","003N8EMH8GTFRCSWKMPXRRL3Y","GSON1112080324")</f>
        <v>#NAME?</v>
      </c>
      <c r="F1457" s="28" t="e">
        <f ca="1">[1]!BexGetData("DP_1","003N8EMH8GTFRCSWKMPXRRRFI","GSON1112080324")</f>
        <v>#NAME?</v>
      </c>
      <c r="G1457" s="23" t="e">
        <f ca="1">[1]!BexGetData("DP_1","003N8EMH8GTFRCSWKMPXRRXR2","GSON1112080324")</f>
        <v>#NAME?</v>
      </c>
      <c r="H1457" s="23" t="e">
        <f ca="1">[1]!BexGetData("DP_1","003N8EMH8GTFRCSWKMPXRS42M","GSON1112080324")</f>
        <v>#NAME?</v>
      </c>
      <c r="I1457" s="28" t="e">
        <f ca="1">[1]!BexGetData("DP_1","003N8EMH8GTFRCSWKMPXRSAE6","GSON1112080324")</f>
        <v>#NAME?</v>
      </c>
      <c r="J1457" s="24" t="e">
        <f ca="1">[1]!BexGetData("DP_1","003N8EMH8GTFRCSWKMPXRSGPQ","GSON1112080324")</f>
        <v>#NAME?</v>
      </c>
      <c r="K1457" s="28" t="e">
        <f ca="1">[1]!BexGetData("DP_1","003N8EMH8GTFRIVNUPY288VJH","GSON1112080324")</f>
        <v>#NAME?</v>
      </c>
      <c r="L1457" s="28" t="e">
        <f ca="1">[1]!BexGetData("DP_1","003N8EMH8GTFRIVNUPY2891V1","GSON1112080324")</f>
        <v>#NAME?</v>
      </c>
      <c r="M1457" s="28" t="e">
        <f ca="1">[1]!BexGetData("DP_1","003N8EMH8GTFRIVOG7KG9IQXA","GSON1112080324")</f>
        <v>#NAME?</v>
      </c>
      <c r="N1457" s="28" t="e">
        <f ca="1">[1]!BexGetData("DP_1","003N8EMH8GTFRIVOG7KG9IX8U","GSON1112080324")</f>
        <v>#NAME?</v>
      </c>
      <c r="O1457" s="28" t="e">
        <f ca="1">[1]!BexGetData("DP_1","003N8EMH8GTFRIVOG7KG9J3KE","GSON1112080324")</f>
        <v>#NAME?</v>
      </c>
      <c r="P1457" s="28" t="e">
        <f ca="1">[1]!BexGetData("DP_1","003N8EMH8GTFRIVOG7KG9J9VY","GSON1112080324")</f>
        <v>#NAME?</v>
      </c>
      <c r="Q1457" s="24" t="e">
        <f ca="1">[1]!BexGetData("DP_1","00O2TNJGODT0G5Z4TTKYMM5MT","GSON1112080324")</f>
        <v>#NAME?</v>
      </c>
      <c r="R1457" s="28" t="e">
        <f ca="1">[1]!BexGetData("DP_1","00O2TNJGODT0G5Z4TTKYMMBYD","GSON1112080324")</f>
        <v>#NAME?</v>
      </c>
      <c r="S1457" s="28" t="e">
        <f ca="1">[1]!BexGetData("DP_1","00O2TNJGODT0G5Z4TTKYMMI9X","GSON1112080324")</f>
        <v>#NAME?</v>
      </c>
      <c r="T1457" s="28" t="e">
        <f ca="1">[1]!BexGetData("DP_1","00O2TNJGODT0G5Z4TTKYMMOLH","GSON1112080324")</f>
        <v>#NAME?</v>
      </c>
      <c r="U1457" s="28" t="e">
        <f ca="1">[1]!BexGetData("DP_1","00O2TNJGODT0G5Z4TTKYMMUX1","GSON1112080324")</f>
        <v>#NAME?</v>
      </c>
      <c r="V1457" s="28" t="e">
        <f ca="1">[1]!BexGetData("DP_1","00O2TNJGODT0G5Z4TTKYMN18L","GSON1112080324")</f>
        <v>#NAME?</v>
      </c>
      <c r="W1457" s="28" t="e">
        <f ca="1">[1]!BexGetData("DP_1","00O2TNJGODT0G5Z4TTKYMN7K5","GSON1112080324")</f>
        <v>#NAME?</v>
      </c>
    </row>
    <row r="1458" spans="1:23" x14ac:dyDescent="0.2">
      <c r="A1458" s="36" t="s">
        <v>4076</v>
      </c>
      <c r="B1458" s="27" t="s">
        <v>4077</v>
      </c>
      <c r="C1458" s="28" t="e">
        <f ca="1">[1]!BexGetData("DP_1","003N8EMH8GTFRCSWKMPXRR8GU","GSON1112080330")</f>
        <v>#NAME?</v>
      </c>
      <c r="D1458" s="28" t="e">
        <f ca="1">[1]!BexGetData("DP_1","003N8EMH8GTFRCSWKMPXRRESE","GSON1112080330")</f>
        <v>#NAME?</v>
      </c>
      <c r="E1458" s="28" t="e">
        <f ca="1">[1]!BexGetData("DP_1","003N8EMH8GTFRCSWKMPXRRL3Y","GSON1112080330")</f>
        <v>#NAME?</v>
      </c>
      <c r="F1458" s="28" t="e">
        <f ca="1">[1]!BexGetData("DP_1","003N8EMH8GTFRCSWKMPXRRRFI","GSON1112080330")</f>
        <v>#NAME?</v>
      </c>
      <c r="G1458" s="23" t="e">
        <f ca="1">[1]!BexGetData("DP_1","003N8EMH8GTFRCSWKMPXRRXR2","GSON1112080330")</f>
        <v>#NAME?</v>
      </c>
      <c r="H1458" s="23" t="e">
        <f ca="1">[1]!BexGetData("DP_1","003N8EMH8GTFRCSWKMPXRS42M","GSON1112080330")</f>
        <v>#NAME?</v>
      </c>
      <c r="I1458" s="28" t="e">
        <f ca="1">[1]!BexGetData("DP_1","003N8EMH8GTFRCSWKMPXRSAE6","GSON1112080330")</f>
        <v>#NAME?</v>
      </c>
      <c r="J1458" s="24" t="e">
        <f ca="1">[1]!BexGetData("DP_1","003N8EMH8GTFRCSWKMPXRSGPQ","GSON1112080330")</f>
        <v>#NAME?</v>
      </c>
      <c r="K1458" s="28" t="e">
        <f ca="1">[1]!BexGetData("DP_1","003N8EMH8GTFRIVNUPY288VJH","GSON1112080330")</f>
        <v>#NAME?</v>
      </c>
      <c r="L1458" s="28" t="e">
        <f ca="1">[1]!BexGetData("DP_1","003N8EMH8GTFRIVNUPY2891V1","GSON1112080330")</f>
        <v>#NAME?</v>
      </c>
      <c r="M1458" s="28" t="e">
        <f ca="1">[1]!BexGetData("DP_1","003N8EMH8GTFRIVOG7KG9IQXA","GSON1112080330")</f>
        <v>#NAME?</v>
      </c>
      <c r="N1458" s="28" t="e">
        <f ca="1">[1]!BexGetData("DP_1","003N8EMH8GTFRIVOG7KG9IX8U","GSON1112080330")</f>
        <v>#NAME?</v>
      </c>
      <c r="O1458" s="28" t="e">
        <f ca="1">[1]!BexGetData("DP_1","003N8EMH8GTFRIVOG7KG9J3KE","GSON1112080330")</f>
        <v>#NAME?</v>
      </c>
      <c r="P1458" s="28" t="e">
        <f ca="1">[1]!BexGetData("DP_1","003N8EMH8GTFRIVOG7KG9J9VY","GSON1112080330")</f>
        <v>#NAME?</v>
      </c>
      <c r="Q1458" s="24" t="e">
        <f ca="1">[1]!BexGetData("DP_1","00O2TNJGODT0G5Z4TTKYMM5MT","GSON1112080330")</f>
        <v>#NAME?</v>
      </c>
      <c r="R1458" s="28" t="e">
        <f ca="1">[1]!BexGetData("DP_1","00O2TNJGODT0G5Z4TTKYMMBYD","GSON1112080330")</f>
        <v>#NAME?</v>
      </c>
      <c r="S1458" s="28" t="e">
        <f ca="1">[1]!BexGetData("DP_1","00O2TNJGODT0G5Z4TTKYMMI9X","GSON1112080330")</f>
        <v>#NAME?</v>
      </c>
      <c r="T1458" s="28" t="e">
        <f ca="1">[1]!BexGetData("DP_1","00O2TNJGODT0G5Z4TTKYMMOLH","GSON1112080330")</f>
        <v>#NAME?</v>
      </c>
      <c r="U1458" s="28" t="e">
        <f ca="1">[1]!BexGetData("DP_1","00O2TNJGODT0G5Z4TTKYMMUX1","GSON1112080330")</f>
        <v>#NAME?</v>
      </c>
      <c r="V1458" s="28" t="e">
        <f ca="1">[1]!BexGetData("DP_1","00O2TNJGODT0G5Z4TTKYMN18L","GSON1112080330")</f>
        <v>#NAME?</v>
      </c>
      <c r="W1458" s="28" t="e">
        <f ca="1">[1]!BexGetData("DP_1","00O2TNJGODT0G5Z4TTKYMN7K5","GSON1112080330")</f>
        <v>#NAME?</v>
      </c>
    </row>
    <row r="1459" spans="1:23" x14ac:dyDescent="0.2">
      <c r="A1459" s="36" t="s">
        <v>1079</v>
      </c>
      <c r="B1459" s="27" t="s">
        <v>1080</v>
      </c>
      <c r="C1459" s="23" t="e">
        <f ca="1">[1]!BexGetData("DP_1","003N8EMH8GTFRCSWKMPXRR8GU","GSON1112080331")</f>
        <v>#NAME?</v>
      </c>
      <c r="D1459" s="23" t="e">
        <f ca="1">[1]!BexGetData("DP_1","003N8EMH8GTFRCSWKMPXRRESE","GSON1112080331")</f>
        <v>#NAME?</v>
      </c>
      <c r="E1459" s="28" t="e">
        <f ca="1">[1]!BexGetData("DP_1","003N8EMH8GTFRCSWKMPXRRL3Y","GSON1112080331")</f>
        <v>#NAME?</v>
      </c>
      <c r="F1459" s="28" t="e">
        <f ca="1">[1]!BexGetData("DP_1","003N8EMH8GTFRCSWKMPXRRRFI","GSON1112080331")</f>
        <v>#NAME?</v>
      </c>
      <c r="G1459" s="23" t="e">
        <f ca="1">[1]!BexGetData("DP_1","003N8EMH8GTFRCSWKMPXRRXR2","GSON1112080331")</f>
        <v>#NAME?</v>
      </c>
      <c r="H1459" s="23" t="e">
        <f ca="1">[1]!BexGetData("DP_1","003N8EMH8GTFRCSWKMPXRS42M","GSON1112080331")</f>
        <v>#NAME?</v>
      </c>
      <c r="I1459" s="28" t="e">
        <f ca="1">[1]!BexGetData("DP_1","003N8EMH8GTFRCSWKMPXRSAE6","GSON1112080331")</f>
        <v>#NAME?</v>
      </c>
      <c r="J1459" s="24" t="e">
        <f ca="1">[1]!BexGetData("DP_1","003N8EMH8GTFRCSWKMPXRSGPQ","GSON1112080331")</f>
        <v>#NAME?</v>
      </c>
      <c r="K1459" s="28" t="e">
        <f ca="1">[1]!BexGetData("DP_1","003N8EMH8GTFRIVNUPY288VJH","GSON1112080331")</f>
        <v>#NAME?</v>
      </c>
      <c r="L1459" s="28" t="e">
        <f ca="1">[1]!BexGetData("DP_1","003N8EMH8GTFRIVNUPY2891V1","GSON1112080331")</f>
        <v>#NAME?</v>
      </c>
      <c r="M1459" s="28" t="e">
        <f ca="1">[1]!BexGetData("DP_1","003N8EMH8GTFRIVOG7KG9IQXA","GSON1112080331")</f>
        <v>#NAME?</v>
      </c>
      <c r="N1459" s="28" t="e">
        <f ca="1">[1]!BexGetData("DP_1","003N8EMH8GTFRIVOG7KG9IX8U","GSON1112080331")</f>
        <v>#NAME?</v>
      </c>
      <c r="O1459" s="28" t="e">
        <f ca="1">[1]!BexGetData("DP_1","003N8EMH8GTFRIVOG7KG9J3KE","GSON1112080331")</f>
        <v>#NAME?</v>
      </c>
      <c r="P1459" s="28" t="e">
        <f ca="1">[1]!BexGetData("DP_1","003N8EMH8GTFRIVOG7KG9J9VY","GSON1112080331")</f>
        <v>#NAME?</v>
      </c>
      <c r="Q1459" s="24" t="e">
        <f ca="1">[1]!BexGetData("DP_1","00O2TNJGODT0G5Z4TTKYMM5MT","GSON1112080331")</f>
        <v>#NAME?</v>
      </c>
      <c r="R1459" s="28" t="e">
        <f ca="1">[1]!BexGetData("DP_1","00O2TNJGODT0G5Z4TTKYMMBYD","GSON1112080331")</f>
        <v>#NAME?</v>
      </c>
      <c r="S1459" s="28" t="e">
        <f ca="1">[1]!BexGetData("DP_1","00O2TNJGODT0G5Z4TTKYMMI9X","GSON1112080331")</f>
        <v>#NAME?</v>
      </c>
      <c r="T1459" s="28" t="e">
        <f ca="1">[1]!BexGetData("DP_1","00O2TNJGODT0G5Z4TTKYMMOLH","GSON1112080331")</f>
        <v>#NAME?</v>
      </c>
      <c r="U1459" s="28" t="e">
        <f ca="1">[1]!BexGetData("DP_1","00O2TNJGODT0G5Z4TTKYMMUX1","GSON1112080331")</f>
        <v>#NAME?</v>
      </c>
      <c r="V1459" s="28" t="e">
        <f ca="1">[1]!BexGetData("DP_1","00O2TNJGODT0G5Z4TTKYMN18L","GSON1112080331")</f>
        <v>#NAME?</v>
      </c>
      <c r="W1459" s="28" t="e">
        <f ca="1">[1]!BexGetData("DP_1","00O2TNJGODT0G5Z4TTKYMN7K5","GSON1112080331")</f>
        <v>#NAME?</v>
      </c>
    </row>
    <row r="1460" spans="1:23" x14ac:dyDescent="0.2">
      <c r="A1460" s="36" t="s">
        <v>4078</v>
      </c>
      <c r="B1460" s="27" t="s">
        <v>4079</v>
      </c>
      <c r="C1460" s="28" t="e">
        <f ca="1">[1]!BexGetData("DP_1","003N8EMH8GTFRCSWKMPXRR8GU","GSON1112080333")</f>
        <v>#NAME?</v>
      </c>
      <c r="D1460" s="28" t="e">
        <f ca="1">[1]!BexGetData("DP_1","003N8EMH8GTFRCSWKMPXRRESE","GSON1112080333")</f>
        <v>#NAME?</v>
      </c>
      <c r="E1460" s="28" t="e">
        <f ca="1">[1]!BexGetData("DP_1","003N8EMH8GTFRCSWKMPXRRL3Y","GSON1112080333")</f>
        <v>#NAME?</v>
      </c>
      <c r="F1460" s="28" t="e">
        <f ca="1">[1]!BexGetData("DP_1","003N8EMH8GTFRCSWKMPXRRRFI","GSON1112080333")</f>
        <v>#NAME?</v>
      </c>
      <c r="G1460" s="23" t="e">
        <f ca="1">[1]!BexGetData("DP_1","003N8EMH8GTFRCSWKMPXRRXR2","GSON1112080333")</f>
        <v>#NAME?</v>
      </c>
      <c r="H1460" s="23" t="e">
        <f ca="1">[1]!BexGetData("DP_1","003N8EMH8GTFRCSWKMPXRS42M","GSON1112080333")</f>
        <v>#NAME?</v>
      </c>
      <c r="I1460" s="28" t="e">
        <f ca="1">[1]!BexGetData("DP_1","003N8EMH8GTFRCSWKMPXRSAE6","GSON1112080333")</f>
        <v>#NAME?</v>
      </c>
      <c r="J1460" s="24" t="e">
        <f ca="1">[1]!BexGetData("DP_1","003N8EMH8GTFRCSWKMPXRSGPQ","GSON1112080333")</f>
        <v>#NAME?</v>
      </c>
      <c r="K1460" s="28" t="e">
        <f ca="1">[1]!BexGetData("DP_1","003N8EMH8GTFRIVNUPY288VJH","GSON1112080333")</f>
        <v>#NAME?</v>
      </c>
      <c r="L1460" s="28" t="e">
        <f ca="1">[1]!BexGetData("DP_1","003N8EMH8GTFRIVNUPY2891V1","GSON1112080333")</f>
        <v>#NAME?</v>
      </c>
      <c r="M1460" s="28" t="e">
        <f ca="1">[1]!BexGetData("DP_1","003N8EMH8GTFRIVOG7KG9IQXA","GSON1112080333")</f>
        <v>#NAME?</v>
      </c>
      <c r="N1460" s="28" t="e">
        <f ca="1">[1]!BexGetData("DP_1","003N8EMH8GTFRIVOG7KG9IX8U","GSON1112080333")</f>
        <v>#NAME?</v>
      </c>
      <c r="O1460" s="28" t="e">
        <f ca="1">[1]!BexGetData("DP_1","003N8EMH8GTFRIVOG7KG9J3KE","GSON1112080333")</f>
        <v>#NAME?</v>
      </c>
      <c r="P1460" s="28" t="e">
        <f ca="1">[1]!BexGetData("DP_1","003N8EMH8GTFRIVOG7KG9J9VY","GSON1112080333")</f>
        <v>#NAME?</v>
      </c>
      <c r="Q1460" s="24" t="e">
        <f ca="1">[1]!BexGetData("DP_1","00O2TNJGODT0G5Z4TTKYMM5MT","GSON1112080333")</f>
        <v>#NAME?</v>
      </c>
      <c r="R1460" s="28" t="e">
        <f ca="1">[1]!BexGetData("DP_1","00O2TNJGODT0G5Z4TTKYMMBYD","GSON1112080333")</f>
        <v>#NAME?</v>
      </c>
      <c r="S1460" s="28" t="e">
        <f ca="1">[1]!BexGetData("DP_1","00O2TNJGODT0G5Z4TTKYMMI9X","GSON1112080333")</f>
        <v>#NAME?</v>
      </c>
      <c r="T1460" s="28" t="e">
        <f ca="1">[1]!BexGetData("DP_1","00O2TNJGODT0G5Z4TTKYMMOLH","GSON1112080333")</f>
        <v>#NAME?</v>
      </c>
      <c r="U1460" s="28" t="e">
        <f ca="1">[1]!BexGetData("DP_1","00O2TNJGODT0G5Z4TTKYMMUX1","GSON1112080333")</f>
        <v>#NAME?</v>
      </c>
      <c r="V1460" s="28" t="e">
        <f ca="1">[1]!BexGetData("DP_1","00O2TNJGODT0G5Z4TTKYMN18L","GSON1112080333")</f>
        <v>#NAME?</v>
      </c>
      <c r="W1460" s="28" t="e">
        <f ca="1">[1]!BexGetData("DP_1","00O2TNJGODT0G5Z4TTKYMN7K5","GSON1112080333")</f>
        <v>#NAME?</v>
      </c>
    </row>
    <row r="1461" spans="1:23" x14ac:dyDescent="0.2">
      <c r="A1461" s="36" t="s">
        <v>4080</v>
      </c>
      <c r="B1461" s="27" t="s">
        <v>4081</v>
      </c>
      <c r="C1461" s="28" t="e">
        <f ca="1">[1]!BexGetData("DP_1","003N8EMH8GTFRCSWKMPXRR8GU","GSON1112080334")</f>
        <v>#NAME?</v>
      </c>
      <c r="D1461" s="28" t="e">
        <f ca="1">[1]!BexGetData("DP_1","003N8EMH8GTFRCSWKMPXRRESE","GSON1112080334")</f>
        <v>#NAME?</v>
      </c>
      <c r="E1461" s="28" t="e">
        <f ca="1">[1]!BexGetData("DP_1","003N8EMH8GTFRCSWKMPXRRL3Y","GSON1112080334")</f>
        <v>#NAME?</v>
      </c>
      <c r="F1461" s="28" t="e">
        <f ca="1">[1]!BexGetData("DP_1","003N8EMH8GTFRCSWKMPXRRRFI","GSON1112080334")</f>
        <v>#NAME?</v>
      </c>
      <c r="G1461" s="23" t="e">
        <f ca="1">[1]!BexGetData("DP_1","003N8EMH8GTFRCSWKMPXRRXR2","GSON1112080334")</f>
        <v>#NAME?</v>
      </c>
      <c r="H1461" s="23" t="e">
        <f ca="1">[1]!BexGetData("DP_1","003N8EMH8GTFRCSWKMPXRS42M","GSON1112080334")</f>
        <v>#NAME?</v>
      </c>
      <c r="I1461" s="28" t="e">
        <f ca="1">[1]!BexGetData("DP_1","003N8EMH8GTFRCSWKMPXRSAE6","GSON1112080334")</f>
        <v>#NAME?</v>
      </c>
      <c r="J1461" s="24" t="e">
        <f ca="1">[1]!BexGetData("DP_1","003N8EMH8GTFRCSWKMPXRSGPQ","GSON1112080334")</f>
        <v>#NAME?</v>
      </c>
      <c r="K1461" s="28" t="e">
        <f ca="1">[1]!BexGetData("DP_1","003N8EMH8GTFRIVNUPY288VJH","GSON1112080334")</f>
        <v>#NAME?</v>
      </c>
      <c r="L1461" s="28" t="e">
        <f ca="1">[1]!BexGetData("DP_1","003N8EMH8GTFRIVNUPY2891V1","GSON1112080334")</f>
        <v>#NAME?</v>
      </c>
      <c r="M1461" s="28" t="e">
        <f ca="1">[1]!BexGetData("DP_1","003N8EMH8GTFRIVOG7KG9IQXA","GSON1112080334")</f>
        <v>#NAME?</v>
      </c>
      <c r="N1461" s="28" t="e">
        <f ca="1">[1]!BexGetData("DP_1","003N8EMH8GTFRIVOG7KG9IX8U","GSON1112080334")</f>
        <v>#NAME?</v>
      </c>
      <c r="O1461" s="28" t="e">
        <f ca="1">[1]!BexGetData("DP_1","003N8EMH8GTFRIVOG7KG9J3KE","GSON1112080334")</f>
        <v>#NAME?</v>
      </c>
      <c r="P1461" s="28" t="e">
        <f ca="1">[1]!BexGetData("DP_1","003N8EMH8GTFRIVOG7KG9J9VY","GSON1112080334")</f>
        <v>#NAME?</v>
      </c>
      <c r="Q1461" s="24" t="e">
        <f ca="1">[1]!BexGetData("DP_1","00O2TNJGODT0G5Z4TTKYMM5MT","GSON1112080334")</f>
        <v>#NAME?</v>
      </c>
      <c r="R1461" s="28" t="e">
        <f ca="1">[1]!BexGetData("DP_1","00O2TNJGODT0G5Z4TTKYMMBYD","GSON1112080334")</f>
        <v>#NAME?</v>
      </c>
      <c r="S1461" s="28" t="e">
        <f ca="1">[1]!BexGetData("DP_1","00O2TNJGODT0G5Z4TTKYMMI9X","GSON1112080334")</f>
        <v>#NAME?</v>
      </c>
      <c r="T1461" s="28" t="e">
        <f ca="1">[1]!BexGetData("DP_1","00O2TNJGODT0G5Z4TTKYMMOLH","GSON1112080334")</f>
        <v>#NAME?</v>
      </c>
      <c r="U1461" s="28" t="e">
        <f ca="1">[1]!BexGetData("DP_1","00O2TNJGODT0G5Z4TTKYMMUX1","GSON1112080334")</f>
        <v>#NAME?</v>
      </c>
      <c r="V1461" s="28" t="e">
        <f ca="1">[1]!BexGetData("DP_1","00O2TNJGODT0G5Z4TTKYMN18L","GSON1112080334")</f>
        <v>#NAME?</v>
      </c>
      <c r="W1461" s="28" t="e">
        <f ca="1">[1]!BexGetData("DP_1","00O2TNJGODT0G5Z4TTKYMN7K5","GSON1112080334")</f>
        <v>#NAME?</v>
      </c>
    </row>
    <row r="1462" spans="1:23" x14ac:dyDescent="0.2">
      <c r="A1462" s="36" t="s">
        <v>4082</v>
      </c>
      <c r="B1462" s="27" t="s">
        <v>4083</v>
      </c>
      <c r="C1462" s="28" t="e">
        <f ca="1">[1]!BexGetData("DP_1","003N8EMH8GTFRCSWKMPXRR8GU","GSON1112080340")</f>
        <v>#NAME?</v>
      </c>
      <c r="D1462" s="28" t="e">
        <f ca="1">[1]!BexGetData("DP_1","003N8EMH8GTFRCSWKMPXRRESE","GSON1112080340")</f>
        <v>#NAME?</v>
      </c>
      <c r="E1462" s="28" t="e">
        <f ca="1">[1]!BexGetData("DP_1","003N8EMH8GTFRCSWKMPXRRL3Y","GSON1112080340")</f>
        <v>#NAME?</v>
      </c>
      <c r="F1462" s="28" t="e">
        <f ca="1">[1]!BexGetData("DP_1","003N8EMH8GTFRCSWKMPXRRRFI","GSON1112080340")</f>
        <v>#NAME?</v>
      </c>
      <c r="G1462" s="23" t="e">
        <f ca="1">[1]!BexGetData("DP_1","003N8EMH8GTFRCSWKMPXRRXR2","GSON1112080340")</f>
        <v>#NAME?</v>
      </c>
      <c r="H1462" s="23" t="e">
        <f ca="1">[1]!BexGetData("DP_1","003N8EMH8GTFRCSWKMPXRS42M","GSON1112080340")</f>
        <v>#NAME?</v>
      </c>
      <c r="I1462" s="28" t="e">
        <f ca="1">[1]!BexGetData("DP_1","003N8EMH8GTFRCSWKMPXRSAE6","GSON1112080340")</f>
        <v>#NAME?</v>
      </c>
      <c r="J1462" s="24" t="e">
        <f ca="1">[1]!BexGetData("DP_1","003N8EMH8GTFRCSWKMPXRSGPQ","GSON1112080340")</f>
        <v>#NAME?</v>
      </c>
      <c r="K1462" s="28" t="e">
        <f ca="1">[1]!BexGetData("DP_1","003N8EMH8GTFRIVNUPY288VJH","GSON1112080340")</f>
        <v>#NAME?</v>
      </c>
      <c r="L1462" s="28" t="e">
        <f ca="1">[1]!BexGetData("DP_1","003N8EMH8GTFRIVNUPY2891V1","GSON1112080340")</f>
        <v>#NAME?</v>
      </c>
      <c r="M1462" s="28" t="e">
        <f ca="1">[1]!BexGetData("DP_1","003N8EMH8GTFRIVOG7KG9IQXA","GSON1112080340")</f>
        <v>#NAME?</v>
      </c>
      <c r="N1462" s="28" t="e">
        <f ca="1">[1]!BexGetData("DP_1","003N8EMH8GTFRIVOG7KG9IX8U","GSON1112080340")</f>
        <v>#NAME?</v>
      </c>
      <c r="O1462" s="28" t="e">
        <f ca="1">[1]!BexGetData("DP_1","003N8EMH8GTFRIVOG7KG9J3KE","GSON1112080340")</f>
        <v>#NAME?</v>
      </c>
      <c r="P1462" s="28" t="e">
        <f ca="1">[1]!BexGetData("DP_1","003N8EMH8GTFRIVOG7KG9J9VY","GSON1112080340")</f>
        <v>#NAME?</v>
      </c>
      <c r="Q1462" s="24" t="e">
        <f ca="1">[1]!BexGetData("DP_1","00O2TNJGODT0G5Z4TTKYMM5MT","GSON1112080340")</f>
        <v>#NAME?</v>
      </c>
      <c r="R1462" s="28" t="e">
        <f ca="1">[1]!BexGetData("DP_1","00O2TNJGODT0G5Z4TTKYMMBYD","GSON1112080340")</f>
        <v>#NAME?</v>
      </c>
      <c r="S1462" s="28" t="e">
        <f ca="1">[1]!BexGetData("DP_1","00O2TNJGODT0G5Z4TTKYMMI9X","GSON1112080340")</f>
        <v>#NAME?</v>
      </c>
      <c r="T1462" s="28" t="e">
        <f ca="1">[1]!BexGetData("DP_1","00O2TNJGODT0G5Z4TTKYMMOLH","GSON1112080340")</f>
        <v>#NAME?</v>
      </c>
      <c r="U1462" s="28" t="e">
        <f ca="1">[1]!BexGetData("DP_1","00O2TNJGODT0G5Z4TTKYMMUX1","GSON1112080340")</f>
        <v>#NAME?</v>
      </c>
      <c r="V1462" s="28" t="e">
        <f ca="1">[1]!BexGetData("DP_1","00O2TNJGODT0G5Z4TTKYMN18L","GSON1112080340")</f>
        <v>#NAME?</v>
      </c>
      <c r="W1462" s="28" t="e">
        <f ca="1">[1]!BexGetData("DP_1","00O2TNJGODT0G5Z4TTKYMN7K5","GSON1112080340")</f>
        <v>#NAME?</v>
      </c>
    </row>
    <row r="1463" spans="1:23" x14ac:dyDescent="0.2">
      <c r="A1463" s="36" t="s">
        <v>1081</v>
      </c>
      <c r="B1463" s="27" t="s">
        <v>1082</v>
      </c>
      <c r="C1463" s="28" t="e">
        <f ca="1">[1]!BexGetData("DP_1","003N8EMH8GTFRCSWKMPXRR8GU","GSON1112080341")</f>
        <v>#NAME?</v>
      </c>
      <c r="D1463" s="28" t="e">
        <f ca="1">[1]!BexGetData("DP_1","003N8EMH8GTFRCSWKMPXRRESE","GSON1112080341")</f>
        <v>#NAME?</v>
      </c>
      <c r="E1463" s="28" t="e">
        <f ca="1">[1]!BexGetData("DP_1","003N8EMH8GTFRCSWKMPXRRL3Y","GSON1112080341")</f>
        <v>#NAME?</v>
      </c>
      <c r="F1463" s="28" t="e">
        <f ca="1">[1]!BexGetData("DP_1","003N8EMH8GTFRCSWKMPXRRRFI","GSON1112080341")</f>
        <v>#NAME?</v>
      </c>
      <c r="G1463" s="23" t="e">
        <f ca="1">[1]!BexGetData("DP_1","003N8EMH8GTFRCSWKMPXRRXR2","GSON1112080341")</f>
        <v>#NAME?</v>
      </c>
      <c r="H1463" s="23" t="e">
        <f ca="1">[1]!BexGetData("DP_1","003N8EMH8GTFRCSWKMPXRS42M","GSON1112080341")</f>
        <v>#NAME?</v>
      </c>
      <c r="I1463" s="28" t="e">
        <f ca="1">[1]!BexGetData("DP_1","003N8EMH8GTFRCSWKMPXRSAE6","GSON1112080341")</f>
        <v>#NAME?</v>
      </c>
      <c r="J1463" s="24" t="e">
        <f ca="1">[1]!BexGetData("DP_1","003N8EMH8GTFRCSWKMPXRSGPQ","GSON1112080341")</f>
        <v>#NAME?</v>
      </c>
      <c r="K1463" s="28" t="e">
        <f ca="1">[1]!BexGetData("DP_1","003N8EMH8GTFRIVNUPY288VJH","GSON1112080341")</f>
        <v>#NAME?</v>
      </c>
      <c r="L1463" s="28" t="e">
        <f ca="1">[1]!BexGetData("DP_1","003N8EMH8GTFRIVNUPY2891V1","GSON1112080341")</f>
        <v>#NAME?</v>
      </c>
      <c r="M1463" s="28" t="e">
        <f ca="1">[1]!BexGetData("DP_1","003N8EMH8GTFRIVOG7KG9IQXA","GSON1112080341")</f>
        <v>#NAME?</v>
      </c>
      <c r="N1463" s="28" t="e">
        <f ca="1">[1]!BexGetData("DP_1","003N8EMH8GTFRIVOG7KG9IX8U","GSON1112080341")</f>
        <v>#NAME?</v>
      </c>
      <c r="O1463" s="28" t="e">
        <f ca="1">[1]!BexGetData("DP_1","003N8EMH8GTFRIVOG7KG9J3KE","GSON1112080341")</f>
        <v>#NAME?</v>
      </c>
      <c r="P1463" s="28" t="e">
        <f ca="1">[1]!BexGetData("DP_1","003N8EMH8GTFRIVOG7KG9J9VY","GSON1112080341")</f>
        <v>#NAME?</v>
      </c>
      <c r="Q1463" s="24" t="e">
        <f ca="1">[1]!BexGetData("DP_1","00O2TNJGODT0G5Z4TTKYMM5MT","GSON1112080341")</f>
        <v>#NAME?</v>
      </c>
      <c r="R1463" s="28" t="e">
        <f ca="1">[1]!BexGetData("DP_1","00O2TNJGODT0G5Z4TTKYMMBYD","GSON1112080341")</f>
        <v>#NAME?</v>
      </c>
      <c r="S1463" s="28" t="e">
        <f ca="1">[1]!BexGetData("DP_1","00O2TNJGODT0G5Z4TTKYMMI9X","GSON1112080341")</f>
        <v>#NAME?</v>
      </c>
      <c r="T1463" s="28" t="e">
        <f ca="1">[1]!BexGetData("DP_1","00O2TNJGODT0G5Z4TTKYMMOLH","GSON1112080341")</f>
        <v>#NAME?</v>
      </c>
      <c r="U1463" s="28" t="e">
        <f ca="1">[1]!BexGetData("DP_1","00O2TNJGODT0G5Z4TTKYMMUX1","GSON1112080341")</f>
        <v>#NAME?</v>
      </c>
      <c r="V1463" s="28" t="e">
        <f ca="1">[1]!BexGetData("DP_1","00O2TNJGODT0G5Z4TTKYMN18L","GSON1112080341")</f>
        <v>#NAME?</v>
      </c>
      <c r="W1463" s="28" t="e">
        <f ca="1">[1]!BexGetData("DP_1","00O2TNJGODT0G5Z4TTKYMN7K5","GSON1112080341")</f>
        <v>#NAME?</v>
      </c>
    </row>
    <row r="1464" spans="1:23" x14ac:dyDescent="0.2">
      <c r="A1464" s="36" t="s">
        <v>4084</v>
      </c>
      <c r="B1464" s="27" t="s">
        <v>4085</v>
      </c>
      <c r="C1464" s="28" t="e">
        <f ca="1">[1]!BexGetData("DP_1","003N8EMH8GTFRCSWKMPXRR8GU","GSON1112080344")</f>
        <v>#NAME?</v>
      </c>
      <c r="D1464" s="28" t="e">
        <f ca="1">[1]!BexGetData("DP_1","003N8EMH8GTFRCSWKMPXRRESE","GSON1112080344")</f>
        <v>#NAME?</v>
      </c>
      <c r="E1464" s="28" t="e">
        <f ca="1">[1]!BexGetData("DP_1","003N8EMH8GTFRCSWKMPXRRL3Y","GSON1112080344")</f>
        <v>#NAME?</v>
      </c>
      <c r="F1464" s="28" t="e">
        <f ca="1">[1]!BexGetData("DP_1","003N8EMH8GTFRCSWKMPXRRRFI","GSON1112080344")</f>
        <v>#NAME?</v>
      </c>
      <c r="G1464" s="23" t="e">
        <f ca="1">[1]!BexGetData("DP_1","003N8EMH8GTFRCSWKMPXRRXR2","GSON1112080344")</f>
        <v>#NAME?</v>
      </c>
      <c r="H1464" s="23" t="e">
        <f ca="1">[1]!BexGetData("DP_1","003N8EMH8GTFRCSWKMPXRS42M","GSON1112080344")</f>
        <v>#NAME?</v>
      </c>
      <c r="I1464" s="28" t="e">
        <f ca="1">[1]!BexGetData("DP_1","003N8EMH8GTFRCSWKMPXRSAE6","GSON1112080344")</f>
        <v>#NAME?</v>
      </c>
      <c r="J1464" s="24" t="e">
        <f ca="1">[1]!BexGetData("DP_1","003N8EMH8GTFRCSWKMPXRSGPQ","GSON1112080344")</f>
        <v>#NAME?</v>
      </c>
      <c r="K1464" s="28" t="e">
        <f ca="1">[1]!BexGetData("DP_1","003N8EMH8GTFRIVNUPY288VJH","GSON1112080344")</f>
        <v>#NAME?</v>
      </c>
      <c r="L1464" s="28" t="e">
        <f ca="1">[1]!BexGetData("DP_1","003N8EMH8GTFRIVNUPY2891V1","GSON1112080344")</f>
        <v>#NAME?</v>
      </c>
      <c r="M1464" s="28" t="e">
        <f ca="1">[1]!BexGetData("DP_1","003N8EMH8GTFRIVOG7KG9IQXA","GSON1112080344")</f>
        <v>#NAME?</v>
      </c>
      <c r="N1464" s="28" t="e">
        <f ca="1">[1]!BexGetData("DP_1","003N8EMH8GTFRIVOG7KG9IX8U","GSON1112080344")</f>
        <v>#NAME?</v>
      </c>
      <c r="O1464" s="28" t="e">
        <f ca="1">[1]!BexGetData("DP_1","003N8EMH8GTFRIVOG7KG9J3KE","GSON1112080344")</f>
        <v>#NAME?</v>
      </c>
      <c r="P1464" s="28" t="e">
        <f ca="1">[1]!BexGetData("DP_1","003N8EMH8GTFRIVOG7KG9J9VY","GSON1112080344")</f>
        <v>#NAME?</v>
      </c>
      <c r="Q1464" s="24" t="e">
        <f ca="1">[1]!BexGetData("DP_1","00O2TNJGODT0G5Z4TTKYMM5MT","GSON1112080344")</f>
        <v>#NAME?</v>
      </c>
      <c r="R1464" s="28" t="e">
        <f ca="1">[1]!BexGetData("DP_1","00O2TNJGODT0G5Z4TTKYMMBYD","GSON1112080344")</f>
        <v>#NAME?</v>
      </c>
      <c r="S1464" s="28" t="e">
        <f ca="1">[1]!BexGetData("DP_1","00O2TNJGODT0G5Z4TTKYMMI9X","GSON1112080344")</f>
        <v>#NAME?</v>
      </c>
      <c r="T1464" s="28" t="e">
        <f ca="1">[1]!BexGetData("DP_1","00O2TNJGODT0G5Z4TTKYMMOLH","GSON1112080344")</f>
        <v>#NAME?</v>
      </c>
      <c r="U1464" s="28" t="e">
        <f ca="1">[1]!BexGetData("DP_1","00O2TNJGODT0G5Z4TTKYMMUX1","GSON1112080344")</f>
        <v>#NAME?</v>
      </c>
      <c r="V1464" s="28" t="e">
        <f ca="1">[1]!BexGetData("DP_1","00O2TNJGODT0G5Z4TTKYMN18L","GSON1112080344")</f>
        <v>#NAME?</v>
      </c>
      <c r="W1464" s="28" t="e">
        <f ca="1">[1]!BexGetData("DP_1","00O2TNJGODT0G5Z4TTKYMN7K5","GSON1112080344")</f>
        <v>#NAME?</v>
      </c>
    </row>
    <row r="1465" spans="1:23" x14ac:dyDescent="0.2">
      <c r="A1465" s="36" t="s">
        <v>4086</v>
      </c>
      <c r="B1465" s="27" t="s">
        <v>4087</v>
      </c>
      <c r="C1465" s="28" t="e">
        <f ca="1">[1]!BexGetData("DP_1","003N8EMH8GTFRCSWKMPXRR8GU","GSON1112080350")</f>
        <v>#NAME?</v>
      </c>
      <c r="D1465" s="28" t="e">
        <f ca="1">[1]!BexGetData("DP_1","003N8EMH8GTFRCSWKMPXRRESE","GSON1112080350")</f>
        <v>#NAME?</v>
      </c>
      <c r="E1465" s="28" t="e">
        <f ca="1">[1]!BexGetData("DP_1","003N8EMH8GTFRCSWKMPXRRL3Y","GSON1112080350")</f>
        <v>#NAME?</v>
      </c>
      <c r="F1465" s="28" t="e">
        <f ca="1">[1]!BexGetData("DP_1","003N8EMH8GTFRCSWKMPXRRRFI","GSON1112080350")</f>
        <v>#NAME?</v>
      </c>
      <c r="G1465" s="23" t="e">
        <f ca="1">[1]!BexGetData("DP_1","003N8EMH8GTFRCSWKMPXRRXR2","GSON1112080350")</f>
        <v>#NAME?</v>
      </c>
      <c r="H1465" s="23" t="e">
        <f ca="1">[1]!BexGetData("DP_1","003N8EMH8GTFRCSWKMPXRS42M","GSON1112080350")</f>
        <v>#NAME?</v>
      </c>
      <c r="I1465" s="28" t="e">
        <f ca="1">[1]!BexGetData("DP_1","003N8EMH8GTFRCSWKMPXRSAE6","GSON1112080350")</f>
        <v>#NAME?</v>
      </c>
      <c r="J1465" s="23" t="e">
        <f ca="1">[1]!BexGetData("DP_1","003N8EMH8GTFRCSWKMPXRSGPQ","GSON1112080350")</f>
        <v>#NAME?</v>
      </c>
      <c r="K1465" s="28" t="e">
        <f ca="1">[1]!BexGetData("DP_1","003N8EMH8GTFRIVNUPY288VJH","GSON1112080350")</f>
        <v>#NAME?</v>
      </c>
      <c r="L1465" s="28" t="e">
        <f ca="1">[1]!BexGetData("DP_1","003N8EMH8GTFRIVNUPY2891V1","GSON1112080350")</f>
        <v>#NAME?</v>
      </c>
      <c r="M1465" s="28" t="e">
        <f ca="1">[1]!BexGetData("DP_1","003N8EMH8GTFRIVOG7KG9IQXA","GSON1112080350")</f>
        <v>#NAME?</v>
      </c>
      <c r="N1465" s="28" t="e">
        <f ca="1">[1]!BexGetData("DP_1","003N8EMH8GTFRIVOG7KG9IX8U","GSON1112080350")</f>
        <v>#NAME?</v>
      </c>
      <c r="O1465" s="28" t="e">
        <f ca="1">[1]!BexGetData("DP_1","003N8EMH8GTFRIVOG7KG9J3KE","GSON1112080350")</f>
        <v>#NAME?</v>
      </c>
      <c r="P1465" s="28" t="e">
        <f ca="1">[1]!BexGetData("DP_1","003N8EMH8GTFRIVOG7KG9J9VY","GSON1112080350")</f>
        <v>#NAME?</v>
      </c>
      <c r="Q1465" s="23" t="e">
        <f ca="1">[1]!BexGetData("DP_1","00O2TNJGODT0G5Z4TTKYMM5MT","GSON1112080350")</f>
        <v>#NAME?</v>
      </c>
      <c r="R1465" s="23" t="e">
        <f ca="1">[1]!BexGetData("DP_1","00O2TNJGODT0G5Z4TTKYMMBYD","GSON1112080350")</f>
        <v>#NAME?</v>
      </c>
      <c r="S1465" s="23" t="e">
        <f ca="1">[1]!BexGetData("DP_1","00O2TNJGODT0G5Z4TTKYMMI9X","GSON1112080350")</f>
        <v>#NAME?</v>
      </c>
      <c r="T1465" s="23" t="e">
        <f ca="1">[1]!BexGetData("DP_1","00O2TNJGODT0G5Z4TTKYMMOLH","GSON1112080350")</f>
        <v>#NAME?</v>
      </c>
      <c r="U1465" s="28" t="e">
        <f ca="1">[1]!BexGetData("DP_1","00O2TNJGODT0G5Z4TTKYMMUX1","GSON1112080350")</f>
        <v>#NAME?</v>
      </c>
      <c r="V1465" s="23" t="e">
        <f ca="1">[1]!BexGetData("DP_1","00O2TNJGODT0G5Z4TTKYMN18L","GSON1112080350")</f>
        <v>#NAME?</v>
      </c>
      <c r="W1465" s="28" t="e">
        <f ca="1">[1]!BexGetData("DP_1","00O2TNJGODT0G5Z4TTKYMN7K5","GSON1112080350")</f>
        <v>#NAME?</v>
      </c>
    </row>
    <row r="1466" spans="1:23" x14ac:dyDescent="0.2">
      <c r="A1466" s="36" t="s">
        <v>4088</v>
      </c>
      <c r="B1466" s="27" t="s">
        <v>4089</v>
      </c>
      <c r="C1466" s="23" t="e">
        <f ca="1">[1]!BexGetData("DP_1","003N8EMH8GTFRCSWKMPXRR8GU","GSON1112080351")</f>
        <v>#NAME?</v>
      </c>
      <c r="D1466" s="28" t="e">
        <f ca="1">[1]!BexGetData("DP_1","003N8EMH8GTFRCSWKMPXRRESE","GSON1112080351")</f>
        <v>#NAME?</v>
      </c>
      <c r="E1466" s="23" t="e">
        <f ca="1">[1]!BexGetData("DP_1","003N8EMH8GTFRCSWKMPXRRL3Y","GSON1112080351")</f>
        <v>#NAME?</v>
      </c>
      <c r="F1466" s="23" t="e">
        <f ca="1">[1]!BexGetData("DP_1","003N8EMH8GTFRCSWKMPXRRRFI","GSON1112080351")</f>
        <v>#NAME?</v>
      </c>
      <c r="G1466" s="28" t="e">
        <f ca="1">[1]!BexGetData("DP_1","003N8EMH8GTFRCSWKMPXRRXR2","GSON1112080351")</f>
        <v>#NAME?</v>
      </c>
      <c r="H1466" s="23" t="e">
        <f ca="1">[1]!BexGetData("DP_1","003N8EMH8GTFRCSWKMPXRS42M","GSON1112080351")</f>
        <v>#NAME?</v>
      </c>
      <c r="I1466" s="23" t="e">
        <f ca="1">[1]!BexGetData("DP_1","003N8EMH8GTFRCSWKMPXRSAE6","GSON1112080351")</f>
        <v>#NAME?</v>
      </c>
      <c r="J1466" s="24" t="e">
        <f ca="1">[1]!BexGetData("DP_1","003N8EMH8GTFRCSWKMPXRSGPQ","GSON1112080351")</f>
        <v>#NAME?</v>
      </c>
      <c r="K1466" s="23" t="e">
        <f ca="1">[1]!BexGetData("DP_1","003N8EMH8GTFRIVNUPY288VJH","GSON1112080351")</f>
        <v>#NAME?</v>
      </c>
      <c r="L1466" s="23" t="e">
        <f ca="1">[1]!BexGetData("DP_1","003N8EMH8GTFRIVNUPY2891V1","GSON1112080351")</f>
        <v>#NAME?</v>
      </c>
      <c r="M1466" s="28" t="e">
        <f ca="1">[1]!BexGetData("DP_1","003N8EMH8GTFRIVOG7KG9IQXA","GSON1112080351")</f>
        <v>#NAME?</v>
      </c>
      <c r="N1466" s="23" t="e">
        <f ca="1">[1]!BexGetData("DP_1","003N8EMH8GTFRIVOG7KG9IX8U","GSON1112080351")</f>
        <v>#NAME?</v>
      </c>
      <c r="O1466" s="28" t="e">
        <f ca="1">[1]!BexGetData("DP_1","003N8EMH8GTFRIVOG7KG9J3KE","GSON1112080351")</f>
        <v>#NAME?</v>
      </c>
      <c r="P1466" s="23" t="e">
        <f ca="1">[1]!BexGetData("DP_1","003N8EMH8GTFRIVOG7KG9J9VY","GSON1112080351")</f>
        <v>#NAME?</v>
      </c>
      <c r="Q1466" s="24" t="e">
        <f ca="1">[1]!BexGetData("DP_1","00O2TNJGODT0G5Z4TTKYMM5MT","GSON1112080351")</f>
        <v>#NAME?</v>
      </c>
      <c r="R1466" s="23" t="e">
        <f ca="1">[1]!BexGetData("DP_1","00O2TNJGODT0G5Z4TTKYMMBYD","GSON1112080351")</f>
        <v>#NAME?</v>
      </c>
      <c r="S1466" s="23" t="e">
        <f ca="1">[1]!BexGetData("DP_1","00O2TNJGODT0G5Z4TTKYMMI9X","GSON1112080351")</f>
        <v>#NAME?</v>
      </c>
      <c r="T1466" s="23" t="e">
        <f ca="1">[1]!BexGetData("DP_1","00O2TNJGODT0G5Z4TTKYMMOLH","GSON1112080351")</f>
        <v>#NAME?</v>
      </c>
      <c r="U1466" s="28" t="e">
        <f ca="1">[1]!BexGetData("DP_1","00O2TNJGODT0G5Z4TTKYMMUX1","GSON1112080351")</f>
        <v>#NAME?</v>
      </c>
      <c r="V1466" s="23" t="e">
        <f ca="1">[1]!BexGetData("DP_1","00O2TNJGODT0G5Z4TTKYMN18L","GSON1112080351")</f>
        <v>#NAME?</v>
      </c>
      <c r="W1466" s="28" t="e">
        <f ca="1">[1]!BexGetData("DP_1","00O2TNJGODT0G5Z4TTKYMN7K5","GSON1112080351")</f>
        <v>#NAME?</v>
      </c>
    </row>
    <row r="1467" spans="1:23" x14ac:dyDescent="0.2">
      <c r="A1467" s="36" t="s">
        <v>4090</v>
      </c>
      <c r="B1467" s="27" t="s">
        <v>4091</v>
      </c>
      <c r="C1467" s="28" t="e">
        <f ca="1">[1]!BexGetData("DP_1","003N8EMH8GTFRCSWKMPXRR8GU","GSON1112080353")</f>
        <v>#NAME?</v>
      </c>
      <c r="D1467" s="28" t="e">
        <f ca="1">[1]!BexGetData("DP_1","003N8EMH8GTFRCSWKMPXRRESE","GSON1112080353")</f>
        <v>#NAME?</v>
      </c>
      <c r="E1467" s="28" t="e">
        <f ca="1">[1]!BexGetData("DP_1","003N8EMH8GTFRCSWKMPXRRL3Y","GSON1112080353")</f>
        <v>#NAME?</v>
      </c>
      <c r="F1467" s="28" t="e">
        <f ca="1">[1]!BexGetData("DP_1","003N8EMH8GTFRCSWKMPXRRRFI","GSON1112080353")</f>
        <v>#NAME?</v>
      </c>
      <c r="G1467" s="23" t="e">
        <f ca="1">[1]!BexGetData("DP_1","003N8EMH8GTFRCSWKMPXRRXR2","GSON1112080353")</f>
        <v>#NAME?</v>
      </c>
      <c r="H1467" s="23" t="e">
        <f ca="1">[1]!BexGetData("DP_1","003N8EMH8GTFRCSWKMPXRS42M","GSON1112080353")</f>
        <v>#NAME?</v>
      </c>
      <c r="I1467" s="28" t="e">
        <f ca="1">[1]!BexGetData("DP_1","003N8EMH8GTFRCSWKMPXRSAE6","GSON1112080353")</f>
        <v>#NAME?</v>
      </c>
      <c r="J1467" s="24" t="e">
        <f ca="1">[1]!BexGetData("DP_1","003N8EMH8GTFRCSWKMPXRSGPQ","GSON1112080353")</f>
        <v>#NAME?</v>
      </c>
      <c r="K1467" s="28" t="e">
        <f ca="1">[1]!BexGetData("DP_1","003N8EMH8GTFRIVNUPY288VJH","GSON1112080353")</f>
        <v>#NAME?</v>
      </c>
      <c r="L1467" s="28" t="e">
        <f ca="1">[1]!BexGetData("DP_1","003N8EMH8GTFRIVNUPY2891V1","GSON1112080353")</f>
        <v>#NAME?</v>
      </c>
      <c r="M1467" s="28" t="e">
        <f ca="1">[1]!BexGetData("DP_1","003N8EMH8GTFRIVOG7KG9IQXA","GSON1112080353")</f>
        <v>#NAME?</v>
      </c>
      <c r="N1467" s="28" t="e">
        <f ca="1">[1]!BexGetData("DP_1","003N8EMH8GTFRIVOG7KG9IX8U","GSON1112080353")</f>
        <v>#NAME?</v>
      </c>
      <c r="O1467" s="28" t="e">
        <f ca="1">[1]!BexGetData("DP_1","003N8EMH8GTFRIVOG7KG9J3KE","GSON1112080353")</f>
        <v>#NAME?</v>
      </c>
      <c r="P1467" s="28" t="e">
        <f ca="1">[1]!BexGetData("DP_1","003N8EMH8GTFRIVOG7KG9J9VY","GSON1112080353")</f>
        <v>#NAME?</v>
      </c>
      <c r="Q1467" s="24" t="e">
        <f ca="1">[1]!BexGetData("DP_1","00O2TNJGODT0G5Z4TTKYMM5MT","GSON1112080353")</f>
        <v>#NAME?</v>
      </c>
      <c r="R1467" s="28" t="e">
        <f ca="1">[1]!BexGetData("DP_1","00O2TNJGODT0G5Z4TTKYMMBYD","GSON1112080353")</f>
        <v>#NAME?</v>
      </c>
      <c r="S1467" s="28" t="e">
        <f ca="1">[1]!BexGetData("DP_1","00O2TNJGODT0G5Z4TTKYMMI9X","GSON1112080353")</f>
        <v>#NAME?</v>
      </c>
      <c r="T1467" s="28" t="e">
        <f ca="1">[1]!BexGetData("DP_1","00O2TNJGODT0G5Z4TTKYMMOLH","GSON1112080353")</f>
        <v>#NAME?</v>
      </c>
      <c r="U1467" s="28" t="e">
        <f ca="1">[1]!BexGetData("DP_1","00O2TNJGODT0G5Z4TTKYMMUX1","GSON1112080353")</f>
        <v>#NAME?</v>
      </c>
      <c r="V1467" s="28" t="e">
        <f ca="1">[1]!BexGetData("DP_1","00O2TNJGODT0G5Z4TTKYMN18L","GSON1112080353")</f>
        <v>#NAME?</v>
      </c>
      <c r="W1467" s="28" t="e">
        <f ca="1">[1]!BexGetData("DP_1","00O2TNJGODT0G5Z4TTKYMN7K5","GSON1112080353")</f>
        <v>#NAME?</v>
      </c>
    </row>
    <row r="1468" spans="1:23" x14ac:dyDescent="0.2">
      <c r="A1468" s="36" t="s">
        <v>4092</v>
      </c>
      <c r="B1468" s="27" t="s">
        <v>4093</v>
      </c>
      <c r="C1468" s="28" t="e">
        <f ca="1">[1]!BexGetData("DP_1","003N8EMH8GTFRCSWKMPXRR8GU","GSON1112080354")</f>
        <v>#NAME?</v>
      </c>
      <c r="D1468" s="28" t="e">
        <f ca="1">[1]!BexGetData("DP_1","003N8EMH8GTFRCSWKMPXRRESE","GSON1112080354")</f>
        <v>#NAME?</v>
      </c>
      <c r="E1468" s="28" t="e">
        <f ca="1">[1]!BexGetData("DP_1","003N8EMH8GTFRCSWKMPXRRL3Y","GSON1112080354")</f>
        <v>#NAME?</v>
      </c>
      <c r="F1468" s="28" t="e">
        <f ca="1">[1]!BexGetData("DP_1","003N8EMH8GTFRCSWKMPXRRRFI","GSON1112080354")</f>
        <v>#NAME?</v>
      </c>
      <c r="G1468" s="23" t="e">
        <f ca="1">[1]!BexGetData("DP_1","003N8EMH8GTFRCSWKMPXRRXR2","GSON1112080354")</f>
        <v>#NAME?</v>
      </c>
      <c r="H1468" s="23" t="e">
        <f ca="1">[1]!BexGetData("DP_1","003N8EMH8GTFRCSWKMPXRS42M","GSON1112080354")</f>
        <v>#NAME?</v>
      </c>
      <c r="I1468" s="28" t="e">
        <f ca="1">[1]!BexGetData("DP_1","003N8EMH8GTFRCSWKMPXRSAE6","GSON1112080354")</f>
        <v>#NAME?</v>
      </c>
      <c r="J1468" s="24" t="e">
        <f ca="1">[1]!BexGetData("DP_1","003N8EMH8GTFRCSWKMPXRSGPQ","GSON1112080354")</f>
        <v>#NAME?</v>
      </c>
      <c r="K1468" s="28" t="e">
        <f ca="1">[1]!BexGetData("DP_1","003N8EMH8GTFRIVNUPY288VJH","GSON1112080354")</f>
        <v>#NAME?</v>
      </c>
      <c r="L1468" s="28" t="e">
        <f ca="1">[1]!BexGetData("DP_1","003N8EMH8GTFRIVNUPY2891V1","GSON1112080354")</f>
        <v>#NAME?</v>
      </c>
      <c r="M1468" s="28" t="e">
        <f ca="1">[1]!BexGetData("DP_1","003N8EMH8GTFRIVOG7KG9IQXA","GSON1112080354")</f>
        <v>#NAME?</v>
      </c>
      <c r="N1468" s="28" t="e">
        <f ca="1">[1]!BexGetData("DP_1","003N8EMH8GTFRIVOG7KG9IX8U","GSON1112080354")</f>
        <v>#NAME?</v>
      </c>
      <c r="O1468" s="28" t="e">
        <f ca="1">[1]!BexGetData("DP_1","003N8EMH8GTFRIVOG7KG9J3KE","GSON1112080354")</f>
        <v>#NAME?</v>
      </c>
      <c r="P1468" s="28" t="e">
        <f ca="1">[1]!BexGetData("DP_1","003N8EMH8GTFRIVOG7KG9J9VY","GSON1112080354")</f>
        <v>#NAME?</v>
      </c>
      <c r="Q1468" s="24" t="e">
        <f ca="1">[1]!BexGetData("DP_1","00O2TNJGODT0G5Z4TTKYMM5MT","GSON1112080354")</f>
        <v>#NAME?</v>
      </c>
      <c r="R1468" s="28" t="e">
        <f ca="1">[1]!BexGetData("DP_1","00O2TNJGODT0G5Z4TTKYMMBYD","GSON1112080354")</f>
        <v>#NAME?</v>
      </c>
      <c r="S1468" s="28" t="e">
        <f ca="1">[1]!BexGetData("DP_1","00O2TNJGODT0G5Z4TTKYMMI9X","GSON1112080354")</f>
        <v>#NAME?</v>
      </c>
      <c r="T1468" s="28" t="e">
        <f ca="1">[1]!BexGetData("DP_1","00O2TNJGODT0G5Z4TTKYMMOLH","GSON1112080354")</f>
        <v>#NAME?</v>
      </c>
      <c r="U1468" s="28" t="e">
        <f ca="1">[1]!BexGetData("DP_1","00O2TNJGODT0G5Z4TTKYMMUX1","GSON1112080354")</f>
        <v>#NAME?</v>
      </c>
      <c r="V1468" s="28" t="e">
        <f ca="1">[1]!BexGetData("DP_1","00O2TNJGODT0G5Z4TTKYMN18L","GSON1112080354")</f>
        <v>#NAME?</v>
      </c>
      <c r="W1468" s="28" t="e">
        <f ca="1">[1]!BexGetData("DP_1","00O2TNJGODT0G5Z4TTKYMN7K5","GSON1112080354")</f>
        <v>#NAME?</v>
      </c>
    </row>
    <row r="1469" spans="1:23" x14ac:dyDescent="0.2">
      <c r="A1469" s="36" t="s">
        <v>4094</v>
      </c>
      <c r="B1469" s="27" t="s">
        <v>4095</v>
      </c>
      <c r="C1469" s="28" t="e">
        <f ca="1">[1]!BexGetData("DP_1","003N8EMH8GTFRCSWKMPXRR8GU","GSON1112080360")</f>
        <v>#NAME?</v>
      </c>
      <c r="D1469" s="28" t="e">
        <f ca="1">[1]!BexGetData("DP_1","003N8EMH8GTFRCSWKMPXRRESE","GSON1112080360")</f>
        <v>#NAME?</v>
      </c>
      <c r="E1469" s="28" t="e">
        <f ca="1">[1]!BexGetData("DP_1","003N8EMH8GTFRCSWKMPXRRL3Y","GSON1112080360")</f>
        <v>#NAME?</v>
      </c>
      <c r="F1469" s="28" t="e">
        <f ca="1">[1]!BexGetData("DP_1","003N8EMH8GTFRCSWKMPXRRRFI","GSON1112080360")</f>
        <v>#NAME?</v>
      </c>
      <c r="G1469" s="23" t="e">
        <f ca="1">[1]!BexGetData("DP_1","003N8EMH8GTFRCSWKMPXRRXR2","GSON1112080360")</f>
        <v>#NAME?</v>
      </c>
      <c r="H1469" s="23" t="e">
        <f ca="1">[1]!BexGetData("DP_1","003N8EMH8GTFRCSWKMPXRS42M","GSON1112080360")</f>
        <v>#NAME?</v>
      </c>
      <c r="I1469" s="28" t="e">
        <f ca="1">[1]!BexGetData("DP_1","003N8EMH8GTFRCSWKMPXRSAE6","GSON1112080360")</f>
        <v>#NAME?</v>
      </c>
      <c r="J1469" s="24" t="e">
        <f ca="1">[1]!BexGetData("DP_1","003N8EMH8GTFRCSWKMPXRSGPQ","GSON1112080360")</f>
        <v>#NAME?</v>
      </c>
      <c r="K1469" s="28" t="e">
        <f ca="1">[1]!BexGetData("DP_1","003N8EMH8GTFRIVNUPY288VJH","GSON1112080360")</f>
        <v>#NAME?</v>
      </c>
      <c r="L1469" s="28" t="e">
        <f ca="1">[1]!BexGetData("DP_1","003N8EMH8GTFRIVNUPY2891V1","GSON1112080360")</f>
        <v>#NAME?</v>
      </c>
      <c r="M1469" s="28" t="e">
        <f ca="1">[1]!BexGetData("DP_1","003N8EMH8GTFRIVOG7KG9IQXA","GSON1112080360")</f>
        <v>#NAME?</v>
      </c>
      <c r="N1469" s="28" t="e">
        <f ca="1">[1]!BexGetData("DP_1","003N8EMH8GTFRIVOG7KG9IX8U","GSON1112080360")</f>
        <v>#NAME?</v>
      </c>
      <c r="O1469" s="28" t="e">
        <f ca="1">[1]!BexGetData("DP_1","003N8EMH8GTFRIVOG7KG9J3KE","GSON1112080360")</f>
        <v>#NAME?</v>
      </c>
      <c r="P1469" s="28" t="e">
        <f ca="1">[1]!BexGetData("DP_1","003N8EMH8GTFRIVOG7KG9J9VY","GSON1112080360")</f>
        <v>#NAME?</v>
      </c>
      <c r="Q1469" s="24" t="e">
        <f ca="1">[1]!BexGetData("DP_1","00O2TNJGODT0G5Z4TTKYMM5MT","GSON1112080360")</f>
        <v>#NAME?</v>
      </c>
      <c r="R1469" s="28" t="e">
        <f ca="1">[1]!BexGetData("DP_1","00O2TNJGODT0G5Z4TTKYMMBYD","GSON1112080360")</f>
        <v>#NAME?</v>
      </c>
      <c r="S1469" s="28" t="e">
        <f ca="1">[1]!BexGetData("DP_1","00O2TNJGODT0G5Z4TTKYMMI9X","GSON1112080360")</f>
        <v>#NAME?</v>
      </c>
      <c r="T1469" s="28" t="e">
        <f ca="1">[1]!BexGetData("DP_1","00O2TNJGODT0G5Z4TTKYMMOLH","GSON1112080360")</f>
        <v>#NAME?</v>
      </c>
      <c r="U1469" s="28" t="e">
        <f ca="1">[1]!BexGetData("DP_1","00O2TNJGODT0G5Z4TTKYMMUX1","GSON1112080360")</f>
        <v>#NAME?</v>
      </c>
      <c r="V1469" s="28" t="e">
        <f ca="1">[1]!BexGetData("DP_1","00O2TNJGODT0G5Z4TTKYMN18L","GSON1112080360")</f>
        <v>#NAME?</v>
      </c>
      <c r="W1469" s="28" t="e">
        <f ca="1">[1]!BexGetData("DP_1","00O2TNJGODT0G5Z4TTKYMN7K5","GSON1112080360")</f>
        <v>#NAME?</v>
      </c>
    </row>
    <row r="1470" spans="1:23" x14ac:dyDescent="0.2">
      <c r="A1470" s="36" t="s">
        <v>1083</v>
      </c>
      <c r="B1470" s="27" t="s">
        <v>1084</v>
      </c>
      <c r="C1470" s="28" t="e">
        <f ca="1">[1]!BexGetData("DP_1","003N8EMH8GTFRCSWKMPXRR8GU","GSON1112080361")</f>
        <v>#NAME?</v>
      </c>
      <c r="D1470" s="28" t="e">
        <f ca="1">[1]!BexGetData("DP_1","003N8EMH8GTFRCSWKMPXRRESE","GSON1112080361")</f>
        <v>#NAME?</v>
      </c>
      <c r="E1470" s="28" t="e">
        <f ca="1">[1]!BexGetData("DP_1","003N8EMH8GTFRCSWKMPXRRL3Y","GSON1112080361")</f>
        <v>#NAME?</v>
      </c>
      <c r="F1470" s="28" t="e">
        <f ca="1">[1]!BexGetData("DP_1","003N8EMH8GTFRCSWKMPXRRRFI","GSON1112080361")</f>
        <v>#NAME?</v>
      </c>
      <c r="G1470" s="23" t="e">
        <f ca="1">[1]!BexGetData("DP_1","003N8EMH8GTFRCSWKMPXRRXR2","GSON1112080361")</f>
        <v>#NAME?</v>
      </c>
      <c r="H1470" s="23" t="e">
        <f ca="1">[1]!BexGetData("DP_1","003N8EMH8GTFRCSWKMPXRS42M","GSON1112080361")</f>
        <v>#NAME?</v>
      </c>
      <c r="I1470" s="28" t="e">
        <f ca="1">[1]!BexGetData("DP_1","003N8EMH8GTFRCSWKMPXRSAE6","GSON1112080361")</f>
        <v>#NAME?</v>
      </c>
      <c r="J1470" s="24" t="e">
        <f ca="1">[1]!BexGetData("DP_1","003N8EMH8GTFRCSWKMPXRSGPQ","GSON1112080361")</f>
        <v>#NAME?</v>
      </c>
      <c r="K1470" s="28" t="e">
        <f ca="1">[1]!BexGetData("DP_1","003N8EMH8GTFRIVNUPY288VJH","GSON1112080361")</f>
        <v>#NAME?</v>
      </c>
      <c r="L1470" s="28" t="e">
        <f ca="1">[1]!BexGetData("DP_1","003N8EMH8GTFRIVNUPY2891V1","GSON1112080361")</f>
        <v>#NAME?</v>
      </c>
      <c r="M1470" s="28" t="e">
        <f ca="1">[1]!BexGetData("DP_1","003N8EMH8GTFRIVOG7KG9IQXA","GSON1112080361")</f>
        <v>#NAME?</v>
      </c>
      <c r="N1470" s="28" t="e">
        <f ca="1">[1]!BexGetData("DP_1","003N8EMH8GTFRIVOG7KG9IX8U","GSON1112080361")</f>
        <v>#NAME?</v>
      </c>
      <c r="O1470" s="28" t="e">
        <f ca="1">[1]!BexGetData("DP_1","003N8EMH8GTFRIVOG7KG9J3KE","GSON1112080361")</f>
        <v>#NAME?</v>
      </c>
      <c r="P1470" s="28" t="e">
        <f ca="1">[1]!BexGetData("DP_1","003N8EMH8GTFRIVOG7KG9J9VY","GSON1112080361")</f>
        <v>#NAME?</v>
      </c>
      <c r="Q1470" s="24" t="e">
        <f ca="1">[1]!BexGetData("DP_1","00O2TNJGODT0G5Z4TTKYMM5MT","GSON1112080361")</f>
        <v>#NAME?</v>
      </c>
      <c r="R1470" s="28" t="e">
        <f ca="1">[1]!BexGetData("DP_1","00O2TNJGODT0G5Z4TTKYMMBYD","GSON1112080361")</f>
        <v>#NAME?</v>
      </c>
      <c r="S1470" s="28" t="e">
        <f ca="1">[1]!BexGetData("DP_1","00O2TNJGODT0G5Z4TTKYMMI9X","GSON1112080361")</f>
        <v>#NAME?</v>
      </c>
      <c r="T1470" s="28" t="e">
        <f ca="1">[1]!BexGetData("DP_1","00O2TNJGODT0G5Z4TTKYMMOLH","GSON1112080361")</f>
        <v>#NAME?</v>
      </c>
      <c r="U1470" s="28" t="e">
        <f ca="1">[1]!BexGetData("DP_1","00O2TNJGODT0G5Z4TTKYMMUX1","GSON1112080361")</f>
        <v>#NAME?</v>
      </c>
      <c r="V1470" s="28" t="e">
        <f ca="1">[1]!BexGetData("DP_1","00O2TNJGODT0G5Z4TTKYMN18L","GSON1112080361")</f>
        <v>#NAME?</v>
      </c>
      <c r="W1470" s="28" t="e">
        <f ca="1">[1]!BexGetData("DP_1","00O2TNJGODT0G5Z4TTKYMN7K5","GSON1112080361")</f>
        <v>#NAME?</v>
      </c>
    </row>
    <row r="1471" spans="1:23" x14ac:dyDescent="0.2">
      <c r="A1471" s="36" t="s">
        <v>4096</v>
      </c>
      <c r="B1471" s="27" t="s">
        <v>4097</v>
      </c>
      <c r="C1471" s="28" t="e">
        <f ca="1">[1]!BexGetData("DP_1","003N8EMH8GTFRCSWKMPXRR8GU","GSON1112080364")</f>
        <v>#NAME?</v>
      </c>
      <c r="D1471" s="28" t="e">
        <f ca="1">[1]!BexGetData("DP_1","003N8EMH8GTFRCSWKMPXRRESE","GSON1112080364")</f>
        <v>#NAME?</v>
      </c>
      <c r="E1471" s="28" t="e">
        <f ca="1">[1]!BexGetData("DP_1","003N8EMH8GTFRCSWKMPXRRL3Y","GSON1112080364")</f>
        <v>#NAME?</v>
      </c>
      <c r="F1471" s="28" t="e">
        <f ca="1">[1]!BexGetData("DP_1","003N8EMH8GTFRCSWKMPXRRRFI","GSON1112080364")</f>
        <v>#NAME?</v>
      </c>
      <c r="G1471" s="23" t="e">
        <f ca="1">[1]!BexGetData("DP_1","003N8EMH8GTFRCSWKMPXRRXR2","GSON1112080364")</f>
        <v>#NAME?</v>
      </c>
      <c r="H1471" s="23" t="e">
        <f ca="1">[1]!BexGetData("DP_1","003N8EMH8GTFRCSWKMPXRS42M","GSON1112080364")</f>
        <v>#NAME?</v>
      </c>
      <c r="I1471" s="28" t="e">
        <f ca="1">[1]!BexGetData("DP_1","003N8EMH8GTFRCSWKMPXRSAE6","GSON1112080364")</f>
        <v>#NAME?</v>
      </c>
      <c r="J1471" s="24" t="e">
        <f ca="1">[1]!BexGetData("DP_1","003N8EMH8GTFRCSWKMPXRSGPQ","GSON1112080364")</f>
        <v>#NAME?</v>
      </c>
      <c r="K1471" s="28" t="e">
        <f ca="1">[1]!BexGetData("DP_1","003N8EMH8GTFRIVNUPY288VJH","GSON1112080364")</f>
        <v>#NAME?</v>
      </c>
      <c r="L1471" s="28" t="e">
        <f ca="1">[1]!BexGetData("DP_1","003N8EMH8GTFRIVNUPY2891V1","GSON1112080364")</f>
        <v>#NAME?</v>
      </c>
      <c r="M1471" s="28" t="e">
        <f ca="1">[1]!BexGetData("DP_1","003N8EMH8GTFRIVOG7KG9IQXA","GSON1112080364")</f>
        <v>#NAME?</v>
      </c>
      <c r="N1471" s="28" t="e">
        <f ca="1">[1]!BexGetData("DP_1","003N8EMH8GTFRIVOG7KG9IX8U","GSON1112080364")</f>
        <v>#NAME?</v>
      </c>
      <c r="O1471" s="28" t="e">
        <f ca="1">[1]!BexGetData("DP_1","003N8EMH8GTFRIVOG7KG9J3KE","GSON1112080364")</f>
        <v>#NAME?</v>
      </c>
      <c r="P1471" s="28" t="e">
        <f ca="1">[1]!BexGetData("DP_1","003N8EMH8GTFRIVOG7KG9J9VY","GSON1112080364")</f>
        <v>#NAME?</v>
      </c>
      <c r="Q1471" s="24" t="e">
        <f ca="1">[1]!BexGetData("DP_1","00O2TNJGODT0G5Z4TTKYMM5MT","GSON1112080364")</f>
        <v>#NAME?</v>
      </c>
      <c r="R1471" s="28" t="e">
        <f ca="1">[1]!BexGetData("DP_1","00O2TNJGODT0G5Z4TTKYMMBYD","GSON1112080364")</f>
        <v>#NAME?</v>
      </c>
      <c r="S1471" s="28" t="e">
        <f ca="1">[1]!BexGetData("DP_1","00O2TNJGODT0G5Z4TTKYMMI9X","GSON1112080364")</f>
        <v>#NAME?</v>
      </c>
      <c r="T1471" s="28" t="e">
        <f ca="1">[1]!BexGetData("DP_1","00O2TNJGODT0G5Z4TTKYMMOLH","GSON1112080364")</f>
        <v>#NAME?</v>
      </c>
      <c r="U1471" s="28" t="e">
        <f ca="1">[1]!BexGetData("DP_1","00O2TNJGODT0G5Z4TTKYMMUX1","GSON1112080364")</f>
        <v>#NAME?</v>
      </c>
      <c r="V1471" s="28" t="e">
        <f ca="1">[1]!BexGetData("DP_1","00O2TNJGODT0G5Z4TTKYMN18L","GSON1112080364")</f>
        <v>#NAME?</v>
      </c>
      <c r="W1471" s="28" t="e">
        <f ca="1">[1]!BexGetData("DP_1","00O2TNJGODT0G5Z4TTKYMN7K5","GSON1112080364")</f>
        <v>#NAME?</v>
      </c>
    </row>
    <row r="1472" spans="1:23" x14ac:dyDescent="0.2">
      <c r="A1472" s="36" t="s">
        <v>4098</v>
      </c>
      <c r="B1472" s="27" t="s">
        <v>4099</v>
      </c>
      <c r="C1472" s="23" t="e">
        <f ca="1">[1]!BexGetData("DP_1","003N8EMH8GTFRCSWKMPXRR8GU","GSON1112080370")</f>
        <v>#NAME?</v>
      </c>
      <c r="D1472" s="23" t="e">
        <f ca="1">[1]!BexGetData("DP_1","003N8EMH8GTFRCSWKMPXRRESE","GSON1112080370")</f>
        <v>#NAME?</v>
      </c>
      <c r="E1472" s="28" t="e">
        <f ca="1">[1]!BexGetData("DP_1","003N8EMH8GTFRCSWKMPXRRL3Y","GSON1112080370")</f>
        <v>#NAME?</v>
      </c>
      <c r="F1472" s="23" t="e">
        <f ca="1">[1]!BexGetData("DP_1","003N8EMH8GTFRCSWKMPXRRRFI","GSON1112080370")</f>
        <v>#NAME?</v>
      </c>
      <c r="G1472" s="23" t="e">
        <f ca="1">[1]!BexGetData("DP_1","003N8EMH8GTFRCSWKMPXRRXR2","GSON1112080370")</f>
        <v>#NAME?</v>
      </c>
      <c r="H1472" s="23" t="e">
        <f ca="1">[1]!BexGetData("DP_1","003N8EMH8GTFRCSWKMPXRS42M","GSON1112080370")</f>
        <v>#NAME?</v>
      </c>
      <c r="I1472" s="23" t="e">
        <f ca="1">[1]!BexGetData("DP_1","003N8EMH8GTFRCSWKMPXRSAE6","GSON1112080370")</f>
        <v>#NAME?</v>
      </c>
      <c r="J1472" s="24" t="e">
        <f ca="1">[1]!BexGetData("DP_1","003N8EMH8GTFRCSWKMPXRSGPQ","GSON1112080370")</f>
        <v>#NAME?</v>
      </c>
      <c r="K1472" s="23" t="e">
        <f ca="1">[1]!BexGetData("DP_1","003N8EMH8GTFRIVNUPY288VJH","GSON1112080370")</f>
        <v>#NAME?</v>
      </c>
      <c r="L1472" s="23" t="e">
        <f ca="1">[1]!BexGetData("DP_1","003N8EMH8GTFRIVNUPY2891V1","GSON1112080370")</f>
        <v>#NAME?</v>
      </c>
      <c r="M1472" s="23" t="e">
        <f ca="1">[1]!BexGetData("DP_1","003N8EMH8GTFRIVOG7KG9IQXA","GSON1112080370")</f>
        <v>#NAME?</v>
      </c>
      <c r="N1472" s="28" t="e">
        <f ca="1">[1]!BexGetData("DP_1","003N8EMH8GTFRIVOG7KG9IX8U","GSON1112080370")</f>
        <v>#NAME?</v>
      </c>
      <c r="O1472" s="23" t="e">
        <f ca="1">[1]!BexGetData("DP_1","003N8EMH8GTFRIVOG7KG9J3KE","GSON1112080370")</f>
        <v>#NAME?</v>
      </c>
      <c r="P1472" s="28" t="e">
        <f ca="1">[1]!BexGetData("DP_1","003N8EMH8GTFRIVOG7KG9J9VY","GSON1112080370")</f>
        <v>#NAME?</v>
      </c>
      <c r="Q1472" s="24" t="e">
        <f ca="1">[1]!BexGetData("DP_1","00O2TNJGODT0G5Z4TTKYMM5MT","GSON1112080370")</f>
        <v>#NAME?</v>
      </c>
      <c r="R1472" s="23" t="e">
        <f ca="1">[1]!BexGetData("DP_1","00O2TNJGODT0G5Z4TTKYMMBYD","GSON1112080370")</f>
        <v>#NAME?</v>
      </c>
      <c r="S1472" s="23" t="e">
        <f ca="1">[1]!BexGetData("DP_1","00O2TNJGODT0G5Z4TTKYMMI9X","GSON1112080370")</f>
        <v>#NAME?</v>
      </c>
      <c r="T1472" s="28" t="e">
        <f ca="1">[1]!BexGetData("DP_1","00O2TNJGODT0G5Z4TTKYMMOLH","GSON1112080370")</f>
        <v>#NAME?</v>
      </c>
      <c r="U1472" s="23" t="e">
        <f ca="1">[1]!BexGetData("DP_1","00O2TNJGODT0G5Z4TTKYMMUX1","GSON1112080370")</f>
        <v>#NAME?</v>
      </c>
      <c r="V1472" s="28" t="e">
        <f ca="1">[1]!BexGetData("DP_1","00O2TNJGODT0G5Z4TTKYMN18L","GSON1112080370")</f>
        <v>#NAME?</v>
      </c>
      <c r="W1472" s="23" t="e">
        <f ca="1">[1]!BexGetData("DP_1","00O2TNJGODT0G5Z4TTKYMN7K5","GSON1112080370")</f>
        <v>#NAME?</v>
      </c>
    </row>
    <row r="1473" spans="1:23" x14ac:dyDescent="0.2">
      <c r="A1473" s="36" t="s">
        <v>1085</v>
      </c>
      <c r="B1473" s="27" t="s">
        <v>1086</v>
      </c>
      <c r="C1473" s="23" t="e">
        <f ca="1">[1]!BexGetData("DP_1","003N8EMH8GTFRCSWKMPXRR8GU","GSON1112080371")</f>
        <v>#NAME?</v>
      </c>
      <c r="D1473" s="23" t="e">
        <f ca="1">[1]!BexGetData("DP_1","003N8EMH8GTFRCSWKMPXRRESE","GSON1112080371")</f>
        <v>#NAME?</v>
      </c>
      <c r="E1473" s="23" t="e">
        <f ca="1">[1]!BexGetData("DP_1","003N8EMH8GTFRCSWKMPXRRL3Y","GSON1112080371")</f>
        <v>#NAME?</v>
      </c>
      <c r="F1473" s="23" t="e">
        <f ca="1">[1]!BexGetData("DP_1","003N8EMH8GTFRCSWKMPXRRRFI","GSON1112080371")</f>
        <v>#NAME?</v>
      </c>
      <c r="G1473" s="23" t="e">
        <f ca="1">[1]!BexGetData("DP_1","003N8EMH8GTFRCSWKMPXRRXR2","GSON1112080371")</f>
        <v>#NAME?</v>
      </c>
      <c r="H1473" s="23" t="e">
        <f ca="1">[1]!BexGetData("DP_1","003N8EMH8GTFRCSWKMPXRS42M","GSON1112080371")</f>
        <v>#NAME?</v>
      </c>
      <c r="I1473" s="23" t="e">
        <f ca="1">[1]!BexGetData("DP_1","003N8EMH8GTFRCSWKMPXRSAE6","GSON1112080371")</f>
        <v>#NAME?</v>
      </c>
      <c r="J1473" s="24" t="e">
        <f ca="1">[1]!BexGetData("DP_1","003N8EMH8GTFRCSWKMPXRSGPQ","GSON1112080371")</f>
        <v>#NAME?</v>
      </c>
      <c r="K1473" s="23" t="e">
        <f ca="1">[1]!BexGetData("DP_1","003N8EMH8GTFRIVNUPY288VJH","GSON1112080371")</f>
        <v>#NAME?</v>
      </c>
      <c r="L1473" s="23" t="e">
        <f ca="1">[1]!BexGetData("DP_1","003N8EMH8GTFRIVNUPY2891V1","GSON1112080371")</f>
        <v>#NAME?</v>
      </c>
      <c r="M1473" s="28" t="e">
        <f ca="1">[1]!BexGetData("DP_1","003N8EMH8GTFRIVOG7KG9IQXA","GSON1112080371")</f>
        <v>#NAME?</v>
      </c>
      <c r="N1473" s="23" t="e">
        <f ca="1">[1]!BexGetData("DP_1","003N8EMH8GTFRIVOG7KG9IX8U","GSON1112080371")</f>
        <v>#NAME?</v>
      </c>
      <c r="O1473" s="28" t="e">
        <f ca="1">[1]!BexGetData("DP_1","003N8EMH8GTFRIVOG7KG9J3KE","GSON1112080371")</f>
        <v>#NAME?</v>
      </c>
      <c r="P1473" s="23" t="e">
        <f ca="1">[1]!BexGetData("DP_1","003N8EMH8GTFRIVOG7KG9J9VY","GSON1112080371")</f>
        <v>#NAME?</v>
      </c>
      <c r="Q1473" s="24" t="e">
        <f ca="1">[1]!BexGetData("DP_1","00O2TNJGODT0G5Z4TTKYMM5MT","GSON1112080371")</f>
        <v>#NAME?</v>
      </c>
      <c r="R1473" s="23" t="e">
        <f ca="1">[1]!BexGetData("DP_1","00O2TNJGODT0G5Z4TTKYMMBYD","GSON1112080371")</f>
        <v>#NAME?</v>
      </c>
      <c r="S1473" s="23" t="e">
        <f ca="1">[1]!BexGetData("DP_1","00O2TNJGODT0G5Z4TTKYMMI9X","GSON1112080371")</f>
        <v>#NAME?</v>
      </c>
      <c r="T1473" s="23" t="e">
        <f ca="1">[1]!BexGetData("DP_1","00O2TNJGODT0G5Z4TTKYMMOLH","GSON1112080371")</f>
        <v>#NAME?</v>
      </c>
      <c r="U1473" s="28" t="e">
        <f ca="1">[1]!BexGetData("DP_1","00O2TNJGODT0G5Z4TTKYMMUX1","GSON1112080371")</f>
        <v>#NAME?</v>
      </c>
      <c r="V1473" s="23" t="e">
        <f ca="1">[1]!BexGetData("DP_1","00O2TNJGODT0G5Z4TTKYMN18L","GSON1112080371")</f>
        <v>#NAME?</v>
      </c>
      <c r="W1473" s="28" t="e">
        <f ca="1">[1]!BexGetData("DP_1","00O2TNJGODT0G5Z4TTKYMN7K5","GSON1112080371")</f>
        <v>#NAME?</v>
      </c>
    </row>
    <row r="1474" spans="1:23" x14ac:dyDescent="0.2">
      <c r="A1474" s="36" t="s">
        <v>4100</v>
      </c>
      <c r="B1474" s="27" t="s">
        <v>4101</v>
      </c>
      <c r="C1474" s="23" t="e">
        <f ca="1">[1]!BexGetData("DP_1","003N8EMH8GTFRCSWKMPXRR8GU","GSON1112080373")</f>
        <v>#NAME?</v>
      </c>
      <c r="D1474" s="23" t="e">
        <f ca="1">[1]!BexGetData("DP_1","003N8EMH8GTFRCSWKMPXRRESE","GSON1112080373")</f>
        <v>#NAME?</v>
      </c>
      <c r="E1474" s="28" t="e">
        <f ca="1">[1]!BexGetData("DP_1","003N8EMH8GTFRCSWKMPXRRL3Y","GSON1112080373")</f>
        <v>#NAME?</v>
      </c>
      <c r="F1474" s="23" t="e">
        <f ca="1">[1]!BexGetData("DP_1","003N8EMH8GTFRCSWKMPXRRRFI","GSON1112080373")</f>
        <v>#NAME?</v>
      </c>
      <c r="G1474" s="23" t="e">
        <f ca="1">[1]!BexGetData("DP_1","003N8EMH8GTFRCSWKMPXRRXR2","GSON1112080373")</f>
        <v>#NAME?</v>
      </c>
      <c r="H1474" s="23" t="e">
        <f ca="1">[1]!BexGetData("DP_1","003N8EMH8GTFRCSWKMPXRS42M","GSON1112080373")</f>
        <v>#NAME?</v>
      </c>
      <c r="I1474" s="23" t="e">
        <f ca="1">[1]!BexGetData("DP_1","003N8EMH8GTFRCSWKMPXRSAE6","GSON1112080373")</f>
        <v>#NAME?</v>
      </c>
      <c r="J1474" s="24" t="e">
        <f ca="1">[1]!BexGetData("DP_1","003N8EMH8GTFRCSWKMPXRSGPQ","GSON1112080373")</f>
        <v>#NAME?</v>
      </c>
      <c r="K1474" s="23" t="e">
        <f ca="1">[1]!BexGetData("DP_1","003N8EMH8GTFRIVNUPY288VJH","GSON1112080373")</f>
        <v>#NAME?</v>
      </c>
      <c r="L1474" s="23" t="e">
        <f ca="1">[1]!BexGetData("DP_1","003N8EMH8GTFRIVNUPY2891V1","GSON1112080373")</f>
        <v>#NAME?</v>
      </c>
      <c r="M1474" s="28" t="e">
        <f ca="1">[1]!BexGetData("DP_1","003N8EMH8GTFRIVOG7KG9IQXA","GSON1112080373")</f>
        <v>#NAME?</v>
      </c>
      <c r="N1474" s="23" t="e">
        <f ca="1">[1]!BexGetData("DP_1","003N8EMH8GTFRIVOG7KG9IX8U","GSON1112080373")</f>
        <v>#NAME?</v>
      </c>
      <c r="O1474" s="28" t="e">
        <f ca="1">[1]!BexGetData("DP_1","003N8EMH8GTFRIVOG7KG9J3KE","GSON1112080373")</f>
        <v>#NAME?</v>
      </c>
      <c r="P1474" s="23" t="e">
        <f ca="1">[1]!BexGetData("DP_1","003N8EMH8GTFRIVOG7KG9J9VY","GSON1112080373")</f>
        <v>#NAME?</v>
      </c>
      <c r="Q1474" s="24" t="e">
        <f ca="1">[1]!BexGetData("DP_1","00O2TNJGODT0G5Z4TTKYMM5MT","GSON1112080373")</f>
        <v>#NAME?</v>
      </c>
      <c r="R1474" s="23" t="e">
        <f ca="1">[1]!BexGetData("DP_1","00O2TNJGODT0G5Z4TTKYMMBYD","GSON1112080373")</f>
        <v>#NAME?</v>
      </c>
      <c r="S1474" s="23" t="e">
        <f ca="1">[1]!BexGetData("DP_1","00O2TNJGODT0G5Z4TTKYMMI9X","GSON1112080373")</f>
        <v>#NAME?</v>
      </c>
      <c r="T1474" s="23" t="e">
        <f ca="1">[1]!BexGetData("DP_1","00O2TNJGODT0G5Z4TTKYMMOLH","GSON1112080373")</f>
        <v>#NAME?</v>
      </c>
      <c r="U1474" s="28" t="e">
        <f ca="1">[1]!BexGetData("DP_1","00O2TNJGODT0G5Z4TTKYMMUX1","GSON1112080373")</f>
        <v>#NAME?</v>
      </c>
      <c r="V1474" s="23" t="e">
        <f ca="1">[1]!BexGetData("DP_1","00O2TNJGODT0G5Z4TTKYMN18L","GSON1112080373")</f>
        <v>#NAME?</v>
      </c>
      <c r="W1474" s="28" t="e">
        <f ca="1">[1]!BexGetData("DP_1","00O2TNJGODT0G5Z4TTKYMN7K5","GSON1112080373")</f>
        <v>#NAME?</v>
      </c>
    </row>
    <row r="1475" spans="1:23" x14ac:dyDescent="0.2">
      <c r="A1475" s="36" t="s">
        <v>4102</v>
      </c>
      <c r="B1475" s="27" t="s">
        <v>4103</v>
      </c>
      <c r="C1475" s="28" t="e">
        <f ca="1">[1]!BexGetData("DP_1","003N8EMH8GTFRCSWKMPXRR8GU","GSON1112080374")</f>
        <v>#NAME?</v>
      </c>
      <c r="D1475" s="28" t="e">
        <f ca="1">[1]!BexGetData("DP_1","003N8EMH8GTFRCSWKMPXRRESE","GSON1112080374")</f>
        <v>#NAME?</v>
      </c>
      <c r="E1475" s="28" t="e">
        <f ca="1">[1]!BexGetData("DP_1","003N8EMH8GTFRCSWKMPXRRL3Y","GSON1112080374")</f>
        <v>#NAME?</v>
      </c>
      <c r="F1475" s="28" t="e">
        <f ca="1">[1]!BexGetData("DP_1","003N8EMH8GTFRCSWKMPXRRRFI","GSON1112080374")</f>
        <v>#NAME?</v>
      </c>
      <c r="G1475" s="23" t="e">
        <f ca="1">[1]!BexGetData("DP_1","003N8EMH8GTFRCSWKMPXRRXR2","GSON1112080374")</f>
        <v>#NAME?</v>
      </c>
      <c r="H1475" s="23" t="e">
        <f ca="1">[1]!BexGetData("DP_1","003N8EMH8GTFRCSWKMPXRS42M","GSON1112080374")</f>
        <v>#NAME?</v>
      </c>
      <c r="I1475" s="28" t="e">
        <f ca="1">[1]!BexGetData("DP_1","003N8EMH8GTFRCSWKMPXRSAE6","GSON1112080374")</f>
        <v>#NAME?</v>
      </c>
      <c r="J1475" s="24" t="e">
        <f ca="1">[1]!BexGetData("DP_1","003N8EMH8GTFRCSWKMPXRSGPQ","GSON1112080374")</f>
        <v>#NAME?</v>
      </c>
      <c r="K1475" s="28" t="e">
        <f ca="1">[1]!BexGetData("DP_1","003N8EMH8GTFRIVNUPY288VJH","GSON1112080374")</f>
        <v>#NAME?</v>
      </c>
      <c r="L1475" s="28" t="e">
        <f ca="1">[1]!BexGetData("DP_1","003N8EMH8GTFRIVNUPY2891V1","GSON1112080374")</f>
        <v>#NAME?</v>
      </c>
      <c r="M1475" s="28" t="e">
        <f ca="1">[1]!BexGetData("DP_1","003N8EMH8GTFRIVOG7KG9IQXA","GSON1112080374")</f>
        <v>#NAME?</v>
      </c>
      <c r="N1475" s="28" t="e">
        <f ca="1">[1]!BexGetData("DP_1","003N8EMH8GTFRIVOG7KG9IX8U","GSON1112080374")</f>
        <v>#NAME?</v>
      </c>
      <c r="O1475" s="28" t="e">
        <f ca="1">[1]!BexGetData("DP_1","003N8EMH8GTFRIVOG7KG9J3KE","GSON1112080374")</f>
        <v>#NAME?</v>
      </c>
      <c r="P1475" s="28" t="e">
        <f ca="1">[1]!BexGetData("DP_1","003N8EMH8GTFRIVOG7KG9J9VY","GSON1112080374")</f>
        <v>#NAME?</v>
      </c>
      <c r="Q1475" s="24" t="e">
        <f ca="1">[1]!BexGetData("DP_1","00O2TNJGODT0G5Z4TTKYMM5MT","GSON1112080374")</f>
        <v>#NAME?</v>
      </c>
      <c r="R1475" s="28" t="e">
        <f ca="1">[1]!BexGetData("DP_1","00O2TNJGODT0G5Z4TTKYMMBYD","GSON1112080374")</f>
        <v>#NAME?</v>
      </c>
      <c r="S1475" s="28" t="e">
        <f ca="1">[1]!BexGetData("DP_1","00O2TNJGODT0G5Z4TTKYMMI9X","GSON1112080374")</f>
        <v>#NAME?</v>
      </c>
      <c r="T1475" s="28" t="e">
        <f ca="1">[1]!BexGetData("DP_1","00O2TNJGODT0G5Z4TTKYMMOLH","GSON1112080374")</f>
        <v>#NAME?</v>
      </c>
      <c r="U1475" s="28" t="e">
        <f ca="1">[1]!BexGetData("DP_1","00O2TNJGODT0G5Z4TTKYMMUX1","GSON1112080374")</f>
        <v>#NAME?</v>
      </c>
      <c r="V1475" s="28" t="e">
        <f ca="1">[1]!BexGetData("DP_1","00O2TNJGODT0G5Z4TTKYMN18L","GSON1112080374")</f>
        <v>#NAME?</v>
      </c>
      <c r="W1475" s="28" t="e">
        <f ca="1">[1]!BexGetData("DP_1","00O2TNJGODT0G5Z4TTKYMN7K5","GSON1112080374")</f>
        <v>#NAME?</v>
      </c>
    </row>
    <row r="1476" spans="1:23" x14ac:dyDescent="0.2">
      <c r="A1476" s="36" t="s">
        <v>4104</v>
      </c>
      <c r="B1476" s="27" t="s">
        <v>4105</v>
      </c>
      <c r="C1476" s="28" t="e">
        <f ca="1">[1]!BexGetData("DP_1","003N8EMH8GTFRCSWKMPXRR8GU","GSON1112080380")</f>
        <v>#NAME?</v>
      </c>
      <c r="D1476" s="28" t="e">
        <f ca="1">[1]!BexGetData("DP_1","003N8EMH8GTFRCSWKMPXRRESE","GSON1112080380")</f>
        <v>#NAME?</v>
      </c>
      <c r="E1476" s="28" t="e">
        <f ca="1">[1]!BexGetData("DP_1","003N8EMH8GTFRCSWKMPXRRL3Y","GSON1112080380")</f>
        <v>#NAME?</v>
      </c>
      <c r="F1476" s="28" t="e">
        <f ca="1">[1]!BexGetData("DP_1","003N8EMH8GTFRCSWKMPXRRRFI","GSON1112080380")</f>
        <v>#NAME?</v>
      </c>
      <c r="G1476" s="23" t="e">
        <f ca="1">[1]!BexGetData("DP_1","003N8EMH8GTFRCSWKMPXRRXR2","GSON1112080380")</f>
        <v>#NAME?</v>
      </c>
      <c r="H1476" s="23" t="e">
        <f ca="1">[1]!BexGetData("DP_1","003N8EMH8GTFRCSWKMPXRS42M","GSON1112080380")</f>
        <v>#NAME?</v>
      </c>
      <c r="I1476" s="28" t="e">
        <f ca="1">[1]!BexGetData("DP_1","003N8EMH8GTFRCSWKMPXRSAE6","GSON1112080380")</f>
        <v>#NAME?</v>
      </c>
      <c r="J1476" s="24" t="e">
        <f ca="1">[1]!BexGetData("DP_1","003N8EMH8GTFRCSWKMPXRSGPQ","GSON1112080380")</f>
        <v>#NAME?</v>
      </c>
      <c r="K1476" s="28" t="e">
        <f ca="1">[1]!BexGetData("DP_1","003N8EMH8GTFRIVNUPY288VJH","GSON1112080380")</f>
        <v>#NAME?</v>
      </c>
      <c r="L1476" s="28" t="e">
        <f ca="1">[1]!BexGetData("DP_1","003N8EMH8GTFRIVNUPY2891V1","GSON1112080380")</f>
        <v>#NAME?</v>
      </c>
      <c r="M1476" s="28" t="e">
        <f ca="1">[1]!BexGetData("DP_1","003N8EMH8GTFRIVOG7KG9IQXA","GSON1112080380")</f>
        <v>#NAME?</v>
      </c>
      <c r="N1476" s="28" t="e">
        <f ca="1">[1]!BexGetData("DP_1","003N8EMH8GTFRIVOG7KG9IX8U","GSON1112080380")</f>
        <v>#NAME?</v>
      </c>
      <c r="O1476" s="28" t="e">
        <f ca="1">[1]!BexGetData("DP_1","003N8EMH8GTFRIVOG7KG9J3KE","GSON1112080380")</f>
        <v>#NAME?</v>
      </c>
      <c r="P1476" s="28" t="e">
        <f ca="1">[1]!BexGetData("DP_1","003N8EMH8GTFRIVOG7KG9J9VY","GSON1112080380")</f>
        <v>#NAME?</v>
      </c>
      <c r="Q1476" s="24" t="e">
        <f ca="1">[1]!BexGetData("DP_1","00O2TNJGODT0G5Z4TTKYMM5MT","GSON1112080380")</f>
        <v>#NAME?</v>
      </c>
      <c r="R1476" s="28" t="e">
        <f ca="1">[1]!BexGetData("DP_1","00O2TNJGODT0G5Z4TTKYMMBYD","GSON1112080380")</f>
        <v>#NAME?</v>
      </c>
      <c r="S1476" s="28" t="e">
        <f ca="1">[1]!BexGetData("DP_1","00O2TNJGODT0G5Z4TTKYMMI9X","GSON1112080380")</f>
        <v>#NAME?</v>
      </c>
      <c r="T1476" s="28" t="e">
        <f ca="1">[1]!BexGetData("DP_1","00O2TNJGODT0G5Z4TTKYMMOLH","GSON1112080380")</f>
        <v>#NAME?</v>
      </c>
      <c r="U1476" s="28" t="e">
        <f ca="1">[1]!BexGetData("DP_1","00O2TNJGODT0G5Z4TTKYMMUX1","GSON1112080380")</f>
        <v>#NAME?</v>
      </c>
      <c r="V1476" s="28" t="e">
        <f ca="1">[1]!BexGetData("DP_1","00O2TNJGODT0G5Z4TTKYMN18L","GSON1112080380")</f>
        <v>#NAME?</v>
      </c>
      <c r="W1476" s="28" t="e">
        <f ca="1">[1]!BexGetData("DP_1","00O2TNJGODT0G5Z4TTKYMN7K5","GSON1112080380")</f>
        <v>#NAME?</v>
      </c>
    </row>
    <row r="1477" spans="1:23" x14ac:dyDescent="0.2">
      <c r="A1477" s="36" t="s">
        <v>1087</v>
      </c>
      <c r="B1477" s="27" t="s">
        <v>1088</v>
      </c>
      <c r="C1477" s="28" t="e">
        <f ca="1">[1]!BexGetData("DP_1","003N8EMH8GTFRCSWKMPXRR8GU","GSON1112080381")</f>
        <v>#NAME?</v>
      </c>
      <c r="D1477" s="23" t="e">
        <f ca="1">[1]!BexGetData("DP_1","003N8EMH8GTFRCSWKMPXRRESE","GSON1112080381")</f>
        <v>#NAME?</v>
      </c>
      <c r="E1477" s="28" t="e">
        <f ca="1">[1]!BexGetData("DP_1","003N8EMH8GTFRCSWKMPXRRL3Y","GSON1112080381")</f>
        <v>#NAME?</v>
      </c>
      <c r="F1477" s="23" t="e">
        <f ca="1">[1]!BexGetData("DP_1","003N8EMH8GTFRCSWKMPXRRRFI","GSON1112080381")</f>
        <v>#NAME?</v>
      </c>
      <c r="G1477" s="23" t="e">
        <f ca="1">[1]!BexGetData("DP_1","003N8EMH8GTFRCSWKMPXRRXR2","GSON1112080381")</f>
        <v>#NAME?</v>
      </c>
      <c r="H1477" s="23" t="e">
        <f ca="1">[1]!BexGetData("DP_1","003N8EMH8GTFRCSWKMPXRS42M","GSON1112080381")</f>
        <v>#NAME?</v>
      </c>
      <c r="I1477" s="23" t="e">
        <f ca="1">[1]!BexGetData("DP_1","003N8EMH8GTFRCSWKMPXRSAE6","GSON1112080381")</f>
        <v>#NAME?</v>
      </c>
      <c r="J1477" s="24" t="e">
        <f ca="1">[1]!BexGetData("DP_1","003N8EMH8GTFRCSWKMPXRSGPQ","GSON1112080381")</f>
        <v>#NAME?</v>
      </c>
      <c r="K1477" s="23" t="e">
        <f ca="1">[1]!BexGetData("DP_1","003N8EMH8GTFRIVNUPY288VJH","GSON1112080381")</f>
        <v>#NAME?</v>
      </c>
      <c r="L1477" s="23" t="e">
        <f ca="1">[1]!BexGetData("DP_1","003N8EMH8GTFRIVNUPY2891V1","GSON1112080381")</f>
        <v>#NAME?</v>
      </c>
      <c r="M1477" s="23" t="e">
        <f ca="1">[1]!BexGetData("DP_1","003N8EMH8GTFRIVOG7KG9IQXA","GSON1112080381")</f>
        <v>#NAME?</v>
      </c>
      <c r="N1477" s="28" t="e">
        <f ca="1">[1]!BexGetData("DP_1","003N8EMH8GTFRIVOG7KG9IX8U","GSON1112080381")</f>
        <v>#NAME?</v>
      </c>
      <c r="O1477" s="23" t="e">
        <f ca="1">[1]!BexGetData("DP_1","003N8EMH8GTFRIVOG7KG9J3KE","GSON1112080381")</f>
        <v>#NAME?</v>
      </c>
      <c r="P1477" s="28" t="e">
        <f ca="1">[1]!BexGetData("DP_1","003N8EMH8GTFRIVOG7KG9J9VY","GSON1112080381")</f>
        <v>#NAME?</v>
      </c>
      <c r="Q1477" s="24" t="e">
        <f ca="1">[1]!BexGetData("DP_1","00O2TNJGODT0G5Z4TTKYMM5MT","GSON1112080381")</f>
        <v>#NAME?</v>
      </c>
      <c r="R1477" s="23" t="e">
        <f ca="1">[1]!BexGetData("DP_1","00O2TNJGODT0G5Z4TTKYMMBYD","GSON1112080381")</f>
        <v>#NAME?</v>
      </c>
      <c r="S1477" s="23" t="e">
        <f ca="1">[1]!BexGetData("DP_1","00O2TNJGODT0G5Z4TTKYMMI9X","GSON1112080381")</f>
        <v>#NAME?</v>
      </c>
      <c r="T1477" s="28" t="e">
        <f ca="1">[1]!BexGetData("DP_1","00O2TNJGODT0G5Z4TTKYMMOLH","GSON1112080381")</f>
        <v>#NAME?</v>
      </c>
      <c r="U1477" s="23" t="e">
        <f ca="1">[1]!BexGetData("DP_1","00O2TNJGODT0G5Z4TTKYMMUX1","GSON1112080381")</f>
        <v>#NAME?</v>
      </c>
      <c r="V1477" s="28" t="e">
        <f ca="1">[1]!BexGetData("DP_1","00O2TNJGODT0G5Z4TTKYMN18L","GSON1112080381")</f>
        <v>#NAME?</v>
      </c>
      <c r="W1477" s="23" t="e">
        <f ca="1">[1]!BexGetData("DP_1","00O2TNJGODT0G5Z4TTKYMN7K5","GSON1112080381")</f>
        <v>#NAME?</v>
      </c>
    </row>
    <row r="1478" spans="1:23" x14ac:dyDescent="0.2">
      <c r="A1478" s="36" t="s">
        <v>4106</v>
      </c>
      <c r="B1478" s="27" t="s">
        <v>4107</v>
      </c>
      <c r="C1478" s="23" t="e">
        <f ca="1">[1]!BexGetData("DP_1","003N8EMH8GTFRCSWKMPXRR8GU","GSON1112080384")</f>
        <v>#NAME?</v>
      </c>
      <c r="D1478" s="23" t="e">
        <f ca="1">[1]!BexGetData("DP_1","003N8EMH8GTFRCSWKMPXRRESE","GSON1112080384")</f>
        <v>#NAME?</v>
      </c>
      <c r="E1478" s="28" t="e">
        <f ca="1">[1]!BexGetData("DP_1","003N8EMH8GTFRCSWKMPXRRL3Y","GSON1112080384")</f>
        <v>#NAME?</v>
      </c>
      <c r="F1478" s="23" t="e">
        <f ca="1">[1]!BexGetData("DP_1","003N8EMH8GTFRCSWKMPXRRRFI","GSON1112080384")</f>
        <v>#NAME?</v>
      </c>
      <c r="G1478" s="23" t="e">
        <f ca="1">[1]!BexGetData("DP_1","003N8EMH8GTFRCSWKMPXRRXR2","GSON1112080384")</f>
        <v>#NAME?</v>
      </c>
      <c r="H1478" s="23" t="e">
        <f ca="1">[1]!BexGetData("DP_1","003N8EMH8GTFRCSWKMPXRS42M","GSON1112080384")</f>
        <v>#NAME?</v>
      </c>
      <c r="I1478" s="23" t="e">
        <f ca="1">[1]!BexGetData("DP_1","003N8EMH8GTFRCSWKMPXRSAE6","GSON1112080384")</f>
        <v>#NAME?</v>
      </c>
      <c r="J1478" s="24" t="e">
        <f ca="1">[1]!BexGetData("DP_1","003N8EMH8GTFRCSWKMPXRSGPQ","GSON1112080384")</f>
        <v>#NAME?</v>
      </c>
      <c r="K1478" s="23" t="e">
        <f ca="1">[1]!BexGetData("DP_1","003N8EMH8GTFRIVNUPY288VJH","GSON1112080384")</f>
        <v>#NAME?</v>
      </c>
      <c r="L1478" s="23" t="e">
        <f ca="1">[1]!BexGetData("DP_1","003N8EMH8GTFRIVNUPY2891V1","GSON1112080384")</f>
        <v>#NAME?</v>
      </c>
      <c r="M1478" s="28" t="e">
        <f ca="1">[1]!BexGetData("DP_1","003N8EMH8GTFRIVOG7KG9IQXA","GSON1112080384")</f>
        <v>#NAME?</v>
      </c>
      <c r="N1478" s="23" t="e">
        <f ca="1">[1]!BexGetData("DP_1","003N8EMH8GTFRIVOG7KG9IX8U","GSON1112080384")</f>
        <v>#NAME?</v>
      </c>
      <c r="O1478" s="28" t="e">
        <f ca="1">[1]!BexGetData("DP_1","003N8EMH8GTFRIVOG7KG9J3KE","GSON1112080384")</f>
        <v>#NAME?</v>
      </c>
      <c r="P1478" s="23" t="e">
        <f ca="1">[1]!BexGetData("DP_1","003N8EMH8GTFRIVOG7KG9J9VY","GSON1112080384")</f>
        <v>#NAME?</v>
      </c>
      <c r="Q1478" s="24" t="e">
        <f ca="1">[1]!BexGetData("DP_1","00O2TNJGODT0G5Z4TTKYMM5MT","GSON1112080384")</f>
        <v>#NAME?</v>
      </c>
      <c r="R1478" s="23" t="e">
        <f ca="1">[1]!BexGetData("DP_1","00O2TNJGODT0G5Z4TTKYMMBYD","GSON1112080384")</f>
        <v>#NAME?</v>
      </c>
      <c r="S1478" s="23" t="e">
        <f ca="1">[1]!BexGetData("DP_1","00O2TNJGODT0G5Z4TTKYMMI9X","GSON1112080384")</f>
        <v>#NAME?</v>
      </c>
      <c r="T1478" s="23" t="e">
        <f ca="1">[1]!BexGetData("DP_1","00O2TNJGODT0G5Z4TTKYMMOLH","GSON1112080384")</f>
        <v>#NAME?</v>
      </c>
      <c r="U1478" s="28" t="e">
        <f ca="1">[1]!BexGetData("DP_1","00O2TNJGODT0G5Z4TTKYMMUX1","GSON1112080384")</f>
        <v>#NAME?</v>
      </c>
      <c r="V1478" s="23" t="e">
        <f ca="1">[1]!BexGetData("DP_1","00O2TNJGODT0G5Z4TTKYMN18L","GSON1112080384")</f>
        <v>#NAME?</v>
      </c>
      <c r="W1478" s="28" t="e">
        <f ca="1">[1]!BexGetData("DP_1","00O2TNJGODT0G5Z4TTKYMN7K5","GSON1112080384")</f>
        <v>#NAME?</v>
      </c>
    </row>
    <row r="1479" spans="1:23" x14ac:dyDescent="0.2">
      <c r="A1479" s="36" t="s">
        <v>4108</v>
      </c>
      <c r="B1479" s="27" t="s">
        <v>4109</v>
      </c>
      <c r="C1479" s="23" t="e">
        <f ca="1">[1]!BexGetData("DP_1","003N8EMH8GTFRCSWKMPXRR8GU","GSON1112080390")</f>
        <v>#NAME?</v>
      </c>
      <c r="D1479" s="28" t="e">
        <f ca="1">[1]!BexGetData("DP_1","003N8EMH8GTFRCSWKMPXRRESE","GSON1112080390")</f>
        <v>#NAME?</v>
      </c>
      <c r="E1479" s="28" t="e">
        <f ca="1">[1]!BexGetData("DP_1","003N8EMH8GTFRCSWKMPXRRL3Y","GSON1112080390")</f>
        <v>#NAME?</v>
      </c>
      <c r="F1479" s="23" t="e">
        <f ca="1">[1]!BexGetData("DP_1","003N8EMH8GTFRCSWKMPXRRRFI","GSON1112080390")</f>
        <v>#NAME?</v>
      </c>
      <c r="G1479" s="23" t="e">
        <f ca="1">[1]!BexGetData("DP_1","003N8EMH8GTFRCSWKMPXRRXR2","GSON1112080390")</f>
        <v>#NAME?</v>
      </c>
      <c r="H1479" s="23" t="e">
        <f ca="1">[1]!BexGetData("DP_1","003N8EMH8GTFRCSWKMPXRS42M","GSON1112080390")</f>
        <v>#NAME?</v>
      </c>
      <c r="I1479" s="23" t="e">
        <f ca="1">[1]!BexGetData("DP_1","003N8EMH8GTFRCSWKMPXRSAE6","GSON1112080390")</f>
        <v>#NAME?</v>
      </c>
      <c r="J1479" s="24" t="e">
        <f ca="1">[1]!BexGetData("DP_1","003N8EMH8GTFRCSWKMPXRSGPQ","GSON1112080390")</f>
        <v>#NAME?</v>
      </c>
      <c r="K1479" s="23" t="e">
        <f ca="1">[1]!BexGetData("DP_1","003N8EMH8GTFRIVNUPY288VJH","GSON1112080390")</f>
        <v>#NAME?</v>
      </c>
      <c r="L1479" s="23" t="e">
        <f ca="1">[1]!BexGetData("DP_1","003N8EMH8GTFRIVNUPY2891V1","GSON1112080390")</f>
        <v>#NAME?</v>
      </c>
      <c r="M1479" s="28" t="e">
        <f ca="1">[1]!BexGetData("DP_1","003N8EMH8GTFRIVOG7KG9IQXA","GSON1112080390")</f>
        <v>#NAME?</v>
      </c>
      <c r="N1479" s="23" t="e">
        <f ca="1">[1]!BexGetData("DP_1","003N8EMH8GTFRIVOG7KG9IX8U","GSON1112080390")</f>
        <v>#NAME?</v>
      </c>
      <c r="O1479" s="28" t="e">
        <f ca="1">[1]!BexGetData("DP_1","003N8EMH8GTFRIVOG7KG9J3KE","GSON1112080390")</f>
        <v>#NAME?</v>
      </c>
      <c r="P1479" s="23" t="e">
        <f ca="1">[1]!BexGetData("DP_1","003N8EMH8GTFRIVOG7KG9J9VY","GSON1112080390")</f>
        <v>#NAME?</v>
      </c>
      <c r="Q1479" s="24" t="e">
        <f ca="1">[1]!BexGetData("DP_1","00O2TNJGODT0G5Z4TTKYMM5MT","GSON1112080390")</f>
        <v>#NAME?</v>
      </c>
      <c r="R1479" s="23" t="e">
        <f ca="1">[1]!BexGetData("DP_1","00O2TNJGODT0G5Z4TTKYMMBYD","GSON1112080390")</f>
        <v>#NAME?</v>
      </c>
      <c r="S1479" s="23" t="e">
        <f ca="1">[1]!BexGetData("DP_1","00O2TNJGODT0G5Z4TTKYMMI9X","GSON1112080390")</f>
        <v>#NAME?</v>
      </c>
      <c r="T1479" s="23" t="e">
        <f ca="1">[1]!BexGetData("DP_1","00O2TNJGODT0G5Z4TTKYMMOLH","GSON1112080390")</f>
        <v>#NAME?</v>
      </c>
      <c r="U1479" s="28" t="e">
        <f ca="1">[1]!BexGetData("DP_1","00O2TNJGODT0G5Z4TTKYMMUX1","GSON1112080390")</f>
        <v>#NAME?</v>
      </c>
      <c r="V1479" s="23" t="e">
        <f ca="1">[1]!BexGetData("DP_1","00O2TNJGODT0G5Z4TTKYMN18L","GSON1112080390")</f>
        <v>#NAME?</v>
      </c>
      <c r="W1479" s="28" t="e">
        <f ca="1">[1]!BexGetData("DP_1","00O2TNJGODT0G5Z4TTKYMN7K5","GSON1112080390")</f>
        <v>#NAME?</v>
      </c>
    </row>
    <row r="1480" spans="1:23" x14ac:dyDescent="0.2">
      <c r="A1480" s="36" t="s">
        <v>4110</v>
      </c>
      <c r="B1480" s="27" t="s">
        <v>4111</v>
      </c>
      <c r="C1480" s="23" t="e">
        <f ca="1">[1]!BexGetData("DP_1","003N8EMH8GTFRCSWKMPXRR8GU","GSON1112080391")</f>
        <v>#NAME?</v>
      </c>
      <c r="D1480" s="23" t="e">
        <f ca="1">[1]!BexGetData("DP_1","003N8EMH8GTFRCSWKMPXRRESE","GSON1112080391")</f>
        <v>#NAME?</v>
      </c>
      <c r="E1480" s="23" t="e">
        <f ca="1">[1]!BexGetData("DP_1","003N8EMH8GTFRCSWKMPXRRL3Y","GSON1112080391")</f>
        <v>#NAME?</v>
      </c>
      <c r="F1480" s="23" t="e">
        <f ca="1">[1]!BexGetData("DP_1","003N8EMH8GTFRCSWKMPXRRRFI","GSON1112080391")</f>
        <v>#NAME?</v>
      </c>
      <c r="G1480" s="23" t="e">
        <f ca="1">[1]!BexGetData("DP_1","003N8EMH8GTFRCSWKMPXRRXR2","GSON1112080391")</f>
        <v>#NAME?</v>
      </c>
      <c r="H1480" s="23" t="e">
        <f ca="1">[1]!BexGetData("DP_1","003N8EMH8GTFRCSWKMPXRS42M","GSON1112080391")</f>
        <v>#NAME?</v>
      </c>
      <c r="I1480" s="23" t="e">
        <f ca="1">[1]!BexGetData("DP_1","003N8EMH8GTFRCSWKMPXRSAE6","GSON1112080391")</f>
        <v>#NAME?</v>
      </c>
      <c r="J1480" s="24" t="e">
        <f ca="1">[1]!BexGetData("DP_1","003N8EMH8GTFRCSWKMPXRSGPQ","GSON1112080391")</f>
        <v>#NAME?</v>
      </c>
      <c r="K1480" s="23" t="e">
        <f ca="1">[1]!BexGetData("DP_1","003N8EMH8GTFRIVNUPY288VJH","GSON1112080391")</f>
        <v>#NAME?</v>
      </c>
      <c r="L1480" s="23" t="e">
        <f ca="1">[1]!BexGetData("DP_1","003N8EMH8GTFRIVNUPY2891V1","GSON1112080391")</f>
        <v>#NAME?</v>
      </c>
      <c r="M1480" s="23" t="e">
        <f ca="1">[1]!BexGetData("DP_1","003N8EMH8GTFRIVOG7KG9IQXA","GSON1112080391")</f>
        <v>#NAME?</v>
      </c>
      <c r="N1480" s="28" t="e">
        <f ca="1">[1]!BexGetData("DP_1","003N8EMH8GTFRIVOG7KG9IX8U","GSON1112080391")</f>
        <v>#NAME?</v>
      </c>
      <c r="O1480" s="23" t="e">
        <f ca="1">[1]!BexGetData("DP_1","003N8EMH8GTFRIVOG7KG9J3KE","GSON1112080391")</f>
        <v>#NAME?</v>
      </c>
      <c r="P1480" s="28" t="e">
        <f ca="1">[1]!BexGetData("DP_1","003N8EMH8GTFRIVOG7KG9J9VY","GSON1112080391")</f>
        <v>#NAME?</v>
      </c>
      <c r="Q1480" s="24" t="e">
        <f ca="1">[1]!BexGetData("DP_1","00O2TNJGODT0G5Z4TTKYMM5MT","GSON1112080391")</f>
        <v>#NAME?</v>
      </c>
      <c r="R1480" s="23" t="e">
        <f ca="1">[1]!BexGetData("DP_1","00O2TNJGODT0G5Z4TTKYMMBYD","GSON1112080391")</f>
        <v>#NAME?</v>
      </c>
      <c r="S1480" s="23" t="e">
        <f ca="1">[1]!BexGetData("DP_1","00O2TNJGODT0G5Z4TTKYMMI9X","GSON1112080391")</f>
        <v>#NAME?</v>
      </c>
      <c r="T1480" s="28" t="e">
        <f ca="1">[1]!BexGetData("DP_1","00O2TNJGODT0G5Z4TTKYMMOLH","GSON1112080391")</f>
        <v>#NAME?</v>
      </c>
      <c r="U1480" s="23" t="e">
        <f ca="1">[1]!BexGetData("DP_1","00O2TNJGODT0G5Z4TTKYMMUX1","GSON1112080391")</f>
        <v>#NAME?</v>
      </c>
      <c r="V1480" s="28" t="e">
        <f ca="1">[1]!BexGetData("DP_1","00O2TNJGODT0G5Z4TTKYMN18L","GSON1112080391")</f>
        <v>#NAME?</v>
      </c>
      <c r="W1480" s="23" t="e">
        <f ca="1">[1]!BexGetData("DP_1","00O2TNJGODT0G5Z4TTKYMN7K5","GSON1112080391")</f>
        <v>#NAME?</v>
      </c>
    </row>
    <row r="1481" spans="1:23" x14ac:dyDescent="0.2">
      <c r="A1481" s="36" t="s">
        <v>4112</v>
      </c>
      <c r="B1481" s="27" t="s">
        <v>4113</v>
      </c>
      <c r="C1481" s="28" t="e">
        <f ca="1">[1]!BexGetData("DP_1","003N8EMH8GTFRCSWKMPXRR8GU","GSON1112080393")</f>
        <v>#NAME?</v>
      </c>
      <c r="D1481" s="28" t="e">
        <f ca="1">[1]!BexGetData("DP_1","003N8EMH8GTFRCSWKMPXRRESE","GSON1112080393")</f>
        <v>#NAME?</v>
      </c>
      <c r="E1481" s="28" t="e">
        <f ca="1">[1]!BexGetData("DP_1","003N8EMH8GTFRCSWKMPXRRL3Y","GSON1112080393")</f>
        <v>#NAME?</v>
      </c>
      <c r="F1481" s="28" t="e">
        <f ca="1">[1]!BexGetData("DP_1","003N8EMH8GTFRCSWKMPXRRRFI","GSON1112080393")</f>
        <v>#NAME?</v>
      </c>
      <c r="G1481" s="23" t="e">
        <f ca="1">[1]!BexGetData("DP_1","003N8EMH8GTFRCSWKMPXRRXR2","GSON1112080393")</f>
        <v>#NAME?</v>
      </c>
      <c r="H1481" s="23" t="e">
        <f ca="1">[1]!BexGetData("DP_1","003N8EMH8GTFRCSWKMPXRS42M","GSON1112080393")</f>
        <v>#NAME?</v>
      </c>
      <c r="I1481" s="28" t="e">
        <f ca="1">[1]!BexGetData("DP_1","003N8EMH8GTFRCSWKMPXRSAE6","GSON1112080393")</f>
        <v>#NAME?</v>
      </c>
      <c r="J1481" s="24" t="e">
        <f ca="1">[1]!BexGetData("DP_1","003N8EMH8GTFRCSWKMPXRSGPQ","GSON1112080393")</f>
        <v>#NAME?</v>
      </c>
      <c r="K1481" s="28" t="e">
        <f ca="1">[1]!BexGetData("DP_1","003N8EMH8GTFRIVNUPY288VJH","GSON1112080393")</f>
        <v>#NAME?</v>
      </c>
      <c r="L1481" s="28" t="e">
        <f ca="1">[1]!BexGetData("DP_1","003N8EMH8GTFRIVNUPY2891V1","GSON1112080393")</f>
        <v>#NAME?</v>
      </c>
      <c r="M1481" s="28" t="e">
        <f ca="1">[1]!BexGetData("DP_1","003N8EMH8GTFRIVOG7KG9IQXA","GSON1112080393")</f>
        <v>#NAME?</v>
      </c>
      <c r="N1481" s="28" t="e">
        <f ca="1">[1]!BexGetData("DP_1","003N8EMH8GTFRIVOG7KG9IX8U","GSON1112080393")</f>
        <v>#NAME?</v>
      </c>
      <c r="O1481" s="28" t="e">
        <f ca="1">[1]!BexGetData("DP_1","003N8EMH8GTFRIVOG7KG9J3KE","GSON1112080393")</f>
        <v>#NAME?</v>
      </c>
      <c r="P1481" s="28" t="e">
        <f ca="1">[1]!BexGetData("DP_1","003N8EMH8GTFRIVOG7KG9J9VY","GSON1112080393")</f>
        <v>#NAME?</v>
      </c>
      <c r="Q1481" s="24" t="e">
        <f ca="1">[1]!BexGetData("DP_1","00O2TNJGODT0G5Z4TTKYMM5MT","GSON1112080393")</f>
        <v>#NAME?</v>
      </c>
      <c r="R1481" s="28" t="e">
        <f ca="1">[1]!BexGetData("DP_1","00O2TNJGODT0G5Z4TTKYMMBYD","GSON1112080393")</f>
        <v>#NAME?</v>
      </c>
      <c r="S1481" s="28" t="e">
        <f ca="1">[1]!BexGetData("DP_1","00O2TNJGODT0G5Z4TTKYMMI9X","GSON1112080393")</f>
        <v>#NAME?</v>
      </c>
      <c r="T1481" s="28" t="e">
        <f ca="1">[1]!BexGetData("DP_1","00O2TNJGODT0G5Z4TTKYMMOLH","GSON1112080393")</f>
        <v>#NAME?</v>
      </c>
      <c r="U1481" s="28" t="e">
        <f ca="1">[1]!BexGetData("DP_1","00O2TNJGODT0G5Z4TTKYMMUX1","GSON1112080393")</f>
        <v>#NAME?</v>
      </c>
      <c r="V1481" s="28" t="e">
        <f ca="1">[1]!BexGetData("DP_1","00O2TNJGODT0G5Z4TTKYMN18L","GSON1112080393")</f>
        <v>#NAME?</v>
      </c>
      <c r="W1481" s="28" t="e">
        <f ca="1">[1]!BexGetData("DP_1","00O2TNJGODT0G5Z4TTKYMN7K5","GSON1112080393")</f>
        <v>#NAME?</v>
      </c>
    </row>
    <row r="1482" spans="1:23" x14ac:dyDescent="0.2">
      <c r="A1482" s="36" t="s">
        <v>4114</v>
      </c>
      <c r="B1482" s="27" t="s">
        <v>4115</v>
      </c>
      <c r="C1482" s="28" t="e">
        <f ca="1">[1]!BexGetData("DP_1","003N8EMH8GTFRCSWKMPXRR8GU","GSON1112080394")</f>
        <v>#NAME?</v>
      </c>
      <c r="D1482" s="28" t="e">
        <f ca="1">[1]!BexGetData("DP_1","003N8EMH8GTFRCSWKMPXRRESE","GSON1112080394")</f>
        <v>#NAME?</v>
      </c>
      <c r="E1482" s="28" t="e">
        <f ca="1">[1]!BexGetData("DP_1","003N8EMH8GTFRCSWKMPXRRL3Y","GSON1112080394")</f>
        <v>#NAME?</v>
      </c>
      <c r="F1482" s="28" t="e">
        <f ca="1">[1]!BexGetData("DP_1","003N8EMH8GTFRCSWKMPXRRRFI","GSON1112080394")</f>
        <v>#NAME?</v>
      </c>
      <c r="G1482" s="23" t="e">
        <f ca="1">[1]!BexGetData("DP_1","003N8EMH8GTFRCSWKMPXRRXR2","GSON1112080394")</f>
        <v>#NAME?</v>
      </c>
      <c r="H1482" s="23" t="e">
        <f ca="1">[1]!BexGetData("DP_1","003N8EMH8GTFRCSWKMPXRS42M","GSON1112080394")</f>
        <v>#NAME?</v>
      </c>
      <c r="I1482" s="28" t="e">
        <f ca="1">[1]!BexGetData("DP_1","003N8EMH8GTFRCSWKMPXRSAE6","GSON1112080394")</f>
        <v>#NAME?</v>
      </c>
      <c r="J1482" s="24" t="e">
        <f ca="1">[1]!BexGetData("DP_1","003N8EMH8GTFRCSWKMPXRSGPQ","GSON1112080394")</f>
        <v>#NAME?</v>
      </c>
      <c r="K1482" s="28" t="e">
        <f ca="1">[1]!BexGetData("DP_1","003N8EMH8GTFRIVNUPY288VJH","GSON1112080394")</f>
        <v>#NAME?</v>
      </c>
      <c r="L1482" s="28" t="e">
        <f ca="1">[1]!BexGetData("DP_1","003N8EMH8GTFRIVNUPY2891V1","GSON1112080394")</f>
        <v>#NAME?</v>
      </c>
      <c r="M1482" s="28" t="e">
        <f ca="1">[1]!BexGetData("DP_1","003N8EMH8GTFRIVOG7KG9IQXA","GSON1112080394")</f>
        <v>#NAME?</v>
      </c>
      <c r="N1482" s="28" t="e">
        <f ca="1">[1]!BexGetData("DP_1","003N8EMH8GTFRIVOG7KG9IX8U","GSON1112080394")</f>
        <v>#NAME?</v>
      </c>
      <c r="O1482" s="28" t="e">
        <f ca="1">[1]!BexGetData("DP_1","003N8EMH8GTFRIVOG7KG9J3KE","GSON1112080394")</f>
        <v>#NAME?</v>
      </c>
      <c r="P1482" s="28" t="e">
        <f ca="1">[1]!BexGetData("DP_1","003N8EMH8GTFRIVOG7KG9J9VY","GSON1112080394")</f>
        <v>#NAME?</v>
      </c>
      <c r="Q1482" s="24" t="e">
        <f ca="1">[1]!BexGetData("DP_1","00O2TNJGODT0G5Z4TTKYMM5MT","GSON1112080394")</f>
        <v>#NAME?</v>
      </c>
      <c r="R1482" s="28" t="e">
        <f ca="1">[1]!BexGetData("DP_1","00O2TNJGODT0G5Z4TTKYMMBYD","GSON1112080394")</f>
        <v>#NAME?</v>
      </c>
      <c r="S1482" s="28" t="e">
        <f ca="1">[1]!BexGetData("DP_1","00O2TNJGODT0G5Z4TTKYMMI9X","GSON1112080394")</f>
        <v>#NAME?</v>
      </c>
      <c r="T1482" s="28" t="e">
        <f ca="1">[1]!BexGetData("DP_1","00O2TNJGODT0G5Z4TTKYMMOLH","GSON1112080394")</f>
        <v>#NAME?</v>
      </c>
      <c r="U1482" s="28" t="e">
        <f ca="1">[1]!BexGetData("DP_1","00O2TNJGODT0G5Z4TTKYMMUX1","GSON1112080394")</f>
        <v>#NAME?</v>
      </c>
      <c r="V1482" s="28" t="e">
        <f ca="1">[1]!BexGetData("DP_1","00O2TNJGODT0G5Z4TTKYMN18L","GSON1112080394")</f>
        <v>#NAME?</v>
      </c>
      <c r="W1482" s="28" t="e">
        <f ca="1">[1]!BexGetData("DP_1","00O2TNJGODT0G5Z4TTKYMN7K5","GSON1112080394")</f>
        <v>#NAME?</v>
      </c>
    </row>
    <row r="1483" spans="1:23" x14ac:dyDescent="0.2">
      <c r="A1483" s="36" t="s">
        <v>1692</v>
      </c>
      <c r="B1483" s="27" t="s">
        <v>1693</v>
      </c>
      <c r="C1483" s="23" t="e">
        <f ca="1">[1]!BexGetData("DP_1","003N8EMH8GTFRCSWKMPXRR8GU","GSON1112080400")</f>
        <v>#NAME?</v>
      </c>
      <c r="D1483" s="23" t="e">
        <f ca="1">[1]!BexGetData("DP_1","003N8EMH8GTFRCSWKMPXRRESE","GSON1112080400")</f>
        <v>#NAME?</v>
      </c>
      <c r="E1483" s="23" t="e">
        <f ca="1">[1]!BexGetData("DP_1","003N8EMH8GTFRCSWKMPXRRL3Y","GSON1112080400")</f>
        <v>#NAME?</v>
      </c>
      <c r="F1483" s="23" t="e">
        <f ca="1">[1]!BexGetData("DP_1","003N8EMH8GTFRCSWKMPXRRRFI","GSON1112080400")</f>
        <v>#NAME?</v>
      </c>
      <c r="G1483" s="23" t="e">
        <f ca="1">[1]!BexGetData("DP_1","003N8EMH8GTFRCSWKMPXRRXR2","GSON1112080400")</f>
        <v>#NAME?</v>
      </c>
      <c r="H1483" s="23" t="e">
        <f ca="1">[1]!BexGetData("DP_1","003N8EMH8GTFRCSWKMPXRS42M","GSON1112080400")</f>
        <v>#NAME?</v>
      </c>
      <c r="I1483" s="23" t="e">
        <f ca="1">[1]!BexGetData("DP_1","003N8EMH8GTFRCSWKMPXRSAE6","GSON1112080400")</f>
        <v>#NAME?</v>
      </c>
      <c r="J1483" s="24" t="e">
        <f ca="1">[1]!BexGetData("DP_1","003N8EMH8GTFRCSWKMPXRSGPQ","GSON1112080400")</f>
        <v>#NAME?</v>
      </c>
      <c r="K1483" s="23" t="e">
        <f ca="1">[1]!BexGetData("DP_1","003N8EMH8GTFRIVNUPY288VJH","GSON1112080400")</f>
        <v>#NAME?</v>
      </c>
      <c r="L1483" s="23" t="e">
        <f ca="1">[1]!BexGetData("DP_1","003N8EMH8GTFRIVNUPY2891V1","GSON1112080400")</f>
        <v>#NAME?</v>
      </c>
      <c r="M1483" s="28" t="e">
        <f ca="1">[1]!BexGetData("DP_1","003N8EMH8GTFRIVOG7KG9IQXA","GSON1112080400")</f>
        <v>#NAME?</v>
      </c>
      <c r="N1483" s="23" t="e">
        <f ca="1">[1]!BexGetData("DP_1","003N8EMH8GTFRIVOG7KG9IX8U","GSON1112080400")</f>
        <v>#NAME?</v>
      </c>
      <c r="O1483" s="28" t="e">
        <f ca="1">[1]!BexGetData("DP_1","003N8EMH8GTFRIVOG7KG9J3KE","GSON1112080400")</f>
        <v>#NAME?</v>
      </c>
      <c r="P1483" s="23" t="e">
        <f ca="1">[1]!BexGetData("DP_1","003N8EMH8GTFRIVOG7KG9J9VY","GSON1112080400")</f>
        <v>#NAME?</v>
      </c>
      <c r="Q1483" s="24" t="e">
        <f ca="1">[1]!BexGetData("DP_1","00O2TNJGODT0G5Z4TTKYMM5MT","GSON1112080400")</f>
        <v>#NAME?</v>
      </c>
      <c r="R1483" s="23" t="e">
        <f ca="1">[1]!BexGetData("DP_1","00O2TNJGODT0G5Z4TTKYMMBYD","GSON1112080400")</f>
        <v>#NAME?</v>
      </c>
      <c r="S1483" s="23" t="e">
        <f ca="1">[1]!BexGetData("DP_1","00O2TNJGODT0G5Z4TTKYMMI9X","GSON1112080400")</f>
        <v>#NAME?</v>
      </c>
      <c r="T1483" s="23" t="e">
        <f ca="1">[1]!BexGetData("DP_1","00O2TNJGODT0G5Z4TTKYMMOLH","GSON1112080400")</f>
        <v>#NAME?</v>
      </c>
      <c r="U1483" s="28" t="e">
        <f ca="1">[1]!BexGetData("DP_1","00O2TNJGODT0G5Z4TTKYMMUX1","GSON1112080400")</f>
        <v>#NAME?</v>
      </c>
      <c r="V1483" s="23" t="e">
        <f ca="1">[1]!BexGetData("DP_1","00O2TNJGODT0G5Z4TTKYMN18L","GSON1112080400")</f>
        <v>#NAME?</v>
      </c>
      <c r="W1483" s="28" t="e">
        <f ca="1">[1]!BexGetData("DP_1","00O2TNJGODT0G5Z4TTKYMN7K5","GSON1112080400")</f>
        <v>#NAME?</v>
      </c>
    </row>
    <row r="1484" spans="1:23" x14ac:dyDescent="0.2">
      <c r="A1484" s="36" t="s">
        <v>1694</v>
      </c>
      <c r="B1484" s="27" t="s">
        <v>1695</v>
      </c>
      <c r="C1484" s="23" t="e">
        <f ca="1">[1]!BexGetData("DP_1","003N8EMH8GTFRCSWKMPXRR8GU","GSON1112080401")</f>
        <v>#NAME?</v>
      </c>
      <c r="D1484" s="23" t="e">
        <f ca="1">[1]!BexGetData("DP_1","003N8EMH8GTFRCSWKMPXRRESE","GSON1112080401")</f>
        <v>#NAME?</v>
      </c>
      <c r="E1484" s="23" t="e">
        <f ca="1">[1]!BexGetData("DP_1","003N8EMH8GTFRCSWKMPXRRL3Y","GSON1112080401")</f>
        <v>#NAME?</v>
      </c>
      <c r="F1484" s="23" t="e">
        <f ca="1">[1]!BexGetData("DP_1","003N8EMH8GTFRCSWKMPXRRRFI","GSON1112080401")</f>
        <v>#NAME?</v>
      </c>
      <c r="G1484" s="23" t="e">
        <f ca="1">[1]!BexGetData("DP_1","003N8EMH8GTFRCSWKMPXRRXR2","GSON1112080401")</f>
        <v>#NAME?</v>
      </c>
      <c r="H1484" s="23" t="e">
        <f ca="1">[1]!BexGetData("DP_1","003N8EMH8GTFRCSWKMPXRS42M","GSON1112080401")</f>
        <v>#NAME?</v>
      </c>
      <c r="I1484" s="23" t="e">
        <f ca="1">[1]!BexGetData("DP_1","003N8EMH8GTFRCSWKMPXRSAE6","GSON1112080401")</f>
        <v>#NAME?</v>
      </c>
      <c r="J1484" s="24" t="e">
        <f ca="1">[1]!BexGetData("DP_1","003N8EMH8GTFRCSWKMPXRSGPQ","GSON1112080401")</f>
        <v>#NAME?</v>
      </c>
      <c r="K1484" s="23" t="e">
        <f ca="1">[1]!BexGetData("DP_1","003N8EMH8GTFRIVNUPY288VJH","GSON1112080401")</f>
        <v>#NAME?</v>
      </c>
      <c r="L1484" s="23" t="e">
        <f ca="1">[1]!BexGetData("DP_1","003N8EMH8GTFRIVNUPY2891V1","GSON1112080401")</f>
        <v>#NAME?</v>
      </c>
      <c r="M1484" s="23" t="e">
        <f ca="1">[1]!BexGetData("DP_1","003N8EMH8GTFRIVOG7KG9IQXA","GSON1112080401")</f>
        <v>#NAME?</v>
      </c>
      <c r="N1484" s="28" t="e">
        <f ca="1">[1]!BexGetData("DP_1","003N8EMH8GTFRIVOG7KG9IX8U","GSON1112080401")</f>
        <v>#NAME?</v>
      </c>
      <c r="O1484" s="23" t="e">
        <f ca="1">[1]!BexGetData("DP_1","003N8EMH8GTFRIVOG7KG9J3KE","GSON1112080401")</f>
        <v>#NAME?</v>
      </c>
      <c r="P1484" s="28" t="e">
        <f ca="1">[1]!BexGetData("DP_1","003N8EMH8GTFRIVOG7KG9J9VY","GSON1112080401")</f>
        <v>#NAME?</v>
      </c>
      <c r="Q1484" s="24" t="e">
        <f ca="1">[1]!BexGetData("DP_1","00O2TNJGODT0G5Z4TTKYMM5MT","GSON1112080401")</f>
        <v>#NAME?</v>
      </c>
      <c r="R1484" s="23" t="e">
        <f ca="1">[1]!BexGetData("DP_1","00O2TNJGODT0G5Z4TTKYMMBYD","GSON1112080401")</f>
        <v>#NAME?</v>
      </c>
      <c r="S1484" s="23" t="e">
        <f ca="1">[1]!BexGetData("DP_1","00O2TNJGODT0G5Z4TTKYMMI9X","GSON1112080401")</f>
        <v>#NAME?</v>
      </c>
      <c r="T1484" s="28" t="e">
        <f ca="1">[1]!BexGetData("DP_1","00O2TNJGODT0G5Z4TTKYMMOLH","GSON1112080401")</f>
        <v>#NAME?</v>
      </c>
      <c r="U1484" s="23" t="e">
        <f ca="1">[1]!BexGetData("DP_1","00O2TNJGODT0G5Z4TTKYMMUX1","GSON1112080401")</f>
        <v>#NAME?</v>
      </c>
      <c r="V1484" s="28" t="e">
        <f ca="1">[1]!BexGetData("DP_1","00O2TNJGODT0G5Z4TTKYMN18L","GSON1112080401")</f>
        <v>#NAME?</v>
      </c>
      <c r="W1484" s="23" t="e">
        <f ca="1">[1]!BexGetData("DP_1","00O2TNJGODT0G5Z4TTKYMN7K5","GSON1112080401")</f>
        <v>#NAME?</v>
      </c>
    </row>
    <row r="1485" spans="1:23" x14ac:dyDescent="0.2">
      <c r="A1485" s="36" t="s">
        <v>4116</v>
      </c>
      <c r="B1485" s="27" t="s">
        <v>4117</v>
      </c>
      <c r="C1485" s="28" t="e">
        <f ca="1">[1]!BexGetData("DP_1","003N8EMH8GTFRCSWKMPXRR8GU","GSON1112080403")</f>
        <v>#NAME?</v>
      </c>
      <c r="D1485" s="28" t="e">
        <f ca="1">[1]!BexGetData("DP_1","003N8EMH8GTFRCSWKMPXRRESE","GSON1112080403")</f>
        <v>#NAME?</v>
      </c>
      <c r="E1485" s="28" t="e">
        <f ca="1">[1]!BexGetData("DP_1","003N8EMH8GTFRCSWKMPXRRL3Y","GSON1112080403")</f>
        <v>#NAME?</v>
      </c>
      <c r="F1485" s="28" t="e">
        <f ca="1">[1]!BexGetData("DP_1","003N8EMH8GTFRCSWKMPXRRRFI","GSON1112080403")</f>
        <v>#NAME?</v>
      </c>
      <c r="G1485" s="23" t="e">
        <f ca="1">[1]!BexGetData("DP_1","003N8EMH8GTFRCSWKMPXRRXR2","GSON1112080403")</f>
        <v>#NAME?</v>
      </c>
      <c r="H1485" s="23" t="e">
        <f ca="1">[1]!BexGetData("DP_1","003N8EMH8GTFRCSWKMPXRS42M","GSON1112080403")</f>
        <v>#NAME?</v>
      </c>
      <c r="I1485" s="28" t="e">
        <f ca="1">[1]!BexGetData("DP_1","003N8EMH8GTFRCSWKMPXRSAE6","GSON1112080403")</f>
        <v>#NAME?</v>
      </c>
      <c r="J1485" s="24" t="e">
        <f ca="1">[1]!BexGetData("DP_1","003N8EMH8GTFRCSWKMPXRSGPQ","GSON1112080403")</f>
        <v>#NAME?</v>
      </c>
      <c r="K1485" s="28" t="e">
        <f ca="1">[1]!BexGetData("DP_1","003N8EMH8GTFRIVNUPY288VJH","GSON1112080403")</f>
        <v>#NAME?</v>
      </c>
      <c r="L1485" s="28" t="e">
        <f ca="1">[1]!BexGetData("DP_1","003N8EMH8GTFRIVNUPY2891V1","GSON1112080403")</f>
        <v>#NAME?</v>
      </c>
      <c r="M1485" s="28" t="e">
        <f ca="1">[1]!BexGetData("DP_1","003N8EMH8GTFRIVOG7KG9IQXA","GSON1112080403")</f>
        <v>#NAME?</v>
      </c>
      <c r="N1485" s="28" t="e">
        <f ca="1">[1]!BexGetData("DP_1","003N8EMH8GTFRIVOG7KG9IX8U","GSON1112080403")</f>
        <v>#NAME?</v>
      </c>
      <c r="O1485" s="28" t="e">
        <f ca="1">[1]!BexGetData("DP_1","003N8EMH8GTFRIVOG7KG9J3KE","GSON1112080403")</f>
        <v>#NAME?</v>
      </c>
      <c r="P1485" s="28" t="e">
        <f ca="1">[1]!BexGetData("DP_1","003N8EMH8GTFRIVOG7KG9J9VY","GSON1112080403")</f>
        <v>#NAME?</v>
      </c>
      <c r="Q1485" s="24" t="e">
        <f ca="1">[1]!BexGetData("DP_1","00O2TNJGODT0G5Z4TTKYMM5MT","GSON1112080403")</f>
        <v>#NAME?</v>
      </c>
      <c r="R1485" s="28" t="e">
        <f ca="1">[1]!BexGetData("DP_1","00O2TNJGODT0G5Z4TTKYMMBYD","GSON1112080403")</f>
        <v>#NAME?</v>
      </c>
      <c r="S1485" s="28" t="e">
        <f ca="1">[1]!BexGetData("DP_1","00O2TNJGODT0G5Z4TTKYMMI9X","GSON1112080403")</f>
        <v>#NAME?</v>
      </c>
      <c r="T1485" s="28" t="e">
        <f ca="1">[1]!BexGetData("DP_1","00O2TNJGODT0G5Z4TTKYMMOLH","GSON1112080403")</f>
        <v>#NAME?</v>
      </c>
      <c r="U1485" s="28" t="e">
        <f ca="1">[1]!BexGetData("DP_1","00O2TNJGODT0G5Z4TTKYMMUX1","GSON1112080403")</f>
        <v>#NAME?</v>
      </c>
      <c r="V1485" s="28" t="e">
        <f ca="1">[1]!BexGetData("DP_1","00O2TNJGODT0G5Z4TTKYMN18L","GSON1112080403")</f>
        <v>#NAME?</v>
      </c>
      <c r="W1485" s="28" t="e">
        <f ca="1">[1]!BexGetData("DP_1","00O2TNJGODT0G5Z4TTKYMN7K5","GSON1112080403")</f>
        <v>#NAME?</v>
      </c>
    </row>
    <row r="1486" spans="1:23" x14ac:dyDescent="0.2">
      <c r="A1486" s="36" t="s">
        <v>4118</v>
      </c>
      <c r="B1486" s="27" t="s">
        <v>4119</v>
      </c>
      <c r="C1486" s="28" t="e">
        <f ca="1">[1]!BexGetData("DP_1","003N8EMH8GTFRCSWKMPXRR8GU","GSON1112080404")</f>
        <v>#NAME?</v>
      </c>
      <c r="D1486" s="28" t="e">
        <f ca="1">[1]!BexGetData("DP_1","003N8EMH8GTFRCSWKMPXRRESE","GSON1112080404")</f>
        <v>#NAME?</v>
      </c>
      <c r="E1486" s="28" t="e">
        <f ca="1">[1]!BexGetData("DP_1","003N8EMH8GTFRCSWKMPXRRL3Y","GSON1112080404")</f>
        <v>#NAME?</v>
      </c>
      <c r="F1486" s="28" t="e">
        <f ca="1">[1]!BexGetData("DP_1","003N8EMH8GTFRCSWKMPXRRRFI","GSON1112080404")</f>
        <v>#NAME?</v>
      </c>
      <c r="G1486" s="23" t="e">
        <f ca="1">[1]!BexGetData("DP_1","003N8EMH8GTFRCSWKMPXRRXR2","GSON1112080404")</f>
        <v>#NAME?</v>
      </c>
      <c r="H1486" s="23" t="e">
        <f ca="1">[1]!BexGetData("DP_1","003N8EMH8GTFRCSWKMPXRS42M","GSON1112080404")</f>
        <v>#NAME?</v>
      </c>
      <c r="I1486" s="28" t="e">
        <f ca="1">[1]!BexGetData("DP_1","003N8EMH8GTFRCSWKMPXRSAE6","GSON1112080404")</f>
        <v>#NAME?</v>
      </c>
      <c r="J1486" s="24" t="e">
        <f ca="1">[1]!BexGetData("DP_1","003N8EMH8GTFRCSWKMPXRSGPQ","GSON1112080404")</f>
        <v>#NAME?</v>
      </c>
      <c r="K1486" s="28" t="e">
        <f ca="1">[1]!BexGetData("DP_1","003N8EMH8GTFRIVNUPY288VJH","GSON1112080404")</f>
        <v>#NAME?</v>
      </c>
      <c r="L1486" s="28" t="e">
        <f ca="1">[1]!BexGetData("DP_1","003N8EMH8GTFRIVNUPY2891V1","GSON1112080404")</f>
        <v>#NAME?</v>
      </c>
      <c r="M1486" s="28" t="e">
        <f ca="1">[1]!BexGetData("DP_1","003N8EMH8GTFRIVOG7KG9IQXA","GSON1112080404")</f>
        <v>#NAME?</v>
      </c>
      <c r="N1486" s="28" t="e">
        <f ca="1">[1]!BexGetData("DP_1","003N8EMH8GTFRIVOG7KG9IX8U","GSON1112080404")</f>
        <v>#NAME?</v>
      </c>
      <c r="O1486" s="28" t="e">
        <f ca="1">[1]!BexGetData("DP_1","003N8EMH8GTFRIVOG7KG9J3KE","GSON1112080404")</f>
        <v>#NAME?</v>
      </c>
      <c r="P1486" s="28" t="e">
        <f ca="1">[1]!BexGetData("DP_1","003N8EMH8GTFRIVOG7KG9J9VY","GSON1112080404")</f>
        <v>#NAME?</v>
      </c>
      <c r="Q1486" s="24" t="e">
        <f ca="1">[1]!BexGetData("DP_1","00O2TNJGODT0G5Z4TTKYMM5MT","GSON1112080404")</f>
        <v>#NAME?</v>
      </c>
      <c r="R1486" s="28" t="e">
        <f ca="1">[1]!BexGetData("DP_1","00O2TNJGODT0G5Z4TTKYMMBYD","GSON1112080404")</f>
        <v>#NAME?</v>
      </c>
      <c r="S1486" s="28" t="e">
        <f ca="1">[1]!BexGetData("DP_1","00O2TNJGODT0G5Z4TTKYMMI9X","GSON1112080404")</f>
        <v>#NAME?</v>
      </c>
      <c r="T1486" s="28" t="e">
        <f ca="1">[1]!BexGetData("DP_1","00O2TNJGODT0G5Z4TTKYMMOLH","GSON1112080404")</f>
        <v>#NAME?</v>
      </c>
      <c r="U1486" s="28" t="e">
        <f ca="1">[1]!BexGetData("DP_1","00O2TNJGODT0G5Z4TTKYMMUX1","GSON1112080404")</f>
        <v>#NAME?</v>
      </c>
      <c r="V1486" s="28" t="e">
        <f ca="1">[1]!BexGetData("DP_1","00O2TNJGODT0G5Z4TTKYMN18L","GSON1112080404")</f>
        <v>#NAME?</v>
      </c>
      <c r="W1486" s="28" t="e">
        <f ca="1">[1]!BexGetData("DP_1","00O2TNJGODT0G5Z4TTKYMN7K5","GSON1112080404")</f>
        <v>#NAME?</v>
      </c>
    </row>
    <row r="1487" spans="1:23" x14ac:dyDescent="0.2">
      <c r="A1487" s="36" t="s">
        <v>4120</v>
      </c>
      <c r="B1487" s="27" t="s">
        <v>4121</v>
      </c>
      <c r="C1487" s="28" t="e">
        <f ca="1">[1]!BexGetData("DP_1","003N8EMH8GTFRCSWKMPXRR8GU","GSON1112080410")</f>
        <v>#NAME?</v>
      </c>
      <c r="D1487" s="28" t="e">
        <f ca="1">[1]!BexGetData("DP_1","003N8EMH8GTFRCSWKMPXRRESE","GSON1112080410")</f>
        <v>#NAME?</v>
      </c>
      <c r="E1487" s="28" t="e">
        <f ca="1">[1]!BexGetData("DP_1","003N8EMH8GTFRCSWKMPXRRL3Y","GSON1112080410")</f>
        <v>#NAME?</v>
      </c>
      <c r="F1487" s="28" t="e">
        <f ca="1">[1]!BexGetData("DP_1","003N8EMH8GTFRCSWKMPXRRRFI","GSON1112080410")</f>
        <v>#NAME?</v>
      </c>
      <c r="G1487" s="23" t="e">
        <f ca="1">[1]!BexGetData("DP_1","003N8EMH8GTFRCSWKMPXRRXR2","GSON1112080410")</f>
        <v>#NAME?</v>
      </c>
      <c r="H1487" s="23" t="e">
        <f ca="1">[1]!BexGetData("DP_1","003N8EMH8GTFRCSWKMPXRS42M","GSON1112080410")</f>
        <v>#NAME?</v>
      </c>
      <c r="I1487" s="28" t="e">
        <f ca="1">[1]!BexGetData("DP_1","003N8EMH8GTFRCSWKMPXRSAE6","GSON1112080410")</f>
        <v>#NAME?</v>
      </c>
      <c r="J1487" s="24" t="e">
        <f ca="1">[1]!BexGetData("DP_1","003N8EMH8GTFRCSWKMPXRSGPQ","GSON1112080410")</f>
        <v>#NAME?</v>
      </c>
      <c r="K1487" s="28" t="e">
        <f ca="1">[1]!BexGetData("DP_1","003N8EMH8GTFRIVNUPY288VJH","GSON1112080410")</f>
        <v>#NAME?</v>
      </c>
      <c r="L1487" s="28" t="e">
        <f ca="1">[1]!BexGetData("DP_1","003N8EMH8GTFRIVNUPY2891V1","GSON1112080410")</f>
        <v>#NAME?</v>
      </c>
      <c r="M1487" s="28" t="e">
        <f ca="1">[1]!BexGetData("DP_1","003N8EMH8GTFRIVOG7KG9IQXA","GSON1112080410")</f>
        <v>#NAME?</v>
      </c>
      <c r="N1487" s="28" t="e">
        <f ca="1">[1]!BexGetData("DP_1","003N8EMH8GTFRIVOG7KG9IX8U","GSON1112080410")</f>
        <v>#NAME?</v>
      </c>
      <c r="O1487" s="28" t="e">
        <f ca="1">[1]!BexGetData("DP_1","003N8EMH8GTFRIVOG7KG9J3KE","GSON1112080410")</f>
        <v>#NAME?</v>
      </c>
      <c r="P1487" s="28" t="e">
        <f ca="1">[1]!BexGetData("DP_1","003N8EMH8GTFRIVOG7KG9J9VY","GSON1112080410")</f>
        <v>#NAME?</v>
      </c>
      <c r="Q1487" s="24" t="e">
        <f ca="1">[1]!BexGetData("DP_1","00O2TNJGODT0G5Z4TTKYMM5MT","GSON1112080410")</f>
        <v>#NAME?</v>
      </c>
      <c r="R1487" s="28" t="e">
        <f ca="1">[1]!BexGetData("DP_1","00O2TNJGODT0G5Z4TTKYMMBYD","GSON1112080410")</f>
        <v>#NAME?</v>
      </c>
      <c r="S1487" s="28" t="e">
        <f ca="1">[1]!BexGetData("DP_1","00O2TNJGODT0G5Z4TTKYMMI9X","GSON1112080410")</f>
        <v>#NAME?</v>
      </c>
      <c r="T1487" s="28" t="e">
        <f ca="1">[1]!BexGetData("DP_1","00O2TNJGODT0G5Z4TTKYMMOLH","GSON1112080410")</f>
        <v>#NAME?</v>
      </c>
      <c r="U1487" s="28" t="e">
        <f ca="1">[1]!BexGetData("DP_1","00O2TNJGODT0G5Z4TTKYMMUX1","GSON1112080410")</f>
        <v>#NAME?</v>
      </c>
      <c r="V1487" s="28" t="e">
        <f ca="1">[1]!BexGetData("DP_1","00O2TNJGODT0G5Z4TTKYMN18L","GSON1112080410")</f>
        <v>#NAME?</v>
      </c>
      <c r="W1487" s="28" t="e">
        <f ca="1">[1]!BexGetData("DP_1","00O2TNJGODT0G5Z4TTKYMN7K5","GSON1112080410")</f>
        <v>#NAME?</v>
      </c>
    </row>
    <row r="1488" spans="1:23" x14ac:dyDescent="0.2">
      <c r="A1488" s="36" t="s">
        <v>1089</v>
      </c>
      <c r="B1488" s="27" t="s">
        <v>1090</v>
      </c>
      <c r="C1488" s="28" t="e">
        <f ca="1">[1]!BexGetData("DP_1","003N8EMH8GTFRCSWKMPXRR8GU","GSON1112080411")</f>
        <v>#NAME?</v>
      </c>
      <c r="D1488" s="28" t="e">
        <f ca="1">[1]!BexGetData("DP_1","003N8EMH8GTFRCSWKMPXRRESE","GSON1112080411")</f>
        <v>#NAME?</v>
      </c>
      <c r="E1488" s="28" t="e">
        <f ca="1">[1]!BexGetData("DP_1","003N8EMH8GTFRCSWKMPXRRL3Y","GSON1112080411")</f>
        <v>#NAME?</v>
      </c>
      <c r="F1488" s="28" t="e">
        <f ca="1">[1]!BexGetData("DP_1","003N8EMH8GTFRCSWKMPXRRRFI","GSON1112080411")</f>
        <v>#NAME?</v>
      </c>
      <c r="G1488" s="23" t="e">
        <f ca="1">[1]!BexGetData("DP_1","003N8EMH8GTFRCSWKMPXRRXR2","GSON1112080411")</f>
        <v>#NAME?</v>
      </c>
      <c r="H1488" s="23" t="e">
        <f ca="1">[1]!BexGetData("DP_1","003N8EMH8GTFRCSWKMPXRS42M","GSON1112080411")</f>
        <v>#NAME?</v>
      </c>
      <c r="I1488" s="28" t="e">
        <f ca="1">[1]!BexGetData("DP_1","003N8EMH8GTFRCSWKMPXRSAE6","GSON1112080411")</f>
        <v>#NAME?</v>
      </c>
      <c r="J1488" s="24" t="e">
        <f ca="1">[1]!BexGetData("DP_1","003N8EMH8GTFRCSWKMPXRSGPQ","GSON1112080411")</f>
        <v>#NAME?</v>
      </c>
      <c r="K1488" s="28" t="e">
        <f ca="1">[1]!BexGetData("DP_1","003N8EMH8GTFRIVNUPY288VJH","GSON1112080411")</f>
        <v>#NAME?</v>
      </c>
      <c r="L1488" s="28" t="e">
        <f ca="1">[1]!BexGetData("DP_1","003N8EMH8GTFRIVNUPY2891V1","GSON1112080411")</f>
        <v>#NAME?</v>
      </c>
      <c r="M1488" s="28" t="e">
        <f ca="1">[1]!BexGetData("DP_1","003N8EMH8GTFRIVOG7KG9IQXA","GSON1112080411")</f>
        <v>#NAME?</v>
      </c>
      <c r="N1488" s="28" t="e">
        <f ca="1">[1]!BexGetData("DP_1","003N8EMH8GTFRIVOG7KG9IX8U","GSON1112080411")</f>
        <v>#NAME?</v>
      </c>
      <c r="O1488" s="28" t="e">
        <f ca="1">[1]!BexGetData("DP_1","003N8EMH8GTFRIVOG7KG9J3KE","GSON1112080411")</f>
        <v>#NAME?</v>
      </c>
      <c r="P1488" s="28" t="e">
        <f ca="1">[1]!BexGetData("DP_1","003N8EMH8GTFRIVOG7KG9J9VY","GSON1112080411")</f>
        <v>#NAME?</v>
      </c>
      <c r="Q1488" s="24" t="e">
        <f ca="1">[1]!BexGetData("DP_1","00O2TNJGODT0G5Z4TTKYMM5MT","GSON1112080411")</f>
        <v>#NAME?</v>
      </c>
      <c r="R1488" s="28" t="e">
        <f ca="1">[1]!BexGetData("DP_1","00O2TNJGODT0G5Z4TTKYMMBYD","GSON1112080411")</f>
        <v>#NAME?</v>
      </c>
      <c r="S1488" s="28" t="e">
        <f ca="1">[1]!BexGetData("DP_1","00O2TNJGODT0G5Z4TTKYMMI9X","GSON1112080411")</f>
        <v>#NAME?</v>
      </c>
      <c r="T1488" s="28" t="e">
        <f ca="1">[1]!BexGetData("DP_1","00O2TNJGODT0G5Z4TTKYMMOLH","GSON1112080411")</f>
        <v>#NAME?</v>
      </c>
      <c r="U1488" s="28" t="e">
        <f ca="1">[1]!BexGetData("DP_1","00O2TNJGODT0G5Z4TTKYMMUX1","GSON1112080411")</f>
        <v>#NAME?</v>
      </c>
      <c r="V1488" s="28" t="e">
        <f ca="1">[1]!BexGetData("DP_1","00O2TNJGODT0G5Z4TTKYMN18L","GSON1112080411")</f>
        <v>#NAME?</v>
      </c>
      <c r="W1488" s="28" t="e">
        <f ca="1">[1]!BexGetData("DP_1","00O2TNJGODT0G5Z4TTKYMN7K5","GSON1112080411")</f>
        <v>#NAME?</v>
      </c>
    </row>
    <row r="1489" spans="1:23" x14ac:dyDescent="0.2">
      <c r="A1489" s="36" t="s">
        <v>4122</v>
      </c>
      <c r="B1489" s="27" t="s">
        <v>4123</v>
      </c>
      <c r="C1489" s="28" t="e">
        <f ca="1">[1]!BexGetData("DP_1","003N8EMH8GTFRCSWKMPXRR8GU","GSON1112080414")</f>
        <v>#NAME?</v>
      </c>
      <c r="D1489" s="28" t="e">
        <f ca="1">[1]!BexGetData("DP_1","003N8EMH8GTFRCSWKMPXRRESE","GSON1112080414")</f>
        <v>#NAME?</v>
      </c>
      <c r="E1489" s="28" t="e">
        <f ca="1">[1]!BexGetData("DP_1","003N8EMH8GTFRCSWKMPXRRL3Y","GSON1112080414")</f>
        <v>#NAME?</v>
      </c>
      <c r="F1489" s="28" t="e">
        <f ca="1">[1]!BexGetData("DP_1","003N8EMH8GTFRCSWKMPXRRRFI","GSON1112080414")</f>
        <v>#NAME?</v>
      </c>
      <c r="G1489" s="23" t="e">
        <f ca="1">[1]!BexGetData("DP_1","003N8EMH8GTFRCSWKMPXRRXR2","GSON1112080414")</f>
        <v>#NAME?</v>
      </c>
      <c r="H1489" s="23" t="e">
        <f ca="1">[1]!BexGetData("DP_1","003N8EMH8GTFRCSWKMPXRS42M","GSON1112080414")</f>
        <v>#NAME?</v>
      </c>
      <c r="I1489" s="28" t="e">
        <f ca="1">[1]!BexGetData("DP_1","003N8EMH8GTFRCSWKMPXRSAE6","GSON1112080414")</f>
        <v>#NAME?</v>
      </c>
      <c r="J1489" s="24" t="e">
        <f ca="1">[1]!BexGetData("DP_1","003N8EMH8GTFRCSWKMPXRSGPQ","GSON1112080414")</f>
        <v>#NAME?</v>
      </c>
      <c r="K1489" s="28" t="e">
        <f ca="1">[1]!BexGetData("DP_1","003N8EMH8GTFRIVNUPY288VJH","GSON1112080414")</f>
        <v>#NAME?</v>
      </c>
      <c r="L1489" s="28" t="e">
        <f ca="1">[1]!BexGetData("DP_1","003N8EMH8GTFRIVNUPY2891V1","GSON1112080414")</f>
        <v>#NAME?</v>
      </c>
      <c r="M1489" s="28" t="e">
        <f ca="1">[1]!BexGetData("DP_1","003N8EMH8GTFRIVOG7KG9IQXA","GSON1112080414")</f>
        <v>#NAME?</v>
      </c>
      <c r="N1489" s="28" t="e">
        <f ca="1">[1]!BexGetData("DP_1","003N8EMH8GTFRIVOG7KG9IX8U","GSON1112080414")</f>
        <v>#NAME?</v>
      </c>
      <c r="O1489" s="28" t="e">
        <f ca="1">[1]!BexGetData("DP_1","003N8EMH8GTFRIVOG7KG9J3KE","GSON1112080414")</f>
        <v>#NAME?</v>
      </c>
      <c r="P1489" s="28" t="e">
        <f ca="1">[1]!BexGetData("DP_1","003N8EMH8GTFRIVOG7KG9J9VY","GSON1112080414")</f>
        <v>#NAME?</v>
      </c>
      <c r="Q1489" s="24" t="e">
        <f ca="1">[1]!BexGetData("DP_1","00O2TNJGODT0G5Z4TTKYMM5MT","GSON1112080414")</f>
        <v>#NAME?</v>
      </c>
      <c r="R1489" s="28" t="e">
        <f ca="1">[1]!BexGetData("DP_1","00O2TNJGODT0G5Z4TTKYMMBYD","GSON1112080414")</f>
        <v>#NAME?</v>
      </c>
      <c r="S1489" s="28" t="e">
        <f ca="1">[1]!BexGetData("DP_1","00O2TNJGODT0G5Z4TTKYMMI9X","GSON1112080414")</f>
        <v>#NAME?</v>
      </c>
      <c r="T1489" s="28" t="e">
        <f ca="1">[1]!BexGetData("DP_1","00O2TNJGODT0G5Z4TTKYMMOLH","GSON1112080414")</f>
        <v>#NAME?</v>
      </c>
      <c r="U1489" s="28" t="e">
        <f ca="1">[1]!BexGetData("DP_1","00O2TNJGODT0G5Z4TTKYMMUX1","GSON1112080414")</f>
        <v>#NAME?</v>
      </c>
      <c r="V1489" s="28" t="e">
        <f ca="1">[1]!BexGetData("DP_1","00O2TNJGODT0G5Z4TTKYMN18L","GSON1112080414")</f>
        <v>#NAME?</v>
      </c>
      <c r="W1489" s="28" t="e">
        <f ca="1">[1]!BexGetData("DP_1","00O2TNJGODT0G5Z4TTKYMN7K5","GSON1112080414")</f>
        <v>#NAME?</v>
      </c>
    </row>
    <row r="1490" spans="1:23" x14ac:dyDescent="0.2">
      <c r="A1490" s="36" t="s">
        <v>4124</v>
      </c>
      <c r="B1490" s="27" t="s">
        <v>4125</v>
      </c>
      <c r="C1490" s="28" t="e">
        <f ca="1">[1]!BexGetData("DP_1","003N8EMH8GTFRCSWKMPXRR8GU","GSON1112080420")</f>
        <v>#NAME?</v>
      </c>
      <c r="D1490" s="28" t="e">
        <f ca="1">[1]!BexGetData("DP_1","003N8EMH8GTFRCSWKMPXRRESE","GSON1112080420")</f>
        <v>#NAME?</v>
      </c>
      <c r="E1490" s="28" t="e">
        <f ca="1">[1]!BexGetData("DP_1","003N8EMH8GTFRCSWKMPXRRL3Y","GSON1112080420")</f>
        <v>#NAME?</v>
      </c>
      <c r="F1490" s="28" t="e">
        <f ca="1">[1]!BexGetData("DP_1","003N8EMH8GTFRCSWKMPXRRRFI","GSON1112080420")</f>
        <v>#NAME?</v>
      </c>
      <c r="G1490" s="23" t="e">
        <f ca="1">[1]!BexGetData("DP_1","003N8EMH8GTFRCSWKMPXRRXR2","GSON1112080420")</f>
        <v>#NAME?</v>
      </c>
      <c r="H1490" s="23" t="e">
        <f ca="1">[1]!BexGetData("DP_1","003N8EMH8GTFRCSWKMPXRS42M","GSON1112080420")</f>
        <v>#NAME?</v>
      </c>
      <c r="I1490" s="28" t="e">
        <f ca="1">[1]!BexGetData("DP_1","003N8EMH8GTFRCSWKMPXRSAE6","GSON1112080420")</f>
        <v>#NAME?</v>
      </c>
      <c r="J1490" s="24" t="e">
        <f ca="1">[1]!BexGetData("DP_1","003N8EMH8GTFRCSWKMPXRSGPQ","GSON1112080420")</f>
        <v>#NAME?</v>
      </c>
      <c r="K1490" s="28" t="e">
        <f ca="1">[1]!BexGetData("DP_1","003N8EMH8GTFRIVNUPY288VJH","GSON1112080420")</f>
        <v>#NAME?</v>
      </c>
      <c r="L1490" s="28" t="e">
        <f ca="1">[1]!BexGetData("DP_1","003N8EMH8GTFRIVNUPY2891V1","GSON1112080420")</f>
        <v>#NAME?</v>
      </c>
      <c r="M1490" s="28" t="e">
        <f ca="1">[1]!BexGetData("DP_1","003N8EMH8GTFRIVOG7KG9IQXA","GSON1112080420")</f>
        <v>#NAME?</v>
      </c>
      <c r="N1490" s="28" t="e">
        <f ca="1">[1]!BexGetData("DP_1","003N8EMH8GTFRIVOG7KG9IX8U","GSON1112080420")</f>
        <v>#NAME?</v>
      </c>
      <c r="O1490" s="28" t="e">
        <f ca="1">[1]!BexGetData("DP_1","003N8EMH8GTFRIVOG7KG9J3KE","GSON1112080420")</f>
        <v>#NAME?</v>
      </c>
      <c r="P1490" s="28" t="e">
        <f ca="1">[1]!BexGetData("DP_1","003N8EMH8GTFRIVOG7KG9J9VY","GSON1112080420")</f>
        <v>#NAME?</v>
      </c>
      <c r="Q1490" s="24" t="e">
        <f ca="1">[1]!BexGetData("DP_1","00O2TNJGODT0G5Z4TTKYMM5MT","GSON1112080420")</f>
        <v>#NAME?</v>
      </c>
      <c r="R1490" s="28" t="e">
        <f ca="1">[1]!BexGetData("DP_1","00O2TNJGODT0G5Z4TTKYMMBYD","GSON1112080420")</f>
        <v>#NAME?</v>
      </c>
      <c r="S1490" s="28" t="e">
        <f ca="1">[1]!BexGetData("DP_1","00O2TNJGODT0G5Z4TTKYMMI9X","GSON1112080420")</f>
        <v>#NAME?</v>
      </c>
      <c r="T1490" s="28" t="e">
        <f ca="1">[1]!BexGetData("DP_1","00O2TNJGODT0G5Z4TTKYMMOLH","GSON1112080420")</f>
        <v>#NAME?</v>
      </c>
      <c r="U1490" s="28" t="e">
        <f ca="1">[1]!BexGetData("DP_1","00O2TNJGODT0G5Z4TTKYMMUX1","GSON1112080420")</f>
        <v>#NAME?</v>
      </c>
      <c r="V1490" s="28" t="e">
        <f ca="1">[1]!BexGetData("DP_1","00O2TNJGODT0G5Z4TTKYMN18L","GSON1112080420")</f>
        <v>#NAME?</v>
      </c>
      <c r="W1490" s="28" t="e">
        <f ca="1">[1]!BexGetData("DP_1","00O2TNJGODT0G5Z4TTKYMN7K5","GSON1112080420")</f>
        <v>#NAME?</v>
      </c>
    </row>
    <row r="1491" spans="1:23" x14ac:dyDescent="0.2">
      <c r="A1491" s="36" t="s">
        <v>1091</v>
      </c>
      <c r="B1491" s="27" t="s">
        <v>1092</v>
      </c>
      <c r="C1491" s="28" t="e">
        <f ca="1">[1]!BexGetData("DP_1","003N8EMH8GTFRCSWKMPXRR8GU","GSON1112080421")</f>
        <v>#NAME?</v>
      </c>
      <c r="D1491" s="28" t="e">
        <f ca="1">[1]!BexGetData("DP_1","003N8EMH8GTFRCSWKMPXRRESE","GSON1112080421")</f>
        <v>#NAME?</v>
      </c>
      <c r="E1491" s="28" t="e">
        <f ca="1">[1]!BexGetData("DP_1","003N8EMH8GTFRCSWKMPXRRL3Y","GSON1112080421")</f>
        <v>#NAME?</v>
      </c>
      <c r="F1491" s="28" t="e">
        <f ca="1">[1]!BexGetData("DP_1","003N8EMH8GTFRCSWKMPXRRRFI","GSON1112080421")</f>
        <v>#NAME?</v>
      </c>
      <c r="G1491" s="23" t="e">
        <f ca="1">[1]!BexGetData("DP_1","003N8EMH8GTFRCSWKMPXRRXR2","GSON1112080421")</f>
        <v>#NAME?</v>
      </c>
      <c r="H1491" s="23" t="e">
        <f ca="1">[1]!BexGetData("DP_1","003N8EMH8GTFRCSWKMPXRS42M","GSON1112080421")</f>
        <v>#NAME?</v>
      </c>
      <c r="I1491" s="28" t="e">
        <f ca="1">[1]!BexGetData("DP_1","003N8EMH8GTFRCSWKMPXRSAE6","GSON1112080421")</f>
        <v>#NAME?</v>
      </c>
      <c r="J1491" s="24" t="e">
        <f ca="1">[1]!BexGetData("DP_1","003N8EMH8GTFRCSWKMPXRSGPQ","GSON1112080421")</f>
        <v>#NAME?</v>
      </c>
      <c r="K1491" s="28" t="e">
        <f ca="1">[1]!BexGetData("DP_1","003N8EMH8GTFRIVNUPY288VJH","GSON1112080421")</f>
        <v>#NAME?</v>
      </c>
      <c r="L1491" s="28" t="e">
        <f ca="1">[1]!BexGetData("DP_1","003N8EMH8GTFRIVNUPY2891V1","GSON1112080421")</f>
        <v>#NAME?</v>
      </c>
      <c r="M1491" s="28" t="e">
        <f ca="1">[1]!BexGetData("DP_1","003N8EMH8GTFRIVOG7KG9IQXA","GSON1112080421")</f>
        <v>#NAME?</v>
      </c>
      <c r="N1491" s="28" t="e">
        <f ca="1">[1]!BexGetData("DP_1","003N8EMH8GTFRIVOG7KG9IX8U","GSON1112080421")</f>
        <v>#NAME?</v>
      </c>
      <c r="O1491" s="28" t="e">
        <f ca="1">[1]!BexGetData("DP_1","003N8EMH8GTFRIVOG7KG9J3KE","GSON1112080421")</f>
        <v>#NAME?</v>
      </c>
      <c r="P1491" s="28" t="e">
        <f ca="1">[1]!BexGetData("DP_1","003N8EMH8GTFRIVOG7KG9J9VY","GSON1112080421")</f>
        <v>#NAME?</v>
      </c>
      <c r="Q1491" s="24" t="e">
        <f ca="1">[1]!BexGetData("DP_1","00O2TNJGODT0G5Z4TTKYMM5MT","GSON1112080421")</f>
        <v>#NAME?</v>
      </c>
      <c r="R1491" s="28" t="e">
        <f ca="1">[1]!BexGetData("DP_1","00O2TNJGODT0G5Z4TTKYMMBYD","GSON1112080421")</f>
        <v>#NAME?</v>
      </c>
      <c r="S1491" s="28" t="e">
        <f ca="1">[1]!BexGetData("DP_1","00O2TNJGODT0G5Z4TTKYMMI9X","GSON1112080421")</f>
        <v>#NAME?</v>
      </c>
      <c r="T1491" s="28" t="e">
        <f ca="1">[1]!BexGetData("DP_1","00O2TNJGODT0G5Z4TTKYMMOLH","GSON1112080421")</f>
        <v>#NAME?</v>
      </c>
      <c r="U1491" s="28" t="e">
        <f ca="1">[1]!BexGetData("DP_1","00O2TNJGODT0G5Z4TTKYMMUX1","GSON1112080421")</f>
        <v>#NAME?</v>
      </c>
      <c r="V1491" s="28" t="e">
        <f ca="1">[1]!BexGetData("DP_1","00O2TNJGODT0G5Z4TTKYMN18L","GSON1112080421")</f>
        <v>#NAME?</v>
      </c>
      <c r="W1491" s="28" t="e">
        <f ca="1">[1]!BexGetData("DP_1","00O2TNJGODT0G5Z4TTKYMN7K5","GSON1112080421")</f>
        <v>#NAME?</v>
      </c>
    </row>
    <row r="1492" spans="1:23" x14ac:dyDescent="0.2">
      <c r="A1492" s="36" t="s">
        <v>4126</v>
      </c>
      <c r="B1492" s="27" t="s">
        <v>4127</v>
      </c>
      <c r="C1492" s="28" t="e">
        <f ca="1">[1]!BexGetData("DP_1","003N8EMH8GTFRCSWKMPXRR8GU","GSON1112080424")</f>
        <v>#NAME?</v>
      </c>
      <c r="D1492" s="28" t="e">
        <f ca="1">[1]!BexGetData("DP_1","003N8EMH8GTFRCSWKMPXRRESE","GSON1112080424")</f>
        <v>#NAME?</v>
      </c>
      <c r="E1492" s="28" t="e">
        <f ca="1">[1]!BexGetData("DP_1","003N8EMH8GTFRCSWKMPXRRL3Y","GSON1112080424")</f>
        <v>#NAME?</v>
      </c>
      <c r="F1492" s="28" t="e">
        <f ca="1">[1]!BexGetData("DP_1","003N8EMH8GTFRCSWKMPXRRRFI","GSON1112080424")</f>
        <v>#NAME?</v>
      </c>
      <c r="G1492" s="23" t="e">
        <f ca="1">[1]!BexGetData("DP_1","003N8EMH8GTFRCSWKMPXRRXR2","GSON1112080424")</f>
        <v>#NAME?</v>
      </c>
      <c r="H1492" s="23" t="e">
        <f ca="1">[1]!BexGetData("DP_1","003N8EMH8GTFRCSWKMPXRS42M","GSON1112080424")</f>
        <v>#NAME?</v>
      </c>
      <c r="I1492" s="28" t="e">
        <f ca="1">[1]!BexGetData("DP_1","003N8EMH8GTFRCSWKMPXRSAE6","GSON1112080424")</f>
        <v>#NAME?</v>
      </c>
      <c r="J1492" s="24" t="e">
        <f ca="1">[1]!BexGetData("DP_1","003N8EMH8GTFRCSWKMPXRSGPQ","GSON1112080424")</f>
        <v>#NAME?</v>
      </c>
      <c r="K1492" s="28" t="e">
        <f ca="1">[1]!BexGetData("DP_1","003N8EMH8GTFRIVNUPY288VJH","GSON1112080424")</f>
        <v>#NAME?</v>
      </c>
      <c r="L1492" s="28" t="e">
        <f ca="1">[1]!BexGetData("DP_1","003N8EMH8GTFRIVNUPY2891V1","GSON1112080424")</f>
        <v>#NAME?</v>
      </c>
      <c r="M1492" s="28" t="e">
        <f ca="1">[1]!BexGetData("DP_1","003N8EMH8GTFRIVOG7KG9IQXA","GSON1112080424")</f>
        <v>#NAME?</v>
      </c>
      <c r="N1492" s="28" t="e">
        <f ca="1">[1]!BexGetData("DP_1","003N8EMH8GTFRIVOG7KG9IX8U","GSON1112080424")</f>
        <v>#NAME?</v>
      </c>
      <c r="O1492" s="28" t="e">
        <f ca="1">[1]!BexGetData("DP_1","003N8EMH8GTFRIVOG7KG9J3KE","GSON1112080424")</f>
        <v>#NAME?</v>
      </c>
      <c r="P1492" s="28" t="e">
        <f ca="1">[1]!BexGetData("DP_1","003N8EMH8GTFRIVOG7KG9J9VY","GSON1112080424")</f>
        <v>#NAME?</v>
      </c>
      <c r="Q1492" s="24" t="e">
        <f ca="1">[1]!BexGetData("DP_1","00O2TNJGODT0G5Z4TTKYMM5MT","GSON1112080424")</f>
        <v>#NAME?</v>
      </c>
      <c r="R1492" s="28" t="e">
        <f ca="1">[1]!BexGetData("DP_1","00O2TNJGODT0G5Z4TTKYMMBYD","GSON1112080424")</f>
        <v>#NAME?</v>
      </c>
      <c r="S1492" s="28" t="e">
        <f ca="1">[1]!BexGetData("DP_1","00O2TNJGODT0G5Z4TTKYMMI9X","GSON1112080424")</f>
        <v>#NAME?</v>
      </c>
      <c r="T1492" s="28" t="e">
        <f ca="1">[1]!BexGetData("DP_1","00O2TNJGODT0G5Z4TTKYMMOLH","GSON1112080424")</f>
        <v>#NAME?</v>
      </c>
      <c r="U1492" s="28" t="e">
        <f ca="1">[1]!BexGetData("DP_1","00O2TNJGODT0G5Z4TTKYMMUX1","GSON1112080424")</f>
        <v>#NAME?</v>
      </c>
      <c r="V1492" s="28" t="e">
        <f ca="1">[1]!BexGetData("DP_1","00O2TNJGODT0G5Z4TTKYMN18L","GSON1112080424")</f>
        <v>#NAME?</v>
      </c>
      <c r="W1492" s="28" t="e">
        <f ca="1">[1]!BexGetData("DP_1","00O2TNJGODT0G5Z4TTKYMN7K5","GSON1112080424")</f>
        <v>#NAME?</v>
      </c>
    </row>
    <row r="1493" spans="1:23" x14ac:dyDescent="0.2">
      <c r="A1493" s="36" t="s">
        <v>1696</v>
      </c>
      <c r="B1493" s="27" t="s">
        <v>1697</v>
      </c>
      <c r="C1493" s="28" t="e">
        <f ca="1">[1]!BexGetData("DP_1","003N8EMH8GTFRCSWKMPXRR8GU","GSON1112080430")</f>
        <v>#NAME?</v>
      </c>
      <c r="D1493" s="28" t="e">
        <f ca="1">[1]!BexGetData("DP_1","003N8EMH8GTFRCSWKMPXRRESE","GSON1112080430")</f>
        <v>#NAME?</v>
      </c>
      <c r="E1493" s="28" t="e">
        <f ca="1">[1]!BexGetData("DP_1","003N8EMH8GTFRCSWKMPXRRL3Y","GSON1112080430")</f>
        <v>#NAME?</v>
      </c>
      <c r="F1493" s="28" t="e">
        <f ca="1">[1]!BexGetData("DP_1","003N8EMH8GTFRCSWKMPXRRRFI","GSON1112080430")</f>
        <v>#NAME?</v>
      </c>
      <c r="G1493" s="23" t="e">
        <f ca="1">[1]!BexGetData("DP_1","003N8EMH8GTFRCSWKMPXRRXR2","GSON1112080430")</f>
        <v>#NAME?</v>
      </c>
      <c r="H1493" s="23" t="e">
        <f ca="1">[1]!BexGetData("DP_1","003N8EMH8GTFRCSWKMPXRS42M","GSON1112080430")</f>
        <v>#NAME?</v>
      </c>
      <c r="I1493" s="28" t="e">
        <f ca="1">[1]!BexGetData("DP_1","003N8EMH8GTFRCSWKMPXRSAE6","GSON1112080430")</f>
        <v>#NAME?</v>
      </c>
      <c r="J1493" s="24" t="e">
        <f ca="1">[1]!BexGetData("DP_1","003N8EMH8GTFRCSWKMPXRSGPQ","GSON1112080430")</f>
        <v>#NAME?</v>
      </c>
      <c r="K1493" s="28" t="e">
        <f ca="1">[1]!BexGetData("DP_1","003N8EMH8GTFRIVNUPY288VJH","GSON1112080430")</f>
        <v>#NAME?</v>
      </c>
      <c r="L1493" s="28" t="e">
        <f ca="1">[1]!BexGetData("DP_1","003N8EMH8GTFRIVNUPY2891V1","GSON1112080430")</f>
        <v>#NAME?</v>
      </c>
      <c r="M1493" s="28" t="e">
        <f ca="1">[1]!BexGetData("DP_1","003N8EMH8GTFRIVOG7KG9IQXA","GSON1112080430")</f>
        <v>#NAME?</v>
      </c>
      <c r="N1493" s="28" t="e">
        <f ca="1">[1]!BexGetData("DP_1","003N8EMH8GTFRIVOG7KG9IX8U","GSON1112080430")</f>
        <v>#NAME?</v>
      </c>
      <c r="O1493" s="28" t="e">
        <f ca="1">[1]!BexGetData("DP_1","003N8EMH8GTFRIVOG7KG9J3KE","GSON1112080430")</f>
        <v>#NAME?</v>
      </c>
      <c r="P1493" s="28" t="e">
        <f ca="1">[1]!BexGetData("DP_1","003N8EMH8GTFRIVOG7KG9J9VY","GSON1112080430")</f>
        <v>#NAME?</v>
      </c>
      <c r="Q1493" s="24" t="e">
        <f ca="1">[1]!BexGetData("DP_1","00O2TNJGODT0G5Z4TTKYMM5MT","GSON1112080430")</f>
        <v>#NAME?</v>
      </c>
      <c r="R1493" s="28" t="e">
        <f ca="1">[1]!BexGetData("DP_1","00O2TNJGODT0G5Z4TTKYMMBYD","GSON1112080430")</f>
        <v>#NAME?</v>
      </c>
      <c r="S1493" s="28" t="e">
        <f ca="1">[1]!BexGetData("DP_1","00O2TNJGODT0G5Z4TTKYMMI9X","GSON1112080430")</f>
        <v>#NAME?</v>
      </c>
      <c r="T1493" s="28" t="e">
        <f ca="1">[1]!BexGetData("DP_1","00O2TNJGODT0G5Z4TTKYMMOLH","GSON1112080430")</f>
        <v>#NAME?</v>
      </c>
      <c r="U1493" s="28" t="e">
        <f ca="1">[1]!BexGetData("DP_1","00O2TNJGODT0G5Z4TTKYMMUX1","GSON1112080430")</f>
        <v>#NAME?</v>
      </c>
      <c r="V1493" s="28" t="e">
        <f ca="1">[1]!BexGetData("DP_1","00O2TNJGODT0G5Z4TTKYMN18L","GSON1112080430")</f>
        <v>#NAME?</v>
      </c>
      <c r="W1493" s="28" t="e">
        <f ca="1">[1]!BexGetData("DP_1","00O2TNJGODT0G5Z4TTKYMN7K5","GSON1112080430")</f>
        <v>#NAME?</v>
      </c>
    </row>
    <row r="1494" spans="1:23" x14ac:dyDescent="0.2">
      <c r="A1494" s="36" t="s">
        <v>1698</v>
      </c>
      <c r="B1494" s="27" t="s">
        <v>1699</v>
      </c>
      <c r="C1494" s="28" t="e">
        <f ca="1">[1]!BexGetData("DP_1","003N8EMH8GTFRCSWKMPXRR8GU","GSON1112080431")</f>
        <v>#NAME?</v>
      </c>
      <c r="D1494" s="28" t="e">
        <f ca="1">[1]!BexGetData("DP_1","003N8EMH8GTFRCSWKMPXRRESE","GSON1112080431")</f>
        <v>#NAME?</v>
      </c>
      <c r="E1494" s="28" t="e">
        <f ca="1">[1]!BexGetData("DP_1","003N8EMH8GTFRCSWKMPXRRL3Y","GSON1112080431")</f>
        <v>#NAME?</v>
      </c>
      <c r="F1494" s="28" t="e">
        <f ca="1">[1]!BexGetData("DP_1","003N8EMH8GTFRCSWKMPXRRRFI","GSON1112080431")</f>
        <v>#NAME?</v>
      </c>
      <c r="G1494" s="23" t="e">
        <f ca="1">[1]!BexGetData("DP_1","003N8EMH8GTFRCSWKMPXRRXR2","GSON1112080431")</f>
        <v>#NAME?</v>
      </c>
      <c r="H1494" s="23" t="e">
        <f ca="1">[1]!BexGetData("DP_1","003N8EMH8GTFRCSWKMPXRS42M","GSON1112080431")</f>
        <v>#NAME?</v>
      </c>
      <c r="I1494" s="28" t="e">
        <f ca="1">[1]!BexGetData("DP_1","003N8EMH8GTFRCSWKMPXRSAE6","GSON1112080431")</f>
        <v>#NAME?</v>
      </c>
      <c r="J1494" s="24" t="e">
        <f ca="1">[1]!BexGetData("DP_1","003N8EMH8GTFRCSWKMPXRSGPQ","GSON1112080431")</f>
        <v>#NAME?</v>
      </c>
      <c r="K1494" s="28" t="e">
        <f ca="1">[1]!BexGetData("DP_1","003N8EMH8GTFRIVNUPY288VJH","GSON1112080431")</f>
        <v>#NAME?</v>
      </c>
      <c r="L1494" s="28" t="e">
        <f ca="1">[1]!BexGetData("DP_1","003N8EMH8GTFRIVNUPY2891V1","GSON1112080431")</f>
        <v>#NAME?</v>
      </c>
      <c r="M1494" s="28" t="e">
        <f ca="1">[1]!BexGetData("DP_1","003N8EMH8GTFRIVOG7KG9IQXA","GSON1112080431")</f>
        <v>#NAME?</v>
      </c>
      <c r="N1494" s="28" t="e">
        <f ca="1">[1]!BexGetData("DP_1","003N8EMH8GTFRIVOG7KG9IX8U","GSON1112080431")</f>
        <v>#NAME?</v>
      </c>
      <c r="O1494" s="28" t="e">
        <f ca="1">[1]!BexGetData("DP_1","003N8EMH8GTFRIVOG7KG9J3KE","GSON1112080431")</f>
        <v>#NAME?</v>
      </c>
      <c r="P1494" s="28" t="e">
        <f ca="1">[1]!BexGetData("DP_1","003N8EMH8GTFRIVOG7KG9J9VY","GSON1112080431")</f>
        <v>#NAME?</v>
      </c>
      <c r="Q1494" s="24" t="e">
        <f ca="1">[1]!BexGetData("DP_1","00O2TNJGODT0G5Z4TTKYMM5MT","GSON1112080431")</f>
        <v>#NAME?</v>
      </c>
      <c r="R1494" s="28" t="e">
        <f ca="1">[1]!BexGetData("DP_1","00O2TNJGODT0G5Z4TTKYMMBYD","GSON1112080431")</f>
        <v>#NAME?</v>
      </c>
      <c r="S1494" s="28" t="e">
        <f ca="1">[1]!BexGetData("DP_1","00O2TNJGODT0G5Z4TTKYMMI9X","GSON1112080431")</f>
        <v>#NAME?</v>
      </c>
      <c r="T1494" s="28" t="e">
        <f ca="1">[1]!BexGetData("DP_1","00O2TNJGODT0G5Z4TTKYMMOLH","GSON1112080431")</f>
        <v>#NAME?</v>
      </c>
      <c r="U1494" s="28" t="e">
        <f ca="1">[1]!BexGetData("DP_1","00O2TNJGODT0G5Z4TTKYMMUX1","GSON1112080431")</f>
        <v>#NAME?</v>
      </c>
      <c r="V1494" s="28" t="e">
        <f ca="1">[1]!BexGetData("DP_1","00O2TNJGODT0G5Z4TTKYMN18L","GSON1112080431")</f>
        <v>#NAME?</v>
      </c>
      <c r="W1494" s="28" t="e">
        <f ca="1">[1]!BexGetData("DP_1","00O2TNJGODT0G5Z4TTKYMN7K5","GSON1112080431")</f>
        <v>#NAME?</v>
      </c>
    </row>
    <row r="1495" spans="1:23" x14ac:dyDescent="0.2">
      <c r="A1495" s="36" t="s">
        <v>4128</v>
      </c>
      <c r="B1495" s="27" t="s">
        <v>1700</v>
      </c>
      <c r="C1495" s="28" t="e">
        <f ca="1">[1]!BexGetData("DP_1","003N8EMH8GTFRCSWKMPXRR8GU","GSON1112080434")</f>
        <v>#NAME?</v>
      </c>
      <c r="D1495" s="28" t="e">
        <f ca="1">[1]!BexGetData("DP_1","003N8EMH8GTFRCSWKMPXRRESE","GSON1112080434")</f>
        <v>#NAME?</v>
      </c>
      <c r="E1495" s="28" t="e">
        <f ca="1">[1]!BexGetData("DP_1","003N8EMH8GTFRCSWKMPXRRL3Y","GSON1112080434")</f>
        <v>#NAME?</v>
      </c>
      <c r="F1495" s="28" t="e">
        <f ca="1">[1]!BexGetData("DP_1","003N8EMH8GTFRCSWKMPXRRRFI","GSON1112080434")</f>
        <v>#NAME?</v>
      </c>
      <c r="G1495" s="23" t="e">
        <f ca="1">[1]!BexGetData("DP_1","003N8EMH8GTFRCSWKMPXRRXR2","GSON1112080434")</f>
        <v>#NAME?</v>
      </c>
      <c r="H1495" s="23" t="e">
        <f ca="1">[1]!BexGetData("DP_1","003N8EMH8GTFRCSWKMPXRS42M","GSON1112080434")</f>
        <v>#NAME?</v>
      </c>
      <c r="I1495" s="28" t="e">
        <f ca="1">[1]!BexGetData("DP_1","003N8EMH8GTFRCSWKMPXRSAE6","GSON1112080434")</f>
        <v>#NAME?</v>
      </c>
      <c r="J1495" s="24" t="e">
        <f ca="1">[1]!BexGetData("DP_1","003N8EMH8GTFRCSWKMPXRSGPQ","GSON1112080434")</f>
        <v>#NAME?</v>
      </c>
      <c r="K1495" s="28" t="e">
        <f ca="1">[1]!BexGetData("DP_1","003N8EMH8GTFRIVNUPY288VJH","GSON1112080434")</f>
        <v>#NAME?</v>
      </c>
      <c r="L1495" s="28" t="e">
        <f ca="1">[1]!BexGetData("DP_1","003N8EMH8GTFRIVNUPY2891V1","GSON1112080434")</f>
        <v>#NAME?</v>
      </c>
      <c r="M1495" s="28" t="e">
        <f ca="1">[1]!BexGetData("DP_1","003N8EMH8GTFRIVOG7KG9IQXA","GSON1112080434")</f>
        <v>#NAME?</v>
      </c>
      <c r="N1495" s="28" t="e">
        <f ca="1">[1]!BexGetData("DP_1","003N8EMH8GTFRIVOG7KG9IX8U","GSON1112080434")</f>
        <v>#NAME?</v>
      </c>
      <c r="O1495" s="28" t="e">
        <f ca="1">[1]!BexGetData("DP_1","003N8EMH8GTFRIVOG7KG9J3KE","GSON1112080434")</f>
        <v>#NAME?</v>
      </c>
      <c r="P1495" s="28" t="e">
        <f ca="1">[1]!BexGetData("DP_1","003N8EMH8GTFRIVOG7KG9J9VY","GSON1112080434")</f>
        <v>#NAME?</v>
      </c>
      <c r="Q1495" s="24" t="e">
        <f ca="1">[1]!BexGetData("DP_1","00O2TNJGODT0G5Z4TTKYMM5MT","GSON1112080434")</f>
        <v>#NAME?</v>
      </c>
      <c r="R1495" s="28" t="e">
        <f ca="1">[1]!BexGetData("DP_1","00O2TNJGODT0G5Z4TTKYMMBYD","GSON1112080434")</f>
        <v>#NAME?</v>
      </c>
      <c r="S1495" s="28" t="e">
        <f ca="1">[1]!BexGetData("DP_1","00O2TNJGODT0G5Z4TTKYMMI9X","GSON1112080434")</f>
        <v>#NAME?</v>
      </c>
      <c r="T1495" s="28" t="e">
        <f ca="1">[1]!BexGetData("DP_1","00O2TNJGODT0G5Z4TTKYMMOLH","GSON1112080434")</f>
        <v>#NAME?</v>
      </c>
      <c r="U1495" s="28" t="e">
        <f ca="1">[1]!BexGetData("DP_1","00O2TNJGODT0G5Z4TTKYMMUX1","GSON1112080434")</f>
        <v>#NAME?</v>
      </c>
      <c r="V1495" s="28" t="e">
        <f ca="1">[1]!BexGetData("DP_1","00O2TNJGODT0G5Z4TTKYMN18L","GSON1112080434")</f>
        <v>#NAME?</v>
      </c>
      <c r="W1495" s="28" t="e">
        <f ca="1">[1]!BexGetData("DP_1","00O2TNJGODT0G5Z4TTKYMN7K5","GSON1112080434")</f>
        <v>#NAME?</v>
      </c>
    </row>
    <row r="1496" spans="1:23" x14ac:dyDescent="0.2">
      <c r="A1496" s="36" t="s">
        <v>4129</v>
      </c>
      <c r="B1496" s="27" t="s">
        <v>4130</v>
      </c>
      <c r="C1496" s="23" t="e">
        <f ca="1">[1]!BexGetData("DP_1","003N8EMH8GTFRCSWKMPXRR8GU","GSON1112080440")</f>
        <v>#NAME?</v>
      </c>
      <c r="D1496" s="23" t="e">
        <f ca="1">[1]!BexGetData("DP_1","003N8EMH8GTFRCSWKMPXRRESE","GSON1112080440")</f>
        <v>#NAME?</v>
      </c>
      <c r="E1496" s="23" t="e">
        <f ca="1">[1]!BexGetData("DP_1","003N8EMH8GTFRCSWKMPXRRL3Y","GSON1112080440")</f>
        <v>#NAME?</v>
      </c>
      <c r="F1496" s="28" t="e">
        <f ca="1">[1]!BexGetData("DP_1","003N8EMH8GTFRCSWKMPXRRRFI","GSON1112080440")</f>
        <v>#NAME?</v>
      </c>
      <c r="G1496" s="23" t="e">
        <f ca="1">[1]!BexGetData("DP_1","003N8EMH8GTFRCSWKMPXRRXR2","GSON1112080440")</f>
        <v>#NAME?</v>
      </c>
      <c r="H1496" s="23" t="e">
        <f ca="1">[1]!BexGetData("DP_1","003N8EMH8GTFRCSWKMPXRS42M","GSON1112080440")</f>
        <v>#NAME?</v>
      </c>
      <c r="I1496" s="28" t="e">
        <f ca="1">[1]!BexGetData("DP_1","003N8EMH8GTFRCSWKMPXRSAE6","GSON1112080440")</f>
        <v>#NAME?</v>
      </c>
      <c r="J1496" s="24" t="e">
        <f ca="1">[1]!BexGetData("DP_1","003N8EMH8GTFRCSWKMPXRSGPQ","GSON1112080440")</f>
        <v>#NAME?</v>
      </c>
      <c r="K1496" s="23" t="e">
        <f ca="1">[1]!BexGetData("DP_1","003N8EMH8GTFRIVNUPY288VJH","GSON1112080440")</f>
        <v>#NAME?</v>
      </c>
      <c r="L1496" s="23" t="e">
        <f ca="1">[1]!BexGetData("DP_1","003N8EMH8GTFRIVNUPY2891V1","GSON1112080440")</f>
        <v>#NAME?</v>
      </c>
      <c r="M1496" s="28" t="e">
        <f ca="1">[1]!BexGetData("DP_1","003N8EMH8GTFRIVOG7KG9IQXA","GSON1112080440")</f>
        <v>#NAME?</v>
      </c>
      <c r="N1496" s="23" t="e">
        <f ca="1">[1]!BexGetData("DP_1","003N8EMH8GTFRIVOG7KG9IX8U","GSON1112080440")</f>
        <v>#NAME?</v>
      </c>
      <c r="O1496" s="28" t="e">
        <f ca="1">[1]!BexGetData("DP_1","003N8EMH8GTFRIVOG7KG9J3KE","GSON1112080440")</f>
        <v>#NAME?</v>
      </c>
      <c r="P1496" s="23" t="e">
        <f ca="1">[1]!BexGetData("DP_1","003N8EMH8GTFRIVOG7KG9J9VY","GSON1112080440")</f>
        <v>#NAME?</v>
      </c>
      <c r="Q1496" s="24" t="e">
        <f ca="1">[1]!BexGetData("DP_1","00O2TNJGODT0G5Z4TTKYMM5MT","GSON1112080440")</f>
        <v>#NAME?</v>
      </c>
      <c r="R1496" s="28" t="e">
        <f ca="1">[1]!BexGetData("DP_1","00O2TNJGODT0G5Z4TTKYMMBYD","GSON1112080440")</f>
        <v>#NAME?</v>
      </c>
      <c r="S1496" s="28" t="e">
        <f ca="1">[1]!BexGetData("DP_1","00O2TNJGODT0G5Z4TTKYMMI9X","GSON1112080440")</f>
        <v>#NAME?</v>
      </c>
      <c r="T1496" s="28" t="e">
        <f ca="1">[1]!BexGetData("DP_1","00O2TNJGODT0G5Z4TTKYMMOLH","GSON1112080440")</f>
        <v>#NAME?</v>
      </c>
      <c r="U1496" s="28" t="e">
        <f ca="1">[1]!BexGetData("DP_1","00O2TNJGODT0G5Z4TTKYMMUX1","GSON1112080440")</f>
        <v>#NAME?</v>
      </c>
      <c r="V1496" s="28" t="e">
        <f ca="1">[1]!BexGetData("DP_1","00O2TNJGODT0G5Z4TTKYMN18L","GSON1112080440")</f>
        <v>#NAME?</v>
      </c>
      <c r="W1496" s="28" t="e">
        <f ca="1">[1]!BexGetData("DP_1","00O2TNJGODT0G5Z4TTKYMN7K5","GSON1112080440")</f>
        <v>#NAME?</v>
      </c>
    </row>
    <row r="1497" spans="1:23" x14ac:dyDescent="0.2">
      <c r="A1497" s="36" t="s">
        <v>1093</v>
      </c>
      <c r="B1497" s="27" t="s">
        <v>1094</v>
      </c>
      <c r="C1497" s="23" t="e">
        <f ca="1">[1]!BexGetData("DP_1","003N8EMH8GTFRCSWKMPXRR8GU","GSON1112080441")</f>
        <v>#NAME?</v>
      </c>
      <c r="D1497" s="23" t="e">
        <f ca="1">[1]!BexGetData("DP_1","003N8EMH8GTFRCSWKMPXRRESE","GSON1112080441")</f>
        <v>#NAME?</v>
      </c>
      <c r="E1497" s="23" t="e">
        <f ca="1">[1]!BexGetData("DP_1","003N8EMH8GTFRCSWKMPXRRL3Y","GSON1112080441")</f>
        <v>#NAME?</v>
      </c>
      <c r="F1497" s="23" t="e">
        <f ca="1">[1]!BexGetData("DP_1","003N8EMH8GTFRCSWKMPXRRRFI","GSON1112080441")</f>
        <v>#NAME?</v>
      </c>
      <c r="G1497" s="23" t="e">
        <f ca="1">[1]!BexGetData("DP_1","003N8EMH8GTFRCSWKMPXRRXR2","GSON1112080441")</f>
        <v>#NAME?</v>
      </c>
      <c r="H1497" s="23" t="e">
        <f ca="1">[1]!BexGetData("DP_1","003N8EMH8GTFRCSWKMPXRS42M","GSON1112080441")</f>
        <v>#NAME?</v>
      </c>
      <c r="I1497" s="23" t="e">
        <f ca="1">[1]!BexGetData("DP_1","003N8EMH8GTFRCSWKMPXRSAE6","GSON1112080441")</f>
        <v>#NAME?</v>
      </c>
      <c r="J1497" s="24" t="e">
        <f ca="1">[1]!BexGetData("DP_1","003N8EMH8GTFRCSWKMPXRSGPQ","GSON1112080441")</f>
        <v>#NAME?</v>
      </c>
      <c r="K1497" s="23" t="e">
        <f ca="1">[1]!BexGetData("DP_1","003N8EMH8GTFRIVNUPY288VJH","GSON1112080441")</f>
        <v>#NAME?</v>
      </c>
      <c r="L1497" s="23" t="e">
        <f ca="1">[1]!BexGetData("DP_1","003N8EMH8GTFRIVNUPY2891V1","GSON1112080441")</f>
        <v>#NAME?</v>
      </c>
      <c r="M1497" s="23" t="e">
        <f ca="1">[1]!BexGetData("DP_1","003N8EMH8GTFRIVOG7KG9IQXA","GSON1112080441")</f>
        <v>#NAME?</v>
      </c>
      <c r="N1497" s="28" t="e">
        <f ca="1">[1]!BexGetData("DP_1","003N8EMH8GTFRIVOG7KG9IX8U","GSON1112080441")</f>
        <v>#NAME?</v>
      </c>
      <c r="O1497" s="23" t="e">
        <f ca="1">[1]!BexGetData("DP_1","003N8EMH8GTFRIVOG7KG9J3KE","GSON1112080441")</f>
        <v>#NAME?</v>
      </c>
      <c r="P1497" s="28" t="e">
        <f ca="1">[1]!BexGetData("DP_1","003N8EMH8GTFRIVOG7KG9J9VY","GSON1112080441")</f>
        <v>#NAME?</v>
      </c>
      <c r="Q1497" s="24" t="e">
        <f ca="1">[1]!BexGetData("DP_1","00O2TNJGODT0G5Z4TTKYMM5MT","GSON1112080441")</f>
        <v>#NAME?</v>
      </c>
      <c r="R1497" s="23" t="e">
        <f ca="1">[1]!BexGetData("DP_1","00O2TNJGODT0G5Z4TTKYMMBYD","GSON1112080441")</f>
        <v>#NAME?</v>
      </c>
      <c r="S1497" s="23" t="e">
        <f ca="1">[1]!BexGetData("DP_1","00O2TNJGODT0G5Z4TTKYMMI9X","GSON1112080441")</f>
        <v>#NAME?</v>
      </c>
      <c r="T1497" s="28" t="e">
        <f ca="1">[1]!BexGetData("DP_1","00O2TNJGODT0G5Z4TTKYMMOLH","GSON1112080441")</f>
        <v>#NAME?</v>
      </c>
      <c r="U1497" s="23" t="e">
        <f ca="1">[1]!BexGetData("DP_1","00O2TNJGODT0G5Z4TTKYMMUX1","GSON1112080441")</f>
        <v>#NAME?</v>
      </c>
      <c r="V1497" s="28" t="e">
        <f ca="1">[1]!BexGetData("DP_1","00O2TNJGODT0G5Z4TTKYMN18L","GSON1112080441")</f>
        <v>#NAME?</v>
      </c>
      <c r="W1497" s="23" t="e">
        <f ca="1">[1]!BexGetData("DP_1","00O2TNJGODT0G5Z4TTKYMN7K5","GSON1112080441")</f>
        <v>#NAME?</v>
      </c>
    </row>
    <row r="1498" spans="1:23" x14ac:dyDescent="0.2">
      <c r="A1498" s="36" t="s">
        <v>4131</v>
      </c>
      <c r="B1498" s="27" t="s">
        <v>4132</v>
      </c>
      <c r="C1498" s="23" t="e">
        <f ca="1">[1]!BexGetData("DP_1","003N8EMH8GTFRCSWKMPXRR8GU","GSON1112080443")</f>
        <v>#NAME?</v>
      </c>
      <c r="D1498" s="23" t="e">
        <f ca="1">[1]!BexGetData("DP_1","003N8EMH8GTFRCSWKMPXRRESE","GSON1112080443")</f>
        <v>#NAME?</v>
      </c>
      <c r="E1498" s="28" t="e">
        <f ca="1">[1]!BexGetData("DP_1","003N8EMH8GTFRCSWKMPXRRL3Y","GSON1112080443")</f>
        <v>#NAME?</v>
      </c>
      <c r="F1498" s="28" t="e">
        <f ca="1">[1]!BexGetData("DP_1","003N8EMH8GTFRCSWKMPXRRRFI","GSON1112080443")</f>
        <v>#NAME?</v>
      </c>
      <c r="G1498" s="23" t="e">
        <f ca="1">[1]!BexGetData("DP_1","003N8EMH8GTFRCSWKMPXRRXR2","GSON1112080443")</f>
        <v>#NAME?</v>
      </c>
      <c r="H1498" s="23" t="e">
        <f ca="1">[1]!BexGetData("DP_1","003N8EMH8GTFRCSWKMPXRS42M","GSON1112080443")</f>
        <v>#NAME?</v>
      </c>
      <c r="I1498" s="28" t="e">
        <f ca="1">[1]!BexGetData("DP_1","003N8EMH8GTFRCSWKMPXRSAE6","GSON1112080443")</f>
        <v>#NAME?</v>
      </c>
      <c r="J1498" s="24" t="e">
        <f ca="1">[1]!BexGetData("DP_1","003N8EMH8GTFRCSWKMPXRSGPQ","GSON1112080443")</f>
        <v>#NAME?</v>
      </c>
      <c r="K1498" s="28" t="e">
        <f ca="1">[1]!BexGetData("DP_1","003N8EMH8GTFRIVNUPY288VJH","GSON1112080443")</f>
        <v>#NAME?</v>
      </c>
      <c r="L1498" s="28" t="e">
        <f ca="1">[1]!BexGetData("DP_1","003N8EMH8GTFRIVNUPY2891V1","GSON1112080443")</f>
        <v>#NAME?</v>
      </c>
      <c r="M1498" s="28" t="e">
        <f ca="1">[1]!BexGetData("DP_1","003N8EMH8GTFRIVOG7KG9IQXA","GSON1112080443")</f>
        <v>#NAME?</v>
      </c>
      <c r="N1498" s="28" t="e">
        <f ca="1">[1]!BexGetData("DP_1","003N8EMH8GTFRIVOG7KG9IX8U","GSON1112080443")</f>
        <v>#NAME?</v>
      </c>
      <c r="O1498" s="28" t="e">
        <f ca="1">[1]!BexGetData("DP_1","003N8EMH8GTFRIVOG7KG9J3KE","GSON1112080443")</f>
        <v>#NAME?</v>
      </c>
      <c r="P1498" s="28" t="e">
        <f ca="1">[1]!BexGetData("DP_1","003N8EMH8GTFRIVOG7KG9J9VY","GSON1112080443")</f>
        <v>#NAME?</v>
      </c>
      <c r="Q1498" s="24" t="e">
        <f ca="1">[1]!BexGetData("DP_1","00O2TNJGODT0G5Z4TTKYMM5MT","GSON1112080443")</f>
        <v>#NAME?</v>
      </c>
      <c r="R1498" s="28" t="e">
        <f ca="1">[1]!BexGetData("DP_1","00O2TNJGODT0G5Z4TTKYMMBYD","GSON1112080443")</f>
        <v>#NAME?</v>
      </c>
      <c r="S1498" s="28" t="e">
        <f ca="1">[1]!BexGetData("DP_1","00O2TNJGODT0G5Z4TTKYMMI9X","GSON1112080443")</f>
        <v>#NAME?</v>
      </c>
      <c r="T1498" s="28" t="e">
        <f ca="1">[1]!BexGetData("DP_1","00O2TNJGODT0G5Z4TTKYMMOLH","GSON1112080443")</f>
        <v>#NAME?</v>
      </c>
      <c r="U1498" s="28" t="e">
        <f ca="1">[1]!BexGetData("DP_1","00O2TNJGODT0G5Z4TTKYMMUX1","GSON1112080443")</f>
        <v>#NAME?</v>
      </c>
      <c r="V1498" s="28" t="e">
        <f ca="1">[1]!BexGetData("DP_1","00O2TNJGODT0G5Z4TTKYMN18L","GSON1112080443")</f>
        <v>#NAME?</v>
      </c>
      <c r="W1498" s="28" t="e">
        <f ca="1">[1]!BexGetData("DP_1","00O2TNJGODT0G5Z4TTKYMN7K5","GSON1112080443")</f>
        <v>#NAME?</v>
      </c>
    </row>
    <row r="1499" spans="1:23" x14ac:dyDescent="0.2">
      <c r="A1499" s="36" t="s">
        <v>4133</v>
      </c>
      <c r="B1499" s="27" t="s">
        <v>4134</v>
      </c>
      <c r="C1499" s="23" t="e">
        <f ca="1">[1]!BexGetData("DP_1","003N8EMH8GTFRCSWKMPXRR8GU","GSON1112080444")</f>
        <v>#NAME?</v>
      </c>
      <c r="D1499" s="23" t="e">
        <f ca="1">[1]!BexGetData("DP_1","003N8EMH8GTFRCSWKMPXRRESE","GSON1112080444")</f>
        <v>#NAME?</v>
      </c>
      <c r="E1499" s="28" t="e">
        <f ca="1">[1]!BexGetData("DP_1","003N8EMH8GTFRCSWKMPXRRL3Y","GSON1112080444")</f>
        <v>#NAME?</v>
      </c>
      <c r="F1499" s="23" t="e">
        <f ca="1">[1]!BexGetData("DP_1","003N8EMH8GTFRCSWKMPXRRRFI","GSON1112080444")</f>
        <v>#NAME?</v>
      </c>
      <c r="G1499" s="23" t="e">
        <f ca="1">[1]!BexGetData("DP_1","003N8EMH8GTFRCSWKMPXRRXR2","GSON1112080444")</f>
        <v>#NAME?</v>
      </c>
      <c r="H1499" s="23" t="e">
        <f ca="1">[1]!BexGetData("DP_1","003N8EMH8GTFRCSWKMPXRS42M","GSON1112080444")</f>
        <v>#NAME?</v>
      </c>
      <c r="I1499" s="23" t="e">
        <f ca="1">[1]!BexGetData("DP_1","003N8EMH8GTFRCSWKMPXRSAE6","GSON1112080444")</f>
        <v>#NAME?</v>
      </c>
      <c r="J1499" s="24" t="e">
        <f ca="1">[1]!BexGetData("DP_1","003N8EMH8GTFRCSWKMPXRSGPQ","GSON1112080444")</f>
        <v>#NAME?</v>
      </c>
      <c r="K1499" s="23" t="e">
        <f ca="1">[1]!BexGetData("DP_1","003N8EMH8GTFRIVNUPY288VJH","GSON1112080444")</f>
        <v>#NAME?</v>
      </c>
      <c r="L1499" s="23" t="e">
        <f ca="1">[1]!BexGetData("DP_1","003N8EMH8GTFRIVNUPY2891V1","GSON1112080444")</f>
        <v>#NAME?</v>
      </c>
      <c r="M1499" s="28" t="e">
        <f ca="1">[1]!BexGetData("DP_1","003N8EMH8GTFRIVOG7KG9IQXA","GSON1112080444")</f>
        <v>#NAME?</v>
      </c>
      <c r="N1499" s="23" t="e">
        <f ca="1">[1]!BexGetData("DP_1","003N8EMH8GTFRIVOG7KG9IX8U","GSON1112080444")</f>
        <v>#NAME?</v>
      </c>
      <c r="O1499" s="28" t="e">
        <f ca="1">[1]!BexGetData("DP_1","003N8EMH8GTFRIVOG7KG9J3KE","GSON1112080444")</f>
        <v>#NAME?</v>
      </c>
      <c r="P1499" s="23" t="e">
        <f ca="1">[1]!BexGetData("DP_1","003N8EMH8GTFRIVOG7KG9J9VY","GSON1112080444")</f>
        <v>#NAME?</v>
      </c>
      <c r="Q1499" s="24" t="e">
        <f ca="1">[1]!BexGetData("DP_1","00O2TNJGODT0G5Z4TTKYMM5MT","GSON1112080444")</f>
        <v>#NAME?</v>
      </c>
      <c r="R1499" s="23" t="e">
        <f ca="1">[1]!BexGetData("DP_1","00O2TNJGODT0G5Z4TTKYMMBYD","GSON1112080444")</f>
        <v>#NAME?</v>
      </c>
      <c r="S1499" s="23" t="e">
        <f ca="1">[1]!BexGetData("DP_1","00O2TNJGODT0G5Z4TTKYMMI9X","GSON1112080444")</f>
        <v>#NAME?</v>
      </c>
      <c r="T1499" s="23" t="e">
        <f ca="1">[1]!BexGetData("DP_1","00O2TNJGODT0G5Z4TTKYMMOLH","GSON1112080444")</f>
        <v>#NAME?</v>
      </c>
      <c r="U1499" s="28" t="e">
        <f ca="1">[1]!BexGetData("DP_1","00O2TNJGODT0G5Z4TTKYMMUX1","GSON1112080444")</f>
        <v>#NAME?</v>
      </c>
      <c r="V1499" s="23" t="e">
        <f ca="1">[1]!BexGetData("DP_1","00O2TNJGODT0G5Z4TTKYMN18L","GSON1112080444")</f>
        <v>#NAME?</v>
      </c>
      <c r="W1499" s="28" t="e">
        <f ca="1">[1]!BexGetData("DP_1","00O2TNJGODT0G5Z4TTKYMN7K5","GSON1112080444")</f>
        <v>#NAME?</v>
      </c>
    </row>
    <row r="1500" spans="1:23" x14ac:dyDescent="0.2">
      <c r="A1500" s="36" t="s">
        <v>4135</v>
      </c>
      <c r="B1500" s="27" t="s">
        <v>4136</v>
      </c>
      <c r="C1500" s="23" t="e">
        <f ca="1">[1]!BexGetData("DP_1","003N8EMH8GTFRCSWKMPXRR8GU","GSON1112080460")</f>
        <v>#NAME?</v>
      </c>
      <c r="D1500" s="28" t="e">
        <f ca="1">[1]!BexGetData("DP_1","003N8EMH8GTFRCSWKMPXRRESE","GSON1112080460")</f>
        <v>#NAME?</v>
      </c>
      <c r="E1500" s="23" t="e">
        <f ca="1">[1]!BexGetData("DP_1","003N8EMH8GTFRCSWKMPXRRL3Y","GSON1112080460")</f>
        <v>#NAME?</v>
      </c>
      <c r="F1500" s="23" t="e">
        <f ca="1">[1]!BexGetData("DP_1","003N8EMH8GTFRCSWKMPXRRRFI","GSON1112080460")</f>
        <v>#NAME?</v>
      </c>
      <c r="G1500" s="23" t="e">
        <f ca="1">[1]!BexGetData("DP_1","003N8EMH8GTFRCSWKMPXRRXR2","GSON1112080460")</f>
        <v>#NAME?</v>
      </c>
      <c r="H1500" s="23" t="e">
        <f ca="1">[1]!BexGetData("DP_1","003N8EMH8GTFRCSWKMPXRS42M","GSON1112080460")</f>
        <v>#NAME?</v>
      </c>
      <c r="I1500" s="23" t="e">
        <f ca="1">[1]!BexGetData("DP_1","003N8EMH8GTFRCSWKMPXRSAE6","GSON1112080460")</f>
        <v>#NAME?</v>
      </c>
      <c r="J1500" s="23" t="e">
        <f ca="1">[1]!BexGetData("DP_1","003N8EMH8GTFRCSWKMPXRSGPQ","GSON1112080460")</f>
        <v>#NAME?</v>
      </c>
      <c r="K1500" s="23" t="e">
        <f ca="1">[1]!BexGetData("DP_1","003N8EMH8GTFRIVNUPY288VJH","GSON1112080460")</f>
        <v>#NAME?</v>
      </c>
      <c r="L1500" s="23" t="e">
        <f ca="1">[1]!BexGetData("DP_1","003N8EMH8GTFRIVNUPY2891V1","GSON1112080460")</f>
        <v>#NAME?</v>
      </c>
      <c r="M1500" s="28" t="e">
        <f ca="1">[1]!BexGetData("DP_1","003N8EMH8GTFRIVOG7KG9IQXA","GSON1112080460")</f>
        <v>#NAME?</v>
      </c>
      <c r="N1500" s="23" t="e">
        <f ca="1">[1]!BexGetData("DP_1","003N8EMH8GTFRIVOG7KG9IX8U","GSON1112080460")</f>
        <v>#NAME?</v>
      </c>
      <c r="O1500" s="28" t="e">
        <f ca="1">[1]!BexGetData("DP_1","003N8EMH8GTFRIVOG7KG9J3KE","GSON1112080460")</f>
        <v>#NAME?</v>
      </c>
      <c r="P1500" s="23" t="e">
        <f ca="1">[1]!BexGetData("DP_1","003N8EMH8GTFRIVOG7KG9J9VY","GSON1112080460")</f>
        <v>#NAME?</v>
      </c>
      <c r="Q1500" s="23" t="e">
        <f ca="1">[1]!BexGetData("DP_1","00O2TNJGODT0G5Z4TTKYMM5MT","GSON1112080460")</f>
        <v>#NAME?</v>
      </c>
      <c r="R1500" s="23" t="e">
        <f ca="1">[1]!BexGetData("DP_1","00O2TNJGODT0G5Z4TTKYMMBYD","GSON1112080460")</f>
        <v>#NAME?</v>
      </c>
      <c r="S1500" s="23" t="e">
        <f ca="1">[1]!BexGetData("DP_1","00O2TNJGODT0G5Z4TTKYMMI9X","GSON1112080460")</f>
        <v>#NAME?</v>
      </c>
      <c r="T1500" s="23" t="e">
        <f ca="1">[1]!BexGetData("DP_1","00O2TNJGODT0G5Z4TTKYMMOLH","GSON1112080460")</f>
        <v>#NAME?</v>
      </c>
      <c r="U1500" s="28" t="e">
        <f ca="1">[1]!BexGetData("DP_1","00O2TNJGODT0G5Z4TTKYMMUX1","GSON1112080460")</f>
        <v>#NAME?</v>
      </c>
      <c r="V1500" s="23" t="e">
        <f ca="1">[1]!BexGetData("DP_1","00O2TNJGODT0G5Z4TTKYMN18L","GSON1112080460")</f>
        <v>#NAME?</v>
      </c>
      <c r="W1500" s="28" t="e">
        <f ca="1">[1]!BexGetData("DP_1","00O2TNJGODT0G5Z4TTKYMN7K5","GSON1112080460")</f>
        <v>#NAME?</v>
      </c>
    </row>
    <row r="1501" spans="1:23" x14ac:dyDescent="0.2">
      <c r="A1501" s="36" t="s">
        <v>4137</v>
      </c>
      <c r="B1501" s="27" t="s">
        <v>4138</v>
      </c>
      <c r="C1501" s="24" t="e">
        <f ca="1">[1]!BexGetData("DP_1","003N8EMH8GTFRCSWKMPXRR8GU","GSON1112080461")</f>
        <v>#NAME?</v>
      </c>
      <c r="D1501" s="24" t="e">
        <f ca="1">[1]!BexGetData("DP_1","003N8EMH8GTFRCSWKMPXRRESE","GSON1112080461")</f>
        <v>#NAME?</v>
      </c>
      <c r="E1501" s="24" t="e">
        <f ca="1">[1]!BexGetData("DP_1","003N8EMH8GTFRCSWKMPXRRL3Y","GSON1112080461")</f>
        <v>#NAME?</v>
      </c>
      <c r="F1501" s="28" t="e">
        <f ca="1">[1]!BexGetData("DP_1","003N8EMH8GTFRCSWKMPXRRRFI","GSON1112080461")</f>
        <v>#NAME?</v>
      </c>
      <c r="G1501" s="23" t="e">
        <f ca="1">[1]!BexGetData("DP_1","003N8EMH8GTFRCSWKMPXRRXR2","GSON1112080461")</f>
        <v>#NAME?</v>
      </c>
      <c r="H1501" s="23" t="e">
        <f ca="1">[1]!BexGetData("DP_1","003N8EMH8GTFRCSWKMPXRS42M","GSON1112080461")</f>
        <v>#NAME?</v>
      </c>
      <c r="I1501" s="28" t="e">
        <f ca="1">[1]!BexGetData("DP_1","003N8EMH8GTFRCSWKMPXRSAE6","GSON1112080461")</f>
        <v>#NAME?</v>
      </c>
      <c r="J1501" s="24" t="e">
        <f ca="1">[1]!BexGetData("DP_1","003N8EMH8GTFRCSWKMPXRSGPQ","GSON1112080461")</f>
        <v>#NAME?</v>
      </c>
      <c r="K1501" s="28" t="e">
        <f ca="1">[1]!BexGetData("DP_1","003N8EMH8GTFRIVNUPY288VJH","GSON1112080461")</f>
        <v>#NAME?</v>
      </c>
      <c r="L1501" s="28" t="e">
        <f ca="1">[1]!BexGetData("DP_1","003N8EMH8GTFRIVNUPY2891V1","GSON1112080461")</f>
        <v>#NAME?</v>
      </c>
      <c r="M1501" s="28" t="e">
        <f ca="1">[1]!BexGetData("DP_1","003N8EMH8GTFRIVOG7KG9IQXA","GSON1112080461")</f>
        <v>#NAME?</v>
      </c>
      <c r="N1501" s="28" t="e">
        <f ca="1">[1]!BexGetData("DP_1","003N8EMH8GTFRIVOG7KG9IX8U","GSON1112080461")</f>
        <v>#NAME?</v>
      </c>
      <c r="O1501" s="28" t="e">
        <f ca="1">[1]!BexGetData("DP_1","003N8EMH8GTFRIVOG7KG9J3KE","GSON1112080461")</f>
        <v>#NAME?</v>
      </c>
      <c r="P1501" s="28" t="e">
        <f ca="1">[1]!BexGetData("DP_1","003N8EMH8GTFRIVOG7KG9J9VY","GSON1112080461")</f>
        <v>#NAME?</v>
      </c>
      <c r="Q1501" s="24" t="e">
        <f ca="1">[1]!BexGetData("DP_1","00O2TNJGODT0G5Z4TTKYMM5MT","GSON1112080461")</f>
        <v>#NAME?</v>
      </c>
      <c r="R1501" s="28" t="e">
        <f ca="1">[1]!BexGetData("DP_1","00O2TNJGODT0G5Z4TTKYMMBYD","GSON1112080461")</f>
        <v>#NAME?</v>
      </c>
      <c r="S1501" s="28" t="e">
        <f ca="1">[1]!BexGetData("DP_1","00O2TNJGODT0G5Z4TTKYMMI9X","GSON1112080461")</f>
        <v>#NAME?</v>
      </c>
      <c r="T1501" s="28" t="e">
        <f ca="1">[1]!BexGetData("DP_1","00O2TNJGODT0G5Z4TTKYMMOLH","GSON1112080461")</f>
        <v>#NAME?</v>
      </c>
      <c r="U1501" s="28" t="e">
        <f ca="1">[1]!BexGetData("DP_1","00O2TNJGODT0G5Z4TTKYMMUX1","GSON1112080461")</f>
        <v>#NAME?</v>
      </c>
      <c r="V1501" s="28" t="e">
        <f ca="1">[1]!BexGetData("DP_1","00O2TNJGODT0G5Z4TTKYMN18L","GSON1112080461")</f>
        <v>#NAME?</v>
      </c>
      <c r="W1501" s="28" t="e">
        <f ca="1">[1]!BexGetData("DP_1","00O2TNJGODT0G5Z4TTKYMN7K5","GSON1112080461")</f>
        <v>#NAME?</v>
      </c>
    </row>
    <row r="1502" spans="1:23" x14ac:dyDescent="0.2">
      <c r="A1502" s="36" t="s">
        <v>4139</v>
      </c>
      <c r="B1502" s="27" t="s">
        <v>4140</v>
      </c>
      <c r="C1502" s="23" t="e">
        <f ca="1">[1]!BexGetData("DP_1","003N8EMH8GTFRCSWKMPXRR8GU","GSON1112080465")</f>
        <v>#NAME?</v>
      </c>
      <c r="D1502" s="23" t="e">
        <f ca="1">[1]!BexGetData("DP_1","003N8EMH8GTFRCSWKMPXRRESE","GSON1112080465")</f>
        <v>#NAME?</v>
      </c>
      <c r="E1502" s="28" t="e">
        <f ca="1">[1]!BexGetData("DP_1","003N8EMH8GTFRCSWKMPXRRL3Y","GSON1112080465")</f>
        <v>#NAME?</v>
      </c>
      <c r="F1502" s="28" t="e">
        <f ca="1">[1]!BexGetData("DP_1","003N8EMH8GTFRCSWKMPXRRRFI","GSON1112080465")</f>
        <v>#NAME?</v>
      </c>
      <c r="G1502" s="23" t="e">
        <f ca="1">[1]!BexGetData("DP_1","003N8EMH8GTFRCSWKMPXRRXR2","GSON1112080465")</f>
        <v>#NAME?</v>
      </c>
      <c r="H1502" s="23" t="e">
        <f ca="1">[1]!BexGetData("DP_1","003N8EMH8GTFRCSWKMPXRS42M","GSON1112080465")</f>
        <v>#NAME?</v>
      </c>
      <c r="I1502" s="28" t="e">
        <f ca="1">[1]!BexGetData("DP_1","003N8EMH8GTFRCSWKMPXRSAE6","GSON1112080465")</f>
        <v>#NAME?</v>
      </c>
      <c r="J1502" s="24" t="e">
        <f ca="1">[1]!BexGetData("DP_1","003N8EMH8GTFRCSWKMPXRSGPQ","GSON1112080465")</f>
        <v>#NAME?</v>
      </c>
      <c r="K1502" s="28" t="e">
        <f ca="1">[1]!BexGetData("DP_1","003N8EMH8GTFRIVNUPY288VJH","GSON1112080465")</f>
        <v>#NAME?</v>
      </c>
      <c r="L1502" s="28" t="e">
        <f ca="1">[1]!BexGetData("DP_1","003N8EMH8GTFRIVNUPY2891V1","GSON1112080465")</f>
        <v>#NAME?</v>
      </c>
      <c r="M1502" s="28" t="e">
        <f ca="1">[1]!BexGetData("DP_1","003N8EMH8GTFRIVOG7KG9IQXA","GSON1112080465")</f>
        <v>#NAME?</v>
      </c>
      <c r="N1502" s="28" t="e">
        <f ca="1">[1]!BexGetData("DP_1","003N8EMH8GTFRIVOG7KG9IX8U","GSON1112080465")</f>
        <v>#NAME?</v>
      </c>
      <c r="O1502" s="28" t="e">
        <f ca="1">[1]!BexGetData("DP_1","003N8EMH8GTFRIVOG7KG9J3KE","GSON1112080465")</f>
        <v>#NAME?</v>
      </c>
      <c r="P1502" s="28" t="e">
        <f ca="1">[1]!BexGetData("DP_1","003N8EMH8GTFRIVOG7KG9J9VY","GSON1112080465")</f>
        <v>#NAME?</v>
      </c>
      <c r="Q1502" s="24" t="e">
        <f ca="1">[1]!BexGetData("DP_1","00O2TNJGODT0G5Z4TTKYMM5MT","GSON1112080465")</f>
        <v>#NAME?</v>
      </c>
      <c r="R1502" s="28" t="e">
        <f ca="1">[1]!BexGetData("DP_1","00O2TNJGODT0G5Z4TTKYMMBYD","GSON1112080465")</f>
        <v>#NAME?</v>
      </c>
      <c r="S1502" s="28" t="e">
        <f ca="1">[1]!BexGetData("DP_1","00O2TNJGODT0G5Z4TTKYMMI9X","GSON1112080465")</f>
        <v>#NAME?</v>
      </c>
      <c r="T1502" s="28" t="e">
        <f ca="1">[1]!BexGetData("DP_1","00O2TNJGODT0G5Z4TTKYMMOLH","GSON1112080465")</f>
        <v>#NAME?</v>
      </c>
      <c r="U1502" s="28" t="e">
        <f ca="1">[1]!BexGetData("DP_1","00O2TNJGODT0G5Z4TTKYMMUX1","GSON1112080465")</f>
        <v>#NAME?</v>
      </c>
      <c r="V1502" s="28" t="e">
        <f ca="1">[1]!BexGetData("DP_1","00O2TNJGODT0G5Z4TTKYMN18L","GSON1112080465")</f>
        <v>#NAME?</v>
      </c>
      <c r="W1502" s="28" t="e">
        <f ca="1">[1]!BexGetData("DP_1","00O2TNJGODT0G5Z4TTKYMN7K5","GSON1112080465")</f>
        <v>#NAME?</v>
      </c>
    </row>
    <row r="1503" spans="1:23" x14ac:dyDescent="0.2">
      <c r="A1503" s="36" t="s">
        <v>4141</v>
      </c>
      <c r="B1503" s="27" t="s">
        <v>4142</v>
      </c>
      <c r="C1503" s="23" t="e">
        <f ca="1">[1]!BexGetData("DP_1","003N8EMH8GTFRCSWKMPXRR8GU","GSON1112090030")</f>
        <v>#NAME?</v>
      </c>
      <c r="D1503" s="23" t="e">
        <f ca="1">[1]!BexGetData("DP_1","003N8EMH8GTFRCSWKMPXRRESE","GSON1112090030")</f>
        <v>#NAME?</v>
      </c>
      <c r="E1503" s="23" t="e">
        <f ca="1">[1]!BexGetData("DP_1","003N8EMH8GTFRCSWKMPXRRL3Y","GSON1112090030")</f>
        <v>#NAME?</v>
      </c>
      <c r="F1503" s="23" t="e">
        <f ca="1">[1]!BexGetData("DP_1","003N8EMH8GTFRCSWKMPXRRRFI","GSON1112090030")</f>
        <v>#NAME?</v>
      </c>
      <c r="G1503" s="23" t="e">
        <f ca="1">[1]!BexGetData("DP_1","003N8EMH8GTFRCSWKMPXRRXR2","GSON1112090030")</f>
        <v>#NAME?</v>
      </c>
      <c r="H1503" s="23" t="e">
        <f ca="1">[1]!BexGetData("DP_1","003N8EMH8GTFRCSWKMPXRS42M","GSON1112090030")</f>
        <v>#NAME?</v>
      </c>
      <c r="I1503" s="23" t="e">
        <f ca="1">[1]!BexGetData("DP_1","003N8EMH8GTFRCSWKMPXRSAE6","GSON1112090030")</f>
        <v>#NAME?</v>
      </c>
      <c r="J1503" s="23" t="e">
        <f ca="1">[1]!BexGetData("DP_1","003N8EMH8GTFRCSWKMPXRSGPQ","GSON1112090030")</f>
        <v>#NAME?</v>
      </c>
      <c r="K1503" s="23" t="e">
        <f ca="1">[1]!BexGetData("DP_1","003N8EMH8GTFRIVNUPY288VJH","GSON1112090030")</f>
        <v>#NAME?</v>
      </c>
      <c r="L1503" s="23" t="e">
        <f ca="1">[1]!BexGetData("DP_1","003N8EMH8GTFRIVNUPY2891V1","GSON1112090030")</f>
        <v>#NAME?</v>
      </c>
      <c r="M1503" s="28" t="e">
        <f ca="1">[1]!BexGetData("DP_1","003N8EMH8GTFRIVOG7KG9IQXA","GSON1112090030")</f>
        <v>#NAME?</v>
      </c>
      <c r="N1503" s="23" t="e">
        <f ca="1">[1]!BexGetData("DP_1","003N8EMH8GTFRIVOG7KG9IX8U","GSON1112090030")</f>
        <v>#NAME?</v>
      </c>
      <c r="O1503" s="28" t="e">
        <f ca="1">[1]!BexGetData("DP_1","003N8EMH8GTFRIVOG7KG9J3KE","GSON1112090030")</f>
        <v>#NAME?</v>
      </c>
      <c r="P1503" s="23" t="e">
        <f ca="1">[1]!BexGetData("DP_1","003N8EMH8GTFRIVOG7KG9J9VY","GSON1112090030")</f>
        <v>#NAME?</v>
      </c>
      <c r="Q1503" s="23" t="e">
        <f ca="1">[1]!BexGetData("DP_1","00O2TNJGODT0G5Z4TTKYMM5MT","GSON1112090030")</f>
        <v>#NAME?</v>
      </c>
      <c r="R1503" s="23" t="e">
        <f ca="1">[1]!BexGetData("DP_1","00O2TNJGODT0G5Z4TTKYMMBYD","GSON1112090030")</f>
        <v>#NAME?</v>
      </c>
      <c r="S1503" s="23" t="e">
        <f ca="1">[1]!BexGetData("DP_1","00O2TNJGODT0G5Z4TTKYMMI9X","GSON1112090030")</f>
        <v>#NAME?</v>
      </c>
      <c r="T1503" s="28" t="e">
        <f ca="1">[1]!BexGetData("DP_1","00O2TNJGODT0G5Z4TTKYMMOLH","GSON1112090030")</f>
        <v>#NAME?</v>
      </c>
      <c r="U1503" s="23" t="e">
        <f ca="1">[1]!BexGetData("DP_1","00O2TNJGODT0G5Z4TTKYMMUX1","GSON1112090030")</f>
        <v>#NAME?</v>
      </c>
      <c r="V1503" s="28" t="e">
        <f ca="1">[1]!BexGetData("DP_1","00O2TNJGODT0G5Z4TTKYMN18L","GSON1112090030")</f>
        <v>#NAME?</v>
      </c>
      <c r="W1503" s="23" t="e">
        <f ca="1">[1]!BexGetData("DP_1","00O2TNJGODT0G5Z4TTKYMN7K5","GSON1112090030")</f>
        <v>#NAME?</v>
      </c>
    </row>
    <row r="1504" spans="1:23" x14ac:dyDescent="0.2">
      <c r="A1504" s="36" t="s">
        <v>4143</v>
      </c>
      <c r="B1504" s="27" t="s">
        <v>4144</v>
      </c>
      <c r="C1504" s="23" t="e">
        <f ca="1">[1]!BexGetData("DP_1","003N8EMH8GTFRCSWKMPXRR8GU","GSON1112090034")</f>
        <v>#NAME?</v>
      </c>
      <c r="D1504" s="23" t="e">
        <f ca="1">[1]!BexGetData("DP_1","003N8EMH8GTFRCSWKMPXRRESE","GSON1112090034")</f>
        <v>#NAME?</v>
      </c>
      <c r="E1504" s="28" t="e">
        <f ca="1">[1]!BexGetData("DP_1","003N8EMH8GTFRCSWKMPXRRL3Y","GSON1112090034")</f>
        <v>#NAME?</v>
      </c>
      <c r="F1504" s="24" t="e">
        <f ca="1">[1]!BexGetData("DP_1","003N8EMH8GTFRCSWKMPXRRRFI","GSON1112090034")</f>
        <v>#NAME?</v>
      </c>
      <c r="G1504" s="24" t="e">
        <f ca="1">[1]!BexGetData("DP_1","003N8EMH8GTFRCSWKMPXRRXR2","GSON1112090034")</f>
        <v>#NAME?</v>
      </c>
      <c r="H1504" s="24" t="e">
        <f ca="1">[1]!BexGetData("DP_1","003N8EMH8GTFRCSWKMPXRS42M","GSON1112090034")</f>
        <v>#NAME?</v>
      </c>
      <c r="I1504" s="24" t="e">
        <f ca="1">[1]!BexGetData("DP_1","003N8EMH8GTFRCSWKMPXRSAE6","GSON1112090034")</f>
        <v>#NAME?</v>
      </c>
      <c r="J1504" s="24" t="e">
        <f ca="1">[1]!BexGetData("DP_1","003N8EMH8GTFRCSWKMPXRSGPQ","GSON1112090034")</f>
        <v>#NAME?</v>
      </c>
      <c r="K1504" s="28" t="e">
        <f ca="1">[1]!BexGetData("DP_1","003N8EMH8GTFRIVNUPY288VJH","GSON1112090034")</f>
        <v>#NAME?</v>
      </c>
      <c r="L1504" s="28" t="e">
        <f ca="1">[1]!BexGetData("DP_1","003N8EMH8GTFRIVNUPY2891V1","GSON1112090034")</f>
        <v>#NAME?</v>
      </c>
      <c r="M1504" s="28" t="e">
        <f ca="1">[1]!BexGetData("DP_1","003N8EMH8GTFRIVOG7KG9IQXA","GSON1112090034")</f>
        <v>#NAME?</v>
      </c>
      <c r="N1504" s="28" t="e">
        <f ca="1">[1]!BexGetData("DP_1","003N8EMH8GTFRIVOG7KG9IX8U","GSON1112090034")</f>
        <v>#NAME?</v>
      </c>
      <c r="O1504" s="28" t="e">
        <f ca="1">[1]!BexGetData("DP_1","003N8EMH8GTFRIVOG7KG9J3KE","GSON1112090034")</f>
        <v>#NAME?</v>
      </c>
      <c r="P1504" s="28" t="e">
        <f ca="1">[1]!BexGetData("DP_1","003N8EMH8GTFRIVOG7KG9J9VY","GSON1112090034")</f>
        <v>#NAME?</v>
      </c>
      <c r="Q1504" s="24" t="e">
        <f ca="1">[1]!BexGetData("DP_1","00O2TNJGODT0G5Z4TTKYMM5MT","GSON1112090034")</f>
        <v>#NAME?</v>
      </c>
      <c r="R1504" s="24" t="e">
        <f ca="1">[1]!BexGetData("DP_1","00O2TNJGODT0G5Z4TTKYMMBYD","GSON1112090034")</f>
        <v>#NAME?</v>
      </c>
      <c r="S1504" s="24" t="e">
        <f ca="1">[1]!BexGetData("DP_1","00O2TNJGODT0G5Z4TTKYMMI9X","GSON1112090034")</f>
        <v>#NAME?</v>
      </c>
      <c r="T1504" s="24" t="e">
        <f ca="1">[1]!BexGetData("DP_1","00O2TNJGODT0G5Z4TTKYMMOLH","GSON1112090034")</f>
        <v>#NAME?</v>
      </c>
      <c r="U1504" s="24" t="e">
        <f ca="1">[1]!BexGetData("DP_1","00O2TNJGODT0G5Z4TTKYMMUX1","GSON1112090034")</f>
        <v>#NAME?</v>
      </c>
      <c r="V1504" s="24" t="e">
        <f ca="1">[1]!BexGetData("DP_1","00O2TNJGODT0G5Z4TTKYMN18L","GSON1112090034")</f>
        <v>#NAME?</v>
      </c>
      <c r="W1504" s="24" t="e">
        <f ca="1">[1]!BexGetData("DP_1","00O2TNJGODT0G5Z4TTKYMN7K5","GSON1112090034")</f>
        <v>#NAME?</v>
      </c>
    </row>
    <row r="1505" spans="1:23" x14ac:dyDescent="0.2">
      <c r="A1505" s="36" t="s">
        <v>4145</v>
      </c>
      <c r="B1505" s="27" t="s">
        <v>4146</v>
      </c>
      <c r="C1505" s="23" t="e">
        <f ca="1">[1]!BexGetData("DP_1","003N8EMH8GTFRCSWKMPXRR8GU","GSON1112090035")</f>
        <v>#NAME?</v>
      </c>
      <c r="D1505" s="23" t="e">
        <f ca="1">[1]!BexGetData("DP_1","003N8EMH8GTFRCSWKMPXRRESE","GSON1112090035")</f>
        <v>#NAME?</v>
      </c>
      <c r="E1505" s="28" t="e">
        <f ca="1">[1]!BexGetData("DP_1","003N8EMH8GTFRCSWKMPXRRL3Y","GSON1112090035")</f>
        <v>#NAME?</v>
      </c>
      <c r="F1505" s="28" t="e">
        <f ca="1">[1]!BexGetData("DP_1","003N8EMH8GTFRCSWKMPXRRRFI","GSON1112090035")</f>
        <v>#NAME?</v>
      </c>
      <c r="G1505" s="23" t="e">
        <f ca="1">[1]!BexGetData("DP_1","003N8EMH8GTFRCSWKMPXRRXR2","GSON1112090035")</f>
        <v>#NAME?</v>
      </c>
      <c r="H1505" s="23" t="e">
        <f ca="1">[1]!BexGetData("DP_1","003N8EMH8GTFRCSWKMPXRS42M","GSON1112090035")</f>
        <v>#NAME?</v>
      </c>
      <c r="I1505" s="28" t="e">
        <f ca="1">[1]!BexGetData("DP_1","003N8EMH8GTFRCSWKMPXRSAE6","GSON1112090035")</f>
        <v>#NAME?</v>
      </c>
      <c r="J1505" s="24" t="e">
        <f ca="1">[1]!BexGetData("DP_1","003N8EMH8GTFRCSWKMPXRSGPQ","GSON1112090035")</f>
        <v>#NAME?</v>
      </c>
      <c r="K1505" s="28" t="e">
        <f ca="1">[1]!BexGetData("DP_1","003N8EMH8GTFRIVNUPY288VJH","GSON1112090035")</f>
        <v>#NAME?</v>
      </c>
      <c r="L1505" s="28" t="e">
        <f ca="1">[1]!BexGetData("DP_1","003N8EMH8GTFRIVNUPY2891V1","GSON1112090035")</f>
        <v>#NAME?</v>
      </c>
      <c r="M1505" s="28" t="e">
        <f ca="1">[1]!BexGetData("DP_1","003N8EMH8GTFRIVOG7KG9IQXA","GSON1112090035")</f>
        <v>#NAME?</v>
      </c>
      <c r="N1505" s="28" t="e">
        <f ca="1">[1]!BexGetData("DP_1","003N8EMH8GTFRIVOG7KG9IX8U","GSON1112090035")</f>
        <v>#NAME?</v>
      </c>
      <c r="O1505" s="28" t="e">
        <f ca="1">[1]!BexGetData("DP_1","003N8EMH8GTFRIVOG7KG9J3KE","GSON1112090035")</f>
        <v>#NAME?</v>
      </c>
      <c r="P1505" s="28" t="e">
        <f ca="1">[1]!BexGetData("DP_1","003N8EMH8GTFRIVOG7KG9J9VY","GSON1112090035")</f>
        <v>#NAME?</v>
      </c>
      <c r="Q1505" s="24" t="e">
        <f ca="1">[1]!BexGetData("DP_1","00O2TNJGODT0G5Z4TTKYMM5MT","GSON1112090035")</f>
        <v>#NAME?</v>
      </c>
      <c r="R1505" s="28" t="e">
        <f ca="1">[1]!BexGetData("DP_1","00O2TNJGODT0G5Z4TTKYMMBYD","GSON1112090035")</f>
        <v>#NAME?</v>
      </c>
      <c r="S1505" s="28" t="e">
        <f ca="1">[1]!BexGetData("DP_1","00O2TNJGODT0G5Z4TTKYMMI9X","GSON1112090035")</f>
        <v>#NAME?</v>
      </c>
      <c r="T1505" s="28" t="e">
        <f ca="1">[1]!BexGetData("DP_1","00O2TNJGODT0G5Z4TTKYMMOLH","GSON1112090035")</f>
        <v>#NAME?</v>
      </c>
      <c r="U1505" s="28" t="e">
        <f ca="1">[1]!BexGetData("DP_1","00O2TNJGODT0G5Z4TTKYMMUX1","GSON1112090035")</f>
        <v>#NAME?</v>
      </c>
      <c r="V1505" s="28" t="e">
        <f ca="1">[1]!BexGetData("DP_1","00O2TNJGODT0G5Z4TTKYMN18L","GSON1112090035")</f>
        <v>#NAME?</v>
      </c>
      <c r="W1505" s="28" t="e">
        <f ca="1">[1]!BexGetData("DP_1","00O2TNJGODT0G5Z4TTKYMN7K5","GSON1112090035")</f>
        <v>#NAME?</v>
      </c>
    </row>
    <row r="1506" spans="1:23" x14ac:dyDescent="0.2">
      <c r="A1506" s="36" t="s">
        <v>4147</v>
      </c>
      <c r="B1506" s="27" t="s">
        <v>4148</v>
      </c>
      <c r="C1506" s="23" t="e">
        <f ca="1">[1]!BexGetData("DP_1","003N8EMH8GTFRCSWKMPXRR8GU","GSON1112100010")</f>
        <v>#NAME?</v>
      </c>
      <c r="D1506" s="23" t="e">
        <f ca="1">[1]!BexGetData("DP_1","003N8EMH8GTFRCSWKMPXRRESE","GSON1112100010")</f>
        <v>#NAME?</v>
      </c>
      <c r="E1506" s="23" t="e">
        <f ca="1">[1]!BexGetData("DP_1","003N8EMH8GTFRCSWKMPXRRL3Y","GSON1112100010")</f>
        <v>#NAME?</v>
      </c>
      <c r="F1506" s="23" t="e">
        <f ca="1">[1]!BexGetData("DP_1","003N8EMH8GTFRCSWKMPXRRRFI","GSON1112100010")</f>
        <v>#NAME?</v>
      </c>
      <c r="G1506" s="23" t="e">
        <f ca="1">[1]!BexGetData("DP_1","003N8EMH8GTFRCSWKMPXRRXR2","GSON1112100010")</f>
        <v>#NAME?</v>
      </c>
      <c r="H1506" s="23" t="e">
        <f ca="1">[1]!BexGetData("DP_1","003N8EMH8GTFRCSWKMPXRS42M","GSON1112100010")</f>
        <v>#NAME?</v>
      </c>
      <c r="I1506" s="23" t="e">
        <f ca="1">[1]!BexGetData("DP_1","003N8EMH8GTFRCSWKMPXRSAE6","GSON1112100010")</f>
        <v>#NAME?</v>
      </c>
      <c r="J1506" s="23" t="e">
        <f ca="1">[1]!BexGetData("DP_1","003N8EMH8GTFRCSWKMPXRSGPQ","GSON1112100010")</f>
        <v>#NAME?</v>
      </c>
      <c r="K1506" s="23" t="e">
        <f ca="1">[1]!BexGetData("DP_1","003N8EMH8GTFRIVNUPY288VJH","GSON1112100010")</f>
        <v>#NAME?</v>
      </c>
      <c r="L1506" s="23" t="e">
        <f ca="1">[1]!BexGetData("DP_1","003N8EMH8GTFRIVNUPY2891V1","GSON1112100010")</f>
        <v>#NAME?</v>
      </c>
      <c r="M1506" s="23" t="e">
        <f ca="1">[1]!BexGetData("DP_1","003N8EMH8GTFRIVOG7KG9IQXA","GSON1112100010")</f>
        <v>#NAME?</v>
      </c>
      <c r="N1506" s="28" t="e">
        <f ca="1">[1]!BexGetData("DP_1","003N8EMH8GTFRIVOG7KG9IX8U","GSON1112100010")</f>
        <v>#NAME?</v>
      </c>
      <c r="O1506" s="23" t="e">
        <f ca="1">[1]!BexGetData("DP_1","003N8EMH8GTFRIVOG7KG9J3KE","GSON1112100010")</f>
        <v>#NAME?</v>
      </c>
      <c r="P1506" s="28" t="e">
        <f ca="1">[1]!BexGetData("DP_1","003N8EMH8GTFRIVOG7KG9J9VY","GSON1112100010")</f>
        <v>#NAME?</v>
      </c>
      <c r="Q1506" s="23" t="e">
        <f ca="1">[1]!BexGetData("DP_1","00O2TNJGODT0G5Z4TTKYMM5MT","GSON1112100010")</f>
        <v>#NAME?</v>
      </c>
      <c r="R1506" s="23" t="e">
        <f ca="1">[1]!BexGetData("DP_1","00O2TNJGODT0G5Z4TTKYMMBYD","GSON1112100010")</f>
        <v>#NAME?</v>
      </c>
      <c r="S1506" s="23" t="e">
        <f ca="1">[1]!BexGetData("DP_1","00O2TNJGODT0G5Z4TTKYMMI9X","GSON1112100010")</f>
        <v>#NAME?</v>
      </c>
      <c r="T1506" s="28" t="e">
        <f ca="1">[1]!BexGetData("DP_1","00O2TNJGODT0G5Z4TTKYMMOLH","GSON1112100010")</f>
        <v>#NAME?</v>
      </c>
      <c r="U1506" s="23" t="e">
        <f ca="1">[1]!BexGetData("DP_1","00O2TNJGODT0G5Z4TTKYMMUX1","GSON1112100010")</f>
        <v>#NAME?</v>
      </c>
      <c r="V1506" s="28" t="e">
        <f ca="1">[1]!BexGetData("DP_1","00O2TNJGODT0G5Z4TTKYMN18L","GSON1112100010")</f>
        <v>#NAME?</v>
      </c>
      <c r="W1506" s="23" t="e">
        <f ca="1">[1]!BexGetData("DP_1","00O2TNJGODT0G5Z4TTKYMN7K5","GSON1112100010")</f>
        <v>#NAME?</v>
      </c>
    </row>
    <row r="1507" spans="1:23" x14ac:dyDescent="0.2">
      <c r="A1507" s="36" t="s">
        <v>4149</v>
      </c>
      <c r="B1507" s="27" t="s">
        <v>4150</v>
      </c>
      <c r="C1507" s="23" t="e">
        <f ca="1">[1]!BexGetData("DP_1","003N8EMH8GTFRCSWKMPXRR8GU","GSON1112100011")</f>
        <v>#NAME?</v>
      </c>
      <c r="D1507" s="23" t="e">
        <f ca="1">[1]!BexGetData("DP_1","003N8EMH8GTFRCSWKMPXRRESE","GSON1112100011")</f>
        <v>#NAME?</v>
      </c>
      <c r="E1507" s="28" t="e">
        <f ca="1">[1]!BexGetData("DP_1","003N8EMH8GTFRCSWKMPXRRL3Y","GSON1112100011")</f>
        <v>#NAME?</v>
      </c>
      <c r="F1507" s="28" t="e">
        <f ca="1">[1]!BexGetData("DP_1","003N8EMH8GTFRCSWKMPXRRRFI","GSON1112100011")</f>
        <v>#NAME?</v>
      </c>
      <c r="G1507" s="23" t="e">
        <f ca="1">[1]!BexGetData("DP_1","003N8EMH8GTFRCSWKMPXRRXR2","GSON1112100011")</f>
        <v>#NAME?</v>
      </c>
      <c r="H1507" s="23" t="e">
        <f ca="1">[1]!BexGetData("DP_1","003N8EMH8GTFRCSWKMPXRS42M","GSON1112100011")</f>
        <v>#NAME?</v>
      </c>
      <c r="I1507" s="28" t="e">
        <f ca="1">[1]!BexGetData("DP_1","003N8EMH8GTFRCSWKMPXRSAE6","GSON1112100011")</f>
        <v>#NAME?</v>
      </c>
      <c r="J1507" s="24" t="e">
        <f ca="1">[1]!BexGetData("DP_1","003N8EMH8GTFRCSWKMPXRSGPQ","GSON1112100011")</f>
        <v>#NAME?</v>
      </c>
      <c r="K1507" s="28" t="e">
        <f ca="1">[1]!BexGetData("DP_1","003N8EMH8GTFRIVNUPY288VJH","GSON1112100011")</f>
        <v>#NAME?</v>
      </c>
      <c r="L1507" s="28" t="e">
        <f ca="1">[1]!BexGetData("DP_1","003N8EMH8GTFRIVNUPY2891V1","GSON1112100011")</f>
        <v>#NAME?</v>
      </c>
      <c r="M1507" s="28" t="e">
        <f ca="1">[1]!BexGetData("DP_1","003N8EMH8GTFRIVOG7KG9IQXA","GSON1112100011")</f>
        <v>#NAME?</v>
      </c>
      <c r="N1507" s="28" t="e">
        <f ca="1">[1]!BexGetData("DP_1","003N8EMH8GTFRIVOG7KG9IX8U","GSON1112100011")</f>
        <v>#NAME?</v>
      </c>
      <c r="O1507" s="28" t="e">
        <f ca="1">[1]!BexGetData("DP_1","003N8EMH8GTFRIVOG7KG9J3KE","GSON1112100011")</f>
        <v>#NAME?</v>
      </c>
      <c r="P1507" s="28" t="e">
        <f ca="1">[1]!BexGetData("DP_1","003N8EMH8GTFRIVOG7KG9J9VY","GSON1112100011")</f>
        <v>#NAME?</v>
      </c>
      <c r="Q1507" s="24" t="e">
        <f ca="1">[1]!BexGetData("DP_1","00O2TNJGODT0G5Z4TTKYMM5MT","GSON1112100011")</f>
        <v>#NAME?</v>
      </c>
      <c r="R1507" s="28" t="e">
        <f ca="1">[1]!BexGetData("DP_1","00O2TNJGODT0G5Z4TTKYMMBYD","GSON1112100011")</f>
        <v>#NAME?</v>
      </c>
      <c r="S1507" s="28" t="e">
        <f ca="1">[1]!BexGetData("DP_1","00O2TNJGODT0G5Z4TTKYMMI9X","GSON1112100011")</f>
        <v>#NAME?</v>
      </c>
      <c r="T1507" s="28" t="e">
        <f ca="1">[1]!BexGetData("DP_1","00O2TNJGODT0G5Z4TTKYMMOLH","GSON1112100011")</f>
        <v>#NAME?</v>
      </c>
      <c r="U1507" s="28" t="e">
        <f ca="1">[1]!BexGetData("DP_1","00O2TNJGODT0G5Z4TTKYMMUX1","GSON1112100011")</f>
        <v>#NAME?</v>
      </c>
      <c r="V1507" s="28" t="e">
        <f ca="1">[1]!BexGetData("DP_1","00O2TNJGODT0G5Z4TTKYMN18L","GSON1112100011")</f>
        <v>#NAME?</v>
      </c>
      <c r="W1507" s="28" t="e">
        <f ca="1">[1]!BexGetData("DP_1","00O2TNJGODT0G5Z4TTKYMN7K5","GSON1112100011")</f>
        <v>#NAME?</v>
      </c>
    </row>
    <row r="1508" spans="1:23" x14ac:dyDescent="0.2">
      <c r="A1508" s="36" t="s">
        <v>4151</v>
      </c>
      <c r="B1508" s="27" t="s">
        <v>4152</v>
      </c>
      <c r="C1508" s="23" t="e">
        <f ca="1">[1]!BexGetData("DP_1","003N8EMH8GTFRCSWKMPXRR8GU","GSON1112100013")</f>
        <v>#NAME?</v>
      </c>
      <c r="D1508" s="23" t="e">
        <f ca="1">[1]!BexGetData("DP_1","003N8EMH8GTFRCSWKMPXRRESE","GSON1112100013")</f>
        <v>#NAME?</v>
      </c>
      <c r="E1508" s="28" t="e">
        <f ca="1">[1]!BexGetData("DP_1","003N8EMH8GTFRCSWKMPXRRL3Y","GSON1112100013")</f>
        <v>#NAME?</v>
      </c>
      <c r="F1508" s="28" t="e">
        <f ca="1">[1]!BexGetData("DP_1","003N8EMH8GTFRCSWKMPXRRRFI","GSON1112100013")</f>
        <v>#NAME?</v>
      </c>
      <c r="G1508" s="23" t="e">
        <f ca="1">[1]!BexGetData("DP_1","003N8EMH8GTFRCSWKMPXRRXR2","GSON1112100013")</f>
        <v>#NAME?</v>
      </c>
      <c r="H1508" s="23" t="e">
        <f ca="1">[1]!BexGetData("DP_1","003N8EMH8GTFRCSWKMPXRS42M","GSON1112100013")</f>
        <v>#NAME?</v>
      </c>
      <c r="I1508" s="28" t="e">
        <f ca="1">[1]!BexGetData("DP_1","003N8EMH8GTFRCSWKMPXRSAE6","GSON1112100013")</f>
        <v>#NAME?</v>
      </c>
      <c r="J1508" s="24" t="e">
        <f ca="1">[1]!BexGetData("DP_1","003N8EMH8GTFRCSWKMPXRSGPQ","GSON1112100013")</f>
        <v>#NAME?</v>
      </c>
      <c r="K1508" s="28" t="e">
        <f ca="1">[1]!BexGetData("DP_1","003N8EMH8GTFRIVNUPY288VJH","GSON1112100013")</f>
        <v>#NAME?</v>
      </c>
      <c r="L1508" s="28" t="e">
        <f ca="1">[1]!BexGetData("DP_1","003N8EMH8GTFRIVNUPY2891V1","GSON1112100013")</f>
        <v>#NAME?</v>
      </c>
      <c r="M1508" s="28" t="e">
        <f ca="1">[1]!BexGetData("DP_1","003N8EMH8GTFRIVOG7KG9IQXA","GSON1112100013")</f>
        <v>#NAME?</v>
      </c>
      <c r="N1508" s="28" t="e">
        <f ca="1">[1]!BexGetData("DP_1","003N8EMH8GTFRIVOG7KG9IX8U","GSON1112100013")</f>
        <v>#NAME?</v>
      </c>
      <c r="O1508" s="28" t="e">
        <f ca="1">[1]!BexGetData("DP_1","003N8EMH8GTFRIVOG7KG9J3KE","GSON1112100013")</f>
        <v>#NAME?</v>
      </c>
      <c r="P1508" s="28" t="e">
        <f ca="1">[1]!BexGetData("DP_1","003N8EMH8GTFRIVOG7KG9J9VY","GSON1112100013")</f>
        <v>#NAME?</v>
      </c>
      <c r="Q1508" s="24" t="e">
        <f ca="1">[1]!BexGetData("DP_1","00O2TNJGODT0G5Z4TTKYMM5MT","GSON1112100013")</f>
        <v>#NAME?</v>
      </c>
      <c r="R1508" s="28" t="e">
        <f ca="1">[1]!BexGetData("DP_1","00O2TNJGODT0G5Z4TTKYMMBYD","GSON1112100013")</f>
        <v>#NAME?</v>
      </c>
      <c r="S1508" s="28" t="e">
        <f ca="1">[1]!BexGetData("DP_1","00O2TNJGODT0G5Z4TTKYMMI9X","GSON1112100013")</f>
        <v>#NAME?</v>
      </c>
      <c r="T1508" s="28" t="e">
        <f ca="1">[1]!BexGetData("DP_1","00O2TNJGODT0G5Z4TTKYMMOLH","GSON1112100013")</f>
        <v>#NAME?</v>
      </c>
      <c r="U1508" s="28" t="e">
        <f ca="1">[1]!BexGetData("DP_1","00O2TNJGODT0G5Z4TTKYMMUX1","GSON1112100013")</f>
        <v>#NAME?</v>
      </c>
      <c r="V1508" s="28" t="e">
        <f ca="1">[1]!BexGetData("DP_1","00O2TNJGODT0G5Z4TTKYMN18L","GSON1112100013")</f>
        <v>#NAME?</v>
      </c>
      <c r="W1508" s="28" t="e">
        <f ca="1">[1]!BexGetData("DP_1","00O2TNJGODT0G5Z4TTKYMN7K5","GSON1112100013")</f>
        <v>#NAME?</v>
      </c>
    </row>
    <row r="1509" spans="1:23" x14ac:dyDescent="0.2">
      <c r="A1509" s="36" t="s">
        <v>4153</v>
      </c>
      <c r="B1509" s="27" t="s">
        <v>4154</v>
      </c>
      <c r="C1509" s="23" t="e">
        <f ca="1">[1]!BexGetData("DP_1","003N8EMH8GTFRCSWKMPXRR8GU","GSON1112100015")</f>
        <v>#NAME?</v>
      </c>
      <c r="D1509" s="23" t="e">
        <f ca="1">[1]!BexGetData("DP_1","003N8EMH8GTFRCSWKMPXRRESE","GSON1112100015")</f>
        <v>#NAME?</v>
      </c>
      <c r="E1509" s="28" t="e">
        <f ca="1">[1]!BexGetData("DP_1","003N8EMH8GTFRCSWKMPXRRL3Y","GSON1112100015")</f>
        <v>#NAME?</v>
      </c>
      <c r="F1509" s="28" t="e">
        <f ca="1">[1]!BexGetData("DP_1","003N8EMH8GTFRCSWKMPXRRRFI","GSON1112100015")</f>
        <v>#NAME?</v>
      </c>
      <c r="G1509" s="23" t="e">
        <f ca="1">[1]!BexGetData("DP_1","003N8EMH8GTFRCSWKMPXRRXR2","GSON1112100015")</f>
        <v>#NAME?</v>
      </c>
      <c r="H1509" s="23" t="e">
        <f ca="1">[1]!BexGetData("DP_1","003N8EMH8GTFRCSWKMPXRS42M","GSON1112100015")</f>
        <v>#NAME?</v>
      </c>
      <c r="I1509" s="28" t="e">
        <f ca="1">[1]!BexGetData("DP_1","003N8EMH8GTFRCSWKMPXRSAE6","GSON1112100015")</f>
        <v>#NAME?</v>
      </c>
      <c r="J1509" s="24" t="e">
        <f ca="1">[1]!BexGetData("DP_1","003N8EMH8GTFRCSWKMPXRSGPQ","GSON1112100015")</f>
        <v>#NAME?</v>
      </c>
      <c r="K1509" s="28" t="e">
        <f ca="1">[1]!BexGetData("DP_1","003N8EMH8GTFRIVNUPY288VJH","GSON1112100015")</f>
        <v>#NAME?</v>
      </c>
      <c r="L1509" s="28" t="e">
        <f ca="1">[1]!BexGetData("DP_1","003N8EMH8GTFRIVNUPY2891V1","GSON1112100015")</f>
        <v>#NAME?</v>
      </c>
      <c r="M1509" s="28" t="e">
        <f ca="1">[1]!BexGetData("DP_1","003N8EMH8GTFRIVOG7KG9IQXA","GSON1112100015")</f>
        <v>#NAME?</v>
      </c>
      <c r="N1509" s="28" t="e">
        <f ca="1">[1]!BexGetData("DP_1","003N8EMH8GTFRIVOG7KG9IX8U","GSON1112100015")</f>
        <v>#NAME?</v>
      </c>
      <c r="O1509" s="28" t="e">
        <f ca="1">[1]!BexGetData("DP_1","003N8EMH8GTFRIVOG7KG9J3KE","GSON1112100015")</f>
        <v>#NAME?</v>
      </c>
      <c r="P1509" s="28" t="e">
        <f ca="1">[1]!BexGetData("DP_1","003N8EMH8GTFRIVOG7KG9J9VY","GSON1112100015")</f>
        <v>#NAME?</v>
      </c>
      <c r="Q1509" s="24" t="e">
        <f ca="1">[1]!BexGetData("DP_1","00O2TNJGODT0G5Z4TTKYMM5MT","GSON1112100015")</f>
        <v>#NAME?</v>
      </c>
      <c r="R1509" s="28" t="e">
        <f ca="1">[1]!BexGetData("DP_1","00O2TNJGODT0G5Z4TTKYMMBYD","GSON1112100015")</f>
        <v>#NAME?</v>
      </c>
      <c r="S1509" s="28" t="e">
        <f ca="1">[1]!BexGetData("DP_1","00O2TNJGODT0G5Z4TTKYMMI9X","GSON1112100015")</f>
        <v>#NAME?</v>
      </c>
      <c r="T1509" s="28" t="e">
        <f ca="1">[1]!BexGetData("DP_1","00O2TNJGODT0G5Z4TTKYMMOLH","GSON1112100015")</f>
        <v>#NAME?</v>
      </c>
      <c r="U1509" s="28" t="e">
        <f ca="1">[1]!BexGetData("DP_1","00O2TNJGODT0G5Z4TTKYMMUX1","GSON1112100015")</f>
        <v>#NAME?</v>
      </c>
      <c r="V1509" s="28" t="e">
        <f ca="1">[1]!BexGetData("DP_1","00O2TNJGODT0G5Z4TTKYMN18L","GSON1112100015")</f>
        <v>#NAME?</v>
      </c>
      <c r="W1509" s="28" t="e">
        <f ca="1">[1]!BexGetData("DP_1","00O2TNJGODT0G5Z4TTKYMN7K5","GSON1112100015")</f>
        <v>#NAME?</v>
      </c>
    </row>
    <row r="1510" spans="1:23" x14ac:dyDescent="0.2">
      <c r="A1510" s="36" t="s">
        <v>4155</v>
      </c>
      <c r="B1510" s="27" t="s">
        <v>293</v>
      </c>
      <c r="C1510" s="23" t="e">
        <f ca="1">[1]!BexGetData("DP_1","003N8EMH8GTFRCSWKMPXRR8GU","GSON1112110010")</f>
        <v>#NAME?</v>
      </c>
      <c r="D1510" s="23" t="e">
        <f ca="1">[1]!BexGetData("DP_1","003N8EMH8GTFRCSWKMPXRRESE","GSON1112110010")</f>
        <v>#NAME?</v>
      </c>
      <c r="E1510" s="23" t="e">
        <f ca="1">[1]!BexGetData("DP_1","003N8EMH8GTFRCSWKMPXRRL3Y","GSON1112110010")</f>
        <v>#NAME?</v>
      </c>
      <c r="F1510" s="23" t="e">
        <f ca="1">[1]!BexGetData("DP_1","003N8EMH8GTFRCSWKMPXRRRFI","GSON1112110010")</f>
        <v>#NAME?</v>
      </c>
      <c r="G1510" s="23" t="e">
        <f ca="1">[1]!BexGetData("DP_1","003N8EMH8GTFRCSWKMPXRRXR2","GSON1112110010")</f>
        <v>#NAME?</v>
      </c>
      <c r="H1510" s="23" t="e">
        <f ca="1">[1]!BexGetData("DP_1","003N8EMH8GTFRCSWKMPXRS42M","GSON1112110010")</f>
        <v>#NAME?</v>
      </c>
      <c r="I1510" s="23" t="e">
        <f ca="1">[1]!BexGetData("DP_1","003N8EMH8GTFRCSWKMPXRSAE6","GSON1112110010")</f>
        <v>#NAME?</v>
      </c>
      <c r="J1510" s="23" t="e">
        <f ca="1">[1]!BexGetData("DP_1","003N8EMH8GTFRCSWKMPXRSGPQ","GSON1112110010")</f>
        <v>#NAME?</v>
      </c>
      <c r="K1510" s="23" t="e">
        <f ca="1">[1]!BexGetData("DP_1","003N8EMH8GTFRIVNUPY288VJH","GSON1112110010")</f>
        <v>#NAME?</v>
      </c>
      <c r="L1510" s="23" t="e">
        <f ca="1">[1]!BexGetData("DP_1","003N8EMH8GTFRIVNUPY2891V1","GSON1112110010")</f>
        <v>#NAME?</v>
      </c>
      <c r="M1510" s="28" t="e">
        <f ca="1">[1]!BexGetData("DP_1","003N8EMH8GTFRIVOG7KG9IQXA","GSON1112110010")</f>
        <v>#NAME?</v>
      </c>
      <c r="N1510" s="23" t="e">
        <f ca="1">[1]!BexGetData("DP_1","003N8EMH8GTFRIVOG7KG9IX8U","GSON1112110010")</f>
        <v>#NAME?</v>
      </c>
      <c r="O1510" s="28" t="e">
        <f ca="1">[1]!BexGetData("DP_1","003N8EMH8GTFRIVOG7KG9J3KE","GSON1112110010")</f>
        <v>#NAME?</v>
      </c>
      <c r="P1510" s="23" t="e">
        <f ca="1">[1]!BexGetData("DP_1","003N8EMH8GTFRIVOG7KG9J9VY","GSON1112110010")</f>
        <v>#NAME?</v>
      </c>
      <c r="Q1510" s="23" t="e">
        <f ca="1">[1]!BexGetData("DP_1","00O2TNJGODT0G5Z4TTKYMM5MT","GSON1112110010")</f>
        <v>#NAME?</v>
      </c>
      <c r="R1510" s="23" t="e">
        <f ca="1">[1]!BexGetData("DP_1","00O2TNJGODT0G5Z4TTKYMMBYD","GSON1112110010")</f>
        <v>#NAME?</v>
      </c>
      <c r="S1510" s="23" t="e">
        <f ca="1">[1]!BexGetData("DP_1","00O2TNJGODT0G5Z4TTKYMMI9X","GSON1112110010")</f>
        <v>#NAME?</v>
      </c>
      <c r="T1510" s="23" t="e">
        <f ca="1">[1]!BexGetData("DP_1","00O2TNJGODT0G5Z4TTKYMMOLH","GSON1112110010")</f>
        <v>#NAME?</v>
      </c>
      <c r="U1510" s="28" t="e">
        <f ca="1">[1]!BexGetData("DP_1","00O2TNJGODT0G5Z4TTKYMMUX1","GSON1112110010")</f>
        <v>#NAME?</v>
      </c>
      <c r="V1510" s="23" t="e">
        <f ca="1">[1]!BexGetData("DP_1","00O2TNJGODT0G5Z4TTKYMN18L","GSON1112110010")</f>
        <v>#NAME?</v>
      </c>
      <c r="W1510" s="28" t="e">
        <f ca="1">[1]!BexGetData("DP_1","00O2TNJGODT0G5Z4TTKYMN7K5","GSON1112110010")</f>
        <v>#NAME?</v>
      </c>
    </row>
    <row r="1511" spans="1:23" x14ac:dyDescent="0.2">
      <c r="A1511" s="36" t="s">
        <v>4156</v>
      </c>
      <c r="B1511" s="27" t="s">
        <v>294</v>
      </c>
      <c r="C1511" s="23" t="e">
        <f ca="1">[1]!BexGetData("DP_1","003N8EMH8GTFRCSWKMPXRR8GU","GSON1112110011")</f>
        <v>#NAME?</v>
      </c>
      <c r="D1511" s="23" t="e">
        <f ca="1">[1]!BexGetData("DP_1","003N8EMH8GTFRCSWKMPXRRESE","GSON1112110011")</f>
        <v>#NAME?</v>
      </c>
      <c r="E1511" s="28" t="e">
        <f ca="1">[1]!BexGetData("DP_1","003N8EMH8GTFRCSWKMPXRRL3Y","GSON1112110011")</f>
        <v>#NAME?</v>
      </c>
      <c r="F1511" s="28" t="e">
        <f ca="1">[1]!BexGetData("DP_1","003N8EMH8GTFRCSWKMPXRRRFI","GSON1112110011")</f>
        <v>#NAME?</v>
      </c>
      <c r="G1511" s="23" t="e">
        <f ca="1">[1]!BexGetData("DP_1","003N8EMH8GTFRCSWKMPXRRXR2","GSON1112110011")</f>
        <v>#NAME?</v>
      </c>
      <c r="H1511" s="23" t="e">
        <f ca="1">[1]!BexGetData("DP_1","003N8EMH8GTFRCSWKMPXRS42M","GSON1112110011")</f>
        <v>#NAME?</v>
      </c>
      <c r="I1511" s="28" t="e">
        <f ca="1">[1]!BexGetData("DP_1","003N8EMH8GTFRCSWKMPXRSAE6","GSON1112110011")</f>
        <v>#NAME?</v>
      </c>
      <c r="J1511" s="24" t="e">
        <f ca="1">[1]!BexGetData("DP_1","003N8EMH8GTFRCSWKMPXRSGPQ","GSON1112110011")</f>
        <v>#NAME?</v>
      </c>
      <c r="K1511" s="28" t="e">
        <f ca="1">[1]!BexGetData("DP_1","003N8EMH8GTFRIVNUPY288VJH","GSON1112110011")</f>
        <v>#NAME?</v>
      </c>
      <c r="L1511" s="28" t="e">
        <f ca="1">[1]!BexGetData("DP_1","003N8EMH8GTFRIVNUPY2891V1","GSON1112110011")</f>
        <v>#NAME?</v>
      </c>
      <c r="M1511" s="28" t="e">
        <f ca="1">[1]!BexGetData("DP_1","003N8EMH8GTFRIVOG7KG9IQXA","GSON1112110011")</f>
        <v>#NAME?</v>
      </c>
      <c r="N1511" s="28" t="e">
        <f ca="1">[1]!BexGetData("DP_1","003N8EMH8GTFRIVOG7KG9IX8U","GSON1112110011")</f>
        <v>#NAME?</v>
      </c>
      <c r="O1511" s="28" t="e">
        <f ca="1">[1]!BexGetData("DP_1","003N8EMH8GTFRIVOG7KG9J3KE","GSON1112110011")</f>
        <v>#NAME?</v>
      </c>
      <c r="P1511" s="28" t="e">
        <f ca="1">[1]!BexGetData("DP_1","003N8EMH8GTFRIVOG7KG9J9VY","GSON1112110011")</f>
        <v>#NAME?</v>
      </c>
      <c r="Q1511" s="24" t="e">
        <f ca="1">[1]!BexGetData("DP_1","00O2TNJGODT0G5Z4TTKYMM5MT","GSON1112110011")</f>
        <v>#NAME?</v>
      </c>
      <c r="R1511" s="28" t="e">
        <f ca="1">[1]!BexGetData("DP_1","00O2TNJGODT0G5Z4TTKYMMBYD","GSON1112110011")</f>
        <v>#NAME?</v>
      </c>
      <c r="S1511" s="28" t="e">
        <f ca="1">[1]!BexGetData("DP_1","00O2TNJGODT0G5Z4TTKYMMI9X","GSON1112110011")</f>
        <v>#NAME?</v>
      </c>
      <c r="T1511" s="28" t="e">
        <f ca="1">[1]!BexGetData("DP_1","00O2TNJGODT0G5Z4TTKYMMOLH","GSON1112110011")</f>
        <v>#NAME?</v>
      </c>
      <c r="U1511" s="28" t="e">
        <f ca="1">[1]!BexGetData("DP_1","00O2TNJGODT0G5Z4TTKYMMUX1","GSON1112110011")</f>
        <v>#NAME?</v>
      </c>
      <c r="V1511" s="28" t="e">
        <f ca="1">[1]!BexGetData("DP_1","00O2TNJGODT0G5Z4TTKYMN18L","GSON1112110011")</f>
        <v>#NAME?</v>
      </c>
      <c r="W1511" s="28" t="e">
        <f ca="1">[1]!BexGetData("DP_1","00O2TNJGODT0G5Z4TTKYMN7K5","GSON1112110011")</f>
        <v>#NAME?</v>
      </c>
    </row>
    <row r="1512" spans="1:23" x14ac:dyDescent="0.2">
      <c r="A1512" s="36" t="s">
        <v>4157</v>
      </c>
      <c r="B1512" s="27" t="s">
        <v>665</v>
      </c>
      <c r="C1512" s="23" t="e">
        <f ca="1">[1]!BexGetData("DP_1","003N8EMH8GTFRCSWKMPXRR8GU","GSON1112110012")</f>
        <v>#NAME?</v>
      </c>
      <c r="D1512" s="23" t="e">
        <f ca="1">[1]!BexGetData("DP_1","003N8EMH8GTFRCSWKMPXRRESE","GSON1112110012")</f>
        <v>#NAME?</v>
      </c>
      <c r="E1512" s="28" t="e">
        <f ca="1">[1]!BexGetData("DP_1","003N8EMH8GTFRCSWKMPXRRL3Y","GSON1112110012")</f>
        <v>#NAME?</v>
      </c>
      <c r="F1512" s="28" t="e">
        <f ca="1">[1]!BexGetData("DP_1","003N8EMH8GTFRCSWKMPXRRRFI","GSON1112110012")</f>
        <v>#NAME?</v>
      </c>
      <c r="G1512" s="23" t="e">
        <f ca="1">[1]!BexGetData("DP_1","003N8EMH8GTFRCSWKMPXRRXR2","GSON1112110012")</f>
        <v>#NAME?</v>
      </c>
      <c r="H1512" s="23" t="e">
        <f ca="1">[1]!BexGetData("DP_1","003N8EMH8GTFRCSWKMPXRS42M","GSON1112110012")</f>
        <v>#NAME?</v>
      </c>
      <c r="I1512" s="28" t="e">
        <f ca="1">[1]!BexGetData("DP_1","003N8EMH8GTFRCSWKMPXRSAE6","GSON1112110012")</f>
        <v>#NAME?</v>
      </c>
      <c r="J1512" s="24" t="e">
        <f ca="1">[1]!BexGetData("DP_1","003N8EMH8GTFRCSWKMPXRSGPQ","GSON1112110012")</f>
        <v>#NAME?</v>
      </c>
      <c r="K1512" s="28" t="e">
        <f ca="1">[1]!BexGetData("DP_1","003N8EMH8GTFRIVNUPY288VJH","GSON1112110012")</f>
        <v>#NAME?</v>
      </c>
      <c r="L1512" s="28" t="e">
        <f ca="1">[1]!BexGetData("DP_1","003N8EMH8GTFRIVNUPY2891V1","GSON1112110012")</f>
        <v>#NAME?</v>
      </c>
      <c r="M1512" s="28" t="e">
        <f ca="1">[1]!BexGetData("DP_1","003N8EMH8GTFRIVOG7KG9IQXA","GSON1112110012")</f>
        <v>#NAME?</v>
      </c>
      <c r="N1512" s="28" t="e">
        <f ca="1">[1]!BexGetData("DP_1","003N8EMH8GTFRIVOG7KG9IX8U","GSON1112110012")</f>
        <v>#NAME?</v>
      </c>
      <c r="O1512" s="28" t="e">
        <f ca="1">[1]!BexGetData("DP_1","003N8EMH8GTFRIVOG7KG9J3KE","GSON1112110012")</f>
        <v>#NAME?</v>
      </c>
      <c r="P1512" s="28" t="e">
        <f ca="1">[1]!BexGetData("DP_1","003N8EMH8GTFRIVOG7KG9J9VY","GSON1112110012")</f>
        <v>#NAME?</v>
      </c>
      <c r="Q1512" s="24" t="e">
        <f ca="1">[1]!BexGetData("DP_1","00O2TNJGODT0G5Z4TTKYMM5MT","GSON1112110012")</f>
        <v>#NAME?</v>
      </c>
      <c r="R1512" s="28" t="e">
        <f ca="1">[1]!BexGetData("DP_1","00O2TNJGODT0G5Z4TTKYMMBYD","GSON1112110012")</f>
        <v>#NAME?</v>
      </c>
      <c r="S1512" s="28" t="e">
        <f ca="1">[1]!BexGetData("DP_1","00O2TNJGODT0G5Z4TTKYMMI9X","GSON1112110012")</f>
        <v>#NAME?</v>
      </c>
      <c r="T1512" s="28" t="e">
        <f ca="1">[1]!BexGetData("DP_1","00O2TNJGODT0G5Z4TTKYMMOLH","GSON1112110012")</f>
        <v>#NAME?</v>
      </c>
      <c r="U1512" s="28" t="e">
        <f ca="1">[1]!BexGetData("DP_1","00O2TNJGODT0G5Z4TTKYMMUX1","GSON1112110012")</f>
        <v>#NAME?</v>
      </c>
      <c r="V1512" s="28" t="e">
        <f ca="1">[1]!BexGetData("DP_1","00O2TNJGODT0G5Z4TTKYMN18L","GSON1112110012")</f>
        <v>#NAME?</v>
      </c>
      <c r="W1512" s="28" t="e">
        <f ca="1">[1]!BexGetData("DP_1","00O2TNJGODT0G5Z4TTKYMN7K5","GSON1112110012")</f>
        <v>#NAME?</v>
      </c>
    </row>
    <row r="1513" spans="1:23" x14ac:dyDescent="0.2">
      <c r="A1513" s="36" t="s">
        <v>4158</v>
      </c>
      <c r="B1513" s="27" t="s">
        <v>295</v>
      </c>
      <c r="C1513" s="23" t="e">
        <f ca="1">[1]!BexGetData("DP_1","003N8EMH8GTFRCSWKMPXRR8GU","GSON1112110013")</f>
        <v>#NAME?</v>
      </c>
      <c r="D1513" s="23" t="e">
        <f ca="1">[1]!BexGetData("DP_1","003N8EMH8GTFRCSWKMPXRRESE","GSON1112110013")</f>
        <v>#NAME?</v>
      </c>
      <c r="E1513" s="28" t="e">
        <f ca="1">[1]!BexGetData("DP_1","003N8EMH8GTFRCSWKMPXRRL3Y","GSON1112110013")</f>
        <v>#NAME?</v>
      </c>
      <c r="F1513" s="28" t="e">
        <f ca="1">[1]!BexGetData("DP_1","003N8EMH8GTFRCSWKMPXRRRFI","GSON1112110013")</f>
        <v>#NAME?</v>
      </c>
      <c r="G1513" s="23" t="e">
        <f ca="1">[1]!BexGetData("DP_1","003N8EMH8GTFRCSWKMPXRRXR2","GSON1112110013")</f>
        <v>#NAME?</v>
      </c>
      <c r="H1513" s="23" t="e">
        <f ca="1">[1]!BexGetData("DP_1","003N8EMH8GTFRCSWKMPXRS42M","GSON1112110013")</f>
        <v>#NAME?</v>
      </c>
      <c r="I1513" s="28" t="e">
        <f ca="1">[1]!BexGetData("DP_1","003N8EMH8GTFRCSWKMPXRSAE6","GSON1112110013")</f>
        <v>#NAME?</v>
      </c>
      <c r="J1513" s="24" t="e">
        <f ca="1">[1]!BexGetData("DP_1","003N8EMH8GTFRCSWKMPXRSGPQ","GSON1112110013")</f>
        <v>#NAME?</v>
      </c>
      <c r="K1513" s="28" t="e">
        <f ca="1">[1]!BexGetData("DP_1","003N8EMH8GTFRIVNUPY288VJH","GSON1112110013")</f>
        <v>#NAME?</v>
      </c>
      <c r="L1513" s="28" t="e">
        <f ca="1">[1]!BexGetData("DP_1","003N8EMH8GTFRIVNUPY2891V1","GSON1112110013")</f>
        <v>#NAME?</v>
      </c>
      <c r="M1513" s="28" t="e">
        <f ca="1">[1]!BexGetData("DP_1","003N8EMH8GTFRIVOG7KG9IQXA","GSON1112110013")</f>
        <v>#NAME?</v>
      </c>
      <c r="N1513" s="28" t="e">
        <f ca="1">[1]!BexGetData("DP_1","003N8EMH8GTFRIVOG7KG9IX8U","GSON1112110013")</f>
        <v>#NAME?</v>
      </c>
      <c r="O1513" s="28" t="e">
        <f ca="1">[1]!BexGetData("DP_1","003N8EMH8GTFRIVOG7KG9J3KE","GSON1112110013")</f>
        <v>#NAME?</v>
      </c>
      <c r="P1513" s="28" t="e">
        <f ca="1">[1]!BexGetData("DP_1","003N8EMH8GTFRIVOG7KG9J9VY","GSON1112110013")</f>
        <v>#NAME?</v>
      </c>
      <c r="Q1513" s="24" t="e">
        <f ca="1">[1]!BexGetData("DP_1","00O2TNJGODT0G5Z4TTKYMM5MT","GSON1112110013")</f>
        <v>#NAME?</v>
      </c>
      <c r="R1513" s="28" t="e">
        <f ca="1">[1]!BexGetData("DP_1","00O2TNJGODT0G5Z4TTKYMMBYD","GSON1112110013")</f>
        <v>#NAME?</v>
      </c>
      <c r="S1513" s="28" t="e">
        <f ca="1">[1]!BexGetData("DP_1","00O2TNJGODT0G5Z4TTKYMMI9X","GSON1112110013")</f>
        <v>#NAME?</v>
      </c>
      <c r="T1513" s="28" t="e">
        <f ca="1">[1]!BexGetData("DP_1","00O2TNJGODT0G5Z4TTKYMMOLH","GSON1112110013")</f>
        <v>#NAME?</v>
      </c>
      <c r="U1513" s="28" t="e">
        <f ca="1">[1]!BexGetData("DP_1","00O2TNJGODT0G5Z4TTKYMMUX1","GSON1112110013")</f>
        <v>#NAME?</v>
      </c>
      <c r="V1513" s="28" t="e">
        <f ca="1">[1]!BexGetData("DP_1","00O2TNJGODT0G5Z4TTKYMN18L","GSON1112110013")</f>
        <v>#NAME?</v>
      </c>
      <c r="W1513" s="28" t="e">
        <f ca="1">[1]!BexGetData("DP_1","00O2TNJGODT0G5Z4TTKYMN7K5","GSON1112110013")</f>
        <v>#NAME?</v>
      </c>
    </row>
    <row r="1514" spans="1:23" x14ac:dyDescent="0.2">
      <c r="A1514" s="36" t="s">
        <v>4159</v>
      </c>
      <c r="B1514" s="27" t="s">
        <v>296</v>
      </c>
      <c r="C1514" s="23" t="e">
        <f ca="1">[1]!BexGetData("DP_1","003N8EMH8GTFRCSWKMPXRR8GU","GSON1112110014")</f>
        <v>#NAME?</v>
      </c>
      <c r="D1514" s="23" t="e">
        <f ca="1">[1]!BexGetData("DP_1","003N8EMH8GTFRCSWKMPXRRESE","GSON1112110014")</f>
        <v>#NAME?</v>
      </c>
      <c r="E1514" s="28" t="e">
        <f ca="1">[1]!BexGetData("DP_1","003N8EMH8GTFRCSWKMPXRRL3Y","GSON1112110014")</f>
        <v>#NAME?</v>
      </c>
      <c r="F1514" s="28" t="e">
        <f ca="1">[1]!BexGetData("DP_1","003N8EMH8GTFRCSWKMPXRRRFI","GSON1112110014")</f>
        <v>#NAME?</v>
      </c>
      <c r="G1514" s="23" t="e">
        <f ca="1">[1]!BexGetData("DP_1","003N8EMH8GTFRCSWKMPXRRXR2","GSON1112110014")</f>
        <v>#NAME?</v>
      </c>
      <c r="H1514" s="23" t="e">
        <f ca="1">[1]!BexGetData("DP_1","003N8EMH8GTFRCSWKMPXRS42M","GSON1112110014")</f>
        <v>#NAME?</v>
      </c>
      <c r="I1514" s="28" t="e">
        <f ca="1">[1]!BexGetData("DP_1","003N8EMH8GTFRCSWKMPXRSAE6","GSON1112110014")</f>
        <v>#NAME?</v>
      </c>
      <c r="J1514" s="24" t="e">
        <f ca="1">[1]!BexGetData("DP_1","003N8EMH8GTFRCSWKMPXRSGPQ","GSON1112110014")</f>
        <v>#NAME?</v>
      </c>
      <c r="K1514" s="28" t="e">
        <f ca="1">[1]!BexGetData("DP_1","003N8EMH8GTFRIVNUPY288VJH","GSON1112110014")</f>
        <v>#NAME?</v>
      </c>
      <c r="L1514" s="28" t="e">
        <f ca="1">[1]!BexGetData("DP_1","003N8EMH8GTFRIVNUPY2891V1","GSON1112110014")</f>
        <v>#NAME?</v>
      </c>
      <c r="M1514" s="28" t="e">
        <f ca="1">[1]!BexGetData("DP_1","003N8EMH8GTFRIVOG7KG9IQXA","GSON1112110014")</f>
        <v>#NAME?</v>
      </c>
      <c r="N1514" s="28" t="e">
        <f ca="1">[1]!BexGetData("DP_1","003N8EMH8GTFRIVOG7KG9IX8U","GSON1112110014")</f>
        <v>#NAME?</v>
      </c>
      <c r="O1514" s="28" t="e">
        <f ca="1">[1]!BexGetData("DP_1","003N8EMH8GTFRIVOG7KG9J3KE","GSON1112110014")</f>
        <v>#NAME?</v>
      </c>
      <c r="P1514" s="28" t="e">
        <f ca="1">[1]!BexGetData("DP_1","003N8EMH8GTFRIVOG7KG9J9VY","GSON1112110014")</f>
        <v>#NAME?</v>
      </c>
      <c r="Q1514" s="24" t="e">
        <f ca="1">[1]!BexGetData("DP_1","00O2TNJGODT0G5Z4TTKYMM5MT","GSON1112110014")</f>
        <v>#NAME?</v>
      </c>
      <c r="R1514" s="28" t="e">
        <f ca="1">[1]!BexGetData("DP_1","00O2TNJGODT0G5Z4TTKYMMBYD","GSON1112110014")</f>
        <v>#NAME?</v>
      </c>
      <c r="S1514" s="28" t="e">
        <f ca="1">[1]!BexGetData("DP_1","00O2TNJGODT0G5Z4TTKYMMI9X","GSON1112110014")</f>
        <v>#NAME?</v>
      </c>
      <c r="T1514" s="28" t="e">
        <f ca="1">[1]!BexGetData("DP_1","00O2TNJGODT0G5Z4TTKYMMOLH","GSON1112110014")</f>
        <v>#NAME?</v>
      </c>
      <c r="U1514" s="28" t="e">
        <f ca="1">[1]!BexGetData("DP_1","00O2TNJGODT0G5Z4TTKYMMUX1","GSON1112110014")</f>
        <v>#NAME?</v>
      </c>
      <c r="V1514" s="28" t="e">
        <f ca="1">[1]!BexGetData("DP_1","00O2TNJGODT0G5Z4TTKYMN18L","GSON1112110014")</f>
        <v>#NAME?</v>
      </c>
      <c r="W1514" s="28" t="e">
        <f ca="1">[1]!BexGetData("DP_1","00O2TNJGODT0G5Z4TTKYMN7K5","GSON1112110014")</f>
        <v>#NAME?</v>
      </c>
    </row>
    <row r="1515" spans="1:23" x14ac:dyDescent="0.2">
      <c r="A1515" s="36" t="s">
        <v>4160</v>
      </c>
      <c r="B1515" s="27" t="s">
        <v>1095</v>
      </c>
      <c r="C1515" s="23" t="e">
        <f ca="1">[1]!BexGetData("DP_1","003N8EMH8GTFRCSWKMPXRR8GU","GSON1112110015")</f>
        <v>#NAME?</v>
      </c>
      <c r="D1515" s="23" t="e">
        <f ca="1">[1]!BexGetData("DP_1","003N8EMH8GTFRCSWKMPXRRESE","GSON1112110015")</f>
        <v>#NAME?</v>
      </c>
      <c r="E1515" s="28" t="e">
        <f ca="1">[1]!BexGetData("DP_1","003N8EMH8GTFRCSWKMPXRRL3Y","GSON1112110015")</f>
        <v>#NAME?</v>
      </c>
      <c r="F1515" s="28" t="e">
        <f ca="1">[1]!BexGetData("DP_1","003N8EMH8GTFRCSWKMPXRRRFI","GSON1112110015")</f>
        <v>#NAME?</v>
      </c>
      <c r="G1515" s="23" t="e">
        <f ca="1">[1]!BexGetData("DP_1","003N8EMH8GTFRCSWKMPXRRXR2","GSON1112110015")</f>
        <v>#NAME?</v>
      </c>
      <c r="H1515" s="23" t="e">
        <f ca="1">[1]!BexGetData("DP_1","003N8EMH8GTFRCSWKMPXRS42M","GSON1112110015")</f>
        <v>#NAME?</v>
      </c>
      <c r="I1515" s="28" t="e">
        <f ca="1">[1]!BexGetData("DP_1","003N8EMH8GTFRCSWKMPXRSAE6","GSON1112110015")</f>
        <v>#NAME?</v>
      </c>
      <c r="J1515" s="24" t="e">
        <f ca="1">[1]!BexGetData("DP_1","003N8EMH8GTFRCSWKMPXRSGPQ","GSON1112110015")</f>
        <v>#NAME?</v>
      </c>
      <c r="K1515" s="28" t="e">
        <f ca="1">[1]!BexGetData("DP_1","003N8EMH8GTFRIVNUPY288VJH","GSON1112110015")</f>
        <v>#NAME?</v>
      </c>
      <c r="L1515" s="28" t="e">
        <f ca="1">[1]!BexGetData("DP_1","003N8EMH8GTFRIVNUPY2891V1","GSON1112110015")</f>
        <v>#NAME?</v>
      </c>
      <c r="M1515" s="28" t="e">
        <f ca="1">[1]!BexGetData("DP_1","003N8EMH8GTFRIVOG7KG9IQXA","GSON1112110015")</f>
        <v>#NAME?</v>
      </c>
      <c r="N1515" s="28" t="e">
        <f ca="1">[1]!BexGetData("DP_1","003N8EMH8GTFRIVOG7KG9IX8U","GSON1112110015")</f>
        <v>#NAME?</v>
      </c>
      <c r="O1515" s="28" t="e">
        <f ca="1">[1]!BexGetData("DP_1","003N8EMH8GTFRIVOG7KG9J3KE","GSON1112110015")</f>
        <v>#NAME?</v>
      </c>
      <c r="P1515" s="28" t="e">
        <f ca="1">[1]!BexGetData("DP_1","003N8EMH8GTFRIVOG7KG9J9VY","GSON1112110015")</f>
        <v>#NAME?</v>
      </c>
      <c r="Q1515" s="24" t="e">
        <f ca="1">[1]!BexGetData("DP_1","00O2TNJGODT0G5Z4TTKYMM5MT","GSON1112110015")</f>
        <v>#NAME?</v>
      </c>
      <c r="R1515" s="28" t="e">
        <f ca="1">[1]!BexGetData("DP_1","00O2TNJGODT0G5Z4TTKYMMBYD","GSON1112110015")</f>
        <v>#NAME?</v>
      </c>
      <c r="S1515" s="28" t="e">
        <f ca="1">[1]!BexGetData("DP_1","00O2TNJGODT0G5Z4TTKYMMI9X","GSON1112110015")</f>
        <v>#NAME?</v>
      </c>
      <c r="T1515" s="28" t="e">
        <f ca="1">[1]!BexGetData("DP_1","00O2TNJGODT0G5Z4TTKYMMOLH","GSON1112110015")</f>
        <v>#NAME?</v>
      </c>
      <c r="U1515" s="28" t="e">
        <f ca="1">[1]!BexGetData("DP_1","00O2TNJGODT0G5Z4TTKYMMUX1","GSON1112110015")</f>
        <v>#NAME?</v>
      </c>
      <c r="V1515" s="28" t="e">
        <f ca="1">[1]!BexGetData("DP_1","00O2TNJGODT0G5Z4TTKYMN18L","GSON1112110015")</f>
        <v>#NAME?</v>
      </c>
      <c r="W1515" s="28" t="e">
        <f ca="1">[1]!BexGetData("DP_1","00O2TNJGODT0G5Z4TTKYMN7K5","GSON1112110015")</f>
        <v>#NAME?</v>
      </c>
    </row>
    <row r="1516" spans="1:23" x14ac:dyDescent="0.2">
      <c r="A1516" s="36" t="s">
        <v>4161</v>
      </c>
      <c r="B1516" s="27" t="s">
        <v>427</v>
      </c>
      <c r="C1516" s="23" t="e">
        <f ca="1">[1]!BexGetData("DP_1","003N8EMH8GTFRCSWKMPXRR8GU","GSON1112110020")</f>
        <v>#NAME?</v>
      </c>
      <c r="D1516" s="23" t="e">
        <f ca="1">[1]!BexGetData("DP_1","003N8EMH8GTFRCSWKMPXRRESE","GSON1112110020")</f>
        <v>#NAME?</v>
      </c>
      <c r="E1516" s="23" t="e">
        <f ca="1">[1]!BexGetData("DP_1","003N8EMH8GTFRCSWKMPXRRL3Y","GSON1112110020")</f>
        <v>#NAME?</v>
      </c>
      <c r="F1516" s="23" t="e">
        <f ca="1">[1]!BexGetData("DP_1","003N8EMH8GTFRCSWKMPXRRRFI","GSON1112110020")</f>
        <v>#NAME?</v>
      </c>
      <c r="G1516" s="23" t="e">
        <f ca="1">[1]!BexGetData("DP_1","003N8EMH8GTFRCSWKMPXRRXR2","GSON1112110020")</f>
        <v>#NAME?</v>
      </c>
      <c r="H1516" s="23" t="e">
        <f ca="1">[1]!BexGetData("DP_1","003N8EMH8GTFRCSWKMPXRS42M","GSON1112110020")</f>
        <v>#NAME?</v>
      </c>
      <c r="I1516" s="23" t="e">
        <f ca="1">[1]!BexGetData("DP_1","003N8EMH8GTFRCSWKMPXRSAE6","GSON1112110020")</f>
        <v>#NAME?</v>
      </c>
      <c r="J1516" s="23" t="e">
        <f ca="1">[1]!BexGetData("DP_1","003N8EMH8GTFRCSWKMPXRSGPQ","GSON1112110020")</f>
        <v>#NAME?</v>
      </c>
      <c r="K1516" s="23" t="e">
        <f ca="1">[1]!BexGetData("DP_1","003N8EMH8GTFRIVNUPY288VJH","GSON1112110020")</f>
        <v>#NAME?</v>
      </c>
      <c r="L1516" s="23" t="e">
        <f ca="1">[1]!BexGetData("DP_1","003N8EMH8GTFRIVNUPY2891V1","GSON1112110020")</f>
        <v>#NAME?</v>
      </c>
      <c r="M1516" s="23" t="e">
        <f ca="1">[1]!BexGetData("DP_1","003N8EMH8GTFRIVOG7KG9IQXA","GSON1112110020")</f>
        <v>#NAME?</v>
      </c>
      <c r="N1516" s="28" t="e">
        <f ca="1">[1]!BexGetData("DP_1","003N8EMH8GTFRIVOG7KG9IX8U","GSON1112110020")</f>
        <v>#NAME?</v>
      </c>
      <c r="O1516" s="23" t="e">
        <f ca="1">[1]!BexGetData("DP_1","003N8EMH8GTFRIVOG7KG9J3KE","GSON1112110020")</f>
        <v>#NAME?</v>
      </c>
      <c r="P1516" s="28" t="e">
        <f ca="1">[1]!BexGetData("DP_1","003N8EMH8GTFRIVOG7KG9J9VY","GSON1112110020")</f>
        <v>#NAME?</v>
      </c>
      <c r="Q1516" s="23" t="e">
        <f ca="1">[1]!BexGetData("DP_1","00O2TNJGODT0G5Z4TTKYMM5MT","GSON1112110020")</f>
        <v>#NAME?</v>
      </c>
      <c r="R1516" s="23" t="e">
        <f ca="1">[1]!BexGetData("DP_1","00O2TNJGODT0G5Z4TTKYMMBYD","GSON1112110020")</f>
        <v>#NAME?</v>
      </c>
      <c r="S1516" s="23" t="e">
        <f ca="1">[1]!BexGetData("DP_1","00O2TNJGODT0G5Z4TTKYMMI9X","GSON1112110020")</f>
        <v>#NAME?</v>
      </c>
      <c r="T1516" s="28" t="e">
        <f ca="1">[1]!BexGetData("DP_1","00O2TNJGODT0G5Z4TTKYMMOLH","GSON1112110020")</f>
        <v>#NAME?</v>
      </c>
      <c r="U1516" s="23" t="e">
        <f ca="1">[1]!BexGetData("DP_1","00O2TNJGODT0G5Z4TTKYMMUX1","GSON1112110020")</f>
        <v>#NAME?</v>
      </c>
      <c r="V1516" s="28" t="e">
        <f ca="1">[1]!BexGetData("DP_1","00O2TNJGODT0G5Z4TTKYMN18L","GSON1112110020")</f>
        <v>#NAME?</v>
      </c>
      <c r="W1516" s="23" t="e">
        <f ca="1">[1]!BexGetData("DP_1","00O2TNJGODT0G5Z4TTKYMN7K5","GSON1112110020")</f>
        <v>#NAME?</v>
      </c>
    </row>
    <row r="1517" spans="1:23" x14ac:dyDescent="0.2">
      <c r="A1517" s="36" t="s">
        <v>428</v>
      </c>
      <c r="B1517" s="27" t="s">
        <v>429</v>
      </c>
      <c r="C1517" s="23" t="e">
        <f ca="1">[1]!BexGetData("DP_1","003N8EMH8GTFRCSWKMPXRR8GU","GSON1112110021")</f>
        <v>#NAME?</v>
      </c>
      <c r="D1517" s="23" t="e">
        <f ca="1">[1]!BexGetData("DP_1","003N8EMH8GTFRCSWKMPXRRESE","GSON1112110021")</f>
        <v>#NAME?</v>
      </c>
      <c r="E1517" s="28" t="e">
        <f ca="1">[1]!BexGetData("DP_1","003N8EMH8GTFRCSWKMPXRRL3Y","GSON1112110021")</f>
        <v>#NAME?</v>
      </c>
      <c r="F1517" s="28" t="e">
        <f ca="1">[1]!BexGetData("DP_1","003N8EMH8GTFRCSWKMPXRRRFI","GSON1112110021")</f>
        <v>#NAME?</v>
      </c>
      <c r="G1517" s="23" t="e">
        <f ca="1">[1]!BexGetData("DP_1","003N8EMH8GTFRCSWKMPXRRXR2","GSON1112110021")</f>
        <v>#NAME?</v>
      </c>
      <c r="H1517" s="23" t="e">
        <f ca="1">[1]!BexGetData("DP_1","003N8EMH8GTFRCSWKMPXRS42M","GSON1112110021")</f>
        <v>#NAME?</v>
      </c>
      <c r="I1517" s="28" t="e">
        <f ca="1">[1]!BexGetData("DP_1","003N8EMH8GTFRCSWKMPXRSAE6","GSON1112110021")</f>
        <v>#NAME?</v>
      </c>
      <c r="J1517" s="24" t="e">
        <f ca="1">[1]!BexGetData("DP_1","003N8EMH8GTFRCSWKMPXRSGPQ","GSON1112110021")</f>
        <v>#NAME?</v>
      </c>
      <c r="K1517" s="28" t="e">
        <f ca="1">[1]!BexGetData("DP_1","003N8EMH8GTFRIVNUPY288VJH","GSON1112110021")</f>
        <v>#NAME?</v>
      </c>
      <c r="L1517" s="28" t="e">
        <f ca="1">[1]!BexGetData("DP_1","003N8EMH8GTFRIVNUPY2891V1","GSON1112110021")</f>
        <v>#NAME?</v>
      </c>
      <c r="M1517" s="28" t="e">
        <f ca="1">[1]!BexGetData("DP_1","003N8EMH8GTFRIVOG7KG9IQXA","GSON1112110021")</f>
        <v>#NAME?</v>
      </c>
      <c r="N1517" s="28" t="e">
        <f ca="1">[1]!BexGetData("DP_1","003N8EMH8GTFRIVOG7KG9IX8U","GSON1112110021")</f>
        <v>#NAME?</v>
      </c>
      <c r="O1517" s="28" t="e">
        <f ca="1">[1]!BexGetData("DP_1","003N8EMH8GTFRIVOG7KG9J3KE","GSON1112110021")</f>
        <v>#NAME?</v>
      </c>
      <c r="P1517" s="28" t="e">
        <f ca="1">[1]!BexGetData("DP_1","003N8EMH8GTFRIVOG7KG9J9VY","GSON1112110021")</f>
        <v>#NAME?</v>
      </c>
      <c r="Q1517" s="24" t="e">
        <f ca="1">[1]!BexGetData("DP_1","00O2TNJGODT0G5Z4TTKYMM5MT","GSON1112110021")</f>
        <v>#NAME?</v>
      </c>
      <c r="R1517" s="28" t="e">
        <f ca="1">[1]!BexGetData("DP_1","00O2TNJGODT0G5Z4TTKYMMBYD","GSON1112110021")</f>
        <v>#NAME?</v>
      </c>
      <c r="S1517" s="28" t="e">
        <f ca="1">[1]!BexGetData("DP_1","00O2TNJGODT0G5Z4TTKYMMI9X","GSON1112110021")</f>
        <v>#NAME?</v>
      </c>
      <c r="T1517" s="28" t="e">
        <f ca="1">[1]!BexGetData("DP_1","00O2TNJGODT0G5Z4TTKYMMOLH","GSON1112110021")</f>
        <v>#NAME?</v>
      </c>
      <c r="U1517" s="28" t="e">
        <f ca="1">[1]!BexGetData("DP_1","00O2TNJGODT0G5Z4TTKYMMUX1","GSON1112110021")</f>
        <v>#NAME?</v>
      </c>
      <c r="V1517" s="28" t="e">
        <f ca="1">[1]!BexGetData("DP_1","00O2TNJGODT0G5Z4TTKYMN18L","GSON1112110021")</f>
        <v>#NAME?</v>
      </c>
      <c r="W1517" s="28" t="e">
        <f ca="1">[1]!BexGetData("DP_1","00O2TNJGODT0G5Z4TTKYMN7K5","GSON1112110021")</f>
        <v>#NAME?</v>
      </c>
    </row>
    <row r="1518" spans="1:23" x14ac:dyDescent="0.2">
      <c r="A1518" s="36" t="s">
        <v>1614</v>
      </c>
      <c r="B1518" s="27" t="s">
        <v>1615</v>
      </c>
      <c r="C1518" s="23" t="e">
        <f ca="1">[1]!BexGetData("DP_1","003N8EMH8GTFRCSWKMPXRR8GU","GSON1112110023")</f>
        <v>#NAME?</v>
      </c>
      <c r="D1518" s="23" t="e">
        <f ca="1">[1]!BexGetData("DP_1","003N8EMH8GTFRCSWKMPXRRESE","GSON1112110023")</f>
        <v>#NAME?</v>
      </c>
      <c r="E1518" s="28" t="e">
        <f ca="1">[1]!BexGetData("DP_1","003N8EMH8GTFRCSWKMPXRRL3Y","GSON1112110023")</f>
        <v>#NAME?</v>
      </c>
      <c r="F1518" s="28" t="e">
        <f ca="1">[1]!BexGetData("DP_1","003N8EMH8GTFRCSWKMPXRRRFI","GSON1112110023")</f>
        <v>#NAME?</v>
      </c>
      <c r="G1518" s="23" t="e">
        <f ca="1">[1]!BexGetData("DP_1","003N8EMH8GTFRCSWKMPXRRXR2","GSON1112110023")</f>
        <v>#NAME?</v>
      </c>
      <c r="H1518" s="23" t="e">
        <f ca="1">[1]!BexGetData("DP_1","003N8EMH8GTFRCSWKMPXRS42M","GSON1112110023")</f>
        <v>#NAME?</v>
      </c>
      <c r="I1518" s="28" t="e">
        <f ca="1">[1]!BexGetData("DP_1","003N8EMH8GTFRCSWKMPXRSAE6","GSON1112110023")</f>
        <v>#NAME?</v>
      </c>
      <c r="J1518" s="24" t="e">
        <f ca="1">[1]!BexGetData("DP_1","003N8EMH8GTFRCSWKMPXRSGPQ","GSON1112110023")</f>
        <v>#NAME?</v>
      </c>
      <c r="K1518" s="28" t="e">
        <f ca="1">[1]!BexGetData("DP_1","003N8EMH8GTFRIVNUPY288VJH","GSON1112110023")</f>
        <v>#NAME?</v>
      </c>
      <c r="L1518" s="28" t="e">
        <f ca="1">[1]!BexGetData("DP_1","003N8EMH8GTFRIVNUPY2891V1","GSON1112110023")</f>
        <v>#NAME?</v>
      </c>
      <c r="M1518" s="28" t="e">
        <f ca="1">[1]!BexGetData("DP_1","003N8EMH8GTFRIVOG7KG9IQXA","GSON1112110023")</f>
        <v>#NAME?</v>
      </c>
      <c r="N1518" s="28" t="e">
        <f ca="1">[1]!BexGetData("DP_1","003N8EMH8GTFRIVOG7KG9IX8U","GSON1112110023")</f>
        <v>#NAME?</v>
      </c>
      <c r="O1518" s="28" t="e">
        <f ca="1">[1]!BexGetData("DP_1","003N8EMH8GTFRIVOG7KG9J3KE","GSON1112110023")</f>
        <v>#NAME?</v>
      </c>
      <c r="P1518" s="28" t="e">
        <f ca="1">[1]!BexGetData("DP_1","003N8EMH8GTFRIVOG7KG9J9VY","GSON1112110023")</f>
        <v>#NAME?</v>
      </c>
      <c r="Q1518" s="24" t="e">
        <f ca="1">[1]!BexGetData("DP_1","00O2TNJGODT0G5Z4TTKYMM5MT","GSON1112110023")</f>
        <v>#NAME?</v>
      </c>
      <c r="R1518" s="28" t="e">
        <f ca="1">[1]!BexGetData("DP_1","00O2TNJGODT0G5Z4TTKYMMBYD","GSON1112110023")</f>
        <v>#NAME?</v>
      </c>
      <c r="S1518" s="28" t="e">
        <f ca="1">[1]!BexGetData("DP_1","00O2TNJGODT0G5Z4TTKYMMI9X","GSON1112110023")</f>
        <v>#NAME?</v>
      </c>
      <c r="T1518" s="28" t="e">
        <f ca="1">[1]!BexGetData("DP_1","00O2TNJGODT0G5Z4TTKYMMOLH","GSON1112110023")</f>
        <v>#NAME?</v>
      </c>
      <c r="U1518" s="28" t="e">
        <f ca="1">[1]!BexGetData("DP_1","00O2TNJGODT0G5Z4TTKYMMUX1","GSON1112110023")</f>
        <v>#NAME?</v>
      </c>
      <c r="V1518" s="28" t="e">
        <f ca="1">[1]!BexGetData("DP_1","00O2TNJGODT0G5Z4TTKYMN18L","GSON1112110023")</f>
        <v>#NAME?</v>
      </c>
      <c r="W1518" s="28" t="e">
        <f ca="1">[1]!BexGetData("DP_1","00O2TNJGODT0G5Z4TTKYMN7K5","GSON1112110023")</f>
        <v>#NAME?</v>
      </c>
    </row>
    <row r="1519" spans="1:23" x14ac:dyDescent="0.2">
      <c r="A1519" s="36" t="s">
        <v>4162</v>
      </c>
      <c r="B1519" s="27" t="s">
        <v>1096</v>
      </c>
      <c r="C1519" s="23" t="e">
        <f ca="1">[1]!BexGetData("DP_1","003N8EMH8GTFRCSWKMPXRR8GU","GSON1112110024")</f>
        <v>#NAME?</v>
      </c>
      <c r="D1519" s="23" t="e">
        <f ca="1">[1]!BexGetData("DP_1","003N8EMH8GTFRCSWKMPXRRESE","GSON1112110024")</f>
        <v>#NAME?</v>
      </c>
      <c r="E1519" s="28" t="e">
        <f ca="1">[1]!BexGetData("DP_1","003N8EMH8GTFRCSWKMPXRRL3Y","GSON1112110024")</f>
        <v>#NAME?</v>
      </c>
      <c r="F1519" s="28" t="e">
        <f ca="1">[1]!BexGetData("DP_1","003N8EMH8GTFRCSWKMPXRRRFI","GSON1112110024")</f>
        <v>#NAME?</v>
      </c>
      <c r="G1519" s="23" t="e">
        <f ca="1">[1]!BexGetData("DP_1","003N8EMH8GTFRCSWKMPXRRXR2","GSON1112110024")</f>
        <v>#NAME?</v>
      </c>
      <c r="H1519" s="23" t="e">
        <f ca="1">[1]!BexGetData("DP_1","003N8EMH8GTFRCSWKMPXRS42M","GSON1112110024")</f>
        <v>#NAME?</v>
      </c>
      <c r="I1519" s="28" t="e">
        <f ca="1">[1]!BexGetData("DP_1","003N8EMH8GTFRCSWKMPXRSAE6","GSON1112110024")</f>
        <v>#NAME?</v>
      </c>
      <c r="J1519" s="24" t="e">
        <f ca="1">[1]!BexGetData("DP_1","003N8EMH8GTFRCSWKMPXRSGPQ","GSON1112110024")</f>
        <v>#NAME?</v>
      </c>
      <c r="K1519" s="28" t="e">
        <f ca="1">[1]!BexGetData("DP_1","003N8EMH8GTFRIVNUPY288VJH","GSON1112110024")</f>
        <v>#NAME?</v>
      </c>
      <c r="L1519" s="28" t="e">
        <f ca="1">[1]!BexGetData("DP_1","003N8EMH8GTFRIVNUPY2891V1","GSON1112110024")</f>
        <v>#NAME?</v>
      </c>
      <c r="M1519" s="28" t="e">
        <f ca="1">[1]!BexGetData("DP_1","003N8EMH8GTFRIVOG7KG9IQXA","GSON1112110024")</f>
        <v>#NAME?</v>
      </c>
      <c r="N1519" s="28" t="e">
        <f ca="1">[1]!BexGetData("DP_1","003N8EMH8GTFRIVOG7KG9IX8U","GSON1112110024")</f>
        <v>#NAME?</v>
      </c>
      <c r="O1519" s="28" t="e">
        <f ca="1">[1]!BexGetData("DP_1","003N8EMH8GTFRIVOG7KG9J3KE","GSON1112110024")</f>
        <v>#NAME?</v>
      </c>
      <c r="P1519" s="28" t="e">
        <f ca="1">[1]!BexGetData("DP_1","003N8EMH8GTFRIVOG7KG9J9VY","GSON1112110024")</f>
        <v>#NAME?</v>
      </c>
      <c r="Q1519" s="24" t="e">
        <f ca="1">[1]!BexGetData("DP_1","00O2TNJGODT0G5Z4TTKYMM5MT","GSON1112110024")</f>
        <v>#NAME?</v>
      </c>
      <c r="R1519" s="28" t="e">
        <f ca="1">[1]!BexGetData("DP_1","00O2TNJGODT0G5Z4TTKYMMBYD","GSON1112110024")</f>
        <v>#NAME?</v>
      </c>
      <c r="S1519" s="28" t="e">
        <f ca="1">[1]!BexGetData("DP_1","00O2TNJGODT0G5Z4TTKYMMI9X","GSON1112110024")</f>
        <v>#NAME?</v>
      </c>
      <c r="T1519" s="28" t="e">
        <f ca="1">[1]!BexGetData("DP_1","00O2TNJGODT0G5Z4TTKYMMOLH","GSON1112110024")</f>
        <v>#NAME?</v>
      </c>
      <c r="U1519" s="28" t="e">
        <f ca="1">[1]!BexGetData("DP_1","00O2TNJGODT0G5Z4TTKYMMUX1","GSON1112110024")</f>
        <v>#NAME?</v>
      </c>
      <c r="V1519" s="28" t="e">
        <f ca="1">[1]!BexGetData("DP_1","00O2TNJGODT0G5Z4TTKYMN18L","GSON1112110024")</f>
        <v>#NAME?</v>
      </c>
      <c r="W1519" s="28" t="e">
        <f ca="1">[1]!BexGetData("DP_1","00O2TNJGODT0G5Z4TTKYMN7K5","GSON1112110024")</f>
        <v>#NAME?</v>
      </c>
    </row>
    <row r="1520" spans="1:23" x14ac:dyDescent="0.2">
      <c r="A1520" s="36" t="s">
        <v>1616</v>
      </c>
      <c r="B1520" s="27" t="s">
        <v>1617</v>
      </c>
      <c r="C1520" s="23" t="e">
        <f ca="1">[1]!BexGetData("DP_1","003N8EMH8GTFRCSWKMPXRR8GU","GSON1112110025")</f>
        <v>#NAME?</v>
      </c>
      <c r="D1520" s="23" t="e">
        <f ca="1">[1]!BexGetData("DP_1","003N8EMH8GTFRCSWKMPXRRESE","GSON1112110025")</f>
        <v>#NAME?</v>
      </c>
      <c r="E1520" s="28" t="e">
        <f ca="1">[1]!BexGetData("DP_1","003N8EMH8GTFRCSWKMPXRRL3Y","GSON1112110025")</f>
        <v>#NAME?</v>
      </c>
      <c r="F1520" s="28" t="e">
        <f ca="1">[1]!BexGetData("DP_1","003N8EMH8GTFRCSWKMPXRRRFI","GSON1112110025")</f>
        <v>#NAME?</v>
      </c>
      <c r="G1520" s="23" t="e">
        <f ca="1">[1]!BexGetData("DP_1","003N8EMH8GTFRCSWKMPXRRXR2","GSON1112110025")</f>
        <v>#NAME?</v>
      </c>
      <c r="H1520" s="23" t="e">
        <f ca="1">[1]!BexGetData("DP_1","003N8EMH8GTFRCSWKMPXRS42M","GSON1112110025")</f>
        <v>#NAME?</v>
      </c>
      <c r="I1520" s="28" t="e">
        <f ca="1">[1]!BexGetData("DP_1","003N8EMH8GTFRCSWKMPXRSAE6","GSON1112110025")</f>
        <v>#NAME?</v>
      </c>
      <c r="J1520" s="24" t="e">
        <f ca="1">[1]!BexGetData("DP_1","003N8EMH8GTFRCSWKMPXRSGPQ","GSON1112110025")</f>
        <v>#NAME?</v>
      </c>
      <c r="K1520" s="28" t="e">
        <f ca="1">[1]!BexGetData("DP_1","003N8EMH8GTFRIVNUPY288VJH","GSON1112110025")</f>
        <v>#NAME?</v>
      </c>
      <c r="L1520" s="28" t="e">
        <f ca="1">[1]!BexGetData("DP_1","003N8EMH8GTFRIVNUPY2891V1","GSON1112110025")</f>
        <v>#NAME?</v>
      </c>
      <c r="M1520" s="28" t="e">
        <f ca="1">[1]!BexGetData("DP_1","003N8EMH8GTFRIVOG7KG9IQXA","GSON1112110025")</f>
        <v>#NAME?</v>
      </c>
      <c r="N1520" s="28" t="e">
        <f ca="1">[1]!BexGetData("DP_1","003N8EMH8GTFRIVOG7KG9IX8U","GSON1112110025")</f>
        <v>#NAME?</v>
      </c>
      <c r="O1520" s="28" t="e">
        <f ca="1">[1]!BexGetData("DP_1","003N8EMH8GTFRIVOG7KG9J3KE","GSON1112110025")</f>
        <v>#NAME?</v>
      </c>
      <c r="P1520" s="28" t="e">
        <f ca="1">[1]!BexGetData("DP_1","003N8EMH8GTFRIVOG7KG9J9VY","GSON1112110025")</f>
        <v>#NAME?</v>
      </c>
      <c r="Q1520" s="24" t="e">
        <f ca="1">[1]!BexGetData("DP_1","00O2TNJGODT0G5Z4TTKYMM5MT","GSON1112110025")</f>
        <v>#NAME?</v>
      </c>
      <c r="R1520" s="28" t="e">
        <f ca="1">[1]!BexGetData("DP_1","00O2TNJGODT0G5Z4TTKYMMBYD","GSON1112110025")</f>
        <v>#NAME?</v>
      </c>
      <c r="S1520" s="28" t="e">
        <f ca="1">[1]!BexGetData("DP_1","00O2TNJGODT0G5Z4TTKYMMI9X","GSON1112110025")</f>
        <v>#NAME?</v>
      </c>
      <c r="T1520" s="28" t="e">
        <f ca="1">[1]!BexGetData("DP_1","00O2TNJGODT0G5Z4TTKYMMOLH","GSON1112110025")</f>
        <v>#NAME?</v>
      </c>
      <c r="U1520" s="28" t="e">
        <f ca="1">[1]!BexGetData("DP_1","00O2TNJGODT0G5Z4TTKYMMUX1","GSON1112110025")</f>
        <v>#NAME?</v>
      </c>
      <c r="V1520" s="28" t="e">
        <f ca="1">[1]!BexGetData("DP_1","00O2TNJGODT0G5Z4TTKYMN18L","GSON1112110025")</f>
        <v>#NAME?</v>
      </c>
      <c r="W1520" s="28" t="e">
        <f ca="1">[1]!BexGetData("DP_1","00O2TNJGODT0G5Z4TTKYMN7K5","GSON1112110025")</f>
        <v>#NAME?</v>
      </c>
    </row>
    <row r="1521" spans="1:23" x14ac:dyDescent="0.2">
      <c r="A1521" s="36" t="s">
        <v>4163</v>
      </c>
      <c r="B1521" s="27" t="s">
        <v>1097</v>
      </c>
      <c r="C1521" s="23" t="e">
        <f ca="1">[1]!BexGetData("DP_1","003N8EMH8GTFRCSWKMPXRR8GU","GSON1112110030")</f>
        <v>#NAME?</v>
      </c>
      <c r="D1521" s="23" t="e">
        <f ca="1">[1]!BexGetData("DP_1","003N8EMH8GTFRCSWKMPXRRESE","GSON1112110030")</f>
        <v>#NAME?</v>
      </c>
      <c r="E1521" s="23" t="e">
        <f ca="1">[1]!BexGetData("DP_1","003N8EMH8GTFRCSWKMPXRRL3Y","GSON1112110030")</f>
        <v>#NAME?</v>
      </c>
      <c r="F1521" s="23" t="e">
        <f ca="1">[1]!BexGetData("DP_1","003N8EMH8GTFRCSWKMPXRRRFI","GSON1112110030")</f>
        <v>#NAME?</v>
      </c>
      <c r="G1521" s="23" t="e">
        <f ca="1">[1]!BexGetData("DP_1","003N8EMH8GTFRCSWKMPXRRXR2","GSON1112110030")</f>
        <v>#NAME?</v>
      </c>
      <c r="H1521" s="23" t="e">
        <f ca="1">[1]!BexGetData("DP_1","003N8EMH8GTFRCSWKMPXRS42M","GSON1112110030")</f>
        <v>#NAME?</v>
      </c>
      <c r="I1521" s="23" t="e">
        <f ca="1">[1]!BexGetData("DP_1","003N8EMH8GTFRCSWKMPXRSAE6","GSON1112110030")</f>
        <v>#NAME?</v>
      </c>
      <c r="J1521" s="23" t="e">
        <f ca="1">[1]!BexGetData("DP_1","003N8EMH8GTFRCSWKMPXRSGPQ","GSON1112110030")</f>
        <v>#NAME?</v>
      </c>
      <c r="K1521" s="23" t="e">
        <f ca="1">[1]!BexGetData("DP_1","003N8EMH8GTFRIVNUPY288VJH","GSON1112110030")</f>
        <v>#NAME?</v>
      </c>
      <c r="L1521" s="23" t="e">
        <f ca="1">[1]!BexGetData("DP_1","003N8EMH8GTFRIVNUPY2891V1","GSON1112110030")</f>
        <v>#NAME?</v>
      </c>
      <c r="M1521" s="28" t="e">
        <f ca="1">[1]!BexGetData("DP_1","003N8EMH8GTFRIVOG7KG9IQXA","GSON1112110030")</f>
        <v>#NAME?</v>
      </c>
      <c r="N1521" s="23" t="e">
        <f ca="1">[1]!BexGetData("DP_1","003N8EMH8GTFRIVOG7KG9IX8U","GSON1112110030")</f>
        <v>#NAME?</v>
      </c>
      <c r="O1521" s="28" t="e">
        <f ca="1">[1]!BexGetData("DP_1","003N8EMH8GTFRIVOG7KG9J3KE","GSON1112110030")</f>
        <v>#NAME?</v>
      </c>
      <c r="P1521" s="23" t="e">
        <f ca="1">[1]!BexGetData("DP_1","003N8EMH8GTFRIVOG7KG9J9VY","GSON1112110030")</f>
        <v>#NAME?</v>
      </c>
      <c r="Q1521" s="23" t="e">
        <f ca="1">[1]!BexGetData("DP_1","00O2TNJGODT0G5Z4TTKYMM5MT","GSON1112110030")</f>
        <v>#NAME?</v>
      </c>
      <c r="R1521" s="23" t="e">
        <f ca="1">[1]!BexGetData("DP_1","00O2TNJGODT0G5Z4TTKYMMBYD","GSON1112110030")</f>
        <v>#NAME?</v>
      </c>
      <c r="S1521" s="23" t="e">
        <f ca="1">[1]!BexGetData("DP_1","00O2TNJGODT0G5Z4TTKYMMI9X","GSON1112110030")</f>
        <v>#NAME?</v>
      </c>
      <c r="T1521" s="28" t="e">
        <f ca="1">[1]!BexGetData("DP_1","00O2TNJGODT0G5Z4TTKYMMOLH","GSON1112110030")</f>
        <v>#NAME?</v>
      </c>
      <c r="U1521" s="23" t="e">
        <f ca="1">[1]!BexGetData("DP_1","00O2TNJGODT0G5Z4TTKYMMUX1","GSON1112110030")</f>
        <v>#NAME?</v>
      </c>
      <c r="V1521" s="28" t="e">
        <f ca="1">[1]!BexGetData("DP_1","00O2TNJGODT0G5Z4TTKYMN18L","GSON1112110030")</f>
        <v>#NAME?</v>
      </c>
      <c r="W1521" s="23" t="e">
        <f ca="1">[1]!BexGetData("DP_1","00O2TNJGODT0G5Z4TTKYMN7K5","GSON1112110030")</f>
        <v>#NAME?</v>
      </c>
    </row>
    <row r="1522" spans="1:23" x14ac:dyDescent="0.2">
      <c r="A1522" s="36" t="s">
        <v>1098</v>
      </c>
      <c r="B1522" s="27" t="s">
        <v>1099</v>
      </c>
      <c r="C1522" s="23" t="e">
        <f ca="1">[1]!BexGetData("DP_1","003N8EMH8GTFRCSWKMPXRR8GU","GSON1112110031")</f>
        <v>#NAME?</v>
      </c>
      <c r="D1522" s="23" t="e">
        <f ca="1">[1]!BexGetData("DP_1","003N8EMH8GTFRCSWKMPXRRESE","GSON1112110031")</f>
        <v>#NAME?</v>
      </c>
      <c r="E1522" s="28" t="e">
        <f ca="1">[1]!BexGetData("DP_1","003N8EMH8GTFRCSWKMPXRRL3Y","GSON1112110031")</f>
        <v>#NAME?</v>
      </c>
      <c r="F1522" s="28" t="e">
        <f ca="1">[1]!BexGetData("DP_1","003N8EMH8GTFRCSWKMPXRRRFI","GSON1112110031")</f>
        <v>#NAME?</v>
      </c>
      <c r="G1522" s="23" t="e">
        <f ca="1">[1]!BexGetData("DP_1","003N8EMH8GTFRCSWKMPXRRXR2","GSON1112110031")</f>
        <v>#NAME?</v>
      </c>
      <c r="H1522" s="23" t="e">
        <f ca="1">[1]!BexGetData("DP_1","003N8EMH8GTFRCSWKMPXRS42M","GSON1112110031")</f>
        <v>#NAME?</v>
      </c>
      <c r="I1522" s="28" t="e">
        <f ca="1">[1]!BexGetData("DP_1","003N8EMH8GTFRCSWKMPXRSAE6","GSON1112110031")</f>
        <v>#NAME?</v>
      </c>
      <c r="J1522" s="24" t="e">
        <f ca="1">[1]!BexGetData("DP_1","003N8EMH8GTFRCSWKMPXRSGPQ","GSON1112110031")</f>
        <v>#NAME?</v>
      </c>
      <c r="K1522" s="28" t="e">
        <f ca="1">[1]!BexGetData("DP_1","003N8EMH8GTFRIVNUPY288VJH","GSON1112110031")</f>
        <v>#NAME?</v>
      </c>
      <c r="L1522" s="28" t="e">
        <f ca="1">[1]!BexGetData("DP_1","003N8EMH8GTFRIVNUPY2891V1","GSON1112110031")</f>
        <v>#NAME?</v>
      </c>
      <c r="M1522" s="28" t="e">
        <f ca="1">[1]!BexGetData("DP_1","003N8EMH8GTFRIVOG7KG9IQXA","GSON1112110031")</f>
        <v>#NAME?</v>
      </c>
      <c r="N1522" s="28" t="e">
        <f ca="1">[1]!BexGetData("DP_1","003N8EMH8GTFRIVOG7KG9IX8U","GSON1112110031")</f>
        <v>#NAME?</v>
      </c>
      <c r="O1522" s="28" t="e">
        <f ca="1">[1]!BexGetData("DP_1","003N8EMH8GTFRIVOG7KG9J3KE","GSON1112110031")</f>
        <v>#NAME?</v>
      </c>
      <c r="P1522" s="28" t="e">
        <f ca="1">[1]!BexGetData("DP_1","003N8EMH8GTFRIVOG7KG9J9VY","GSON1112110031")</f>
        <v>#NAME?</v>
      </c>
      <c r="Q1522" s="24" t="e">
        <f ca="1">[1]!BexGetData("DP_1","00O2TNJGODT0G5Z4TTKYMM5MT","GSON1112110031")</f>
        <v>#NAME?</v>
      </c>
      <c r="R1522" s="28" t="e">
        <f ca="1">[1]!BexGetData("DP_1","00O2TNJGODT0G5Z4TTKYMMBYD","GSON1112110031")</f>
        <v>#NAME?</v>
      </c>
      <c r="S1522" s="28" t="e">
        <f ca="1">[1]!BexGetData("DP_1","00O2TNJGODT0G5Z4TTKYMMI9X","GSON1112110031")</f>
        <v>#NAME?</v>
      </c>
      <c r="T1522" s="28" t="e">
        <f ca="1">[1]!BexGetData("DP_1","00O2TNJGODT0G5Z4TTKYMMOLH","GSON1112110031")</f>
        <v>#NAME?</v>
      </c>
      <c r="U1522" s="28" t="e">
        <f ca="1">[1]!BexGetData("DP_1","00O2TNJGODT0G5Z4TTKYMMUX1","GSON1112110031")</f>
        <v>#NAME?</v>
      </c>
      <c r="V1522" s="28" t="e">
        <f ca="1">[1]!BexGetData("DP_1","00O2TNJGODT0G5Z4TTKYMN18L","GSON1112110031")</f>
        <v>#NAME?</v>
      </c>
      <c r="W1522" s="28" t="e">
        <f ca="1">[1]!BexGetData("DP_1","00O2TNJGODT0G5Z4TTKYMN7K5","GSON1112110031")</f>
        <v>#NAME?</v>
      </c>
    </row>
    <row r="1523" spans="1:23" x14ac:dyDescent="0.2">
      <c r="A1523" s="36" t="s">
        <v>1100</v>
      </c>
      <c r="B1523" s="27" t="s">
        <v>1101</v>
      </c>
      <c r="C1523" s="23" t="e">
        <f ca="1">[1]!BexGetData("DP_1","003N8EMH8GTFRCSWKMPXRR8GU","GSON1112110033")</f>
        <v>#NAME?</v>
      </c>
      <c r="D1523" s="23" t="e">
        <f ca="1">[1]!BexGetData("DP_1","003N8EMH8GTFRCSWKMPXRRESE","GSON1112110033")</f>
        <v>#NAME?</v>
      </c>
      <c r="E1523" s="28" t="e">
        <f ca="1">[1]!BexGetData("DP_1","003N8EMH8GTFRCSWKMPXRRL3Y","GSON1112110033")</f>
        <v>#NAME?</v>
      </c>
      <c r="F1523" s="28" t="e">
        <f ca="1">[1]!BexGetData("DP_1","003N8EMH8GTFRCSWKMPXRRRFI","GSON1112110033")</f>
        <v>#NAME?</v>
      </c>
      <c r="G1523" s="23" t="e">
        <f ca="1">[1]!BexGetData("DP_1","003N8EMH8GTFRCSWKMPXRRXR2","GSON1112110033")</f>
        <v>#NAME?</v>
      </c>
      <c r="H1523" s="23" t="e">
        <f ca="1">[1]!BexGetData("DP_1","003N8EMH8GTFRCSWKMPXRS42M","GSON1112110033")</f>
        <v>#NAME?</v>
      </c>
      <c r="I1523" s="28" t="e">
        <f ca="1">[1]!BexGetData("DP_1","003N8EMH8GTFRCSWKMPXRSAE6","GSON1112110033")</f>
        <v>#NAME?</v>
      </c>
      <c r="J1523" s="24" t="e">
        <f ca="1">[1]!BexGetData("DP_1","003N8EMH8GTFRCSWKMPXRSGPQ","GSON1112110033")</f>
        <v>#NAME?</v>
      </c>
      <c r="K1523" s="28" t="e">
        <f ca="1">[1]!BexGetData("DP_1","003N8EMH8GTFRIVNUPY288VJH","GSON1112110033")</f>
        <v>#NAME?</v>
      </c>
      <c r="L1523" s="28" t="e">
        <f ca="1">[1]!BexGetData("DP_1","003N8EMH8GTFRIVNUPY2891V1","GSON1112110033")</f>
        <v>#NAME?</v>
      </c>
      <c r="M1523" s="28" t="e">
        <f ca="1">[1]!BexGetData("DP_1","003N8EMH8GTFRIVOG7KG9IQXA","GSON1112110033")</f>
        <v>#NAME?</v>
      </c>
      <c r="N1523" s="28" t="e">
        <f ca="1">[1]!BexGetData("DP_1","003N8EMH8GTFRIVOG7KG9IX8U","GSON1112110033")</f>
        <v>#NAME?</v>
      </c>
      <c r="O1523" s="28" t="e">
        <f ca="1">[1]!BexGetData("DP_1","003N8EMH8GTFRIVOG7KG9J3KE","GSON1112110033")</f>
        <v>#NAME?</v>
      </c>
      <c r="P1523" s="28" t="e">
        <f ca="1">[1]!BexGetData("DP_1","003N8EMH8GTFRIVOG7KG9J9VY","GSON1112110033")</f>
        <v>#NAME?</v>
      </c>
      <c r="Q1523" s="24" t="e">
        <f ca="1">[1]!BexGetData("DP_1","00O2TNJGODT0G5Z4TTKYMM5MT","GSON1112110033")</f>
        <v>#NAME?</v>
      </c>
      <c r="R1523" s="28" t="e">
        <f ca="1">[1]!BexGetData("DP_1","00O2TNJGODT0G5Z4TTKYMMBYD","GSON1112110033")</f>
        <v>#NAME?</v>
      </c>
      <c r="S1523" s="28" t="e">
        <f ca="1">[1]!BexGetData("DP_1","00O2TNJGODT0G5Z4TTKYMMI9X","GSON1112110033")</f>
        <v>#NAME?</v>
      </c>
      <c r="T1523" s="28" t="e">
        <f ca="1">[1]!BexGetData("DP_1","00O2TNJGODT0G5Z4TTKYMMOLH","GSON1112110033")</f>
        <v>#NAME?</v>
      </c>
      <c r="U1523" s="28" t="e">
        <f ca="1">[1]!BexGetData("DP_1","00O2TNJGODT0G5Z4TTKYMMUX1","GSON1112110033")</f>
        <v>#NAME?</v>
      </c>
      <c r="V1523" s="28" t="e">
        <f ca="1">[1]!BexGetData("DP_1","00O2TNJGODT0G5Z4TTKYMN18L","GSON1112110033")</f>
        <v>#NAME?</v>
      </c>
      <c r="W1523" s="28" t="e">
        <f ca="1">[1]!BexGetData("DP_1","00O2TNJGODT0G5Z4TTKYMN7K5","GSON1112110033")</f>
        <v>#NAME?</v>
      </c>
    </row>
    <row r="1524" spans="1:23" x14ac:dyDescent="0.2">
      <c r="A1524" s="36" t="s">
        <v>4164</v>
      </c>
      <c r="B1524" s="27" t="s">
        <v>1102</v>
      </c>
      <c r="C1524" s="23" t="e">
        <f ca="1">[1]!BexGetData("DP_1","003N8EMH8GTFRCSWKMPXRR8GU","GSON1112110034")</f>
        <v>#NAME?</v>
      </c>
      <c r="D1524" s="23" t="e">
        <f ca="1">[1]!BexGetData("DP_1","003N8EMH8GTFRCSWKMPXRRESE","GSON1112110034")</f>
        <v>#NAME?</v>
      </c>
      <c r="E1524" s="28" t="e">
        <f ca="1">[1]!BexGetData("DP_1","003N8EMH8GTFRCSWKMPXRRL3Y","GSON1112110034")</f>
        <v>#NAME?</v>
      </c>
      <c r="F1524" s="28" t="e">
        <f ca="1">[1]!BexGetData("DP_1","003N8EMH8GTFRCSWKMPXRRRFI","GSON1112110034")</f>
        <v>#NAME?</v>
      </c>
      <c r="G1524" s="23" t="e">
        <f ca="1">[1]!BexGetData("DP_1","003N8EMH8GTFRCSWKMPXRRXR2","GSON1112110034")</f>
        <v>#NAME?</v>
      </c>
      <c r="H1524" s="23" t="e">
        <f ca="1">[1]!BexGetData("DP_1","003N8EMH8GTFRCSWKMPXRS42M","GSON1112110034")</f>
        <v>#NAME?</v>
      </c>
      <c r="I1524" s="28" t="e">
        <f ca="1">[1]!BexGetData("DP_1","003N8EMH8GTFRCSWKMPXRSAE6","GSON1112110034")</f>
        <v>#NAME?</v>
      </c>
      <c r="J1524" s="24" t="e">
        <f ca="1">[1]!BexGetData("DP_1","003N8EMH8GTFRCSWKMPXRSGPQ","GSON1112110034")</f>
        <v>#NAME?</v>
      </c>
      <c r="K1524" s="28" t="e">
        <f ca="1">[1]!BexGetData("DP_1","003N8EMH8GTFRIVNUPY288VJH","GSON1112110034")</f>
        <v>#NAME?</v>
      </c>
      <c r="L1524" s="28" t="e">
        <f ca="1">[1]!BexGetData("DP_1","003N8EMH8GTFRIVNUPY2891V1","GSON1112110034")</f>
        <v>#NAME?</v>
      </c>
      <c r="M1524" s="28" t="e">
        <f ca="1">[1]!BexGetData("DP_1","003N8EMH8GTFRIVOG7KG9IQXA","GSON1112110034")</f>
        <v>#NAME?</v>
      </c>
      <c r="N1524" s="28" t="e">
        <f ca="1">[1]!BexGetData("DP_1","003N8EMH8GTFRIVOG7KG9IX8U","GSON1112110034")</f>
        <v>#NAME?</v>
      </c>
      <c r="O1524" s="28" t="e">
        <f ca="1">[1]!BexGetData("DP_1","003N8EMH8GTFRIVOG7KG9J3KE","GSON1112110034")</f>
        <v>#NAME?</v>
      </c>
      <c r="P1524" s="28" t="e">
        <f ca="1">[1]!BexGetData("DP_1","003N8EMH8GTFRIVOG7KG9J9VY","GSON1112110034")</f>
        <v>#NAME?</v>
      </c>
      <c r="Q1524" s="24" t="e">
        <f ca="1">[1]!BexGetData("DP_1","00O2TNJGODT0G5Z4TTKYMM5MT","GSON1112110034")</f>
        <v>#NAME?</v>
      </c>
      <c r="R1524" s="28" t="e">
        <f ca="1">[1]!BexGetData("DP_1","00O2TNJGODT0G5Z4TTKYMMBYD","GSON1112110034")</f>
        <v>#NAME?</v>
      </c>
      <c r="S1524" s="28" t="e">
        <f ca="1">[1]!BexGetData("DP_1","00O2TNJGODT0G5Z4TTKYMMI9X","GSON1112110034")</f>
        <v>#NAME?</v>
      </c>
      <c r="T1524" s="28" t="e">
        <f ca="1">[1]!BexGetData("DP_1","00O2TNJGODT0G5Z4TTKYMMOLH","GSON1112110034")</f>
        <v>#NAME?</v>
      </c>
      <c r="U1524" s="28" t="e">
        <f ca="1">[1]!BexGetData("DP_1","00O2TNJGODT0G5Z4TTKYMMUX1","GSON1112110034")</f>
        <v>#NAME?</v>
      </c>
      <c r="V1524" s="28" t="e">
        <f ca="1">[1]!BexGetData("DP_1","00O2TNJGODT0G5Z4TTKYMN18L","GSON1112110034")</f>
        <v>#NAME?</v>
      </c>
      <c r="W1524" s="28" t="e">
        <f ca="1">[1]!BexGetData("DP_1","00O2TNJGODT0G5Z4TTKYMN7K5","GSON1112110034")</f>
        <v>#NAME?</v>
      </c>
    </row>
    <row r="1525" spans="1:23" x14ac:dyDescent="0.2">
      <c r="A1525" s="36" t="s">
        <v>4165</v>
      </c>
      <c r="B1525" s="27" t="s">
        <v>4166</v>
      </c>
      <c r="C1525" s="23" t="e">
        <f ca="1">[1]!BexGetData("DP_1","003N8EMH8GTFRCSWKMPXRR8GU","GSON1112110035")</f>
        <v>#NAME?</v>
      </c>
      <c r="D1525" s="23" t="e">
        <f ca="1">[1]!BexGetData("DP_1","003N8EMH8GTFRCSWKMPXRRESE","GSON1112110035")</f>
        <v>#NAME?</v>
      </c>
      <c r="E1525" s="28" t="e">
        <f ca="1">[1]!BexGetData("DP_1","003N8EMH8GTFRCSWKMPXRRL3Y","GSON1112110035")</f>
        <v>#NAME?</v>
      </c>
      <c r="F1525" s="24" t="e">
        <f ca="1">[1]!BexGetData("DP_1","003N8EMH8GTFRCSWKMPXRRRFI","GSON1112110035")</f>
        <v>#NAME?</v>
      </c>
      <c r="G1525" s="24" t="e">
        <f ca="1">[1]!BexGetData("DP_1","003N8EMH8GTFRCSWKMPXRRXR2","GSON1112110035")</f>
        <v>#NAME?</v>
      </c>
      <c r="H1525" s="24" t="e">
        <f ca="1">[1]!BexGetData("DP_1","003N8EMH8GTFRCSWKMPXRS42M","GSON1112110035")</f>
        <v>#NAME?</v>
      </c>
      <c r="I1525" s="24" t="e">
        <f ca="1">[1]!BexGetData("DP_1","003N8EMH8GTFRCSWKMPXRSAE6","GSON1112110035")</f>
        <v>#NAME?</v>
      </c>
      <c r="J1525" s="24" t="e">
        <f ca="1">[1]!BexGetData("DP_1","003N8EMH8GTFRCSWKMPXRSGPQ","GSON1112110035")</f>
        <v>#NAME?</v>
      </c>
      <c r="K1525" s="28" t="e">
        <f ca="1">[1]!BexGetData("DP_1","003N8EMH8GTFRIVNUPY288VJH","GSON1112110035")</f>
        <v>#NAME?</v>
      </c>
      <c r="L1525" s="28" t="e">
        <f ca="1">[1]!BexGetData("DP_1","003N8EMH8GTFRIVNUPY2891V1","GSON1112110035")</f>
        <v>#NAME?</v>
      </c>
      <c r="M1525" s="28" t="e">
        <f ca="1">[1]!BexGetData("DP_1","003N8EMH8GTFRIVOG7KG9IQXA","GSON1112110035")</f>
        <v>#NAME?</v>
      </c>
      <c r="N1525" s="28" t="e">
        <f ca="1">[1]!BexGetData("DP_1","003N8EMH8GTFRIVOG7KG9IX8U","GSON1112110035")</f>
        <v>#NAME?</v>
      </c>
      <c r="O1525" s="28" t="e">
        <f ca="1">[1]!BexGetData("DP_1","003N8EMH8GTFRIVOG7KG9J3KE","GSON1112110035")</f>
        <v>#NAME?</v>
      </c>
      <c r="P1525" s="28" t="e">
        <f ca="1">[1]!BexGetData("DP_1","003N8EMH8GTFRIVOG7KG9J9VY","GSON1112110035")</f>
        <v>#NAME?</v>
      </c>
      <c r="Q1525" s="24" t="e">
        <f ca="1">[1]!BexGetData("DP_1","00O2TNJGODT0G5Z4TTKYMM5MT","GSON1112110035")</f>
        <v>#NAME?</v>
      </c>
      <c r="R1525" s="24" t="e">
        <f ca="1">[1]!BexGetData("DP_1","00O2TNJGODT0G5Z4TTKYMMBYD","GSON1112110035")</f>
        <v>#NAME?</v>
      </c>
      <c r="S1525" s="24" t="e">
        <f ca="1">[1]!BexGetData("DP_1","00O2TNJGODT0G5Z4TTKYMMI9X","GSON1112110035")</f>
        <v>#NAME?</v>
      </c>
      <c r="T1525" s="24" t="e">
        <f ca="1">[1]!BexGetData("DP_1","00O2TNJGODT0G5Z4TTKYMMOLH","GSON1112110035")</f>
        <v>#NAME?</v>
      </c>
      <c r="U1525" s="24" t="e">
        <f ca="1">[1]!BexGetData("DP_1","00O2TNJGODT0G5Z4TTKYMMUX1","GSON1112110035")</f>
        <v>#NAME?</v>
      </c>
      <c r="V1525" s="24" t="e">
        <f ca="1">[1]!BexGetData("DP_1","00O2TNJGODT0G5Z4TTKYMN18L","GSON1112110035")</f>
        <v>#NAME?</v>
      </c>
      <c r="W1525" s="24" t="e">
        <f ca="1">[1]!BexGetData("DP_1","00O2TNJGODT0G5Z4TTKYMN7K5","GSON1112110035")</f>
        <v>#NAME?</v>
      </c>
    </row>
    <row r="1526" spans="1:23" x14ac:dyDescent="0.2">
      <c r="A1526" s="36" t="s">
        <v>4167</v>
      </c>
      <c r="B1526" s="27" t="s">
        <v>4168</v>
      </c>
      <c r="C1526" s="28" t="e">
        <f ca="1">[1]!BexGetData("DP_1","003N8EMH8GTFRCSWKMPXRR8GU","GSON1112110040")</f>
        <v>#NAME?</v>
      </c>
      <c r="D1526" s="28" t="e">
        <f ca="1">[1]!BexGetData("DP_1","003N8EMH8GTFRCSWKMPXRRESE","GSON1112110040")</f>
        <v>#NAME?</v>
      </c>
      <c r="E1526" s="28" t="e">
        <f ca="1">[1]!BexGetData("DP_1","003N8EMH8GTFRCSWKMPXRRL3Y","GSON1112110040")</f>
        <v>#NAME?</v>
      </c>
      <c r="F1526" s="28" t="e">
        <f ca="1">[1]!BexGetData("DP_1","003N8EMH8GTFRCSWKMPXRRRFI","GSON1112110040")</f>
        <v>#NAME?</v>
      </c>
      <c r="G1526" s="23" t="e">
        <f ca="1">[1]!BexGetData("DP_1","003N8EMH8GTFRCSWKMPXRRXR2","GSON1112110040")</f>
        <v>#NAME?</v>
      </c>
      <c r="H1526" s="23" t="e">
        <f ca="1">[1]!BexGetData("DP_1","003N8EMH8GTFRCSWKMPXRS42M","GSON1112110040")</f>
        <v>#NAME?</v>
      </c>
      <c r="I1526" s="28" t="e">
        <f ca="1">[1]!BexGetData("DP_1","003N8EMH8GTFRCSWKMPXRSAE6","GSON1112110040")</f>
        <v>#NAME?</v>
      </c>
      <c r="J1526" s="23" t="e">
        <f ca="1">[1]!BexGetData("DP_1","003N8EMH8GTFRCSWKMPXRSGPQ","GSON1112110040")</f>
        <v>#NAME?</v>
      </c>
      <c r="K1526" s="28" t="e">
        <f ca="1">[1]!BexGetData("DP_1","003N8EMH8GTFRIVNUPY288VJH","GSON1112110040")</f>
        <v>#NAME?</v>
      </c>
      <c r="L1526" s="28" t="e">
        <f ca="1">[1]!BexGetData("DP_1","003N8EMH8GTFRIVNUPY2891V1","GSON1112110040")</f>
        <v>#NAME?</v>
      </c>
      <c r="M1526" s="28" t="e">
        <f ca="1">[1]!BexGetData("DP_1","003N8EMH8GTFRIVOG7KG9IQXA","GSON1112110040")</f>
        <v>#NAME?</v>
      </c>
      <c r="N1526" s="28" t="e">
        <f ca="1">[1]!BexGetData("DP_1","003N8EMH8GTFRIVOG7KG9IX8U","GSON1112110040")</f>
        <v>#NAME?</v>
      </c>
      <c r="O1526" s="28" t="e">
        <f ca="1">[1]!BexGetData("DP_1","003N8EMH8GTFRIVOG7KG9J3KE","GSON1112110040")</f>
        <v>#NAME?</v>
      </c>
      <c r="P1526" s="28" t="e">
        <f ca="1">[1]!BexGetData("DP_1","003N8EMH8GTFRIVOG7KG9J9VY","GSON1112110040")</f>
        <v>#NAME?</v>
      </c>
      <c r="Q1526" s="23" t="e">
        <f ca="1">[1]!BexGetData("DP_1","00O2TNJGODT0G5Z4TTKYMM5MT","GSON1112110040")</f>
        <v>#NAME?</v>
      </c>
      <c r="R1526" s="23" t="e">
        <f ca="1">[1]!BexGetData("DP_1","00O2TNJGODT0G5Z4TTKYMMBYD","GSON1112110040")</f>
        <v>#NAME?</v>
      </c>
      <c r="S1526" s="23" t="e">
        <f ca="1">[1]!BexGetData("DP_1","00O2TNJGODT0G5Z4TTKYMMI9X","GSON1112110040")</f>
        <v>#NAME?</v>
      </c>
      <c r="T1526" s="23" t="e">
        <f ca="1">[1]!BexGetData("DP_1","00O2TNJGODT0G5Z4TTKYMMOLH","GSON1112110040")</f>
        <v>#NAME?</v>
      </c>
      <c r="U1526" s="28" t="e">
        <f ca="1">[1]!BexGetData("DP_1","00O2TNJGODT0G5Z4TTKYMMUX1","GSON1112110040")</f>
        <v>#NAME?</v>
      </c>
      <c r="V1526" s="23" t="e">
        <f ca="1">[1]!BexGetData("DP_1","00O2TNJGODT0G5Z4TTKYMN18L","GSON1112110040")</f>
        <v>#NAME?</v>
      </c>
      <c r="W1526" s="28" t="e">
        <f ca="1">[1]!BexGetData("DP_1","00O2TNJGODT0G5Z4TTKYMN7K5","GSON1112110040")</f>
        <v>#NAME?</v>
      </c>
    </row>
    <row r="1527" spans="1:23" x14ac:dyDescent="0.2">
      <c r="A1527" s="36" t="s">
        <v>4169</v>
      </c>
      <c r="B1527" s="27" t="s">
        <v>4170</v>
      </c>
      <c r="C1527" s="24" t="e">
        <f ca="1">[1]!BexGetData("DP_1","003N8EMH8GTFRCSWKMPXRR8GU","GSON1112110043")</f>
        <v>#NAME?</v>
      </c>
      <c r="D1527" s="24" t="e">
        <f ca="1">[1]!BexGetData("DP_1","003N8EMH8GTFRCSWKMPXRRESE","GSON1112110043")</f>
        <v>#NAME?</v>
      </c>
      <c r="E1527" s="24" t="e">
        <f ca="1">[1]!BexGetData("DP_1","003N8EMH8GTFRCSWKMPXRRL3Y","GSON1112110043")</f>
        <v>#NAME?</v>
      </c>
      <c r="F1527" s="28" t="e">
        <f ca="1">[1]!BexGetData("DP_1","003N8EMH8GTFRCSWKMPXRRRFI","GSON1112110043")</f>
        <v>#NAME?</v>
      </c>
      <c r="G1527" s="23" t="e">
        <f ca="1">[1]!BexGetData("DP_1","003N8EMH8GTFRCSWKMPXRRXR2","GSON1112110043")</f>
        <v>#NAME?</v>
      </c>
      <c r="H1527" s="23" t="e">
        <f ca="1">[1]!BexGetData("DP_1","003N8EMH8GTFRCSWKMPXRS42M","GSON1112110043")</f>
        <v>#NAME?</v>
      </c>
      <c r="I1527" s="28" t="e">
        <f ca="1">[1]!BexGetData("DP_1","003N8EMH8GTFRCSWKMPXRSAE6","GSON1112110043")</f>
        <v>#NAME?</v>
      </c>
      <c r="J1527" s="24" t="e">
        <f ca="1">[1]!BexGetData("DP_1","003N8EMH8GTFRCSWKMPXRSGPQ","GSON1112110043")</f>
        <v>#NAME?</v>
      </c>
      <c r="K1527" s="28" t="e">
        <f ca="1">[1]!BexGetData("DP_1","003N8EMH8GTFRIVNUPY288VJH","GSON1112110043")</f>
        <v>#NAME?</v>
      </c>
      <c r="L1527" s="28" t="e">
        <f ca="1">[1]!BexGetData("DP_1","003N8EMH8GTFRIVNUPY2891V1","GSON1112110043")</f>
        <v>#NAME?</v>
      </c>
      <c r="M1527" s="28" t="e">
        <f ca="1">[1]!BexGetData("DP_1","003N8EMH8GTFRIVOG7KG9IQXA","GSON1112110043")</f>
        <v>#NAME?</v>
      </c>
      <c r="N1527" s="28" t="e">
        <f ca="1">[1]!BexGetData("DP_1","003N8EMH8GTFRIVOG7KG9IX8U","GSON1112110043")</f>
        <v>#NAME?</v>
      </c>
      <c r="O1527" s="28" t="e">
        <f ca="1">[1]!BexGetData("DP_1","003N8EMH8GTFRIVOG7KG9J3KE","GSON1112110043")</f>
        <v>#NAME?</v>
      </c>
      <c r="P1527" s="28" t="e">
        <f ca="1">[1]!BexGetData("DP_1","003N8EMH8GTFRIVOG7KG9J9VY","GSON1112110043")</f>
        <v>#NAME?</v>
      </c>
      <c r="Q1527" s="24" t="e">
        <f ca="1">[1]!BexGetData("DP_1","00O2TNJGODT0G5Z4TTKYMM5MT","GSON1112110043")</f>
        <v>#NAME?</v>
      </c>
      <c r="R1527" s="28" t="e">
        <f ca="1">[1]!BexGetData("DP_1","00O2TNJGODT0G5Z4TTKYMMBYD","GSON1112110043")</f>
        <v>#NAME?</v>
      </c>
      <c r="S1527" s="28" t="e">
        <f ca="1">[1]!BexGetData("DP_1","00O2TNJGODT0G5Z4TTKYMMI9X","GSON1112110043")</f>
        <v>#NAME?</v>
      </c>
      <c r="T1527" s="28" t="e">
        <f ca="1">[1]!BexGetData("DP_1","00O2TNJGODT0G5Z4TTKYMMOLH","GSON1112110043")</f>
        <v>#NAME?</v>
      </c>
      <c r="U1527" s="28" t="e">
        <f ca="1">[1]!BexGetData("DP_1","00O2TNJGODT0G5Z4TTKYMMUX1","GSON1112110043")</f>
        <v>#NAME?</v>
      </c>
      <c r="V1527" s="28" t="e">
        <f ca="1">[1]!BexGetData("DP_1","00O2TNJGODT0G5Z4TTKYMN18L","GSON1112110043")</f>
        <v>#NAME?</v>
      </c>
      <c r="W1527" s="28" t="e">
        <f ca="1">[1]!BexGetData("DP_1","00O2TNJGODT0G5Z4TTKYMN7K5","GSON1112110043")</f>
        <v>#NAME?</v>
      </c>
    </row>
    <row r="1528" spans="1:23" x14ac:dyDescent="0.2">
      <c r="A1528" s="36" t="s">
        <v>4171</v>
      </c>
      <c r="B1528" s="27" t="s">
        <v>4172</v>
      </c>
      <c r="C1528" s="24" t="e">
        <f ca="1">[1]!BexGetData("DP_1","003N8EMH8GTFRCSWKMPXRR8GU","GSON1112110044")</f>
        <v>#NAME?</v>
      </c>
      <c r="D1528" s="24" t="e">
        <f ca="1">[1]!BexGetData("DP_1","003N8EMH8GTFRCSWKMPXRRESE","GSON1112110044")</f>
        <v>#NAME?</v>
      </c>
      <c r="E1528" s="24" t="e">
        <f ca="1">[1]!BexGetData("DP_1","003N8EMH8GTFRCSWKMPXRRL3Y","GSON1112110044")</f>
        <v>#NAME?</v>
      </c>
      <c r="F1528" s="28" t="e">
        <f ca="1">[1]!BexGetData("DP_1","003N8EMH8GTFRCSWKMPXRRRFI","GSON1112110044")</f>
        <v>#NAME?</v>
      </c>
      <c r="G1528" s="23" t="e">
        <f ca="1">[1]!BexGetData("DP_1","003N8EMH8GTFRCSWKMPXRRXR2","GSON1112110044")</f>
        <v>#NAME?</v>
      </c>
      <c r="H1528" s="23" t="e">
        <f ca="1">[1]!BexGetData("DP_1","003N8EMH8GTFRCSWKMPXRS42M","GSON1112110044")</f>
        <v>#NAME?</v>
      </c>
      <c r="I1528" s="28" t="e">
        <f ca="1">[1]!BexGetData("DP_1","003N8EMH8GTFRCSWKMPXRSAE6","GSON1112110044")</f>
        <v>#NAME?</v>
      </c>
      <c r="J1528" s="24" t="e">
        <f ca="1">[1]!BexGetData("DP_1","003N8EMH8GTFRCSWKMPXRSGPQ","GSON1112110044")</f>
        <v>#NAME?</v>
      </c>
      <c r="K1528" s="28" t="e">
        <f ca="1">[1]!BexGetData("DP_1","003N8EMH8GTFRIVNUPY288VJH","GSON1112110044")</f>
        <v>#NAME?</v>
      </c>
      <c r="L1528" s="28" t="e">
        <f ca="1">[1]!BexGetData("DP_1","003N8EMH8GTFRIVNUPY2891V1","GSON1112110044")</f>
        <v>#NAME?</v>
      </c>
      <c r="M1528" s="28" t="e">
        <f ca="1">[1]!BexGetData("DP_1","003N8EMH8GTFRIVOG7KG9IQXA","GSON1112110044")</f>
        <v>#NAME?</v>
      </c>
      <c r="N1528" s="28" t="e">
        <f ca="1">[1]!BexGetData("DP_1","003N8EMH8GTFRIVOG7KG9IX8U","GSON1112110044")</f>
        <v>#NAME?</v>
      </c>
      <c r="O1528" s="28" t="e">
        <f ca="1">[1]!BexGetData("DP_1","003N8EMH8GTFRIVOG7KG9J3KE","GSON1112110044")</f>
        <v>#NAME?</v>
      </c>
      <c r="P1528" s="28" t="e">
        <f ca="1">[1]!BexGetData("DP_1","003N8EMH8GTFRIVOG7KG9J9VY","GSON1112110044")</f>
        <v>#NAME?</v>
      </c>
      <c r="Q1528" s="24" t="e">
        <f ca="1">[1]!BexGetData("DP_1","00O2TNJGODT0G5Z4TTKYMM5MT","GSON1112110044")</f>
        <v>#NAME?</v>
      </c>
      <c r="R1528" s="28" t="e">
        <f ca="1">[1]!BexGetData("DP_1","00O2TNJGODT0G5Z4TTKYMMBYD","GSON1112110044")</f>
        <v>#NAME?</v>
      </c>
      <c r="S1528" s="28" t="e">
        <f ca="1">[1]!BexGetData("DP_1","00O2TNJGODT0G5Z4TTKYMMI9X","GSON1112110044")</f>
        <v>#NAME?</v>
      </c>
      <c r="T1528" s="28" t="e">
        <f ca="1">[1]!BexGetData("DP_1","00O2TNJGODT0G5Z4TTKYMMOLH","GSON1112110044")</f>
        <v>#NAME?</v>
      </c>
      <c r="U1528" s="28" t="e">
        <f ca="1">[1]!BexGetData("DP_1","00O2TNJGODT0G5Z4TTKYMMUX1","GSON1112110044")</f>
        <v>#NAME?</v>
      </c>
      <c r="V1528" s="28" t="e">
        <f ca="1">[1]!BexGetData("DP_1","00O2TNJGODT0G5Z4TTKYMN18L","GSON1112110044")</f>
        <v>#NAME?</v>
      </c>
      <c r="W1528" s="28" t="e">
        <f ca="1">[1]!BexGetData("DP_1","00O2TNJGODT0G5Z4TTKYMN7K5","GSON1112110044")</f>
        <v>#NAME?</v>
      </c>
    </row>
    <row r="1529" spans="1:23" x14ac:dyDescent="0.2">
      <c r="A1529" s="36" t="s">
        <v>4173</v>
      </c>
      <c r="B1529" s="27" t="s">
        <v>1103</v>
      </c>
      <c r="C1529" s="28" t="e">
        <f ca="1">[1]!BexGetData("DP_1","003N8EMH8GTFRCSWKMPXRR8GU","GSON1112110060")</f>
        <v>#NAME?</v>
      </c>
      <c r="D1529" s="28" t="e">
        <f ca="1">[1]!BexGetData("DP_1","003N8EMH8GTFRCSWKMPXRRESE","GSON1112110060")</f>
        <v>#NAME?</v>
      </c>
      <c r="E1529" s="23" t="e">
        <f ca="1">[1]!BexGetData("DP_1","003N8EMH8GTFRCSWKMPXRRL3Y","GSON1112110060")</f>
        <v>#NAME?</v>
      </c>
      <c r="F1529" s="23" t="e">
        <f ca="1">[1]!BexGetData("DP_1","003N8EMH8GTFRCSWKMPXRRRFI","GSON1112110060")</f>
        <v>#NAME?</v>
      </c>
      <c r="G1529" s="23" t="e">
        <f ca="1">[1]!BexGetData("DP_1","003N8EMH8GTFRCSWKMPXRRXR2","GSON1112110060")</f>
        <v>#NAME?</v>
      </c>
      <c r="H1529" s="23" t="e">
        <f ca="1">[1]!BexGetData("DP_1","003N8EMH8GTFRCSWKMPXRS42M","GSON1112110060")</f>
        <v>#NAME?</v>
      </c>
      <c r="I1529" s="23" t="e">
        <f ca="1">[1]!BexGetData("DP_1","003N8EMH8GTFRCSWKMPXRSAE6","GSON1112110060")</f>
        <v>#NAME?</v>
      </c>
      <c r="J1529" s="23" t="e">
        <f ca="1">[1]!BexGetData("DP_1","003N8EMH8GTFRCSWKMPXRSGPQ","GSON1112110060")</f>
        <v>#NAME?</v>
      </c>
      <c r="K1529" s="28" t="e">
        <f ca="1">[1]!BexGetData("DP_1","003N8EMH8GTFRIVNUPY288VJH","GSON1112110060")</f>
        <v>#NAME?</v>
      </c>
      <c r="L1529" s="28" t="e">
        <f ca="1">[1]!BexGetData("DP_1","003N8EMH8GTFRIVNUPY2891V1","GSON1112110060")</f>
        <v>#NAME?</v>
      </c>
      <c r="M1529" s="28" t="e">
        <f ca="1">[1]!BexGetData("DP_1","003N8EMH8GTFRIVOG7KG9IQXA","GSON1112110060")</f>
        <v>#NAME?</v>
      </c>
      <c r="N1529" s="28" t="e">
        <f ca="1">[1]!BexGetData("DP_1","003N8EMH8GTFRIVOG7KG9IX8U","GSON1112110060")</f>
        <v>#NAME?</v>
      </c>
      <c r="O1529" s="28" t="e">
        <f ca="1">[1]!BexGetData("DP_1","003N8EMH8GTFRIVOG7KG9J3KE","GSON1112110060")</f>
        <v>#NAME?</v>
      </c>
      <c r="P1529" s="28" t="e">
        <f ca="1">[1]!BexGetData("DP_1","003N8EMH8GTFRIVOG7KG9J9VY","GSON1112110060")</f>
        <v>#NAME?</v>
      </c>
      <c r="Q1529" s="23" t="e">
        <f ca="1">[1]!BexGetData("DP_1","00O2TNJGODT0G5Z4TTKYMM5MT","GSON1112110060")</f>
        <v>#NAME?</v>
      </c>
      <c r="R1529" s="23" t="e">
        <f ca="1">[1]!BexGetData("DP_1","00O2TNJGODT0G5Z4TTKYMMBYD","GSON1112110060")</f>
        <v>#NAME?</v>
      </c>
      <c r="S1529" s="23" t="e">
        <f ca="1">[1]!BexGetData("DP_1","00O2TNJGODT0G5Z4TTKYMMI9X","GSON1112110060")</f>
        <v>#NAME?</v>
      </c>
      <c r="T1529" s="23" t="e">
        <f ca="1">[1]!BexGetData("DP_1","00O2TNJGODT0G5Z4TTKYMMOLH","GSON1112110060")</f>
        <v>#NAME?</v>
      </c>
      <c r="U1529" s="28" t="e">
        <f ca="1">[1]!BexGetData("DP_1","00O2TNJGODT0G5Z4TTKYMMUX1","GSON1112110060")</f>
        <v>#NAME?</v>
      </c>
      <c r="V1529" s="23" t="e">
        <f ca="1">[1]!BexGetData("DP_1","00O2TNJGODT0G5Z4TTKYMN18L","GSON1112110060")</f>
        <v>#NAME?</v>
      </c>
      <c r="W1529" s="28" t="e">
        <f ca="1">[1]!BexGetData("DP_1","00O2TNJGODT0G5Z4TTKYMN7K5","GSON1112110060")</f>
        <v>#NAME?</v>
      </c>
    </row>
    <row r="1530" spans="1:23" x14ac:dyDescent="0.2">
      <c r="A1530" s="36" t="s">
        <v>4174</v>
      </c>
      <c r="B1530" s="27" t="s">
        <v>4175</v>
      </c>
      <c r="C1530" s="28" t="e">
        <f ca="1">[1]!BexGetData("DP_1","003N8EMH8GTFRCSWKMPXRR8GU","GSON1112110061")</f>
        <v>#NAME?</v>
      </c>
      <c r="D1530" s="28" t="e">
        <f ca="1">[1]!BexGetData("DP_1","003N8EMH8GTFRCSWKMPXRRESE","GSON1112110061")</f>
        <v>#NAME?</v>
      </c>
      <c r="E1530" s="28" t="e">
        <f ca="1">[1]!BexGetData("DP_1","003N8EMH8GTFRCSWKMPXRRL3Y","GSON1112110061")</f>
        <v>#NAME?</v>
      </c>
      <c r="F1530" s="28" t="e">
        <f ca="1">[1]!BexGetData("DP_1","003N8EMH8GTFRCSWKMPXRRRFI","GSON1112110061")</f>
        <v>#NAME?</v>
      </c>
      <c r="G1530" s="23" t="e">
        <f ca="1">[1]!BexGetData("DP_1","003N8EMH8GTFRCSWKMPXRRXR2","GSON1112110061")</f>
        <v>#NAME?</v>
      </c>
      <c r="H1530" s="23" t="e">
        <f ca="1">[1]!BexGetData("DP_1","003N8EMH8GTFRCSWKMPXRS42M","GSON1112110061")</f>
        <v>#NAME?</v>
      </c>
      <c r="I1530" s="28" t="e">
        <f ca="1">[1]!BexGetData("DP_1","003N8EMH8GTFRCSWKMPXRSAE6","GSON1112110061")</f>
        <v>#NAME?</v>
      </c>
      <c r="J1530" s="24" t="e">
        <f ca="1">[1]!BexGetData("DP_1","003N8EMH8GTFRCSWKMPXRSGPQ","GSON1112110061")</f>
        <v>#NAME?</v>
      </c>
      <c r="K1530" s="28" t="e">
        <f ca="1">[1]!BexGetData("DP_1","003N8EMH8GTFRIVNUPY288VJH","GSON1112110061")</f>
        <v>#NAME?</v>
      </c>
      <c r="L1530" s="28" t="e">
        <f ca="1">[1]!BexGetData("DP_1","003N8EMH8GTFRIVNUPY2891V1","GSON1112110061")</f>
        <v>#NAME?</v>
      </c>
      <c r="M1530" s="28" t="e">
        <f ca="1">[1]!BexGetData("DP_1","003N8EMH8GTFRIVOG7KG9IQXA","GSON1112110061")</f>
        <v>#NAME?</v>
      </c>
      <c r="N1530" s="28" t="e">
        <f ca="1">[1]!BexGetData("DP_1","003N8EMH8GTFRIVOG7KG9IX8U","GSON1112110061")</f>
        <v>#NAME?</v>
      </c>
      <c r="O1530" s="28" t="e">
        <f ca="1">[1]!BexGetData("DP_1","003N8EMH8GTFRIVOG7KG9J3KE","GSON1112110061")</f>
        <v>#NAME?</v>
      </c>
      <c r="P1530" s="28" t="e">
        <f ca="1">[1]!BexGetData("DP_1","003N8EMH8GTFRIVOG7KG9J9VY","GSON1112110061")</f>
        <v>#NAME?</v>
      </c>
      <c r="Q1530" s="24" t="e">
        <f ca="1">[1]!BexGetData("DP_1","00O2TNJGODT0G5Z4TTKYMM5MT","GSON1112110061")</f>
        <v>#NAME?</v>
      </c>
      <c r="R1530" s="28" t="e">
        <f ca="1">[1]!BexGetData("DP_1","00O2TNJGODT0G5Z4TTKYMMBYD","GSON1112110061")</f>
        <v>#NAME?</v>
      </c>
      <c r="S1530" s="28" t="e">
        <f ca="1">[1]!BexGetData("DP_1","00O2TNJGODT0G5Z4TTKYMMI9X","GSON1112110061")</f>
        <v>#NAME?</v>
      </c>
      <c r="T1530" s="28" t="e">
        <f ca="1">[1]!BexGetData("DP_1","00O2TNJGODT0G5Z4TTKYMMOLH","GSON1112110061")</f>
        <v>#NAME?</v>
      </c>
      <c r="U1530" s="28" t="e">
        <f ca="1">[1]!BexGetData("DP_1","00O2TNJGODT0G5Z4TTKYMMUX1","GSON1112110061")</f>
        <v>#NAME?</v>
      </c>
      <c r="V1530" s="28" t="e">
        <f ca="1">[1]!BexGetData("DP_1","00O2TNJGODT0G5Z4TTKYMN18L","GSON1112110061")</f>
        <v>#NAME?</v>
      </c>
      <c r="W1530" s="28" t="e">
        <f ca="1">[1]!BexGetData("DP_1","00O2TNJGODT0G5Z4TTKYMN7K5","GSON1112110061")</f>
        <v>#NAME?</v>
      </c>
    </row>
    <row r="1531" spans="1:23" x14ac:dyDescent="0.2">
      <c r="A1531" s="36" t="s">
        <v>4176</v>
      </c>
      <c r="B1531" s="27" t="s">
        <v>1104</v>
      </c>
      <c r="C1531" s="28" t="e">
        <f ca="1">[1]!BexGetData("DP_1","003N8EMH8GTFRCSWKMPXRR8GU","GSON1112110062")</f>
        <v>#NAME?</v>
      </c>
      <c r="D1531" s="28" t="e">
        <f ca="1">[1]!BexGetData("DP_1","003N8EMH8GTFRCSWKMPXRRESE","GSON1112110062")</f>
        <v>#NAME?</v>
      </c>
      <c r="E1531" s="28" t="e">
        <f ca="1">[1]!BexGetData("DP_1","003N8EMH8GTFRCSWKMPXRRL3Y","GSON1112110062")</f>
        <v>#NAME?</v>
      </c>
      <c r="F1531" s="28" t="e">
        <f ca="1">[1]!BexGetData("DP_1","003N8EMH8GTFRCSWKMPXRRRFI","GSON1112110062")</f>
        <v>#NAME?</v>
      </c>
      <c r="G1531" s="23" t="e">
        <f ca="1">[1]!BexGetData("DP_1","003N8EMH8GTFRCSWKMPXRRXR2","GSON1112110062")</f>
        <v>#NAME?</v>
      </c>
      <c r="H1531" s="23" t="e">
        <f ca="1">[1]!BexGetData("DP_1","003N8EMH8GTFRCSWKMPXRS42M","GSON1112110062")</f>
        <v>#NAME?</v>
      </c>
      <c r="I1531" s="28" t="e">
        <f ca="1">[1]!BexGetData("DP_1","003N8EMH8GTFRCSWKMPXRSAE6","GSON1112110062")</f>
        <v>#NAME?</v>
      </c>
      <c r="J1531" s="23" t="e">
        <f ca="1">[1]!BexGetData("DP_1","003N8EMH8GTFRCSWKMPXRSGPQ","GSON1112110062")</f>
        <v>#NAME?</v>
      </c>
      <c r="K1531" s="28" t="e">
        <f ca="1">[1]!BexGetData("DP_1","003N8EMH8GTFRIVNUPY288VJH","GSON1112110062")</f>
        <v>#NAME?</v>
      </c>
      <c r="L1531" s="28" t="e">
        <f ca="1">[1]!BexGetData("DP_1","003N8EMH8GTFRIVNUPY2891V1","GSON1112110062")</f>
        <v>#NAME?</v>
      </c>
      <c r="M1531" s="28" t="e">
        <f ca="1">[1]!BexGetData("DP_1","003N8EMH8GTFRIVOG7KG9IQXA","GSON1112110062")</f>
        <v>#NAME?</v>
      </c>
      <c r="N1531" s="28" t="e">
        <f ca="1">[1]!BexGetData("DP_1","003N8EMH8GTFRIVOG7KG9IX8U","GSON1112110062")</f>
        <v>#NAME?</v>
      </c>
      <c r="O1531" s="28" t="e">
        <f ca="1">[1]!BexGetData("DP_1","003N8EMH8GTFRIVOG7KG9J3KE","GSON1112110062")</f>
        <v>#NAME?</v>
      </c>
      <c r="P1531" s="28" t="e">
        <f ca="1">[1]!BexGetData("DP_1","003N8EMH8GTFRIVOG7KG9J9VY","GSON1112110062")</f>
        <v>#NAME?</v>
      </c>
      <c r="Q1531" s="23" t="e">
        <f ca="1">[1]!BexGetData("DP_1","00O2TNJGODT0G5Z4TTKYMM5MT","GSON1112110062")</f>
        <v>#NAME?</v>
      </c>
      <c r="R1531" s="23" t="e">
        <f ca="1">[1]!BexGetData("DP_1","00O2TNJGODT0G5Z4TTKYMMBYD","GSON1112110062")</f>
        <v>#NAME?</v>
      </c>
      <c r="S1531" s="23" t="e">
        <f ca="1">[1]!BexGetData("DP_1","00O2TNJGODT0G5Z4TTKYMMI9X","GSON1112110062")</f>
        <v>#NAME?</v>
      </c>
      <c r="T1531" s="28" t="e">
        <f ca="1">[1]!BexGetData("DP_1","00O2TNJGODT0G5Z4TTKYMMOLH","GSON1112110062")</f>
        <v>#NAME?</v>
      </c>
      <c r="U1531" s="23" t="e">
        <f ca="1">[1]!BexGetData("DP_1","00O2TNJGODT0G5Z4TTKYMMUX1","GSON1112110062")</f>
        <v>#NAME?</v>
      </c>
      <c r="V1531" s="28" t="e">
        <f ca="1">[1]!BexGetData("DP_1","00O2TNJGODT0G5Z4TTKYMN18L","GSON1112110062")</f>
        <v>#NAME?</v>
      </c>
      <c r="W1531" s="23" t="e">
        <f ca="1">[1]!BexGetData("DP_1","00O2TNJGODT0G5Z4TTKYMN7K5","GSON1112110062")</f>
        <v>#NAME?</v>
      </c>
    </row>
    <row r="1532" spans="1:23" x14ac:dyDescent="0.2">
      <c r="A1532" s="36" t="s">
        <v>4177</v>
      </c>
      <c r="B1532" s="27" t="s">
        <v>1105</v>
      </c>
      <c r="C1532" s="24" t="e">
        <f ca="1">[1]!BexGetData("DP_1","003N8EMH8GTFRCSWKMPXRR8GU","GSON1112110064")</f>
        <v>#NAME?</v>
      </c>
      <c r="D1532" s="24" t="e">
        <f ca="1">[1]!BexGetData("DP_1","003N8EMH8GTFRCSWKMPXRRESE","GSON1112110064")</f>
        <v>#NAME?</v>
      </c>
      <c r="E1532" s="24" t="e">
        <f ca="1">[1]!BexGetData("DP_1","003N8EMH8GTFRCSWKMPXRRL3Y","GSON1112110064")</f>
        <v>#NAME?</v>
      </c>
      <c r="F1532" s="28" t="e">
        <f ca="1">[1]!BexGetData("DP_1","003N8EMH8GTFRCSWKMPXRRRFI","GSON1112110064")</f>
        <v>#NAME?</v>
      </c>
      <c r="G1532" s="23" t="e">
        <f ca="1">[1]!BexGetData("DP_1","003N8EMH8GTFRCSWKMPXRRXR2","GSON1112110064")</f>
        <v>#NAME?</v>
      </c>
      <c r="H1532" s="23" t="e">
        <f ca="1">[1]!BexGetData("DP_1","003N8EMH8GTFRCSWKMPXRS42M","GSON1112110064")</f>
        <v>#NAME?</v>
      </c>
      <c r="I1532" s="28" t="e">
        <f ca="1">[1]!BexGetData("DP_1","003N8EMH8GTFRCSWKMPXRSAE6","GSON1112110064")</f>
        <v>#NAME?</v>
      </c>
      <c r="J1532" s="24" t="e">
        <f ca="1">[1]!BexGetData("DP_1","003N8EMH8GTFRCSWKMPXRSGPQ","GSON1112110064")</f>
        <v>#NAME?</v>
      </c>
      <c r="K1532" s="28" t="e">
        <f ca="1">[1]!BexGetData("DP_1","003N8EMH8GTFRIVNUPY288VJH","GSON1112110064")</f>
        <v>#NAME?</v>
      </c>
      <c r="L1532" s="28" t="e">
        <f ca="1">[1]!BexGetData("DP_1","003N8EMH8GTFRIVNUPY2891V1","GSON1112110064")</f>
        <v>#NAME?</v>
      </c>
      <c r="M1532" s="28" t="e">
        <f ca="1">[1]!BexGetData("DP_1","003N8EMH8GTFRIVOG7KG9IQXA","GSON1112110064")</f>
        <v>#NAME?</v>
      </c>
      <c r="N1532" s="28" t="e">
        <f ca="1">[1]!BexGetData("DP_1","003N8EMH8GTFRIVOG7KG9IX8U","GSON1112110064")</f>
        <v>#NAME?</v>
      </c>
      <c r="O1532" s="28" t="e">
        <f ca="1">[1]!BexGetData("DP_1","003N8EMH8GTFRIVOG7KG9J3KE","GSON1112110064")</f>
        <v>#NAME?</v>
      </c>
      <c r="P1532" s="28" t="e">
        <f ca="1">[1]!BexGetData("DP_1","003N8EMH8GTFRIVOG7KG9J9VY","GSON1112110064")</f>
        <v>#NAME?</v>
      </c>
      <c r="Q1532" s="24" t="e">
        <f ca="1">[1]!BexGetData("DP_1","00O2TNJGODT0G5Z4TTKYMM5MT","GSON1112110064")</f>
        <v>#NAME?</v>
      </c>
      <c r="R1532" s="28" t="e">
        <f ca="1">[1]!BexGetData("DP_1","00O2TNJGODT0G5Z4TTKYMMBYD","GSON1112110064")</f>
        <v>#NAME?</v>
      </c>
      <c r="S1532" s="28" t="e">
        <f ca="1">[1]!BexGetData("DP_1","00O2TNJGODT0G5Z4TTKYMMI9X","GSON1112110064")</f>
        <v>#NAME?</v>
      </c>
      <c r="T1532" s="28" t="e">
        <f ca="1">[1]!BexGetData("DP_1","00O2TNJGODT0G5Z4TTKYMMOLH","GSON1112110064")</f>
        <v>#NAME?</v>
      </c>
      <c r="U1532" s="28" t="e">
        <f ca="1">[1]!BexGetData("DP_1","00O2TNJGODT0G5Z4TTKYMMUX1","GSON1112110064")</f>
        <v>#NAME?</v>
      </c>
      <c r="V1532" s="28" t="e">
        <f ca="1">[1]!BexGetData("DP_1","00O2TNJGODT0G5Z4TTKYMN18L","GSON1112110064")</f>
        <v>#NAME?</v>
      </c>
      <c r="W1532" s="28" t="e">
        <f ca="1">[1]!BexGetData("DP_1","00O2TNJGODT0G5Z4TTKYMN7K5","GSON1112110064")</f>
        <v>#NAME?</v>
      </c>
    </row>
    <row r="1533" spans="1:23" x14ac:dyDescent="0.2">
      <c r="A1533" s="36" t="s">
        <v>4178</v>
      </c>
      <c r="B1533" s="27" t="s">
        <v>4179</v>
      </c>
      <c r="C1533" s="24" t="e">
        <f ca="1">[1]!BexGetData("DP_1","003N8EMH8GTFRCSWKMPXRR8GU","GSON1112110065")</f>
        <v>#NAME?</v>
      </c>
      <c r="D1533" s="24" t="e">
        <f ca="1">[1]!BexGetData("DP_1","003N8EMH8GTFRCSWKMPXRRESE","GSON1112110065")</f>
        <v>#NAME?</v>
      </c>
      <c r="E1533" s="24" t="e">
        <f ca="1">[1]!BexGetData("DP_1","003N8EMH8GTFRCSWKMPXRRL3Y","GSON1112110065")</f>
        <v>#NAME?</v>
      </c>
      <c r="F1533" s="28" t="e">
        <f ca="1">[1]!BexGetData("DP_1","003N8EMH8GTFRCSWKMPXRRRFI","GSON1112110065")</f>
        <v>#NAME?</v>
      </c>
      <c r="G1533" s="23" t="e">
        <f ca="1">[1]!BexGetData("DP_1","003N8EMH8GTFRCSWKMPXRRXR2","GSON1112110065")</f>
        <v>#NAME?</v>
      </c>
      <c r="H1533" s="23" t="e">
        <f ca="1">[1]!BexGetData("DP_1","003N8EMH8GTFRCSWKMPXRS42M","GSON1112110065")</f>
        <v>#NAME?</v>
      </c>
      <c r="I1533" s="28" t="e">
        <f ca="1">[1]!BexGetData("DP_1","003N8EMH8GTFRCSWKMPXRSAE6","GSON1112110065")</f>
        <v>#NAME?</v>
      </c>
      <c r="J1533" s="24" t="e">
        <f ca="1">[1]!BexGetData("DP_1","003N8EMH8GTFRCSWKMPXRSGPQ","GSON1112110065")</f>
        <v>#NAME?</v>
      </c>
      <c r="K1533" s="28" t="e">
        <f ca="1">[1]!BexGetData("DP_1","003N8EMH8GTFRIVNUPY288VJH","GSON1112110065")</f>
        <v>#NAME?</v>
      </c>
      <c r="L1533" s="28" t="e">
        <f ca="1">[1]!BexGetData("DP_1","003N8EMH8GTFRIVNUPY2891V1","GSON1112110065")</f>
        <v>#NAME?</v>
      </c>
      <c r="M1533" s="28" t="e">
        <f ca="1">[1]!BexGetData("DP_1","003N8EMH8GTFRIVOG7KG9IQXA","GSON1112110065")</f>
        <v>#NAME?</v>
      </c>
      <c r="N1533" s="28" t="e">
        <f ca="1">[1]!BexGetData("DP_1","003N8EMH8GTFRIVOG7KG9IX8U","GSON1112110065")</f>
        <v>#NAME?</v>
      </c>
      <c r="O1533" s="28" t="e">
        <f ca="1">[1]!BexGetData("DP_1","003N8EMH8GTFRIVOG7KG9J3KE","GSON1112110065")</f>
        <v>#NAME?</v>
      </c>
      <c r="P1533" s="28" t="e">
        <f ca="1">[1]!BexGetData("DP_1","003N8EMH8GTFRIVOG7KG9J9VY","GSON1112110065")</f>
        <v>#NAME?</v>
      </c>
      <c r="Q1533" s="24" t="e">
        <f ca="1">[1]!BexGetData("DP_1","00O2TNJGODT0G5Z4TTKYMM5MT","GSON1112110065")</f>
        <v>#NAME?</v>
      </c>
      <c r="R1533" s="28" t="e">
        <f ca="1">[1]!BexGetData("DP_1","00O2TNJGODT0G5Z4TTKYMMBYD","GSON1112110065")</f>
        <v>#NAME?</v>
      </c>
      <c r="S1533" s="28" t="e">
        <f ca="1">[1]!BexGetData("DP_1","00O2TNJGODT0G5Z4TTKYMMI9X","GSON1112110065")</f>
        <v>#NAME?</v>
      </c>
      <c r="T1533" s="28" t="e">
        <f ca="1">[1]!BexGetData("DP_1","00O2TNJGODT0G5Z4TTKYMMOLH","GSON1112110065")</f>
        <v>#NAME?</v>
      </c>
      <c r="U1533" s="28" t="e">
        <f ca="1">[1]!BexGetData("DP_1","00O2TNJGODT0G5Z4TTKYMMUX1","GSON1112110065")</f>
        <v>#NAME?</v>
      </c>
      <c r="V1533" s="28" t="e">
        <f ca="1">[1]!BexGetData("DP_1","00O2TNJGODT0G5Z4TTKYMN18L","GSON1112110065")</f>
        <v>#NAME?</v>
      </c>
      <c r="W1533" s="28" t="e">
        <f ca="1">[1]!BexGetData("DP_1","00O2TNJGODT0G5Z4TTKYMN7K5","GSON1112110065")</f>
        <v>#NAME?</v>
      </c>
    </row>
    <row r="1534" spans="1:23" x14ac:dyDescent="0.2">
      <c r="A1534" s="36" t="s">
        <v>4180</v>
      </c>
      <c r="B1534" s="27" t="s">
        <v>1106</v>
      </c>
      <c r="C1534" s="28" t="e">
        <f ca="1">[1]!BexGetData("DP_1","003N8EMH8GTFRCSWKMPXRR8GU","GSON1112110070")</f>
        <v>#NAME?</v>
      </c>
      <c r="D1534" s="28" t="e">
        <f ca="1">[1]!BexGetData("DP_1","003N8EMH8GTFRCSWKMPXRRESE","GSON1112110070")</f>
        <v>#NAME?</v>
      </c>
      <c r="E1534" s="23" t="e">
        <f ca="1">[1]!BexGetData("DP_1","003N8EMH8GTFRCSWKMPXRRL3Y","GSON1112110070")</f>
        <v>#NAME?</v>
      </c>
      <c r="F1534" s="23" t="e">
        <f ca="1">[1]!BexGetData("DP_1","003N8EMH8GTFRCSWKMPXRRRFI","GSON1112110070")</f>
        <v>#NAME?</v>
      </c>
      <c r="G1534" s="23" t="e">
        <f ca="1">[1]!BexGetData("DP_1","003N8EMH8GTFRCSWKMPXRRXR2","GSON1112110070")</f>
        <v>#NAME?</v>
      </c>
      <c r="H1534" s="23" t="e">
        <f ca="1">[1]!BexGetData("DP_1","003N8EMH8GTFRCSWKMPXRS42M","GSON1112110070")</f>
        <v>#NAME?</v>
      </c>
      <c r="I1534" s="23" t="e">
        <f ca="1">[1]!BexGetData("DP_1","003N8EMH8GTFRCSWKMPXRSAE6","GSON1112110070")</f>
        <v>#NAME?</v>
      </c>
      <c r="J1534" s="23" t="e">
        <f ca="1">[1]!BexGetData("DP_1","003N8EMH8GTFRCSWKMPXRSGPQ","GSON1112110070")</f>
        <v>#NAME?</v>
      </c>
      <c r="K1534" s="28" t="e">
        <f ca="1">[1]!BexGetData("DP_1","003N8EMH8GTFRIVNUPY288VJH","GSON1112110070")</f>
        <v>#NAME?</v>
      </c>
      <c r="L1534" s="28" t="e">
        <f ca="1">[1]!BexGetData("DP_1","003N8EMH8GTFRIVNUPY2891V1","GSON1112110070")</f>
        <v>#NAME?</v>
      </c>
      <c r="M1534" s="28" t="e">
        <f ca="1">[1]!BexGetData("DP_1","003N8EMH8GTFRIVOG7KG9IQXA","GSON1112110070")</f>
        <v>#NAME?</v>
      </c>
      <c r="N1534" s="28" t="e">
        <f ca="1">[1]!BexGetData("DP_1","003N8EMH8GTFRIVOG7KG9IX8U","GSON1112110070")</f>
        <v>#NAME?</v>
      </c>
      <c r="O1534" s="28" t="e">
        <f ca="1">[1]!BexGetData("DP_1","003N8EMH8GTFRIVOG7KG9J3KE","GSON1112110070")</f>
        <v>#NAME?</v>
      </c>
      <c r="P1534" s="28" t="e">
        <f ca="1">[1]!BexGetData("DP_1","003N8EMH8GTFRIVOG7KG9J9VY","GSON1112110070")</f>
        <v>#NAME?</v>
      </c>
      <c r="Q1534" s="23" t="e">
        <f ca="1">[1]!BexGetData("DP_1","00O2TNJGODT0G5Z4TTKYMM5MT","GSON1112110070")</f>
        <v>#NAME?</v>
      </c>
      <c r="R1534" s="23" t="e">
        <f ca="1">[1]!BexGetData("DP_1","00O2TNJGODT0G5Z4TTKYMMBYD","GSON1112110070")</f>
        <v>#NAME?</v>
      </c>
      <c r="S1534" s="23" t="e">
        <f ca="1">[1]!BexGetData("DP_1","00O2TNJGODT0G5Z4TTKYMMI9X","GSON1112110070")</f>
        <v>#NAME?</v>
      </c>
      <c r="T1534" s="23" t="e">
        <f ca="1">[1]!BexGetData("DP_1","00O2TNJGODT0G5Z4TTKYMMOLH","GSON1112110070")</f>
        <v>#NAME?</v>
      </c>
      <c r="U1534" s="28" t="e">
        <f ca="1">[1]!BexGetData("DP_1","00O2TNJGODT0G5Z4TTKYMMUX1","GSON1112110070")</f>
        <v>#NAME?</v>
      </c>
      <c r="V1534" s="23" t="e">
        <f ca="1">[1]!BexGetData("DP_1","00O2TNJGODT0G5Z4TTKYMN18L","GSON1112110070")</f>
        <v>#NAME?</v>
      </c>
      <c r="W1534" s="28" t="e">
        <f ca="1">[1]!BexGetData("DP_1","00O2TNJGODT0G5Z4TTKYMN7K5","GSON1112110070")</f>
        <v>#NAME?</v>
      </c>
    </row>
    <row r="1535" spans="1:23" x14ac:dyDescent="0.2">
      <c r="A1535" s="36" t="s">
        <v>4181</v>
      </c>
      <c r="B1535" s="27" t="s">
        <v>4182</v>
      </c>
      <c r="C1535" s="28" t="e">
        <f ca="1">[1]!BexGetData("DP_1","003N8EMH8GTFRCSWKMPXRR8GU","GSON1112110071")</f>
        <v>#NAME?</v>
      </c>
      <c r="D1535" s="28" t="e">
        <f ca="1">[1]!BexGetData("DP_1","003N8EMH8GTFRCSWKMPXRRESE","GSON1112110071")</f>
        <v>#NAME?</v>
      </c>
      <c r="E1535" s="28" t="e">
        <f ca="1">[1]!BexGetData("DP_1","003N8EMH8GTFRCSWKMPXRRL3Y","GSON1112110071")</f>
        <v>#NAME?</v>
      </c>
      <c r="F1535" s="28" t="e">
        <f ca="1">[1]!BexGetData("DP_1","003N8EMH8GTFRCSWKMPXRRRFI","GSON1112110071")</f>
        <v>#NAME?</v>
      </c>
      <c r="G1535" s="23" t="e">
        <f ca="1">[1]!BexGetData("DP_1","003N8EMH8GTFRCSWKMPXRRXR2","GSON1112110071")</f>
        <v>#NAME?</v>
      </c>
      <c r="H1535" s="23" t="e">
        <f ca="1">[1]!BexGetData("DP_1","003N8EMH8GTFRCSWKMPXRS42M","GSON1112110071")</f>
        <v>#NAME?</v>
      </c>
      <c r="I1535" s="28" t="e">
        <f ca="1">[1]!BexGetData("DP_1","003N8EMH8GTFRCSWKMPXRSAE6","GSON1112110071")</f>
        <v>#NAME?</v>
      </c>
      <c r="J1535" s="24" t="e">
        <f ca="1">[1]!BexGetData("DP_1","003N8EMH8GTFRCSWKMPXRSGPQ","GSON1112110071")</f>
        <v>#NAME?</v>
      </c>
      <c r="K1535" s="28" t="e">
        <f ca="1">[1]!BexGetData("DP_1","003N8EMH8GTFRIVNUPY288VJH","GSON1112110071")</f>
        <v>#NAME?</v>
      </c>
      <c r="L1535" s="28" t="e">
        <f ca="1">[1]!BexGetData("DP_1","003N8EMH8GTFRIVNUPY2891V1","GSON1112110071")</f>
        <v>#NAME?</v>
      </c>
      <c r="M1535" s="28" t="e">
        <f ca="1">[1]!BexGetData("DP_1","003N8EMH8GTFRIVOG7KG9IQXA","GSON1112110071")</f>
        <v>#NAME?</v>
      </c>
      <c r="N1535" s="28" t="e">
        <f ca="1">[1]!BexGetData("DP_1","003N8EMH8GTFRIVOG7KG9IX8U","GSON1112110071")</f>
        <v>#NAME?</v>
      </c>
      <c r="O1535" s="28" t="e">
        <f ca="1">[1]!BexGetData("DP_1","003N8EMH8GTFRIVOG7KG9J3KE","GSON1112110071")</f>
        <v>#NAME?</v>
      </c>
      <c r="P1535" s="28" t="e">
        <f ca="1">[1]!BexGetData("DP_1","003N8EMH8GTFRIVOG7KG9J9VY","GSON1112110071")</f>
        <v>#NAME?</v>
      </c>
      <c r="Q1535" s="24" t="e">
        <f ca="1">[1]!BexGetData("DP_1","00O2TNJGODT0G5Z4TTKYMM5MT","GSON1112110071")</f>
        <v>#NAME?</v>
      </c>
      <c r="R1535" s="28" t="e">
        <f ca="1">[1]!BexGetData("DP_1","00O2TNJGODT0G5Z4TTKYMMBYD","GSON1112110071")</f>
        <v>#NAME?</v>
      </c>
      <c r="S1535" s="28" t="e">
        <f ca="1">[1]!BexGetData("DP_1","00O2TNJGODT0G5Z4TTKYMMI9X","GSON1112110071")</f>
        <v>#NAME?</v>
      </c>
      <c r="T1535" s="28" t="e">
        <f ca="1">[1]!BexGetData("DP_1","00O2TNJGODT0G5Z4TTKYMMOLH","GSON1112110071")</f>
        <v>#NAME?</v>
      </c>
      <c r="U1535" s="28" t="e">
        <f ca="1">[1]!BexGetData("DP_1","00O2TNJGODT0G5Z4TTKYMMUX1","GSON1112110071")</f>
        <v>#NAME?</v>
      </c>
      <c r="V1535" s="28" t="e">
        <f ca="1">[1]!BexGetData("DP_1","00O2TNJGODT0G5Z4TTKYMN18L","GSON1112110071")</f>
        <v>#NAME?</v>
      </c>
      <c r="W1535" s="28" t="e">
        <f ca="1">[1]!BexGetData("DP_1","00O2TNJGODT0G5Z4TTKYMN7K5","GSON1112110071")</f>
        <v>#NAME?</v>
      </c>
    </row>
    <row r="1536" spans="1:23" x14ac:dyDescent="0.2">
      <c r="A1536" s="36" t="s">
        <v>4183</v>
      </c>
      <c r="B1536" s="27" t="s">
        <v>1107</v>
      </c>
      <c r="C1536" s="24" t="e">
        <f ca="1">[1]!BexGetData("DP_1","003N8EMH8GTFRCSWKMPXRR8GU","GSON1112110074")</f>
        <v>#NAME?</v>
      </c>
      <c r="D1536" s="24" t="e">
        <f ca="1">[1]!BexGetData("DP_1","003N8EMH8GTFRCSWKMPXRRESE","GSON1112110074")</f>
        <v>#NAME?</v>
      </c>
      <c r="E1536" s="24" t="e">
        <f ca="1">[1]!BexGetData("DP_1","003N8EMH8GTFRCSWKMPXRRL3Y","GSON1112110074")</f>
        <v>#NAME?</v>
      </c>
      <c r="F1536" s="28" t="e">
        <f ca="1">[1]!BexGetData("DP_1","003N8EMH8GTFRCSWKMPXRRRFI","GSON1112110074")</f>
        <v>#NAME?</v>
      </c>
      <c r="G1536" s="23" t="e">
        <f ca="1">[1]!BexGetData("DP_1","003N8EMH8GTFRCSWKMPXRRXR2","GSON1112110074")</f>
        <v>#NAME?</v>
      </c>
      <c r="H1536" s="23" t="e">
        <f ca="1">[1]!BexGetData("DP_1","003N8EMH8GTFRCSWKMPXRS42M","GSON1112110074")</f>
        <v>#NAME?</v>
      </c>
      <c r="I1536" s="28" t="e">
        <f ca="1">[1]!BexGetData("DP_1","003N8EMH8GTFRCSWKMPXRSAE6","GSON1112110074")</f>
        <v>#NAME?</v>
      </c>
      <c r="J1536" s="24" t="e">
        <f ca="1">[1]!BexGetData("DP_1","003N8EMH8GTFRCSWKMPXRSGPQ","GSON1112110074")</f>
        <v>#NAME?</v>
      </c>
      <c r="K1536" s="28" t="e">
        <f ca="1">[1]!BexGetData("DP_1","003N8EMH8GTFRIVNUPY288VJH","GSON1112110074")</f>
        <v>#NAME?</v>
      </c>
      <c r="L1536" s="28" t="e">
        <f ca="1">[1]!BexGetData("DP_1","003N8EMH8GTFRIVNUPY2891V1","GSON1112110074")</f>
        <v>#NAME?</v>
      </c>
      <c r="M1536" s="28" t="e">
        <f ca="1">[1]!BexGetData("DP_1","003N8EMH8GTFRIVOG7KG9IQXA","GSON1112110074")</f>
        <v>#NAME?</v>
      </c>
      <c r="N1536" s="28" t="e">
        <f ca="1">[1]!BexGetData("DP_1","003N8EMH8GTFRIVOG7KG9IX8U","GSON1112110074")</f>
        <v>#NAME?</v>
      </c>
      <c r="O1536" s="28" t="e">
        <f ca="1">[1]!BexGetData("DP_1","003N8EMH8GTFRIVOG7KG9J3KE","GSON1112110074")</f>
        <v>#NAME?</v>
      </c>
      <c r="P1536" s="28" t="e">
        <f ca="1">[1]!BexGetData("DP_1","003N8EMH8GTFRIVOG7KG9J9VY","GSON1112110074")</f>
        <v>#NAME?</v>
      </c>
      <c r="Q1536" s="24" t="e">
        <f ca="1">[1]!BexGetData("DP_1","00O2TNJGODT0G5Z4TTKYMM5MT","GSON1112110074")</f>
        <v>#NAME?</v>
      </c>
      <c r="R1536" s="28" t="e">
        <f ca="1">[1]!BexGetData("DP_1","00O2TNJGODT0G5Z4TTKYMMBYD","GSON1112110074")</f>
        <v>#NAME?</v>
      </c>
      <c r="S1536" s="28" t="e">
        <f ca="1">[1]!BexGetData("DP_1","00O2TNJGODT0G5Z4TTKYMMI9X","GSON1112110074")</f>
        <v>#NAME?</v>
      </c>
      <c r="T1536" s="28" t="e">
        <f ca="1">[1]!BexGetData("DP_1","00O2TNJGODT0G5Z4TTKYMMOLH","GSON1112110074")</f>
        <v>#NAME?</v>
      </c>
      <c r="U1536" s="28" t="e">
        <f ca="1">[1]!BexGetData("DP_1","00O2TNJGODT0G5Z4TTKYMMUX1","GSON1112110074")</f>
        <v>#NAME?</v>
      </c>
      <c r="V1536" s="28" t="e">
        <f ca="1">[1]!BexGetData("DP_1","00O2TNJGODT0G5Z4TTKYMN18L","GSON1112110074")</f>
        <v>#NAME?</v>
      </c>
      <c r="W1536" s="28" t="e">
        <f ca="1">[1]!BexGetData("DP_1","00O2TNJGODT0G5Z4TTKYMN7K5","GSON1112110074")</f>
        <v>#NAME?</v>
      </c>
    </row>
    <row r="1537" spans="1:23" x14ac:dyDescent="0.2">
      <c r="A1537" s="36" t="s">
        <v>4184</v>
      </c>
      <c r="B1537" s="27" t="s">
        <v>1108</v>
      </c>
      <c r="C1537" s="28" t="e">
        <f ca="1">[1]!BexGetData("DP_1","003N8EMH8GTFRCSWKMPXRR8GU","GSON1112110080")</f>
        <v>#NAME?</v>
      </c>
      <c r="D1537" s="28" t="e">
        <f ca="1">[1]!BexGetData("DP_1","003N8EMH8GTFRCSWKMPXRRESE","GSON1112110080")</f>
        <v>#NAME?</v>
      </c>
      <c r="E1537" s="23" t="e">
        <f ca="1">[1]!BexGetData("DP_1","003N8EMH8GTFRCSWKMPXRRL3Y","GSON1112110080")</f>
        <v>#NAME?</v>
      </c>
      <c r="F1537" s="23" t="e">
        <f ca="1">[1]!BexGetData("DP_1","003N8EMH8GTFRCSWKMPXRRRFI","GSON1112110080")</f>
        <v>#NAME?</v>
      </c>
      <c r="G1537" s="23" t="e">
        <f ca="1">[1]!BexGetData("DP_1","003N8EMH8GTFRCSWKMPXRRXR2","GSON1112110080")</f>
        <v>#NAME?</v>
      </c>
      <c r="H1537" s="23" t="e">
        <f ca="1">[1]!BexGetData("DP_1","003N8EMH8GTFRCSWKMPXRS42M","GSON1112110080")</f>
        <v>#NAME?</v>
      </c>
      <c r="I1537" s="23" t="e">
        <f ca="1">[1]!BexGetData("DP_1","003N8EMH8GTFRCSWKMPXRSAE6","GSON1112110080")</f>
        <v>#NAME?</v>
      </c>
      <c r="J1537" s="23" t="e">
        <f ca="1">[1]!BexGetData("DP_1","003N8EMH8GTFRCSWKMPXRSGPQ","GSON1112110080")</f>
        <v>#NAME?</v>
      </c>
      <c r="K1537" s="28" t="e">
        <f ca="1">[1]!BexGetData("DP_1","003N8EMH8GTFRIVNUPY288VJH","GSON1112110080")</f>
        <v>#NAME?</v>
      </c>
      <c r="L1537" s="28" t="e">
        <f ca="1">[1]!BexGetData("DP_1","003N8EMH8GTFRIVNUPY2891V1","GSON1112110080")</f>
        <v>#NAME?</v>
      </c>
      <c r="M1537" s="28" t="e">
        <f ca="1">[1]!BexGetData("DP_1","003N8EMH8GTFRIVOG7KG9IQXA","GSON1112110080")</f>
        <v>#NAME?</v>
      </c>
      <c r="N1537" s="28" t="e">
        <f ca="1">[1]!BexGetData("DP_1","003N8EMH8GTFRIVOG7KG9IX8U","GSON1112110080")</f>
        <v>#NAME?</v>
      </c>
      <c r="O1537" s="28" t="e">
        <f ca="1">[1]!BexGetData("DP_1","003N8EMH8GTFRIVOG7KG9J3KE","GSON1112110080")</f>
        <v>#NAME?</v>
      </c>
      <c r="P1537" s="28" t="e">
        <f ca="1">[1]!BexGetData("DP_1","003N8EMH8GTFRIVOG7KG9J9VY","GSON1112110080")</f>
        <v>#NAME?</v>
      </c>
      <c r="Q1537" s="23" t="e">
        <f ca="1">[1]!BexGetData("DP_1","00O2TNJGODT0G5Z4TTKYMM5MT","GSON1112110080")</f>
        <v>#NAME?</v>
      </c>
      <c r="R1537" s="23" t="e">
        <f ca="1">[1]!BexGetData("DP_1","00O2TNJGODT0G5Z4TTKYMMBYD","GSON1112110080")</f>
        <v>#NAME?</v>
      </c>
      <c r="S1537" s="23" t="e">
        <f ca="1">[1]!BexGetData("DP_1","00O2TNJGODT0G5Z4TTKYMMI9X","GSON1112110080")</f>
        <v>#NAME?</v>
      </c>
      <c r="T1537" s="23" t="e">
        <f ca="1">[1]!BexGetData("DP_1","00O2TNJGODT0G5Z4TTKYMMOLH","GSON1112110080")</f>
        <v>#NAME?</v>
      </c>
      <c r="U1537" s="28" t="e">
        <f ca="1">[1]!BexGetData("DP_1","00O2TNJGODT0G5Z4TTKYMMUX1","GSON1112110080")</f>
        <v>#NAME?</v>
      </c>
      <c r="V1537" s="23" t="e">
        <f ca="1">[1]!BexGetData("DP_1","00O2TNJGODT0G5Z4TTKYMN18L","GSON1112110080")</f>
        <v>#NAME?</v>
      </c>
      <c r="W1537" s="28" t="e">
        <f ca="1">[1]!BexGetData("DP_1","00O2TNJGODT0G5Z4TTKYMN7K5","GSON1112110080")</f>
        <v>#NAME?</v>
      </c>
    </row>
    <row r="1538" spans="1:23" x14ac:dyDescent="0.2">
      <c r="A1538" s="36" t="s">
        <v>4185</v>
      </c>
      <c r="B1538" s="27" t="s">
        <v>4186</v>
      </c>
      <c r="C1538" s="28" t="e">
        <f ca="1">[1]!BexGetData("DP_1","003N8EMH8GTFRCSWKMPXRR8GU","GSON1112110081")</f>
        <v>#NAME?</v>
      </c>
      <c r="D1538" s="28" t="e">
        <f ca="1">[1]!BexGetData("DP_1","003N8EMH8GTFRCSWKMPXRRESE","GSON1112110081")</f>
        <v>#NAME?</v>
      </c>
      <c r="E1538" s="28" t="e">
        <f ca="1">[1]!BexGetData("DP_1","003N8EMH8GTFRCSWKMPXRRL3Y","GSON1112110081")</f>
        <v>#NAME?</v>
      </c>
      <c r="F1538" s="28" t="e">
        <f ca="1">[1]!BexGetData("DP_1","003N8EMH8GTFRCSWKMPXRRRFI","GSON1112110081")</f>
        <v>#NAME?</v>
      </c>
      <c r="G1538" s="23" t="e">
        <f ca="1">[1]!BexGetData("DP_1","003N8EMH8GTFRCSWKMPXRRXR2","GSON1112110081")</f>
        <v>#NAME?</v>
      </c>
      <c r="H1538" s="23" t="e">
        <f ca="1">[1]!BexGetData("DP_1","003N8EMH8GTFRCSWKMPXRS42M","GSON1112110081")</f>
        <v>#NAME?</v>
      </c>
      <c r="I1538" s="28" t="e">
        <f ca="1">[1]!BexGetData("DP_1","003N8EMH8GTFRCSWKMPXRSAE6","GSON1112110081")</f>
        <v>#NAME?</v>
      </c>
      <c r="J1538" s="24" t="e">
        <f ca="1">[1]!BexGetData("DP_1","003N8EMH8GTFRCSWKMPXRSGPQ","GSON1112110081")</f>
        <v>#NAME?</v>
      </c>
      <c r="K1538" s="28" t="e">
        <f ca="1">[1]!BexGetData("DP_1","003N8EMH8GTFRIVNUPY288VJH","GSON1112110081")</f>
        <v>#NAME?</v>
      </c>
      <c r="L1538" s="28" t="e">
        <f ca="1">[1]!BexGetData("DP_1","003N8EMH8GTFRIVNUPY2891V1","GSON1112110081")</f>
        <v>#NAME?</v>
      </c>
      <c r="M1538" s="28" t="e">
        <f ca="1">[1]!BexGetData("DP_1","003N8EMH8GTFRIVOG7KG9IQXA","GSON1112110081")</f>
        <v>#NAME?</v>
      </c>
      <c r="N1538" s="28" t="e">
        <f ca="1">[1]!BexGetData("DP_1","003N8EMH8GTFRIVOG7KG9IX8U","GSON1112110081")</f>
        <v>#NAME?</v>
      </c>
      <c r="O1538" s="28" t="e">
        <f ca="1">[1]!BexGetData("DP_1","003N8EMH8GTFRIVOG7KG9J3KE","GSON1112110081")</f>
        <v>#NAME?</v>
      </c>
      <c r="P1538" s="28" t="e">
        <f ca="1">[1]!BexGetData("DP_1","003N8EMH8GTFRIVOG7KG9J9VY","GSON1112110081")</f>
        <v>#NAME?</v>
      </c>
      <c r="Q1538" s="24" t="e">
        <f ca="1">[1]!BexGetData("DP_1","00O2TNJGODT0G5Z4TTKYMM5MT","GSON1112110081")</f>
        <v>#NAME?</v>
      </c>
      <c r="R1538" s="28" t="e">
        <f ca="1">[1]!BexGetData("DP_1","00O2TNJGODT0G5Z4TTKYMMBYD","GSON1112110081")</f>
        <v>#NAME?</v>
      </c>
      <c r="S1538" s="28" t="e">
        <f ca="1">[1]!BexGetData("DP_1","00O2TNJGODT0G5Z4TTKYMMI9X","GSON1112110081")</f>
        <v>#NAME?</v>
      </c>
      <c r="T1538" s="28" t="e">
        <f ca="1">[1]!BexGetData("DP_1","00O2TNJGODT0G5Z4TTKYMMOLH","GSON1112110081")</f>
        <v>#NAME?</v>
      </c>
      <c r="U1538" s="28" t="e">
        <f ca="1">[1]!BexGetData("DP_1","00O2TNJGODT0G5Z4TTKYMMUX1","GSON1112110081")</f>
        <v>#NAME?</v>
      </c>
      <c r="V1538" s="28" t="e">
        <f ca="1">[1]!BexGetData("DP_1","00O2TNJGODT0G5Z4TTKYMN18L","GSON1112110081")</f>
        <v>#NAME?</v>
      </c>
      <c r="W1538" s="28" t="e">
        <f ca="1">[1]!BexGetData("DP_1","00O2TNJGODT0G5Z4TTKYMN7K5","GSON1112110081")</f>
        <v>#NAME?</v>
      </c>
    </row>
    <row r="1539" spans="1:23" x14ac:dyDescent="0.2">
      <c r="A1539" s="36" t="s">
        <v>4187</v>
      </c>
      <c r="B1539" s="27" t="s">
        <v>4188</v>
      </c>
      <c r="C1539" s="24" t="e">
        <f ca="1">[1]!BexGetData("DP_1","003N8EMH8GTFRCSWKMPXRR8GU","GSON1112110083")</f>
        <v>#NAME?</v>
      </c>
      <c r="D1539" s="24" t="e">
        <f ca="1">[1]!BexGetData("DP_1","003N8EMH8GTFRCSWKMPXRRESE","GSON1112110083")</f>
        <v>#NAME?</v>
      </c>
      <c r="E1539" s="24" t="e">
        <f ca="1">[1]!BexGetData("DP_1","003N8EMH8GTFRCSWKMPXRRL3Y","GSON1112110083")</f>
        <v>#NAME?</v>
      </c>
      <c r="F1539" s="28" t="e">
        <f ca="1">[1]!BexGetData("DP_1","003N8EMH8GTFRCSWKMPXRRRFI","GSON1112110083")</f>
        <v>#NAME?</v>
      </c>
      <c r="G1539" s="23" t="e">
        <f ca="1">[1]!BexGetData("DP_1","003N8EMH8GTFRCSWKMPXRRXR2","GSON1112110083")</f>
        <v>#NAME?</v>
      </c>
      <c r="H1539" s="23" t="e">
        <f ca="1">[1]!BexGetData("DP_1","003N8EMH8GTFRCSWKMPXRS42M","GSON1112110083")</f>
        <v>#NAME?</v>
      </c>
      <c r="I1539" s="28" t="e">
        <f ca="1">[1]!BexGetData("DP_1","003N8EMH8GTFRCSWKMPXRSAE6","GSON1112110083")</f>
        <v>#NAME?</v>
      </c>
      <c r="J1539" s="24" t="e">
        <f ca="1">[1]!BexGetData("DP_1","003N8EMH8GTFRCSWKMPXRSGPQ","GSON1112110083")</f>
        <v>#NAME?</v>
      </c>
      <c r="K1539" s="28" t="e">
        <f ca="1">[1]!BexGetData("DP_1","003N8EMH8GTFRIVNUPY288VJH","GSON1112110083")</f>
        <v>#NAME?</v>
      </c>
      <c r="L1539" s="28" t="e">
        <f ca="1">[1]!BexGetData("DP_1","003N8EMH8GTFRIVNUPY2891V1","GSON1112110083")</f>
        <v>#NAME?</v>
      </c>
      <c r="M1539" s="28" t="e">
        <f ca="1">[1]!BexGetData("DP_1","003N8EMH8GTFRIVOG7KG9IQXA","GSON1112110083")</f>
        <v>#NAME?</v>
      </c>
      <c r="N1539" s="28" t="e">
        <f ca="1">[1]!BexGetData("DP_1","003N8EMH8GTFRIVOG7KG9IX8U","GSON1112110083")</f>
        <v>#NAME?</v>
      </c>
      <c r="O1539" s="28" t="e">
        <f ca="1">[1]!BexGetData("DP_1","003N8EMH8GTFRIVOG7KG9J3KE","GSON1112110083")</f>
        <v>#NAME?</v>
      </c>
      <c r="P1539" s="28" t="e">
        <f ca="1">[1]!BexGetData("DP_1","003N8EMH8GTFRIVOG7KG9J9VY","GSON1112110083")</f>
        <v>#NAME?</v>
      </c>
      <c r="Q1539" s="24" t="e">
        <f ca="1">[1]!BexGetData("DP_1","00O2TNJGODT0G5Z4TTKYMM5MT","GSON1112110083")</f>
        <v>#NAME?</v>
      </c>
      <c r="R1539" s="28" t="e">
        <f ca="1">[1]!BexGetData("DP_1","00O2TNJGODT0G5Z4TTKYMMBYD","GSON1112110083")</f>
        <v>#NAME?</v>
      </c>
      <c r="S1539" s="28" t="e">
        <f ca="1">[1]!BexGetData("DP_1","00O2TNJGODT0G5Z4TTKYMMI9X","GSON1112110083")</f>
        <v>#NAME?</v>
      </c>
      <c r="T1539" s="28" t="e">
        <f ca="1">[1]!BexGetData("DP_1","00O2TNJGODT0G5Z4TTKYMMOLH","GSON1112110083")</f>
        <v>#NAME?</v>
      </c>
      <c r="U1539" s="28" t="e">
        <f ca="1">[1]!BexGetData("DP_1","00O2TNJGODT0G5Z4TTKYMMUX1","GSON1112110083")</f>
        <v>#NAME?</v>
      </c>
      <c r="V1539" s="28" t="e">
        <f ca="1">[1]!BexGetData("DP_1","00O2TNJGODT0G5Z4TTKYMN18L","GSON1112110083")</f>
        <v>#NAME?</v>
      </c>
      <c r="W1539" s="28" t="e">
        <f ca="1">[1]!BexGetData("DP_1","00O2TNJGODT0G5Z4TTKYMN7K5","GSON1112110083")</f>
        <v>#NAME?</v>
      </c>
    </row>
    <row r="1540" spans="1:23" x14ac:dyDescent="0.2">
      <c r="A1540" s="36" t="s">
        <v>4189</v>
      </c>
      <c r="B1540" s="27" t="s">
        <v>1109</v>
      </c>
      <c r="C1540" s="24" t="e">
        <f ca="1">[1]!BexGetData("DP_1","003N8EMH8GTFRCSWKMPXRR8GU","GSON1112110084")</f>
        <v>#NAME?</v>
      </c>
      <c r="D1540" s="24" t="e">
        <f ca="1">[1]!BexGetData("DP_1","003N8EMH8GTFRCSWKMPXRRESE","GSON1112110084")</f>
        <v>#NAME?</v>
      </c>
      <c r="E1540" s="24" t="e">
        <f ca="1">[1]!BexGetData("DP_1","003N8EMH8GTFRCSWKMPXRRL3Y","GSON1112110084")</f>
        <v>#NAME?</v>
      </c>
      <c r="F1540" s="28" t="e">
        <f ca="1">[1]!BexGetData("DP_1","003N8EMH8GTFRCSWKMPXRRRFI","GSON1112110084")</f>
        <v>#NAME?</v>
      </c>
      <c r="G1540" s="23" t="e">
        <f ca="1">[1]!BexGetData("DP_1","003N8EMH8GTFRCSWKMPXRRXR2","GSON1112110084")</f>
        <v>#NAME?</v>
      </c>
      <c r="H1540" s="23" t="e">
        <f ca="1">[1]!BexGetData("DP_1","003N8EMH8GTFRCSWKMPXRS42M","GSON1112110084")</f>
        <v>#NAME?</v>
      </c>
      <c r="I1540" s="28" t="e">
        <f ca="1">[1]!BexGetData("DP_1","003N8EMH8GTFRCSWKMPXRSAE6","GSON1112110084")</f>
        <v>#NAME?</v>
      </c>
      <c r="J1540" s="24" t="e">
        <f ca="1">[1]!BexGetData("DP_1","003N8EMH8GTFRCSWKMPXRSGPQ","GSON1112110084")</f>
        <v>#NAME?</v>
      </c>
      <c r="K1540" s="28" t="e">
        <f ca="1">[1]!BexGetData("DP_1","003N8EMH8GTFRIVNUPY288VJH","GSON1112110084")</f>
        <v>#NAME?</v>
      </c>
      <c r="L1540" s="28" t="e">
        <f ca="1">[1]!BexGetData("DP_1","003N8EMH8GTFRIVNUPY2891V1","GSON1112110084")</f>
        <v>#NAME?</v>
      </c>
      <c r="M1540" s="28" t="e">
        <f ca="1">[1]!BexGetData("DP_1","003N8EMH8GTFRIVOG7KG9IQXA","GSON1112110084")</f>
        <v>#NAME?</v>
      </c>
      <c r="N1540" s="28" t="e">
        <f ca="1">[1]!BexGetData("DP_1","003N8EMH8GTFRIVOG7KG9IX8U","GSON1112110084")</f>
        <v>#NAME?</v>
      </c>
      <c r="O1540" s="28" t="e">
        <f ca="1">[1]!BexGetData("DP_1","003N8EMH8GTFRIVOG7KG9J3KE","GSON1112110084")</f>
        <v>#NAME?</v>
      </c>
      <c r="P1540" s="28" t="e">
        <f ca="1">[1]!BexGetData("DP_1","003N8EMH8GTFRIVOG7KG9J9VY","GSON1112110084")</f>
        <v>#NAME?</v>
      </c>
      <c r="Q1540" s="24" t="e">
        <f ca="1">[1]!BexGetData("DP_1","00O2TNJGODT0G5Z4TTKYMM5MT","GSON1112110084")</f>
        <v>#NAME?</v>
      </c>
      <c r="R1540" s="28" t="e">
        <f ca="1">[1]!BexGetData("DP_1","00O2TNJGODT0G5Z4TTKYMMBYD","GSON1112110084")</f>
        <v>#NAME?</v>
      </c>
      <c r="S1540" s="28" t="e">
        <f ca="1">[1]!BexGetData("DP_1","00O2TNJGODT0G5Z4TTKYMMI9X","GSON1112110084")</f>
        <v>#NAME?</v>
      </c>
      <c r="T1540" s="28" t="e">
        <f ca="1">[1]!BexGetData("DP_1","00O2TNJGODT0G5Z4TTKYMMOLH","GSON1112110084")</f>
        <v>#NAME?</v>
      </c>
      <c r="U1540" s="28" t="e">
        <f ca="1">[1]!BexGetData("DP_1","00O2TNJGODT0G5Z4TTKYMMUX1","GSON1112110084")</f>
        <v>#NAME?</v>
      </c>
      <c r="V1540" s="28" t="e">
        <f ca="1">[1]!BexGetData("DP_1","00O2TNJGODT0G5Z4TTKYMN18L","GSON1112110084")</f>
        <v>#NAME?</v>
      </c>
      <c r="W1540" s="28" t="e">
        <f ca="1">[1]!BexGetData("DP_1","00O2TNJGODT0G5Z4TTKYMN7K5","GSON1112110084")</f>
        <v>#NAME?</v>
      </c>
    </row>
    <row r="1541" spans="1:23" x14ac:dyDescent="0.2">
      <c r="A1541" s="36" t="s">
        <v>4190</v>
      </c>
      <c r="B1541" s="27" t="s">
        <v>4191</v>
      </c>
      <c r="C1541" s="24" t="e">
        <f ca="1">[1]!BexGetData("DP_1","003N8EMH8GTFRCSWKMPXRR8GU","GSON1112110085")</f>
        <v>#NAME?</v>
      </c>
      <c r="D1541" s="24" t="e">
        <f ca="1">[1]!BexGetData("DP_1","003N8EMH8GTFRCSWKMPXRRESE","GSON1112110085")</f>
        <v>#NAME?</v>
      </c>
      <c r="E1541" s="24" t="e">
        <f ca="1">[1]!BexGetData("DP_1","003N8EMH8GTFRCSWKMPXRRL3Y","GSON1112110085")</f>
        <v>#NAME?</v>
      </c>
      <c r="F1541" s="28" t="e">
        <f ca="1">[1]!BexGetData("DP_1","003N8EMH8GTFRCSWKMPXRRRFI","GSON1112110085")</f>
        <v>#NAME?</v>
      </c>
      <c r="G1541" s="23" t="e">
        <f ca="1">[1]!BexGetData("DP_1","003N8EMH8GTFRCSWKMPXRRXR2","GSON1112110085")</f>
        <v>#NAME?</v>
      </c>
      <c r="H1541" s="23" t="e">
        <f ca="1">[1]!BexGetData("DP_1","003N8EMH8GTFRCSWKMPXRS42M","GSON1112110085")</f>
        <v>#NAME?</v>
      </c>
      <c r="I1541" s="28" t="e">
        <f ca="1">[1]!BexGetData("DP_1","003N8EMH8GTFRCSWKMPXRSAE6","GSON1112110085")</f>
        <v>#NAME?</v>
      </c>
      <c r="J1541" s="24" t="e">
        <f ca="1">[1]!BexGetData("DP_1","003N8EMH8GTFRCSWKMPXRSGPQ","GSON1112110085")</f>
        <v>#NAME?</v>
      </c>
      <c r="K1541" s="28" t="e">
        <f ca="1">[1]!BexGetData("DP_1","003N8EMH8GTFRIVNUPY288VJH","GSON1112110085")</f>
        <v>#NAME?</v>
      </c>
      <c r="L1541" s="28" t="e">
        <f ca="1">[1]!BexGetData("DP_1","003N8EMH8GTFRIVNUPY2891V1","GSON1112110085")</f>
        <v>#NAME?</v>
      </c>
      <c r="M1541" s="28" t="e">
        <f ca="1">[1]!BexGetData("DP_1","003N8EMH8GTFRIVOG7KG9IQXA","GSON1112110085")</f>
        <v>#NAME?</v>
      </c>
      <c r="N1541" s="28" t="e">
        <f ca="1">[1]!BexGetData("DP_1","003N8EMH8GTFRIVOG7KG9IX8U","GSON1112110085")</f>
        <v>#NAME?</v>
      </c>
      <c r="O1541" s="28" t="e">
        <f ca="1">[1]!BexGetData("DP_1","003N8EMH8GTFRIVOG7KG9J3KE","GSON1112110085")</f>
        <v>#NAME?</v>
      </c>
      <c r="P1541" s="28" t="e">
        <f ca="1">[1]!BexGetData("DP_1","003N8EMH8GTFRIVOG7KG9J9VY","GSON1112110085")</f>
        <v>#NAME?</v>
      </c>
      <c r="Q1541" s="24" t="e">
        <f ca="1">[1]!BexGetData("DP_1","00O2TNJGODT0G5Z4TTKYMM5MT","GSON1112110085")</f>
        <v>#NAME?</v>
      </c>
      <c r="R1541" s="28" t="e">
        <f ca="1">[1]!BexGetData("DP_1","00O2TNJGODT0G5Z4TTKYMMBYD","GSON1112110085")</f>
        <v>#NAME?</v>
      </c>
      <c r="S1541" s="28" t="e">
        <f ca="1">[1]!BexGetData("DP_1","00O2TNJGODT0G5Z4TTKYMMI9X","GSON1112110085")</f>
        <v>#NAME?</v>
      </c>
      <c r="T1541" s="28" t="e">
        <f ca="1">[1]!BexGetData("DP_1","00O2TNJGODT0G5Z4TTKYMMOLH","GSON1112110085")</f>
        <v>#NAME?</v>
      </c>
      <c r="U1541" s="28" t="e">
        <f ca="1">[1]!BexGetData("DP_1","00O2TNJGODT0G5Z4TTKYMMUX1","GSON1112110085")</f>
        <v>#NAME?</v>
      </c>
      <c r="V1541" s="28" t="e">
        <f ca="1">[1]!BexGetData("DP_1","00O2TNJGODT0G5Z4TTKYMN18L","GSON1112110085")</f>
        <v>#NAME?</v>
      </c>
      <c r="W1541" s="28" t="e">
        <f ca="1">[1]!BexGetData("DP_1","00O2TNJGODT0G5Z4TTKYMN7K5","GSON1112110085")</f>
        <v>#NAME?</v>
      </c>
    </row>
    <row r="1542" spans="1:23" x14ac:dyDescent="0.2">
      <c r="A1542" s="36" t="s">
        <v>4192</v>
      </c>
      <c r="B1542" s="27" t="s">
        <v>1110</v>
      </c>
      <c r="C1542" s="28" t="e">
        <f ca="1">[1]!BexGetData("DP_1","003N8EMH8GTFRCSWKMPXRR8GU","GSON1112110090")</f>
        <v>#NAME?</v>
      </c>
      <c r="D1542" s="28" t="e">
        <f ca="1">[1]!BexGetData("DP_1","003N8EMH8GTFRCSWKMPXRRESE","GSON1112110090")</f>
        <v>#NAME?</v>
      </c>
      <c r="E1542" s="28" t="e">
        <f ca="1">[1]!BexGetData("DP_1","003N8EMH8GTFRCSWKMPXRRL3Y","GSON1112110090")</f>
        <v>#NAME?</v>
      </c>
      <c r="F1542" s="28" t="e">
        <f ca="1">[1]!BexGetData("DP_1","003N8EMH8GTFRCSWKMPXRRRFI","GSON1112110090")</f>
        <v>#NAME?</v>
      </c>
      <c r="G1542" s="23" t="e">
        <f ca="1">[1]!BexGetData("DP_1","003N8EMH8GTFRCSWKMPXRRXR2","GSON1112110090")</f>
        <v>#NAME?</v>
      </c>
      <c r="H1542" s="23" t="e">
        <f ca="1">[1]!BexGetData("DP_1","003N8EMH8GTFRCSWKMPXRS42M","GSON1112110090")</f>
        <v>#NAME?</v>
      </c>
      <c r="I1542" s="28" t="e">
        <f ca="1">[1]!BexGetData("DP_1","003N8EMH8GTFRCSWKMPXRSAE6","GSON1112110090")</f>
        <v>#NAME?</v>
      </c>
      <c r="J1542" s="23" t="e">
        <f ca="1">[1]!BexGetData("DP_1","003N8EMH8GTFRCSWKMPXRSGPQ","GSON1112110090")</f>
        <v>#NAME?</v>
      </c>
      <c r="K1542" s="28" t="e">
        <f ca="1">[1]!BexGetData("DP_1","003N8EMH8GTFRIVNUPY288VJH","GSON1112110090")</f>
        <v>#NAME?</v>
      </c>
      <c r="L1542" s="28" t="e">
        <f ca="1">[1]!BexGetData("DP_1","003N8EMH8GTFRIVNUPY2891V1","GSON1112110090")</f>
        <v>#NAME?</v>
      </c>
      <c r="M1542" s="28" t="e">
        <f ca="1">[1]!BexGetData("DP_1","003N8EMH8GTFRIVOG7KG9IQXA","GSON1112110090")</f>
        <v>#NAME?</v>
      </c>
      <c r="N1542" s="28" t="e">
        <f ca="1">[1]!BexGetData("DP_1","003N8EMH8GTFRIVOG7KG9IX8U","GSON1112110090")</f>
        <v>#NAME?</v>
      </c>
      <c r="O1542" s="28" t="e">
        <f ca="1">[1]!BexGetData("DP_1","003N8EMH8GTFRIVOG7KG9J3KE","GSON1112110090")</f>
        <v>#NAME?</v>
      </c>
      <c r="P1542" s="28" t="e">
        <f ca="1">[1]!BexGetData("DP_1","003N8EMH8GTFRIVOG7KG9J9VY","GSON1112110090")</f>
        <v>#NAME?</v>
      </c>
      <c r="Q1542" s="23" t="e">
        <f ca="1">[1]!BexGetData("DP_1","00O2TNJGODT0G5Z4TTKYMM5MT","GSON1112110090")</f>
        <v>#NAME?</v>
      </c>
      <c r="R1542" s="23" t="e">
        <f ca="1">[1]!BexGetData("DP_1","00O2TNJGODT0G5Z4TTKYMMBYD","GSON1112110090")</f>
        <v>#NAME?</v>
      </c>
      <c r="S1542" s="23" t="e">
        <f ca="1">[1]!BexGetData("DP_1","00O2TNJGODT0G5Z4TTKYMMI9X","GSON1112110090")</f>
        <v>#NAME?</v>
      </c>
      <c r="T1542" s="23" t="e">
        <f ca="1">[1]!BexGetData("DP_1","00O2TNJGODT0G5Z4TTKYMMOLH","GSON1112110090")</f>
        <v>#NAME?</v>
      </c>
      <c r="U1542" s="28" t="e">
        <f ca="1">[1]!BexGetData("DP_1","00O2TNJGODT0G5Z4TTKYMMUX1","GSON1112110090")</f>
        <v>#NAME?</v>
      </c>
      <c r="V1542" s="23" t="e">
        <f ca="1">[1]!BexGetData("DP_1","00O2TNJGODT0G5Z4TTKYMN18L","GSON1112110090")</f>
        <v>#NAME?</v>
      </c>
      <c r="W1542" s="28" t="e">
        <f ca="1">[1]!BexGetData("DP_1","00O2TNJGODT0G5Z4TTKYMN7K5","GSON1112110090")</f>
        <v>#NAME?</v>
      </c>
    </row>
    <row r="1543" spans="1:23" x14ac:dyDescent="0.2">
      <c r="A1543" s="36" t="s">
        <v>1701</v>
      </c>
      <c r="B1543" s="27" t="s">
        <v>1702</v>
      </c>
      <c r="C1543" s="24" t="e">
        <f ca="1">[1]!BexGetData("DP_1","003N8EMH8GTFRCSWKMPXRR8GU","GSON1112110091")</f>
        <v>#NAME?</v>
      </c>
      <c r="D1543" s="24" t="e">
        <f ca="1">[1]!BexGetData("DP_1","003N8EMH8GTFRCSWKMPXRRESE","GSON1112110091")</f>
        <v>#NAME?</v>
      </c>
      <c r="E1543" s="24" t="e">
        <f ca="1">[1]!BexGetData("DP_1","003N8EMH8GTFRCSWKMPXRRL3Y","GSON1112110091")</f>
        <v>#NAME?</v>
      </c>
      <c r="F1543" s="28" t="e">
        <f ca="1">[1]!BexGetData("DP_1","003N8EMH8GTFRCSWKMPXRRRFI","GSON1112110091")</f>
        <v>#NAME?</v>
      </c>
      <c r="G1543" s="23" t="e">
        <f ca="1">[1]!BexGetData("DP_1","003N8EMH8GTFRCSWKMPXRRXR2","GSON1112110091")</f>
        <v>#NAME?</v>
      </c>
      <c r="H1543" s="23" t="e">
        <f ca="1">[1]!BexGetData("DP_1","003N8EMH8GTFRCSWKMPXRS42M","GSON1112110091")</f>
        <v>#NAME?</v>
      </c>
      <c r="I1543" s="28" t="e">
        <f ca="1">[1]!BexGetData("DP_1","003N8EMH8GTFRCSWKMPXRSAE6","GSON1112110091")</f>
        <v>#NAME?</v>
      </c>
      <c r="J1543" s="24" t="e">
        <f ca="1">[1]!BexGetData("DP_1","003N8EMH8GTFRCSWKMPXRSGPQ","GSON1112110091")</f>
        <v>#NAME?</v>
      </c>
      <c r="K1543" s="28" t="e">
        <f ca="1">[1]!BexGetData("DP_1","003N8EMH8GTFRIVNUPY288VJH","GSON1112110091")</f>
        <v>#NAME?</v>
      </c>
      <c r="L1543" s="28" t="e">
        <f ca="1">[1]!BexGetData("DP_1","003N8EMH8GTFRIVNUPY2891V1","GSON1112110091")</f>
        <v>#NAME?</v>
      </c>
      <c r="M1543" s="28" t="e">
        <f ca="1">[1]!BexGetData("DP_1","003N8EMH8GTFRIVOG7KG9IQXA","GSON1112110091")</f>
        <v>#NAME?</v>
      </c>
      <c r="N1543" s="28" t="e">
        <f ca="1">[1]!BexGetData("DP_1","003N8EMH8GTFRIVOG7KG9IX8U","GSON1112110091")</f>
        <v>#NAME?</v>
      </c>
      <c r="O1543" s="28" t="e">
        <f ca="1">[1]!BexGetData("DP_1","003N8EMH8GTFRIVOG7KG9J3KE","GSON1112110091")</f>
        <v>#NAME?</v>
      </c>
      <c r="P1543" s="28" t="e">
        <f ca="1">[1]!BexGetData("DP_1","003N8EMH8GTFRIVOG7KG9J9VY","GSON1112110091")</f>
        <v>#NAME?</v>
      </c>
      <c r="Q1543" s="24" t="e">
        <f ca="1">[1]!BexGetData("DP_1","00O2TNJGODT0G5Z4TTKYMM5MT","GSON1112110091")</f>
        <v>#NAME?</v>
      </c>
      <c r="R1543" s="28" t="e">
        <f ca="1">[1]!BexGetData("DP_1","00O2TNJGODT0G5Z4TTKYMMBYD","GSON1112110091")</f>
        <v>#NAME?</v>
      </c>
      <c r="S1543" s="28" t="e">
        <f ca="1">[1]!BexGetData("DP_1","00O2TNJGODT0G5Z4TTKYMMI9X","GSON1112110091")</f>
        <v>#NAME?</v>
      </c>
      <c r="T1543" s="28" t="e">
        <f ca="1">[1]!BexGetData("DP_1","00O2TNJGODT0G5Z4TTKYMMOLH","GSON1112110091")</f>
        <v>#NAME?</v>
      </c>
      <c r="U1543" s="28" t="e">
        <f ca="1">[1]!BexGetData("DP_1","00O2TNJGODT0G5Z4TTKYMMUX1","GSON1112110091")</f>
        <v>#NAME?</v>
      </c>
      <c r="V1543" s="28" t="e">
        <f ca="1">[1]!BexGetData("DP_1","00O2TNJGODT0G5Z4TTKYMN18L","GSON1112110091")</f>
        <v>#NAME?</v>
      </c>
      <c r="W1543" s="28" t="e">
        <f ca="1">[1]!BexGetData("DP_1","00O2TNJGODT0G5Z4TTKYMN7K5","GSON1112110091")</f>
        <v>#NAME?</v>
      </c>
    </row>
    <row r="1544" spans="1:23" x14ac:dyDescent="0.2">
      <c r="A1544" s="36" t="s">
        <v>4193</v>
      </c>
      <c r="B1544" s="27" t="s">
        <v>4194</v>
      </c>
      <c r="C1544" s="24" t="e">
        <f ca="1">[1]!BexGetData("DP_1","003N8EMH8GTFRCSWKMPXRR8GU","GSON1112110092")</f>
        <v>#NAME?</v>
      </c>
      <c r="D1544" s="24" t="e">
        <f ca="1">[1]!BexGetData("DP_1","003N8EMH8GTFRCSWKMPXRRESE","GSON1112110092")</f>
        <v>#NAME?</v>
      </c>
      <c r="E1544" s="24" t="e">
        <f ca="1">[1]!BexGetData("DP_1","003N8EMH8GTFRCSWKMPXRRL3Y","GSON1112110092")</f>
        <v>#NAME?</v>
      </c>
      <c r="F1544" s="28" t="e">
        <f ca="1">[1]!BexGetData("DP_1","003N8EMH8GTFRCSWKMPXRRRFI","GSON1112110092")</f>
        <v>#NAME?</v>
      </c>
      <c r="G1544" s="23" t="e">
        <f ca="1">[1]!BexGetData("DP_1","003N8EMH8GTFRCSWKMPXRRXR2","GSON1112110092")</f>
        <v>#NAME?</v>
      </c>
      <c r="H1544" s="23" t="e">
        <f ca="1">[1]!BexGetData("DP_1","003N8EMH8GTFRCSWKMPXRS42M","GSON1112110092")</f>
        <v>#NAME?</v>
      </c>
      <c r="I1544" s="28" t="e">
        <f ca="1">[1]!BexGetData("DP_1","003N8EMH8GTFRCSWKMPXRSAE6","GSON1112110092")</f>
        <v>#NAME?</v>
      </c>
      <c r="J1544" s="24" t="e">
        <f ca="1">[1]!BexGetData("DP_1","003N8EMH8GTFRCSWKMPXRSGPQ","GSON1112110092")</f>
        <v>#NAME?</v>
      </c>
      <c r="K1544" s="28" t="e">
        <f ca="1">[1]!BexGetData("DP_1","003N8EMH8GTFRIVNUPY288VJH","GSON1112110092")</f>
        <v>#NAME?</v>
      </c>
      <c r="L1544" s="28" t="e">
        <f ca="1">[1]!BexGetData("DP_1","003N8EMH8GTFRIVNUPY2891V1","GSON1112110092")</f>
        <v>#NAME?</v>
      </c>
      <c r="M1544" s="28" t="e">
        <f ca="1">[1]!BexGetData("DP_1","003N8EMH8GTFRIVOG7KG9IQXA","GSON1112110092")</f>
        <v>#NAME?</v>
      </c>
      <c r="N1544" s="28" t="e">
        <f ca="1">[1]!BexGetData("DP_1","003N8EMH8GTFRIVOG7KG9IX8U","GSON1112110092")</f>
        <v>#NAME?</v>
      </c>
      <c r="O1544" s="28" t="e">
        <f ca="1">[1]!BexGetData("DP_1","003N8EMH8GTFRIVOG7KG9J3KE","GSON1112110092")</f>
        <v>#NAME?</v>
      </c>
      <c r="P1544" s="28" t="e">
        <f ca="1">[1]!BexGetData("DP_1","003N8EMH8GTFRIVOG7KG9J9VY","GSON1112110092")</f>
        <v>#NAME?</v>
      </c>
      <c r="Q1544" s="24" t="e">
        <f ca="1">[1]!BexGetData("DP_1","00O2TNJGODT0G5Z4TTKYMM5MT","GSON1112110092")</f>
        <v>#NAME?</v>
      </c>
      <c r="R1544" s="28" t="e">
        <f ca="1">[1]!BexGetData("DP_1","00O2TNJGODT0G5Z4TTKYMMBYD","GSON1112110092")</f>
        <v>#NAME?</v>
      </c>
      <c r="S1544" s="28" t="e">
        <f ca="1">[1]!BexGetData("DP_1","00O2TNJGODT0G5Z4TTKYMMI9X","GSON1112110092")</f>
        <v>#NAME?</v>
      </c>
      <c r="T1544" s="28" t="e">
        <f ca="1">[1]!BexGetData("DP_1","00O2TNJGODT0G5Z4TTKYMMOLH","GSON1112110092")</f>
        <v>#NAME?</v>
      </c>
      <c r="U1544" s="28" t="e">
        <f ca="1">[1]!BexGetData("DP_1","00O2TNJGODT0G5Z4TTKYMMUX1","GSON1112110092")</f>
        <v>#NAME?</v>
      </c>
      <c r="V1544" s="28" t="e">
        <f ca="1">[1]!BexGetData("DP_1","00O2TNJGODT0G5Z4TTKYMN18L","GSON1112110092")</f>
        <v>#NAME?</v>
      </c>
      <c r="W1544" s="28" t="e">
        <f ca="1">[1]!BexGetData("DP_1","00O2TNJGODT0G5Z4TTKYMN7K5","GSON1112110092")</f>
        <v>#NAME?</v>
      </c>
    </row>
    <row r="1545" spans="1:23" x14ac:dyDescent="0.2">
      <c r="A1545" s="36" t="s">
        <v>4195</v>
      </c>
      <c r="B1545" s="27" t="s">
        <v>4196</v>
      </c>
      <c r="C1545" s="24" t="e">
        <f ca="1">[1]!BexGetData("DP_1","003N8EMH8GTFRCSWKMPXRR8GU","GSON1112110093")</f>
        <v>#NAME?</v>
      </c>
      <c r="D1545" s="24" t="e">
        <f ca="1">[1]!BexGetData("DP_1","003N8EMH8GTFRCSWKMPXRRESE","GSON1112110093")</f>
        <v>#NAME?</v>
      </c>
      <c r="E1545" s="24" t="e">
        <f ca="1">[1]!BexGetData("DP_1","003N8EMH8GTFRCSWKMPXRRL3Y","GSON1112110093")</f>
        <v>#NAME?</v>
      </c>
      <c r="F1545" s="28" t="e">
        <f ca="1">[1]!BexGetData("DP_1","003N8EMH8GTFRCSWKMPXRRRFI","GSON1112110093")</f>
        <v>#NAME?</v>
      </c>
      <c r="G1545" s="23" t="e">
        <f ca="1">[1]!BexGetData("DP_1","003N8EMH8GTFRCSWKMPXRRXR2","GSON1112110093")</f>
        <v>#NAME?</v>
      </c>
      <c r="H1545" s="23" t="e">
        <f ca="1">[1]!BexGetData("DP_1","003N8EMH8GTFRCSWKMPXRS42M","GSON1112110093")</f>
        <v>#NAME?</v>
      </c>
      <c r="I1545" s="28" t="e">
        <f ca="1">[1]!BexGetData("DP_1","003N8EMH8GTFRCSWKMPXRSAE6","GSON1112110093")</f>
        <v>#NAME?</v>
      </c>
      <c r="J1545" s="24" t="e">
        <f ca="1">[1]!BexGetData("DP_1","003N8EMH8GTFRCSWKMPXRSGPQ","GSON1112110093")</f>
        <v>#NAME?</v>
      </c>
      <c r="K1545" s="28" t="e">
        <f ca="1">[1]!BexGetData("DP_1","003N8EMH8GTFRIVNUPY288VJH","GSON1112110093")</f>
        <v>#NAME?</v>
      </c>
      <c r="L1545" s="28" t="e">
        <f ca="1">[1]!BexGetData("DP_1","003N8EMH8GTFRIVNUPY2891V1","GSON1112110093")</f>
        <v>#NAME?</v>
      </c>
      <c r="M1545" s="28" t="e">
        <f ca="1">[1]!BexGetData("DP_1","003N8EMH8GTFRIVOG7KG9IQXA","GSON1112110093")</f>
        <v>#NAME?</v>
      </c>
      <c r="N1545" s="28" t="e">
        <f ca="1">[1]!BexGetData("DP_1","003N8EMH8GTFRIVOG7KG9IX8U","GSON1112110093")</f>
        <v>#NAME?</v>
      </c>
      <c r="O1545" s="28" t="e">
        <f ca="1">[1]!BexGetData("DP_1","003N8EMH8GTFRIVOG7KG9J3KE","GSON1112110093")</f>
        <v>#NAME?</v>
      </c>
      <c r="P1545" s="28" t="e">
        <f ca="1">[1]!BexGetData("DP_1","003N8EMH8GTFRIVOG7KG9J9VY","GSON1112110093")</f>
        <v>#NAME?</v>
      </c>
      <c r="Q1545" s="24" t="e">
        <f ca="1">[1]!BexGetData("DP_1","00O2TNJGODT0G5Z4TTKYMM5MT","GSON1112110093")</f>
        <v>#NAME?</v>
      </c>
      <c r="R1545" s="28" t="e">
        <f ca="1">[1]!BexGetData("DP_1","00O2TNJGODT0G5Z4TTKYMMBYD","GSON1112110093")</f>
        <v>#NAME?</v>
      </c>
      <c r="S1545" s="28" t="e">
        <f ca="1">[1]!BexGetData("DP_1","00O2TNJGODT0G5Z4TTKYMMI9X","GSON1112110093")</f>
        <v>#NAME?</v>
      </c>
      <c r="T1545" s="28" t="e">
        <f ca="1">[1]!BexGetData("DP_1","00O2TNJGODT0G5Z4TTKYMMOLH","GSON1112110093")</f>
        <v>#NAME?</v>
      </c>
      <c r="U1545" s="28" t="e">
        <f ca="1">[1]!BexGetData("DP_1","00O2TNJGODT0G5Z4TTKYMMUX1","GSON1112110093")</f>
        <v>#NAME?</v>
      </c>
      <c r="V1545" s="28" t="e">
        <f ca="1">[1]!BexGetData("DP_1","00O2TNJGODT0G5Z4TTKYMN18L","GSON1112110093")</f>
        <v>#NAME?</v>
      </c>
      <c r="W1545" s="28" t="e">
        <f ca="1">[1]!BexGetData("DP_1","00O2TNJGODT0G5Z4TTKYMN7K5","GSON1112110093")</f>
        <v>#NAME?</v>
      </c>
    </row>
    <row r="1546" spans="1:23" x14ac:dyDescent="0.2">
      <c r="A1546" s="36" t="s">
        <v>4197</v>
      </c>
      <c r="B1546" s="27" t="s">
        <v>4198</v>
      </c>
      <c r="C1546" s="24" t="e">
        <f ca="1">[1]!BexGetData("DP_1","003N8EMH8GTFRCSWKMPXRR8GU","GSON1112110094")</f>
        <v>#NAME?</v>
      </c>
      <c r="D1546" s="24" t="e">
        <f ca="1">[1]!BexGetData("DP_1","003N8EMH8GTFRCSWKMPXRRESE","GSON1112110094")</f>
        <v>#NAME?</v>
      </c>
      <c r="E1546" s="24" t="e">
        <f ca="1">[1]!BexGetData("DP_1","003N8EMH8GTFRCSWKMPXRRL3Y","GSON1112110094")</f>
        <v>#NAME?</v>
      </c>
      <c r="F1546" s="28" t="e">
        <f ca="1">[1]!BexGetData("DP_1","003N8EMH8GTFRCSWKMPXRRRFI","GSON1112110094")</f>
        <v>#NAME?</v>
      </c>
      <c r="G1546" s="23" t="e">
        <f ca="1">[1]!BexGetData("DP_1","003N8EMH8GTFRCSWKMPXRRXR2","GSON1112110094")</f>
        <v>#NAME?</v>
      </c>
      <c r="H1546" s="23" t="e">
        <f ca="1">[1]!BexGetData("DP_1","003N8EMH8GTFRCSWKMPXRS42M","GSON1112110094")</f>
        <v>#NAME?</v>
      </c>
      <c r="I1546" s="28" t="e">
        <f ca="1">[1]!BexGetData("DP_1","003N8EMH8GTFRCSWKMPXRSAE6","GSON1112110094")</f>
        <v>#NAME?</v>
      </c>
      <c r="J1546" s="24" t="e">
        <f ca="1">[1]!BexGetData("DP_1","003N8EMH8GTFRCSWKMPXRSGPQ","GSON1112110094")</f>
        <v>#NAME?</v>
      </c>
      <c r="K1546" s="28" t="e">
        <f ca="1">[1]!BexGetData("DP_1","003N8EMH8GTFRIVNUPY288VJH","GSON1112110094")</f>
        <v>#NAME?</v>
      </c>
      <c r="L1546" s="28" t="e">
        <f ca="1">[1]!BexGetData("DP_1","003N8EMH8GTFRIVNUPY2891V1","GSON1112110094")</f>
        <v>#NAME?</v>
      </c>
      <c r="M1546" s="28" t="e">
        <f ca="1">[1]!BexGetData("DP_1","003N8EMH8GTFRIVOG7KG9IQXA","GSON1112110094")</f>
        <v>#NAME?</v>
      </c>
      <c r="N1546" s="28" t="e">
        <f ca="1">[1]!BexGetData("DP_1","003N8EMH8GTFRIVOG7KG9IX8U","GSON1112110094")</f>
        <v>#NAME?</v>
      </c>
      <c r="O1546" s="28" t="e">
        <f ca="1">[1]!BexGetData("DP_1","003N8EMH8GTFRIVOG7KG9J3KE","GSON1112110094")</f>
        <v>#NAME?</v>
      </c>
      <c r="P1546" s="28" t="e">
        <f ca="1">[1]!BexGetData("DP_1","003N8EMH8GTFRIVOG7KG9J9VY","GSON1112110094")</f>
        <v>#NAME?</v>
      </c>
      <c r="Q1546" s="24" t="e">
        <f ca="1">[1]!BexGetData("DP_1","00O2TNJGODT0G5Z4TTKYMM5MT","GSON1112110094")</f>
        <v>#NAME?</v>
      </c>
      <c r="R1546" s="28" t="e">
        <f ca="1">[1]!BexGetData("DP_1","00O2TNJGODT0G5Z4TTKYMMBYD","GSON1112110094")</f>
        <v>#NAME?</v>
      </c>
      <c r="S1546" s="28" t="e">
        <f ca="1">[1]!BexGetData("DP_1","00O2TNJGODT0G5Z4TTKYMMI9X","GSON1112110094")</f>
        <v>#NAME?</v>
      </c>
      <c r="T1546" s="28" t="e">
        <f ca="1">[1]!BexGetData("DP_1","00O2TNJGODT0G5Z4TTKYMMOLH","GSON1112110094")</f>
        <v>#NAME?</v>
      </c>
      <c r="U1546" s="28" t="e">
        <f ca="1">[1]!BexGetData("DP_1","00O2TNJGODT0G5Z4TTKYMMUX1","GSON1112110094")</f>
        <v>#NAME?</v>
      </c>
      <c r="V1546" s="28" t="e">
        <f ca="1">[1]!BexGetData("DP_1","00O2TNJGODT0G5Z4TTKYMN18L","GSON1112110094")</f>
        <v>#NAME?</v>
      </c>
      <c r="W1546" s="28" t="e">
        <f ca="1">[1]!BexGetData("DP_1","00O2TNJGODT0G5Z4TTKYMN7K5","GSON1112110094")</f>
        <v>#NAME?</v>
      </c>
    </row>
    <row r="1547" spans="1:23" x14ac:dyDescent="0.2">
      <c r="A1547" s="36" t="s">
        <v>1111</v>
      </c>
      <c r="B1547" s="27" t="s">
        <v>1112</v>
      </c>
      <c r="C1547" s="28" t="e">
        <f ca="1">[1]!BexGetData("DP_1","003N8EMH8GTFRCSWKMPXRR8GU","GSON1112110095")</f>
        <v>#NAME?</v>
      </c>
      <c r="D1547" s="28" t="e">
        <f ca="1">[1]!BexGetData("DP_1","003N8EMH8GTFRCSWKMPXRRESE","GSON1112110095")</f>
        <v>#NAME?</v>
      </c>
      <c r="E1547" s="28" t="e">
        <f ca="1">[1]!BexGetData("DP_1","003N8EMH8GTFRCSWKMPXRRL3Y","GSON1112110095")</f>
        <v>#NAME?</v>
      </c>
      <c r="F1547" s="28" t="e">
        <f ca="1">[1]!BexGetData("DP_1","003N8EMH8GTFRCSWKMPXRRRFI","GSON1112110095")</f>
        <v>#NAME?</v>
      </c>
      <c r="G1547" s="23" t="e">
        <f ca="1">[1]!BexGetData("DP_1","003N8EMH8GTFRCSWKMPXRRXR2","GSON1112110095")</f>
        <v>#NAME?</v>
      </c>
      <c r="H1547" s="23" t="e">
        <f ca="1">[1]!BexGetData("DP_1","003N8EMH8GTFRCSWKMPXRS42M","GSON1112110095")</f>
        <v>#NAME?</v>
      </c>
      <c r="I1547" s="28" t="e">
        <f ca="1">[1]!BexGetData("DP_1","003N8EMH8GTFRCSWKMPXRSAE6","GSON1112110095")</f>
        <v>#NAME?</v>
      </c>
      <c r="J1547" s="24" t="e">
        <f ca="1">[1]!BexGetData("DP_1","003N8EMH8GTFRCSWKMPXRSGPQ","GSON1112110095")</f>
        <v>#NAME?</v>
      </c>
      <c r="K1547" s="28" t="e">
        <f ca="1">[1]!BexGetData("DP_1","003N8EMH8GTFRIVNUPY288VJH","GSON1112110095")</f>
        <v>#NAME?</v>
      </c>
      <c r="L1547" s="28" t="e">
        <f ca="1">[1]!BexGetData("DP_1","003N8EMH8GTFRIVNUPY2891V1","GSON1112110095")</f>
        <v>#NAME?</v>
      </c>
      <c r="M1547" s="28" t="e">
        <f ca="1">[1]!BexGetData("DP_1","003N8EMH8GTFRIVOG7KG9IQXA","GSON1112110095")</f>
        <v>#NAME?</v>
      </c>
      <c r="N1547" s="28" t="e">
        <f ca="1">[1]!BexGetData("DP_1","003N8EMH8GTFRIVOG7KG9IX8U","GSON1112110095")</f>
        <v>#NAME?</v>
      </c>
      <c r="O1547" s="28" t="e">
        <f ca="1">[1]!BexGetData("DP_1","003N8EMH8GTFRIVOG7KG9J3KE","GSON1112110095")</f>
        <v>#NAME?</v>
      </c>
      <c r="P1547" s="28" t="e">
        <f ca="1">[1]!BexGetData("DP_1","003N8EMH8GTFRIVOG7KG9J9VY","GSON1112110095")</f>
        <v>#NAME?</v>
      </c>
      <c r="Q1547" s="24" t="e">
        <f ca="1">[1]!BexGetData("DP_1","00O2TNJGODT0G5Z4TTKYMM5MT","GSON1112110095")</f>
        <v>#NAME?</v>
      </c>
      <c r="R1547" s="28" t="e">
        <f ca="1">[1]!BexGetData("DP_1","00O2TNJGODT0G5Z4TTKYMMBYD","GSON1112110095")</f>
        <v>#NAME?</v>
      </c>
      <c r="S1547" s="28" t="e">
        <f ca="1">[1]!BexGetData("DP_1","00O2TNJGODT0G5Z4TTKYMMI9X","GSON1112110095")</f>
        <v>#NAME?</v>
      </c>
      <c r="T1547" s="28" t="e">
        <f ca="1">[1]!BexGetData("DP_1","00O2TNJGODT0G5Z4TTKYMMOLH","GSON1112110095")</f>
        <v>#NAME?</v>
      </c>
      <c r="U1547" s="28" t="e">
        <f ca="1">[1]!BexGetData("DP_1","00O2TNJGODT0G5Z4TTKYMMUX1","GSON1112110095")</f>
        <v>#NAME?</v>
      </c>
      <c r="V1547" s="28" t="e">
        <f ca="1">[1]!BexGetData("DP_1","00O2TNJGODT0G5Z4TTKYMN18L","GSON1112110095")</f>
        <v>#NAME?</v>
      </c>
      <c r="W1547" s="28" t="e">
        <f ca="1">[1]!BexGetData("DP_1","00O2TNJGODT0G5Z4TTKYMN7K5","GSON1112110095")</f>
        <v>#NAME?</v>
      </c>
    </row>
    <row r="1548" spans="1:23" x14ac:dyDescent="0.2">
      <c r="A1548" s="36" t="s">
        <v>4199</v>
      </c>
      <c r="B1548" s="27" t="s">
        <v>1113</v>
      </c>
      <c r="C1548" s="23" t="e">
        <f ca="1">[1]!BexGetData("DP_1","003N8EMH8GTFRCSWKMPXRR8GU","GSON1112110100")</f>
        <v>#NAME?</v>
      </c>
      <c r="D1548" s="28" t="e">
        <f ca="1">[1]!BexGetData("DP_1","003N8EMH8GTFRCSWKMPXRRESE","GSON1112110100")</f>
        <v>#NAME?</v>
      </c>
      <c r="E1548" s="23" t="e">
        <f ca="1">[1]!BexGetData("DP_1","003N8EMH8GTFRCSWKMPXRRL3Y","GSON1112110100")</f>
        <v>#NAME?</v>
      </c>
      <c r="F1548" s="23" t="e">
        <f ca="1">[1]!BexGetData("DP_1","003N8EMH8GTFRCSWKMPXRRRFI","GSON1112110100")</f>
        <v>#NAME?</v>
      </c>
      <c r="G1548" s="23" t="e">
        <f ca="1">[1]!BexGetData("DP_1","003N8EMH8GTFRCSWKMPXRRXR2","GSON1112110100")</f>
        <v>#NAME?</v>
      </c>
      <c r="H1548" s="23" t="e">
        <f ca="1">[1]!BexGetData("DP_1","003N8EMH8GTFRCSWKMPXRS42M","GSON1112110100")</f>
        <v>#NAME?</v>
      </c>
      <c r="I1548" s="23" t="e">
        <f ca="1">[1]!BexGetData("DP_1","003N8EMH8GTFRCSWKMPXRSAE6","GSON1112110100")</f>
        <v>#NAME?</v>
      </c>
      <c r="J1548" s="23" t="e">
        <f ca="1">[1]!BexGetData("DP_1","003N8EMH8GTFRCSWKMPXRSGPQ","GSON1112110100")</f>
        <v>#NAME?</v>
      </c>
      <c r="K1548" s="23" t="e">
        <f ca="1">[1]!BexGetData("DP_1","003N8EMH8GTFRIVNUPY288VJH","GSON1112110100")</f>
        <v>#NAME?</v>
      </c>
      <c r="L1548" s="23" t="e">
        <f ca="1">[1]!BexGetData("DP_1","003N8EMH8GTFRIVNUPY2891V1","GSON1112110100")</f>
        <v>#NAME?</v>
      </c>
      <c r="M1548" s="28" t="e">
        <f ca="1">[1]!BexGetData("DP_1","003N8EMH8GTFRIVOG7KG9IQXA","GSON1112110100")</f>
        <v>#NAME?</v>
      </c>
      <c r="N1548" s="23" t="e">
        <f ca="1">[1]!BexGetData("DP_1","003N8EMH8GTFRIVOG7KG9IX8U","GSON1112110100")</f>
        <v>#NAME?</v>
      </c>
      <c r="O1548" s="28" t="e">
        <f ca="1">[1]!BexGetData("DP_1","003N8EMH8GTFRIVOG7KG9J3KE","GSON1112110100")</f>
        <v>#NAME?</v>
      </c>
      <c r="P1548" s="23" t="e">
        <f ca="1">[1]!BexGetData("DP_1","003N8EMH8GTFRIVOG7KG9J9VY","GSON1112110100")</f>
        <v>#NAME?</v>
      </c>
      <c r="Q1548" s="23" t="e">
        <f ca="1">[1]!BexGetData("DP_1","00O2TNJGODT0G5Z4TTKYMM5MT","GSON1112110100")</f>
        <v>#NAME?</v>
      </c>
      <c r="R1548" s="23" t="e">
        <f ca="1">[1]!BexGetData("DP_1","00O2TNJGODT0G5Z4TTKYMMBYD","GSON1112110100")</f>
        <v>#NAME?</v>
      </c>
      <c r="S1548" s="23" t="e">
        <f ca="1">[1]!BexGetData("DP_1","00O2TNJGODT0G5Z4TTKYMMI9X","GSON1112110100")</f>
        <v>#NAME?</v>
      </c>
      <c r="T1548" s="23" t="e">
        <f ca="1">[1]!BexGetData("DP_1","00O2TNJGODT0G5Z4TTKYMMOLH","GSON1112110100")</f>
        <v>#NAME?</v>
      </c>
      <c r="U1548" s="28" t="e">
        <f ca="1">[1]!BexGetData("DP_1","00O2TNJGODT0G5Z4TTKYMMUX1","GSON1112110100")</f>
        <v>#NAME?</v>
      </c>
      <c r="V1548" s="23" t="e">
        <f ca="1">[1]!BexGetData("DP_1","00O2TNJGODT0G5Z4TTKYMN18L","GSON1112110100")</f>
        <v>#NAME?</v>
      </c>
      <c r="W1548" s="28" t="e">
        <f ca="1">[1]!BexGetData("DP_1","00O2TNJGODT0G5Z4TTKYMN7K5","GSON1112110100")</f>
        <v>#NAME?</v>
      </c>
    </row>
    <row r="1549" spans="1:23" x14ac:dyDescent="0.2">
      <c r="A1549" s="36" t="s">
        <v>4200</v>
      </c>
      <c r="B1549" s="27" t="s">
        <v>4201</v>
      </c>
      <c r="C1549" s="24" t="e">
        <f ca="1">[1]!BexGetData("DP_1","003N8EMH8GTFRCSWKMPXRR8GU","GSON1112110104")</f>
        <v>#NAME?</v>
      </c>
      <c r="D1549" s="24" t="e">
        <f ca="1">[1]!BexGetData("DP_1","003N8EMH8GTFRCSWKMPXRRESE","GSON1112110104")</f>
        <v>#NAME?</v>
      </c>
      <c r="E1549" s="24" t="e">
        <f ca="1">[1]!BexGetData("DP_1","003N8EMH8GTFRCSWKMPXRRL3Y","GSON1112110104")</f>
        <v>#NAME?</v>
      </c>
      <c r="F1549" s="28" t="e">
        <f ca="1">[1]!BexGetData("DP_1","003N8EMH8GTFRCSWKMPXRRRFI","GSON1112110104")</f>
        <v>#NAME?</v>
      </c>
      <c r="G1549" s="23" t="e">
        <f ca="1">[1]!BexGetData("DP_1","003N8EMH8GTFRCSWKMPXRRXR2","GSON1112110104")</f>
        <v>#NAME?</v>
      </c>
      <c r="H1549" s="23" t="e">
        <f ca="1">[1]!BexGetData("DP_1","003N8EMH8GTFRCSWKMPXRS42M","GSON1112110104")</f>
        <v>#NAME?</v>
      </c>
      <c r="I1549" s="28" t="e">
        <f ca="1">[1]!BexGetData("DP_1","003N8EMH8GTFRCSWKMPXRSAE6","GSON1112110104")</f>
        <v>#NAME?</v>
      </c>
      <c r="J1549" s="24" t="e">
        <f ca="1">[1]!BexGetData("DP_1","003N8EMH8GTFRCSWKMPXRSGPQ","GSON1112110104")</f>
        <v>#NAME?</v>
      </c>
      <c r="K1549" s="28" t="e">
        <f ca="1">[1]!BexGetData("DP_1","003N8EMH8GTFRIVNUPY288VJH","GSON1112110104")</f>
        <v>#NAME?</v>
      </c>
      <c r="L1549" s="28" t="e">
        <f ca="1">[1]!BexGetData("DP_1","003N8EMH8GTFRIVNUPY2891V1","GSON1112110104")</f>
        <v>#NAME?</v>
      </c>
      <c r="M1549" s="28" t="e">
        <f ca="1">[1]!BexGetData("DP_1","003N8EMH8GTFRIVOG7KG9IQXA","GSON1112110104")</f>
        <v>#NAME?</v>
      </c>
      <c r="N1549" s="28" t="e">
        <f ca="1">[1]!BexGetData("DP_1","003N8EMH8GTFRIVOG7KG9IX8U","GSON1112110104")</f>
        <v>#NAME?</v>
      </c>
      <c r="O1549" s="28" t="e">
        <f ca="1">[1]!BexGetData("DP_1","003N8EMH8GTFRIVOG7KG9J3KE","GSON1112110104")</f>
        <v>#NAME?</v>
      </c>
      <c r="P1549" s="28" t="e">
        <f ca="1">[1]!BexGetData("DP_1","003N8EMH8GTFRIVOG7KG9J9VY","GSON1112110104")</f>
        <v>#NAME?</v>
      </c>
      <c r="Q1549" s="24" t="e">
        <f ca="1">[1]!BexGetData("DP_1","00O2TNJGODT0G5Z4TTKYMM5MT","GSON1112110104")</f>
        <v>#NAME?</v>
      </c>
      <c r="R1549" s="28" t="e">
        <f ca="1">[1]!BexGetData("DP_1","00O2TNJGODT0G5Z4TTKYMMBYD","GSON1112110104")</f>
        <v>#NAME?</v>
      </c>
      <c r="S1549" s="28" t="e">
        <f ca="1">[1]!BexGetData("DP_1","00O2TNJGODT0G5Z4TTKYMMI9X","GSON1112110104")</f>
        <v>#NAME?</v>
      </c>
      <c r="T1549" s="28" t="e">
        <f ca="1">[1]!BexGetData("DP_1","00O2TNJGODT0G5Z4TTKYMMOLH","GSON1112110104")</f>
        <v>#NAME?</v>
      </c>
      <c r="U1549" s="28" t="e">
        <f ca="1">[1]!BexGetData("DP_1","00O2TNJGODT0G5Z4TTKYMMUX1","GSON1112110104")</f>
        <v>#NAME?</v>
      </c>
      <c r="V1549" s="28" t="e">
        <f ca="1">[1]!BexGetData("DP_1","00O2TNJGODT0G5Z4TTKYMN18L","GSON1112110104")</f>
        <v>#NAME?</v>
      </c>
      <c r="W1549" s="28" t="e">
        <f ca="1">[1]!BexGetData("DP_1","00O2TNJGODT0G5Z4TTKYMN7K5","GSON1112110104")</f>
        <v>#NAME?</v>
      </c>
    </row>
    <row r="1550" spans="1:23" x14ac:dyDescent="0.2">
      <c r="A1550" s="36" t="s">
        <v>1114</v>
      </c>
      <c r="B1550" s="27" t="s">
        <v>1115</v>
      </c>
      <c r="C1550" s="23" t="e">
        <f ca="1">[1]!BexGetData("DP_1","003N8EMH8GTFRCSWKMPXRR8GU","GSON1112110105")</f>
        <v>#NAME?</v>
      </c>
      <c r="D1550" s="23" t="e">
        <f ca="1">[1]!BexGetData("DP_1","003N8EMH8GTFRCSWKMPXRRESE","GSON1112110105")</f>
        <v>#NAME?</v>
      </c>
      <c r="E1550" s="28" t="e">
        <f ca="1">[1]!BexGetData("DP_1","003N8EMH8GTFRCSWKMPXRRL3Y","GSON1112110105")</f>
        <v>#NAME?</v>
      </c>
      <c r="F1550" s="28" t="e">
        <f ca="1">[1]!BexGetData("DP_1","003N8EMH8GTFRCSWKMPXRRRFI","GSON1112110105")</f>
        <v>#NAME?</v>
      </c>
      <c r="G1550" s="23" t="e">
        <f ca="1">[1]!BexGetData("DP_1","003N8EMH8GTFRCSWKMPXRRXR2","GSON1112110105")</f>
        <v>#NAME?</v>
      </c>
      <c r="H1550" s="23" t="e">
        <f ca="1">[1]!BexGetData("DP_1","003N8EMH8GTFRCSWKMPXRS42M","GSON1112110105")</f>
        <v>#NAME?</v>
      </c>
      <c r="I1550" s="28" t="e">
        <f ca="1">[1]!BexGetData("DP_1","003N8EMH8GTFRCSWKMPXRSAE6","GSON1112110105")</f>
        <v>#NAME?</v>
      </c>
      <c r="J1550" s="24" t="e">
        <f ca="1">[1]!BexGetData("DP_1","003N8EMH8GTFRCSWKMPXRSGPQ","GSON1112110105")</f>
        <v>#NAME?</v>
      </c>
      <c r="K1550" s="28" t="e">
        <f ca="1">[1]!BexGetData("DP_1","003N8EMH8GTFRIVNUPY288VJH","GSON1112110105")</f>
        <v>#NAME?</v>
      </c>
      <c r="L1550" s="28" t="e">
        <f ca="1">[1]!BexGetData("DP_1","003N8EMH8GTFRIVNUPY2891V1","GSON1112110105")</f>
        <v>#NAME?</v>
      </c>
      <c r="M1550" s="28" t="e">
        <f ca="1">[1]!BexGetData("DP_1","003N8EMH8GTFRIVOG7KG9IQXA","GSON1112110105")</f>
        <v>#NAME?</v>
      </c>
      <c r="N1550" s="28" t="e">
        <f ca="1">[1]!BexGetData("DP_1","003N8EMH8GTFRIVOG7KG9IX8U","GSON1112110105")</f>
        <v>#NAME?</v>
      </c>
      <c r="O1550" s="28" t="e">
        <f ca="1">[1]!BexGetData("DP_1","003N8EMH8GTFRIVOG7KG9J3KE","GSON1112110105")</f>
        <v>#NAME?</v>
      </c>
      <c r="P1550" s="28" t="e">
        <f ca="1">[1]!BexGetData("DP_1","003N8EMH8GTFRIVOG7KG9J9VY","GSON1112110105")</f>
        <v>#NAME?</v>
      </c>
      <c r="Q1550" s="24" t="e">
        <f ca="1">[1]!BexGetData("DP_1","00O2TNJGODT0G5Z4TTKYMM5MT","GSON1112110105")</f>
        <v>#NAME?</v>
      </c>
      <c r="R1550" s="28" t="e">
        <f ca="1">[1]!BexGetData("DP_1","00O2TNJGODT0G5Z4TTKYMMBYD","GSON1112110105")</f>
        <v>#NAME?</v>
      </c>
      <c r="S1550" s="28" t="e">
        <f ca="1">[1]!BexGetData("DP_1","00O2TNJGODT0G5Z4TTKYMMI9X","GSON1112110105")</f>
        <v>#NAME?</v>
      </c>
      <c r="T1550" s="28" t="e">
        <f ca="1">[1]!BexGetData("DP_1","00O2TNJGODT0G5Z4TTKYMMOLH","GSON1112110105")</f>
        <v>#NAME?</v>
      </c>
      <c r="U1550" s="28" t="e">
        <f ca="1">[1]!BexGetData("DP_1","00O2TNJGODT0G5Z4TTKYMMUX1","GSON1112110105")</f>
        <v>#NAME?</v>
      </c>
      <c r="V1550" s="28" t="e">
        <f ca="1">[1]!BexGetData("DP_1","00O2TNJGODT0G5Z4TTKYMN18L","GSON1112110105")</f>
        <v>#NAME?</v>
      </c>
      <c r="W1550" s="28" t="e">
        <f ca="1">[1]!BexGetData("DP_1","00O2TNJGODT0G5Z4TTKYMN7K5","GSON1112110105")</f>
        <v>#NAME?</v>
      </c>
    </row>
    <row r="1551" spans="1:23" x14ac:dyDescent="0.2">
      <c r="A1551" s="36" t="s">
        <v>4202</v>
      </c>
      <c r="B1551" s="27" t="s">
        <v>4203</v>
      </c>
      <c r="C1551" s="28" t="e">
        <f ca="1">[1]!BexGetData("DP_1","003N8EMH8GTFRCSWKMPXRR8GU","GSON1112110114")</f>
        <v>#NAME?</v>
      </c>
      <c r="D1551" s="28" t="e">
        <f ca="1">[1]!BexGetData("DP_1","003N8EMH8GTFRCSWKMPXRRESE","GSON1112110114")</f>
        <v>#NAME?</v>
      </c>
      <c r="E1551" s="28" t="e">
        <f ca="1">[1]!BexGetData("DP_1","003N8EMH8GTFRCSWKMPXRRL3Y","GSON1112110114")</f>
        <v>#NAME?</v>
      </c>
      <c r="F1551" s="28" t="e">
        <f ca="1">[1]!BexGetData("DP_1","003N8EMH8GTFRCSWKMPXRRRFI","GSON1112110114")</f>
        <v>#NAME?</v>
      </c>
      <c r="G1551" s="23" t="e">
        <f ca="1">[1]!BexGetData("DP_1","003N8EMH8GTFRCSWKMPXRRXR2","GSON1112110114")</f>
        <v>#NAME?</v>
      </c>
      <c r="H1551" s="23" t="e">
        <f ca="1">[1]!BexGetData("DP_1","003N8EMH8GTFRCSWKMPXRS42M","GSON1112110114")</f>
        <v>#NAME?</v>
      </c>
      <c r="I1551" s="28" t="e">
        <f ca="1">[1]!BexGetData("DP_1","003N8EMH8GTFRCSWKMPXRSAE6","GSON1112110114")</f>
        <v>#NAME?</v>
      </c>
      <c r="J1551" s="24" t="e">
        <f ca="1">[1]!BexGetData("DP_1","003N8EMH8GTFRCSWKMPXRSGPQ","GSON1112110114")</f>
        <v>#NAME?</v>
      </c>
      <c r="K1551" s="28" t="e">
        <f ca="1">[1]!BexGetData("DP_1","003N8EMH8GTFRIVNUPY288VJH","GSON1112110114")</f>
        <v>#NAME?</v>
      </c>
      <c r="L1551" s="28" t="e">
        <f ca="1">[1]!BexGetData("DP_1","003N8EMH8GTFRIVNUPY2891V1","GSON1112110114")</f>
        <v>#NAME?</v>
      </c>
      <c r="M1551" s="28" t="e">
        <f ca="1">[1]!BexGetData("DP_1","003N8EMH8GTFRIVOG7KG9IQXA","GSON1112110114")</f>
        <v>#NAME?</v>
      </c>
      <c r="N1551" s="28" t="e">
        <f ca="1">[1]!BexGetData("DP_1","003N8EMH8GTFRIVOG7KG9IX8U","GSON1112110114")</f>
        <v>#NAME?</v>
      </c>
      <c r="O1551" s="28" t="e">
        <f ca="1">[1]!BexGetData("DP_1","003N8EMH8GTFRIVOG7KG9J3KE","GSON1112110114")</f>
        <v>#NAME?</v>
      </c>
      <c r="P1551" s="28" t="e">
        <f ca="1">[1]!BexGetData("DP_1","003N8EMH8GTFRIVOG7KG9J9VY","GSON1112110114")</f>
        <v>#NAME?</v>
      </c>
      <c r="Q1551" s="24" t="e">
        <f ca="1">[1]!BexGetData("DP_1","00O2TNJGODT0G5Z4TTKYMM5MT","GSON1112110114")</f>
        <v>#NAME?</v>
      </c>
      <c r="R1551" s="28" t="e">
        <f ca="1">[1]!BexGetData("DP_1","00O2TNJGODT0G5Z4TTKYMMBYD","GSON1112110114")</f>
        <v>#NAME?</v>
      </c>
      <c r="S1551" s="28" t="e">
        <f ca="1">[1]!BexGetData("DP_1","00O2TNJGODT0G5Z4TTKYMMI9X","GSON1112110114")</f>
        <v>#NAME?</v>
      </c>
      <c r="T1551" s="28" t="e">
        <f ca="1">[1]!BexGetData("DP_1","00O2TNJGODT0G5Z4TTKYMMOLH","GSON1112110114")</f>
        <v>#NAME?</v>
      </c>
      <c r="U1551" s="28" t="e">
        <f ca="1">[1]!BexGetData("DP_1","00O2TNJGODT0G5Z4TTKYMMUX1","GSON1112110114")</f>
        <v>#NAME?</v>
      </c>
      <c r="V1551" s="28" t="e">
        <f ca="1">[1]!BexGetData("DP_1","00O2TNJGODT0G5Z4TTKYMN18L","GSON1112110114")</f>
        <v>#NAME?</v>
      </c>
      <c r="W1551" s="28" t="e">
        <f ca="1">[1]!BexGetData("DP_1","00O2TNJGODT0G5Z4TTKYMN7K5","GSON1112110114")</f>
        <v>#NAME?</v>
      </c>
    </row>
    <row r="1552" spans="1:23" x14ac:dyDescent="0.2">
      <c r="A1552" s="36" t="s">
        <v>4204</v>
      </c>
      <c r="B1552" s="27" t="s">
        <v>4205</v>
      </c>
      <c r="C1552" s="23" t="e">
        <f ca="1">[1]!BexGetData("DP_1","003N8EMH8GTFRCSWKMPXRR8GU","GSON1112110140")</f>
        <v>#NAME?</v>
      </c>
      <c r="D1552" s="28" t="e">
        <f ca="1">[1]!BexGetData("DP_1","003N8EMH8GTFRCSWKMPXRRESE","GSON1112110140")</f>
        <v>#NAME?</v>
      </c>
      <c r="E1552" s="23" t="e">
        <f ca="1">[1]!BexGetData("DP_1","003N8EMH8GTFRCSWKMPXRRL3Y","GSON1112110140")</f>
        <v>#NAME?</v>
      </c>
      <c r="F1552" s="23" t="e">
        <f ca="1">[1]!BexGetData("DP_1","003N8EMH8GTFRCSWKMPXRRRFI","GSON1112110140")</f>
        <v>#NAME?</v>
      </c>
      <c r="G1552" s="28" t="e">
        <f ca="1">[1]!BexGetData("DP_1","003N8EMH8GTFRCSWKMPXRRXR2","GSON1112110140")</f>
        <v>#NAME?</v>
      </c>
      <c r="H1552" s="23" t="e">
        <f ca="1">[1]!BexGetData("DP_1","003N8EMH8GTFRCSWKMPXRS42M","GSON1112110140")</f>
        <v>#NAME?</v>
      </c>
      <c r="I1552" s="23" t="e">
        <f ca="1">[1]!BexGetData("DP_1","003N8EMH8GTFRCSWKMPXRSAE6","GSON1112110140")</f>
        <v>#NAME?</v>
      </c>
      <c r="J1552" s="23" t="e">
        <f ca="1">[1]!BexGetData("DP_1","003N8EMH8GTFRCSWKMPXRSGPQ","GSON1112110140")</f>
        <v>#NAME?</v>
      </c>
      <c r="K1552" s="23" t="e">
        <f ca="1">[1]!BexGetData("DP_1","003N8EMH8GTFRIVNUPY288VJH","GSON1112110140")</f>
        <v>#NAME?</v>
      </c>
      <c r="L1552" s="23" t="e">
        <f ca="1">[1]!BexGetData("DP_1","003N8EMH8GTFRIVNUPY2891V1","GSON1112110140")</f>
        <v>#NAME?</v>
      </c>
      <c r="M1552" s="28" t="e">
        <f ca="1">[1]!BexGetData("DP_1","003N8EMH8GTFRIVOG7KG9IQXA","GSON1112110140")</f>
        <v>#NAME?</v>
      </c>
      <c r="N1552" s="23" t="e">
        <f ca="1">[1]!BexGetData("DP_1","003N8EMH8GTFRIVOG7KG9IX8U","GSON1112110140")</f>
        <v>#NAME?</v>
      </c>
      <c r="O1552" s="28" t="e">
        <f ca="1">[1]!BexGetData("DP_1","003N8EMH8GTFRIVOG7KG9J3KE","GSON1112110140")</f>
        <v>#NAME?</v>
      </c>
      <c r="P1552" s="23" t="e">
        <f ca="1">[1]!BexGetData("DP_1","003N8EMH8GTFRIVOG7KG9J9VY","GSON1112110140")</f>
        <v>#NAME?</v>
      </c>
      <c r="Q1552" s="23" t="e">
        <f ca="1">[1]!BexGetData("DP_1","00O2TNJGODT0G5Z4TTKYMM5MT","GSON1112110140")</f>
        <v>#NAME?</v>
      </c>
      <c r="R1552" s="23" t="e">
        <f ca="1">[1]!BexGetData("DP_1","00O2TNJGODT0G5Z4TTKYMMBYD","GSON1112110140")</f>
        <v>#NAME?</v>
      </c>
      <c r="S1552" s="23" t="e">
        <f ca="1">[1]!BexGetData("DP_1","00O2TNJGODT0G5Z4TTKYMMI9X","GSON1112110140")</f>
        <v>#NAME?</v>
      </c>
      <c r="T1552" s="23" t="e">
        <f ca="1">[1]!BexGetData("DP_1","00O2TNJGODT0G5Z4TTKYMMOLH","GSON1112110140")</f>
        <v>#NAME?</v>
      </c>
      <c r="U1552" s="28" t="e">
        <f ca="1">[1]!BexGetData("DP_1","00O2TNJGODT0G5Z4TTKYMMUX1","GSON1112110140")</f>
        <v>#NAME?</v>
      </c>
      <c r="V1552" s="23" t="e">
        <f ca="1">[1]!BexGetData("DP_1","00O2TNJGODT0G5Z4TTKYMN18L","GSON1112110140")</f>
        <v>#NAME?</v>
      </c>
      <c r="W1552" s="28" t="e">
        <f ca="1">[1]!BexGetData("DP_1","00O2TNJGODT0G5Z4TTKYMN7K5","GSON1112110140")</f>
        <v>#NAME?</v>
      </c>
    </row>
    <row r="1553" spans="1:23" x14ac:dyDescent="0.2">
      <c r="A1553" s="36" t="s">
        <v>4206</v>
      </c>
      <c r="B1553" s="27" t="s">
        <v>4207</v>
      </c>
      <c r="C1553" s="24" t="e">
        <f ca="1">[1]!BexGetData("DP_1","003N8EMH8GTFRCSWKMPXRR8GU","GSON1112110144")</f>
        <v>#NAME?</v>
      </c>
      <c r="D1553" s="24" t="e">
        <f ca="1">[1]!BexGetData("DP_1","003N8EMH8GTFRCSWKMPXRRESE","GSON1112110144")</f>
        <v>#NAME?</v>
      </c>
      <c r="E1553" s="24" t="e">
        <f ca="1">[1]!BexGetData("DP_1","003N8EMH8GTFRCSWKMPXRRL3Y","GSON1112110144")</f>
        <v>#NAME?</v>
      </c>
      <c r="F1553" s="28" t="e">
        <f ca="1">[1]!BexGetData("DP_1","003N8EMH8GTFRCSWKMPXRRRFI","GSON1112110144")</f>
        <v>#NAME?</v>
      </c>
      <c r="G1553" s="23" t="e">
        <f ca="1">[1]!BexGetData("DP_1","003N8EMH8GTFRCSWKMPXRRXR2","GSON1112110144")</f>
        <v>#NAME?</v>
      </c>
      <c r="H1553" s="23" t="e">
        <f ca="1">[1]!BexGetData("DP_1","003N8EMH8GTFRCSWKMPXRS42M","GSON1112110144")</f>
        <v>#NAME?</v>
      </c>
      <c r="I1553" s="28" t="e">
        <f ca="1">[1]!BexGetData("DP_1","003N8EMH8GTFRCSWKMPXRSAE6","GSON1112110144")</f>
        <v>#NAME?</v>
      </c>
      <c r="J1553" s="24" t="e">
        <f ca="1">[1]!BexGetData("DP_1","003N8EMH8GTFRCSWKMPXRSGPQ","GSON1112110144")</f>
        <v>#NAME?</v>
      </c>
      <c r="K1553" s="28" t="e">
        <f ca="1">[1]!BexGetData("DP_1","003N8EMH8GTFRIVNUPY288VJH","GSON1112110144")</f>
        <v>#NAME?</v>
      </c>
      <c r="L1553" s="28" t="e">
        <f ca="1">[1]!BexGetData("DP_1","003N8EMH8GTFRIVNUPY2891V1","GSON1112110144")</f>
        <v>#NAME?</v>
      </c>
      <c r="M1553" s="28" t="e">
        <f ca="1">[1]!BexGetData("DP_1","003N8EMH8GTFRIVOG7KG9IQXA","GSON1112110144")</f>
        <v>#NAME?</v>
      </c>
      <c r="N1553" s="28" t="e">
        <f ca="1">[1]!BexGetData("DP_1","003N8EMH8GTFRIVOG7KG9IX8U","GSON1112110144")</f>
        <v>#NAME?</v>
      </c>
      <c r="O1553" s="28" t="e">
        <f ca="1">[1]!BexGetData("DP_1","003N8EMH8GTFRIVOG7KG9J3KE","GSON1112110144")</f>
        <v>#NAME?</v>
      </c>
      <c r="P1553" s="28" t="e">
        <f ca="1">[1]!BexGetData("DP_1","003N8EMH8GTFRIVOG7KG9J9VY","GSON1112110144")</f>
        <v>#NAME?</v>
      </c>
      <c r="Q1553" s="24" t="e">
        <f ca="1">[1]!BexGetData("DP_1","00O2TNJGODT0G5Z4TTKYMM5MT","GSON1112110144")</f>
        <v>#NAME?</v>
      </c>
      <c r="R1553" s="28" t="e">
        <f ca="1">[1]!BexGetData("DP_1","00O2TNJGODT0G5Z4TTKYMMBYD","GSON1112110144")</f>
        <v>#NAME?</v>
      </c>
      <c r="S1553" s="28" t="e">
        <f ca="1">[1]!BexGetData("DP_1","00O2TNJGODT0G5Z4TTKYMMI9X","GSON1112110144")</f>
        <v>#NAME?</v>
      </c>
      <c r="T1553" s="28" t="e">
        <f ca="1">[1]!BexGetData("DP_1","00O2TNJGODT0G5Z4TTKYMMOLH","GSON1112110144")</f>
        <v>#NAME?</v>
      </c>
      <c r="U1553" s="28" t="e">
        <f ca="1">[1]!BexGetData("DP_1","00O2TNJGODT0G5Z4TTKYMMUX1","GSON1112110144")</f>
        <v>#NAME?</v>
      </c>
      <c r="V1553" s="28" t="e">
        <f ca="1">[1]!BexGetData("DP_1","00O2TNJGODT0G5Z4TTKYMN18L","GSON1112110144")</f>
        <v>#NAME?</v>
      </c>
      <c r="W1553" s="28" t="e">
        <f ca="1">[1]!BexGetData("DP_1","00O2TNJGODT0G5Z4TTKYMN7K5","GSON1112110144")</f>
        <v>#NAME?</v>
      </c>
    </row>
    <row r="1554" spans="1:23" x14ac:dyDescent="0.2">
      <c r="A1554" s="36" t="s">
        <v>4208</v>
      </c>
      <c r="B1554" s="27" t="s">
        <v>4209</v>
      </c>
      <c r="C1554" s="23" t="e">
        <f ca="1">[1]!BexGetData("DP_1","003N8EMH8GTFRCSWKMPXRR8GU","GSON1112110145")</f>
        <v>#NAME?</v>
      </c>
      <c r="D1554" s="23" t="e">
        <f ca="1">[1]!BexGetData("DP_1","003N8EMH8GTFRCSWKMPXRRESE","GSON1112110145")</f>
        <v>#NAME?</v>
      </c>
      <c r="E1554" s="28" t="e">
        <f ca="1">[1]!BexGetData("DP_1","003N8EMH8GTFRCSWKMPXRRL3Y","GSON1112110145")</f>
        <v>#NAME?</v>
      </c>
      <c r="F1554" s="24" t="e">
        <f ca="1">[1]!BexGetData("DP_1","003N8EMH8GTFRCSWKMPXRRRFI","GSON1112110145")</f>
        <v>#NAME?</v>
      </c>
      <c r="G1554" s="24" t="e">
        <f ca="1">[1]!BexGetData("DP_1","003N8EMH8GTFRCSWKMPXRRXR2","GSON1112110145")</f>
        <v>#NAME?</v>
      </c>
      <c r="H1554" s="24" t="e">
        <f ca="1">[1]!BexGetData("DP_1","003N8EMH8GTFRCSWKMPXRS42M","GSON1112110145")</f>
        <v>#NAME?</v>
      </c>
      <c r="I1554" s="24" t="e">
        <f ca="1">[1]!BexGetData("DP_1","003N8EMH8GTFRCSWKMPXRSAE6","GSON1112110145")</f>
        <v>#NAME?</v>
      </c>
      <c r="J1554" s="24" t="e">
        <f ca="1">[1]!BexGetData("DP_1","003N8EMH8GTFRCSWKMPXRSGPQ","GSON1112110145")</f>
        <v>#NAME?</v>
      </c>
      <c r="K1554" s="28" t="e">
        <f ca="1">[1]!BexGetData("DP_1","003N8EMH8GTFRIVNUPY288VJH","GSON1112110145")</f>
        <v>#NAME?</v>
      </c>
      <c r="L1554" s="28" t="e">
        <f ca="1">[1]!BexGetData("DP_1","003N8EMH8GTFRIVNUPY2891V1","GSON1112110145")</f>
        <v>#NAME?</v>
      </c>
      <c r="M1554" s="28" t="e">
        <f ca="1">[1]!BexGetData("DP_1","003N8EMH8GTFRIVOG7KG9IQXA","GSON1112110145")</f>
        <v>#NAME?</v>
      </c>
      <c r="N1554" s="28" t="e">
        <f ca="1">[1]!BexGetData("DP_1","003N8EMH8GTFRIVOG7KG9IX8U","GSON1112110145")</f>
        <v>#NAME?</v>
      </c>
      <c r="O1554" s="28" t="e">
        <f ca="1">[1]!BexGetData("DP_1","003N8EMH8GTFRIVOG7KG9J3KE","GSON1112110145")</f>
        <v>#NAME?</v>
      </c>
      <c r="P1554" s="28" t="e">
        <f ca="1">[1]!BexGetData("DP_1","003N8EMH8GTFRIVOG7KG9J9VY","GSON1112110145")</f>
        <v>#NAME?</v>
      </c>
      <c r="Q1554" s="24" t="e">
        <f ca="1">[1]!BexGetData("DP_1","00O2TNJGODT0G5Z4TTKYMM5MT","GSON1112110145")</f>
        <v>#NAME?</v>
      </c>
      <c r="R1554" s="24" t="e">
        <f ca="1">[1]!BexGetData("DP_1","00O2TNJGODT0G5Z4TTKYMMBYD","GSON1112110145")</f>
        <v>#NAME?</v>
      </c>
      <c r="S1554" s="24" t="e">
        <f ca="1">[1]!BexGetData("DP_1","00O2TNJGODT0G5Z4TTKYMMI9X","GSON1112110145")</f>
        <v>#NAME?</v>
      </c>
      <c r="T1554" s="24" t="e">
        <f ca="1">[1]!BexGetData("DP_1","00O2TNJGODT0G5Z4TTKYMMOLH","GSON1112110145")</f>
        <v>#NAME?</v>
      </c>
      <c r="U1554" s="24" t="e">
        <f ca="1">[1]!BexGetData("DP_1","00O2TNJGODT0G5Z4TTKYMMUX1","GSON1112110145")</f>
        <v>#NAME?</v>
      </c>
      <c r="V1554" s="24" t="e">
        <f ca="1">[1]!BexGetData("DP_1","00O2TNJGODT0G5Z4TTKYMN18L","GSON1112110145")</f>
        <v>#NAME?</v>
      </c>
      <c r="W1554" s="24" t="e">
        <f ca="1">[1]!BexGetData("DP_1","00O2TNJGODT0G5Z4TTKYMN7K5","GSON1112110145")</f>
        <v>#NAME?</v>
      </c>
    </row>
    <row r="1555" spans="1:23" x14ac:dyDescent="0.2">
      <c r="A1555" s="36" t="s">
        <v>4210</v>
      </c>
      <c r="B1555" s="27" t="s">
        <v>4211</v>
      </c>
      <c r="C1555" s="28" t="e">
        <f ca="1">[1]!BexGetData("DP_1","003N8EMH8GTFRCSWKMPXRR8GU","GSON1112110160")</f>
        <v>#NAME?</v>
      </c>
      <c r="D1555" s="28" t="e">
        <f ca="1">[1]!BexGetData("DP_1","003N8EMH8GTFRCSWKMPXRRESE","GSON1112110160")</f>
        <v>#NAME?</v>
      </c>
      <c r="E1555" s="23" t="e">
        <f ca="1">[1]!BexGetData("DP_1","003N8EMH8GTFRCSWKMPXRRL3Y","GSON1112110160")</f>
        <v>#NAME?</v>
      </c>
      <c r="F1555" s="23" t="e">
        <f ca="1">[1]!BexGetData("DP_1","003N8EMH8GTFRCSWKMPXRRRFI","GSON1112110160")</f>
        <v>#NAME?</v>
      </c>
      <c r="G1555" s="23" t="e">
        <f ca="1">[1]!BexGetData("DP_1","003N8EMH8GTFRCSWKMPXRRXR2","GSON1112110160")</f>
        <v>#NAME?</v>
      </c>
      <c r="H1555" s="23" t="e">
        <f ca="1">[1]!BexGetData("DP_1","003N8EMH8GTFRCSWKMPXRS42M","GSON1112110160")</f>
        <v>#NAME?</v>
      </c>
      <c r="I1555" s="23" t="e">
        <f ca="1">[1]!BexGetData("DP_1","003N8EMH8GTFRCSWKMPXRSAE6","GSON1112110160")</f>
        <v>#NAME?</v>
      </c>
      <c r="J1555" s="23" t="e">
        <f ca="1">[1]!BexGetData("DP_1","003N8EMH8GTFRCSWKMPXRSGPQ","GSON1112110160")</f>
        <v>#NAME?</v>
      </c>
      <c r="K1555" s="28" t="e">
        <f ca="1">[1]!BexGetData("DP_1","003N8EMH8GTFRIVNUPY288VJH","GSON1112110160")</f>
        <v>#NAME?</v>
      </c>
      <c r="L1555" s="28" t="e">
        <f ca="1">[1]!BexGetData("DP_1","003N8EMH8GTFRIVNUPY2891V1","GSON1112110160")</f>
        <v>#NAME?</v>
      </c>
      <c r="M1555" s="28" t="e">
        <f ca="1">[1]!BexGetData("DP_1","003N8EMH8GTFRIVOG7KG9IQXA","GSON1112110160")</f>
        <v>#NAME?</v>
      </c>
      <c r="N1555" s="28" t="e">
        <f ca="1">[1]!BexGetData("DP_1","003N8EMH8GTFRIVOG7KG9IX8U","GSON1112110160")</f>
        <v>#NAME?</v>
      </c>
      <c r="O1555" s="28" t="e">
        <f ca="1">[1]!BexGetData("DP_1","003N8EMH8GTFRIVOG7KG9J3KE","GSON1112110160")</f>
        <v>#NAME?</v>
      </c>
      <c r="P1555" s="28" t="e">
        <f ca="1">[1]!BexGetData("DP_1","003N8EMH8GTFRIVOG7KG9J9VY","GSON1112110160")</f>
        <v>#NAME?</v>
      </c>
      <c r="Q1555" s="23" t="e">
        <f ca="1">[1]!BexGetData("DP_1","00O2TNJGODT0G5Z4TTKYMM5MT","GSON1112110160")</f>
        <v>#NAME?</v>
      </c>
      <c r="R1555" s="23" t="e">
        <f ca="1">[1]!BexGetData("DP_1","00O2TNJGODT0G5Z4TTKYMMBYD","GSON1112110160")</f>
        <v>#NAME?</v>
      </c>
      <c r="S1555" s="23" t="e">
        <f ca="1">[1]!BexGetData("DP_1","00O2TNJGODT0G5Z4TTKYMMI9X","GSON1112110160")</f>
        <v>#NAME?</v>
      </c>
      <c r="T1555" s="23" t="e">
        <f ca="1">[1]!BexGetData("DP_1","00O2TNJGODT0G5Z4TTKYMMOLH","GSON1112110160")</f>
        <v>#NAME?</v>
      </c>
      <c r="U1555" s="28" t="e">
        <f ca="1">[1]!BexGetData("DP_1","00O2TNJGODT0G5Z4TTKYMMUX1","GSON1112110160")</f>
        <v>#NAME?</v>
      </c>
      <c r="V1555" s="23" t="e">
        <f ca="1">[1]!BexGetData("DP_1","00O2TNJGODT0G5Z4TTKYMN18L","GSON1112110160")</f>
        <v>#NAME?</v>
      </c>
      <c r="W1555" s="28" t="e">
        <f ca="1">[1]!BexGetData("DP_1","00O2TNJGODT0G5Z4TTKYMN7K5","GSON1112110160")</f>
        <v>#NAME?</v>
      </c>
    </row>
    <row r="1556" spans="1:23" x14ac:dyDescent="0.2">
      <c r="A1556" s="36" t="s">
        <v>4212</v>
      </c>
      <c r="B1556" s="27" t="s">
        <v>4213</v>
      </c>
      <c r="C1556" s="28" t="e">
        <f ca="1">[1]!BexGetData("DP_1","003N8EMH8GTFRCSWKMPXRR8GU","GSON1112110161")</f>
        <v>#NAME?</v>
      </c>
      <c r="D1556" s="28" t="e">
        <f ca="1">[1]!BexGetData("DP_1","003N8EMH8GTFRCSWKMPXRRESE","GSON1112110161")</f>
        <v>#NAME?</v>
      </c>
      <c r="E1556" s="28" t="e">
        <f ca="1">[1]!BexGetData("DP_1","003N8EMH8GTFRCSWKMPXRRL3Y","GSON1112110161")</f>
        <v>#NAME?</v>
      </c>
      <c r="F1556" s="28" t="e">
        <f ca="1">[1]!BexGetData("DP_1","003N8EMH8GTFRCSWKMPXRRRFI","GSON1112110161")</f>
        <v>#NAME?</v>
      </c>
      <c r="G1556" s="23" t="e">
        <f ca="1">[1]!BexGetData("DP_1","003N8EMH8GTFRCSWKMPXRRXR2","GSON1112110161")</f>
        <v>#NAME?</v>
      </c>
      <c r="H1556" s="23" t="e">
        <f ca="1">[1]!BexGetData("DP_1","003N8EMH8GTFRCSWKMPXRS42M","GSON1112110161")</f>
        <v>#NAME?</v>
      </c>
      <c r="I1556" s="28" t="e">
        <f ca="1">[1]!BexGetData("DP_1","003N8EMH8GTFRCSWKMPXRSAE6","GSON1112110161")</f>
        <v>#NAME?</v>
      </c>
      <c r="J1556" s="24" t="e">
        <f ca="1">[1]!BexGetData("DP_1","003N8EMH8GTFRCSWKMPXRSGPQ","GSON1112110161")</f>
        <v>#NAME?</v>
      </c>
      <c r="K1556" s="28" t="e">
        <f ca="1">[1]!BexGetData("DP_1","003N8EMH8GTFRIVNUPY288VJH","GSON1112110161")</f>
        <v>#NAME?</v>
      </c>
      <c r="L1556" s="28" t="e">
        <f ca="1">[1]!BexGetData("DP_1","003N8EMH8GTFRIVNUPY2891V1","GSON1112110161")</f>
        <v>#NAME?</v>
      </c>
      <c r="M1556" s="28" t="e">
        <f ca="1">[1]!BexGetData("DP_1","003N8EMH8GTFRIVOG7KG9IQXA","GSON1112110161")</f>
        <v>#NAME?</v>
      </c>
      <c r="N1556" s="28" t="e">
        <f ca="1">[1]!BexGetData("DP_1","003N8EMH8GTFRIVOG7KG9IX8U","GSON1112110161")</f>
        <v>#NAME?</v>
      </c>
      <c r="O1556" s="28" t="e">
        <f ca="1">[1]!BexGetData("DP_1","003N8EMH8GTFRIVOG7KG9J3KE","GSON1112110161")</f>
        <v>#NAME?</v>
      </c>
      <c r="P1556" s="28" t="e">
        <f ca="1">[1]!BexGetData("DP_1","003N8EMH8GTFRIVOG7KG9J9VY","GSON1112110161")</f>
        <v>#NAME?</v>
      </c>
      <c r="Q1556" s="24" t="e">
        <f ca="1">[1]!BexGetData("DP_1","00O2TNJGODT0G5Z4TTKYMM5MT","GSON1112110161")</f>
        <v>#NAME?</v>
      </c>
      <c r="R1556" s="28" t="e">
        <f ca="1">[1]!BexGetData("DP_1","00O2TNJGODT0G5Z4TTKYMMBYD","GSON1112110161")</f>
        <v>#NAME?</v>
      </c>
      <c r="S1556" s="28" t="e">
        <f ca="1">[1]!BexGetData("DP_1","00O2TNJGODT0G5Z4TTKYMMI9X","GSON1112110161")</f>
        <v>#NAME?</v>
      </c>
      <c r="T1556" s="28" t="e">
        <f ca="1">[1]!BexGetData("DP_1","00O2TNJGODT0G5Z4TTKYMMOLH","GSON1112110161")</f>
        <v>#NAME?</v>
      </c>
      <c r="U1556" s="28" t="e">
        <f ca="1">[1]!BexGetData("DP_1","00O2TNJGODT0G5Z4TTKYMMUX1","GSON1112110161")</f>
        <v>#NAME?</v>
      </c>
      <c r="V1556" s="28" t="e">
        <f ca="1">[1]!BexGetData("DP_1","00O2TNJGODT0G5Z4TTKYMN18L","GSON1112110161")</f>
        <v>#NAME?</v>
      </c>
      <c r="W1556" s="28" t="e">
        <f ca="1">[1]!BexGetData("DP_1","00O2TNJGODT0G5Z4TTKYMN7K5","GSON1112110161")</f>
        <v>#NAME?</v>
      </c>
    </row>
    <row r="1557" spans="1:23" x14ac:dyDescent="0.2">
      <c r="A1557" s="36" t="s">
        <v>4214</v>
      </c>
      <c r="B1557" s="27" t="s">
        <v>4215</v>
      </c>
      <c r="C1557" s="24" t="e">
        <f ca="1">[1]!BexGetData("DP_1","003N8EMH8GTFRCSWKMPXRR8GU","GSON1112110163")</f>
        <v>#NAME?</v>
      </c>
      <c r="D1557" s="24" t="e">
        <f ca="1">[1]!BexGetData("DP_1","003N8EMH8GTFRCSWKMPXRRESE","GSON1112110163")</f>
        <v>#NAME?</v>
      </c>
      <c r="E1557" s="24" t="e">
        <f ca="1">[1]!BexGetData("DP_1","003N8EMH8GTFRCSWKMPXRRL3Y","GSON1112110163")</f>
        <v>#NAME?</v>
      </c>
      <c r="F1557" s="28" t="e">
        <f ca="1">[1]!BexGetData("DP_1","003N8EMH8GTFRCSWKMPXRRRFI","GSON1112110163")</f>
        <v>#NAME?</v>
      </c>
      <c r="G1557" s="23" t="e">
        <f ca="1">[1]!BexGetData("DP_1","003N8EMH8GTFRCSWKMPXRRXR2","GSON1112110163")</f>
        <v>#NAME?</v>
      </c>
      <c r="H1557" s="23" t="e">
        <f ca="1">[1]!BexGetData("DP_1","003N8EMH8GTFRCSWKMPXRS42M","GSON1112110163")</f>
        <v>#NAME?</v>
      </c>
      <c r="I1557" s="28" t="e">
        <f ca="1">[1]!BexGetData("DP_1","003N8EMH8GTFRCSWKMPXRSAE6","GSON1112110163")</f>
        <v>#NAME?</v>
      </c>
      <c r="J1557" s="24" t="e">
        <f ca="1">[1]!BexGetData("DP_1","003N8EMH8GTFRCSWKMPXRSGPQ","GSON1112110163")</f>
        <v>#NAME?</v>
      </c>
      <c r="K1557" s="28" t="e">
        <f ca="1">[1]!BexGetData("DP_1","003N8EMH8GTFRIVNUPY288VJH","GSON1112110163")</f>
        <v>#NAME?</v>
      </c>
      <c r="L1557" s="28" t="e">
        <f ca="1">[1]!BexGetData("DP_1","003N8EMH8GTFRIVNUPY2891V1","GSON1112110163")</f>
        <v>#NAME?</v>
      </c>
      <c r="M1557" s="28" t="e">
        <f ca="1">[1]!BexGetData("DP_1","003N8EMH8GTFRIVOG7KG9IQXA","GSON1112110163")</f>
        <v>#NAME?</v>
      </c>
      <c r="N1557" s="28" t="e">
        <f ca="1">[1]!BexGetData("DP_1","003N8EMH8GTFRIVOG7KG9IX8U","GSON1112110163")</f>
        <v>#NAME?</v>
      </c>
      <c r="O1557" s="28" t="e">
        <f ca="1">[1]!BexGetData("DP_1","003N8EMH8GTFRIVOG7KG9J3KE","GSON1112110163")</f>
        <v>#NAME?</v>
      </c>
      <c r="P1557" s="28" t="e">
        <f ca="1">[1]!BexGetData("DP_1","003N8EMH8GTFRIVOG7KG9J9VY","GSON1112110163")</f>
        <v>#NAME?</v>
      </c>
      <c r="Q1557" s="24" t="e">
        <f ca="1">[1]!BexGetData("DP_1","00O2TNJGODT0G5Z4TTKYMM5MT","GSON1112110163")</f>
        <v>#NAME?</v>
      </c>
      <c r="R1557" s="28" t="e">
        <f ca="1">[1]!BexGetData("DP_1","00O2TNJGODT0G5Z4TTKYMMBYD","GSON1112110163")</f>
        <v>#NAME?</v>
      </c>
      <c r="S1557" s="28" t="e">
        <f ca="1">[1]!BexGetData("DP_1","00O2TNJGODT0G5Z4TTKYMMI9X","GSON1112110163")</f>
        <v>#NAME?</v>
      </c>
      <c r="T1557" s="28" t="e">
        <f ca="1">[1]!BexGetData("DP_1","00O2TNJGODT0G5Z4TTKYMMOLH","GSON1112110163")</f>
        <v>#NAME?</v>
      </c>
      <c r="U1557" s="28" t="e">
        <f ca="1">[1]!BexGetData("DP_1","00O2TNJGODT0G5Z4TTKYMMUX1","GSON1112110163")</f>
        <v>#NAME?</v>
      </c>
      <c r="V1557" s="28" t="e">
        <f ca="1">[1]!BexGetData("DP_1","00O2TNJGODT0G5Z4TTKYMN18L","GSON1112110163")</f>
        <v>#NAME?</v>
      </c>
      <c r="W1557" s="28" t="e">
        <f ca="1">[1]!BexGetData("DP_1","00O2TNJGODT0G5Z4TTKYMN7K5","GSON1112110163")</f>
        <v>#NAME?</v>
      </c>
    </row>
    <row r="1558" spans="1:23" x14ac:dyDescent="0.2">
      <c r="A1558" s="36" t="s">
        <v>4216</v>
      </c>
      <c r="B1558" s="27" t="s">
        <v>4217</v>
      </c>
      <c r="C1558" s="24" t="e">
        <f ca="1">[1]!BexGetData("DP_1","003N8EMH8GTFRCSWKMPXRR8GU","GSON1112110164")</f>
        <v>#NAME?</v>
      </c>
      <c r="D1558" s="24" t="e">
        <f ca="1">[1]!BexGetData("DP_1","003N8EMH8GTFRCSWKMPXRRESE","GSON1112110164")</f>
        <v>#NAME?</v>
      </c>
      <c r="E1558" s="24" t="e">
        <f ca="1">[1]!BexGetData("DP_1","003N8EMH8GTFRCSWKMPXRRL3Y","GSON1112110164")</f>
        <v>#NAME?</v>
      </c>
      <c r="F1558" s="28" t="e">
        <f ca="1">[1]!BexGetData("DP_1","003N8EMH8GTFRCSWKMPXRRRFI","GSON1112110164")</f>
        <v>#NAME?</v>
      </c>
      <c r="G1558" s="23" t="e">
        <f ca="1">[1]!BexGetData("DP_1","003N8EMH8GTFRCSWKMPXRRXR2","GSON1112110164")</f>
        <v>#NAME?</v>
      </c>
      <c r="H1558" s="23" t="e">
        <f ca="1">[1]!BexGetData("DP_1","003N8EMH8GTFRCSWKMPXRS42M","GSON1112110164")</f>
        <v>#NAME?</v>
      </c>
      <c r="I1558" s="28" t="e">
        <f ca="1">[1]!BexGetData("DP_1","003N8EMH8GTFRCSWKMPXRSAE6","GSON1112110164")</f>
        <v>#NAME?</v>
      </c>
      <c r="J1558" s="24" t="e">
        <f ca="1">[1]!BexGetData("DP_1","003N8EMH8GTFRCSWKMPXRSGPQ","GSON1112110164")</f>
        <v>#NAME?</v>
      </c>
      <c r="K1558" s="28" t="e">
        <f ca="1">[1]!BexGetData("DP_1","003N8EMH8GTFRIVNUPY288VJH","GSON1112110164")</f>
        <v>#NAME?</v>
      </c>
      <c r="L1558" s="28" t="e">
        <f ca="1">[1]!BexGetData("DP_1","003N8EMH8GTFRIVNUPY2891V1","GSON1112110164")</f>
        <v>#NAME?</v>
      </c>
      <c r="M1558" s="28" t="e">
        <f ca="1">[1]!BexGetData("DP_1","003N8EMH8GTFRIVOG7KG9IQXA","GSON1112110164")</f>
        <v>#NAME?</v>
      </c>
      <c r="N1558" s="28" t="e">
        <f ca="1">[1]!BexGetData("DP_1","003N8EMH8GTFRIVOG7KG9IX8U","GSON1112110164")</f>
        <v>#NAME?</v>
      </c>
      <c r="O1558" s="28" t="e">
        <f ca="1">[1]!BexGetData("DP_1","003N8EMH8GTFRIVOG7KG9J3KE","GSON1112110164")</f>
        <v>#NAME?</v>
      </c>
      <c r="P1558" s="28" t="e">
        <f ca="1">[1]!BexGetData("DP_1","003N8EMH8GTFRIVOG7KG9J9VY","GSON1112110164")</f>
        <v>#NAME?</v>
      </c>
      <c r="Q1558" s="24" t="e">
        <f ca="1">[1]!BexGetData("DP_1","00O2TNJGODT0G5Z4TTKYMM5MT","GSON1112110164")</f>
        <v>#NAME?</v>
      </c>
      <c r="R1558" s="28" t="e">
        <f ca="1">[1]!BexGetData("DP_1","00O2TNJGODT0G5Z4TTKYMMBYD","GSON1112110164")</f>
        <v>#NAME?</v>
      </c>
      <c r="S1558" s="28" t="e">
        <f ca="1">[1]!BexGetData("DP_1","00O2TNJGODT0G5Z4TTKYMMI9X","GSON1112110164")</f>
        <v>#NAME?</v>
      </c>
      <c r="T1558" s="28" t="e">
        <f ca="1">[1]!BexGetData("DP_1","00O2TNJGODT0G5Z4TTKYMMOLH","GSON1112110164")</f>
        <v>#NAME?</v>
      </c>
      <c r="U1558" s="28" t="e">
        <f ca="1">[1]!BexGetData("DP_1","00O2TNJGODT0G5Z4TTKYMMUX1","GSON1112110164")</f>
        <v>#NAME?</v>
      </c>
      <c r="V1558" s="28" t="e">
        <f ca="1">[1]!BexGetData("DP_1","00O2TNJGODT0G5Z4TTKYMN18L","GSON1112110164")</f>
        <v>#NAME?</v>
      </c>
      <c r="W1558" s="28" t="e">
        <f ca="1">[1]!BexGetData("DP_1","00O2TNJGODT0G5Z4TTKYMN7K5","GSON1112110164")</f>
        <v>#NAME?</v>
      </c>
    </row>
    <row r="1559" spans="1:23" x14ac:dyDescent="0.2">
      <c r="A1559" s="36" t="s">
        <v>4218</v>
      </c>
      <c r="B1559" s="27" t="s">
        <v>4219</v>
      </c>
      <c r="C1559" s="24" t="e">
        <f ca="1">[1]!BexGetData("DP_1","003N8EMH8GTFRCSWKMPXRR8GU","GSON1112110165")</f>
        <v>#NAME?</v>
      </c>
      <c r="D1559" s="24" t="e">
        <f ca="1">[1]!BexGetData("DP_1","003N8EMH8GTFRCSWKMPXRRESE","GSON1112110165")</f>
        <v>#NAME?</v>
      </c>
      <c r="E1559" s="24" t="e">
        <f ca="1">[1]!BexGetData("DP_1","003N8EMH8GTFRCSWKMPXRRL3Y","GSON1112110165")</f>
        <v>#NAME?</v>
      </c>
      <c r="F1559" s="28" t="e">
        <f ca="1">[1]!BexGetData("DP_1","003N8EMH8GTFRCSWKMPXRRRFI","GSON1112110165")</f>
        <v>#NAME?</v>
      </c>
      <c r="G1559" s="23" t="e">
        <f ca="1">[1]!BexGetData("DP_1","003N8EMH8GTFRCSWKMPXRRXR2","GSON1112110165")</f>
        <v>#NAME?</v>
      </c>
      <c r="H1559" s="23" t="e">
        <f ca="1">[1]!BexGetData("DP_1","003N8EMH8GTFRCSWKMPXRS42M","GSON1112110165")</f>
        <v>#NAME?</v>
      </c>
      <c r="I1559" s="28" t="e">
        <f ca="1">[1]!BexGetData("DP_1","003N8EMH8GTFRCSWKMPXRSAE6","GSON1112110165")</f>
        <v>#NAME?</v>
      </c>
      <c r="J1559" s="24" t="e">
        <f ca="1">[1]!BexGetData("DP_1","003N8EMH8GTFRCSWKMPXRSGPQ","GSON1112110165")</f>
        <v>#NAME?</v>
      </c>
      <c r="K1559" s="28" t="e">
        <f ca="1">[1]!BexGetData("DP_1","003N8EMH8GTFRIVNUPY288VJH","GSON1112110165")</f>
        <v>#NAME?</v>
      </c>
      <c r="L1559" s="28" t="e">
        <f ca="1">[1]!BexGetData("DP_1","003N8EMH8GTFRIVNUPY2891V1","GSON1112110165")</f>
        <v>#NAME?</v>
      </c>
      <c r="M1559" s="28" t="e">
        <f ca="1">[1]!BexGetData("DP_1","003N8EMH8GTFRIVOG7KG9IQXA","GSON1112110165")</f>
        <v>#NAME?</v>
      </c>
      <c r="N1559" s="28" t="e">
        <f ca="1">[1]!BexGetData("DP_1","003N8EMH8GTFRIVOG7KG9IX8U","GSON1112110165")</f>
        <v>#NAME?</v>
      </c>
      <c r="O1559" s="28" t="e">
        <f ca="1">[1]!BexGetData("DP_1","003N8EMH8GTFRIVOG7KG9J3KE","GSON1112110165")</f>
        <v>#NAME?</v>
      </c>
      <c r="P1559" s="28" t="e">
        <f ca="1">[1]!BexGetData("DP_1","003N8EMH8GTFRIVOG7KG9J9VY","GSON1112110165")</f>
        <v>#NAME?</v>
      </c>
      <c r="Q1559" s="24" t="e">
        <f ca="1">[1]!BexGetData("DP_1","00O2TNJGODT0G5Z4TTKYMM5MT","GSON1112110165")</f>
        <v>#NAME?</v>
      </c>
      <c r="R1559" s="28" t="e">
        <f ca="1">[1]!BexGetData("DP_1","00O2TNJGODT0G5Z4TTKYMMBYD","GSON1112110165")</f>
        <v>#NAME?</v>
      </c>
      <c r="S1559" s="28" t="e">
        <f ca="1">[1]!BexGetData("DP_1","00O2TNJGODT0G5Z4TTKYMMI9X","GSON1112110165")</f>
        <v>#NAME?</v>
      </c>
      <c r="T1559" s="28" t="e">
        <f ca="1">[1]!BexGetData("DP_1","00O2TNJGODT0G5Z4TTKYMMOLH","GSON1112110165")</f>
        <v>#NAME?</v>
      </c>
      <c r="U1559" s="28" t="e">
        <f ca="1">[1]!BexGetData("DP_1","00O2TNJGODT0G5Z4TTKYMMUX1","GSON1112110165")</f>
        <v>#NAME?</v>
      </c>
      <c r="V1559" s="28" t="e">
        <f ca="1">[1]!BexGetData("DP_1","00O2TNJGODT0G5Z4TTKYMN18L","GSON1112110165")</f>
        <v>#NAME?</v>
      </c>
      <c r="W1559" s="28" t="e">
        <f ca="1">[1]!BexGetData("DP_1","00O2TNJGODT0G5Z4TTKYMN7K5","GSON1112110165")</f>
        <v>#NAME?</v>
      </c>
    </row>
    <row r="1560" spans="1:23" x14ac:dyDescent="0.2">
      <c r="A1560" s="36" t="s">
        <v>4220</v>
      </c>
      <c r="B1560" s="27" t="s">
        <v>1116</v>
      </c>
      <c r="C1560" s="23" t="e">
        <f ca="1">[1]!BexGetData("DP_1","003N8EMH8GTFRCSWKMPXRR8GU","GSON1112110210")</f>
        <v>#NAME?</v>
      </c>
      <c r="D1560" s="23" t="e">
        <f ca="1">[1]!BexGetData("DP_1","003N8EMH8GTFRCSWKMPXRRESE","GSON1112110210")</f>
        <v>#NAME?</v>
      </c>
      <c r="E1560" s="23" t="e">
        <f ca="1">[1]!BexGetData("DP_1","003N8EMH8GTFRCSWKMPXRRL3Y","GSON1112110210")</f>
        <v>#NAME?</v>
      </c>
      <c r="F1560" s="23" t="e">
        <f ca="1">[1]!BexGetData("DP_1","003N8EMH8GTFRCSWKMPXRRRFI","GSON1112110210")</f>
        <v>#NAME?</v>
      </c>
      <c r="G1560" s="23" t="e">
        <f ca="1">[1]!BexGetData("DP_1","003N8EMH8GTFRCSWKMPXRRXR2","GSON1112110210")</f>
        <v>#NAME?</v>
      </c>
      <c r="H1560" s="23" t="e">
        <f ca="1">[1]!BexGetData("DP_1","003N8EMH8GTFRCSWKMPXRS42M","GSON1112110210")</f>
        <v>#NAME?</v>
      </c>
      <c r="I1560" s="23" t="e">
        <f ca="1">[1]!BexGetData("DP_1","003N8EMH8GTFRCSWKMPXRSAE6","GSON1112110210")</f>
        <v>#NAME?</v>
      </c>
      <c r="J1560" s="23" t="e">
        <f ca="1">[1]!BexGetData("DP_1","003N8EMH8GTFRCSWKMPXRSGPQ","GSON1112110210")</f>
        <v>#NAME?</v>
      </c>
      <c r="K1560" s="23" t="e">
        <f ca="1">[1]!BexGetData("DP_1","003N8EMH8GTFRIVNUPY288VJH","GSON1112110210")</f>
        <v>#NAME?</v>
      </c>
      <c r="L1560" s="23" t="e">
        <f ca="1">[1]!BexGetData("DP_1","003N8EMH8GTFRIVNUPY2891V1","GSON1112110210")</f>
        <v>#NAME?</v>
      </c>
      <c r="M1560" s="28" t="e">
        <f ca="1">[1]!BexGetData("DP_1","003N8EMH8GTFRIVOG7KG9IQXA","GSON1112110210")</f>
        <v>#NAME?</v>
      </c>
      <c r="N1560" s="23" t="e">
        <f ca="1">[1]!BexGetData("DP_1","003N8EMH8GTFRIVOG7KG9IX8U","GSON1112110210")</f>
        <v>#NAME?</v>
      </c>
      <c r="O1560" s="28" t="e">
        <f ca="1">[1]!BexGetData("DP_1","003N8EMH8GTFRIVOG7KG9J3KE","GSON1112110210")</f>
        <v>#NAME?</v>
      </c>
      <c r="P1560" s="23" t="e">
        <f ca="1">[1]!BexGetData("DP_1","003N8EMH8GTFRIVOG7KG9J9VY","GSON1112110210")</f>
        <v>#NAME?</v>
      </c>
      <c r="Q1560" s="23" t="e">
        <f ca="1">[1]!BexGetData("DP_1","00O2TNJGODT0G5Z4TTKYMM5MT","GSON1112110210")</f>
        <v>#NAME?</v>
      </c>
      <c r="R1560" s="23" t="e">
        <f ca="1">[1]!BexGetData("DP_1","00O2TNJGODT0G5Z4TTKYMMBYD","GSON1112110210")</f>
        <v>#NAME?</v>
      </c>
      <c r="S1560" s="23" t="e">
        <f ca="1">[1]!BexGetData("DP_1","00O2TNJGODT0G5Z4TTKYMMI9X","GSON1112110210")</f>
        <v>#NAME?</v>
      </c>
      <c r="T1560" s="28" t="e">
        <f ca="1">[1]!BexGetData("DP_1","00O2TNJGODT0G5Z4TTKYMMOLH","GSON1112110210")</f>
        <v>#NAME?</v>
      </c>
      <c r="U1560" s="23" t="e">
        <f ca="1">[1]!BexGetData("DP_1","00O2TNJGODT0G5Z4TTKYMMUX1","GSON1112110210")</f>
        <v>#NAME?</v>
      </c>
      <c r="V1560" s="28" t="e">
        <f ca="1">[1]!BexGetData("DP_1","00O2TNJGODT0G5Z4TTKYMN18L","GSON1112110210")</f>
        <v>#NAME?</v>
      </c>
      <c r="W1560" s="23" t="e">
        <f ca="1">[1]!BexGetData("DP_1","00O2TNJGODT0G5Z4TTKYMN7K5","GSON1112110210")</f>
        <v>#NAME?</v>
      </c>
    </row>
    <row r="1561" spans="1:23" x14ac:dyDescent="0.2">
      <c r="A1561" s="36" t="s">
        <v>1117</v>
      </c>
      <c r="B1561" s="27" t="s">
        <v>1118</v>
      </c>
      <c r="C1561" s="23" t="e">
        <f ca="1">[1]!BexGetData("DP_1","003N8EMH8GTFRCSWKMPXRR8GU","GSON1112110211")</f>
        <v>#NAME?</v>
      </c>
      <c r="D1561" s="23" t="e">
        <f ca="1">[1]!BexGetData("DP_1","003N8EMH8GTFRCSWKMPXRRESE","GSON1112110211")</f>
        <v>#NAME?</v>
      </c>
      <c r="E1561" s="28" t="e">
        <f ca="1">[1]!BexGetData("DP_1","003N8EMH8GTFRCSWKMPXRRL3Y","GSON1112110211")</f>
        <v>#NAME?</v>
      </c>
      <c r="F1561" s="28" t="e">
        <f ca="1">[1]!BexGetData("DP_1","003N8EMH8GTFRCSWKMPXRRRFI","GSON1112110211")</f>
        <v>#NAME?</v>
      </c>
      <c r="G1561" s="23" t="e">
        <f ca="1">[1]!BexGetData("DP_1","003N8EMH8GTFRCSWKMPXRRXR2","GSON1112110211")</f>
        <v>#NAME?</v>
      </c>
      <c r="H1561" s="23" t="e">
        <f ca="1">[1]!BexGetData("DP_1","003N8EMH8GTFRCSWKMPXRS42M","GSON1112110211")</f>
        <v>#NAME?</v>
      </c>
      <c r="I1561" s="28" t="e">
        <f ca="1">[1]!BexGetData("DP_1","003N8EMH8GTFRCSWKMPXRSAE6","GSON1112110211")</f>
        <v>#NAME?</v>
      </c>
      <c r="J1561" s="24" t="e">
        <f ca="1">[1]!BexGetData("DP_1","003N8EMH8GTFRCSWKMPXRSGPQ","GSON1112110211")</f>
        <v>#NAME?</v>
      </c>
      <c r="K1561" s="28" t="e">
        <f ca="1">[1]!BexGetData("DP_1","003N8EMH8GTFRIVNUPY288VJH","GSON1112110211")</f>
        <v>#NAME?</v>
      </c>
      <c r="L1561" s="28" t="e">
        <f ca="1">[1]!BexGetData("DP_1","003N8EMH8GTFRIVNUPY2891V1","GSON1112110211")</f>
        <v>#NAME?</v>
      </c>
      <c r="M1561" s="28" t="e">
        <f ca="1">[1]!BexGetData("DP_1","003N8EMH8GTFRIVOG7KG9IQXA","GSON1112110211")</f>
        <v>#NAME?</v>
      </c>
      <c r="N1561" s="28" t="e">
        <f ca="1">[1]!BexGetData("DP_1","003N8EMH8GTFRIVOG7KG9IX8U","GSON1112110211")</f>
        <v>#NAME?</v>
      </c>
      <c r="O1561" s="28" t="e">
        <f ca="1">[1]!BexGetData("DP_1","003N8EMH8GTFRIVOG7KG9J3KE","GSON1112110211")</f>
        <v>#NAME?</v>
      </c>
      <c r="P1561" s="28" t="e">
        <f ca="1">[1]!BexGetData("DP_1","003N8EMH8GTFRIVOG7KG9J9VY","GSON1112110211")</f>
        <v>#NAME?</v>
      </c>
      <c r="Q1561" s="24" t="e">
        <f ca="1">[1]!BexGetData("DP_1","00O2TNJGODT0G5Z4TTKYMM5MT","GSON1112110211")</f>
        <v>#NAME?</v>
      </c>
      <c r="R1561" s="28" t="e">
        <f ca="1">[1]!BexGetData("DP_1","00O2TNJGODT0G5Z4TTKYMMBYD","GSON1112110211")</f>
        <v>#NAME?</v>
      </c>
      <c r="S1561" s="28" t="e">
        <f ca="1">[1]!BexGetData("DP_1","00O2TNJGODT0G5Z4TTKYMMI9X","GSON1112110211")</f>
        <v>#NAME?</v>
      </c>
      <c r="T1561" s="28" t="e">
        <f ca="1">[1]!BexGetData("DP_1","00O2TNJGODT0G5Z4TTKYMMOLH","GSON1112110211")</f>
        <v>#NAME?</v>
      </c>
      <c r="U1561" s="28" t="e">
        <f ca="1">[1]!BexGetData("DP_1","00O2TNJGODT0G5Z4TTKYMMUX1","GSON1112110211")</f>
        <v>#NAME?</v>
      </c>
      <c r="V1561" s="28" t="e">
        <f ca="1">[1]!BexGetData("DP_1","00O2TNJGODT0G5Z4TTKYMN18L","GSON1112110211")</f>
        <v>#NAME?</v>
      </c>
      <c r="W1561" s="28" t="e">
        <f ca="1">[1]!BexGetData("DP_1","00O2TNJGODT0G5Z4TTKYMN7K5","GSON1112110211")</f>
        <v>#NAME?</v>
      </c>
    </row>
    <row r="1562" spans="1:23" x14ac:dyDescent="0.2">
      <c r="A1562" s="36" t="s">
        <v>4221</v>
      </c>
      <c r="B1562" s="27" t="s">
        <v>4222</v>
      </c>
      <c r="C1562" s="23" t="e">
        <f ca="1">[1]!BexGetData("DP_1","003N8EMH8GTFRCSWKMPXRR8GU","GSON1112110213")</f>
        <v>#NAME?</v>
      </c>
      <c r="D1562" s="23" t="e">
        <f ca="1">[1]!BexGetData("DP_1","003N8EMH8GTFRCSWKMPXRRESE","GSON1112110213")</f>
        <v>#NAME?</v>
      </c>
      <c r="E1562" s="28" t="e">
        <f ca="1">[1]!BexGetData("DP_1","003N8EMH8GTFRCSWKMPXRRL3Y","GSON1112110213")</f>
        <v>#NAME?</v>
      </c>
      <c r="F1562" s="28" t="e">
        <f ca="1">[1]!BexGetData("DP_1","003N8EMH8GTFRCSWKMPXRRRFI","GSON1112110213")</f>
        <v>#NAME?</v>
      </c>
      <c r="G1562" s="23" t="e">
        <f ca="1">[1]!BexGetData("DP_1","003N8EMH8GTFRCSWKMPXRRXR2","GSON1112110213")</f>
        <v>#NAME?</v>
      </c>
      <c r="H1562" s="23" t="e">
        <f ca="1">[1]!BexGetData("DP_1","003N8EMH8GTFRCSWKMPXRS42M","GSON1112110213")</f>
        <v>#NAME?</v>
      </c>
      <c r="I1562" s="28" t="e">
        <f ca="1">[1]!BexGetData("DP_1","003N8EMH8GTFRCSWKMPXRSAE6","GSON1112110213")</f>
        <v>#NAME?</v>
      </c>
      <c r="J1562" s="24" t="e">
        <f ca="1">[1]!BexGetData("DP_1","003N8EMH8GTFRCSWKMPXRSGPQ","GSON1112110213")</f>
        <v>#NAME?</v>
      </c>
      <c r="K1562" s="28" t="e">
        <f ca="1">[1]!BexGetData("DP_1","003N8EMH8GTFRIVNUPY288VJH","GSON1112110213")</f>
        <v>#NAME?</v>
      </c>
      <c r="L1562" s="28" t="e">
        <f ca="1">[1]!BexGetData("DP_1","003N8EMH8GTFRIVNUPY2891V1","GSON1112110213")</f>
        <v>#NAME?</v>
      </c>
      <c r="M1562" s="28" t="e">
        <f ca="1">[1]!BexGetData("DP_1","003N8EMH8GTFRIVOG7KG9IQXA","GSON1112110213")</f>
        <v>#NAME?</v>
      </c>
      <c r="N1562" s="28" t="e">
        <f ca="1">[1]!BexGetData("DP_1","003N8EMH8GTFRIVOG7KG9IX8U","GSON1112110213")</f>
        <v>#NAME?</v>
      </c>
      <c r="O1562" s="28" t="e">
        <f ca="1">[1]!BexGetData("DP_1","003N8EMH8GTFRIVOG7KG9J3KE","GSON1112110213")</f>
        <v>#NAME?</v>
      </c>
      <c r="P1562" s="28" t="e">
        <f ca="1">[1]!BexGetData("DP_1","003N8EMH8GTFRIVOG7KG9J9VY","GSON1112110213")</f>
        <v>#NAME?</v>
      </c>
      <c r="Q1562" s="24" t="e">
        <f ca="1">[1]!BexGetData("DP_1","00O2TNJGODT0G5Z4TTKYMM5MT","GSON1112110213")</f>
        <v>#NAME?</v>
      </c>
      <c r="R1562" s="28" t="e">
        <f ca="1">[1]!BexGetData("DP_1","00O2TNJGODT0G5Z4TTKYMMBYD","GSON1112110213")</f>
        <v>#NAME?</v>
      </c>
      <c r="S1562" s="28" t="e">
        <f ca="1">[1]!BexGetData("DP_1","00O2TNJGODT0G5Z4TTKYMMI9X","GSON1112110213")</f>
        <v>#NAME?</v>
      </c>
      <c r="T1562" s="28" t="e">
        <f ca="1">[1]!BexGetData("DP_1","00O2TNJGODT0G5Z4TTKYMMOLH","GSON1112110213")</f>
        <v>#NAME?</v>
      </c>
      <c r="U1562" s="28" t="e">
        <f ca="1">[1]!BexGetData("DP_1","00O2TNJGODT0G5Z4TTKYMMUX1","GSON1112110213")</f>
        <v>#NAME?</v>
      </c>
      <c r="V1562" s="28" t="e">
        <f ca="1">[1]!BexGetData("DP_1","00O2TNJGODT0G5Z4TTKYMN18L","GSON1112110213")</f>
        <v>#NAME?</v>
      </c>
      <c r="W1562" s="28" t="e">
        <f ca="1">[1]!BexGetData("DP_1","00O2TNJGODT0G5Z4TTKYMN7K5","GSON1112110213")</f>
        <v>#NAME?</v>
      </c>
    </row>
    <row r="1563" spans="1:23" x14ac:dyDescent="0.2">
      <c r="A1563" s="36" t="s">
        <v>4223</v>
      </c>
      <c r="B1563" s="27" t="s">
        <v>4224</v>
      </c>
      <c r="C1563" s="23" t="e">
        <f ca="1">[1]!BexGetData("DP_1","003N8EMH8GTFRCSWKMPXRR8GU","GSON1112110214")</f>
        <v>#NAME?</v>
      </c>
      <c r="D1563" s="23" t="e">
        <f ca="1">[1]!BexGetData("DP_1","003N8EMH8GTFRCSWKMPXRRESE","GSON1112110214")</f>
        <v>#NAME?</v>
      </c>
      <c r="E1563" s="28" t="e">
        <f ca="1">[1]!BexGetData("DP_1","003N8EMH8GTFRCSWKMPXRRL3Y","GSON1112110214")</f>
        <v>#NAME?</v>
      </c>
      <c r="F1563" s="28" t="e">
        <f ca="1">[1]!BexGetData("DP_1","003N8EMH8GTFRCSWKMPXRRRFI","GSON1112110214")</f>
        <v>#NAME?</v>
      </c>
      <c r="G1563" s="23" t="e">
        <f ca="1">[1]!BexGetData("DP_1","003N8EMH8GTFRCSWKMPXRRXR2","GSON1112110214")</f>
        <v>#NAME?</v>
      </c>
      <c r="H1563" s="23" t="e">
        <f ca="1">[1]!BexGetData("DP_1","003N8EMH8GTFRCSWKMPXRS42M","GSON1112110214")</f>
        <v>#NAME?</v>
      </c>
      <c r="I1563" s="28" t="e">
        <f ca="1">[1]!BexGetData("DP_1","003N8EMH8GTFRCSWKMPXRSAE6","GSON1112110214")</f>
        <v>#NAME?</v>
      </c>
      <c r="J1563" s="24" t="e">
        <f ca="1">[1]!BexGetData("DP_1","003N8EMH8GTFRCSWKMPXRSGPQ","GSON1112110214")</f>
        <v>#NAME?</v>
      </c>
      <c r="K1563" s="28" t="e">
        <f ca="1">[1]!BexGetData("DP_1","003N8EMH8GTFRIVNUPY288VJH","GSON1112110214")</f>
        <v>#NAME?</v>
      </c>
      <c r="L1563" s="28" t="e">
        <f ca="1">[1]!BexGetData("DP_1","003N8EMH8GTFRIVNUPY2891V1","GSON1112110214")</f>
        <v>#NAME?</v>
      </c>
      <c r="M1563" s="28" t="e">
        <f ca="1">[1]!BexGetData("DP_1","003N8EMH8GTFRIVOG7KG9IQXA","GSON1112110214")</f>
        <v>#NAME?</v>
      </c>
      <c r="N1563" s="28" t="e">
        <f ca="1">[1]!BexGetData("DP_1","003N8EMH8GTFRIVOG7KG9IX8U","GSON1112110214")</f>
        <v>#NAME?</v>
      </c>
      <c r="O1563" s="28" t="e">
        <f ca="1">[1]!BexGetData("DP_1","003N8EMH8GTFRIVOG7KG9J3KE","GSON1112110214")</f>
        <v>#NAME?</v>
      </c>
      <c r="P1563" s="28" t="e">
        <f ca="1">[1]!BexGetData("DP_1","003N8EMH8GTFRIVOG7KG9J9VY","GSON1112110214")</f>
        <v>#NAME?</v>
      </c>
      <c r="Q1563" s="24" t="e">
        <f ca="1">[1]!BexGetData("DP_1","00O2TNJGODT0G5Z4TTKYMM5MT","GSON1112110214")</f>
        <v>#NAME?</v>
      </c>
      <c r="R1563" s="28" t="e">
        <f ca="1">[1]!BexGetData("DP_1","00O2TNJGODT0G5Z4TTKYMMBYD","GSON1112110214")</f>
        <v>#NAME?</v>
      </c>
      <c r="S1563" s="28" t="e">
        <f ca="1">[1]!BexGetData("DP_1","00O2TNJGODT0G5Z4TTKYMMI9X","GSON1112110214")</f>
        <v>#NAME?</v>
      </c>
      <c r="T1563" s="28" t="e">
        <f ca="1">[1]!BexGetData("DP_1","00O2TNJGODT0G5Z4TTKYMMOLH","GSON1112110214")</f>
        <v>#NAME?</v>
      </c>
      <c r="U1563" s="28" t="e">
        <f ca="1">[1]!BexGetData("DP_1","00O2TNJGODT0G5Z4TTKYMMUX1","GSON1112110214")</f>
        <v>#NAME?</v>
      </c>
      <c r="V1563" s="28" t="e">
        <f ca="1">[1]!BexGetData("DP_1","00O2TNJGODT0G5Z4TTKYMN18L","GSON1112110214")</f>
        <v>#NAME?</v>
      </c>
      <c r="W1563" s="28" t="e">
        <f ca="1">[1]!BexGetData("DP_1","00O2TNJGODT0G5Z4TTKYMN7K5","GSON1112110214")</f>
        <v>#NAME?</v>
      </c>
    </row>
    <row r="1564" spans="1:23" x14ac:dyDescent="0.2">
      <c r="A1564" s="36" t="s">
        <v>4225</v>
      </c>
      <c r="B1564" s="27" t="s">
        <v>1119</v>
      </c>
      <c r="C1564" s="23" t="e">
        <f ca="1">[1]!BexGetData("DP_1","003N8EMH8GTFRCSWKMPXRR8GU","GSON1112110220")</f>
        <v>#NAME?</v>
      </c>
      <c r="D1564" s="23" t="e">
        <f ca="1">[1]!BexGetData("DP_1","003N8EMH8GTFRCSWKMPXRRESE","GSON1112110220")</f>
        <v>#NAME?</v>
      </c>
      <c r="E1564" s="23" t="e">
        <f ca="1">[1]!BexGetData("DP_1","003N8EMH8GTFRCSWKMPXRRL3Y","GSON1112110220")</f>
        <v>#NAME?</v>
      </c>
      <c r="F1564" s="23" t="e">
        <f ca="1">[1]!BexGetData("DP_1","003N8EMH8GTFRCSWKMPXRRRFI","GSON1112110220")</f>
        <v>#NAME?</v>
      </c>
      <c r="G1564" s="23" t="e">
        <f ca="1">[1]!BexGetData("DP_1","003N8EMH8GTFRCSWKMPXRRXR2","GSON1112110220")</f>
        <v>#NAME?</v>
      </c>
      <c r="H1564" s="23" t="e">
        <f ca="1">[1]!BexGetData("DP_1","003N8EMH8GTFRCSWKMPXRS42M","GSON1112110220")</f>
        <v>#NAME?</v>
      </c>
      <c r="I1564" s="23" t="e">
        <f ca="1">[1]!BexGetData("DP_1","003N8EMH8GTFRCSWKMPXRSAE6","GSON1112110220")</f>
        <v>#NAME?</v>
      </c>
      <c r="J1564" s="23" t="e">
        <f ca="1">[1]!BexGetData("DP_1","003N8EMH8GTFRCSWKMPXRSGPQ","GSON1112110220")</f>
        <v>#NAME?</v>
      </c>
      <c r="K1564" s="23" t="e">
        <f ca="1">[1]!BexGetData("DP_1","003N8EMH8GTFRIVNUPY288VJH","GSON1112110220")</f>
        <v>#NAME?</v>
      </c>
      <c r="L1564" s="23" t="e">
        <f ca="1">[1]!BexGetData("DP_1","003N8EMH8GTFRIVNUPY2891V1","GSON1112110220")</f>
        <v>#NAME?</v>
      </c>
      <c r="M1564" s="28" t="e">
        <f ca="1">[1]!BexGetData("DP_1","003N8EMH8GTFRIVOG7KG9IQXA","GSON1112110220")</f>
        <v>#NAME?</v>
      </c>
      <c r="N1564" s="23" t="e">
        <f ca="1">[1]!BexGetData("DP_1","003N8EMH8GTFRIVOG7KG9IX8U","GSON1112110220")</f>
        <v>#NAME?</v>
      </c>
      <c r="O1564" s="28" t="e">
        <f ca="1">[1]!BexGetData("DP_1","003N8EMH8GTFRIVOG7KG9J3KE","GSON1112110220")</f>
        <v>#NAME?</v>
      </c>
      <c r="P1564" s="23" t="e">
        <f ca="1">[1]!BexGetData("DP_1","003N8EMH8GTFRIVOG7KG9J9VY","GSON1112110220")</f>
        <v>#NAME?</v>
      </c>
      <c r="Q1564" s="23" t="e">
        <f ca="1">[1]!BexGetData("DP_1","00O2TNJGODT0G5Z4TTKYMM5MT","GSON1112110220")</f>
        <v>#NAME?</v>
      </c>
      <c r="R1564" s="23" t="e">
        <f ca="1">[1]!BexGetData("DP_1","00O2TNJGODT0G5Z4TTKYMMBYD","GSON1112110220")</f>
        <v>#NAME?</v>
      </c>
      <c r="S1564" s="23" t="e">
        <f ca="1">[1]!BexGetData("DP_1","00O2TNJGODT0G5Z4TTKYMMI9X","GSON1112110220")</f>
        <v>#NAME?</v>
      </c>
      <c r="T1564" s="28" t="e">
        <f ca="1">[1]!BexGetData("DP_1","00O2TNJGODT0G5Z4TTKYMMOLH","GSON1112110220")</f>
        <v>#NAME?</v>
      </c>
      <c r="U1564" s="23" t="e">
        <f ca="1">[1]!BexGetData("DP_1","00O2TNJGODT0G5Z4TTKYMMUX1","GSON1112110220")</f>
        <v>#NAME?</v>
      </c>
      <c r="V1564" s="28" t="e">
        <f ca="1">[1]!BexGetData("DP_1","00O2TNJGODT0G5Z4TTKYMN18L","GSON1112110220")</f>
        <v>#NAME?</v>
      </c>
      <c r="W1564" s="23" t="e">
        <f ca="1">[1]!BexGetData("DP_1","00O2TNJGODT0G5Z4TTKYMN7K5","GSON1112110220")</f>
        <v>#NAME?</v>
      </c>
    </row>
    <row r="1565" spans="1:23" x14ac:dyDescent="0.2">
      <c r="A1565" s="36" t="s">
        <v>1120</v>
      </c>
      <c r="B1565" s="27" t="s">
        <v>1121</v>
      </c>
      <c r="C1565" s="23" t="e">
        <f ca="1">[1]!BexGetData("DP_1","003N8EMH8GTFRCSWKMPXRR8GU","GSON1112110221")</f>
        <v>#NAME?</v>
      </c>
      <c r="D1565" s="23" t="e">
        <f ca="1">[1]!BexGetData("DP_1","003N8EMH8GTFRCSWKMPXRRESE","GSON1112110221")</f>
        <v>#NAME?</v>
      </c>
      <c r="E1565" s="23" t="e">
        <f ca="1">[1]!BexGetData("DP_1","003N8EMH8GTFRCSWKMPXRRL3Y","GSON1112110221")</f>
        <v>#NAME?</v>
      </c>
      <c r="F1565" s="23" t="e">
        <f ca="1">[1]!BexGetData("DP_1","003N8EMH8GTFRCSWKMPXRRRFI","GSON1112110221")</f>
        <v>#NAME?</v>
      </c>
      <c r="G1565" s="23" t="e">
        <f ca="1">[1]!BexGetData("DP_1","003N8EMH8GTFRCSWKMPXRRXR2","GSON1112110221")</f>
        <v>#NAME?</v>
      </c>
      <c r="H1565" s="23" t="e">
        <f ca="1">[1]!BexGetData("DP_1","003N8EMH8GTFRCSWKMPXRS42M","GSON1112110221")</f>
        <v>#NAME?</v>
      </c>
      <c r="I1565" s="23" t="e">
        <f ca="1">[1]!BexGetData("DP_1","003N8EMH8GTFRCSWKMPXRSAE6","GSON1112110221")</f>
        <v>#NAME?</v>
      </c>
      <c r="J1565" s="24" t="e">
        <f ca="1">[1]!BexGetData("DP_1","003N8EMH8GTFRCSWKMPXRSGPQ","GSON1112110221")</f>
        <v>#NAME?</v>
      </c>
      <c r="K1565" s="23" t="e">
        <f ca="1">[1]!BexGetData("DP_1","003N8EMH8GTFRIVNUPY288VJH","GSON1112110221")</f>
        <v>#NAME?</v>
      </c>
      <c r="L1565" s="23" t="e">
        <f ca="1">[1]!BexGetData("DP_1","003N8EMH8GTFRIVNUPY2891V1","GSON1112110221")</f>
        <v>#NAME?</v>
      </c>
      <c r="M1565" s="28" t="e">
        <f ca="1">[1]!BexGetData("DP_1","003N8EMH8GTFRIVOG7KG9IQXA","GSON1112110221")</f>
        <v>#NAME?</v>
      </c>
      <c r="N1565" s="23" t="e">
        <f ca="1">[1]!BexGetData("DP_1","003N8EMH8GTFRIVOG7KG9IX8U","GSON1112110221")</f>
        <v>#NAME?</v>
      </c>
      <c r="O1565" s="28" t="e">
        <f ca="1">[1]!BexGetData("DP_1","003N8EMH8GTFRIVOG7KG9J3KE","GSON1112110221")</f>
        <v>#NAME?</v>
      </c>
      <c r="P1565" s="23" t="e">
        <f ca="1">[1]!BexGetData("DP_1","003N8EMH8GTFRIVOG7KG9J9VY","GSON1112110221")</f>
        <v>#NAME?</v>
      </c>
      <c r="Q1565" s="24" t="e">
        <f ca="1">[1]!BexGetData("DP_1","00O2TNJGODT0G5Z4TTKYMM5MT","GSON1112110221")</f>
        <v>#NAME?</v>
      </c>
      <c r="R1565" s="23" t="e">
        <f ca="1">[1]!BexGetData("DP_1","00O2TNJGODT0G5Z4TTKYMMBYD","GSON1112110221")</f>
        <v>#NAME?</v>
      </c>
      <c r="S1565" s="23" t="e">
        <f ca="1">[1]!BexGetData("DP_1","00O2TNJGODT0G5Z4TTKYMMI9X","GSON1112110221")</f>
        <v>#NAME?</v>
      </c>
      <c r="T1565" s="23" t="e">
        <f ca="1">[1]!BexGetData("DP_1","00O2TNJGODT0G5Z4TTKYMMOLH","GSON1112110221")</f>
        <v>#NAME?</v>
      </c>
      <c r="U1565" s="28" t="e">
        <f ca="1">[1]!BexGetData("DP_1","00O2TNJGODT0G5Z4TTKYMMUX1","GSON1112110221")</f>
        <v>#NAME?</v>
      </c>
      <c r="V1565" s="23" t="e">
        <f ca="1">[1]!BexGetData("DP_1","00O2TNJGODT0G5Z4TTKYMN18L","GSON1112110221")</f>
        <v>#NAME?</v>
      </c>
      <c r="W1565" s="28" t="e">
        <f ca="1">[1]!BexGetData("DP_1","00O2TNJGODT0G5Z4TTKYMN7K5","GSON1112110221")</f>
        <v>#NAME?</v>
      </c>
    </row>
    <row r="1566" spans="1:23" x14ac:dyDescent="0.2">
      <c r="A1566" s="36" t="s">
        <v>1122</v>
      </c>
      <c r="B1566" s="27" t="s">
        <v>1123</v>
      </c>
      <c r="C1566" s="23" t="e">
        <f ca="1">[1]!BexGetData("DP_1","003N8EMH8GTFRCSWKMPXRR8GU","GSON1112110223")</f>
        <v>#NAME?</v>
      </c>
      <c r="D1566" s="23" t="e">
        <f ca="1">[1]!BexGetData("DP_1","003N8EMH8GTFRCSWKMPXRRESE","GSON1112110223")</f>
        <v>#NAME?</v>
      </c>
      <c r="E1566" s="28" t="e">
        <f ca="1">[1]!BexGetData("DP_1","003N8EMH8GTFRCSWKMPXRRL3Y","GSON1112110223")</f>
        <v>#NAME?</v>
      </c>
      <c r="F1566" s="28" t="e">
        <f ca="1">[1]!BexGetData("DP_1","003N8EMH8GTFRCSWKMPXRRRFI","GSON1112110223")</f>
        <v>#NAME?</v>
      </c>
      <c r="G1566" s="23" t="e">
        <f ca="1">[1]!BexGetData("DP_1","003N8EMH8GTFRCSWKMPXRRXR2","GSON1112110223")</f>
        <v>#NAME?</v>
      </c>
      <c r="H1566" s="23" t="e">
        <f ca="1">[1]!BexGetData("DP_1","003N8EMH8GTFRCSWKMPXRS42M","GSON1112110223")</f>
        <v>#NAME?</v>
      </c>
      <c r="I1566" s="28" t="e">
        <f ca="1">[1]!BexGetData("DP_1","003N8EMH8GTFRCSWKMPXRSAE6","GSON1112110223")</f>
        <v>#NAME?</v>
      </c>
      <c r="J1566" s="24" t="e">
        <f ca="1">[1]!BexGetData("DP_1","003N8EMH8GTFRCSWKMPXRSGPQ","GSON1112110223")</f>
        <v>#NAME?</v>
      </c>
      <c r="K1566" s="28" t="e">
        <f ca="1">[1]!BexGetData("DP_1","003N8EMH8GTFRIVNUPY288VJH","GSON1112110223")</f>
        <v>#NAME?</v>
      </c>
      <c r="L1566" s="28" t="e">
        <f ca="1">[1]!BexGetData("DP_1","003N8EMH8GTFRIVNUPY2891V1","GSON1112110223")</f>
        <v>#NAME?</v>
      </c>
      <c r="M1566" s="28" t="e">
        <f ca="1">[1]!BexGetData("DP_1","003N8EMH8GTFRIVOG7KG9IQXA","GSON1112110223")</f>
        <v>#NAME?</v>
      </c>
      <c r="N1566" s="28" t="e">
        <f ca="1">[1]!BexGetData("DP_1","003N8EMH8GTFRIVOG7KG9IX8U","GSON1112110223")</f>
        <v>#NAME?</v>
      </c>
      <c r="O1566" s="28" t="e">
        <f ca="1">[1]!BexGetData("DP_1","003N8EMH8GTFRIVOG7KG9J3KE","GSON1112110223")</f>
        <v>#NAME?</v>
      </c>
      <c r="P1566" s="28" t="e">
        <f ca="1">[1]!BexGetData("DP_1","003N8EMH8GTFRIVOG7KG9J9VY","GSON1112110223")</f>
        <v>#NAME?</v>
      </c>
      <c r="Q1566" s="24" t="e">
        <f ca="1">[1]!BexGetData("DP_1","00O2TNJGODT0G5Z4TTKYMM5MT","GSON1112110223")</f>
        <v>#NAME?</v>
      </c>
      <c r="R1566" s="28" t="e">
        <f ca="1">[1]!BexGetData("DP_1","00O2TNJGODT0G5Z4TTKYMMBYD","GSON1112110223")</f>
        <v>#NAME?</v>
      </c>
      <c r="S1566" s="28" t="e">
        <f ca="1">[1]!BexGetData("DP_1","00O2TNJGODT0G5Z4TTKYMMI9X","GSON1112110223")</f>
        <v>#NAME?</v>
      </c>
      <c r="T1566" s="28" t="e">
        <f ca="1">[1]!BexGetData("DP_1","00O2TNJGODT0G5Z4TTKYMMOLH","GSON1112110223")</f>
        <v>#NAME?</v>
      </c>
      <c r="U1566" s="28" t="e">
        <f ca="1">[1]!BexGetData("DP_1","00O2TNJGODT0G5Z4TTKYMMUX1","GSON1112110223")</f>
        <v>#NAME?</v>
      </c>
      <c r="V1566" s="28" t="e">
        <f ca="1">[1]!BexGetData("DP_1","00O2TNJGODT0G5Z4TTKYMN18L","GSON1112110223")</f>
        <v>#NAME?</v>
      </c>
      <c r="W1566" s="28" t="e">
        <f ca="1">[1]!BexGetData("DP_1","00O2TNJGODT0G5Z4TTKYMN7K5","GSON1112110223")</f>
        <v>#NAME?</v>
      </c>
    </row>
    <row r="1567" spans="1:23" x14ac:dyDescent="0.2">
      <c r="A1567" s="36" t="s">
        <v>4226</v>
      </c>
      <c r="B1567" s="27" t="s">
        <v>1124</v>
      </c>
      <c r="C1567" s="23" t="e">
        <f ca="1">[1]!BexGetData("DP_1","003N8EMH8GTFRCSWKMPXRR8GU","GSON1112110224")</f>
        <v>#NAME?</v>
      </c>
      <c r="D1567" s="23" t="e">
        <f ca="1">[1]!BexGetData("DP_1","003N8EMH8GTFRCSWKMPXRRESE","GSON1112110224")</f>
        <v>#NAME?</v>
      </c>
      <c r="E1567" s="28" t="e">
        <f ca="1">[1]!BexGetData("DP_1","003N8EMH8GTFRCSWKMPXRRL3Y","GSON1112110224")</f>
        <v>#NAME?</v>
      </c>
      <c r="F1567" s="28" t="e">
        <f ca="1">[1]!BexGetData("DP_1","003N8EMH8GTFRCSWKMPXRRRFI","GSON1112110224")</f>
        <v>#NAME?</v>
      </c>
      <c r="G1567" s="23" t="e">
        <f ca="1">[1]!BexGetData("DP_1","003N8EMH8GTFRCSWKMPXRRXR2","GSON1112110224")</f>
        <v>#NAME?</v>
      </c>
      <c r="H1567" s="23" t="e">
        <f ca="1">[1]!BexGetData("DP_1","003N8EMH8GTFRCSWKMPXRS42M","GSON1112110224")</f>
        <v>#NAME?</v>
      </c>
      <c r="I1567" s="28" t="e">
        <f ca="1">[1]!BexGetData("DP_1","003N8EMH8GTFRCSWKMPXRSAE6","GSON1112110224")</f>
        <v>#NAME?</v>
      </c>
      <c r="J1567" s="24" t="e">
        <f ca="1">[1]!BexGetData("DP_1","003N8EMH8GTFRCSWKMPXRSGPQ","GSON1112110224")</f>
        <v>#NAME?</v>
      </c>
      <c r="K1567" s="28" t="e">
        <f ca="1">[1]!BexGetData("DP_1","003N8EMH8GTFRIVNUPY288VJH","GSON1112110224")</f>
        <v>#NAME?</v>
      </c>
      <c r="L1567" s="28" t="e">
        <f ca="1">[1]!BexGetData("DP_1","003N8EMH8GTFRIVNUPY2891V1","GSON1112110224")</f>
        <v>#NAME?</v>
      </c>
      <c r="M1567" s="28" t="e">
        <f ca="1">[1]!BexGetData("DP_1","003N8EMH8GTFRIVOG7KG9IQXA","GSON1112110224")</f>
        <v>#NAME?</v>
      </c>
      <c r="N1567" s="28" t="e">
        <f ca="1">[1]!BexGetData("DP_1","003N8EMH8GTFRIVOG7KG9IX8U","GSON1112110224")</f>
        <v>#NAME?</v>
      </c>
      <c r="O1567" s="28" t="e">
        <f ca="1">[1]!BexGetData("DP_1","003N8EMH8GTFRIVOG7KG9J3KE","GSON1112110224")</f>
        <v>#NAME?</v>
      </c>
      <c r="P1567" s="28" t="e">
        <f ca="1">[1]!BexGetData("DP_1","003N8EMH8GTFRIVOG7KG9J9VY","GSON1112110224")</f>
        <v>#NAME?</v>
      </c>
      <c r="Q1567" s="24" t="e">
        <f ca="1">[1]!BexGetData("DP_1","00O2TNJGODT0G5Z4TTKYMM5MT","GSON1112110224")</f>
        <v>#NAME?</v>
      </c>
      <c r="R1567" s="28" t="e">
        <f ca="1">[1]!BexGetData("DP_1","00O2TNJGODT0G5Z4TTKYMMBYD","GSON1112110224")</f>
        <v>#NAME?</v>
      </c>
      <c r="S1567" s="28" t="e">
        <f ca="1">[1]!BexGetData("DP_1","00O2TNJGODT0G5Z4TTKYMMI9X","GSON1112110224")</f>
        <v>#NAME?</v>
      </c>
      <c r="T1567" s="28" t="e">
        <f ca="1">[1]!BexGetData("DP_1","00O2TNJGODT0G5Z4TTKYMMOLH","GSON1112110224")</f>
        <v>#NAME?</v>
      </c>
      <c r="U1567" s="28" t="e">
        <f ca="1">[1]!BexGetData("DP_1","00O2TNJGODT0G5Z4TTKYMMUX1","GSON1112110224")</f>
        <v>#NAME?</v>
      </c>
      <c r="V1567" s="28" t="e">
        <f ca="1">[1]!BexGetData("DP_1","00O2TNJGODT0G5Z4TTKYMN18L","GSON1112110224")</f>
        <v>#NAME?</v>
      </c>
      <c r="W1567" s="28" t="e">
        <f ca="1">[1]!BexGetData("DP_1","00O2TNJGODT0G5Z4TTKYMN7K5","GSON1112110224")</f>
        <v>#NAME?</v>
      </c>
    </row>
    <row r="1568" spans="1:23" x14ac:dyDescent="0.2">
      <c r="A1568" s="36" t="s">
        <v>4227</v>
      </c>
      <c r="B1568" s="27" t="s">
        <v>1125</v>
      </c>
      <c r="C1568" s="23" t="e">
        <f ca="1">[1]!BexGetData("DP_1","003N8EMH8GTFRCSWKMPXRR8GU","GSON1112110230")</f>
        <v>#NAME?</v>
      </c>
      <c r="D1568" s="23" t="e">
        <f ca="1">[1]!BexGetData("DP_1","003N8EMH8GTFRCSWKMPXRRESE","GSON1112110230")</f>
        <v>#NAME?</v>
      </c>
      <c r="E1568" s="28" t="e">
        <f ca="1">[1]!BexGetData("DP_1","003N8EMH8GTFRCSWKMPXRRL3Y","GSON1112110230")</f>
        <v>#NAME?</v>
      </c>
      <c r="F1568" s="23" t="e">
        <f ca="1">[1]!BexGetData("DP_1","003N8EMH8GTFRCSWKMPXRRRFI","GSON1112110230")</f>
        <v>#NAME?</v>
      </c>
      <c r="G1568" s="23" t="e">
        <f ca="1">[1]!BexGetData("DP_1","003N8EMH8GTFRCSWKMPXRRXR2","GSON1112110230")</f>
        <v>#NAME?</v>
      </c>
      <c r="H1568" s="23" t="e">
        <f ca="1">[1]!BexGetData("DP_1","003N8EMH8GTFRCSWKMPXRS42M","GSON1112110230")</f>
        <v>#NAME?</v>
      </c>
      <c r="I1568" s="23" t="e">
        <f ca="1">[1]!BexGetData("DP_1","003N8EMH8GTFRCSWKMPXRSAE6","GSON1112110230")</f>
        <v>#NAME?</v>
      </c>
      <c r="J1568" s="23" t="e">
        <f ca="1">[1]!BexGetData("DP_1","003N8EMH8GTFRCSWKMPXRSGPQ","GSON1112110230")</f>
        <v>#NAME?</v>
      </c>
      <c r="K1568" s="23" t="e">
        <f ca="1">[1]!BexGetData("DP_1","003N8EMH8GTFRIVNUPY288VJH","GSON1112110230")</f>
        <v>#NAME?</v>
      </c>
      <c r="L1568" s="23" t="e">
        <f ca="1">[1]!BexGetData("DP_1","003N8EMH8GTFRIVNUPY2891V1","GSON1112110230")</f>
        <v>#NAME?</v>
      </c>
      <c r="M1568" s="23" t="e">
        <f ca="1">[1]!BexGetData("DP_1","003N8EMH8GTFRIVOG7KG9IQXA","GSON1112110230")</f>
        <v>#NAME?</v>
      </c>
      <c r="N1568" s="28" t="e">
        <f ca="1">[1]!BexGetData("DP_1","003N8EMH8GTFRIVOG7KG9IX8U","GSON1112110230")</f>
        <v>#NAME?</v>
      </c>
      <c r="O1568" s="23" t="e">
        <f ca="1">[1]!BexGetData("DP_1","003N8EMH8GTFRIVOG7KG9J3KE","GSON1112110230")</f>
        <v>#NAME?</v>
      </c>
      <c r="P1568" s="28" t="e">
        <f ca="1">[1]!BexGetData("DP_1","003N8EMH8GTFRIVOG7KG9J9VY","GSON1112110230")</f>
        <v>#NAME?</v>
      </c>
      <c r="Q1568" s="23" t="e">
        <f ca="1">[1]!BexGetData("DP_1","00O2TNJGODT0G5Z4TTKYMM5MT","GSON1112110230")</f>
        <v>#NAME?</v>
      </c>
      <c r="R1568" s="23" t="e">
        <f ca="1">[1]!BexGetData("DP_1","00O2TNJGODT0G5Z4TTKYMMBYD","GSON1112110230")</f>
        <v>#NAME?</v>
      </c>
      <c r="S1568" s="23" t="e">
        <f ca="1">[1]!BexGetData("DP_1","00O2TNJGODT0G5Z4TTKYMMI9X","GSON1112110230")</f>
        <v>#NAME?</v>
      </c>
      <c r="T1568" s="23" t="e">
        <f ca="1">[1]!BexGetData("DP_1","00O2TNJGODT0G5Z4TTKYMMOLH","GSON1112110230")</f>
        <v>#NAME?</v>
      </c>
      <c r="U1568" s="28" t="e">
        <f ca="1">[1]!BexGetData("DP_1","00O2TNJGODT0G5Z4TTKYMMUX1","GSON1112110230")</f>
        <v>#NAME?</v>
      </c>
      <c r="V1568" s="23" t="e">
        <f ca="1">[1]!BexGetData("DP_1","00O2TNJGODT0G5Z4TTKYMN18L","GSON1112110230")</f>
        <v>#NAME?</v>
      </c>
      <c r="W1568" s="28" t="e">
        <f ca="1">[1]!BexGetData("DP_1","00O2TNJGODT0G5Z4TTKYMN7K5","GSON1112110230")</f>
        <v>#NAME?</v>
      </c>
    </row>
    <row r="1569" spans="1:23" x14ac:dyDescent="0.2">
      <c r="A1569" s="36" t="s">
        <v>430</v>
      </c>
      <c r="B1569" s="27" t="s">
        <v>431</v>
      </c>
      <c r="C1569" s="23" t="e">
        <f ca="1">[1]!BexGetData("DP_1","003N8EMH8GTFRCSWKMPXRR8GU","GSON1112110231")</f>
        <v>#NAME?</v>
      </c>
      <c r="D1569" s="23" t="e">
        <f ca="1">[1]!BexGetData("DP_1","003N8EMH8GTFRCSWKMPXRRESE","GSON1112110231")</f>
        <v>#NAME?</v>
      </c>
      <c r="E1569" s="23" t="e">
        <f ca="1">[1]!BexGetData("DP_1","003N8EMH8GTFRCSWKMPXRRL3Y","GSON1112110231")</f>
        <v>#NAME?</v>
      </c>
      <c r="F1569" s="23" t="e">
        <f ca="1">[1]!BexGetData("DP_1","003N8EMH8GTFRCSWKMPXRRRFI","GSON1112110231")</f>
        <v>#NAME?</v>
      </c>
      <c r="G1569" s="23" t="e">
        <f ca="1">[1]!BexGetData("DP_1","003N8EMH8GTFRCSWKMPXRRXR2","GSON1112110231")</f>
        <v>#NAME?</v>
      </c>
      <c r="H1569" s="23" t="e">
        <f ca="1">[1]!BexGetData("DP_1","003N8EMH8GTFRCSWKMPXRS42M","GSON1112110231")</f>
        <v>#NAME?</v>
      </c>
      <c r="I1569" s="23" t="e">
        <f ca="1">[1]!BexGetData("DP_1","003N8EMH8GTFRCSWKMPXRSAE6","GSON1112110231")</f>
        <v>#NAME?</v>
      </c>
      <c r="J1569" s="23" t="e">
        <f ca="1">[1]!BexGetData("DP_1","003N8EMH8GTFRCSWKMPXRSGPQ","GSON1112110231")</f>
        <v>#NAME?</v>
      </c>
      <c r="K1569" s="23" t="e">
        <f ca="1">[1]!BexGetData("DP_1","003N8EMH8GTFRIVNUPY288VJH","GSON1112110231")</f>
        <v>#NAME?</v>
      </c>
      <c r="L1569" s="23" t="e">
        <f ca="1">[1]!BexGetData("DP_1","003N8EMH8GTFRIVNUPY2891V1","GSON1112110231")</f>
        <v>#NAME?</v>
      </c>
      <c r="M1569" s="23" t="e">
        <f ca="1">[1]!BexGetData("DP_1","003N8EMH8GTFRIVOG7KG9IQXA","GSON1112110231")</f>
        <v>#NAME?</v>
      </c>
      <c r="N1569" s="28" t="e">
        <f ca="1">[1]!BexGetData("DP_1","003N8EMH8GTFRIVOG7KG9IX8U","GSON1112110231")</f>
        <v>#NAME?</v>
      </c>
      <c r="O1569" s="23" t="e">
        <f ca="1">[1]!BexGetData("DP_1","003N8EMH8GTFRIVOG7KG9J3KE","GSON1112110231")</f>
        <v>#NAME?</v>
      </c>
      <c r="P1569" s="28" t="e">
        <f ca="1">[1]!BexGetData("DP_1","003N8EMH8GTFRIVOG7KG9J9VY","GSON1112110231")</f>
        <v>#NAME?</v>
      </c>
      <c r="Q1569" s="23" t="e">
        <f ca="1">[1]!BexGetData("DP_1","00O2TNJGODT0G5Z4TTKYMM5MT","GSON1112110231")</f>
        <v>#NAME?</v>
      </c>
      <c r="R1569" s="23" t="e">
        <f ca="1">[1]!BexGetData("DP_1","00O2TNJGODT0G5Z4TTKYMMBYD","GSON1112110231")</f>
        <v>#NAME?</v>
      </c>
      <c r="S1569" s="23" t="e">
        <f ca="1">[1]!BexGetData("DP_1","00O2TNJGODT0G5Z4TTKYMMI9X","GSON1112110231")</f>
        <v>#NAME?</v>
      </c>
      <c r="T1569" s="28" t="e">
        <f ca="1">[1]!BexGetData("DP_1","00O2TNJGODT0G5Z4TTKYMMOLH","GSON1112110231")</f>
        <v>#NAME?</v>
      </c>
      <c r="U1569" s="23" t="e">
        <f ca="1">[1]!BexGetData("DP_1","00O2TNJGODT0G5Z4TTKYMMUX1","GSON1112110231")</f>
        <v>#NAME?</v>
      </c>
      <c r="V1569" s="28" t="e">
        <f ca="1">[1]!BexGetData("DP_1","00O2TNJGODT0G5Z4TTKYMN18L","GSON1112110231")</f>
        <v>#NAME?</v>
      </c>
      <c r="W1569" s="23" t="e">
        <f ca="1">[1]!BexGetData("DP_1","00O2TNJGODT0G5Z4TTKYMN7K5","GSON1112110231")</f>
        <v>#NAME?</v>
      </c>
    </row>
    <row r="1570" spans="1:23" x14ac:dyDescent="0.2">
      <c r="A1570" s="36" t="s">
        <v>1126</v>
      </c>
      <c r="B1570" s="27" t="s">
        <v>1127</v>
      </c>
      <c r="C1570" s="23" t="e">
        <f ca="1">[1]!BexGetData("DP_1","003N8EMH8GTFRCSWKMPXRR8GU","GSON1112110233")</f>
        <v>#NAME?</v>
      </c>
      <c r="D1570" s="23" t="e">
        <f ca="1">[1]!BexGetData("DP_1","003N8EMH8GTFRCSWKMPXRRESE","GSON1112110233")</f>
        <v>#NAME?</v>
      </c>
      <c r="E1570" s="23" t="e">
        <f ca="1">[1]!BexGetData("DP_1","003N8EMH8GTFRCSWKMPXRRL3Y","GSON1112110233")</f>
        <v>#NAME?</v>
      </c>
      <c r="F1570" s="23" t="e">
        <f ca="1">[1]!BexGetData("DP_1","003N8EMH8GTFRCSWKMPXRRRFI","GSON1112110233")</f>
        <v>#NAME?</v>
      </c>
      <c r="G1570" s="23" t="e">
        <f ca="1">[1]!BexGetData("DP_1","003N8EMH8GTFRCSWKMPXRRXR2","GSON1112110233")</f>
        <v>#NAME?</v>
      </c>
      <c r="H1570" s="23" t="e">
        <f ca="1">[1]!BexGetData("DP_1","003N8EMH8GTFRCSWKMPXRS42M","GSON1112110233")</f>
        <v>#NAME?</v>
      </c>
      <c r="I1570" s="23" t="e">
        <f ca="1">[1]!BexGetData("DP_1","003N8EMH8GTFRCSWKMPXRSAE6","GSON1112110233")</f>
        <v>#NAME?</v>
      </c>
      <c r="J1570" s="24" t="e">
        <f ca="1">[1]!BexGetData("DP_1","003N8EMH8GTFRCSWKMPXRSGPQ","GSON1112110233")</f>
        <v>#NAME?</v>
      </c>
      <c r="K1570" s="23" t="e">
        <f ca="1">[1]!BexGetData("DP_1","003N8EMH8GTFRIVNUPY288VJH","GSON1112110233")</f>
        <v>#NAME?</v>
      </c>
      <c r="L1570" s="23" t="e">
        <f ca="1">[1]!BexGetData("DP_1","003N8EMH8GTFRIVNUPY2891V1","GSON1112110233")</f>
        <v>#NAME?</v>
      </c>
      <c r="M1570" s="23" t="e">
        <f ca="1">[1]!BexGetData("DP_1","003N8EMH8GTFRIVOG7KG9IQXA","GSON1112110233")</f>
        <v>#NAME?</v>
      </c>
      <c r="N1570" s="28" t="e">
        <f ca="1">[1]!BexGetData("DP_1","003N8EMH8GTFRIVOG7KG9IX8U","GSON1112110233")</f>
        <v>#NAME?</v>
      </c>
      <c r="O1570" s="23" t="e">
        <f ca="1">[1]!BexGetData("DP_1","003N8EMH8GTFRIVOG7KG9J3KE","GSON1112110233")</f>
        <v>#NAME?</v>
      </c>
      <c r="P1570" s="28" t="e">
        <f ca="1">[1]!BexGetData("DP_1","003N8EMH8GTFRIVOG7KG9J9VY","GSON1112110233")</f>
        <v>#NAME?</v>
      </c>
      <c r="Q1570" s="24" t="e">
        <f ca="1">[1]!BexGetData("DP_1","00O2TNJGODT0G5Z4TTKYMM5MT","GSON1112110233")</f>
        <v>#NAME?</v>
      </c>
      <c r="R1570" s="23" t="e">
        <f ca="1">[1]!BexGetData("DP_1","00O2TNJGODT0G5Z4TTKYMMBYD","GSON1112110233")</f>
        <v>#NAME?</v>
      </c>
      <c r="S1570" s="23" t="e">
        <f ca="1">[1]!BexGetData("DP_1","00O2TNJGODT0G5Z4TTKYMMI9X","GSON1112110233")</f>
        <v>#NAME?</v>
      </c>
      <c r="T1570" s="28" t="e">
        <f ca="1">[1]!BexGetData("DP_1","00O2TNJGODT0G5Z4TTKYMMOLH","GSON1112110233")</f>
        <v>#NAME?</v>
      </c>
      <c r="U1570" s="23" t="e">
        <f ca="1">[1]!BexGetData("DP_1","00O2TNJGODT0G5Z4TTKYMMUX1","GSON1112110233")</f>
        <v>#NAME?</v>
      </c>
      <c r="V1570" s="28" t="e">
        <f ca="1">[1]!BexGetData("DP_1","00O2TNJGODT0G5Z4TTKYMN18L","GSON1112110233")</f>
        <v>#NAME?</v>
      </c>
      <c r="W1570" s="23" t="e">
        <f ca="1">[1]!BexGetData("DP_1","00O2TNJGODT0G5Z4TTKYMN7K5","GSON1112110233")</f>
        <v>#NAME?</v>
      </c>
    </row>
    <row r="1571" spans="1:23" x14ac:dyDescent="0.2">
      <c r="A1571" s="36" t="s">
        <v>4228</v>
      </c>
      <c r="B1571" s="27" t="s">
        <v>1128</v>
      </c>
      <c r="C1571" s="23" t="e">
        <f ca="1">[1]!BexGetData("DP_1","003N8EMH8GTFRCSWKMPXRR8GU","GSON1112110234")</f>
        <v>#NAME?</v>
      </c>
      <c r="D1571" s="23" t="e">
        <f ca="1">[1]!BexGetData("DP_1","003N8EMH8GTFRCSWKMPXRRESE","GSON1112110234")</f>
        <v>#NAME?</v>
      </c>
      <c r="E1571" s="28" t="e">
        <f ca="1">[1]!BexGetData("DP_1","003N8EMH8GTFRCSWKMPXRRL3Y","GSON1112110234")</f>
        <v>#NAME?</v>
      </c>
      <c r="F1571" s="28" t="e">
        <f ca="1">[1]!BexGetData("DP_1","003N8EMH8GTFRCSWKMPXRRRFI","GSON1112110234")</f>
        <v>#NAME?</v>
      </c>
      <c r="G1571" s="23" t="e">
        <f ca="1">[1]!BexGetData("DP_1","003N8EMH8GTFRCSWKMPXRRXR2","GSON1112110234")</f>
        <v>#NAME?</v>
      </c>
      <c r="H1571" s="23" t="e">
        <f ca="1">[1]!BexGetData("DP_1","003N8EMH8GTFRCSWKMPXRS42M","GSON1112110234")</f>
        <v>#NAME?</v>
      </c>
      <c r="I1571" s="28" t="e">
        <f ca="1">[1]!BexGetData("DP_1","003N8EMH8GTFRCSWKMPXRSAE6","GSON1112110234")</f>
        <v>#NAME?</v>
      </c>
      <c r="J1571" s="24" t="e">
        <f ca="1">[1]!BexGetData("DP_1","003N8EMH8GTFRCSWKMPXRSGPQ","GSON1112110234")</f>
        <v>#NAME?</v>
      </c>
      <c r="K1571" s="28" t="e">
        <f ca="1">[1]!BexGetData("DP_1","003N8EMH8GTFRIVNUPY288VJH","GSON1112110234")</f>
        <v>#NAME?</v>
      </c>
      <c r="L1571" s="28" t="e">
        <f ca="1">[1]!BexGetData("DP_1","003N8EMH8GTFRIVNUPY2891V1","GSON1112110234")</f>
        <v>#NAME?</v>
      </c>
      <c r="M1571" s="28" t="e">
        <f ca="1">[1]!BexGetData("DP_1","003N8EMH8GTFRIVOG7KG9IQXA","GSON1112110234")</f>
        <v>#NAME?</v>
      </c>
      <c r="N1571" s="28" t="e">
        <f ca="1">[1]!BexGetData("DP_1","003N8EMH8GTFRIVOG7KG9IX8U","GSON1112110234")</f>
        <v>#NAME?</v>
      </c>
      <c r="O1571" s="28" t="e">
        <f ca="1">[1]!BexGetData("DP_1","003N8EMH8GTFRIVOG7KG9J3KE","GSON1112110234")</f>
        <v>#NAME?</v>
      </c>
      <c r="P1571" s="28" t="e">
        <f ca="1">[1]!BexGetData("DP_1","003N8EMH8GTFRIVOG7KG9J9VY","GSON1112110234")</f>
        <v>#NAME?</v>
      </c>
      <c r="Q1571" s="24" t="e">
        <f ca="1">[1]!BexGetData("DP_1","00O2TNJGODT0G5Z4TTKYMM5MT","GSON1112110234")</f>
        <v>#NAME?</v>
      </c>
      <c r="R1571" s="28" t="e">
        <f ca="1">[1]!BexGetData("DP_1","00O2TNJGODT0G5Z4TTKYMMBYD","GSON1112110234")</f>
        <v>#NAME?</v>
      </c>
      <c r="S1571" s="28" t="e">
        <f ca="1">[1]!BexGetData("DP_1","00O2TNJGODT0G5Z4TTKYMMI9X","GSON1112110234")</f>
        <v>#NAME?</v>
      </c>
      <c r="T1571" s="28" t="e">
        <f ca="1">[1]!BexGetData("DP_1","00O2TNJGODT0G5Z4TTKYMMOLH","GSON1112110234")</f>
        <v>#NAME?</v>
      </c>
      <c r="U1571" s="28" t="e">
        <f ca="1">[1]!BexGetData("DP_1","00O2TNJGODT0G5Z4TTKYMMUX1","GSON1112110234")</f>
        <v>#NAME?</v>
      </c>
      <c r="V1571" s="28" t="e">
        <f ca="1">[1]!BexGetData("DP_1","00O2TNJGODT0G5Z4TTKYMN18L","GSON1112110234")</f>
        <v>#NAME?</v>
      </c>
      <c r="W1571" s="28" t="e">
        <f ca="1">[1]!BexGetData("DP_1","00O2TNJGODT0G5Z4TTKYMN7K5","GSON1112110234")</f>
        <v>#NAME?</v>
      </c>
    </row>
    <row r="1572" spans="1:23" x14ac:dyDescent="0.2">
      <c r="A1572" s="36" t="s">
        <v>4229</v>
      </c>
      <c r="B1572" s="27" t="s">
        <v>1129</v>
      </c>
      <c r="C1572" s="28" t="e">
        <f ca="1">[1]!BexGetData("DP_1","003N8EMH8GTFRCSWKMPXRR8GU","GSON1112110240")</f>
        <v>#NAME?</v>
      </c>
      <c r="D1572" s="28" t="e">
        <f ca="1">[1]!BexGetData("DP_1","003N8EMH8GTFRCSWKMPXRRESE","GSON1112110240")</f>
        <v>#NAME?</v>
      </c>
      <c r="E1572" s="28" t="e">
        <f ca="1">[1]!BexGetData("DP_1","003N8EMH8GTFRCSWKMPXRRL3Y","GSON1112110240")</f>
        <v>#NAME?</v>
      </c>
      <c r="F1572" s="28" t="e">
        <f ca="1">[1]!BexGetData("DP_1","003N8EMH8GTFRCSWKMPXRRRFI","GSON1112110240")</f>
        <v>#NAME?</v>
      </c>
      <c r="G1572" s="23" t="e">
        <f ca="1">[1]!BexGetData("DP_1","003N8EMH8GTFRCSWKMPXRRXR2","GSON1112110240")</f>
        <v>#NAME?</v>
      </c>
      <c r="H1572" s="23" t="e">
        <f ca="1">[1]!BexGetData("DP_1","003N8EMH8GTFRCSWKMPXRS42M","GSON1112110240")</f>
        <v>#NAME?</v>
      </c>
      <c r="I1572" s="28" t="e">
        <f ca="1">[1]!BexGetData("DP_1","003N8EMH8GTFRCSWKMPXRSAE6","GSON1112110240")</f>
        <v>#NAME?</v>
      </c>
      <c r="J1572" s="23" t="e">
        <f ca="1">[1]!BexGetData("DP_1","003N8EMH8GTFRCSWKMPXRSGPQ","GSON1112110240")</f>
        <v>#NAME?</v>
      </c>
      <c r="K1572" s="28" t="e">
        <f ca="1">[1]!BexGetData("DP_1","003N8EMH8GTFRIVNUPY288VJH","GSON1112110240")</f>
        <v>#NAME?</v>
      </c>
      <c r="L1572" s="28" t="e">
        <f ca="1">[1]!BexGetData("DP_1","003N8EMH8GTFRIVNUPY2891V1","GSON1112110240")</f>
        <v>#NAME?</v>
      </c>
      <c r="M1572" s="28" t="e">
        <f ca="1">[1]!BexGetData("DP_1","003N8EMH8GTFRIVOG7KG9IQXA","GSON1112110240")</f>
        <v>#NAME?</v>
      </c>
      <c r="N1572" s="28" t="e">
        <f ca="1">[1]!BexGetData("DP_1","003N8EMH8GTFRIVOG7KG9IX8U","GSON1112110240")</f>
        <v>#NAME?</v>
      </c>
      <c r="O1572" s="28" t="e">
        <f ca="1">[1]!BexGetData("DP_1","003N8EMH8GTFRIVOG7KG9J3KE","GSON1112110240")</f>
        <v>#NAME?</v>
      </c>
      <c r="P1572" s="28" t="e">
        <f ca="1">[1]!BexGetData("DP_1","003N8EMH8GTFRIVOG7KG9J9VY","GSON1112110240")</f>
        <v>#NAME?</v>
      </c>
      <c r="Q1572" s="23" t="e">
        <f ca="1">[1]!BexGetData("DP_1","00O2TNJGODT0G5Z4TTKYMM5MT","GSON1112110240")</f>
        <v>#NAME?</v>
      </c>
      <c r="R1572" s="23" t="e">
        <f ca="1">[1]!BexGetData("DP_1","00O2TNJGODT0G5Z4TTKYMMBYD","GSON1112110240")</f>
        <v>#NAME?</v>
      </c>
      <c r="S1572" s="23" t="e">
        <f ca="1">[1]!BexGetData("DP_1","00O2TNJGODT0G5Z4TTKYMMI9X","GSON1112110240")</f>
        <v>#NAME?</v>
      </c>
      <c r="T1572" s="23" t="e">
        <f ca="1">[1]!BexGetData("DP_1","00O2TNJGODT0G5Z4TTKYMMOLH","GSON1112110240")</f>
        <v>#NAME?</v>
      </c>
      <c r="U1572" s="28" t="e">
        <f ca="1">[1]!BexGetData("DP_1","00O2TNJGODT0G5Z4TTKYMMUX1","GSON1112110240")</f>
        <v>#NAME?</v>
      </c>
      <c r="V1572" s="23" t="e">
        <f ca="1">[1]!BexGetData("DP_1","00O2TNJGODT0G5Z4TTKYMN18L","GSON1112110240")</f>
        <v>#NAME?</v>
      </c>
      <c r="W1572" s="28" t="e">
        <f ca="1">[1]!BexGetData("DP_1","00O2TNJGODT0G5Z4TTKYMN7K5","GSON1112110240")</f>
        <v>#NAME?</v>
      </c>
    </row>
    <row r="1573" spans="1:23" x14ac:dyDescent="0.2">
      <c r="A1573" s="36" t="s">
        <v>628</v>
      </c>
      <c r="B1573" s="27" t="s">
        <v>629</v>
      </c>
      <c r="C1573" s="28" t="e">
        <f ca="1">[1]!BexGetData("DP_1","003N8EMH8GTFRCSWKMPXRR8GU","GSON1112110241")</f>
        <v>#NAME?</v>
      </c>
      <c r="D1573" s="28" t="e">
        <f ca="1">[1]!BexGetData("DP_1","003N8EMH8GTFRCSWKMPXRRESE","GSON1112110241")</f>
        <v>#NAME?</v>
      </c>
      <c r="E1573" s="23" t="e">
        <f ca="1">[1]!BexGetData("DP_1","003N8EMH8GTFRCSWKMPXRRL3Y","GSON1112110241")</f>
        <v>#NAME?</v>
      </c>
      <c r="F1573" s="23" t="e">
        <f ca="1">[1]!BexGetData("DP_1","003N8EMH8GTFRCSWKMPXRRRFI","GSON1112110241")</f>
        <v>#NAME?</v>
      </c>
      <c r="G1573" s="23" t="e">
        <f ca="1">[1]!BexGetData("DP_1","003N8EMH8GTFRCSWKMPXRRXR2","GSON1112110241")</f>
        <v>#NAME?</v>
      </c>
      <c r="H1573" s="23" t="e">
        <f ca="1">[1]!BexGetData("DP_1","003N8EMH8GTFRCSWKMPXRS42M","GSON1112110241")</f>
        <v>#NAME?</v>
      </c>
      <c r="I1573" s="23" t="e">
        <f ca="1">[1]!BexGetData("DP_1","003N8EMH8GTFRCSWKMPXRSAE6","GSON1112110241")</f>
        <v>#NAME?</v>
      </c>
      <c r="J1573" s="24" t="e">
        <f ca="1">[1]!BexGetData("DP_1","003N8EMH8GTFRCSWKMPXRSGPQ","GSON1112110241")</f>
        <v>#NAME?</v>
      </c>
      <c r="K1573" s="28" t="e">
        <f ca="1">[1]!BexGetData("DP_1","003N8EMH8GTFRIVNUPY288VJH","GSON1112110241")</f>
        <v>#NAME?</v>
      </c>
      <c r="L1573" s="28" t="e">
        <f ca="1">[1]!BexGetData("DP_1","003N8EMH8GTFRIVNUPY2891V1","GSON1112110241")</f>
        <v>#NAME?</v>
      </c>
      <c r="M1573" s="28" t="e">
        <f ca="1">[1]!BexGetData("DP_1","003N8EMH8GTFRIVOG7KG9IQXA","GSON1112110241")</f>
        <v>#NAME?</v>
      </c>
      <c r="N1573" s="28" t="e">
        <f ca="1">[1]!BexGetData("DP_1","003N8EMH8GTFRIVOG7KG9IX8U","GSON1112110241")</f>
        <v>#NAME?</v>
      </c>
      <c r="O1573" s="28" t="e">
        <f ca="1">[1]!BexGetData("DP_1","003N8EMH8GTFRIVOG7KG9J3KE","GSON1112110241")</f>
        <v>#NAME?</v>
      </c>
      <c r="P1573" s="28" t="e">
        <f ca="1">[1]!BexGetData("DP_1","003N8EMH8GTFRIVOG7KG9J9VY","GSON1112110241")</f>
        <v>#NAME?</v>
      </c>
      <c r="Q1573" s="24" t="e">
        <f ca="1">[1]!BexGetData("DP_1","00O2TNJGODT0G5Z4TTKYMM5MT","GSON1112110241")</f>
        <v>#NAME?</v>
      </c>
      <c r="R1573" s="23" t="e">
        <f ca="1">[1]!BexGetData("DP_1","00O2TNJGODT0G5Z4TTKYMMBYD","GSON1112110241")</f>
        <v>#NAME?</v>
      </c>
      <c r="S1573" s="23" t="e">
        <f ca="1">[1]!BexGetData("DP_1","00O2TNJGODT0G5Z4TTKYMMI9X","GSON1112110241")</f>
        <v>#NAME?</v>
      </c>
      <c r="T1573" s="23" t="e">
        <f ca="1">[1]!BexGetData("DP_1","00O2TNJGODT0G5Z4TTKYMMOLH","GSON1112110241")</f>
        <v>#NAME?</v>
      </c>
      <c r="U1573" s="28" t="e">
        <f ca="1">[1]!BexGetData("DP_1","00O2TNJGODT0G5Z4TTKYMMUX1","GSON1112110241")</f>
        <v>#NAME?</v>
      </c>
      <c r="V1573" s="23" t="e">
        <f ca="1">[1]!BexGetData("DP_1","00O2TNJGODT0G5Z4TTKYMN18L","GSON1112110241")</f>
        <v>#NAME?</v>
      </c>
      <c r="W1573" s="28" t="e">
        <f ca="1">[1]!BexGetData("DP_1","00O2TNJGODT0G5Z4TTKYMN7K5","GSON1112110241")</f>
        <v>#NAME?</v>
      </c>
    </row>
    <row r="1574" spans="1:23" x14ac:dyDescent="0.2">
      <c r="A1574" s="36" t="s">
        <v>1130</v>
      </c>
      <c r="B1574" s="27" t="s">
        <v>1131</v>
      </c>
      <c r="C1574" s="28" t="e">
        <f ca="1">[1]!BexGetData("DP_1","003N8EMH8GTFRCSWKMPXRR8GU","GSON1112110243")</f>
        <v>#NAME?</v>
      </c>
      <c r="D1574" s="28" t="e">
        <f ca="1">[1]!BexGetData("DP_1","003N8EMH8GTFRCSWKMPXRRESE","GSON1112110243")</f>
        <v>#NAME?</v>
      </c>
      <c r="E1574" s="28" t="e">
        <f ca="1">[1]!BexGetData("DP_1","003N8EMH8GTFRCSWKMPXRRL3Y","GSON1112110243")</f>
        <v>#NAME?</v>
      </c>
      <c r="F1574" s="28" t="e">
        <f ca="1">[1]!BexGetData("DP_1","003N8EMH8GTFRCSWKMPXRRRFI","GSON1112110243")</f>
        <v>#NAME?</v>
      </c>
      <c r="G1574" s="23" t="e">
        <f ca="1">[1]!BexGetData("DP_1","003N8EMH8GTFRCSWKMPXRRXR2","GSON1112110243")</f>
        <v>#NAME?</v>
      </c>
      <c r="H1574" s="23" t="e">
        <f ca="1">[1]!BexGetData("DP_1","003N8EMH8GTFRCSWKMPXRS42M","GSON1112110243")</f>
        <v>#NAME?</v>
      </c>
      <c r="I1574" s="28" t="e">
        <f ca="1">[1]!BexGetData("DP_1","003N8EMH8GTFRCSWKMPXRSAE6","GSON1112110243")</f>
        <v>#NAME?</v>
      </c>
      <c r="J1574" s="24" t="e">
        <f ca="1">[1]!BexGetData("DP_1","003N8EMH8GTFRCSWKMPXRSGPQ","GSON1112110243")</f>
        <v>#NAME?</v>
      </c>
      <c r="K1574" s="28" t="e">
        <f ca="1">[1]!BexGetData("DP_1","003N8EMH8GTFRIVNUPY288VJH","GSON1112110243")</f>
        <v>#NAME?</v>
      </c>
      <c r="L1574" s="28" t="e">
        <f ca="1">[1]!BexGetData("DP_1","003N8EMH8GTFRIVNUPY2891V1","GSON1112110243")</f>
        <v>#NAME?</v>
      </c>
      <c r="M1574" s="28" t="e">
        <f ca="1">[1]!BexGetData("DP_1","003N8EMH8GTFRIVOG7KG9IQXA","GSON1112110243")</f>
        <v>#NAME?</v>
      </c>
      <c r="N1574" s="28" t="e">
        <f ca="1">[1]!BexGetData("DP_1","003N8EMH8GTFRIVOG7KG9IX8U","GSON1112110243")</f>
        <v>#NAME?</v>
      </c>
      <c r="O1574" s="28" t="e">
        <f ca="1">[1]!BexGetData("DP_1","003N8EMH8GTFRIVOG7KG9J3KE","GSON1112110243")</f>
        <v>#NAME?</v>
      </c>
      <c r="P1574" s="28" t="e">
        <f ca="1">[1]!BexGetData("DP_1","003N8EMH8GTFRIVOG7KG9J9VY","GSON1112110243")</f>
        <v>#NAME?</v>
      </c>
      <c r="Q1574" s="24" t="e">
        <f ca="1">[1]!BexGetData("DP_1","00O2TNJGODT0G5Z4TTKYMM5MT","GSON1112110243")</f>
        <v>#NAME?</v>
      </c>
      <c r="R1574" s="28" t="e">
        <f ca="1">[1]!BexGetData("DP_1","00O2TNJGODT0G5Z4TTKYMMBYD","GSON1112110243")</f>
        <v>#NAME?</v>
      </c>
      <c r="S1574" s="28" t="e">
        <f ca="1">[1]!BexGetData("DP_1","00O2TNJGODT0G5Z4TTKYMMI9X","GSON1112110243")</f>
        <v>#NAME?</v>
      </c>
      <c r="T1574" s="28" t="e">
        <f ca="1">[1]!BexGetData("DP_1","00O2TNJGODT0G5Z4TTKYMMOLH","GSON1112110243")</f>
        <v>#NAME?</v>
      </c>
      <c r="U1574" s="28" t="e">
        <f ca="1">[1]!BexGetData("DP_1","00O2TNJGODT0G5Z4TTKYMMUX1","GSON1112110243")</f>
        <v>#NAME?</v>
      </c>
      <c r="V1574" s="28" t="e">
        <f ca="1">[1]!BexGetData("DP_1","00O2TNJGODT0G5Z4TTKYMN18L","GSON1112110243")</f>
        <v>#NAME?</v>
      </c>
      <c r="W1574" s="28" t="e">
        <f ca="1">[1]!BexGetData("DP_1","00O2TNJGODT0G5Z4TTKYMN7K5","GSON1112110243")</f>
        <v>#NAME?</v>
      </c>
    </row>
    <row r="1575" spans="1:23" x14ac:dyDescent="0.2">
      <c r="A1575" s="36" t="s">
        <v>4230</v>
      </c>
      <c r="B1575" s="27" t="s">
        <v>1132</v>
      </c>
      <c r="C1575" s="23" t="e">
        <f ca="1">[1]!BexGetData("DP_1","003N8EMH8GTFRCSWKMPXRR8GU","GSON1112110244")</f>
        <v>#NAME?</v>
      </c>
      <c r="D1575" s="23" t="e">
        <f ca="1">[1]!BexGetData("DP_1","003N8EMH8GTFRCSWKMPXRRESE","GSON1112110244")</f>
        <v>#NAME?</v>
      </c>
      <c r="E1575" s="28" t="e">
        <f ca="1">[1]!BexGetData("DP_1","003N8EMH8GTFRCSWKMPXRRL3Y","GSON1112110244")</f>
        <v>#NAME?</v>
      </c>
      <c r="F1575" s="23" t="e">
        <f ca="1">[1]!BexGetData("DP_1","003N8EMH8GTFRCSWKMPXRRRFI","GSON1112110244")</f>
        <v>#NAME?</v>
      </c>
      <c r="G1575" s="23" t="e">
        <f ca="1">[1]!BexGetData("DP_1","003N8EMH8GTFRCSWKMPXRRXR2","GSON1112110244")</f>
        <v>#NAME?</v>
      </c>
      <c r="H1575" s="23" t="e">
        <f ca="1">[1]!BexGetData("DP_1","003N8EMH8GTFRCSWKMPXRS42M","GSON1112110244")</f>
        <v>#NAME?</v>
      </c>
      <c r="I1575" s="23" t="e">
        <f ca="1">[1]!BexGetData("DP_1","003N8EMH8GTFRCSWKMPXRSAE6","GSON1112110244")</f>
        <v>#NAME?</v>
      </c>
      <c r="J1575" s="24" t="e">
        <f ca="1">[1]!BexGetData("DP_1","003N8EMH8GTFRCSWKMPXRSGPQ","GSON1112110244")</f>
        <v>#NAME?</v>
      </c>
      <c r="K1575" s="23" t="e">
        <f ca="1">[1]!BexGetData("DP_1","003N8EMH8GTFRIVNUPY288VJH","GSON1112110244")</f>
        <v>#NAME?</v>
      </c>
      <c r="L1575" s="23" t="e">
        <f ca="1">[1]!BexGetData("DP_1","003N8EMH8GTFRIVNUPY2891V1","GSON1112110244")</f>
        <v>#NAME?</v>
      </c>
      <c r="M1575" s="23" t="e">
        <f ca="1">[1]!BexGetData("DP_1","003N8EMH8GTFRIVOG7KG9IQXA","GSON1112110244")</f>
        <v>#NAME?</v>
      </c>
      <c r="N1575" s="28" t="e">
        <f ca="1">[1]!BexGetData("DP_1","003N8EMH8GTFRIVOG7KG9IX8U","GSON1112110244")</f>
        <v>#NAME?</v>
      </c>
      <c r="O1575" s="23" t="e">
        <f ca="1">[1]!BexGetData("DP_1","003N8EMH8GTFRIVOG7KG9J3KE","GSON1112110244")</f>
        <v>#NAME?</v>
      </c>
      <c r="P1575" s="28" t="e">
        <f ca="1">[1]!BexGetData("DP_1","003N8EMH8GTFRIVOG7KG9J9VY","GSON1112110244")</f>
        <v>#NAME?</v>
      </c>
      <c r="Q1575" s="24" t="e">
        <f ca="1">[1]!BexGetData("DP_1","00O2TNJGODT0G5Z4TTKYMM5MT","GSON1112110244")</f>
        <v>#NAME?</v>
      </c>
      <c r="R1575" s="23" t="e">
        <f ca="1">[1]!BexGetData("DP_1","00O2TNJGODT0G5Z4TTKYMMBYD","GSON1112110244")</f>
        <v>#NAME?</v>
      </c>
      <c r="S1575" s="23" t="e">
        <f ca="1">[1]!BexGetData("DP_1","00O2TNJGODT0G5Z4TTKYMMI9X","GSON1112110244")</f>
        <v>#NAME?</v>
      </c>
      <c r="T1575" s="28" t="e">
        <f ca="1">[1]!BexGetData("DP_1","00O2TNJGODT0G5Z4TTKYMMOLH","GSON1112110244")</f>
        <v>#NAME?</v>
      </c>
      <c r="U1575" s="23" t="e">
        <f ca="1">[1]!BexGetData("DP_1","00O2TNJGODT0G5Z4TTKYMMUX1","GSON1112110244")</f>
        <v>#NAME?</v>
      </c>
      <c r="V1575" s="28" t="e">
        <f ca="1">[1]!BexGetData("DP_1","00O2TNJGODT0G5Z4TTKYMN18L","GSON1112110244")</f>
        <v>#NAME?</v>
      </c>
      <c r="W1575" s="23" t="e">
        <f ca="1">[1]!BexGetData("DP_1","00O2TNJGODT0G5Z4TTKYMN7K5","GSON1112110244")</f>
        <v>#NAME?</v>
      </c>
    </row>
    <row r="1576" spans="1:23" x14ac:dyDescent="0.2">
      <c r="A1576" s="36" t="s">
        <v>4231</v>
      </c>
      <c r="B1576" s="27" t="s">
        <v>1133</v>
      </c>
      <c r="C1576" s="28" t="e">
        <f ca="1">[1]!BexGetData("DP_1","003N8EMH8GTFRCSWKMPXRR8GU","GSON1112110250")</f>
        <v>#NAME?</v>
      </c>
      <c r="D1576" s="28" t="e">
        <f ca="1">[1]!BexGetData("DP_1","003N8EMH8GTFRCSWKMPXRRESE","GSON1112110250")</f>
        <v>#NAME?</v>
      </c>
      <c r="E1576" s="28" t="e">
        <f ca="1">[1]!BexGetData("DP_1","003N8EMH8GTFRCSWKMPXRRL3Y","GSON1112110250")</f>
        <v>#NAME?</v>
      </c>
      <c r="F1576" s="28" t="e">
        <f ca="1">[1]!BexGetData("DP_1","003N8EMH8GTFRCSWKMPXRRRFI","GSON1112110250")</f>
        <v>#NAME?</v>
      </c>
      <c r="G1576" s="28" t="e">
        <f ca="1">[1]!BexGetData("DP_1","003N8EMH8GTFRCSWKMPXRRXR2","GSON1112110250")</f>
        <v>#NAME?</v>
      </c>
      <c r="H1576" s="23" t="e">
        <f ca="1">[1]!BexGetData("DP_1","003N8EMH8GTFRCSWKMPXRS42M","GSON1112110250")</f>
        <v>#NAME?</v>
      </c>
      <c r="I1576" s="28" t="e">
        <f ca="1">[1]!BexGetData("DP_1","003N8EMH8GTFRCSWKMPXRSAE6","GSON1112110250")</f>
        <v>#NAME?</v>
      </c>
      <c r="J1576" s="23" t="e">
        <f ca="1">[1]!BexGetData("DP_1","003N8EMH8GTFRCSWKMPXRSGPQ","GSON1112110250")</f>
        <v>#NAME?</v>
      </c>
      <c r="K1576" s="28" t="e">
        <f ca="1">[1]!BexGetData("DP_1","003N8EMH8GTFRIVNUPY288VJH","GSON1112110250")</f>
        <v>#NAME?</v>
      </c>
      <c r="L1576" s="28" t="e">
        <f ca="1">[1]!BexGetData("DP_1","003N8EMH8GTFRIVNUPY2891V1","GSON1112110250")</f>
        <v>#NAME?</v>
      </c>
      <c r="M1576" s="28" t="e">
        <f ca="1">[1]!BexGetData("DP_1","003N8EMH8GTFRIVOG7KG9IQXA","GSON1112110250")</f>
        <v>#NAME?</v>
      </c>
      <c r="N1576" s="28" t="e">
        <f ca="1">[1]!BexGetData("DP_1","003N8EMH8GTFRIVOG7KG9IX8U","GSON1112110250")</f>
        <v>#NAME?</v>
      </c>
      <c r="O1576" s="28" t="e">
        <f ca="1">[1]!BexGetData("DP_1","003N8EMH8GTFRIVOG7KG9J3KE","GSON1112110250")</f>
        <v>#NAME?</v>
      </c>
      <c r="P1576" s="28" t="e">
        <f ca="1">[1]!BexGetData("DP_1","003N8EMH8GTFRIVOG7KG9J9VY","GSON1112110250")</f>
        <v>#NAME?</v>
      </c>
      <c r="Q1576" s="23" t="e">
        <f ca="1">[1]!BexGetData("DP_1","00O2TNJGODT0G5Z4TTKYMM5MT","GSON1112110250")</f>
        <v>#NAME?</v>
      </c>
      <c r="R1576" s="23" t="e">
        <f ca="1">[1]!BexGetData("DP_1","00O2TNJGODT0G5Z4TTKYMMBYD","GSON1112110250")</f>
        <v>#NAME?</v>
      </c>
      <c r="S1576" s="23" t="e">
        <f ca="1">[1]!BexGetData("DP_1","00O2TNJGODT0G5Z4TTKYMMI9X","GSON1112110250")</f>
        <v>#NAME?</v>
      </c>
      <c r="T1576" s="23" t="e">
        <f ca="1">[1]!BexGetData("DP_1","00O2TNJGODT0G5Z4TTKYMMOLH","GSON1112110250")</f>
        <v>#NAME?</v>
      </c>
      <c r="U1576" s="28" t="e">
        <f ca="1">[1]!BexGetData("DP_1","00O2TNJGODT0G5Z4TTKYMMUX1","GSON1112110250")</f>
        <v>#NAME?</v>
      </c>
      <c r="V1576" s="23" t="e">
        <f ca="1">[1]!BexGetData("DP_1","00O2TNJGODT0G5Z4TTKYMN18L","GSON1112110250")</f>
        <v>#NAME?</v>
      </c>
      <c r="W1576" s="28" t="e">
        <f ca="1">[1]!BexGetData("DP_1","00O2TNJGODT0G5Z4TTKYMN7K5","GSON1112110250")</f>
        <v>#NAME?</v>
      </c>
    </row>
    <row r="1577" spans="1:23" x14ac:dyDescent="0.2">
      <c r="A1577" s="36" t="s">
        <v>1134</v>
      </c>
      <c r="B1577" s="27" t="s">
        <v>1135</v>
      </c>
      <c r="C1577" s="28" t="e">
        <f ca="1">[1]!BexGetData("DP_1","003N8EMH8GTFRCSWKMPXRR8GU","GSON1112110253")</f>
        <v>#NAME?</v>
      </c>
      <c r="D1577" s="28" t="e">
        <f ca="1">[1]!BexGetData("DP_1","003N8EMH8GTFRCSWKMPXRRESE","GSON1112110253")</f>
        <v>#NAME?</v>
      </c>
      <c r="E1577" s="28" t="e">
        <f ca="1">[1]!BexGetData("DP_1","003N8EMH8GTFRCSWKMPXRRL3Y","GSON1112110253")</f>
        <v>#NAME?</v>
      </c>
      <c r="F1577" s="28" t="e">
        <f ca="1">[1]!BexGetData("DP_1","003N8EMH8GTFRCSWKMPXRRRFI","GSON1112110253")</f>
        <v>#NAME?</v>
      </c>
      <c r="G1577" s="23" t="e">
        <f ca="1">[1]!BexGetData("DP_1","003N8EMH8GTFRCSWKMPXRRXR2","GSON1112110253")</f>
        <v>#NAME?</v>
      </c>
      <c r="H1577" s="23" t="e">
        <f ca="1">[1]!BexGetData("DP_1","003N8EMH8GTFRCSWKMPXRS42M","GSON1112110253")</f>
        <v>#NAME?</v>
      </c>
      <c r="I1577" s="28" t="e">
        <f ca="1">[1]!BexGetData("DP_1","003N8EMH8GTFRCSWKMPXRSAE6","GSON1112110253")</f>
        <v>#NAME?</v>
      </c>
      <c r="J1577" s="24" t="e">
        <f ca="1">[1]!BexGetData("DP_1","003N8EMH8GTFRCSWKMPXRSGPQ","GSON1112110253")</f>
        <v>#NAME?</v>
      </c>
      <c r="K1577" s="28" t="e">
        <f ca="1">[1]!BexGetData("DP_1","003N8EMH8GTFRIVNUPY288VJH","GSON1112110253")</f>
        <v>#NAME?</v>
      </c>
      <c r="L1577" s="28" t="e">
        <f ca="1">[1]!BexGetData("DP_1","003N8EMH8GTFRIVNUPY2891V1","GSON1112110253")</f>
        <v>#NAME?</v>
      </c>
      <c r="M1577" s="28" t="e">
        <f ca="1">[1]!BexGetData("DP_1","003N8EMH8GTFRIVOG7KG9IQXA","GSON1112110253")</f>
        <v>#NAME?</v>
      </c>
      <c r="N1577" s="28" t="e">
        <f ca="1">[1]!BexGetData("DP_1","003N8EMH8GTFRIVOG7KG9IX8U","GSON1112110253")</f>
        <v>#NAME?</v>
      </c>
      <c r="O1577" s="28" t="e">
        <f ca="1">[1]!BexGetData("DP_1","003N8EMH8GTFRIVOG7KG9J3KE","GSON1112110253")</f>
        <v>#NAME?</v>
      </c>
      <c r="P1577" s="28" t="e">
        <f ca="1">[1]!BexGetData("DP_1","003N8EMH8GTFRIVOG7KG9J9VY","GSON1112110253")</f>
        <v>#NAME?</v>
      </c>
      <c r="Q1577" s="24" t="e">
        <f ca="1">[1]!BexGetData("DP_1","00O2TNJGODT0G5Z4TTKYMM5MT","GSON1112110253")</f>
        <v>#NAME?</v>
      </c>
      <c r="R1577" s="28" t="e">
        <f ca="1">[1]!BexGetData("DP_1","00O2TNJGODT0G5Z4TTKYMMBYD","GSON1112110253")</f>
        <v>#NAME?</v>
      </c>
      <c r="S1577" s="28" t="e">
        <f ca="1">[1]!BexGetData("DP_1","00O2TNJGODT0G5Z4TTKYMMI9X","GSON1112110253")</f>
        <v>#NAME?</v>
      </c>
      <c r="T1577" s="28" t="e">
        <f ca="1">[1]!BexGetData("DP_1","00O2TNJGODT0G5Z4TTKYMMOLH","GSON1112110253")</f>
        <v>#NAME?</v>
      </c>
      <c r="U1577" s="28" t="e">
        <f ca="1">[1]!BexGetData("DP_1","00O2TNJGODT0G5Z4TTKYMMUX1","GSON1112110253")</f>
        <v>#NAME?</v>
      </c>
      <c r="V1577" s="28" t="e">
        <f ca="1">[1]!BexGetData("DP_1","00O2TNJGODT0G5Z4TTKYMN18L","GSON1112110253")</f>
        <v>#NAME?</v>
      </c>
      <c r="W1577" s="28" t="e">
        <f ca="1">[1]!BexGetData("DP_1","00O2TNJGODT0G5Z4TTKYMN7K5","GSON1112110253")</f>
        <v>#NAME?</v>
      </c>
    </row>
    <row r="1578" spans="1:23" x14ac:dyDescent="0.2">
      <c r="A1578" s="36" t="s">
        <v>4232</v>
      </c>
      <c r="B1578" s="27" t="s">
        <v>1136</v>
      </c>
      <c r="C1578" s="28" t="e">
        <f ca="1">[1]!BexGetData("DP_1","003N8EMH8GTFRCSWKMPXRR8GU","GSON1112110260")</f>
        <v>#NAME?</v>
      </c>
      <c r="D1578" s="28" t="e">
        <f ca="1">[1]!BexGetData("DP_1","003N8EMH8GTFRCSWKMPXRRESE","GSON1112110260")</f>
        <v>#NAME?</v>
      </c>
      <c r="E1578" s="28" t="e">
        <f ca="1">[1]!BexGetData("DP_1","003N8EMH8GTFRCSWKMPXRRL3Y","GSON1112110260")</f>
        <v>#NAME?</v>
      </c>
      <c r="F1578" s="28" t="e">
        <f ca="1">[1]!BexGetData("DP_1","003N8EMH8GTFRCSWKMPXRRRFI","GSON1112110260")</f>
        <v>#NAME?</v>
      </c>
      <c r="G1578" s="28" t="e">
        <f ca="1">[1]!BexGetData("DP_1","003N8EMH8GTFRCSWKMPXRRXR2","GSON1112110260")</f>
        <v>#NAME?</v>
      </c>
      <c r="H1578" s="23" t="e">
        <f ca="1">[1]!BexGetData("DP_1","003N8EMH8GTFRCSWKMPXRS42M","GSON1112110260")</f>
        <v>#NAME?</v>
      </c>
      <c r="I1578" s="28" t="e">
        <f ca="1">[1]!BexGetData("DP_1","003N8EMH8GTFRCSWKMPXRSAE6","GSON1112110260")</f>
        <v>#NAME?</v>
      </c>
      <c r="J1578" s="23" t="e">
        <f ca="1">[1]!BexGetData("DP_1","003N8EMH8GTFRCSWKMPXRSGPQ","GSON1112110260")</f>
        <v>#NAME?</v>
      </c>
      <c r="K1578" s="28" t="e">
        <f ca="1">[1]!BexGetData("DP_1","003N8EMH8GTFRIVNUPY288VJH","GSON1112110260")</f>
        <v>#NAME?</v>
      </c>
      <c r="L1578" s="28" t="e">
        <f ca="1">[1]!BexGetData("DP_1","003N8EMH8GTFRIVNUPY2891V1","GSON1112110260")</f>
        <v>#NAME?</v>
      </c>
      <c r="M1578" s="28" t="e">
        <f ca="1">[1]!BexGetData("DP_1","003N8EMH8GTFRIVOG7KG9IQXA","GSON1112110260")</f>
        <v>#NAME?</v>
      </c>
      <c r="N1578" s="28" t="e">
        <f ca="1">[1]!BexGetData("DP_1","003N8EMH8GTFRIVOG7KG9IX8U","GSON1112110260")</f>
        <v>#NAME?</v>
      </c>
      <c r="O1578" s="28" t="e">
        <f ca="1">[1]!BexGetData("DP_1","003N8EMH8GTFRIVOG7KG9J3KE","GSON1112110260")</f>
        <v>#NAME?</v>
      </c>
      <c r="P1578" s="28" t="e">
        <f ca="1">[1]!BexGetData("DP_1","003N8EMH8GTFRIVOG7KG9J9VY","GSON1112110260")</f>
        <v>#NAME?</v>
      </c>
      <c r="Q1578" s="23" t="e">
        <f ca="1">[1]!BexGetData("DP_1","00O2TNJGODT0G5Z4TTKYMM5MT","GSON1112110260")</f>
        <v>#NAME?</v>
      </c>
      <c r="R1578" s="23" t="e">
        <f ca="1">[1]!BexGetData("DP_1","00O2TNJGODT0G5Z4TTKYMMBYD","GSON1112110260")</f>
        <v>#NAME?</v>
      </c>
      <c r="S1578" s="23" t="e">
        <f ca="1">[1]!BexGetData("DP_1","00O2TNJGODT0G5Z4TTKYMMI9X","GSON1112110260")</f>
        <v>#NAME?</v>
      </c>
      <c r="T1578" s="23" t="e">
        <f ca="1">[1]!BexGetData("DP_1","00O2TNJGODT0G5Z4TTKYMMOLH","GSON1112110260")</f>
        <v>#NAME?</v>
      </c>
      <c r="U1578" s="28" t="e">
        <f ca="1">[1]!BexGetData("DP_1","00O2TNJGODT0G5Z4TTKYMMUX1","GSON1112110260")</f>
        <v>#NAME?</v>
      </c>
      <c r="V1578" s="23" t="e">
        <f ca="1">[1]!BexGetData("DP_1","00O2TNJGODT0G5Z4TTKYMN18L","GSON1112110260")</f>
        <v>#NAME?</v>
      </c>
      <c r="W1578" s="28" t="e">
        <f ca="1">[1]!BexGetData("DP_1","00O2TNJGODT0G5Z4TTKYMN7K5","GSON1112110260")</f>
        <v>#NAME?</v>
      </c>
    </row>
    <row r="1579" spans="1:23" x14ac:dyDescent="0.2">
      <c r="A1579" s="36" t="s">
        <v>1137</v>
      </c>
      <c r="B1579" s="27" t="s">
        <v>1138</v>
      </c>
      <c r="C1579" s="23" t="e">
        <f ca="1">[1]!BexGetData("DP_1","003N8EMH8GTFRCSWKMPXRR8GU","GSON1112110263")</f>
        <v>#NAME?</v>
      </c>
      <c r="D1579" s="23" t="e">
        <f ca="1">[1]!BexGetData("DP_1","003N8EMH8GTFRCSWKMPXRRESE","GSON1112110263")</f>
        <v>#NAME?</v>
      </c>
      <c r="E1579" s="28" t="e">
        <f ca="1">[1]!BexGetData("DP_1","003N8EMH8GTFRCSWKMPXRRL3Y","GSON1112110263")</f>
        <v>#NAME?</v>
      </c>
      <c r="F1579" s="28" t="e">
        <f ca="1">[1]!BexGetData("DP_1","003N8EMH8GTFRCSWKMPXRRRFI","GSON1112110263")</f>
        <v>#NAME?</v>
      </c>
      <c r="G1579" s="23" t="e">
        <f ca="1">[1]!BexGetData("DP_1","003N8EMH8GTFRCSWKMPXRRXR2","GSON1112110263")</f>
        <v>#NAME?</v>
      </c>
      <c r="H1579" s="23" t="e">
        <f ca="1">[1]!BexGetData("DP_1","003N8EMH8GTFRCSWKMPXRS42M","GSON1112110263")</f>
        <v>#NAME?</v>
      </c>
      <c r="I1579" s="28" t="e">
        <f ca="1">[1]!BexGetData("DP_1","003N8EMH8GTFRCSWKMPXRSAE6","GSON1112110263")</f>
        <v>#NAME?</v>
      </c>
      <c r="J1579" s="24" t="e">
        <f ca="1">[1]!BexGetData("DP_1","003N8EMH8GTFRCSWKMPXRSGPQ","GSON1112110263")</f>
        <v>#NAME?</v>
      </c>
      <c r="K1579" s="28" t="e">
        <f ca="1">[1]!BexGetData("DP_1","003N8EMH8GTFRIVNUPY288VJH","GSON1112110263")</f>
        <v>#NAME?</v>
      </c>
      <c r="L1579" s="28" t="e">
        <f ca="1">[1]!BexGetData("DP_1","003N8EMH8GTFRIVNUPY2891V1","GSON1112110263")</f>
        <v>#NAME?</v>
      </c>
      <c r="M1579" s="28" t="e">
        <f ca="1">[1]!BexGetData("DP_1","003N8EMH8GTFRIVOG7KG9IQXA","GSON1112110263")</f>
        <v>#NAME?</v>
      </c>
      <c r="N1579" s="28" t="e">
        <f ca="1">[1]!BexGetData("DP_1","003N8EMH8GTFRIVOG7KG9IX8U","GSON1112110263")</f>
        <v>#NAME?</v>
      </c>
      <c r="O1579" s="28" t="e">
        <f ca="1">[1]!BexGetData("DP_1","003N8EMH8GTFRIVOG7KG9J3KE","GSON1112110263")</f>
        <v>#NAME?</v>
      </c>
      <c r="P1579" s="28" t="e">
        <f ca="1">[1]!BexGetData("DP_1","003N8EMH8GTFRIVOG7KG9J9VY","GSON1112110263")</f>
        <v>#NAME?</v>
      </c>
      <c r="Q1579" s="24" t="e">
        <f ca="1">[1]!BexGetData("DP_1","00O2TNJGODT0G5Z4TTKYMM5MT","GSON1112110263")</f>
        <v>#NAME?</v>
      </c>
      <c r="R1579" s="28" t="e">
        <f ca="1">[1]!BexGetData("DP_1","00O2TNJGODT0G5Z4TTKYMMBYD","GSON1112110263")</f>
        <v>#NAME?</v>
      </c>
      <c r="S1579" s="28" t="e">
        <f ca="1">[1]!BexGetData("DP_1","00O2TNJGODT0G5Z4TTKYMMI9X","GSON1112110263")</f>
        <v>#NAME?</v>
      </c>
      <c r="T1579" s="28" t="e">
        <f ca="1">[1]!BexGetData("DP_1","00O2TNJGODT0G5Z4TTKYMMOLH","GSON1112110263")</f>
        <v>#NAME?</v>
      </c>
      <c r="U1579" s="28" t="e">
        <f ca="1">[1]!BexGetData("DP_1","00O2TNJGODT0G5Z4TTKYMMUX1","GSON1112110263")</f>
        <v>#NAME?</v>
      </c>
      <c r="V1579" s="28" t="e">
        <f ca="1">[1]!BexGetData("DP_1","00O2TNJGODT0G5Z4TTKYMN18L","GSON1112110263")</f>
        <v>#NAME?</v>
      </c>
      <c r="W1579" s="28" t="e">
        <f ca="1">[1]!BexGetData("DP_1","00O2TNJGODT0G5Z4TTKYMN7K5","GSON1112110263")</f>
        <v>#NAME?</v>
      </c>
    </row>
    <row r="1580" spans="1:23" x14ac:dyDescent="0.2">
      <c r="A1580" s="36" t="s">
        <v>4233</v>
      </c>
      <c r="B1580" s="27" t="s">
        <v>4234</v>
      </c>
      <c r="C1580" s="23" t="e">
        <f ca="1">[1]!BexGetData("DP_1","003N8EMH8GTFRCSWKMPXRR8GU","GSON1112110270")</f>
        <v>#NAME?</v>
      </c>
      <c r="D1580" s="23" t="e">
        <f ca="1">[1]!BexGetData("DP_1","003N8EMH8GTFRCSWKMPXRRESE","GSON1112110270")</f>
        <v>#NAME?</v>
      </c>
      <c r="E1580" s="23" t="e">
        <f ca="1">[1]!BexGetData("DP_1","003N8EMH8GTFRCSWKMPXRRL3Y","GSON1112110270")</f>
        <v>#NAME?</v>
      </c>
      <c r="F1580" s="23" t="e">
        <f ca="1">[1]!BexGetData("DP_1","003N8EMH8GTFRCSWKMPXRRRFI","GSON1112110270")</f>
        <v>#NAME?</v>
      </c>
      <c r="G1580" s="23" t="e">
        <f ca="1">[1]!BexGetData("DP_1","003N8EMH8GTFRCSWKMPXRRXR2","GSON1112110270")</f>
        <v>#NAME?</v>
      </c>
      <c r="H1580" s="23" t="e">
        <f ca="1">[1]!BexGetData("DP_1","003N8EMH8GTFRCSWKMPXRS42M","GSON1112110270")</f>
        <v>#NAME?</v>
      </c>
      <c r="I1580" s="23" t="e">
        <f ca="1">[1]!BexGetData("DP_1","003N8EMH8GTFRCSWKMPXRSAE6","GSON1112110270")</f>
        <v>#NAME?</v>
      </c>
      <c r="J1580" s="23" t="e">
        <f ca="1">[1]!BexGetData("DP_1","003N8EMH8GTFRCSWKMPXRSGPQ","GSON1112110270")</f>
        <v>#NAME?</v>
      </c>
      <c r="K1580" s="23" t="e">
        <f ca="1">[1]!BexGetData("DP_1","003N8EMH8GTFRIVNUPY288VJH","GSON1112110270")</f>
        <v>#NAME?</v>
      </c>
      <c r="L1580" s="23" t="e">
        <f ca="1">[1]!BexGetData("DP_1","003N8EMH8GTFRIVNUPY2891V1","GSON1112110270")</f>
        <v>#NAME?</v>
      </c>
      <c r="M1580" s="23" t="e">
        <f ca="1">[1]!BexGetData("DP_1","003N8EMH8GTFRIVOG7KG9IQXA","GSON1112110270")</f>
        <v>#NAME?</v>
      </c>
      <c r="N1580" s="28" t="e">
        <f ca="1">[1]!BexGetData("DP_1","003N8EMH8GTFRIVOG7KG9IX8U","GSON1112110270")</f>
        <v>#NAME?</v>
      </c>
      <c r="O1580" s="23" t="e">
        <f ca="1">[1]!BexGetData("DP_1","003N8EMH8GTFRIVOG7KG9J3KE","GSON1112110270")</f>
        <v>#NAME?</v>
      </c>
      <c r="P1580" s="28" t="e">
        <f ca="1">[1]!BexGetData("DP_1","003N8EMH8GTFRIVOG7KG9J9VY","GSON1112110270")</f>
        <v>#NAME?</v>
      </c>
      <c r="Q1580" s="23" t="e">
        <f ca="1">[1]!BexGetData("DP_1","00O2TNJGODT0G5Z4TTKYMM5MT","GSON1112110270")</f>
        <v>#NAME?</v>
      </c>
      <c r="R1580" s="23" t="e">
        <f ca="1">[1]!BexGetData("DP_1","00O2TNJGODT0G5Z4TTKYMMBYD","GSON1112110270")</f>
        <v>#NAME?</v>
      </c>
      <c r="S1580" s="23" t="e">
        <f ca="1">[1]!BexGetData("DP_1","00O2TNJGODT0G5Z4TTKYMMI9X","GSON1112110270")</f>
        <v>#NAME?</v>
      </c>
      <c r="T1580" s="23" t="e">
        <f ca="1">[1]!BexGetData("DP_1","00O2TNJGODT0G5Z4TTKYMMOLH","GSON1112110270")</f>
        <v>#NAME?</v>
      </c>
      <c r="U1580" s="28" t="e">
        <f ca="1">[1]!BexGetData("DP_1","00O2TNJGODT0G5Z4TTKYMMUX1","GSON1112110270")</f>
        <v>#NAME?</v>
      </c>
      <c r="V1580" s="23" t="e">
        <f ca="1">[1]!BexGetData("DP_1","00O2TNJGODT0G5Z4TTKYMN18L","GSON1112110270")</f>
        <v>#NAME?</v>
      </c>
      <c r="W1580" s="28" t="e">
        <f ca="1">[1]!BexGetData("DP_1","00O2TNJGODT0G5Z4TTKYMN7K5","GSON1112110270")</f>
        <v>#NAME?</v>
      </c>
    </row>
    <row r="1581" spans="1:23" x14ac:dyDescent="0.2">
      <c r="A1581" s="36" t="s">
        <v>4235</v>
      </c>
      <c r="B1581" s="27" t="s">
        <v>4236</v>
      </c>
      <c r="C1581" s="23" t="e">
        <f ca="1">[1]!BexGetData("DP_1","003N8EMH8GTFRCSWKMPXRR8GU","GSON1112110271")</f>
        <v>#NAME?</v>
      </c>
      <c r="D1581" s="23" t="e">
        <f ca="1">[1]!BexGetData("DP_1","003N8EMH8GTFRCSWKMPXRRESE","GSON1112110271")</f>
        <v>#NAME?</v>
      </c>
      <c r="E1581" s="28" t="e">
        <f ca="1">[1]!BexGetData("DP_1","003N8EMH8GTFRCSWKMPXRRL3Y","GSON1112110271")</f>
        <v>#NAME?</v>
      </c>
      <c r="F1581" s="28" t="e">
        <f ca="1">[1]!BexGetData("DP_1","003N8EMH8GTFRCSWKMPXRRRFI","GSON1112110271")</f>
        <v>#NAME?</v>
      </c>
      <c r="G1581" s="23" t="e">
        <f ca="1">[1]!BexGetData("DP_1","003N8EMH8GTFRCSWKMPXRRXR2","GSON1112110271")</f>
        <v>#NAME?</v>
      </c>
      <c r="H1581" s="23" t="e">
        <f ca="1">[1]!BexGetData("DP_1","003N8EMH8GTFRCSWKMPXRS42M","GSON1112110271")</f>
        <v>#NAME?</v>
      </c>
      <c r="I1581" s="28" t="e">
        <f ca="1">[1]!BexGetData("DP_1","003N8EMH8GTFRCSWKMPXRSAE6","GSON1112110271")</f>
        <v>#NAME?</v>
      </c>
      <c r="J1581" s="24" t="e">
        <f ca="1">[1]!BexGetData("DP_1","003N8EMH8GTFRCSWKMPXRSGPQ","GSON1112110271")</f>
        <v>#NAME?</v>
      </c>
      <c r="K1581" s="28" t="e">
        <f ca="1">[1]!BexGetData("DP_1","003N8EMH8GTFRIVNUPY288VJH","GSON1112110271")</f>
        <v>#NAME?</v>
      </c>
      <c r="L1581" s="28" t="e">
        <f ca="1">[1]!BexGetData("DP_1","003N8EMH8GTFRIVNUPY2891V1","GSON1112110271")</f>
        <v>#NAME?</v>
      </c>
      <c r="M1581" s="28" t="e">
        <f ca="1">[1]!BexGetData("DP_1","003N8EMH8GTFRIVOG7KG9IQXA","GSON1112110271")</f>
        <v>#NAME?</v>
      </c>
      <c r="N1581" s="28" t="e">
        <f ca="1">[1]!BexGetData("DP_1","003N8EMH8GTFRIVOG7KG9IX8U","GSON1112110271")</f>
        <v>#NAME?</v>
      </c>
      <c r="O1581" s="28" t="e">
        <f ca="1">[1]!BexGetData("DP_1","003N8EMH8GTFRIVOG7KG9J3KE","GSON1112110271")</f>
        <v>#NAME?</v>
      </c>
      <c r="P1581" s="28" t="e">
        <f ca="1">[1]!BexGetData("DP_1","003N8EMH8GTFRIVOG7KG9J9VY","GSON1112110271")</f>
        <v>#NAME?</v>
      </c>
      <c r="Q1581" s="24" t="e">
        <f ca="1">[1]!BexGetData("DP_1","00O2TNJGODT0G5Z4TTKYMM5MT","GSON1112110271")</f>
        <v>#NAME?</v>
      </c>
      <c r="R1581" s="28" t="e">
        <f ca="1">[1]!BexGetData("DP_1","00O2TNJGODT0G5Z4TTKYMMBYD","GSON1112110271")</f>
        <v>#NAME?</v>
      </c>
      <c r="S1581" s="28" t="e">
        <f ca="1">[1]!BexGetData("DP_1","00O2TNJGODT0G5Z4TTKYMMI9X","GSON1112110271")</f>
        <v>#NAME?</v>
      </c>
      <c r="T1581" s="28" t="e">
        <f ca="1">[1]!BexGetData("DP_1","00O2TNJGODT0G5Z4TTKYMMOLH","GSON1112110271")</f>
        <v>#NAME?</v>
      </c>
      <c r="U1581" s="28" t="e">
        <f ca="1">[1]!BexGetData("DP_1","00O2TNJGODT0G5Z4TTKYMMUX1","GSON1112110271")</f>
        <v>#NAME?</v>
      </c>
      <c r="V1581" s="28" t="e">
        <f ca="1">[1]!BexGetData("DP_1","00O2TNJGODT0G5Z4TTKYMN18L","GSON1112110271")</f>
        <v>#NAME?</v>
      </c>
      <c r="W1581" s="28" t="e">
        <f ca="1">[1]!BexGetData("DP_1","00O2TNJGODT0G5Z4TTKYMN7K5","GSON1112110271")</f>
        <v>#NAME?</v>
      </c>
    </row>
    <row r="1582" spans="1:23" x14ac:dyDescent="0.2">
      <c r="A1582" s="36" t="s">
        <v>4237</v>
      </c>
      <c r="B1582" s="27" t="s">
        <v>4238</v>
      </c>
      <c r="C1582" s="23" t="e">
        <f ca="1">[1]!BexGetData("DP_1","003N8EMH8GTFRCSWKMPXRR8GU","GSON1112110273")</f>
        <v>#NAME?</v>
      </c>
      <c r="D1582" s="23" t="e">
        <f ca="1">[1]!BexGetData("DP_1","003N8EMH8GTFRCSWKMPXRRESE","GSON1112110273")</f>
        <v>#NAME?</v>
      </c>
      <c r="E1582" s="28" t="e">
        <f ca="1">[1]!BexGetData("DP_1","003N8EMH8GTFRCSWKMPXRRL3Y","GSON1112110273")</f>
        <v>#NAME?</v>
      </c>
      <c r="F1582" s="24" t="e">
        <f ca="1">[1]!BexGetData("DP_1","003N8EMH8GTFRCSWKMPXRRRFI","GSON1112110273")</f>
        <v>#NAME?</v>
      </c>
      <c r="G1582" s="24" t="e">
        <f ca="1">[1]!BexGetData("DP_1","003N8EMH8GTFRCSWKMPXRRXR2","GSON1112110273")</f>
        <v>#NAME?</v>
      </c>
      <c r="H1582" s="24" t="e">
        <f ca="1">[1]!BexGetData("DP_1","003N8EMH8GTFRCSWKMPXRS42M","GSON1112110273")</f>
        <v>#NAME?</v>
      </c>
      <c r="I1582" s="24" t="e">
        <f ca="1">[1]!BexGetData("DP_1","003N8EMH8GTFRCSWKMPXRSAE6","GSON1112110273")</f>
        <v>#NAME?</v>
      </c>
      <c r="J1582" s="24" t="e">
        <f ca="1">[1]!BexGetData("DP_1","003N8EMH8GTFRCSWKMPXRSGPQ","GSON1112110273")</f>
        <v>#NAME?</v>
      </c>
      <c r="K1582" s="28" t="e">
        <f ca="1">[1]!BexGetData("DP_1","003N8EMH8GTFRIVNUPY288VJH","GSON1112110273")</f>
        <v>#NAME?</v>
      </c>
      <c r="L1582" s="28" t="e">
        <f ca="1">[1]!BexGetData("DP_1","003N8EMH8GTFRIVNUPY2891V1","GSON1112110273")</f>
        <v>#NAME?</v>
      </c>
      <c r="M1582" s="28" t="e">
        <f ca="1">[1]!BexGetData("DP_1","003N8EMH8GTFRIVOG7KG9IQXA","GSON1112110273")</f>
        <v>#NAME?</v>
      </c>
      <c r="N1582" s="28" t="e">
        <f ca="1">[1]!BexGetData("DP_1","003N8EMH8GTFRIVOG7KG9IX8U","GSON1112110273")</f>
        <v>#NAME?</v>
      </c>
      <c r="O1582" s="28" t="e">
        <f ca="1">[1]!BexGetData("DP_1","003N8EMH8GTFRIVOG7KG9J3KE","GSON1112110273")</f>
        <v>#NAME?</v>
      </c>
      <c r="P1582" s="28" t="e">
        <f ca="1">[1]!BexGetData("DP_1","003N8EMH8GTFRIVOG7KG9J9VY","GSON1112110273")</f>
        <v>#NAME?</v>
      </c>
      <c r="Q1582" s="24" t="e">
        <f ca="1">[1]!BexGetData("DP_1","00O2TNJGODT0G5Z4TTKYMM5MT","GSON1112110273")</f>
        <v>#NAME?</v>
      </c>
      <c r="R1582" s="24" t="e">
        <f ca="1">[1]!BexGetData("DP_1","00O2TNJGODT0G5Z4TTKYMMBYD","GSON1112110273")</f>
        <v>#NAME?</v>
      </c>
      <c r="S1582" s="24" t="e">
        <f ca="1">[1]!BexGetData("DP_1","00O2TNJGODT0G5Z4TTKYMMI9X","GSON1112110273")</f>
        <v>#NAME?</v>
      </c>
      <c r="T1582" s="24" t="e">
        <f ca="1">[1]!BexGetData("DP_1","00O2TNJGODT0G5Z4TTKYMMOLH","GSON1112110273")</f>
        <v>#NAME?</v>
      </c>
      <c r="U1582" s="24" t="e">
        <f ca="1">[1]!BexGetData("DP_1","00O2TNJGODT0G5Z4TTKYMMUX1","GSON1112110273")</f>
        <v>#NAME?</v>
      </c>
      <c r="V1582" s="24" t="e">
        <f ca="1">[1]!BexGetData("DP_1","00O2TNJGODT0G5Z4TTKYMN18L","GSON1112110273")</f>
        <v>#NAME?</v>
      </c>
      <c r="W1582" s="24" t="e">
        <f ca="1">[1]!BexGetData("DP_1","00O2TNJGODT0G5Z4TTKYMN7K5","GSON1112110273")</f>
        <v>#NAME?</v>
      </c>
    </row>
    <row r="1583" spans="1:23" x14ac:dyDescent="0.2">
      <c r="A1583" s="36" t="s">
        <v>4239</v>
      </c>
      <c r="B1583" s="27" t="s">
        <v>4240</v>
      </c>
      <c r="C1583" s="23" t="e">
        <f ca="1">[1]!BexGetData("DP_1","003N8EMH8GTFRCSWKMPXRR8GU","GSON1112110274")</f>
        <v>#NAME?</v>
      </c>
      <c r="D1583" s="23" t="e">
        <f ca="1">[1]!BexGetData("DP_1","003N8EMH8GTFRCSWKMPXRRESE","GSON1112110274")</f>
        <v>#NAME?</v>
      </c>
      <c r="E1583" s="28" t="e">
        <f ca="1">[1]!BexGetData("DP_1","003N8EMH8GTFRCSWKMPXRRL3Y","GSON1112110274")</f>
        <v>#NAME?</v>
      </c>
      <c r="F1583" s="28" t="e">
        <f ca="1">[1]!BexGetData("DP_1","003N8EMH8GTFRCSWKMPXRRRFI","GSON1112110274")</f>
        <v>#NAME?</v>
      </c>
      <c r="G1583" s="23" t="e">
        <f ca="1">[1]!BexGetData("DP_1","003N8EMH8GTFRCSWKMPXRRXR2","GSON1112110274")</f>
        <v>#NAME?</v>
      </c>
      <c r="H1583" s="23" t="e">
        <f ca="1">[1]!BexGetData("DP_1","003N8EMH8GTFRCSWKMPXRS42M","GSON1112110274")</f>
        <v>#NAME?</v>
      </c>
      <c r="I1583" s="28" t="e">
        <f ca="1">[1]!BexGetData("DP_1","003N8EMH8GTFRCSWKMPXRSAE6","GSON1112110274")</f>
        <v>#NAME?</v>
      </c>
      <c r="J1583" s="24" t="e">
        <f ca="1">[1]!BexGetData("DP_1","003N8EMH8GTFRCSWKMPXRSGPQ","GSON1112110274")</f>
        <v>#NAME?</v>
      </c>
      <c r="K1583" s="28" t="e">
        <f ca="1">[1]!BexGetData("DP_1","003N8EMH8GTFRIVNUPY288VJH","GSON1112110274")</f>
        <v>#NAME?</v>
      </c>
      <c r="L1583" s="28" t="e">
        <f ca="1">[1]!BexGetData("DP_1","003N8EMH8GTFRIVNUPY2891V1","GSON1112110274")</f>
        <v>#NAME?</v>
      </c>
      <c r="M1583" s="28" t="e">
        <f ca="1">[1]!BexGetData("DP_1","003N8EMH8GTFRIVOG7KG9IQXA","GSON1112110274")</f>
        <v>#NAME?</v>
      </c>
      <c r="N1583" s="28" t="e">
        <f ca="1">[1]!BexGetData("DP_1","003N8EMH8GTFRIVOG7KG9IX8U","GSON1112110274")</f>
        <v>#NAME?</v>
      </c>
      <c r="O1583" s="28" t="e">
        <f ca="1">[1]!BexGetData("DP_1","003N8EMH8GTFRIVOG7KG9J3KE","GSON1112110274")</f>
        <v>#NAME?</v>
      </c>
      <c r="P1583" s="28" t="e">
        <f ca="1">[1]!BexGetData("DP_1","003N8EMH8GTFRIVOG7KG9J9VY","GSON1112110274")</f>
        <v>#NAME?</v>
      </c>
      <c r="Q1583" s="24" t="e">
        <f ca="1">[1]!BexGetData("DP_1","00O2TNJGODT0G5Z4TTKYMM5MT","GSON1112110274")</f>
        <v>#NAME?</v>
      </c>
      <c r="R1583" s="28" t="e">
        <f ca="1">[1]!BexGetData("DP_1","00O2TNJGODT0G5Z4TTKYMMBYD","GSON1112110274")</f>
        <v>#NAME?</v>
      </c>
      <c r="S1583" s="28" t="e">
        <f ca="1">[1]!BexGetData("DP_1","00O2TNJGODT0G5Z4TTKYMMI9X","GSON1112110274")</f>
        <v>#NAME?</v>
      </c>
      <c r="T1583" s="28" t="e">
        <f ca="1">[1]!BexGetData("DP_1","00O2TNJGODT0G5Z4TTKYMMOLH","GSON1112110274")</f>
        <v>#NAME?</v>
      </c>
      <c r="U1583" s="28" t="e">
        <f ca="1">[1]!BexGetData("DP_1","00O2TNJGODT0G5Z4TTKYMMUX1","GSON1112110274")</f>
        <v>#NAME?</v>
      </c>
      <c r="V1583" s="28" t="e">
        <f ca="1">[1]!BexGetData("DP_1","00O2TNJGODT0G5Z4TTKYMN18L","GSON1112110274")</f>
        <v>#NAME?</v>
      </c>
      <c r="W1583" s="28" t="e">
        <f ca="1">[1]!BexGetData("DP_1","00O2TNJGODT0G5Z4TTKYMN7K5","GSON1112110274")</f>
        <v>#NAME?</v>
      </c>
    </row>
    <row r="1584" spans="1:23" x14ac:dyDescent="0.2">
      <c r="A1584" s="36" t="s">
        <v>4241</v>
      </c>
      <c r="B1584" s="27" t="s">
        <v>4242</v>
      </c>
      <c r="C1584" s="23" t="e">
        <f ca="1">[1]!BexGetData("DP_1","003N8EMH8GTFRCSWKMPXRR8GU","GSON1112110275")</f>
        <v>#NAME?</v>
      </c>
      <c r="D1584" s="23" t="e">
        <f ca="1">[1]!BexGetData("DP_1","003N8EMH8GTFRCSWKMPXRRESE","GSON1112110275")</f>
        <v>#NAME?</v>
      </c>
      <c r="E1584" s="28" t="e">
        <f ca="1">[1]!BexGetData("DP_1","003N8EMH8GTFRCSWKMPXRRL3Y","GSON1112110275")</f>
        <v>#NAME?</v>
      </c>
      <c r="F1584" s="28" t="e">
        <f ca="1">[1]!BexGetData("DP_1","003N8EMH8GTFRCSWKMPXRRRFI","GSON1112110275")</f>
        <v>#NAME?</v>
      </c>
      <c r="G1584" s="23" t="e">
        <f ca="1">[1]!BexGetData("DP_1","003N8EMH8GTFRCSWKMPXRRXR2","GSON1112110275")</f>
        <v>#NAME?</v>
      </c>
      <c r="H1584" s="23" t="e">
        <f ca="1">[1]!BexGetData("DP_1","003N8EMH8GTFRCSWKMPXRS42M","GSON1112110275")</f>
        <v>#NAME?</v>
      </c>
      <c r="I1584" s="28" t="e">
        <f ca="1">[1]!BexGetData("DP_1","003N8EMH8GTFRCSWKMPXRSAE6","GSON1112110275")</f>
        <v>#NAME?</v>
      </c>
      <c r="J1584" s="24" t="e">
        <f ca="1">[1]!BexGetData("DP_1","003N8EMH8GTFRCSWKMPXRSGPQ","GSON1112110275")</f>
        <v>#NAME?</v>
      </c>
      <c r="K1584" s="28" t="e">
        <f ca="1">[1]!BexGetData("DP_1","003N8EMH8GTFRIVNUPY288VJH","GSON1112110275")</f>
        <v>#NAME?</v>
      </c>
      <c r="L1584" s="28" t="e">
        <f ca="1">[1]!BexGetData("DP_1","003N8EMH8GTFRIVNUPY2891V1","GSON1112110275")</f>
        <v>#NAME?</v>
      </c>
      <c r="M1584" s="28" t="e">
        <f ca="1">[1]!BexGetData("DP_1","003N8EMH8GTFRIVOG7KG9IQXA","GSON1112110275")</f>
        <v>#NAME?</v>
      </c>
      <c r="N1584" s="28" t="e">
        <f ca="1">[1]!BexGetData("DP_1","003N8EMH8GTFRIVOG7KG9IX8U","GSON1112110275")</f>
        <v>#NAME?</v>
      </c>
      <c r="O1584" s="28" t="e">
        <f ca="1">[1]!BexGetData("DP_1","003N8EMH8GTFRIVOG7KG9J3KE","GSON1112110275")</f>
        <v>#NAME?</v>
      </c>
      <c r="P1584" s="28" t="e">
        <f ca="1">[1]!BexGetData("DP_1","003N8EMH8GTFRIVOG7KG9J9VY","GSON1112110275")</f>
        <v>#NAME?</v>
      </c>
      <c r="Q1584" s="24" t="e">
        <f ca="1">[1]!BexGetData("DP_1","00O2TNJGODT0G5Z4TTKYMM5MT","GSON1112110275")</f>
        <v>#NAME?</v>
      </c>
      <c r="R1584" s="28" t="e">
        <f ca="1">[1]!BexGetData("DP_1","00O2TNJGODT0G5Z4TTKYMMBYD","GSON1112110275")</f>
        <v>#NAME?</v>
      </c>
      <c r="S1584" s="28" t="e">
        <f ca="1">[1]!BexGetData("DP_1","00O2TNJGODT0G5Z4TTKYMMI9X","GSON1112110275")</f>
        <v>#NAME?</v>
      </c>
      <c r="T1584" s="28" t="e">
        <f ca="1">[1]!BexGetData("DP_1","00O2TNJGODT0G5Z4TTKYMMOLH","GSON1112110275")</f>
        <v>#NAME?</v>
      </c>
      <c r="U1584" s="28" t="e">
        <f ca="1">[1]!BexGetData("DP_1","00O2TNJGODT0G5Z4TTKYMMUX1","GSON1112110275")</f>
        <v>#NAME?</v>
      </c>
      <c r="V1584" s="28" t="e">
        <f ca="1">[1]!BexGetData("DP_1","00O2TNJGODT0G5Z4TTKYMN18L","GSON1112110275")</f>
        <v>#NAME?</v>
      </c>
      <c r="W1584" s="28" t="e">
        <f ca="1">[1]!BexGetData("DP_1","00O2TNJGODT0G5Z4TTKYMN7K5","GSON1112110275")</f>
        <v>#NAME?</v>
      </c>
    </row>
    <row r="1585" spans="1:23" x14ac:dyDescent="0.2">
      <c r="A1585" s="36" t="s">
        <v>4243</v>
      </c>
      <c r="B1585" s="27" t="s">
        <v>4244</v>
      </c>
      <c r="C1585" s="23" t="e">
        <f ca="1">[1]!BexGetData("DP_1","003N8EMH8GTFRCSWKMPXRR8GU","GSON1112110280")</f>
        <v>#NAME?</v>
      </c>
      <c r="D1585" s="28" t="e">
        <f ca="1">[1]!BexGetData("DP_1","003N8EMH8GTFRCSWKMPXRRESE","GSON1112110280")</f>
        <v>#NAME?</v>
      </c>
      <c r="E1585" s="23" t="e">
        <f ca="1">[1]!BexGetData("DP_1","003N8EMH8GTFRCSWKMPXRRL3Y","GSON1112110280")</f>
        <v>#NAME?</v>
      </c>
      <c r="F1585" s="23" t="e">
        <f ca="1">[1]!BexGetData("DP_1","003N8EMH8GTFRCSWKMPXRRRFI","GSON1112110280")</f>
        <v>#NAME?</v>
      </c>
      <c r="G1585" s="23" t="e">
        <f ca="1">[1]!BexGetData("DP_1","003N8EMH8GTFRCSWKMPXRRXR2","GSON1112110280")</f>
        <v>#NAME?</v>
      </c>
      <c r="H1585" s="23" t="e">
        <f ca="1">[1]!BexGetData("DP_1","003N8EMH8GTFRCSWKMPXRS42M","GSON1112110280")</f>
        <v>#NAME?</v>
      </c>
      <c r="I1585" s="23" t="e">
        <f ca="1">[1]!BexGetData("DP_1","003N8EMH8GTFRCSWKMPXRSAE6","GSON1112110280")</f>
        <v>#NAME?</v>
      </c>
      <c r="J1585" s="23" t="e">
        <f ca="1">[1]!BexGetData("DP_1","003N8EMH8GTFRCSWKMPXRSGPQ","GSON1112110280")</f>
        <v>#NAME?</v>
      </c>
      <c r="K1585" s="23" t="e">
        <f ca="1">[1]!BexGetData("DP_1","003N8EMH8GTFRIVNUPY288VJH","GSON1112110280")</f>
        <v>#NAME?</v>
      </c>
      <c r="L1585" s="23" t="e">
        <f ca="1">[1]!BexGetData("DP_1","003N8EMH8GTFRIVNUPY2891V1","GSON1112110280")</f>
        <v>#NAME?</v>
      </c>
      <c r="M1585" s="28" t="e">
        <f ca="1">[1]!BexGetData("DP_1","003N8EMH8GTFRIVOG7KG9IQXA","GSON1112110280")</f>
        <v>#NAME?</v>
      </c>
      <c r="N1585" s="23" t="e">
        <f ca="1">[1]!BexGetData("DP_1","003N8EMH8GTFRIVOG7KG9IX8U","GSON1112110280")</f>
        <v>#NAME?</v>
      </c>
      <c r="O1585" s="28" t="e">
        <f ca="1">[1]!BexGetData("DP_1","003N8EMH8GTFRIVOG7KG9J3KE","GSON1112110280")</f>
        <v>#NAME?</v>
      </c>
      <c r="P1585" s="23" t="e">
        <f ca="1">[1]!BexGetData("DP_1","003N8EMH8GTFRIVOG7KG9J9VY","GSON1112110280")</f>
        <v>#NAME?</v>
      </c>
      <c r="Q1585" s="23" t="e">
        <f ca="1">[1]!BexGetData("DP_1","00O2TNJGODT0G5Z4TTKYMM5MT","GSON1112110280")</f>
        <v>#NAME?</v>
      </c>
      <c r="R1585" s="23" t="e">
        <f ca="1">[1]!BexGetData("DP_1","00O2TNJGODT0G5Z4TTKYMMBYD","GSON1112110280")</f>
        <v>#NAME?</v>
      </c>
      <c r="S1585" s="23" t="e">
        <f ca="1">[1]!BexGetData("DP_1","00O2TNJGODT0G5Z4TTKYMMI9X","GSON1112110280")</f>
        <v>#NAME?</v>
      </c>
      <c r="T1585" s="23" t="e">
        <f ca="1">[1]!BexGetData("DP_1","00O2TNJGODT0G5Z4TTKYMMOLH","GSON1112110280")</f>
        <v>#NAME?</v>
      </c>
      <c r="U1585" s="28" t="e">
        <f ca="1">[1]!BexGetData("DP_1","00O2TNJGODT0G5Z4TTKYMMUX1","GSON1112110280")</f>
        <v>#NAME?</v>
      </c>
      <c r="V1585" s="23" t="e">
        <f ca="1">[1]!BexGetData("DP_1","00O2TNJGODT0G5Z4TTKYMN18L","GSON1112110280")</f>
        <v>#NAME?</v>
      </c>
      <c r="W1585" s="28" t="e">
        <f ca="1">[1]!BexGetData("DP_1","00O2TNJGODT0G5Z4TTKYMN7K5","GSON1112110280")</f>
        <v>#NAME?</v>
      </c>
    </row>
    <row r="1586" spans="1:23" x14ac:dyDescent="0.2">
      <c r="A1586" s="36" t="s">
        <v>4245</v>
      </c>
      <c r="B1586" s="27" t="s">
        <v>4246</v>
      </c>
      <c r="C1586" s="23" t="e">
        <f ca="1">[1]!BexGetData("DP_1","003N8EMH8GTFRCSWKMPXRR8GU","GSON1112110281")</f>
        <v>#NAME?</v>
      </c>
      <c r="D1586" s="23" t="e">
        <f ca="1">[1]!BexGetData("DP_1","003N8EMH8GTFRCSWKMPXRRESE","GSON1112110281")</f>
        <v>#NAME?</v>
      </c>
      <c r="E1586" s="28" t="e">
        <f ca="1">[1]!BexGetData("DP_1","003N8EMH8GTFRCSWKMPXRRL3Y","GSON1112110281")</f>
        <v>#NAME?</v>
      </c>
      <c r="F1586" s="28" t="e">
        <f ca="1">[1]!BexGetData("DP_1","003N8EMH8GTFRCSWKMPXRRRFI","GSON1112110281")</f>
        <v>#NAME?</v>
      </c>
      <c r="G1586" s="23" t="e">
        <f ca="1">[1]!BexGetData("DP_1","003N8EMH8GTFRCSWKMPXRRXR2","GSON1112110281")</f>
        <v>#NAME?</v>
      </c>
      <c r="H1586" s="23" t="e">
        <f ca="1">[1]!BexGetData("DP_1","003N8EMH8GTFRCSWKMPXRS42M","GSON1112110281")</f>
        <v>#NAME?</v>
      </c>
      <c r="I1586" s="28" t="e">
        <f ca="1">[1]!BexGetData("DP_1","003N8EMH8GTFRCSWKMPXRSAE6","GSON1112110281")</f>
        <v>#NAME?</v>
      </c>
      <c r="J1586" s="24" t="e">
        <f ca="1">[1]!BexGetData("DP_1","003N8EMH8GTFRCSWKMPXRSGPQ","GSON1112110281")</f>
        <v>#NAME?</v>
      </c>
      <c r="K1586" s="28" t="e">
        <f ca="1">[1]!BexGetData("DP_1","003N8EMH8GTFRIVNUPY288VJH","GSON1112110281")</f>
        <v>#NAME?</v>
      </c>
      <c r="L1586" s="28" t="e">
        <f ca="1">[1]!BexGetData("DP_1","003N8EMH8GTFRIVNUPY2891V1","GSON1112110281")</f>
        <v>#NAME?</v>
      </c>
      <c r="M1586" s="28" t="e">
        <f ca="1">[1]!BexGetData("DP_1","003N8EMH8GTFRIVOG7KG9IQXA","GSON1112110281")</f>
        <v>#NAME?</v>
      </c>
      <c r="N1586" s="28" t="e">
        <f ca="1">[1]!BexGetData("DP_1","003N8EMH8GTFRIVOG7KG9IX8U","GSON1112110281")</f>
        <v>#NAME?</v>
      </c>
      <c r="O1586" s="28" t="e">
        <f ca="1">[1]!BexGetData("DP_1","003N8EMH8GTFRIVOG7KG9J3KE","GSON1112110281")</f>
        <v>#NAME?</v>
      </c>
      <c r="P1586" s="28" t="e">
        <f ca="1">[1]!BexGetData("DP_1","003N8EMH8GTFRIVOG7KG9J9VY","GSON1112110281")</f>
        <v>#NAME?</v>
      </c>
      <c r="Q1586" s="24" t="e">
        <f ca="1">[1]!BexGetData("DP_1","00O2TNJGODT0G5Z4TTKYMM5MT","GSON1112110281")</f>
        <v>#NAME?</v>
      </c>
      <c r="R1586" s="28" t="e">
        <f ca="1">[1]!BexGetData("DP_1","00O2TNJGODT0G5Z4TTKYMMBYD","GSON1112110281")</f>
        <v>#NAME?</v>
      </c>
      <c r="S1586" s="28" t="e">
        <f ca="1">[1]!BexGetData("DP_1","00O2TNJGODT0G5Z4TTKYMMI9X","GSON1112110281")</f>
        <v>#NAME?</v>
      </c>
      <c r="T1586" s="28" t="e">
        <f ca="1">[1]!BexGetData("DP_1","00O2TNJGODT0G5Z4TTKYMMOLH","GSON1112110281")</f>
        <v>#NAME?</v>
      </c>
      <c r="U1586" s="28" t="e">
        <f ca="1">[1]!BexGetData("DP_1","00O2TNJGODT0G5Z4TTKYMMUX1","GSON1112110281")</f>
        <v>#NAME?</v>
      </c>
      <c r="V1586" s="28" t="e">
        <f ca="1">[1]!BexGetData("DP_1","00O2TNJGODT0G5Z4TTKYMN18L","GSON1112110281")</f>
        <v>#NAME?</v>
      </c>
      <c r="W1586" s="28" t="e">
        <f ca="1">[1]!BexGetData("DP_1","00O2TNJGODT0G5Z4TTKYMN7K5","GSON1112110281")</f>
        <v>#NAME?</v>
      </c>
    </row>
    <row r="1587" spans="1:23" x14ac:dyDescent="0.2">
      <c r="A1587" s="36" t="s">
        <v>4247</v>
      </c>
      <c r="B1587" s="27" t="s">
        <v>4248</v>
      </c>
      <c r="C1587" s="24" t="e">
        <f ca="1">[1]!BexGetData("DP_1","003N8EMH8GTFRCSWKMPXRR8GU","GSON1112110282")</f>
        <v>#NAME?</v>
      </c>
      <c r="D1587" s="24" t="e">
        <f ca="1">[1]!BexGetData("DP_1","003N8EMH8GTFRCSWKMPXRRESE","GSON1112110282")</f>
        <v>#NAME?</v>
      </c>
      <c r="E1587" s="24" t="e">
        <f ca="1">[1]!BexGetData("DP_1","003N8EMH8GTFRCSWKMPXRRL3Y","GSON1112110282")</f>
        <v>#NAME?</v>
      </c>
      <c r="F1587" s="28" t="e">
        <f ca="1">[1]!BexGetData("DP_1","003N8EMH8GTFRCSWKMPXRRRFI","GSON1112110282")</f>
        <v>#NAME?</v>
      </c>
      <c r="G1587" s="23" t="e">
        <f ca="1">[1]!BexGetData("DP_1","003N8EMH8GTFRCSWKMPXRRXR2","GSON1112110282")</f>
        <v>#NAME?</v>
      </c>
      <c r="H1587" s="23" t="e">
        <f ca="1">[1]!BexGetData("DP_1","003N8EMH8GTFRCSWKMPXRS42M","GSON1112110282")</f>
        <v>#NAME?</v>
      </c>
      <c r="I1587" s="28" t="e">
        <f ca="1">[1]!BexGetData("DP_1","003N8EMH8GTFRCSWKMPXRSAE6","GSON1112110282")</f>
        <v>#NAME?</v>
      </c>
      <c r="J1587" s="23" t="e">
        <f ca="1">[1]!BexGetData("DP_1","003N8EMH8GTFRCSWKMPXRSGPQ","GSON1112110282")</f>
        <v>#NAME?</v>
      </c>
      <c r="K1587" s="28" t="e">
        <f ca="1">[1]!BexGetData("DP_1","003N8EMH8GTFRIVNUPY288VJH","GSON1112110282")</f>
        <v>#NAME?</v>
      </c>
      <c r="L1587" s="28" t="e">
        <f ca="1">[1]!BexGetData("DP_1","003N8EMH8GTFRIVNUPY2891V1","GSON1112110282")</f>
        <v>#NAME?</v>
      </c>
      <c r="M1587" s="28" t="e">
        <f ca="1">[1]!BexGetData("DP_1","003N8EMH8GTFRIVOG7KG9IQXA","GSON1112110282")</f>
        <v>#NAME?</v>
      </c>
      <c r="N1587" s="28" t="e">
        <f ca="1">[1]!BexGetData("DP_1","003N8EMH8GTFRIVOG7KG9IX8U","GSON1112110282")</f>
        <v>#NAME?</v>
      </c>
      <c r="O1587" s="28" t="e">
        <f ca="1">[1]!BexGetData("DP_1","003N8EMH8GTFRIVOG7KG9J3KE","GSON1112110282")</f>
        <v>#NAME?</v>
      </c>
      <c r="P1587" s="28" t="e">
        <f ca="1">[1]!BexGetData("DP_1","003N8EMH8GTFRIVOG7KG9J9VY","GSON1112110282")</f>
        <v>#NAME?</v>
      </c>
      <c r="Q1587" s="23" t="e">
        <f ca="1">[1]!BexGetData("DP_1","00O2TNJGODT0G5Z4TTKYMM5MT","GSON1112110282")</f>
        <v>#NAME?</v>
      </c>
      <c r="R1587" s="23" t="e">
        <f ca="1">[1]!BexGetData("DP_1","00O2TNJGODT0G5Z4TTKYMMBYD","GSON1112110282")</f>
        <v>#NAME?</v>
      </c>
      <c r="S1587" s="23" t="e">
        <f ca="1">[1]!BexGetData("DP_1","00O2TNJGODT0G5Z4TTKYMMI9X","GSON1112110282")</f>
        <v>#NAME?</v>
      </c>
      <c r="T1587" s="28" t="e">
        <f ca="1">[1]!BexGetData("DP_1","00O2TNJGODT0G5Z4TTKYMMOLH","GSON1112110282")</f>
        <v>#NAME?</v>
      </c>
      <c r="U1587" s="23" t="e">
        <f ca="1">[1]!BexGetData("DP_1","00O2TNJGODT0G5Z4TTKYMMUX1","GSON1112110282")</f>
        <v>#NAME?</v>
      </c>
      <c r="V1587" s="28" t="e">
        <f ca="1">[1]!BexGetData("DP_1","00O2TNJGODT0G5Z4TTKYMN18L","GSON1112110282")</f>
        <v>#NAME?</v>
      </c>
      <c r="W1587" s="23" t="e">
        <f ca="1">[1]!BexGetData("DP_1","00O2TNJGODT0G5Z4TTKYMN7K5","GSON1112110282")</f>
        <v>#NAME?</v>
      </c>
    </row>
    <row r="1588" spans="1:23" x14ac:dyDescent="0.2">
      <c r="A1588" s="36" t="s">
        <v>4249</v>
      </c>
      <c r="B1588" s="27" t="s">
        <v>4250</v>
      </c>
      <c r="C1588" s="24" t="e">
        <f ca="1">[1]!BexGetData("DP_1","003N8EMH8GTFRCSWKMPXRR8GU","GSON1112110283")</f>
        <v>#NAME?</v>
      </c>
      <c r="D1588" s="24" t="e">
        <f ca="1">[1]!BexGetData("DP_1","003N8EMH8GTFRCSWKMPXRRESE","GSON1112110283")</f>
        <v>#NAME?</v>
      </c>
      <c r="E1588" s="24" t="e">
        <f ca="1">[1]!BexGetData("DP_1","003N8EMH8GTFRCSWKMPXRRL3Y","GSON1112110283")</f>
        <v>#NAME?</v>
      </c>
      <c r="F1588" s="28" t="e">
        <f ca="1">[1]!BexGetData("DP_1","003N8EMH8GTFRCSWKMPXRRRFI","GSON1112110283")</f>
        <v>#NAME?</v>
      </c>
      <c r="G1588" s="23" t="e">
        <f ca="1">[1]!BexGetData("DP_1","003N8EMH8GTFRCSWKMPXRRXR2","GSON1112110283")</f>
        <v>#NAME?</v>
      </c>
      <c r="H1588" s="23" t="e">
        <f ca="1">[1]!BexGetData("DP_1","003N8EMH8GTFRCSWKMPXRS42M","GSON1112110283")</f>
        <v>#NAME?</v>
      </c>
      <c r="I1588" s="28" t="e">
        <f ca="1">[1]!BexGetData("DP_1","003N8EMH8GTFRCSWKMPXRSAE6","GSON1112110283")</f>
        <v>#NAME?</v>
      </c>
      <c r="J1588" s="24" t="e">
        <f ca="1">[1]!BexGetData("DP_1","003N8EMH8GTFRCSWKMPXRSGPQ","GSON1112110283")</f>
        <v>#NAME?</v>
      </c>
      <c r="K1588" s="28" t="e">
        <f ca="1">[1]!BexGetData("DP_1","003N8EMH8GTFRIVNUPY288VJH","GSON1112110283")</f>
        <v>#NAME?</v>
      </c>
      <c r="L1588" s="28" t="e">
        <f ca="1">[1]!BexGetData("DP_1","003N8EMH8GTFRIVNUPY2891V1","GSON1112110283")</f>
        <v>#NAME?</v>
      </c>
      <c r="M1588" s="28" t="e">
        <f ca="1">[1]!BexGetData("DP_1","003N8EMH8GTFRIVOG7KG9IQXA","GSON1112110283")</f>
        <v>#NAME?</v>
      </c>
      <c r="N1588" s="28" t="e">
        <f ca="1">[1]!BexGetData("DP_1","003N8EMH8GTFRIVOG7KG9IX8U","GSON1112110283")</f>
        <v>#NAME?</v>
      </c>
      <c r="O1588" s="28" t="e">
        <f ca="1">[1]!BexGetData("DP_1","003N8EMH8GTFRIVOG7KG9J3KE","GSON1112110283")</f>
        <v>#NAME?</v>
      </c>
      <c r="P1588" s="28" t="e">
        <f ca="1">[1]!BexGetData("DP_1","003N8EMH8GTFRIVOG7KG9J9VY","GSON1112110283")</f>
        <v>#NAME?</v>
      </c>
      <c r="Q1588" s="24" t="e">
        <f ca="1">[1]!BexGetData("DP_1","00O2TNJGODT0G5Z4TTKYMM5MT","GSON1112110283")</f>
        <v>#NAME?</v>
      </c>
      <c r="R1588" s="28" t="e">
        <f ca="1">[1]!BexGetData("DP_1","00O2TNJGODT0G5Z4TTKYMMBYD","GSON1112110283")</f>
        <v>#NAME?</v>
      </c>
      <c r="S1588" s="28" t="e">
        <f ca="1">[1]!BexGetData("DP_1","00O2TNJGODT0G5Z4TTKYMMI9X","GSON1112110283")</f>
        <v>#NAME?</v>
      </c>
      <c r="T1588" s="28" t="e">
        <f ca="1">[1]!BexGetData("DP_1","00O2TNJGODT0G5Z4TTKYMMOLH","GSON1112110283")</f>
        <v>#NAME?</v>
      </c>
      <c r="U1588" s="28" t="e">
        <f ca="1">[1]!BexGetData("DP_1","00O2TNJGODT0G5Z4TTKYMMUX1","GSON1112110283")</f>
        <v>#NAME?</v>
      </c>
      <c r="V1588" s="28" t="e">
        <f ca="1">[1]!BexGetData("DP_1","00O2TNJGODT0G5Z4TTKYMN18L","GSON1112110283")</f>
        <v>#NAME?</v>
      </c>
      <c r="W1588" s="28" t="e">
        <f ca="1">[1]!BexGetData("DP_1","00O2TNJGODT0G5Z4TTKYMN7K5","GSON1112110283")</f>
        <v>#NAME?</v>
      </c>
    </row>
    <row r="1589" spans="1:23" x14ac:dyDescent="0.2">
      <c r="A1589" s="36" t="s">
        <v>4251</v>
      </c>
      <c r="B1589" s="27" t="s">
        <v>4252</v>
      </c>
      <c r="C1589" s="24" t="e">
        <f ca="1">[1]!BexGetData("DP_1","003N8EMH8GTFRCSWKMPXRR8GU","GSON1112110284")</f>
        <v>#NAME?</v>
      </c>
      <c r="D1589" s="24" t="e">
        <f ca="1">[1]!BexGetData("DP_1","003N8EMH8GTFRCSWKMPXRRESE","GSON1112110284")</f>
        <v>#NAME?</v>
      </c>
      <c r="E1589" s="24" t="e">
        <f ca="1">[1]!BexGetData("DP_1","003N8EMH8GTFRCSWKMPXRRL3Y","GSON1112110284")</f>
        <v>#NAME?</v>
      </c>
      <c r="F1589" s="28" t="e">
        <f ca="1">[1]!BexGetData("DP_1","003N8EMH8GTFRCSWKMPXRRRFI","GSON1112110284")</f>
        <v>#NAME?</v>
      </c>
      <c r="G1589" s="23" t="e">
        <f ca="1">[1]!BexGetData("DP_1","003N8EMH8GTFRCSWKMPXRRXR2","GSON1112110284")</f>
        <v>#NAME?</v>
      </c>
      <c r="H1589" s="23" t="e">
        <f ca="1">[1]!BexGetData("DP_1","003N8EMH8GTFRCSWKMPXRS42M","GSON1112110284")</f>
        <v>#NAME?</v>
      </c>
      <c r="I1589" s="28" t="e">
        <f ca="1">[1]!BexGetData("DP_1","003N8EMH8GTFRCSWKMPXRSAE6","GSON1112110284")</f>
        <v>#NAME?</v>
      </c>
      <c r="J1589" s="24" t="e">
        <f ca="1">[1]!BexGetData("DP_1","003N8EMH8GTFRCSWKMPXRSGPQ","GSON1112110284")</f>
        <v>#NAME?</v>
      </c>
      <c r="K1589" s="28" t="e">
        <f ca="1">[1]!BexGetData("DP_1","003N8EMH8GTFRIVNUPY288VJH","GSON1112110284")</f>
        <v>#NAME?</v>
      </c>
      <c r="L1589" s="28" t="e">
        <f ca="1">[1]!BexGetData("DP_1","003N8EMH8GTFRIVNUPY2891V1","GSON1112110284")</f>
        <v>#NAME?</v>
      </c>
      <c r="M1589" s="28" t="e">
        <f ca="1">[1]!BexGetData("DP_1","003N8EMH8GTFRIVOG7KG9IQXA","GSON1112110284")</f>
        <v>#NAME?</v>
      </c>
      <c r="N1589" s="28" t="e">
        <f ca="1">[1]!BexGetData("DP_1","003N8EMH8GTFRIVOG7KG9IX8U","GSON1112110284")</f>
        <v>#NAME?</v>
      </c>
      <c r="O1589" s="28" t="e">
        <f ca="1">[1]!BexGetData("DP_1","003N8EMH8GTFRIVOG7KG9J3KE","GSON1112110284")</f>
        <v>#NAME?</v>
      </c>
      <c r="P1589" s="28" t="e">
        <f ca="1">[1]!BexGetData("DP_1","003N8EMH8GTFRIVOG7KG9J9VY","GSON1112110284")</f>
        <v>#NAME?</v>
      </c>
      <c r="Q1589" s="24" t="e">
        <f ca="1">[1]!BexGetData("DP_1","00O2TNJGODT0G5Z4TTKYMM5MT","GSON1112110284")</f>
        <v>#NAME?</v>
      </c>
      <c r="R1589" s="28" t="e">
        <f ca="1">[1]!BexGetData("DP_1","00O2TNJGODT0G5Z4TTKYMMBYD","GSON1112110284")</f>
        <v>#NAME?</v>
      </c>
      <c r="S1589" s="28" t="e">
        <f ca="1">[1]!BexGetData("DP_1","00O2TNJGODT0G5Z4TTKYMMI9X","GSON1112110284")</f>
        <v>#NAME?</v>
      </c>
      <c r="T1589" s="28" t="e">
        <f ca="1">[1]!BexGetData("DP_1","00O2TNJGODT0G5Z4TTKYMMOLH","GSON1112110284")</f>
        <v>#NAME?</v>
      </c>
      <c r="U1589" s="28" t="e">
        <f ca="1">[1]!BexGetData("DP_1","00O2TNJGODT0G5Z4TTKYMMUX1","GSON1112110284")</f>
        <v>#NAME?</v>
      </c>
      <c r="V1589" s="28" t="e">
        <f ca="1">[1]!BexGetData("DP_1","00O2TNJGODT0G5Z4TTKYMN18L","GSON1112110284")</f>
        <v>#NAME?</v>
      </c>
      <c r="W1589" s="28" t="e">
        <f ca="1">[1]!BexGetData("DP_1","00O2TNJGODT0G5Z4TTKYMN7K5","GSON1112110284")</f>
        <v>#NAME?</v>
      </c>
    </row>
    <row r="1590" spans="1:23" x14ac:dyDescent="0.2">
      <c r="A1590" s="36" t="s">
        <v>4253</v>
      </c>
      <c r="B1590" s="27" t="s">
        <v>4254</v>
      </c>
      <c r="C1590" s="23" t="e">
        <f ca="1">[1]!BexGetData("DP_1","003N8EMH8GTFRCSWKMPXRR8GU","GSON1112110285")</f>
        <v>#NAME?</v>
      </c>
      <c r="D1590" s="23" t="e">
        <f ca="1">[1]!BexGetData("DP_1","003N8EMH8GTFRCSWKMPXRRESE","GSON1112110285")</f>
        <v>#NAME?</v>
      </c>
      <c r="E1590" s="28" t="e">
        <f ca="1">[1]!BexGetData("DP_1","003N8EMH8GTFRCSWKMPXRRL3Y","GSON1112110285")</f>
        <v>#NAME?</v>
      </c>
      <c r="F1590" s="28" t="e">
        <f ca="1">[1]!BexGetData("DP_1","003N8EMH8GTFRCSWKMPXRRRFI","GSON1112110285")</f>
        <v>#NAME?</v>
      </c>
      <c r="G1590" s="23" t="e">
        <f ca="1">[1]!BexGetData("DP_1","003N8EMH8GTFRCSWKMPXRRXR2","GSON1112110285")</f>
        <v>#NAME?</v>
      </c>
      <c r="H1590" s="23" t="e">
        <f ca="1">[1]!BexGetData("DP_1","003N8EMH8GTFRCSWKMPXRS42M","GSON1112110285")</f>
        <v>#NAME?</v>
      </c>
      <c r="I1590" s="28" t="e">
        <f ca="1">[1]!BexGetData("DP_1","003N8EMH8GTFRCSWKMPXRSAE6","GSON1112110285")</f>
        <v>#NAME?</v>
      </c>
      <c r="J1590" s="24" t="e">
        <f ca="1">[1]!BexGetData("DP_1","003N8EMH8GTFRCSWKMPXRSGPQ","GSON1112110285")</f>
        <v>#NAME?</v>
      </c>
      <c r="K1590" s="28" t="e">
        <f ca="1">[1]!BexGetData("DP_1","003N8EMH8GTFRIVNUPY288VJH","GSON1112110285")</f>
        <v>#NAME?</v>
      </c>
      <c r="L1590" s="28" t="e">
        <f ca="1">[1]!BexGetData("DP_1","003N8EMH8GTFRIVNUPY2891V1","GSON1112110285")</f>
        <v>#NAME?</v>
      </c>
      <c r="M1590" s="28" t="e">
        <f ca="1">[1]!BexGetData("DP_1","003N8EMH8GTFRIVOG7KG9IQXA","GSON1112110285")</f>
        <v>#NAME?</v>
      </c>
      <c r="N1590" s="28" t="e">
        <f ca="1">[1]!BexGetData("DP_1","003N8EMH8GTFRIVOG7KG9IX8U","GSON1112110285")</f>
        <v>#NAME?</v>
      </c>
      <c r="O1590" s="28" t="e">
        <f ca="1">[1]!BexGetData("DP_1","003N8EMH8GTFRIVOG7KG9J3KE","GSON1112110285")</f>
        <v>#NAME?</v>
      </c>
      <c r="P1590" s="28" t="e">
        <f ca="1">[1]!BexGetData("DP_1","003N8EMH8GTFRIVOG7KG9J9VY","GSON1112110285")</f>
        <v>#NAME?</v>
      </c>
      <c r="Q1590" s="24" t="e">
        <f ca="1">[1]!BexGetData("DP_1","00O2TNJGODT0G5Z4TTKYMM5MT","GSON1112110285")</f>
        <v>#NAME?</v>
      </c>
      <c r="R1590" s="28" t="e">
        <f ca="1">[1]!BexGetData("DP_1","00O2TNJGODT0G5Z4TTKYMMBYD","GSON1112110285")</f>
        <v>#NAME?</v>
      </c>
      <c r="S1590" s="28" t="e">
        <f ca="1">[1]!BexGetData("DP_1","00O2TNJGODT0G5Z4TTKYMMI9X","GSON1112110285")</f>
        <v>#NAME?</v>
      </c>
      <c r="T1590" s="28" t="e">
        <f ca="1">[1]!BexGetData("DP_1","00O2TNJGODT0G5Z4TTKYMMOLH","GSON1112110285")</f>
        <v>#NAME?</v>
      </c>
      <c r="U1590" s="28" t="e">
        <f ca="1">[1]!BexGetData("DP_1","00O2TNJGODT0G5Z4TTKYMMUX1","GSON1112110285")</f>
        <v>#NAME?</v>
      </c>
      <c r="V1590" s="28" t="e">
        <f ca="1">[1]!BexGetData("DP_1","00O2TNJGODT0G5Z4TTKYMN18L","GSON1112110285")</f>
        <v>#NAME?</v>
      </c>
      <c r="W1590" s="28" t="e">
        <f ca="1">[1]!BexGetData("DP_1","00O2TNJGODT0G5Z4TTKYMN7K5","GSON1112110285")</f>
        <v>#NAME?</v>
      </c>
    </row>
    <row r="1591" spans="1:23" x14ac:dyDescent="0.2">
      <c r="A1591" s="36" t="s">
        <v>4255</v>
      </c>
      <c r="B1591" s="27" t="s">
        <v>4256</v>
      </c>
      <c r="C1591" s="23" t="e">
        <f ca="1">[1]!BexGetData("DP_1","003N8EMH8GTFRCSWKMPXRR8GU","GSON1112110290")</f>
        <v>#NAME?</v>
      </c>
      <c r="D1591" s="28" t="e">
        <f ca="1">[1]!BexGetData("DP_1","003N8EMH8GTFRCSWKMPXRRESE","GSON1112110290")</f>
        <v>#NAME?</v>
      </c>
      <c r="E1591" s="23" t="e">
        <f ca="1">[1]!BexGetData("DP_1","003N8EMH8GTFRCSWKMPXRRL3Y","GSON1112110290")</f>
        <v>#NAME?</v>
      </c>
      <c r="F1591" s="23" t="e">
        <f ca="1">[1]!BexGetData("DP_1","003N8EMH8GTFRCSWKMPXRRRFI","GSON1112110290")</f>
        <v>#NAME?</v>
      </c>
      <c r="G1591" s="23" t="e">
        <f ca="1">[1]!BexGetData("DP_1","003N8EMH8GTFRCSWKMPXRRXR2","GSON1112110290")</f>
        <v>#NAME?</v>
      </c>
      <c r="H1591" s="23" t="e">
        <f ca="1">[1]!BexGetData("DP_1","003N8EMH8GTFRCSWKMPXRS42M","GSON1112110290")</f>
        <v>#NAME?</v>
      </c>
      <c r="I1591" s="23" t="e">
        <f ca="1">[1]!BexGetData("DP_1","003N8EMH8GTFRCSWKMPXRSAE6","GSON1112110290")</f>
        <v>#NAME?</v>
      </c>
      <c r="J1591" s="23" t="e">
        <f ca="1">[1]!BexGetData("DP_1","003N8EMH8GTFRCSWKMPXRSGPQ","GSON1112110290")</f>
        <v>#NAME?</v>
      </c>
      <c r="K1591" s="23" t="e">
        <f ca="1">[1]!BexGetData("DP_1","003N8EMH8GTFRIVNUPY288VJH","GSON1112110290")</f>
        <v>#NAME?</v>
      </c>
      <c r="L1591" s="23" t="e">
        <f ca="1">[1]!BexGetData("DP_1","003N8EMH8GTFRIVNUPY2891V1","GSON1112110290")</f>
        <v>#NAME?</v>
      </c>
      <c r="M1591" s="28" t="e">
        <f ca="1">[1]!BexGetData("DP_1","003N8EMH8GTFRIVOG7KG9IQXA","GSON1112110290")</f>
        <v>#NAME?</v>
      </c>
      <c r="N1591" s="23" t="e">
        <f ca="1">[1]!BexGetData("DP_1","003N8EMH8GTFRIVOG7KG9IX8U","GSON1112110290")</f>
        <v>#NAME?</v>
      </c>
      <c r="O1591" s="28" t="e">
        <f ca="1">[1]!BexGetData("DP_1","003N8EMH8GTFRIVOG7KG9J3KE","GSON1112110290")</f>
        <v>#NAME?</v>
      </c>
      <c r="P1591" s="23" t="e">
        <f ca="1">[1]!BexGetData("DP_1","003N8EMH8GTFRIVOG7KG9J9VY","GSON1112110290")</f>
        <v>#NAME?</v>
      </c>
      <c r="Q1591" s="23" t="e">
        <f ca="1">[1]!BexGetData("DP_1","00O2TNJGODT0G5Z4TTKYMM5MT","GSON1112110290")</f>
        <v>#NAME?</v>
      </c>
      <c r="R1591" s="23" t="e">
        <f ca="1">[1]!BexGetData("DP_1","00O2TNJGODT0G5Z4TTKYMMBYD","GSON1112110290")</f>
        <v>#NAME?</v>
      </c>
      <c r="S1591" s="23" t="e">
        <f ca="1">[1]!BexGetData("DP_1","00O2TNJGODT0G5Z4TTKYMMI9X","GSON1112110290")</f>
        <v>#NAME?</v>
      </c>
      <c r="T1591" s="23" t="e">
        <f ca="1">[1]!BexGetData("DP_1","00O2TNJGODT0G5Z4TTKYMMOLH","GSON1112110290")</f>
        <v>#NAME?</v>
      </c>
      <c r="U1591" s="28" t="e">
        <f ca="1">[1]!BexGetData("DP_1","00O2TNJGODT0G5Z4TTKYMMUX1","GSON1112110290")</f>
        <v>#NAME?</v>
      </c>
      <c r="V1591" s="23" t="e">
        <f ca="1">[1]!BexGetData("DP_1","00O2TNJGODT0G5Z4TTKYMN18L","GSON1112110290")</f>
        <v>#NAME?</v>
      </c>
      <c r="W1591" s="28" t="e">
        <f ca="1">[1]!BexGetData("DP_1","00O2TNJGODT0G5Z4TTKYMN7K5","GSON1112110290")</f>
        <v>#NAME?</v>
      </c>
    </row>
    <row r="1592" spans="1:23" x14ac:dyDescent="0.2">
      <c r="A1592" s="36" t="s">
        <v>4257</v>
      </c>
      <c r="B1592" s="27" t="s">
        <v>4258</v>
      </c>
      <c r="C1592" s="28" t="e">
        <f ca="1">[1]!BexGetData("DP_1","003N8EMH8GTFRCSWKMPXRR8GU","GSON1112110291")</f>
        <v>#NAME?</v>
      </c>
      <c r="D1592" s="28" t="e">
        <f ca="1">[1]!BexGetData("DP_1","003N8EMH8GTFRCSWKMPXRRESE","GSON1112110291")</f>
        <v>#NAME?</v>
      </c>
      <c r="E1592" s="28" t="e">
        <f ca="1">[1]!BexGetData("DP_1","003N8EMH8GTFRCSWKMPXRRL3Y","GSON1112110291")</f>
        <v>#NAME?</v>
      </c>
      <c r="F1592" s="28" t="e">
        <f ca="1">[1]!BexGetData("DP_1","003N8EMH8GTFRCSWKMPXRRRFI","GSON1112110291")</f>
        <v>#NAME?</v>
      </c>
      <c r="G1592" s="23" t="e">
        <f ca="1">[1]!BexGetData("DP_1","003N8EMH8GTFRCSWKMPXRRXR2","GSON1112110291")</f>
        <v>#NAME?</v>
      </c>
      <c r="H1592" s="23" t="e">
        <f ca="1">[1]!BexGetData("DP_1","003N8EMH8GTFRCSWKMPXRS42M","GSON1112110291")</f>
        <v>#NAME?</v>
      </c>
      <c r="I1592" s="28" t="e">
        <f ca="1">[1]!BexGetData("DP_1","003N8EMH8GTFRCSWKMPXRSAE6","GSON1112110291")</f>
        <v>#NAME?</v>
      </c>
      <c r="J1592" s="24" t="e">
        <f ca="1">[1]!BexGetData("DP_1","003N8EMH8GTFRCSWKMPXRSGPQ","GSON1112110291")</f>
        <v>#NAME?</v>
      </c>
      <c r="K1592" s="28" t="e">
        <f ca="1">[1]!BexGetData("DP_1","003N8EMH8GTFRIVNUPY288VJH","GSON1112110291")</f>
        <v>#NAME?</v>
      </c>
      <c r="L1592" s="28" t="e">
        <f ca="1">[1]!BexGetData("DP_1","003N8EMH8GTFRIVNUPY2891V1","GSON1112110291")</f>
        <v>#NAME?</v>
      </c>
      <c r="M1592" s="28" t="e">
        <f ca="1">[1]!BexGetData("DP_1","003N8EMH8GTFRIVOG7KG9IQXA","GSON1112110291")</f>
        <v>#NAME?</v>
      </c>
      <c r="N1592" s="28" t="e">
        <f ca="1">[1]!BexGetData("DP_1","003N8EMH8GTFRIVOG7KG9IX8U","GSON1112110291")</f>
        <v>#NAME?</v>
      </c>
      <c r="O1592" s="28" t="e">
        <f ca="1">[1]!BexGetData("DP_1","003N8EMH8GTFRIVOG7KG9J3KE","GSON1112110291")</f>
        <v>#NAME?</v>
      </c>
      <c r="P1592" s="28" t="e">
        <f ca="1">[1]!BexGetData("DP_1","003N8EMH8GTFRIVOG7KG9J9VY","GSON1112110291")</f>
        <v>#NAME?</v>
      </c>
      <c r="Q1592" s="24" t="e">
        <f ca="1">[1]!BexGetData("DP_1","00O2TNJGODT0G5Z4TTKYMM5MT","GSON1112110291")</f>
        <v>#NAME?</v>
      </c>
      <c r="R1592" s="28" t="e">
        <f ca="1">[1]!BexGetData("DP_1","00O2TNJGODT0G5Z4TTKYMMBYD","GSON1112110291")</f>
        <v>#NAME?</v>
      </c>
      <c r="S1592" s="28" t="e">
        <f ca="1">[1]!BexGetData("DP_1","00O2TNJGODT0G5Z4TTKYMMI9X","GSON1112110291")</f>
        <v>#NAME?</v>
      </c>
      <c r="T1592" s="28" t="e">
        <f ca="1">[1]!BexGetData("DP_1","00O2TNJGODT0G5Z4TTKYMMOLH","GSON1112110291")</f>
        <v>#NAME?</v>
      </c>
      <c r="U1592" s="28" t="e">
        <f ca="1">[1]!BexGetData("DP_1","00O2TNJGODT0G5Z4TTKYMMUX1","GSON1112110291")</f>
        <v>#NAME?</v>
      </c>
      <c r="V1592" s="28" t="e">
        <f ca="1">[1]!BexGetData("DP_1","00O2TNJGODT0G5Z4TTKYMN18L","GSON1112110291")</f>
        <v>#NAME?</v>
      </c>
      <c r="W1592" s="28" t="e">
        <f ca="1">[1]!BexGetData("DP_1","00O2TNJGODT0G5Z4TTKYMN7K5","GSON1112110291")</f>
        <v>#NAME?</v>
      </c>
    </row>
    <row r="1593" spans="1:23" x14ac:dyDescent="0.2">
      <c r="A1593" s="36" t="s">
        <v>4259</v>
      </c>
      <c r="B1593" s="27" t="s">
        <v>4260</v>
      </c>
      <c r="C1593" s="24" t="e">
        <f ca="1">[1]!BexGetData("DP_1","003N8EMH8GTFRCSWKMPXRR8GU","GSON1112110293")</f>
        <v>#NAME?</v>
      </c>
      <c r="D1593" s="24" t="e">
        <f ca="1">[1]!BexGetData("DP_1","003N8EMH8GTFRCSWKMPXRRESE","GSON1112110293")</f>
        <v>#NAME?</v>
      </c>
      <c r="E1593" s="24" t="e">
        <f ca="1">[1]!BexGetData("DP_1","003N8EMH8GTFRCSWKMPXRRL3Y","GSON1112110293")</f>
        <v>#NAME?</v>
      </c>
      <c r="F1593" s="28" t="e">
        <f ca="1">[1]!BexGetData("DP_1","003N8EMH8GTFRCSWKMPXRRRFI","GSON1112110293")</f>
        <v>#NAME?</v>
      </c>
      <c r="G1593" s="23" t="e">
        <f ca="1">[1]!BexGetData("DP_1","003N8EMH8GTFRCSWKMPXRRXR2","GSON1112110293")</f>
        <v>#NAME?</v>
      </c>
      <c r="H1593" s="23" t="e">
        <f ca="1">[1]!BexGetData("DP_1","003N8EMH8GTFRCSWKMPXRS42M","GSON1112110293")</f>
        <v>#NAME?</v>
      </c>
      <c r="I1593" s="28" t="e">
        <f ca="1">[1]!BexGetData("DP_1","003N8EMH8GTFRCSWKMPXRSAE6","GSON1112110293")</f>
        <v>#NAME?</v>
      </c>
      <c r="J1593" s="24" t="e">
        <f ca="1">[1]!BexGetData("DP_1","003N8EMH8GTFRCSWKMPXRSGPQ","GSON1112110293")</f>
        <v>#NAME?</v>
      </c>
      <c r="K1593" s="28" t="e">
        <f ca="1">[1]!BexGetData("DP_1","003N8EMH8GTFRIVNUPY288VJH","GSON1112110293")</f>
        <v>#NAME?</v>
      </c>
      <c r="L1593" s="28" t="e">
        <f ca="1">[1]!BexGetData("DP_1","003N8EMH8GTFRIVNUPY2891V1","GSON1112110293")</f>
        <v>#NAME?</v>
      </c>
      <c r="M1593" s="28" t="e">
        <f ca="1">[1]!BexGetData("DP_1","003N8EMH8GTFRIVOG7KG9IQXA","GSON1112110293")</f>
        <v>#NAME?</v>
      </c>
      <c r="N1593" s="28" t="e">
        <f ca="1">[1]!BexGetData("DP_1","003N8EMH8GTFRIVOG7KG9IX8U","GSON1112110293")</f>
        <v>#NAME?</v>
      </c>
      <c r="O1593" s="28" t="e">
        <f ca="1">[1]!BexGetData("DP_1","003N8EMH8GTFRIVOG7KG9J3KE","GSON1112110293")</f>
        <v>#NAME?</v>
      </c>
      <c r="P1593" s="28" t="e">
        <f ca="1">[1]!BexGetData("DP_1","003N8EMH8GTFRIVOG7KG9J9VY","GSON1112110293")</f>
        <v>#NAME?</v>
      </c>
      <c r="Q1593" s="24" t="e">
        <f ca="1">[1]!BexGetData("DP_1","00O2TNJGODT0G5Z4TTKYMM5MT","GSON1112110293")</f>
        <v>#NAME?</v>
      </c>
      <c r="R1593" s="28" t="e">
        <f ca="1">[1]!BexGetData("DP_1","00O2TNJGODT0G5Z4TTKYMMBYD","GSON1112110293")</f>
        <v>#NAME?</v>
      </c>
      <c r="S1593" s="28" t="e">
        <f ca="1">[1]!BexGetData("DP_1","00O2TNJGODT0G5Z4TTKYMMI9X","GSON1112110293")</f>
        <v>#NAME?</v>
      </c>
      <c r="T1593" s="28" t="e">
        <f ca="1">[1]!BexGetData("DP_1","00O2TNJGODT0G5Z4TTKYMMOLH","GSON1112110293")</f>
        <v>#NAME?</v>
      </c>
      <c r="U1593" s="28" t="e">
        <f ca="1">[1]!BexGetData("DP_1","00O2TNJGODT0G5Z4TTKYMMUX1","GSON1112110293")</f>
        <v>#NAME?</v>
      </c>
      <c r="V1593" s="28" t="e">
        <f ca="1">[1]!BexGetData("DP_1","00O2TNJGODT0G5Z4TTKYMN18L","GSON1112110293")</f>
        <v>#NAME?</v>
      </c>
      <c r="W1593" s="28" t="e">
        <f ca="1">[1]!BexGetData("DP_1","00O2TNJGODT0G5Z4TTKYMN7K5","GSON1112110293")</f>
        <v>#NAME?</v>
      </c>
    </row>
    <row r="1594" spans="1:23" x14ac:dyDescent="0.2">
      <c r="A1594" s="36" t="s">
        <v>4261</v>
      </c>
      <c r="B1594" s="27" t="s">
        <v>4262</v>
      </c>
      <c r="C1594" s="24" t="e">
        <f ca="1">[1]!BexGetData("DP_1","003N8EMH8GTFRCSWKMPXRR8GU","GSON1112110294")</f>
        <v>#NAME?</v>
      </c>
      <c r="D1594" s="24" t="e">
        <f ca="1">[1]!BexGetData("DP_1","003N8EMH8GTFRCSWKMPXRRESE","GSON1112110294")</f>
        <v>#NAME?</v>
      </c>
      <c r="E1594" s="24" t="e">
        <f ca="1">[1]!BexGetData("DP_1","003N8EMH8GTFRCSWKMPXRRL3Y","GSON1112110294")</f>
        <v>#NAME?</v>
      </c>
      <c r="F1594" s="28" t="e">
        <f ca="1">[1]!BexGetData("DP_1","003N8EMH8GTFRCSWKMPXRRRFI","GSON1112110294")</f>
        <v>#NAME?</v>
      </c>
      <c r="G1594" s="23" t="e">
        <f ca="1">[1]!BexGetData("DP_1","003N8EMH8GTFRCSWKMPXRRXR2","GSON1112110294")</f>
        <v>#NAME?</v>
      </c>
      <c r="H1594" s="23" t="e">
        <f ca="1">[1]!BexGetData("DP_1","003N8EMH8GTFRCSWKMPXRS42M","GSON1112110294")</f>
        <v>#NAME?</v>
      </c>
      <c r="I1594" s="28" t="e">
        <f ca="1">[1]!BexGetData("DP_1","003N8EMH8GTFRCSWKMPXRSAE6","GSON1112110294")</f>
        <v>#NAME?</v>
      </c>
      <c r="J1594" s="24" t="e">
        <f ca="1">[1]!BexGetData("DP_1","003N8EMH8GTFRCSWKMPXRSGPQ","GSON1112110294")</f>
        <v>#NAME?</v>
      </c>
      <c r="K1594" s="28" t="e">
        <f ca="1">[1]!BexGetData("DP_1","003N8EMH8GTFRIVNUPY288VJH","GSON1112110294")</f>
        <v>#NAME?</v>
      </c>
      <c r="L1594" s="28" t="e">
        <f ca="1">[1]!BexGetData("DP_1","003N8EMH8GTFRIVNUPY2891V1","GSON1112110294")</f>
        <v>#NAME?</v>
      </c>
      <c r="M1594" s="28" t="e">
        <f ca="1">[1]!BexGetData("DP_1","003N8EMH8GTFRIVOG7KG9IQXA","GSON1112110294")</f>
        <v>#NAME?</v>
      </c>
      <c r="N1594" s="28" t="e">
        <f ca="1">[1]!BexGetData("DP_1","003N8EMH8GTFRIVOG7KG9IX8U","GSON1112110294")</f>
        <v>#NAME?</v>
      </c>
      <c r="O1594" s="28" t="e">
        <f ca="1">[1]!BexGetData("DP_1","003N8EMH8GTFRIVOG7KG9J3KE","GSON1112110294")</f>
        <v>#NAME?</v>
      </c>
      <c r="P1594" s="28" t="e">
        <f ca="1">[1]!BexGetData("DP_1","003N8EMH8GTFRIVOG7KG9J9VY","GSON1112110294")</f>
        <v>#NAME?</v>
      </c>
      <c r="Q1594" s="24" t="e">
        <f ca="1">[1]!BexGetData("DP_1","00O2TNJGODT0G5Z4TTKYMM5MT","GSON1112110294")</f>
        <v>#NAME?</v>
      </c>
      <c r="R1594" s="28" t="e">
        <f ca="1">[1]!BexGetData("DP_1","00O2TNJGODT0G5Z4TTKYMMBYD","GSON1112110294")</f>
        <v>#NAME?</v>
      </c>
      <c r="S1594" s="28" t="e">
        <f ca="1">[1]!BexGetData("DP_1","00O2TNJGODT0G5Z4TTKYMMI9X","GSON1112110294")</f>
        <v>#NAME?</v>
      </c>
      <c r="T1594" s="28" t="e">
        <f ca="1">[1]!BexGetData("DP_1","00O2TNJGODT0G5Z4TTKYMMOLH","GSON1112110294")</f>
        <v>#NAME?</v>
      </c>
      <c r="U1594" s="28" t="e">
        <f ca="1">[1]!BexGetData("DP_1","00O2TNJGODT0G5Z4TTKYMMUX1","GSON1112110294")</f>
        <v>#NAME?</v>
      </c>
      <c r="V1594" s="28" t="e">
        <f ca="1">[1]!BexGetData("DP_1","00O2TNJGODT0G5Z4TTKYMN18L","GSON1112110294")</f>
        <v>#NAME?</v>
      </c>
      <c r="W1594" s="28" t="e">
        <f ca="1">[1]!BexGetData("DP_1","00O2TNJGODT0G5Z4TTKYMN7K5","GSON1112110294")</f>
        <v>#NAME?</v>
      </c>
    </row>
    <row r="1595" spans="1:23" x14ac:dyDescent="0.2">
      <c r="A1595" s="36" t="s">
        <v>4263</v>
      </c>
      <c r="B1595" s="27" t="s">
        <v>4264</v>
      </c>
      <c r="C1595" s="23" t="e">
        <f ca="1">[1]!BexGetData("DP_1","003N8EMH8GTFRCSWKMPXRR8GU","GSON1112110295")</f>
        <v>#NAME?</v>
      </c>
      <c r="D1595" s="23" t="e">
        <f ca="1">[1]!BexGetData("DP_1","003N8EMH8GTFRCSWKMPXRRESE","GSON1112110295")</f>
        <v>#NAME?</v>
      </c>
      <c r="E1595" s="28" t="e">
        <f ca="1">[1]!BexGetData("DP_1","003N8EMH8GTFRCSWKMPXRRL3Y","GSON1112110295")</f>
        <v>#NAME?</v>
      </c>
      <c r="F1595" s="28" t="e">
        <f ca="1">[1]!BexGetData("DP_1","003N8EMH8GTFRCSWKMPXRRRFI","GSON1112110295")</f>
        <v>#NAME?</v>
      </c>
      <c r="G1595" s="23" t="e">
        <f ca="1">[1]!BexGetData("DP_1","003N8EMH8GTFRCSWKMPXRRXR2","GSON1112110295")</f>
        <v>#NAME?</v>
      </c>
      <c r="H1595" s="23" t="e">
        <f ca="1">[1]!BexGetData("DP_1","003N8EMH8GTFRCSWKMPXRS42M","GSON1112110295")</f>
        <v>#NAME?</v>
      </c>
      <c r="I1595" s="28" t="e">
        <f ca="1">[1]!BexGetData("DP_1","003N8EMH8GTFRCSWKMPXRSAE6","GSON1112110295")</f>
        <v>#NAME?</v>
      </c>
      <c r="J1595" s="24" t="e">
        <f ca="1">[1]!BexGetData("DP_1","003N8EMH8GTFRCSWKMPXRSGPQ","GSON1112110295")</f>
        <v>#NAME?</v>
      </c>
      <c r="K1595" s="28" t="e">
        <f ca="1">[1]!BexGetData("DP_1","003N8EMH8GTFRIVNUPY288VJH","GSON1112110295")</f>
        <v>#NAME?</v>
      </c>
      <c r="L1595" s="28" t="e">
        <f ca="1">[1]!BexGetData("DP_1","003N8EMH8GTFRIVNUPY2891V1","GSON1112110295")</f>
        <v>#NAME?</v>
      </c>
      <c r="M1595" s="28" t="e">
        <f ca="1">[1]!BexGetData("DP_1","003N8EMH8GTFRIVOG7KG9IQXA","GSON1112110295")</f>
        <v>#NAME?</v>
      </c>
      <c r="N1595" s="28" t="e">
        <f ca="1">[1]!BexGetData("DP_1","003N8EMH8GTFRIVOG7KG9IX8U","GSON1112110295")</f>
        <v>#NAME?</v>
      </c>
      <c r="O1595" s="28" t="e">
        <f ca="1">[1]!BexGetData("DP_1","003N8EMH8GTFRIVOG7KG9J3KE","GSON1112110295")</f>
        <v>#NAME?</v>
      </c>
      <c r="P1595" s="28" t="e">
        <f ca="1">[1]!BexGetData("DP_1","003N8EMH8GTFRIVOG7KG9J9VY","GSON1112110295")</f>
        <v>#NAME?</v>
      </c>
      <c r="Q1595" s="24" t="e">
        <f ca="1">[1]!BexGetData("DP_1","00O2TNJGODT0G5Z4TTKYMM5MT","GSON1112110295")</f>
        <v>#NAME?</v>
      </c>
      <c r="R1595" s="28" t="e">
        <f ca="1">[1]!BexGetData("DP_1","00O2TNJGODT0G5Z4TTKYMMBYD","GSON1112110295")</f>
        <v>#NAME?</v>
      </c>
      <c r="S1595" s="28" t="e">
        <f ca="1">[1]!BexGetData("DP_1","00O2TNJGODT0G5Z4TTKYMMI9X","GSON1112110295")</f>
        <v>#NAME?</v>
      </c>
      <c r="T1595" s="28" t="e">
        <f ca="1">[1]!BexGetData("DP_1","00O2TNJGODT0G5Z4TTKYMMOLH","GSON1112110295")</f>
        <v>#NAME?</v>
      </c>
      <c r="U1595" s="28" t="e">
        <f ca="1">[1]!BexGetData("DP_1","00O2TNJGODT0G5Z4TTKYMMUX1","GSON1112110295")</f>
        <v>#NAME?</v>
      </c>
      <c r="V1595" s="28" t="e">
        <f ca="1">[1]!BexGetData("DP_1","00O2TNJGODT0G5Z4TTKYMN18L","GSON1112110295")</f>
        <v>#NAME?</v>
      </c>
      <c r="W1595" s="28" t="e">
        <f ca="1">[1]!BexGetData("DP_1","00O2TNJGODT0G5Z4TTKYMN7K5","GSON1112110295")</f>
        <v>#NAME?</v>
      </c>
    </row>
    <row r="1596" spans="1:23" x14ac:dyDescent="0.2">
      <c r="A1596" s="36" t="s">
        <v>4265</v>
      </c>
      <c r="B1596" s="27" t="s">
        <v>4266</v>
      </c>
      <c r="C1596" s="23" t="e">
        <f ca="1">[1]!BexGetData("DP_1","003N8EMH8GTFRCSWKMPXRR8GU","GSON1112110300")</f>
        <v>#NAME?</v>
      </c>
      <c r="D1596" s="23" t="e">
        <f ca="1">[1]!BexGetData("DP_1","003N8EMH8GTFRCSWKMPXRRESE","GSON1112110300")</f>
        <v>#NAME?</v>
      </c>
      <c r="E1596" s="23" t="e">
        <f ca="1">[1]!BexGetData("DP_1","003N8EMH8GTFRCSWKMPXRRL3Y","GSON1112110300")</f>
        <v>#NAME?</v>
      </c>
      <c r="F1596" s="23" t="e">
        <f ca="1">[1]!BexGetData("DP_1","003N8EMH8GTFRCSWKMPXRRRFI","GSON1112110300")</f>
        <v>#NAME?</v>
      </c>
      <c r="G1596" s="23" t="e">
        <f ca="1">[1]!BexGetData("DP_1","003N8EMH8GTFRCSWKMPXRRXR2","GSON1112110300")</f>
        <v>#NAME?</v>
      </c>
      <c r="H1596" s="23" t="e">
        <f ca="1">[1]!BexGetData("DP_1","003N8EMH8GTFRCSWKMPXRS42M","GSON1112110300")</f>
        <v>#NAME?</v>
      </c>
      <c r="I1596" s="23" t="e">
        <f ca="1">[1]!BexGetData("DP_1","003N8EMH8GTFRCSWKMPXRSAE6","GSON1112110300")</f>
        <v>#NAME?</v>
      </c>
      <c r="J1596" s="23" t="e">
        <f ca="1">[1]!BexGetData("DP_1","003N8EMH8GTFRCSWKMPXRSGPQ","GSON1112110300")</f>
        <v>#NAME?</v>
      </c>
      <c r="K1596" s="23" t="e">
        <f ca="1">[1]!BexGetData("DP_1","003N8EMH8GTFRIVNUPY288VJH","GSON1112110300")</f>
        <v>#NAME?</v>
      </c>
      <c r="L1596" s="23" t="e">
        <f ca="1">[1]!BexGetData("DP_1","003N8EMH8GTFRIVNUPY2891V1","GSON1112110300")</f>
        <v>#NAME?</v>
      </c>
      <c r="M1596" s="23" t="e">
        <f ca="1">[1]!BexGetData("DP_1","003N8EMH8GTFRIVOG7KG9IQXA","GSON1112110300")</f>
        <v>#NAME?</v>
      </c>
      <c r="N1596" s="28" t="e">
        <f ca="1">[1]!BexGetData("DP_1","003N8EMH8GTFRIVOG7KG9IX8U","GSON1112110300")</f>
        <v>#NAME?</v>
      </c>
      <c r="O1596" s="23" t="e">
        <f ca="1">[1]!BexGetData("DP_1","003N8EMH8GTFRIVOG7KG9J3KE","GSON1112110300")</f>
        <v>#NAME?</v>
      </c>
      <c r="P1596" s="28" t="e">
        <f ca="1">[1]!BexGetData("DP_1","003N8EMH8GTFRIVOG7KG9J9VY","GSON1112110300")</f>
        <v>#NAME?</v>
      </c>
      <c r="Q1596" s="23" t="e">
        <f ca="1">[1]!BexGetData("DP_1","00O2TNJGODT0G5Z4TTKYMM5MT","GSON1112110300")</f>
        <v>#NAME?</v>
      </c>
      <c r="R1596" s="23" t="e">
        <f ca="1">[1]!BexGetData("DP_1","00O2TNJGODT0G5Z4TTKYMMBYD","GSON1112110300")</f>
        <v>#NAME?</v>
      </c>
      <c r="S1596" s="23" t="e">
        <f ca="1">[1]!BexGetData("DP_1","00O2TNJGODT0G5Z4TTKYMMI9X","GSON1112110300")</f>
        <v>#NAME?</v>
      </c>
      <c r="T1596" s="23" t="e">
        <f ca="1">[1]!BexGetData("DP_1","00O2TNJGODT0G5Z4TTKYMMOLH","GSON1112110300")</f>
        <v>#NAME?</v>
      </c>
      <c r="U1596" s="28" t="e">
        <f ca="1">[1]!BexGetData("DP_1","00O2TNJGODT0G5Z4TTKYMMUX1","GSON1112110300")</f>
        <v>#NAME?</v>
      </c>
      <c r="V1596" s="23" t="e">
        <f ca="1">[1]!BexGetData("DP_1","00O2TNJGODT0G5Z4TTKYMN18L","GSON1112110300")</f>
        <v>#NAME?</v>
      </c>
      <c r="W1596" s="28" t="e">
        <f ca="1">[1]!BexGetData("DP_1","00O2TNJGODT0G5Z4TTKYMN7K5","GSON1112110300")</f>
        <v>#NAME?</v>
      </c>
    </row>
    <row r="1597" spans="1:23" x14ac:dyDescent="0.2">
      <c r="A1597" s="36" t="s">
        <v>4267</v>
      </c>
      <c r="B1597" s="27" t="s">
        <v>4268</v>
      </c>
      <c r="C1597" s="23" t="e">
        <f ca="1">[1]!BexGetData("DP_1","003N8EMH8GTFRCSWKMPXRR8GU","GSON1112110301")</f>
        <v>#NAME?</v>
      </c>
      <c r="D1597" s="23" t="e">
        <f ca="1">[1]!BexGetData("DP_1","003N8EMH8GTFRCSWKMPXRRESE","GSON1112110301")</f>
        <v>#NAME?</v>
      </c>
      <c r="E1597" s="28" t="e">
        <f ca="1">[1]!BexGetData("DP_1","003N8EMH8GTFRCSWKMPXRRL3Y","GSON1112110301")</f>
        <v>#NAME?</v>
      </c>
      <c r="F1597" s="28" t="e">
        <f ca="1">[1]!BexGetData("DP_1","003N8EMH8GTFRCSWKMPXRRRFI","GSON1112110301")</f>
        <v>#NAME?</v>
      </c>
      <c r="G1597" s="23" t="e">
        <f ca="1">[1]!BexGetData("DP_1","003N8EMH8GTFRCSWKMPXRRXR2","GSON1112110301")</f>
        <v>#NAME?</v>
      </c>
      <c r="H1597" s="23" t="e">
        <f ca="1">[1]!BexGetData("DP_1","003N8EMH8GTFRCSWKMPXRS42M","GSON1112110301")</f>
        <v>#NAME?</v>
      </c>
      <c r="I1597" s="28" t="e">
        <f ca="1">[1]!BexGetData("DP_1","003N8EMH8GTFRCSWKMPXRSAE6","GSON1112110301")</f>
        <v>#NAME?</v>
      </c>
      <c r="J1597" s="24" t="e">
        <f ca="1">[1]!BexGetData("DP_1","003N8EMH8GTFRCSWKMPXRSGPQ","GSON1112110301")</f>
        <v>#NAME?</v>
      </c>
      <c r="K1597" s="28" t="e">
        <f ca="1">[1]!BexGetData("DP_1","003N8EMH8GTFRIVNUPY288VJH","GSON1112110301")</f>
        <v>#NAME?</v>
      </c>
      <c r="L1597" s="28" t="e">
        <f ca="1">[1]!BexGetData("DP_1","003N8EMH8GTFRIVNUPY2891V1","GSON1112110301")</f>
        <v>#NAME?</v>
      </c>
      <c r="M1597" s="28" t="e">
        <f ca="1">[1]!BexGetData("DP_1","003N8EMH8GTFRIVOG7KG9IQXA","GSON1112110301")</f>
        <v>#NAME?</v>
      </c>
      <c r="N1597" s="28" t="e">
        <f ca="1">[1]!BexGetData("DP_1","003N8EMH8GTFRIVOG7KG9IX8U","GSON1112110301")</f>
        <v>#NAME?</v>
      </c>
      <c r="O1597" s="28" t="e">
        <f ca="1">[1]!BexGetData("DP_1","003N8EMH8GTFRIVOG7KG9J3KE","GSON1112110301")</f>
        <v>#NAME?</v>
      </c>
      <c r="P1597" s="28" t="e">
        <f ca="1">[1]!BexGetData("DP_1","003N8EMH8GTFRIVOG7KG9J9VY","GSON1112110301")</f>
        <v>#NAME?</v>
      </c>
      <c r="Q1597" s="24" t="e">
        <f ca="1">[1]!BexGetData("DP_1","00O2TNJGODT0G5Z4TTKYMM5MT","GSON1112110301")</f>
        <v>#NAME?</v>
      </c>
      <c r="R1597" s="28" t="e">
        <f ca="1">[1]!BexGetData("DP_1","00O2TNJGODT0G5Z4TTKYMMBYD","GSON1112110301")</f>
        <v>#NAME?</v>
      </c>
      <c r="S1597" s="28" t="e">
        <f ca="1">[1]!BexGetData("DP_1","00O2TNJGODT0G5Z4TTKYMMI9X","GSON1112110301")</f>
        <v>#NAME?</v>
      </c>
      <c r="T1597" s="28" t="e">
        <f ca="1">[1]!BexGetData("DP_1","00O2TNJGODT0G5Z4TTKYMMOLH","GSON1112110301")</f>
        <v>#NAME?</v>
      </c>
      <c r="U1597" s="28" t="e">
        <f ca="1">[1]!BexGetData("DP_1","00O2TNJGODT0G5Z4TTKYMMUX1","GSON1112110301")</f>
        <v>#NAME?</v>
      </c>
      <c r="V1597" s="28" t="e">
        <f ca="1">[1]!BexGetData("DP_1","00O2TNJGODT0G5Z4TTKYMN18L","GSON1112110301")</f>
        <v>#NAME?</v>
      </c>
      <c r="W1597" s="28" t="e">
        <f ca="1">[1]!BexGetData("DP_1","00O2TNJGODT0G5Z4TTKYMN7K5","GSON1112110301")</f>
        <v>#NAME?</v>
      </c>
    </row>
    <row r="1598" spans="1:23" x14ac:dyDescent="0.2">
      <c r="A1598" s="36" t="s">
        <v>4269</v>
      </c>
      <c r="B1598" s="27" t="s">
        <v>4270</v>
      </c>
      <c r="C1598" s="24" t="e">
        <f ca="1">[1]!BexGetData("DP_1","003N8EMH8GTFRCSWKMPXRR8GU","GSON1112110302")</f>
        <v>#NAME?</v>
      </c>
      <c r="D1598" s="24" t="e">
        <f ca="1">[1]!BexGetData("DP_1","003N8EMH8GTFRCSWKMPXRRESE","GSON1112110302")</f>
        <v>#NAME?</v>
      </c>
      <c r="E1598" s="24" t="e">
        <f ca="1">[1]!BexGetData("DP_1","003N8EMH8GTFRCSWKMPXRRL3Y","GSON1112110302")</f>
        <v>#NAME?</v>
      </c>
      <c r="F1598" s="28" t="e">
        <f ca="1">[1]!BexGetData("DP_1","003N8EMH8GTFRCSWKMPXRRRFI","GSON1112110302")</f>
        <v>#NAME?</v>
      </c>
      <c r="G1598" s="23" t="e">
        <f ca="1">[1]!BexGetData("DP_1","003N8EMH8GTFRCSWKMPXRRXR2","GSON1112110302")</f>
        <v>#NAME?</v>
      </c>
      <c r="H1598" s="23" t="e">
        <f ca="1">[1]!BexGetData("DP_1","003N8EMH8GTFRCSWKMPXRS42M","GSON1112110302")</f>
        <v>#NAME?</v>
      </c>
      <c r="I1598" s="28" t="e">
        <f ca="1">[1]!BexGetData("DP_1","003N8EMH8GTFRCSWKMPXRSAE6","GSON1112110302")</f>
        <v>#NAME?</v>
      </c>
      <c r="J1598" s="23" t="e">
        <f ca="1">[1]!BexGetData("DP_1","003N8EMH8GTFRCSWKMPXRSGPQ","GSON1112110302")</f>
        <v>#NAME?</v>
      </c>
      <c r="K1598" s="28" t="e">
        <f ca="1">[1]!BexGetData("DP_1","003N8EMH8GTFRIVNUPY288VJH","GSON1112110302")</f>
        <v>#NAME?</v>
      </c>
      <c r="L1598" s="28" t="e">
        <f ca="1">[1]!BexGetData("DP_1","003N8EMH8GTFRIVNUPY2891V1","GSON1112110302")</f>
        <v>#NAME?</v>
      </c>
      <c r="M1598" s="28" t="e">
        <f ca="1">[1]!BexGetData("DP_1","003N8EMH8GTFRIVOG7KG9IQXA","GSON1112110302")</f>
        <v>#NAME?</v>
      </c>
      <c r="N1598" s="28" t="e">
        <f ca="1">[1]!BexGetData("DP_1","003N8EMH8GTFRIVOG7KG9IX8U","GSON1112110302")</f>
        <v>#NAME?</v>
      </c>
      <c r="O1598" s="28" t="e">
        <f ca="1">[1]!BexGetData("DP_1","003N8EMH8GTFRIVOG7KG9J3KE","GSON1112110302")</f>
        <v>#NAME?</v>
      </c>
      <c r="P1598" s="28" t="e">
        <f ca="1">[1]!BexGetData("DP_1","003N8EMH8GTFRIVOG7KG9J9VY","GSON1112110302")</f>
        <v>#NAME?</v>
      </c>
      <c r="Q1598" s="23" t="e">
        <f ca="1">[1]!BexGetData("DP_1","00O2TNJGODT0G5Z4TTKYMM5MT","GSON1112110302")</f>
        <v>#NAME?</v>
      </c>
      <c r="R1598" s="23" t="e">
        <f ca="1">[1]!BexGetData("DP_1","00O2TNJGODT0G5Z4TTKYMMBYD","GSON1112110302")</f>
        <v>#NAME?</v>
      </c>
      <c r="S1598" s="23" t="e">
        <f ca="1">[1]!BexGetData("DP_1","00O2TNJGODT0G5Z4TTKYMMI9X","GSON1112110302")</f>
        <v>#NAME?</v>
      </c>
      <c r="T1598" s="28" t="e">
        <f ca="1">[1]!BexGetData("DP_1","00O2TNJGODT0G5Z4TTKYMMOLH","GSON1112110302")</f>
        <v>#NAME?</v>
      </c>
      <c r="U1598" s="23" t="e">
        <f ca="1">[1]!BexGetData("DP_1","00O2TNJGODT0G5Z4TTKYMMUX1","GSON1112110302")</f>
        <v>#NAME?</v>
      </c>
      <c r="V1598" s="28" t="e">
        <f ca="1">[1]!BexGetData("DP_1","00O2TNJGODT0G5Z4TTKYMN18L","GSON1112110302")</f>
        <v>#NAME?</v>
      </c>
      <c r="W1598" s="23" t="e">
        <f ca="1">[1]!BexGetData("DP_1","00O2TNJGODT0G5Z4TTKYMN7K5","GSON1112110302")</f>
        <v>#NAME?</v>
      </c>
    </row>
    <row r="1599" spans="1:23" x14ac:dyDescent="0.2">
      <c r="A1599" s="36" t="s">
        <v>4271</v>
      </c>
      <c r="B1599" s="27" t="s">
        <v>4272</v>
      </c>
      <c r="C1599" s="24" t="e">
        <f ca="1">[1]!BexGetData("DP_1","003N8EMH8GTFRCSWKMPXRR8GU","GSON1112110303")</f>
        <v>#NAME?</v>
      </c>
      <c r="D1599" s="24" t="e">
        <f ca="1">[1]!BexGetData("DP_1","003N8EMH8GTFRCSWKMPXRRESE","GSON1112110303")</f>
        <v>#NAME?</v>
      </c>
      <c r="E1599" s="24" t="e">
        <f ca="1">[1]!BexGetData("DP_1","003N8EMH8GTFRCSWKMPXRRL3Y","GSON1112110303")</f>
        <v>#NAME?</v>
      </c>
      <c r="F1599" s="28" t="e">
        <f ca="1">[1]!BexGetData("DP_1","003N8EMH8GTFRCSWKMPXRRRFI","GSON1112110303")</f>
        <v>#NAME?</v>
      </c>
      <c r="G1599" s="23" t="e">
        <f ca="1">[1]!BexGetData("DP_1","003N8EMH8GTFRCSWKMPXRRXR2","GSON1112110303")</f>
        <v>#NAME?</v>
      </c>
      <c r="H1599" s="23" t="e">
        <f ca="1">[1]!BexGetData("DP_1","003N8EMH8GTFRCSWKMPXRS42M","GSON1112110303")</f>
        <v>#NAME?</v>
      </c>
      <c r="I1599" s="28" t="e">
        <f ca="1">[1]!BexGetData("DP_1","003N8EMH8GTFRCSWKMPXRSAE6","GSON1112110303")</f>
        <v>#NAME?</v>
      </c>
      <c r="J1599" s="24" t="e">
        <f ca="1">[1]!BexGetData("DP_1","003N8EMH8GTFRCSWKMPXRSGPQ","GSON1112110303")</f>
        <v>#NAME?</v>
      </c>
      <c r="K1599" s="28" t="e">
        <f ca="1">[1]!BexGetData("DP_1","003N8EMH8GTFRIVNUPY288VJH","GSON1112110303")</f>
        <v>#NAME?</v>
      </c>
      <c r="L1599" s="28" t="e">
        <f ca="1">[1]!BexGetData("DP_1","003N8EMH8GTFRIVNUPY2891V1","GSON1112110303")</f>
        <v>#NAME?</v>
      </c>
      <c r="M1599" s="28" t="e">
        <f ca="1">[1]!BexGetData("DP_1","003N8EMH8GTFRIVOG7KG9IQXA","GSON1112110303")</f>
        <v>#NAME?</v>
      </c>
      <c r="N1599" s="28" t="e">
        <f ca="1">[1]!BexGetData("DP_1","003N8EMH8GTFRIVOG7KG9IX8U","GSON1112110303")</f>
        <v>#NAME?</v>
      </c>
      <c r="O1599" s="28" t="e">
        <f ca="1">[1]!BexGetData("DP_1","003N8EMH8GTFRIVOG7KG9J3KE","GSON1112110303")</f>
        <v>#NAME?</v>
      </c>
      <c r="P1599" s="28" t="e">
        <f ca="1">[1]!BexGetData("DP_1","003N8EMH8GTFRIVOG7KG9J9VY","GSON1112110303")</f>
        <v>#NAME?</v>
      </c>
      <c r="Q1599" s="24" t="e">
        <f ca="1">[1]!BexGetData("DP_1","00O2TNJGODT0G5Z4TTKYMM5MT","GSON1112110303")</f>
        <v>#NAME?</v>
      </c>
      <c r="R1599" s="28" t="e">
        <f ca="1">[1]!BexGetData("DP_1","00O2TNJGODT0G5Z4TTKYMMBYD","GSON1112110303")</f>
        <v>#NAME?</v>
      </c>
      <c r="S1599" s="28" t="e">
        <f ca="1">[1]!BexGetData("DP_1","00O2TNJGODT0G5Z4TTKYMMI9X","GSON1112110303")</f>
        <v>#NAME?</v>
      </c>
      <c r="T1599" s="28" t="e">
        <f ca="1">[1]!BexGetData("DP_1","00O2TNJGODT0G5Z4TTKYMMOLH","GSON1112110303")</f>
        <v>#NAME?</v>
      </c>
      <c r="U1599" s="28" t="e">
        <f ca="1">[1]!BexGetData("DP_1","00O2TNJGODT0G5Z4TTKYMMUX1","GSON1112110303")</f>
        <v>#NAME?</v>
      </c>
      <c r="V1599" s="28" t="e">
        <f ca="1">[1]!BexGetData("DP_1","00O2TNJGODT0G5Z4TTKYMN18L","GSON1112110303")</f>
        <v>#NAME?</v>
      </c>
      <c r="W1599" s="28" t="e">
        <f ca="1">[1]!BexGetData("DP_1","00O2TNJGODT0G5Z4TTKYMN7K5","GSON1112110303")</f>
        <v>#NAME?</v>
      </c>
    </row>
    <row r="1600" spans="1:23" x14ac:dyDescent="0.2">
      <c r="A1600" s="36" t="s">
        <v>4273</v>
      </c>
      <c r="B1600" s="27" t="s">
        <v>4274</v>
      </c>
      <c r="C1600" s="23" t="e">
        <f ca="1">[1]!BexGetData("DP_1","003N8EMH8GTFRCSWKMPXRR8GU","GSON1112110304")</f>
        <v>#NAME?</v>
      </c>
      <c r="D1600" s="23" t="e">
        <f ca="1">[1]!BexGetData("DP_1","003N8EMH8GTFRCSWKMPXRRESE","GSON1112110304")</f>
        <v>#NAME?</v>
      </c>
      <c r="E1600" s="28" t="e">
        <f ca="1">[1]!BexGetData("DP_1","003N8EMH8GTFRCSWKMPXRRL3Y","GSON1112110304")</f>
        <v>#NAME?</v>
      </c>
      <c r="F1600" s="28" t="e">
        <f ca="1">[1]!BexGetData("DP_1","003N8EMH8GTFRCSWKMPXRRRFI","GSON1112110304")</f>
        <v>#NAME?</v>
      </c>
      <c r="G1600" s="23" t="e">
        <f ca="1">[1]!BexGetData("DP_1","003N8EMH8GTFRCSWKMPXRRXR2","GSON1112110304")</f>
        <v>#NAME?</v>
      </c>
      <c r="H1600" s="23" t="e">
        <f ca="1">[1]!BexGetData("DP_1","003N8EMH8GTFRCSWKMPXRS42M","GSON1112110304")</f>
        <v>#NAME?</v>
      </c>
      <c r="I1600" s="28" t="e">
        <f ca="1">[1]!BexGetData("DP_1","003N8EMH8GTFRCSWKMPXRSAE6","GSON1112110304")</f>
        <v>#NAME?</v>
      </c>
      <c r="J1600" s="24" t="e">
        <f ca="1">[1]!BexGetData("DP_1","003N8EMH8GTFRCSWKMPXRSGPQ","GSON1112110304")</f>
        <v>#NAME?</v>
      </c>
      <c r="K1600" s="28" t="e">
        <f ca="1">[1]!BexGetData("DP_1","003N8EMH8GTFRIVNUPY288VJH","GSON1112110304")</f>
        <v>#NAME?</v>
      </c>
      <c r="L1600" s="28" t="e">
        <f ca="1">[1]!BexGetData("DP_1","003N8EMH8GTFRIVNUPY2891V1","GSON1112110304")</f>
        <v>#NAME?</v>
      </c>
      <c r="M1600" s="28" t="e">
        <f ca="1">[1]!BexGetData("DP_1","003N8EMH8GTFRIVOG7KG9IQXA","GSON1112110304")</f>
        <v>#NAME?</v>
      </c>
      <c r="N1600" s="28" t="e">
        <f ca="1">[1]!BexGetData("DP_1","003N8EMH8GTFRIVOG7KG9IX8U","GSON1112110304")</f>
        <v>#NAME?</v>
      </c>
      <c r="O1600" s="28" t="e">
        <f ca="1">[1]!BexGetData("DP_1","003N8EMH8GTFRIVOG7KG9J3KE","GSON1112110304")</f>
        <v>#NAME?</v>
      </c>
      <c r="P1600" s="28" t="e">
        <f ca="1">[1]!BexGetData("DP_1","003N8EMH8GTFRIVOG7KG9J9VY","GSON1112110304")</f>
        <v>#NAME?</v>
      </c>
      <c r="Q1600" s="24" t="e">
        <f ca="1">[1]!BexGetData("DP_1","00O2TNJGODT0G5Z4TTKYMM5MT","GSON1112110304")</f>
        <v>#NAME?</v>
      </c>
      <c r="R1600" s="28" t="e">
        <f ca="1">[1]!BexGetData("DP_1","00O2TNJGODT0G5Z4TTKYMMBYD","GSON1112110304")</f>
        <v>#NAME?</v>
      </c>
      <c r="S1600" s="28" t="e">
        <f ca="1">[1]!BexGetData("DP_1","00O2TNJGODT0G5Z4TTKYMMI9X","GSON1112110304")</f>
        <v>#NAME?</v>
      </c>
      <c r="T1600" s="28" t="e">
        <f ca="1">[1]!BexGetData("DP_1","00O2TNJGODT0G5Z4TTKYMMOLH","GSON1112110304")</f>
        <v>#NAME?</v>
      </c>
      <c r="U1600" s="28" t="e">
        <f ca="1">[1]!BexGetData("DP_1","00O2TNJGODT0G5Z4TTKYMMUX1","GSON1112110304")</f>
        <v>#NAME?</v>
      </c>
      <c r="V1600" s="28" t="e">
        <f ca="1">[1]!BexGetData("DP_1","00O2TNJGODT0G5Z4TTKYMN18L","GSON1112110304")</f>
        <v>#NAME?</v>
      </c>
      <c r="W1600" s="28" t="e">
        <f ca="1">[1]!BexGetData("DP_1","00O2TNJGODT0G5Z4TTKYMN7K5","GSON1112110304")</f>
        <v>#NAME?</v>
      </c>
    </row>
    <row r="1601" spans="1:23" x14ac:dyDescent="0.2">
      <c r="A1601" s="36" t="s">
        <v>4275</v>
      </c>
      <c r="B1601" s="27" t="s">
        <v>4276</v>
      </c>
      <c r="C1601" s="23" t="e">
        <f ca="1">[1]!BexGetData("DP_1","003N8EMH8GTFRCSWKMPXRR8GU","GSON1112110305")</f>
        <v>#NAME?</v>
      </c>
      <c r="D1601" s="23" t="e">
        <f ca="1">[1]!BexGetData("DP_1","003N8EMH8GTFRCSWKMPXRRESE","GSON1112110305")</f>
        <v>#NAME?</v>
      </c>
      <c r="E1601" s="28" t="e">
        <f ca="1">[1]!BexGetData("DP_1","003N8EMH8GTFRCSWKMPXRRL3Y","GSON1112110305")</f>
        <v>#NAME?</v>
      </c>
      <c r="F1601" s="28" t="e">
        <f ca="1">[1]!BexGetData("DP_1","003N8EMH8GTFRCSWKMPXRRRFI","GSON1112110305")</f>
        <v>#NAME?</v>
      </c>
      <c r="G1601" s="23" t="e">
        <f ca="1">[1]!BexGetData("DP_1","003N8EMH8GTFRCSWKMPXRRXR2","GSON1112110305")</f>
        <v>#NAME?</v>
      </c>
      <c r="H1601" s="23" t="e">
        <f ca="1">[1]!BexGetData("DP_1","003N8EMH8GTFRCSWKMPXRS42M","GSON1112110305")</f>
        <v>#NAME?</v>
      </c>
      <c r="I1601" s="28" t="e">
        <f ca="1">[1]!BexGetData("DP_1","003N8EMH8GTFRCSWKMPXRSAE6","GSON1112110305")</f>
        <v>#NAME?</v>
      </c>
      <c r="J1601" s="24" t="e">
        <f ca="1">[1]!BexGetData("DP_1","003N8EMH8GTFRCSWKMPXRSGPQ","GSON1112110305")</f>
        <v>#NAME?</v>
      </c>
      <c r="K1601" s="28" t="e">
        <f ca="1">[1]!BexGetData("DP_1","003N8EMH8GTFRIVNUPY288VJH","GSON1112110305")</f>
        <v>#NAME?</v>
      </c>
      <c r="L1601" s="28" t="e">
        <f ca="1">[1]!BexGetData("DP_1","003N8EMH8GTFRIVNUPY2891V1","GSON1112110305")</f>
        <v>#NAME?</v>
      </c>
      <c r="M1601" s="28" t="e">
        <f ca="1">[1]!BexGetData("DP_1","003N8EMH8GTFRIVOG7KG9IQXA","GSON1112110305")</f>
        <v>#NAME?</v>
      </c>
      <c r="N1601" s="28" t="e">
        <f ca="1">[1]!BexGetData("DP_1","003N8EMH8GTFRIVOG7KG9IX8U","GSON1112110305")</f>
        <v>#NAME?</v>
      </c>
      <c r="O1601" s="28" t="e">
        <f ca="1">[1]!BexGetData("DP_1","003N8EMH8GTFRIVOG7KG9J3KE","GSON1112110305")</f>
        <v>#NAME?</v>
      </c>
      <c r="P1601" s="28" t="e">
        <f ca="1">[1]!BexGetData("DP_1","003N8EMH8GTFRIVOG7KG9J9VY","GSON1112110305")</f>
        <v>#NAME?</v>
      </c>
      <c r="Q1601" s="24" t="e">
        <f ca="1">[1]!BexGetData("DP_1","00O2TNJGODT0G5Z4TTKYMM5MT","GSON1112110305")</f>
        <v>#NAME?</v>
      </c>
      <c r="R1601" s="28" t="e">
        <f ca="1">[1]!BexGetData("DP_1","00O2TNJGODT0G5Z4TTKYMMBYD","GSON1112110305")</f>
        <v>#NAME?</v>
      </c>
      <c r="S1601" s="28" t="e">
        <f ca="1">[1]!BexGetData("DP_1","00O2TNJGODT0G5Z4TTKYMMI9X","GSON1112110305")</f>
        <v>#NAME?</v>
      </c>
      <c r="T1601" s="28" t="e">
        <f ca="1">[1]!BexGetData("DP_1","00O2TNJGODT0G5Z4TTKYMMOLH","GSON1112110305")</f>
        <v>#NAME?</v>
      </c>
      <c r="U1601" s="28" t="e">
        <f ca="1">[1]!BexGetData("DP_1","00O2TNJGODT0G5Z4TTKYMMUX1","GSON1112110305")</f>
        <v>#NAME?</v>
      </c>
      <c r="V1601" s="28" t="e">
        <f ca="1">[1]!BexGetData("DP_1","00O2TNJGODT0G5Z4TTKYMN18L","GSON1112110305")</f>
        <v>#NAME?</v>
      </c>
      <c r="W1601" s="28" t="e">
        <f ca="1">[1]!BexGetData("DP_1","00O2TNJGODT0G5Z4TTKYMN7K5","GSON1112110305")</f>
        <v>#NAME?</v>
      </c>
    </row>
    <row r="1602" spans="1:23" x14ac:dyDescent="0.2">
      <c r="A1602" s="36" t="s">
        <v>4277</v>
      </c>
      <c r="B1602" s="27" t="s">
        <v>4278</v>
      </c>
      <c r="C1602" s="23" t="e">
        <f ca="1">[1]!BexGetData("DP_1","003N8EMH8GTFRCSWKMPXRR8GU","GSON1112110320")</f>
        <v>#NAME?</v>
      </c>
      <c r="D1602" s="23" t="e">
        <f ca="1">[1]!BexGetData("DP_1","003N8EMH8GTFRCSWKMPXRRESE","GSON1112110320")</f>
        <v>#NAME?</v>
      </c>
      <c r="E1602" s="23" t="e">
        <f ca="1">[1]!BexGetData("DP_1","003N8EMH8GTFRCSWKMPXRRL3Y","GSON1112110320")</f>
        <v>#NAME?</v>
      </c>
      <c r="F1602" s="23" t="e">
        <f ca="1">[1]!BexGetData("DP_1","003N8EMH8GTFRCSWKMPXRRRFI","GSON1112110320")</f>
        <v>#NAME?</v>
      </c>
      <c r="G1602" s="23" t="e">
        <f ca="1">[1]!BexGetData("DP_1","003N8EMH8GTFRCSWKMPXRRXR2","GSON1112110320")</f>
        <v>#NAME?</v>
      </c>
      <c r="H1602" s="23" t="e">
        <f ca="1">[1]!BexGetData("DP_1","003N8EMH8GTFRCSWKMPXRS42M","GSON1112110320")</f>
        <v>#NAME?</v>
      </c>
      <c r="I1602" s="23" t="e">
        <f ca="1">[1]!BexGetData("DP_1","003N8EMH8GTFRCSWKMPXRSAE6","GSON1112110320")</f>
        <v>#NAME?</v>
      </c>
      <c r="J1602" s="24" t="e">
        <f ca="1">[1]!BexGetData("DP_1","003N8EMH8GTFRCSWKMPXRSGPQ","GSON1112110320")</f>
        <v>#NAME?</v>
      </c>
      <c r="K1602" s="23" t="e">
        <f ca="1">[1]!BexGetData("DP_1","003N8EMH8GTFRIVNUPY288VJH","GSON1112110320")</f>
        <v>#NAME?</v>
      </c>
      <c r="L1602" s="23" t="e">
        <f ca="1">[1]!BexGetData("DP_1","003N8EMH8GTFRIVNUPY2891V1","GSON1112110320")</f>
        <v>#NAME?</v>
      </c>
      <c r="M1602" s="23" t="e">
        <f ca="1">[1]!BexGetData("DP_1","003N8EMH8GTFRIVOG7KG9IQXA","GSON1112110320")</f>
        <v>#NAME?</v>
      </c>
      <c r="N1602" s="28" t="e">
        <f ca="1">[1]!BexGetData("DP_1","003N8EMH8GTFRIVOG7KG9IX8U","GSON1112110320")</f>
        <v>#NAME?</v>
      </c>
      <c r="O1602" s="23" t="e">
        <f ca="1">[1]!BexGetData("DP_1","003N8EMH8GTFRIVOG7KG9J3KE","GSON1112110320")</f>
        <v>#NAME?</v>
      </c>
      <c r="P1602" s="28" t="e">
        <f ca="1">[1]!BexGetData("DP_1","003N8EMH8GTFRIVOG7KG9J9VY","GSON1112110320")</f>
        <v>#NAME?</v>
      </c>
      <c r="Q1602" s="24" t="e">
        <f ca="1">[1]!BexGetData("DP_1","00O2TNJGODT0G5Z4TTKYMM5MT","GSON1112110320")</f>
        <v>#NAME?</v>
      </c>
      <c r="R1602" s="23" t="e">
        <f ca="1">[1]!BexGetData("DP_1","00O2TNJGODT0G5Z4TTKYMMBYD","GSON1112110320")</f>
        <v>#NAME?</v>
      </c>
      <c r="S1602" s="23" t="e">
        <f ca="1">[1]!BexGetData("DP_1","00O2TNJGODT0G5Z4TTKYMMI9X","GSON1112110320")</f>
        <v>#NAME?</v>
      </c>
      <c r="T1602" s="28" t="e">
        <f ca="1">[1]!BexGetData("DP_1","00O2TNJGODT0G5Z4TTKYMMOLH","GSON1112110320")</f>
        <v>#NAME?</v>
      </c>
      <c r="U1602" s="23" t="e">
        <f ca="1">[1]!BexGetData("DP_1","00O2TNJGODT0G5Z4TTKYMMUX1","GSON1112110320")</f>
        <v>#NAME?</v>
      </c>
      <c r="V1602" s="28" t="e">
        <f ca="1">[1]!BexGetData("DP_1","00O2TNJGODT0G5Z4TTKYMN18L","GSON1112110320")</f>
        <v>#NAME?</v>
      </c>
      <c r="W1602" s="23" t="e">
        <f ca="1">[1]!BexGetData("DP_1","00O2TNJGODT0G5Z4TTKYMN7K5","GSON1112110320")</f>
        <v>#NAME?</v>
      </c>
    </row>
    <row r="1603" spans="1:23" x14ac:dyDescent="0.2">
      <c r="A1603" s="36" t="s">
        <v>4279</v>
      </c>
      <c r="B1603" s="27" t="s">
        <v>4280</v>
      </c>
      <c r="C1603" s="23" t="e">
        <f ca="1">[1]!BexGetData("DP_1","003N8EMH8GTFRCSWKMPXRR8GU","GSON1112110321")</f>
        <v>#NAME?</v>
      </c>
      <c r="D1603" s="23" t="e">
        <f ca="1">[1]!BexGetData("DP_1","003N8EMH8GTFRCSWKMPXRRESE","GSON1112110321")</f>
        <v>#NAME?</v>
      </c>
      <c r="E1603" s="28" t="e">
        <f ca="1">[1]!BexGetData("DP_1","003N8EMH8GTFRCSWKMPXRRL3Y","GSON1112110321")</f>
        <v>#NAME?</v>
      </c>
      <c r="F1603" s="28" t="e">
        <f ca="1">[1]!BexGetData("DP_1","003N8EMH8GTFRCSWKMPXRRRFI","GSON1112110321")</f>
        <v>#NAME?</v>
      </c>
      <c r="G1603" s="23" t="e">
        <f ca="1">[1]!BexGetData("DP_1","003N8EMH8GTFRCSWKMPXRRXR2","GSON1112110321")</f>
        <v>#NAME?</v>
      </c>
      <c r="H1603" s="23" t="e">
        <f ca="1">[1]!BexGetData("DP_1","003N8EMH8GTFRCSWKMPXRS42M","GSON1112110321")</f>
        <v>#NAME?</v>
      </c>
      <c r="I1603" s="28" t="e">
        <f ca="1">[1]!BexGetData("DP_1","003N8EMH8GTFRCSWKMPXRSAE6","GSON1112110321")</f>
        <v>#NAME?</v>
      </c>
      <c r="J1603" s="24" t="e">
        <f ca="1">[1]!BexGetData("DP_1","003N8EMH8GTFRCSWKMPXRSGPQ","GSON1112110321")</f>
        <v>#NAME?</v>
      </c>
      <c r="K1603" s="28" t="e">
        <f ca="1">[1]!BexGetData("DP_1","003N8EMH8GTFRIVNUPY288VJH","GSON1112110321")</f>
        <v>#NAME?</v>
      </c>
      <c r="L1603" s="28" t="e">
        <f ca="1">[1]!BexGetData("DP_1","003N8EMH8GTFRIVNUPY2891V1","GSON1112110321")</f>
        <v>#NAME?</v>
      </c>
      <c r="M1603" s="28" t="e">
        <f ca="1">[1]!BexGetData("DP_1","003N8EMH8GTFRIVOG7KG9IQXA","GSON1112110321")</f>
        <v>#NAME?</v>
      </c>
      <c r="N1603" s="28" t="e">
        <f ca="1">[1]!BexGetData("DP_1","003N8EMH8GTFRIVOG7KG9IX8U","GSON1112110321")</f>
        <v>#NAME?</v>
      </c>
      <c r="O1603" s="28" t="e">
        <f ca="1">[1]!BexGetData("DP_1","003N8EMH8GTFRIVOG7KG9J3KE","GSON1112110321")</f>
        <v>#NAME?</v>
      </c>
      <c r="P1603" s="28" t="e">
        <f ca="1">[1]!BexGetData("DP_1","003N8EMH8GTFRIVOG7KG9J9VY","GSON1112110321")</f>
        <v>#NAME?</v>
      </c>
      <c r="Q1603" s="24" t="e">
        <f ca="1">[1]!BexGetData("DP_1","00O2TNJGODT0G5Z4TTKYMM5MT","GSON1112110321")</f>
        <v>#NAME?</v>
      </c>
      <c r="R1603" s="28" t="e">
        <f ca="1">[1]!BexGetData("DP_1","00O2TNJGODT0G5Z4TTKYMMBYD","GSON1112110321")</f>
        <v>#NAME?</v>
      </c>
      <c r="S1603" s="28" t="e">
        <f ca="1">[1]!BexGetData("DP_1","00O2TNJGODT0G5Z4TTKYMMI9X","GSON1112110321")</f>
        <v>#NAME?</v>
      </c>
      <c r="T1603" s="28" t="e">
        <f ca="1">[1]!BexGetData("DP_1","00O2TNJGODT0G5Z4TTKYMMOLH","GSON1112110321")</f>
        <v>#NAME?</v>
      </c>
      <c r="U1603" s="28" t="e">
        <f ca="1">[1]!BexGetData("DP_1","00O2TNJGODT0G5Z4TTKYMMUX1","GSON1112110321")</f>
        <v>#NAME?</v>
      </c>
      <c r="V1603" s="28" t="e">
        <f ca="1">[1]!BexGetData("DP_1","00O2TNJGODT0G5Z4TTKYMN18L","GSON1112110321")</f>
        <v>#NAME?</v>
      </c>
      <c r="W1603" s="28" t="e">
        <f ca="1">[1]!BexGetData("DP_1","00O2TNJGODT0G5Z4TTKYMN7K5","GSON1112110321")</f>
        <v>#NAME?</v>
      </c>
    </row>
    <row r="1604" spans="1:23" x14ac:dyDescent="0.2">
      <c r="A1604" s="36" t="s">
        <v>4281</v>
      </c>
      <c r="B1604" s="27" t="s">
        <v>4282</v>
      </c>
      <c r="C1604" s="23" t="e">
        <f ca="1">[1]!BexGetData("DP_1","003N8EMH8GTFRCSWKMPXRR8GU","GSON1112110323")</f>
        <v>#NAME?</v>
      </c>
      <c r="D1604" s="23" t="e">
        <f ca="1">[1]!BexGetData("DP_1","003N8EMH8GTFRCSWKMPXRRESE","GSON1112110323")</f>
        <v>#NAME?</v>
      </c>
      <c r="E1604" s="28" t="e">
        <f ca="1">[1]!BexGetData("DP_1","003N8EMH8GTFRCSWKMPXRRL3Y","GSON1112110323")</f>
        <v>#NAME?</v>
      </c>
      <c r="F1604" s="28" t="e">
        <f ca="1">[1]!BexGetData("DP_1","003N8EMH8GTFRCSWKMPXRRRFI","GSON1112110323")</f>
        <v>#NAME?</v>
      </c>
      <c r="G1604" s="23" t="e">
        <f ca="1">[1]!BexGetData("DP_1","003N8EMH8GTFRCSWKMPXRRXR2","GSON1112110323")</f>
        <v>#NAME?</v>
      </c>
      <c r="H1604" s="23" t="e">
        <f ca="1">[1]!BexGetData("DP_1","003N8EMH8GTFRCSWKMPXRS42M","GSON1112110323")</f>
        <v>#NAME?</v>
      </c>
      <c r="I1604" s="28" t="e">
        <f ca="1">[1]!BexGetData("DP_1","003N8EMH8GTFRCSWKMPXRSAE6","GSON1112110323")</f>
        <v>#NAME?</v>
      </c>
      <c r="J1604" s="24" t="e">
        <f ca="1">[1]!BexGetData("DP_1","003N8EMH8GTFRCSWKMPXRSGPQ","GSON1112110323")</f>
        <v>#NAME?</v>
      </c>
      <c r="K1604" s="28" t="e">
        <f ca="1">[1]!BexGetData("DP_1","003N8EMH8GTFRIVNUPY288VJH","GSON1112110323")</f>
        <v>#NAME?</v>
      </c>
      <c r="L1604" s="28" t="e">
        <f ca="1">[1]!BexGetData("DP_1","003N8EMH8GTFRIVNUPY2891V1","GSON1112110323")</f>
        <v>#NAME?</v>
      </c>
      <c r="M1604" s="28" t="e">
        <f ca="1">[1]!BexGetData("DP_1","003N8EMH8GTFRIVOG7KG9IQXA","GSON1112110323")</f>
        <v>#NAME?</v>
      </c>
      <c r="N1604" s="28" t="e">
        <f ca="1">[1]!BexGetData("DP_1","003N8EMH8GTFRIVOG7KG9IX8U","GSON1112110323")</f>
        <v>#NAME?</v>
      </c>
      <c r="O1604" s="28" t="e">
        <f ca="1">[1]!BexGetData("DP_1","003N8EMH8GTFRIVOG7KG9J3KE","GSON1112110323")</f>
        <v>#NAME?</v>
      </c>
      <c r="P1604" s="28" t="e">
        <f ca="1">[1]!BexGetData("DP_1","003N8EMH8GTFRIVOG7KG9J9VY","GSON1112110323")</f>
        <v>#NAME?</v>
      </c>
      <c r="Q1604" s="24" t="e">
        <f ca="1">[1]!BexGetData("DP_1","00O2TNJGODT0G5Z4TTKYMM5MT","GSON1112110323")</f>
        <v>#NAME?</v>
      </c>
      <c r="R1604" s="28" t="e">
        <f ca="1">[1]!BexGetData("DP_1","00O2TNJGODT0G5Z4TTKYMMBYD","GSON1112110323")</f>
        <v>#NAME?</v>
      </c>
      <c r="S1604" s="28" t="e">
        <f ca="1">[1]!BexGetData("DP_1","00O2TNJGODT0G5Z4TTKYMMI9X","GSON1112110323")</f>
        <v>#NAME?</v>
      </c>
      <c r="T1604" s="28" t="e">
        <f ca="1">[1]!BexGetData("DP_1","00O2TNJGODT0G5Z4TTKYMMOLH","GSON1112110323")</f>
        <v>#NAME?</v>
      </c>
      <c r="U1604" s="28" t="e">
        <f ca="1">[1]!BexGetData("DP_1","00O2TNJGODT0G5Z4TTKYMMUX1","GSON1112110323")</f>
        <v>#NAME?</v>
      </c>
      <c r="V1604" s="28" t="e">
        <f ca="1">[1]!BexGetData("DP_1","00O2TNJGODT0G5Z4TTKYMN18L","GSON1112110323")</f>
        <v>#NAME?</v>
      </c>
      <c r="W1604" s="28" t="e">
        <f ca="1">[1]!BexGetData("DP_1","00O2TNJGODT0G5Z4TTKYMN7K5","GSON1112110323")</f>
        <v>#NAME?</v>
      </c>
    </row>
    <row r="1605" spans="1:23" x14ac:dyDescent="0.2">
      <c r="A1605" s="36" t="s">
        <v>4283</v>
      </c>
      <c r="B1605" s="27" t="s">
        <v>4284</v>
      </c>
      <c r="C1605" s="23" t="e">
        <f ca="1">[1]!BexGetData("DP_1","003N8EMH8GTFRCSWKMPXRR8GU","GSON1112110324")</f>
        <v>#NAME?</v>
      </c>
      <c r="D1605" s="23" t="e">
        <f ca="1">[1]!BexGetData("DP_1","003N8EMH8GTFRCSWKMPXRRESE","GSON1112110324")</f>
        <v>#NAME?</v>
      </c>
      <c r="E1605" s="28" t="e">
        <f ca="1">[1]!BexGetData("DP_1","003N8EMH8GTFRCSWKMPXRRL3Y","GSON1112110324")</f>
        <v>#NAME?</v>
      </c>
      <c r="F1605" s="28" t="e">
        <f ca="1">[1]!BexGetData("DP_1","003N8EMH8GTFRCSWKMPXRRRFI","GSON1112110324")</f>
        <v>#NAME?</v>
      </c>
      <c r="G1605" s="23" t="e">
        <f ca="1">[1]!BexGetData("DP_1","003N8EMH8GTFRCSWKMPXRRXR2","GSON1112110324")</f>
        <v>#NAME?</v>
      </c>
      <c r="H1605" s="23" t="e">
        <f ca="1">[1]!BexGetData("DP_1","003N8EMH8GTFRCSWKMPXRS42M","GSON1112110324")</f>
        <v>#NAME?</v>
      </c>
      <c r="I1605" s="28" t="e">
        <f ca="1">[1]!BexGetData("DP_1","003N8EMH8GTFRCSWKMPXRSAE6","GSON1112110324")</f>
        <v>#NAME?</v>
      </c>
      <c r="J1605" s="24" t="e">
        <f ca="1">[1]!BexGetData("DP_1","003N8EMH8GTFRCSWKMPXRSGPQ","GSON1112110324")</f>
        <v>#NAME?</v>
      </c>
      <c r="K1605" s="28" t="e">
        <f ca="1">[1]!BexGetData("DP_1","003N8EMH8GTFRIVNUPY288VJH","GSON1112110324")</f>
        <v>#NAME?</v>
      </c>
      <c r="L1605" s="28" t="e">
        <f ca="1">[1]!BexGetData("DP_1","003N8EMH8GTFRIVNUPY2891V1","GSON1112110324")</f>
        <v>#NAME?</v>
      </c>
      <c r="M1605" s="28" t="e">
        <f ca="1">[1]!BexGetData("DP_1","003N8EMH8GTFRIVOG7KG9IQXA","GSON1112110324")</f>
        <v>#NAME?</v>
      </c>
      <c r="N1605" s="28" t="e">
        <f ca="1">[1]!BexGetData("DP_1","003N8EMH8GTFRIVOG7KG9IX8U","GSON1112110324")</f>
        <v>#NAME?</v>
      </c>
      <c r="O1605" s="28" t="e">
        <f ca="1">[1]!BexGetData("DP_1","003N8EMH8GTFRIVOG7KG9J3KE","GSON1112110324")</f>
        <v>#NAME?</v>
      </c>
      <c r="P1605" s="28" t="e">
        <f ca="1">[1]!BexGetData("DP_1","003N8EMH8GTFRIVOG7KG9J9VY","GSON1112110324")</f>
        <v>#NAME?</v>
      </c>
      <c r="Q1605" s="24" t="e">
        <f ca="1">[1]!BexGetData("DP_1","00O2TNJGODT0G5Z4TTKYMM5MT","GSON1112110324")</f>
        <v>#NAME?</v>
      </c>
      <c r="R1605" s="28" t="e">
        <f ca="1">[1]!BexGetData("DP_1","00O2TNJGODT0G5Z4TTKYMMBYD","GSON1112110324")</f>
        <v>#NAME?</v>
      </c>
      <c r="S1605" s="28" t="e">
        <f ca="1">[1]!BexGetData("DP_1","00O2TNJGODT0G5Z4TTKYMMI9X","GSON1112110324")</f>
        <v>#NAME?</v>
      </c>
      <c r="T1605" s="28" t="e">
        <f ca="1">[1]!BexGetData("DP_1","00O2TNJGODT0G5Z4TTKYMMOLH","GSON1112110324")</f>
        <v>#NAME?</v>
      </c>
      <c r="U1605" s="28" t="e">
        <f ca="1">[1]!BexGetData("DP_1","00O2TNJGODT0G5Z4TTKYMMUX1","GSON1112110324")</f>
        <v>#NAME?</v>
      </c>
      <c r="V1605" s="28" t="e">
        <f ca="1">[1]!BexGetData("DP_1","00O2TNJGODT0G5Z4TTKYMN18L","GSON1112110324")</f>
        <v>#NAME?</v>
      </c>
      <c r="W1605" s="28" t="e">
        <f ca="1">[1]!BexGetData("DP_1","00O2TNJGODT0G5Z4TTKYMN7K5","GSON1112110324")</f>
        <v>#NAME?</v>
      </c>
    </row>
    <row r="1606" spans="1:23" x14ac:dyDescent="0.2">
      <c r="A1606" s="36" t="s">
        <v>4285</v>
      </c>
      <c r="B1606" s="27" t="s">
        <v>4286</v>
      </c>
      <c r="C1606" s="23" t="e">
        <f ca="1">[1]!BexGetData("DP_1","003N8EMH8GTFRCSWKMPXRR8GU","GSON1112110325")</f>
        <v>#NAME?</v>
      </c>
      <c r="D1606" s="23" t="e">
        <f ca="1">[1]!BexGetData("DP_1","003N8EMH8GTFRCSWKMPXRRESE","GSON1112110325")</f>
        <v>#NAME?</v>
      </c>
      <c r="E1606" s="28" t="e">
        <f ca="1">[1]!BexGetData("DP_1","003N8EMH8GTFRCSWKMPXRRL3Y","GSON1112110325")</f>
        <v>#NAME?</v>
      </c>
      <c r="F1606" s="28" t="e">
        <f ca="1">[1]!BexGetData("DP_1","003N8EMH8GTFRCSWKMPXRRRFI","GSON1112110325")</f>
        <v>#NAME?</v>
      </c>
      <c r="G1606" s="23" t="e">
        <f ca="1">[1]!BexGetData("DP_1","003N8EMH8GTFRCSWKMPXRRXR2","GSON1112110325")</f>
        <v>#NAME?</v>
      </c>
      <c r="H1606" s="23" t="e">
        <f ca="1">[1]!BexGetData("DP_1","003N8EMH8GTFRCSWKMPXRS42M","GSON1112110325")</f>
        <v>#NAME?</v>
      </c>
      <c r="I1606" s="28" t="e">
        <f ca="1">[1]!BexGetData("DP_1","003N8EMH8GTFRCSWKMPXRSAE6","GSON1112110325")</f>
        <v>#NAME?</v>
      </c>
      <c r="J1606" s="24" t="e">
        <f ca="1">[1]!BexGetData("DP_1","003N8EMH8GTFRCSWKMPXRSGPQ","GSON1112110325")</f>
        <v>#NAME?</v>
      </c>
      <c r="K1606" s="28" t="e">
        <f ca="1">[1]!BexGetData("DP_1","003N8EMH8GTFRIVNUPY288VJH","GSON1112110325")</f>
        <v>#NAME?</v>
      </c>
      <c r="L1606" s="28" t="e">
        <f ca="1">[1]!BexGetData("DP_1","003N8EMH8GTFRIVNUPY2891V1","GSON1112110325")</f>
        <v>#NAME?</v>
      </c>
      <c r="M1606" s="28" t="e">
        <f ca="1">[1]!BexGetData("DP_1","003N8EMH8GTFRIVOG7KG9IQXA","GSON1112110325")</f>
        <v>#NAME?</v>
      </c>
      <c r="N1606" s="28" t="e">
        <f ca="1">[1]!BexGetData("DP_1","003N8EMH8GTFRIVOG7KG9IX8U","GSON1112110325")</f>
        <v>#NAME?</v>
      </c>
      <c r="O1606" s="28" t="e">
        <f ca="1">[1]!BexGetData("DP_1","003N8EMH8GTFRIVOG7KG9J3KE","GSON1112110325")</f>
        <v>#NAME?</v>
      </c>
      <c r="P1606" s="28" t="e">
        <f ca="1">[1]!BexGetData("DP_1","003N8EMH8GTFRIVOG7KG9J9VY","GSON1112110325")</f>
        <v>#NAME?</v>
      </c>
      <c r="Q1606" s="24" t="e">
        <f ca="1">[1]!BexGetData("DP_1","00O2TNJGODT0G5Z4TTKYMM5MT","GSON1112110325")</f>
        <v>#NAME?</v>
      </c>
      <c r="R1606" s="28" t="e">
        <f ca="1">[1]!BexGetData("DP_1","00O2TNJGODT0G5Z4TTKYMMBYD","GSON1112110325")</f>
        <v>#NAME?</v>
      </c>
      <c r="S1606" s="28" t="e">
        <f ca="1">[1]!BexGetData("DP_1","00O2TNJGODT0G5Z4TTKYMMI9X","GSON1112110325")</f>
        <v>#NAME?</v>
      </c>
      <c r="T1606" s="28" t="e">
        <f ca="1">[1]!BexGetData("DP_1","00O2TNJGODT0G5Z4TTKYMMOLH","GSON1112110325")</f>
        <v>#NAME?</v>
      </c>
      <c r="U1606" s="28" t="e">
        <f ca="1">[1]!BexGetData("DP_1","00O2TNJGODT0G5Z4TTKYMMUX1","GSON1112110325")</f>
        <v>#NAME?</v>
      </c>
      <c r="V1606" s="28" t="e">
        <f ca="1">[1]!BexGetData("DP_1","00O2TNJGODT0G5Z4TTKYMN18L","GSON1112110325")</f>
        <v>#NAME?</v>
      </c>
      <c r="W1606" s="28" t="e">
        <f ca="1">[1]!BexGetData("DP_1","00O2TNJGODT0G5Z4TTKYMN7K5","GSON1112110325")</f>
        <v>#NAME?</v>
      </c>
    </row>
    <row r="1607" spans="1:23" x14ac:dyDescent="0.2">
      <c r="A1607" s="36" t="s">
        <v>4287</v>
      </c>
      <c r="B1607" s="27" t="s">
        <v>4288</v>
      </c>
      <c r="C1607" s="23" t="e">
        <f ca="1">[1]!BexGetData("DP_1","003N8EMH8GTFRCSWKMPXRR8GU","GSON1112110340")</f>
        <v>#NAME?</v>
      </c>
      <c r="D1607" s="23" t="e">
        <f ca="1">[1]!BexGetData("DP_1","003N8EMH8GTFRCSWKMPXRRESE","GSON1112110340")</f>
        <v>#NAME?</v>
      </c>
      <c r="E1607" s="23" t="e">
        <f ca="1">[1]!BexGetData("DP_1","003N8EMH8GTFRCSWKMPXRRL3Y","GSON1112110340")</f>
        <v>#NAME?</v>
      </c>
      <c r="F1607" s="23" t="e">
        <f ca="1">[1]!BexGetData("DP_1","003N8EMH8GTFRCSWKMPXRRRFI","GSON1112110340")</f>
        <v>#NAME?</v>
      </c>
      <c r="G1607" s="23" t="e">
        <f ca="1">[1]!BexGetData("DP_1","003N8EMH8GTFRCSWKMPXRRXR2","GSON1112110340")</f>
        <v>#NAME?</v>
      </c>
      <c r="H1607" s="23" t="e">
        <f ca="1">[1]!BexGetData("DP_1","003N8EMH8GTFRCSWKMPXRS42M","GSON1112110340")</f>
        <v>#NAME?</v>
      </c>
      <c r="I1607" s="23" t="e">
        <f ca="1">[1]!BexGetData("DP_1","003N8EMH8GTFRCSWKMPXRSAE6","GSON1112110340")</f>
        <v>#NAME?</v>
      </c>
      <c r="J1607" s="24" t="e">
        <f ca="1">[1]!BexGetData("DP_1","003N8EMH8GTFRCSWKMPXRSGPQ","GSON1112110340")</f>
        <v>#NAME?</v>
      </c>
      <c r="K1607" s="23" t="e">
        <f ca="1">[1]!BexGetData("DP_1","003N8EMH8GTFRIVNUPY288VJH","GSON1112110340")</f>
        <v>#NAME?</v>
      </c>
      <c r="L1607" s="23" t="e">
        <f ca="1">[1]!BexGetData("DP_1","003N8EMH8GTFRIVNUPY2891V1","GSON1112110340")</f>
        <v>#NAME?</v>
      </c>
      <c r="M1607" s="28" t="e">
        <f ca="1">[1]!BexGetData("DP_1","003N8EMH8GTFRIVOG7KG9IQXA","GSON1112110340")</f>
        <v>#NAME?</v>
      </c>
      <c r="N1607" s="23" t="e">
        <f ca="1">[1]!BexGetData("DP_1","003N8EMH8GTFRIVOG7KG9IX8U","GSON1112110340")</f>
        <v>#NAME?</v>
      </c>
      <c r="O1607" s="28" t="e">
        <f ca="1">[1]!BexGetData("DP_1","003N8EMH8GTFRIVOG7KG9J3KE","GSON1112110340")</f>
        <v>#NAME?</v>
      </c>
      <c r="P1607" s="23" t="e">
        <f ca="1">[1]!BexGetData("DP_1","003N8EMH8GTFRIVOG7KG9J9VY","GSON1112110340")</f>
        <v>#NAME?</v>
      </c>
      <c r="Q1607" s="24" t="e">
        <f ca="1">[1]!BexGetData("DP_1","00O2TNJGODT0G5Z4TTKYMM5MT","GSON1112110340")</f>
        <v>#NAME?</v>
      </c>
      <c r="R1607" s="23" t="e">
        <f ca="1">[1]!BexGetData("DP_1","00O2TNJGODT0G5Z4TTKYMMBYD","GSON1112110340")</f>
        <v>#NAME?</v>
      </c>
      <c r="S1607" s="23" t="e">
        <f ca="1">[1]!BexGetData("DP_1","00O2TNJGODT0G5Z4TTKYMMI9X","GSON1112110340")</f>
        <v>#NAME?</v>
      </c>
      <c r="T1607" s="28" t="e">
        <f ca="1">[1]!BexGetData("DP_1","00O2TNJGODT0G5Z4TTKYMMOLH","GSON1112110340")</f>
        <v>#NAME?</v>
      </c>
      <c r="U1607" s="23" t="e">
        <f ca="1">[1]!BexGetData("DP_1","00O2TNJGODT0G5Z4TTKYMMUX1","GSON1112110340")</f>
        <v>#NAME?</v>
      </c>
      <c r="V1607" s="28" t="e">
        <f ca="1">[1]!BexGetData("DP_1","00O2TNJGODT0G5Z4TTKYMN18L","GSON1112110340")</f>
        <v>#NAME?</v>
      </c>
      <c r="W1607" s="23" t="e">
        <f ca="1">[1]!BexGetData("DP_1","00O2TNJGODT0G5Z4TTKYMN7K5","GSON1112110340")</f>
        <v>#NAME?</v>
      </c>
    </row>
    <row r="1608" spans="1:23" x14ac:dyDescent="0.2">
      <c r="A1608" s="36" t="s">
        <v>4289</v>
      </c>
      <c r="B1608" s="27" t="s">
        <v>4290</v>
      </c>
      <c r="C1608" s="23" t="e">
        <f ca="1">[1]!BexGetData("DP_1","003N8EMH8GTFRCSWKMPXRR8GU","GSON1112110341")</f>
        <v>#NAME?</v>
      </c>
      <c r="D1608" s="23" t="e">
        <f ca="1">[1]!BexGetData("DP_1","003N8EMH8GTFRCSWKMPXRRESE","GSON1112110341")</f>
        <v>#NAME?</v>
      </c>
      <c r="E1608" s="23" t="e">
        <f ca="1">[1]!BexGetData("DP_1","003N8EMH8GTFRCSWKMPXRRL3Y","GSON1112110341")</f>
        <v>#NAME?</v>
      </c>
      <c r="F1608" s="23" t="e">
        <f ca="1">[1]!BexGetData("DP_1","003N8EMH8GTFRCSWKMPXRRRFI","GSON1112110341")</f>
        <v>#NAME?</v>
      </c>
      <c r="G1608" s="23" t="e">
        <f ca="1">[1]!BexGetData("DP_1","003N8EMH8GTFRCSWKMPXRRXR2","GSON1112110341")</f>
        <v>#NAME?</v>
      </c>
      <c r="H1608" s="23" t="e">
        <f ca="1">[1]!BexGetData("DP_1","003N8EMH8GTFRCSWKMPXRS42M","GSON1112110341")</f>
        <v>#NAME?</v>
      </c>
      <c r="I1608" s="23" t="e">
        <f ca="1">[1]!BexGetData("DP_1","003N8EMH8GTFRCSWKMPXRSAE6","GSON1112110341")</f>
        <v>#NAME?</v>
      </c>
      <c r="J1608" s="24" t="e">
        <f ca="1">[1]!BexGetData("DP_1","003N8EMH8GTFRCSWKMPXRSGPQ","GSON1112110341")</f>
        <v>#NAME?</v>
      </c>
      <c r="K1608" s="23" t="e">
        <f ca="1">[1]!BexGetData("DP_1","003N8EMH8GTFRIVNUPY288VJH","GSON1112110341")</f>
        <v>#NAME?</v>
      </c>
      <c r="L1608" s="23" t="e">
        <f ca="1">[1]!BexGetData("DP_1","003N8EMH8GTFRIVNUPY2891V1","GSON1112110341")</f>
        <v>#NAME?</v>
      </c>
      <c r="M1608" s="28" t="e">
        <f ca="1">[1]!BexGetData("DP_1","003N8EMH8GTFRIVOG7KG9IQXA","GSON1112110341")</f>
        <v>#NAME?</v>
      </c>
      <c r="N1608" s="23" t="e">
        <f ca="1">[1]!BexGetData("DP_1","003N8EMH8GTFRIVOG7KG9IX8U","GSON1112110341")</f>
        <v>#NAME?</v>
      </c>
      <c r="O1608" s="28" t="e">
        <f ca="1">[1]!BexGetData("DP_1","003N8EMH8GTFRIVOG7KG9J3KE","GSON1112110341")</f>
        <v>#NAME?</v>
      </c>
      <c r="P1608" s="23" t="e">
        <f ca="1">[1]!BexGetData("DP_1","003N8EMH8GTFRIVOG7KG9J9VY","GSON1112110341")</f>
        <v>#NAME?</v>
      </c>
      <c r="Q1608" s="24" t="e">
        <f ca="1">[1]!BexGetData("DP_1","00O2TNJGODT0G5Z4TTKYMM5MT","GSON1112110341")</f>
        <v>#NAME?</v>
      </c>
      <c r="R1608" s="23" t="e">
        <f ca="1">[1]!BexGetData("DP_1","00O2TNJGODT0G5Z4TTKYMMBYD","GSON1112110341")</f>
        <v>#NAME?</v>
      </c>
      <c r="S1608" s="23" t="e">
        <f ca="1">[1]!BexGetData("DP_1","00O2TNJGODT0G5Z4TTKYMMI9X","GSON1112110341")</f>
        <v>#NAME?</v>
      </c>
      <c r="T1608" s="28" t="e">
        <f ca="1">[1]!BexGetData("DP_1","00O2TNJGODT0G5Z4TTKYMMOLH","GSON1112110341")</f>
        <v>#NAME?</v>
      </c>
      <c r="U1608" s="23" t="e">
        <f ca="1">[1]!BexGetData("DP_1","00O2TNJGODT0G5Z4TTKYMMUX1","GSON1112110341")</f>
        <v>#NAME?</v>
      </c>
      <c r="V1608" s="28" t="e">
        <f ca="1">[1]!BexGetData("DP_1","00O2TNJGODT0G5Z4TTKYMN18L","GSON1112110341")</f>
        <v>#NAME?</v>
      </c>
      <c r="W1608" s="23" t="e">
        <f ca="1">[1]!BexGetData("DP_1","00O2TNJGODT0G5Z4TTKYMN7K5","GSON1112110341")</f>
        <v>#NAME?</v>
      </c>
    </row>
    <row r="1609" spans="1:23" x14ac:dyDescent="0.2">
      <c r="A1609" s="36" t="s">
        <v>4291</v>
      </c>
      <c r="B1609" s="27" t="s">
        <v>4292</v>
      </c>
      <c r="C1609" s="23" t="e">
        <f ca="1">[1]!BexGetData("DP_1","003N8EMH8GTFRCSWKMPXRR8GU","GSON1112110343")</f>
        <v>#NAME?</v>
      </c>
      <c r="D1609" s="23" t="e">
        <f ca="1">[1]!BexGetData("DP_1","003N8EMH8GTFRCSWKMPXRRESE","GSON1112110343")</f>
        <v>#NAME?</v>
      </c>
      <c r="E1609" s="28" t="e">
        <f ca="1">[1]!BexGetData("DP_1","003N8EMH8GTFRCSWKMPXRRL3Y","GSON1112110343")</f>
        <v>#NAME?</v>
      </c>
      <c r="F1609" s="28" t="e">
        <f ca="1">[1]!BexGetData("DP_1","003N8EMH8GTFRCSWKMPXRRRFI","GSON1112110343")</f>
        <v>#NAME?</v>
      </c>
      <c r="G1609" s="23" t="e">
        <f ca="1">[1]!BexGetData("DP_1","003N8EMH8GTFRCSWKMPXRRXR2","GSON1112110343")</f>
        <v>#NAME?</v>
      </c>
      <c r="H1609" s="23" t="e">
        <f ca="1">[1]!BexGetData("DP_1","003N8EMH8GTFRCSWKMPXRS42M","GSON1112110343")</f>
        <v>#NAME?</v>
      </c>
      <c r="I1609" s="28" t="e">
        <f ca="1">[1]!BexGetData("DP_1","003N8EMH8GTFRCSWKMPXRSAE6","GSON1112110343")</f>
        <v>#NAME?</v>
      </c>
      <c r="J1609" s="24" t="e">
        <f ca="1">[1]!BexGetData("DP_1","003N8EMH8GTFRCSWKMPXRSGPQ","GSON1112110343")</f>
        <v>#NAME?</v>
      </c>
      <c r="K1609" s="28" t="e">
        <f ca="1">[1]!BexGetData("DP_1","003N8EMH8GTFRIVNUPY288VJH","GSON1112110343")</f>
        <v>#NAME?</v>
      </c>
      <c r="L1609" s="28" t="e">
        <f ca="1">[1]!BexGetData("DP_1","003N8EMH8GTFRIVNUPY2891V1","GSON1112110343")</f>
        <v>#NAME?</v>
      </c>
      <c r="M1609" s="28" t="e">
        <f ca="1">[1]!BexGetData("DP_1","003N8EMH8GTFRIVOG7KG9IQXA","GSON1112110343")</f>
        <v>#NAME?</v>
      </c>
      <c r="N1609" s="28" t="e">
        <f ca="1">[1]!BexGetData("DP_1","003N8EMH8GTFRIVOG7KG9IX8U","GSON1112110343")</f>
        <v>#NAME?</v>
      </c>
      <c r="O1609" s="28" t="e">
        <f ca="1">[1]!BexGetData("DP_1","003N8EMH8GTFRIVOG7KG9J3KE","GSON1112110343")</f>
        <v>#NAME?</v>
      </c>
      <c r="P1609" s="28" t="e">
        <f ca="1">[1]!BexGetData("DP_1","003N8EMH8GTFRIVOG7KG9J9VY","GSON1112110343")</f>
        <v>#NAME?</v>
      </c>
      <c r="Q1609" s="24" t="e">
        <f ca="1">[1]!BexGetData("DP_1","00O2TNJGODT0G5Z4TTKYMM5MT","GSON1112110343")</f>
        <v>#NAME?</v>
      </c>
      <c r="R1609" s="28" t="e">
        <f ca="1">[1]!BexGetData("DP_1","00O2TNJGODT0G5Z4TTKYMMBYD","GSON1112110343")</f>
        <v>#NAME?</v>
      </c>
      <c r="S1609" s="28" t="e">
        <f ca="1">[1]!BexGetData("DP_1","00O2TNJGODT0G5Z4TTKYMMI9X","GSON1112110343")</f>
        <v>#NAME?</v>
      </c>
      <c r="T1609" s="28" t="e">
        <f ca="1">[1]!BexGetData("DP_1","00O2TNJGODT0G5Z4TTKYMMOLH","GSON1112110343")</f>
        <v>#NAME?</v>
      </c>
      <c r="U1609" s="28" t="e">
        <f ca="1">[1]!BexGetData("DP_1","00O2TNJGODT0G5Z4TTKYMMUX1","GSON1112110343")</f>
        <v>#NAME?</v>
      </c>
      <c r="V1609" s="28" t="e">
        <f ca="1">[1]!BexGetData("DP_1","00O2TNJGODT0G5Z4TTKYMN18L","GSON1112110343")</f>
        <v>#NAME?</v>
      </c>
      <c r="W1609" s="28" t="e">
        <f ca="1">[1]!BexGetData("DP_1","00O2TNJGODT0G5Z4TTKYMN7K5","GSON1112110343")</f>
        <v>#NAME?</v>
      </c>
    </row>
    <row r="1610" spans="1:23" x14ac:dyDescent="0.2">
      <c r="A1610" s="36" t="s">
        <v>4293</v>
      </c>
      <c r="B1610" s="27" t="s">
        <v>4294</v>
      </c>
      <c r="C1610" s="23" t="e">
        <f ca="1">[1]!BexGetData("DP_1","003N8EMH8GTFRCSWKMPXRR8GU","GSON1112110344")</f>
        <v>#NAME?</v>
      </c>
      <c r="D1610" s="23" t="e">
        <f ca="1">[1]!BexGetData("DP_1","003N8EMH8GTFRCSWKMPXRRESE","GSON1112110344")</f>
        <v>#NAME?</v>
      </c>
      <c r="E1610" s="28" t="e">
        <f ca="1">[1]!BexGetData("DP_1","003N8EMH8GTFRCSWKMPXRRL3Y","GSON1112110344")</f>
        <v>#NAME?</v>
      </c>
      <c r="F1610" s="23" t="e">
        <f ca="1">[1]!BexGetData("DP_1","003N8EMH8GTFRCSWKMPXRRRFI","GSON1112110344")</f>
        <v>#NAME?</v>
      </c>
      <c r="G1610" s="23" t="e">
        <f ca="1">[1]!BexGetData("DP_1","003N8EMH8GTFRCSWKMPXRRXR2","GSON1112110344")</f>
        <v>#NAME?</v>
      </c>
      <c r="H1610" s="23" t="e">
        <f ca="1">[1]!BexGetData("DP_1","003N8EMH8GTFRCSWKMPXRS42M","GSON1112110344")</f>
        <v>#NAME?</v>
      </c>
      <c r="I1610" s="23" t="e">
        <f ca="1">[1]!BexGetData("DP_1","003N8EMH8GTFRCSWKMPXRSAE6","GSON1112110344")</f>
        <v>#NAME?</v>
      </c>
      <c r="J1610" s="24" t="e">
        <f ca="1">[1]!BexGetData("DP_1","003N8EMH8GTFRCSWKMPXRSGPQ","GSON1112110344")</f>
        <v>#NAME?</v>
      </c>
      <c r="K1610" s="23" t="e">
        <f ca="1">[1]!BexGetData("DP_1","003N8EMH8GTFRIVNUPY288VJH","GSON1112110344")</f>
        <v>#NAME?</v>
      </c>
      <c r="L1610" s="23" t="e">
        <f ca="1">[1]!BexGetData("DP_1","003N8EMH8GTFRIVNUPY2891V1","GSON1112110344")</f>
        <v>#NAME?</v>
      </c>
      <c r="M1610" s="23" t="e">
        <f ca="1">[1]!BexGetData("DP_1","003N8EMH8GTFRIVOG7KG9IQXA","GSON1112110344")</f>
        <v>#NAME?</v>
      </c>
      <c r="N1610" s="28" t="e">
        <f ca="1">[1]!BexGetData("DP_1","003N8EMH8GTFRIVOG7KG9IX8U","GSON1112110344")</f>
        <v>#NAME?</v>
      </c>
      <c r="O1610" s="23" t="e">
        <f ca="1">[1]!BexGetData("DP_1","003N8EMH8GTFRIVOG7KG9J3KE","GSON1112110344")</f>
        <v>#NAME?</v>
      </c>
      <c r="P1610" s="28" t="e">
        <f ca="1">[1]!BexGetData("DP_1","003N8EMH8GTFRIVOG7KG9J9VY","GSON1112110344")</f>
        <v>#NAME?</v>
      </c>
      <c r="Q1610" s="24" t="e">
        <f ca="1">[1]!BexGetData("DP_1","00O2TNJGODT0G5Z4TTKYMM5MT","GSON1112110344")</f>
        <v>#NAME?</v>
      </c>
      <c r="R1610" s="23" t="e">
        <f ca="1">[1]!BexGetData("DP_1","00O2TNJGODT0G5Z4TTKYMMBYD","GSON1112110344")</f>
        <v>#NAME?</v>
      </c>
      <c r="S1610" s="23" t="e">
        <f ca="1">[1]!BexGetData("DP_1","00O2TNJGODT0G5Z4TTKYMMI9X","GSON1112110344")</f>
        <v>#NAME?</v>
      </c>
      <c r="T1610" s="28" t="e">
        <f ca="1">[1]!BexGetData("DP_1","00O2TNJGODT0G5Z4TTKYMMOLH","GSON1112110344")</f>
        <v>#NAME?</v>
      </c>
      <c r="U1610" s="23" t="e">
        <f ca="1">[1]!BexGetData("DP_1","00O2TNJGODT0G5Z4TTKYMMUX1","GSON1112110344")</f>
        <v>#NAME?</v>
      </c>
      <c r="V1610" s="28" t="e">
        <f ca="1">[1]!BexGetData("DP_1","00O2TNJGODT0G5Z4TTKYMN18L","GSON1112110344")</f>
        <v>#NAME?</v>
      </c>
      <c r="W1610" s="23" t="e">
        <f ca="1">[1]!BexGetData("DP_1","00O2TNJGODT0G5Z4TTKYMN7K5","GSON1112110344")</f>
        <v>#NAME?</v>
      </c>
    </row>
    <row r="1611" spans="1:23" x14ac:dyDescent="0.2">
      <c r="A1611" s="36" t="s">
        <v>4295</v>
      </c>
      <c r="B1611" s="27" t="s">
        <v>4296</v>
      </c>
      <c r="C1611" s="23" t="e">
        <f ca="1">[1]!BexGetData("DP_1","003N8EMH8GTFRCSWKMPXRR8GU","GSON1112110345")</f>
        <v>#NAME?</v>
      </c>
      <c r="D1611" s="23" t="e">
        <f ca="1">[1]!BexGetData("DP_1","003N8EMH8GTFRCSWKMPXRRESE","GSON1112110345")</f>
        <v>#NAME?</v>
      </c>
      <c r="E1611" s="28" t="e">
        <f ca="1">[1]!BexGetData("DP_1","003N8EMH8GTFRCSWKMPXRRL3Y","GSON1112110345")</f>
        <v>#NAME?</v>
      </c>
      <c r="F1611" s="23" t="e">
        <f ca="1">[1]!BexGetData("DP_1","003N8EMH8GTFRCSWKMPXRRRFI","GSON1112110345")</f>
        <v>#NAME?</v>
      </c>
      <c r="G1611" s="23" t="e">
        <f ca="1">[1]!BexGetData("DP_1","003N8EMH8GTFRCSWKMPXRRXR2","GSON1112110345")</f>
        <v>#NAME?</v>
      </c>
      <c r="H1611" s="23" t="e">
        <f ca="1">[1]!BexGetData("DP_1","003N8EMH8GTFRCSWKMPXRS42M","GSON1112110345")</f>
        <v>#NAME?</v>
      </c>
      <c r="I1611" s="23" t="e">
        <f ca="1">[1]!BexGetData("DP_1","003N8EMH8GTFRCSWKMPXRSAE6","GSON1112110345")</f>
        <v>#NAME?</v>
      </c>
      <c r="J1611" s="24" t="e">
        <f ca="1">[1]!BexGetData("DP_1","003N8EMH8GTFRCSWKMPXRSGPQ","GSON1112110345")</f>
        <v>#NAME?</v>
      </c>
      <c r="K1611" s="23" t="e">
        <f ca="1">[1]!BexGetData("DP_1","003N8EMH8GTFRIVNUPY288VJH","GSON1112110345")</f>
        <v>#NAME?</v>
      </c>
      <c r="L1611" s="23" t="e">
        <f ca="1">[1]!BexGetData("DP_1","003N8EMH8GTFRIVNUPY2891V1","GSON1112110345")</f>
        <v>#NAME?</v>
      </c>
      <c r="M1611" s="28" t="e">
        <f ca="1">[1]!BexGetData("DP_1","003N8EMH8GTFRIVOG7KG9IQXA","GSON1112110345")</f>
        <v>#NAME?</v>
      </c>
      <c r="N1611" s="23" t="e">
        <f ca="1">[1]!BexGetData("DP_1","003N8EMH8GTFRIVOG7KG9IX8U","GSON1112110345")</f>
        <v>#NAME?</v>
      </c>
      <c r="O1611" s="28" t="e">
        <f ca="1">[1]!BexGetData("DP_1","003N8EMH8GTFRIVOG7KG9J3KE","GSON1112110345")</f>
        <v>#NAME?</v>
      </c>
      <c r="P1611" s="23" t="e">
        <f ca="1">[1]!BexGetData("DP_1","003N8EMH8GTFRIVOG7KG9J9VY","GSON1112110345")</f>
        <v>#NAME?</v>
      </c>
      <c r="Q1611" s="24" t="e">
        <f ca="1">[1]!BexGetData("DP_1","00O2TNJGODT0G5Z4TTKYMM5MT","GSON1112110345")</f>
        <v>#NAME?</v>
      </c>
      <c r="R1611" s="23" t="e">
        <f ca="1">[1]!BexGetData("DP_1","00O2TNJGODT0G5Z4TTKYMMBYD","GSON1112110345")</f>
        <v>#NAME?</v>
      </c>
      <c r="S1611" s="23" t="e">
        <f ca="1">[1]!BexGetData("DP_1","00O2TNJGODT0G5Z4TTKYMMI9X","GSON1112110345")</f>
        <v>#NAME?</v>
      </c>
      <c r="T1611" s="23" t="e">
        <f ca="1">[1]!BexGetData("DP_1","00O2TNJGODT0G5Z4TTKYMMOLH","GSON1112110345")</f>
        <v>#NAME?</v>
      </c>
      <c r="U1611" s="28" t="e">
        <f ca="1">[1]!BexGetData("DP_1","00O2TNJGODT0G5Z4TTKYMMUX1","GSON1112110345")</f>
        <v>#NAME?</v>
      </c>
      <c r="V1611" s="23" t="e">
        <f ca="1">[1]!BexGetData("DP_1","00O2TNJGODT0G5Z4TTKYMN18L","GSON1112110345")</f>
        <v>#NAME?</v>
      </c>
      <c r="W1611" s="28" t="e">
        <f ca="1">[1]!BexGetData("DP_1","00O2TNJGODT0G5Z4TTKYMN7K5","GSON1112110345")</f>
        <v>#NAME?</v>
      </c>
    </row>
    <row r="1612" spans="1:23" x14ac:dyDescent="0.2">
      <c r="A1612" s="36" t="s">
        <v>4297</v>
      </c>
      <c r="B1612" s="27" t="s">
        <v>4298</v>
      </c>
      <c r="C1612" s="23" t="e">
        <f ca="1">[1]!BexGetData("DP_1","003N8EMH8GTFRCSWKMPXRR8GU","GSON1112110350")</f>
        <v>#NAME?</v>
      </c>
      <c r="D1612" s="23" t="e">
        <f ca="1">[1]!BexGetData("DP_1","003N8EMH8GTFRCSWKMPXRRESE","GSON1112110350")</f>
        <v>#NAME?</v>
      </c>
      <c r="E1612" s="28" t="e">
        <f ca="1">[1]!BexGetData("DP_1","003N8EMH8GTFRCSWKMPXRRL3Y","GSON1112110350")</f>
        <v>#NAME?</v>
      </c>
      <c r="F1612" s="23" t="e">
        <f ca="1">[1]!BexGetData("DP_1","003N8EMH8GTFRCSWKMPXRRRFI","GSON1112110350")</f>
        <v>#NAME?</v>
      </c>
      <c r="G1612" s="23" t="e">
        <f ca="1">[1]!BexGetData("DP_1","003N8EMH8GTFRCSWKMPXRRXR2","GSON1112110350")</f>
        <v>#NAME?</v>
      </c>
      <c r="H1612" s="23" t="e">
        <f ca="1">[1]!BexGetData("DP_1","003N8EMH8GTFRCSWKMPXRS42M","GSON1112110350")</f>
        <v>#NAME?</v>
      </c>
      <c r="I1612" s="23" t="e">
        <f ca="1">[1]!BexGetData("DP_1","003N8EMH8GTFRCSWKMPXRSAE6","GSON1112110350")</f>
        <v>#NAME?</v>
      </c>
      <c r="J1612" s="24" t="e">
        <f ca="1">[1]!BexGetData("DP_1","003N8EMH8GTFRCSWKMPXRSGPQ","GSON1112110350")</f>
        <v>#NAME?</v>
      </c>
      <c r="K1612" s="23" t="e">
        <f ca="1">[1]!BexGetData("DP_1","003N8EMH8GTFRIVNUPY288VJH","GSON1112110350")</f>
        <v>#NAME?</v>
      </c>
      <c r="L1612" s="23" t="e">
        <f ca="1">[1]!BexGetData("DP_1","003N8EMH8GTFRIVNUPY2891V1","GSON1112110350")</f>
        <v>#NAME?</v>
      </c>
      <c r="M1612" s="23" t="e">
        <f ca="1">[1]!BexGetData("DP_1","003N8EMH8GTFRIVOG7KG9IQXA","GSON1112110350")</f>
        <v>#NAME?</v>
      </c>
      <c r="N1612" s="28" t="e">
        <f ca="1">[1]!BexGetData("DP_1","003N8EMH8GTFRIVOG7KG9IX8U","GSON1112110350")</f>
        <v>#NAME?</v>
      </c>
      <c r="O1612" s="23" t="e">
        <f ca="1">[1]!BexGetData("DP_1","003N8EMH8GTFRIVOG7KG9J3KE","GSON1112110350")</f>
        <v>#NAME?</v>
      </c>
      <c r="P1612" s="28" t="e">
        <f ca="1">[1]!BexGetData("DP_1","003N8EMH8GTFRIVOG7KG9J9VY","GSON1112110350")</f>
        <v>#NAME?</v>
      </c>
      <c r="Q1612" s="24" t="e">
        <f ca="1">[1]!BexGetData("DP_1","00O2TNJGODT0G5Z4TTKYMM5MT","GSON1112110350")</f>
        <v>#NAME?</v>
      </c>
      <c r="R1612" s="23" t="e">
        <f ca="1">[1]!BexGetData("DP_1","00O2TNJGODT0G5Z4TTKYMMBYD","GSON1112110350")</f>
        <v>#NAME?</v>
      </c>
      <c r="S1612" s="23" t="e">
        <f ca="1">[1]!BexGetData("DP_1","00O2TNJGODT0G5Z4TTKYMMI9X","GSON1112110350")</f>
        <v>#NAME?</v>
      </c>
      <c r="T1612" s="28" t="e">
        <f ca="1">[1]!BexGetData("DP_1","00O2TNJGODT0G5Z4TTKYMMOLH","GSON1112110350")</f>
        <v>#NAME?</v>
      </c>
      <c r="U1612" s="23" t="e">
        <f ca="1">[1]!BexGetData("DP_1","00O2TNJGODT0G5Z4TTKYMMUX1","GSON1112110350")</f>
        <v>#NAME?</v>
      </c>
      <c r="V1612" s="28" t="e">
        <f ca="1">[1]!BexGetData("DP_1","00O2TNJGODT0G5Z4TTKYMN18L","GSON1112110350")</f>
        <v>#NAME?</v>
      </c>
      <c r="W1612" s="23" t="e">
        <f ca="1">[1]!BexGetData("DP_1","00O2TNJGODT0G5Z4TTKYMN7K5","GSON1112110350")</f>
        <v>#NAME?</v>
      </c>
    </row>
    <row r="1613" spans="1:23" x14ac:dyDescent="0.2">
      <c r="A1613" s="36" t="s">
        <v>4299</v>
      </c>
      <c r="B1613" s="27" t="s">
        <v>4300</v>
      </c>
      <c r="C1613" s="28" t="e">
        <f ca="1">[1]!BexGetData("DP_1","003N8EMH8GTFRCSWKMPXRR8GU","GSON1112110351")</f>
        <v>#NAME?</v>
      </c>
      <c r="D1613" s="28" t="e">
        <f ca="1">[1]!BexGetData("DP_1","003N8EMH8GTFRCSWKMPXRRESE","GSON1112110351")</f>
        <v>#NAME?</v>
      </c>
      <c r="E1613" s="28" t="e">
        <f ca="1">[1]!BexGetData("DP_1","003N8EMH8GTFRCSWKMPXRRL3Y","GSON1112110351")</f>
        <v>#NAME?</v>
      </c>
      <c r="F1613" s="28" t="e">
        <f ca="1">[1]!BexGetData("DP_1","003N8EMH8GTFRCSWKMPXRRRFI","GSON1112110351")</f>
        <v>#NAME?</v>
      </c>
      <c r="G1613" s="23" t="e">
        <f ca="1">[1]!BexGetData("DP_1","003N8EMH8GTFRCSWKMPXRRXR2","GSON1112110351")</f>
        <v>#NAME?</v>
      </c>
      <c r="H1613" s="23" t="e">
        <f ca="1">[1]!BexGetData("DP_1","003N8EMH8GTFRCSWKMPXRS42M","GSON1112110351")</f>
        <v>#NAME?</v>
      </c>
      <c r="I1613" s="28" t="e">
        <f ca="1">[1]!BexGetData("DP_1","003N8EMH8GTFRCSWKMPXRSAE6","GSON1112110351")</f>
        <v>#NAME?</v>
      </c>
      <c r="J1613" s="24" t="e">
        <f ca="1">[1]!BexGetData("DP_1","003N8EMH8GTFRCSWKMPXRSGPQ","GSON1112110351")</f>
        <v>#NAME?</v>
      </c>
      <c r="K1613" s="28" t="e">
        <f ca="1">[1]!BexGetData("DP_1","003N8EMH8GTFRIVNUPY288VJH","GSON1112110351")</f>
        <v>#NAME?</v>
      </c>
      <c r="L1613" s="28" t="e">
        <f ca="1">[1]!BexGetData("DP_1","003N8EMH8GTFRIVNUPY2891V1","GSON1112110351")</f>
        <v>#NAME?</v>
      </c>
      <c r="M1613" s="28" t="e">
        <f ca="1">[1]!BexGetData("DP_1","003N8EMH8GTFRIVOG7KG9IQXA","GSON1112110351")</f>
        <v>#NAME?</v>
      </c>
      <c r="N1613" s="28" t="e">
        <f ca="1">[1]!BexGetData("DP_1","003N8EMH8GTFRIVOG7KG9IX8U","GSON1112110351")</f>
        <v>#NAME?</v>
      </c>
      <c r="O1613" s="28" t="e">
        <f ca="1">[1]!BexGetData("DP_1","003N8EMH8GTFRIVOG7KG9J3KE","GSON1112110351")</f>
        <v>#NAME?</v>
      </c>
      <c r="P1613" s="28" t="e">
        <f ca="1">[1]!BexGetData("DP_1","003N8EMH8GTFRIVOG7KG9J9VY","GSON1112110351")</f>
        <v>#NAME?</v>
      </c>
      <c r="Q1613" s="24" t="e">
        <f ca="1">[1]!BexGetData("DP_1","00O2TNJGODT0G5Z4TTKYMM5MT","GSON1112110351")</f>
        <v>#NAME?</v>
      </c>
      <c r="R1613" s="28" t="e">
        <f ca="1">[1]!BexGetData("DP_1","00O2TNJGODT0G5Z4TTKYMMBYD","GSON1112110351")</f>
        <v>#NAME?</v>
      </c>
      <c r="S1613" s="28" t="e">
        <f ca="1">[1]!BexGetData("DP_1","00O2TNJGODT0G5Z4TTKYMMI9X","GSON1112110351")</f>
        <v>#NAME?</v>
      </c>
      <c r="T1613" s="28" t="e">
        <f ca="1">[1]!BexGetData("DP_1","00O2TNJGODT0G5Z4TTKYMMOLH","GSON1112110351")</f>
        <v>#NAME?</v>
      </c>
      <c r="U1613" s="28" t="e">
        <f ca="1">[1]!BexGetData("DP_1","00O2TNJGODT0G5Z4TTKYMMUX1","GSON1112110351")</f>
        <v>#NAME?</v>
      </c>
      <c r="V1613" s="28" t="e">
        <f ca="1">[1]!BexGetData("DP_1","00O2TNJGODT0G5Z4TTKYMN18L","GSON1112110351")</f>
        <v>#NAME?</v>
      </c>
      <c r="W1613" s="28" t="e">
        <f ca="1">[1]!BexGetData("DP_1","00O2TNJGODT0G5Z4TTKYMN7K5","GSON1112110351")</f>
        <v>#NAME?</v>
      </c>
    </row>
    <row r="1614" spans="1:23" x14ac:dyDescent="0.2">
      <c r="A1614" s="36" t="s">
        <v>4301</v>
      </c>
      <c r="B1614" s="27" t="s">
        <v>4302</v>
      </c>
      <c r="C1614" s="23" t="e">
        <f ca="1">[1]!BexGetData("DP_1","003N8EMH8GTFRCSWKMPXRR8GU","GSON1112110353")</f>
        <v>#NAME?</v>
      </c>
      <c r="D1614" s="23" t="e">
        <f ca="1">[1]!BexGetData("DP_1","003N8EMH8GTFRCSWKMPXRRESE","GSON1112110353")</f>
        <v>#NAME?</v>
      </c>
      <c r="E1614" s="28" t="e">
        <f ca="1">[1]!BexGetData("DP_1","003N8EMH8GTFRCSWKMPXRRL3Y","GSON1112110353")</f>
        <v>#NAME?</v>
      </c>
      <c r="F1614" s="28" t="e">
        <f ca="1">[1]!BexGetData("DP_1","003N8EMH8GTFRCSWKMPXRRRFI","GSON1112110353")</f>
        <v>#NAME?</v>
      </c>
      <c r="G1614" s="23" t="e">
        <f ca="1">[1]!BexGetData("DP_1","003N8EMH8GTFRCSWKMPXRRXR2","GSON1112110353")</f>
        <v>#NAME?</v>
      </c>
      <c r="H1614" s="23" t="e">
        <f ca="1">[1]!BexGetData("DP_1","003N8EMH8GTFRCSWKMPXRS42M","GSON1112110353")</f>
        <v>#NAME?</v>
      </c>
      <c r="I1614" s="28" t="e">
        <f ca="1">[1]!BexGetData("DP_1","003N8EMH8GTFRCSWKMPXRSAE6","GSON1112110353")</f>
        <v>#NAME?</v>
      </c>
      <c r="J1614" s="24" t="e">
        <f ca="1">[1]!BexGetData("DP_1","003N8EMH8GTFRCSWKMPXRSGPQ","GSON1112110353")</f>
        <v>#NAME?</v>
      </c>
      <c r="K1614" s="28" t="e">
        <f ca="1">[1]!BexGetData("DP_1","003N8EMH8GTFRIVNUPY288VJH","GSON1112110353")</f>
        <v>#NAME?</v>
      </c>
      <c r="L1614" s="28" t="e">
        <f ca="1">[1]!BexGetData("DP_1","003N8EMH8GTFRIVNUPY2891V1","GSON1112110353")</f>
        <v>#NAME?</v>
      </c>
      <c r="M1614" s="28" t="e">
        <f ca="1">[1]!BexGetData("DP_1","003N8EMH8GTFRIVOG7KG9IQXA","GSON1112110353")</f>
        <v>#NAME?</v>
      </c>
      <c r="N1614" s="28" t="e">
        <f ca="1">[1]!BexGetData("DP_1","003N8EMH8GTFRIVOG7KG9IX8U","GSON1112110353")</f>
        <v>#NAME?</v>
      </c>
      <c r="O1614" s="28" t="e">
        <f ca="1">[1]!BexGetData("DP_1","003N8EMH8GTFRIVOG7KG9J3KE","GSON1112110353")</f>
        <v>#NAME?</v>
      </c>
      <c r="P1614" s="28" t="e">
        <f ca="1">[1]!BexGetData("DP_1","003N8EMH8GTFRIVOG7KG9J9VY","GSON1112110353")</f>
        <v>#NAME?</v>
      </c>
      <c r="Q1614" s="24" t="e">
        <f ca="1">[1]!BexGetData("DP_1","00O2TNJGODT0G5Z4TTKYMM5MT","GSON1112110353")</f>
        <v>#NAME?</v>
      </c>
      <c r="R1614" s="28" t="e">
        <f ca="1">[1]!BexGetData("DP_1","00O2TNJGODT0G5Z4TTKYMMBYD","GSON1112110353")</f>
        <v>#NAME?</v>
      </c>
      <c r="S1614" s="28" t="e">
        <f ca="1">[1]!BexGetData("DP_1","00O2TNJGODT0G5Z4TTKYMMI9X","GSON1112110353")</f>
        <v>#NAME?</v>
      </c>
      <c r="T1614" s="28" t="e">
        <f ca="1">[1]!BexGetData("DP_1","00O2TNJGODT0G5Z4TTKYMMOLH","GSON1112110353")</f>
        <v>#NAME?</v>
      </c>
      <c r="U1614" s="28" t="e">
        <f ca="1">[1]!BexGetData("DP_1","00O2TNJGODT0G5Z4TTKYMMUX1","GSON1112110353")</f>
        <v>#NAME?</v>
      </c>
      <c r="V1614" s="28" t="e">
        <f ca="1">[1]!BexGetData("DP_1","00O2TNJGODT0G5Z4TTKYMN18L","GSON1112110353")</f>
        <v>#NAME?</v>
      </c>
      <c r="W1614" s="28" t="e">
        <f ca="1">[1]!BexGetData("DP_1","00O2TNJGODT0G5Z4TTKYMN7K5","GSON1112110353")</f>
        <v>#NAME?</v>
      </c>
    </row>
    <row r="1615" spans="1:23" x14ac:dyDescent="0.2">
      <c r="A1615" s="36" t="s">
        <v>4303</v>
      </c>
      <c r="B1615" s="27" t="s">
        <v>4304</v>
      </c>
      <c r="C1615" s="23" t="e">
        <f ca="1">[1]!BexGetData("DP_1","003N8EMH8GTFRCSWKMPXRR8GU","GSON1112110354")</f>
        <v>#NAME?</v>
      </c>
      <c r="D1615" s="23" t="e">
        <f ca="1">[1]!BexGetData("DP_1","003N8EMH8GTFRCSWKMPXRRESE","GSON1112110354")</f>
        <v>#NAME?</v>
      </c>
      <c r="E1615" s="28" t="e">
        <f ca="1">[1]!BexGetData("DP_1","003N8EMH8GTFRCSWKMPXRRL3Y","GSON1112110354")</f>
        <v>#NAME?</v>
      </c>
      <c r="F1615" s="28" t="e">
        <f ca="1">[1]!BexGetData("DP_1","003N8EMH8GTFRCSWKMPXRRRFI","GSON1112110354")</f>
        <v>#NAME?</v>
      </c>
      <c r="G1615" s="23" t="e">
        <f ca="1">[1]!BexGetData("DP_1","003N8EMH8GTFRCSWKMPXRRXR2","GSON1112110354")</f>
        <v>#NAME?</v>
      </c>
      <c r="H1615" s="23" t="e">
        <f ca="1">[1]!BexGetData("DP_1","003N8EMH8GTFRCSWKMPXRS42M","GSON1112110354")</f>
        <v>#NAME?</v>
      </c>
      <c r="I1615" s="28" t="e">
        <f ca="1">[1]!BexGetData("DP_1","003N8EMH8GTFRCSWKMPXRSAE6","GSON1112110354")</f>
        <v>#NAME?</v>
      </c>
      <c r="J1615" s="24" t="e">
        <f ca="1">[1]!BexGetData("DP_1","003N8EMH8GTFRCSWKMPXRSGPQ","GSON1112110354")</f>
        <v>#NAME?</v>
      </c>
      <c r="K1615" s="28" t="e">
        <f ca="1">[1]!BexGetData("DP_1","003N8EMH8GTFRIVNUPY288VJH","GSON1112110354")</f>
        <v>#NAME?</v>
      </c>
      <c r="L1615" s="28" t="e">
        <f ca="1">[1]!BexGetData("DP_1","003N8EMH8GTFRIVNUPY2891V1","GSON1112110354")</f>
        <v>#NAME?</v>
      </c>
      <c r="M1615" s="28" t="e">
        <f ca="1">[1]!BexGetData("DP_1","003N8EMH8GTFRIVOG7KG9IQXA","GSON1112110354")</f>
        <v>#NAME?</v>
      </c>
      <c r="N1615" s="28" t="e">
        <f ca="1">[1]!BexGetData("DP_1","003N8EMH8GTFRIVOG7KG9IX8U","GSON1112110354")</f>
        <v>#NAME?</v>
      </c>
      <c r="O1615" s="28" t="e">
        <f ca="1">[1]!BexGetData("DP_1","003N8EMH8GTFRIVOG7KG9J3KE","GSON1112110354")</f>
        <v>#NAME?</v>
      </c>
      <c r="P1615" s="28" t="e">
        <f ca="1">[1]!BexGetData("DP_1","003N8EMH8GTFRIVOG7KG9J9VY","GSON1112110354")</f>
        <v>#NAME?</v>
      </c>
      <c r="Q1615" s="24" t="e">
        <f ca="1">[1]!BexGetData("DP_1","00O2TNJGODT0G5Z4TTKYMM5MT","GSON1112110354")</f>
        <v>#NAME?</v>
      </c>
      <c r="R1615" s="28" t="e">
        <f ca="1">[1]!BexGetData("DP_1","00O2TNJGODT0G5Z4TTKYMMBYD","GSON1112110354")</f>
        <v>#NAME?</v>
      </c>
      <c r="S1615" s="28" t="e">
        <f ca="1">[1]!BexGetData("DP_1","00O2TNJGODT0G5Z4TTKYMMI9X","GSON1112110354")</f>
        <v>#NAME?</v>
      </c>
      <c r="T1615" s="28" t="e">
        <f ca="1">[1]!BexGetData("DP_1","00O2TNJGODT0G5Z4TTKYMMOLH","GSON1112110354")</f>
        <v>#NAME?</v>
      </c>
      <c r="U1615" s="28" t="e">
        <f ca="1">[1]!BexGetData("DP_1","00O2TNJGODT0G5Z4TTKYMMUX1","GSON1112110354")</f>
        <v>#NAME?</v>
      </c>
      <c r="V1615" s="28" t="e">
        <f ca="1">[1]!BexGetData("DP_1","00O2TNJGODT0G5Z4TTKYMN18L","GSON1112110354")</f>
        <v>#NAME?</v>
      </c>
      <c r="W1615" s="28" t="e">
        <f ca="1">[1]!BexGetData("DP_1","00O2TNJGODT0G5Z4TTKYMN7K5","GSON1112110354")</f>
        <v>#NAME?</v>
      </c>
    </row>
    <row r="1616" spans="1:23" x14ac:dyDescent="0.2">
      <c r="A1616" s="36" t="s">
        <v>4305</v>
      </c>
      <c r="B1616" s="27" t="s">
        <v>4306</v>
      </c>
      <c r="C1616" s="23" t="e">
        <f ca="1">[1]!BexGetData("DP_1","003N8EMH8GTFRCSWKMPXRR8GU","GSON1112110355")</f>
        <v>#NAME?</v>
      </c>
      <c r="D1616" s="23" t="e">
        <f ca="1">[1]!BexGetData("DP_1","003N8EMH8GTFRCSWKMPXRRESE","GSON1112110355")</f>
        <v>#NAME?</v>
      </c>
      <c r="E1616" s="28" t="e">
        <f ca="1">[1]!BexGetData("DP_1","003N8EMH8GTFRCSWKMPXRRL3Y","GSON1112110355")</f>
        <v>#NAME?</v>
      </c>
      <c r="F1616" s="28" t="e">
        <f ca="1">[1]!BexGetData("DP_1","003N8EMH8GTFRCSWKMPXRRRFI","GSON1112110355")</f>
        <v>#NAME?</v>
      </c>
      <c r="G1616" s="23" t="e">
        <f ca="1">[1]!BexGetData("DP_1","003N8EMH8GTFRCSWKMPXRRXR2","GSON1112110355")</f>
        <v>#NAME?</v>
      </c>
      <c r="H1616" s="23" t="e">
        <f ca="1">[1]!BexGetData("DP_1","003N8EMH8GTFRCSWKMPXRS42M","GSON1112110355")</f>
        <v>#NAME?</v>
      </c>
      <c r="I1616" s="28" t="e">
        <f ca="1">[1]!BexGetData("DP_1","003N8EMH8GTFRCSWKMPXRSAE6","GSON1112110355")</f>
        <v>#NAME?</v>
      </c>
      <c r="J1616" s="24" t="e">
        <f ca="1">[1]!BexGetData("DP_1","003N8EMH8GTFRCSWKMPXRSGPQ","GSON1112110355")</f>
        <v>#NAME?</v>
      </c>
      <c r="K1616" s="28" t="e">
        <f ca="1">[1]!BexGetData("DP_1","003N8EMH8GTFRIVNUPY288VJH","GSON1112110355")</f>
        <v>#NAME?</v>
      </c>
      <c r="L1616" s="28" t="e">
        <f ca="1">[1]!BexGetData("DP_1","003N8EMH8GTFRIVNUPY2891V1","GSON1112110355")</f>
        <v>#NAME?</v>
      </c>
      <c r="M1616" s="28" t="e">
        <f ca="1">[1]!BexGetData("DP_1","003N8EMH8GTFRIVOG7KG9IQXA","GSON1112110355")</f>
        <v>#NAME?</v>
      </c>
      <c r="N1616" s="28" t="e">
        <f ca="1">[1]!BexGetData("DP_1","003N8EMH8GTFRIVOG7KG9IX8U","GSON1112110355")</f>
        <v>#NAME?</v>
      </c>
      <c r="O1616" s="28" t="e">
        <f ca="1">[1]!BexGetData("DP_1","003N8EMH8GTFRIVOG7KG9J3KE","GSON1112110355")</f>
        <v>#NAME?</v>
      </c>
      <c r="P1616" s="28" t="e">
        <f ca="1">[1]!BexGetData("DP_1","003N8EMH8GTFRIVOG7KG9J9VY","GSON1112110355")</f>
        <v>#NAME?</v>
      </c>
      <c r="Q1616" s="24" t="e">
        <f ca="1">[1]!BexGetData("DP_1","00O2TNJGODT0G5Z4TTKYMM5MT","GSON1112110355")</f>
        <v>#NAME?</v>
      </c>
      <c r="R1616" s="28" t="e">
        <f ca="1">[1]!BexGetData("DP_1","00O2TNJGODT0G5Z4TTKYMMBYD","GSON1112110355")</f>
        <v>#NAME?</v>
      </c>
      <c r="S1616" s="28" t="e">
        <f ca="1">[1]!BexGetData("DP_1","00O2TNJGODT0G5Z4TTKYMMI9X","GSON1112110355")</f>
        <v>#NAME?</v>
      </c>
      <c r="T1616" s="28" t="e">
        <f ca="1">[1]!BexGetData("DP_1","00O2TNJGODT0G5Z4TTKYMMOLH","GSON1112110355")</f>
        <v>#NAME?</v>
      </c>
      <c r="U1616" s="28" t="e">
        <f ca="1">[1]!BexGetData("DP_1","00O2TNJGODT0G5Z4TTKYMMUX1","GSON1112110355")</f>
        <v>#NAME?</v>
      </c>
      <c r="V1616" s="28" t="e">
        <f ca="1">[1]!BexGetData("DP_1","00O2TNJGODT0G5Z4TTKYMN18L","GSON1112110355")</f>
        <v>#NAME?</v>
      </c>
      <c r="W1616" s="28" t="e">
        <f ca="1">[1]!BexGetData("DP_1","00O2TNJGODT0G5Z4TTKYMN7K5","GSON1112110355")</f>
        <v>#NAME?</v>
      </c>
    </row>
    <row r="1617" spans="1:23" x14ac:dyDescent="0.2">
      <c r="A1617" s="36" t="s">
        <v>4307</v>
      </c>
      <c r="B1617" s="27" t="s">
        <v>4308</v>
      </c>
      <c r="C1617" s="23" t="e">
        <f ca="1">[1]!BexGetData("DP_1","003N8EMH8GTFRCSWKMPXRR8GU","GSON1112110360")</f>
        <v>#NAME?</v>
      </c>
      <c r="D1617" s="23" t="e">
        <f ca="1">[1]!BexGetData("DP_1","003N8EMH8GTFRCSWKMPXRRESE","GSON1112110360")</f>
        <v>#NAME?</v>
      </c>
      <c r="E1617" s="23" t="e">
        <f ca="1">[1]!BexGetData("DP_1","003N8EMH8GTFRCSWKMPXRRL3Y","GSON1112110360")</f>
        <v>#NAME?</v>
      </c>
      <c r="F1617" s="23" t="e">
        <f ca="1">[1]!BexGetData("DP_1","003N8EMH8GTFRCSWKMPXRRRFI","GSON1112110360")</f>
        <v>#NAME?</v>
      </c>
      <c r="G1617" s="23" t="e">
        <f ca="1">[1]!BexGetData("DP_1","003N8EMH8GTFRCSWKMPXRRXR2","GSON1112110360")</f>
        <v>#NAME?</v>
      </c>
      <c r="H1617" s="23" t="e">
        <f ca="1">[1]!BexGetData("DP_1","003N8EMH8GTFRCSWKMPXRS42M","GSON1112110360")</f>
        <v>#NAME?</v>
      </c>
      <c r="I1617" s="23" t="e">
        <f ca="1">[1]!BexGetData("DP_1","003N8EMH8GTFRCSWKMPXRSAE6","GSON1112110360")</f>
        <v>#NAME?</v>
      </c>
      <c r="J1617" s="24" t="e">
        <f ca="1">[1]!BexGetData("DP_1","003N8EMH8GTFRCSWKMPXRSGPQ","GSON1112110360")</f>
        <v>#NAME?</v>
      </c>
      <c r="K1617" s="23" t="e">
        <f ca="1">[1]!BexGetData("DP_1","003N8EMH8GTFRIVNUPY288VJH","GSON1112110360")</f>
        <v>#NAME?</v>
      </c>
      <c r="L1617" s="23" t="e">
        <f ca="1">[1]!BexGetData("DP_1","003N8EMH8GTFRIVNUPY2891V1","GSON1112110360")</f>
        <v>#NAME?</v>
      </c>
      <c r="M1617" s="23" t="e">
        <f ca="1">[1]!BexGetData("DP_1","003N8EMH8GTFRIVOG7KG9IQXA","GSON1112110360")</f>
        <v>#NAME?</v>
      </c>
      <c r="N1617" s="28" t="e">
        <f ca="1">[1]!BexGetData("DP_1","003N8EMH8GTFRIVOG7KG9IX8U","GSON1112110360")</f>
        <v>#NAME?</v>
      </c>
      <c r="O1617" s="23" t="e">
        <f ca="1">[1]!BexGetData("DP_1","003N8EMH8GTFRIVOG7KG9J3KE","GSON1112110360")</f>
        <v>#NAME?</v>
      </c>
      <c r="P1617" s="28" t="e">
        <f ca="1">[1]!BexGetData("DP_1","003N8EMH8GTFRIVOG7KG9J9VY","GSON1112110360")</f>
        <v>#NAME?</v>
      </c>
      <c r="Q1617" s="24" t="e">
        <f ca="1">[1]!BexGetData("DP_1","00O2TNJGODT0G5Z4TTKYMM5MT","GSON1112110360")</f>
        <v>#NAME?</v>
      </c>
      <c r="R1617" s="23" t="e">
        <f ca="1">[1]!BexGetData("DP_1","00O2TNJGODT0G5Z4TTKYMMBYD","GSON1112110360")</f>
        <v>#NAME?</v>
      </c>
      <c r="S1617" s="23" t="e">
        <f ca="1">[1]!BexGetData("DP_1","00O2TNJGODT0G5Z4TTKYMMI9X","GSON1112110360")</f>
        <v>#NAME?</v>
      </c>
      <c r="T1617" s="28" t="e">
        <f ca="1">[1]!BexGetData("DP_1","00O2TNJGODT0G5Z4TTKYMMOLH","GSON1112110360")</f>
        <v>#NAME?</v>
      </c>
      <c r="U1617" s="23" t="e">
        <f ca="1">[1]!BexGetData("DP_1","00O2TNJGODT0G5Z4TTKYMMUX1","GSON1112110360")</f>
        <v>#NAME?</v>
      </c>
      <c r="V1617" s="28" t="e">
        <f ca="1">[1]!BexGetData("DP_1","00O2TNJGODT0G5Z4TTKYMN18L","GSON1112110360")</f>
        <v>#NAME?</v>
      </c>
      <c r="W1617" s="23" t="e">
        <f ca="1">[1]!BexGetData("DP_1","00O2TNJGODT0G5Z4TTKYMN7K5","GSON1112110360")</f>
        <v>#NAME?</v>
      </c>
    </row>
    <row r="1618" spans="1:23" x14ac:dyDescent="0.2">
      <c r="A1618" s="36" t="s">
        <v>4309</v>
      </c>
      <c r="B1618" s="27" t="s">
        <v>4310</v>
      </c>
      <c r="C1618" s="23" t="e">
        <f ca="1">[1]!BexGetData("DP_1","003N8EMH8GTFRCSWKMPXRR8GU","GSON1112110361")</f>
        <v>#NAME?</v>
      </c>
      <c r="D1618" s="23" t="e">
        <f ca="1">[1]!BexGetData("DP_1","003N8EMH8GTFRCSWKMPXRRESE","GSON1112110361")</f>
        <v>#NAME?</v>
      </c>
      <c r="E1618" s="28" t="e">
        <f ca="1">[1]!BexGetData("DP_1","003N8EMH8GTFRCSWKMPXRRL3Y","GSON1112110361")</f>
        <v>#NAME?</v>
      </c>
      <c r="F1618" s="28" t="e">
        <f ca="1">[1]!BexGetData("DP_1","003N8EMH8GTFRCSWKMPXRRRFI","GSON1112110361")</f>
        <v>#NAME?</v>
      </c>
      <c r="G1618" s="23" t="e">
        <f ca="1">[1]!BexGetData("DP_1","003N8EMH8GTFRCSWKMPXRRXR2","GSON1112110361")</f>
        <v>#NAME?</v>
      </c>
      <c r="H1618" s="23" t="e">
        <f ca="1">[1]!BexGetData("DP_1","003N8EMH8GTFRCSWKMPXRS42M","GSON1112110361")</f>
        <v>#NAME?</v>
      </c>
      <c r="I1618" s="28" t="e">
        <f ca="1">[1]!BexGetData("DP_1","003N8EMH8GTFRCSWKMPXRSAE6","GSON1112110361")</f>
        <v>#NAME?</v>
      </c>
      <c r="J1618" s="24" t="e">
        <f ca="1">[1]!BexGetData("DP_1","003N8EMH8GTFRCSWKMPXRSGPQ","GSON1112110361")</f>
        <v>#NAME?</v>
      </c>
      <c r="K1618" s="28" t="e">
        <f ca="1">[1]!BexGetData("DP_1","003N8EMH8GTFRIVNUPY288VJH","GSON1112110361")</f>
        <v>#NAME?</v>
      </c>
      <c r="L1618" s="28" t="e">
        <f ca="1">[1]!BexGetData("DP_1","003N8EMH8GTFRIVNUPY2891V1","GSON1112110361")</f>
        <v>#NAME?</v>
      </c>
      <c r="M1618" s="28" t="e">
        <f ca="1">[1]!BexGetData("DP_1","003N8EMH8GTFRIVOG7KG9IQXA","GSON1112110361")</f>
        <v>#NAME?</v>
      </c>
      <c r="N1618" s="28" t="e">
        <f ca="1">[1]!BexGetData("DP_1","003N8EMH8GTFRIVOG7KG9IX8U","GSON1112110361")</f>
        <v>#NAME?</v>
      </c>
      <c r="O1618" s="28" t="e">
        <f ca="1">[1]!BexGetData("DP_1","003N8EMH8GTFRIVOG7KG9J3KE","GSON1112110361")</f>
        <v>#NAME?</v>
      </c>
      <c r="P1618" s="28" t="e">
        <f ca="1">[1]!BexGetData("DP_1","003N8EMH8GTFRIVOG7KG9J9VY","GSON1112110361")</f>
        <v>#NAME?</v>
      </c>
      <c r="Q1618" s="24" t="e">
        <f ca="1">[1]!BexGetData("DP_1","00O2TNJGODT0G5Z4TTKYMM5MT","GSON1112110361")</f>
        <v>#NAME?</v>
      </c>
      <c r="R1618" s="28" t="e">
        <f ca="1">[1]!BexGetData("DP_1","00O2TNJGODT0G5Z4TTKYMMBYD","GSON1112110361")</f>
        <v>#NAME?</v>
      </c>
      <c r="S1618" s="28" t="e">
        <f ca="1">[1]!BexGetData("DP_1","00O2TNJGODT0G5Z4TTKYMMI9X","GSON1112110361")</f>
        <v>#NAME?</v>
      </c>
      <c r="T1618" s="28" t="e">
        <f ca="1">[1]!BexGetData("DP_1","00O2TNJGODT0G5Z4TTKYMMOLH","GSON1112110361")</f>
        <v>#NAME?</v>
      </c>
      <c r="U1618" s="28" t="e">
        <f ca="1">[1]!BexGetData("DP_1","00O2TNJGODT0G5Z4TTKYMMUX1","GSON1112110361")</f>
        <v>#NAME?</v>
      </c>
      <c r="V1618" s="28" t="e">
        <f ca="1">[1]!BexGetData("DP_1","00O2TNJGODT0G5Z4TTKYMN18L","GSON1112110361")</f>
        <v>#NAME?</v>
      </c>
      <c r="W1618" s="28" t="e">
        <f ca="1">[1]!BexGetData("DP_1","00O2TNJGODT0G5Z4TTKYMN7K5","GSON1112110361")</f>
        <v>#NAME?</v>
      </c>
    </row>
    <row r="1619" spans="1:23" x14ac:dyDescent="0.2">
      <c r="A1619" s="36" t="s">
        <v>4311</v>
      </c>
      <c r="B1619" s="27" t="s">
        <v>4312</v>
      </c>
      <c r="C1619" s="23" t="e">
        <f ca="1">[1]!BexGetData("DP_1","003N8EMH8GTFRCSWKMPXRR8GU","GSON1112110363")</f>
        <v>#NAME?</v>
      </c>
      <c r="D1619" s="23" t="e">
        <f ca="1">[1]!BexGetData("DP_1","003N8EMH8GTFRCSWKMPXRRESE","GSON1112110363")</f>
        <v>#NAME?</v>
      </c>
      <c r="E1619" s="28" t="e">
        <f ca="1">[1]!BexGetData("DP_1","003N8EMH8GTFRCSWKMPXRRL3Y","GSON1112110363")</f>
        <v>#NAME?</v>
      </c>
      <c r="F1619" s="24" t="e">
        <f ca="1">[1]!BexGetData("DP_1","003N8EMH8GTFRCSWKMPXRRRFI","GSON1112110363")</f>
        <v>#NAME?</v>
      </c>
      <c r="G1619" s="24" t="e">
        <f ca="1">[1]!BexGetData("DP_1","003N8EMH8GTFRCSWKMPXRRXR2","GSON1112110363")</f>
        <v>#NAME?</v>
      </c>
      <c r="H1619" s="24" t="e">
        <f ca="1">[1]!BexGetData("DP_1","003N8EMH8GTFRCSWKMPXRS42M","GSON1112110363")</f>
        <v>#NAME?</v>
      </c>
      <c r="I1619" s="24" t="e">
        <f ca="1">[1]!BexGetData("DP_1","003N8EMH8GTFRCSWKMPXRSAE6","GSON1112110363")</f>
        <v>#NAME?</v>
      </c>
      <c r="J1619" s="24" t="e">
        <f ca="1">[1]!BexGetData("DP_1","003N8EMH8GTFRCSWKMPXRSGPQ","GSON1112110363")</f>
        <v>#NAME?</v>
      </c>
      <c r="K1619" s="28" t="e">
        <f ca="1">[1]!BexGetData("DP_1","003N8EMH8GTFRIVNUPY288VJH","GSON1112110363")</f>
        <v>#NAME?</v>
      </c>
      <c r="L1619" s="28" t="e">
        <f ca="1">[1]!BexGetData("DP_1","003N8EMH8GTFRIVNUPY2891V1","GSON1112110363")</f>
        <v>#NAME?</v>
      </c>
      <c r="M1619" s="28" t="e">
        <f ca="1">[1]!BexGetData("DP_1","003N8EMH8GTFRIVOG7KG9IQXA","GSON1112110363")</f>
        <v>#NAME?</v>
      </c>
      <c r="N1619" s="28" t="e">
        <f ca="1">[1]!BexGetData("DP_1","003N8EMH8GTFRIVOG7KG9IX8U","GSON1112110363")</f>
        <v>#NAME?</v>
      </c>
      <c r="O1619" s="28" t="e">
        <f ca="1">[1]!BexGetData("DP_1","003N8EMH8GTFRIVOG7KG9J3KE","GSON1112110363")</f>
        <v>#NAME?</v>
      </c>
      <c r="P1619" s="28" t="e">
        <f ca="1">[1]!BexGetData("DP_1","003N8EMH8GTFRIVOG7KG9J9VY","GSON1112110363")</f>
        <v>#NAME?</v>
      </c>
      <c r="Q1619" s="24" t="e">
        <f ca="1">[1]!BexGetData("DP_1","00O2TNJGODT0G5Z4TTKYMM5MT","GSON1112110363")</f>
        <v>#NAME?</v>
      </c>
      <c r="R1619" s="24" t="e">
        <f ca="1">[1]!BexGetData("DP_1","00O2TNJGODT0G5Z4TTKYMMBYD","GSON1112110363")</f>
        <v>#NAME?</v>
      </c>
      <c r="S1619" s="24" t="e">
        <f ca="1">[1]!BexGetData("DP_1","00O2TNJGODT0G5Z4TTKYMMI9X","GSON1112110363")</f>
        <v>#NAME?</v>
      </c>
      <c r="T1619" s="24" t="e">
        <f ca="1">[1]!BexGetData("DP_1","00O2TNJGODT0G5Z4TTKYMMOLH","GSON1112110363")</f>
        <v>#NAME?</v>
      </c>
      <c r="U1619" s="24" t="e">
        <f ca="1">[1]!BexGetData("DP_1","00O2TNJGODT0G5Z4TTKYMMUX1","GSON1112110363")</f>
        <v>#NAME?</v>
      </c>
      <c r="V1619" s="24" t="e">
        <f ca="1">[1]!BexGetData("DP_1","00O2TNJGODT0G5Z4TTKYMN18L","GSON1112110363")</f>
        <v>#NAME?</v>
      </c>
      <c r="W1619" s="24" t="e">
        <f ca="1">[1]!BexGetData("DP_1","00O2TNJGODT0G5Z4TTKYMN7K5","GSON1112110363")</f>
        <v>#NAME?</v>
      </c>
    </row>
    <row r="1620" spans="1:23" x14ac:dyDescent="0.2">
      <c r="A1620" s="36" t="s">
        <v>4313</v>
      </c>
      <c r="B1620" s="27" t="s">
        <v>4314</v>
      </c>
      <c r="C1620" s="23" t="e">
        <f ca="1">[1]!BexGetData("DP_1","003N8EMH8GTFRCSWKMPXRR8GU","GSON1112110364")</f>
        <v>#NAME?</v>
      </c>
      <c r="D1620" s="23" t="e">
        <f ca="1">[1]!BexGetData("DP_1","003N8EMH8GTFRCSWKMPXRRESE","GSON1112110364")</f>
        <v>#NAME?</v>
      </c>
      <c r="E1620" s="28" t="e">
        <f ca="1">[1]!BexGetData("DP_1","003N8EMH8GTFRCSWKMPXRRL3Y","GSON1112110364")</f>
        <v>#NAME?</v>
      </c>
      <c r="F1620" s="28" t="e">
        <f ca="1">[1]!BexGetData("DP_1","003N8EMH8GTFRCSWKMPXRRRFI","GSON1112110364")</f>
        <v>#NAME?</v>
      </c>
      <c r="G1620" s="23" t="e">
        <f ca="1">[1]!BexGetData("DP_1","003N8EMH8GTFRCSWKMPXRRXR2","GSON1112110364")</f>
        <v>#NAME?</v>
      </c>
      <c r="H1620" s="23" t="e">
        <f ca="1">[1]!BexGetData("DP_1","003N8EMH8GTFRCSWKMPXRS42M","GSON1112110364")</f>
        <v>#NAME?</v>
      </c>
      <c r="I1620" s="28" t="e">
        <f ca="1">[1]!BexGetData("DP_1","003N8EMH8GTFRCSWKMPXRSAE6","GSON1112110364")</f>
        <v>#NAME?</v>
      </c>
      <c r="J1620" s="24" t="e">
        <f ca="1">[1]!BexGetData("DP_1","003N8EMH8GTFRCSWKMPXRSGPQ","GSON1112110364")</f>
        <v>#NAME?</v>
      </c>
      <c r="K1620" s="28" t="e">
        <f ca="1">[1]!BexGetData("DP_1","003N8EMH8GTFRIVNUPY288VJH","GSON1112110364")</f>
        <v>#NAME?</v>
      </c>
      <c r="L1620" s="28" t="e">
        <f ca="1">[1]!BexGetData("DP_1","003N8EMH8GTFRIVNUPY2891V1","GSON1112110364")</f>
        <v>#NAME?</v>
      </c>
      <c r="M1620" s="28" t="e">
        <f ca="1">[1]!BexGetData("DP_1","003N8EMH8GTFRIVOG7KG9IQXA","GSON1112110364")</f>
        <v>#NAME?</v>
      </c>
      <c r="N1620" s="28" t="e">
        <f ca="1">[1]!BexGetData("DP_1","003N8EMH8GTFRIVOG7KG9IX8U","GSON1112110364")</f>
        <v>#NAME?</v>
      </c>
      <c r="O1620" s="28" t="e">
        <f ca="1">[1]!BexGetData("DP_1","003N8EMH8GTFRIVOG7KG9J3KE","GSON1112110364")</f>
        <v>#NAME?</v>
      </c>
      <c r="P1620" s="28" t="e">
        <f ca="1">[1]!BexGetData("DP_1","003N8EMH8GTFRIVOG7KG9J9VY","GSON1112110364")</f>
        <v>#NAME?</v>
      </c>
      <c r="Q1620" s="24" t="e">
        <f ca="1">[1]!BexGetData("DP_1","00O2TNJGODT0G5Z4TTKYMM5MT","GSON1112110364")</f>
        <v>#NAME?</v>
      </c>
      <c r="R1620" s="28" t="e">
        <f ca="1">[1]!BexGetData("DP_1","00O2TNJGODT0G5Z4TTKYMMBYD","GSON1112110364")</f>
        <v>#NAME?</v>
      </c>
      <c r="S1620" s="28" t="e">
        <f ca="1">[1]!BexGetData("DP_1","00O2TNJGODT0G5Z4TTKYMMI9X","GSON1112110364")</f>
        <v>#NAME?</v>
      </c>
      <c r="T1620" s="28" t="e">
        <f ca="1">[1]!BexGetData("DP_1","00O2TNJGODT0G5Z4TTKYMMOLH","GSON1112110364")</f>
        <v>#NAME?</v>
      </c>
      <c r="U1620" s="28" t="e">
        <f ca="1">[1]!BexGetData("DP_1","00O2TNJGODT0G5Z4TTKYMMUX1","GSON1112110364")</f>
        <v>#NAME?</v>
      </c>
      <c r="V1620" s="28" t="e">
        <f ca="1">[1]!BexGetData("DP_1","00O2TNJGODT0G5Z4TTKYMN18L","GSON1112110364")</f>
        <v>#NAME?</v>
      </c>
      <c r="W1620" s="28" t="e">
        <f ca="1">[1]!BexGetData("DP_1","00O2TNJGODT0G5Z4TTKYMN7K5","GSON1112110364")</f>
        <v>#NAME?</v>
      </c>
    </row>
    <row r="1621" spans="1:23" x14ac:dyDescent="0.2">
      <c r="A1621" s="36" t="s">
        <v>4315</v>
      </c>
      <c r="B1621" s="27" t="s">
        <v>4316</v>
      </c>
      <c r="C1621" s="23" t="e">
        <f ca="1">[1]!BexGetData("DP_1","003N8EMH8GTFRCSWKMPXRR8GU","GSON1112110365")</f>
        <v>#NAME?</v>
      </c>
      <c r="D1621" s="23" t="e">
        <f ca="1">[1]!BexGetData("DP_1","003N8EMH8GTFRCSWKMPXRRESE","GSON1112110365")</f>
        <v>#NAME?</v>
      </c>
      <c r="E1621" s="28" t="e">
        <f ca="1">[1]!BexGetData("DP_1","003N8EMH8GTFRCSWKMPXRRL3Y","GSON1112110365")</f>
        <v>#NAME?</v>
      </c>
      <c r="F1621" s="28" t="e">
        <f ca="1">[1]!BexGetData("DP_1","003N8EMH8GTFRCSWKMPXRRRFI","GSON1112110365")</f>
        <v>#NAME?</v>
      </c>
      <c r="G1621" s="23" t="e">
        <f ca="1">[1]!BexGetData("DP_1","003N8EMH8GTFRCSWKMPXRRXR2","GSON1112110365")</f>
        <v>#NAME?</v>
      </c>
      <c r="H1621" s="23" t="e">
        <f ca="1">[1]!BexGetData("DP_1","003N8EMH8GTFRCSWKMPXRS42M","GSON1112110365")</f>
        <v>#NAME?</v>
      </c>
      <c r="I1621" s="28" t="e">
        <f ca="1">[1]!BexGetData("DP_1","003N8EMH8GTFRCSWKMPXRSAE6","GSON1112110365")</f>
        <v>#NAME?</v>
      </c>
      <c r="J1621" s="24" t="e">
        <f ca="1">[1]!BexGetData("DP_1","003N8EMH8GTFRCSWKMPXRSGPQ","GSON1112110365")</f>
        <v>#NAME?</v>
      </c>
      <c r="K1621" s="28" t="e">
        <f ca="1">[1]!BexGetData("DP_1","003N8EMH8GTFRIVNUPY288VJH","GSON1112110365")</f>
        <v>#NAME?</v>
      </c>
      <c r="L1621" s="28" t="e">
        <f ca="1">[1]!BexGetData("DP_1","003N8EMH8GTFRIVNUPY2891V1","GSON1112110365")</f>
        <v>#NAME?</v>
      </c>
      <c r="M1621" s="28" t="e">
        <f ca="1">[1]!BexGetData("DP_1","003N8EMH8GTFRIVOG7KG9IQXA","GSON1112110365")</f>
        <v>#NAME?</v>
      </c>
      <c r="N1621" s="28" t="e">
        <f ca="1">[1]!BexGetData("DP_1","003N8EMH8GTFRIVOG7KG9IX8U","GSON1112110365")</f>
        <v>#NAME?</v>
      </c>
      <c r="O1621" s="28" t="e">
        <f ca="1">[1]!BexGetData("DP_1","003N8EMH8GTFRIVOG7KG9J3KE","GSON1112110365")</f>
        <v>#NAME?</v>
      </c>
      <c r="P1621" s="28" t="e">
        <f ca="1">[1]!BexGetData("DP_1","003N8EMH8GTFRIVOG7KG9J9VY","GSON1112110365")</f>
        <v>#NAME?</v>
      </c>
      <c r="Q1621" s="24" t="e">
        <f ca="1">[1]!BexGetData("DP_1","00O2TNJGODT0G5Z4TTKYMM5MT","GSON1112110365")</f>
        <v>#NAME?</v>
      </c>
      <c r="R1621" s="28" t="e">
        <f ca="1">[1]!BexGetData("DP_1","00O2TNJGODT0G5Z4TTKYMMBYD","GSON1112110365")</f>
        <v>#NAME?</v>
      </c>
      <c r="S1621" s="28" t="e">
        <f ca="1">[1]!BexGetData("DP_1","00O2TNJGODT0G5Z4TTKYMMI9X","GSON1112110365")</f>
        <v>#NAME?</v>
      </c>
      <c r="T1621" s="28" t="e">
        <f ca="1">[1]!BexGetData("DP_1","00O2TNJGODT0G5Z4TTKYMMOLH","GSON1112110365")</f>
        <v>#NAME?</v>
      </c>
      <c r="U1621" s="28" t="e">
        <f ca="1">[1]!BexGetData("DP_1","00O2TNJGODT0G5Z4TTKYMMUX1","GSON1112110365")</f>
        <v>#NAME?</v>
      </c>
      <c r="V1621" s="28" t="e">
        <f ca="1">[1]!BexGetData("DP_1","00O2TNJGODT0G5Z4TTKYMN18L","GSON1112110365")</f>
        <v>#NAME?</v>
      </c>
      <c r="W1621" s="28" t="e">
        <f ca="1">[1]!BexGetData("DP_1","00O2TNJGODT0G5Z4TTKYMN7K5","GSON1112110365")</f>
        <v>#NAME?</v>
      </c>
    </row>
    <row r="1622" spans="1:23" x14ac:dyDescent="0.2">
      <c r="A1622" s="36" t="s">
        <v>4317</v>
      </c>
      <c r="B1622" s="27" t="s">
        <v>4318</v>
      </c>
      <c r="C1622" s="23" t="e">
        <f ca="1">[1]!BexGetData("DP_1","003N8EMH8GTFRCSWKMPXRR8GU","GSON1112110370")</f>
        <v>#NAME?</v>
      </c>
      <c r="D1622" s="23" t="e">
        <f ca="1">[1]!BexGetData("DP_1","003N8EMH8GTFRCSWKMPXRRESE","GSON1112110370")</f>
        <v>#NAME?</v>
      </c>
      <c r="E1622" s="23" t="e">
        <f ca="1">[1]!BexGetData("DP_1","003N8EMH8GTFRCSWKMPXRRL3Y","GSON1112110370")</f>
        <v>#NAME?</v>
      </c>
      <c r="F1622" s="23" t="e">
        <f ca="1">[1]!BexGetData("DP_1","003N8EMH8GTFRCSWKMPXRRRFI","GSON1112110370")</f>
        <v>#NAME?</v>
      </c>
      <c r="G1622" s="23" t="e">
        <f ca="1">[1]!BexGetData("DP_1","003N8EMH8GTFRCSWKMPXRRXR2","GSON1112110370")</f>
        <v>#NAME?</v>
      </c>
      <c r="H1622" s="23" t="e">
        <f ca="1">[1]!BexGetData("DP_1","003N8EMH8GTFRCSWKMPXRS42M","GSON1112110370")</f>
        <v>#NAME?</v>
      </c>
      <c r="I1622" s="23" t="e">
        <f ca="1">[1]!BexGetData("DP_1","003N8EMH8GTFRCSWKMPXRSAE6","GSON1112110370")</f>
        <v>#NAME?</v>
      </c>
      <c r="J1622" s="24" t="e">
        <f ca="1">[1]!BexGetData("DP_1","003N8EMH8GTFRCSWKMPXRSGPQ","GSON1112110370")</f>
        <v>#NAME?</v>
      </c>
      <c r="K1622" s="23" t="e">
        <f ca="1">[1]!BexGetData("DP_1","003N8EMH8GTFRIVNUPY288VJH","GSON1112110370")</f>
        <v>#NAME?</v>
      </c>
      <c r="L1622" s="23" t="e">
        <f ca="1">[1]!BexGetData("DP_1","003N8EMH8GTFRIVNUPY2891V1","GSON1112110370")</f>
        <v>#NAME?</v>
      </c>
      <c r="M1622" s="28" t="e">
        <f ca="1">[1]!BexGetData("DP_1","003N8EMH8GTFRIVOG7KG9IQXA","GSON1112110370")</f>
        <v>#NAME?</v>
      </c>
      <c r="N1622" s="23" t="e">
        <f ca="1">[1]!BexGetData("DP_1","003N8EMH8GTFRIVOG7KG9IX8U","GSON1112110370")</f>
        <v>#NAME?</v>
      </c>
      <c r="O1622" s="28" t="e">
        <f ca="1">[1]!BexGetData("DP_1","003N8EMH8GTFRIVOG7KG9J3KE","GSON1112110370")</f>
        <v>#NAME?</v>
      </c>
      <c r="P1622" s="23" t="e">
        <f ca="1">[1]!BexGetData("DP_1","003N8EMH8GTFRIVOG7KG9J9VY","GSON1112110370")</f>
        <v>#NAME?</v>
      </c>
      <c r="Q1622" s="24" t="e">
        <f ca="1">[1]!BexGetData("DP_1","00O2TNJGODT0G5Z4TTKYMM5MT","GSON1112110370")</f>
        <v>#NAME?</v>
      </c>
      <c r="R1622" s="23" t="e">
        <f ca="1">[1]!BexGetData("DP_1","00O2TNJGODT0G5Z4TTKYMMBYD","GSON1112110370")</f>
        <v>#NAME?</v>
      </c>
      <c r="S1622" s="23" t="e">
        <f ca="1">[1]!BexGetData("DP_1","00O2TNJGODT0G5Z4TTKYMMI9X","GSON1112110370")</f>
        <v>#NAME?</v>
      </c>
      <c r="T1622" s="28" t="e">
        <f ca="1">[1]!BexGetData("DP_1","00O2TNJGODT0G5Z4TTKYMMOLH","GSON1112110370")</f>
        <v>#NAME?</v>
      </c>
      <c r="U1622" s="23" t="e">
        <f ca="1">[1]!BexGetData("DP_1","00O2TNJGODT0G5Z4TTKYMMUX1","GSON1112110370")</f>
        <v>#NAME?</v>
      </c>
      <c r="V1622" s="28" t="e">
        <f ca="1">[1]!BexGetData("DP_1","00O2TNJGODT0G5Z4TTKYMN18L","GSON1112110370")</f>
        <v>#NAME?</v>
      </c>
      <c r="W1622" s="23" t="e">
        <f ca="1">[1]!BexGetData("DP_1","00O2TNJGODT0G5Z4TTKYMN7K5","GSON1112110370")</f>
        <v>#NAME?</v>
      </c>
    </row>
    <row r="1623" spans="1:23" x14ac:dyDescent="0.2">
      <c r="A1623" s="36" t="s">
        <v>4319</v>
      </c>
      <c r="B1623" s="27" t="s">
        <v>4320</v>
      </c>
      <c r="C1623" s="23" t="e">
        <f ca="1">[1]!BexGetData("DP_1","003N8EMH8GTFRCSWKMPXRR8GU","GSON1112110371")</f>
        <v>#NAME?</v>
      </c>
      <c r="D1623" s="23" t="e">
        <f ca="1">[1]!BexGetData("DP_1","003N8EMH8GTFRCSWKMPXRRESE","GSON1112110371")</f>
        <v>#NAME?</v>
      </c>
      <c r="E1623" s="28" t="e">
        <f ca="1">[1]!BexGetData("DP_1","003N8EMH8GTFRCSWKMPXRRL3Y","GSON1112110371")</f>
        <v>#NAME?</v>
      </c>
      <c r="F1623" s="28" t="e">
        <f ca="1">[1]!BexGetData("DP_1","003N8EMH8GTFRCSWKMPXRRRFI","GSON1112110371")</f>
        <v>#NAME?</v>
      </c>
      <c r="G1623" s="23" t="e">
        <f ca="1">[1]!BexGetData("DP_1","003N8EMH8GTFRCSWKMPXRRXR2","GSON1112110371")</f>
        <v>#NAME?</v>
      </c>
      <c r="H1623" s="23" t="e">
        <f ca="1">[1]!BexGetData("DP_1","003N8EMH8GTFRCSWKMPXRS42M","GSON1112110371")</f>
        <v>#NAME?</v>
      </c>
      <c r="I1623" s="28" t="e">
        <f ca="1">[1]!BexGetData("DP_1","003N8EMH8GTFRCSWKMPXRSAE6","GSON1112110371")</f>
        <v>#NAME?</v>
      </c>
      <c r="J1623" s="24" t="e">
        <f ca="1">[1]!BexGetData("DP_1","003N8EMH8GTFRCSWKMPXRSGPQ","GSON1112110371")</f>
        <v>#NAME?</v>
      </c>
      <c r="K1623" s="28" t="e">
        <f ca="1">[1]!BexGetData("DP_1","003N8EMH8GTFRIVNUPY288VJH","GSON1112110371")</f>
        <v>#NAME?</v>
      </c>
      <c r="L1623" s="28" t="e">
        <f ca="1">[1]!BexGetData("DP_1","003N8EMH8GTFRIVNUPY2891V1","GSON1112110371")</f>
        <v>#NAME?</v>
      </c>
      <c r="M1623" s="28" t="e">
        <f ca="1">[1]!BexGetData("DP_1","003N8EMH8GTFRIVOG7KG9IQXA","GSON1112110371")</f>
        <v>#NAME?</v>
      </c>
      <c r="N1623" s="28" t="e">
        <f ca="1">[1]!BexGetData("DP_1","003N8EMH8GTFRIVOG7KG9IX8U","GSON1112110371")</f>
        <v>#NAME?</v>
      </c>
      <c r="O1623" s="28" t="e">
        <f ca="1">[1]!BexGetData("DP_1","003N8EMH8GTFRIVOG7KG9J3KE","GSON1112110371")</f>
        <v>#NAME?</v>
      </c>
      <c r="P1623" s="28" t="e">
        <f ca="1">[1]!BexGetData("DP_1","003N8EMH8GTFRIVOG7KG9J9VY","GSON1112110371")</f>
        <v>#NAME?</v>
      </c>
      <c r="Q1623" s="24" t="e">
        <f ca="1">[1]!BexGetData("DP_1","00O2TNJGODT0G5Z4TTKYMM5MT","GSON1112110371")</f>
        <v>#NAME?</v>
      </c>
      <c r="R1623" s="28" t="e">
        <f ca="1">[1]!BexGetData("DP_1","00O2TNJGODT0G5Z4TTKYMMBYD","GSON1112110371")</f>
        <v>#NAME?</v>
      </c>
      <c r="S1623" s="28" t="e">
        <f ca="1">[1]!BexGetData("DP_1","00O2TNJGODT0G5Z4TTKYMMI9X","GSON1112110371")</f>
        <v>#NAME?</v>
      </c>
      <c r="T1623" s="28" t="e">
        <f ca="1">[1]!BexGetData("DP_1","00O2TNJGODT0G5Z4TTKYMMOLH","GSON1112110371")</f>
        <v>#NAME?</v>
      </c>
      <c r="U1623" s="28" t="e">
        <f ca="1">[1]!BexGetData("DP_1","00O2TNJGODT0G5Z4TTKYMMUX1","GSON1112110371")</f>
        <v>#NAME?</v>
      </c>
      <c r="V1623" s="28" t="e">
        <f ca="1">[1]!BexGetData("DP_1","00O2TNJGODT0G5Z4TTKYMN18L","GSON1112110371")</f>
        <v>#NAME?</v>
      </c>
      <c r="W1623" s="28" t="e">
        <f ca="1">[1]!BexGetData("DP_1","00O2TNJGODT0G5Z4TTKYMN7K5","GSON1112110371")</f>
        <v>#NAME?</v>
      </c>
    </row>
    <row r="1624" spans="1:23" x14ac:dyDescent="0.2">
      <c r="A1624" s="36" t="s">
        <v>4321</v>
      </c>
      <c r="B1624" s="27" t="s">
        <v>4322</v>
      </c>
      <c r="C1624" s="23" t="e">
        <f ca="1">[1]!BexGetData("DP_1","003N8EMH8GTFRCSWKMPXRR8GU","GSON1112110373")</f>
        <v>#NAME?</v>
      </c>
      <c r="D1624" s="23" t="e">
        <f ca="1">[1]!BexGetData("DP_1","003N8EMH8GTFRCSWKMPXRRESE","GSON1112110373")</f>
        <v>#NAME?</v>
      </c>
      <c r="E1624" s="28" t="e">
        <f ca="1">[1]!BexGetData("DP_1","003N8EMH8GTFRCSWKMPXRRL3Y","GSON1112110373")</f>
        <v>#NAME?</v>
      </c>
      <c r="F1624" s="24" t="e">
        <f ca="1">[1]!BexGetData("DP_1","003N8EMH8GTFRCSWKMPXRRRFI","GSON1112110373")</f>
        <v>#NAME?</v>
      </c>
      <c r="G1624" s="24" t="e">
        <f ca="1">[1]!BexGetData("DP_1","003N8EMH8GTFRCSWKMPXRRXR2","GSON1112110373")</f>
        <v>#NAME?</v>
      </c>
      <c r="H1624" s="24" t="e">
        <f ca="1">[1]!BexGetData("DP_1","003N8EMH8GTFRCSWKMPXRS42M","GSON1112110373")</f>
        <v>#NAME?</v>
      </c>
      <c r="I1624" s="24" t="e">
        <f ca="1">[1]!BexGetData("DP_1","003N8EMH8GTFRCSWKMPXRSAE6","GSON1112110373")</f>
        <v>#NAME?</v>
      </c>
      <c r="J1624" s="24" t="e">
        <f ca="1">[1]!BexGetData("DP_1","003N8EMH8GTFRCSWKMPXRSGPQ","GSON1112110373")</f>
        <v>#NAME?</v>
      </c>
      <c r="K1624" s="28" t="e">
        <f ca="1">[1]!BexGetData("DP_1","003N8EMH8GTFRIVNUPY288VJH","GSON1112110373")</f>
        <v>#NAME?</v>
      </c>
      <c r="L1624" s="28" t="e">
        <f ca="1">[1]!BexGetData("DP_1","003N8EMH8GTFRIVNUPY2891V1","GSON1112110373")</f>
        <v>#NAME?</v>
      </c>
      <c r="M1624" s="28" t="e">
        <f ca="1">[1]!BexGetData("DP_1","003N8EMH8GTFRIVOG7KG9IQXA","GSON1112110373")</f>
        <v>#NAME?</v>
      </c>
      <c r="N1624" s="28" t="e">
        <f ca="1">[1]!BexGetData("DP_1","003N8EMH8GTFRIVOG7KG9IX8U","GSON1112110373")</f>
        <v>#NAME?</v>
      </c>
      <c r="O1624" s="28" t="e">
        <f ca="1">[1]!BexGetData("DP_1","003N8EMH8GTFRIVOG7KG9J3KE","GSON1112110373")</f>
        <v>#NAME?</v>
      </c>
      <c r="P1624" s="28" t="e">
        <f ca="1">[1]!BexGetData("DP_1","003N8EMH8GTFRIVOG7KG9J9VY","GSON1112110373")</f>
        <v>#NAME?</v>
      </c>
      <c r="Q1624" s="24" t="e">
        <f ca="1">[1]!BexGetData("DP_1","00O2TNJGODT0G5Z4TTKYMM5MT","GSON1112110373")</f>
        <v>#NAME?</v>
      </c>
      <c r="R1624" s="24" t="e">
        <f ca="1">[1]!BexGetData("DP_1","00O2TNJGODT0G5Z4TTKYMMBYD","GSON1112110373")</f>
        <v>#NAME?</v>
      </c>
      <c r="S1624" s="24" t="e">
        <f ca="1">[1]!BexGetData("DP_1","00O2TNJGODT0G5Z4TTKYMMI9X","GSON1112110373")</f>
        <v>#NAME?</v>
      </c>
      <c r="T1624" s="24" t="e">
        <f ca="1">[1]!BexGetData("DP_1","00O2TNJGODT0G5Z4TTKYMMOLH","GSON1112110373")</f>
        <v>#NAME?</v>
      </c>
      <c r="U1624" s="24" t="e">
        <f ca="1">[1]!BexGetData("DP_1","00O2TNJGODT0G5Z4TTKYMMUX1","GSON1112110373")</f>
        <v>#NAME?</v>
      </c>
      <c r="V1624" s="24" t="e">
        <f ca="1">[1]!BexGetData("DP_1","00O2TNJGODT0G5Z4TTKYMN18L","GSON1112110373")</f>
        <v>#NAME?</v>
      </c>
      <c r="W1624" s="24" t="e">
        <f ca="1">[1]!BexGetData("DP_1","00O2TNJGODT0G5Z4TTKYMN7K5","GSON1112110373")</f>
        <v>#NAME?</v>
      </c>
    </row>
    <row r="1625" spans="1:23" x14ac:dyDescent="0.2">
      <c r="A1625" s="36" t="s">
        <v>4323</v>
      </c>
      <c r="B1625" s="27" t="s">
        <v>4324</v>
      </c>
      <c r="C1625" s="23" t="e">
        <f ca="1">[1]!BexGetData("DP_1","003N8EMH8GTFRCSWKMPXRR8GU","GSON1112110374")</f>
        <v>#NAME?</v>
      </c>
      <c r="D1625" s="23" t="e">
        <f ca="1">[1]!BexGetData("DP_1","003N8EMH8GTFRCSWKMPXRRESE","GSON1112110374")</f>
        <v>#NAME?</v>
      </c>
      <c r="E1625" s="28" t="e">
        <f ca="1">[1]!BexGetData("DP_1","003N8EMH8GTFRCSWKMPXRRL3Y","GSON1112110374")</f>
        <v>#NAME?</v>
      </c>
      <c r="F1625" s="28" t="e">
        <f ca="1">[1]!BexGetData("DP_1","003N8EMH8GTFRCSWKMPXRRRFI","GSON1112110374")</f>
        <v>#NAME?</v>
      </c>
      <c r="G1625" s="23" t="e">
        <f ca="1">[1]!BexGetData("DP_1","003N8EMH8GTFRCSWKMPXRRXR2","GSON1112110374")</f>
        <v>#NAME?</v>
      </c>
      <c r="H1625" s="23" t="e">
        <f ca="1">[1]!BexGetData("DP_1","003N8EMH8GTFRCSWKMPXRS42M","GSON1112110374")</f>
        <v>#NAME?</v>
      </c>
      <c r="I1625" s="28" t="e">
        <f ca="1">[1]!BexGetData("DP_1","003N8EMH8GTFRCSWKMPXRSAE6","GSON1112110374")</f>
        <v>#NAME?</v>
      </c>
      <c r="J1625" s="24" t="e">
        <f ca="1">[1]!BexGetData("DP_1","003N8EMH8GTFRCSWKMPXRSGPQ","GSON1112110374")</f>
        <v>#NAME?</v>
      </c>
      <c r="K1625" s="28" t="e">
        <f ca="1">[1]!BexGetData("DP_1","003N8EMH8GTFRIVNUPY288VJH","GSON1112110374")</f>
        <v>#NAME?</v>
      </c>
      <c r="L1625" s="28" t="e">
        <f ca="1">[1]!BexGetData("DP_1","003N8EMH8GTFRIVNUPY2891V1","GSON1112110374")</f>
        <v>#NAME?</v>
      </c>
      <c r="M1625" s="28" t="e">
        <f ca="1">[1]!BexGetData("DP_1","003N8EMH8GTFRIVOG7KG9IQXA","GSON1112110374")</f>
        <v>#NAME?</v>
      </c>
      <c r="N1625" s="28" t="e">
        <f ca="1">[1]!BexGetData("DP_1","003N8EMH8GTFRIVOG7KG9IX8U","GSON1112110374")</f>
        <v>#NAME?</v>
      </c>
      <c r="O1625" s="28" t="e">
        <f ca="1">[1]!BexGetData("DP_1","003N8EMH8GTFRIVOG7KG9J3KE","GSON1112110374")</f>
        <v>#NAME?</v>
      </c>
      <c r="P1625" s="28" t="e">
        <f ca="1">[1]!BexGetData("DP_1","003N8EMH8GTFRIVOG7KG9J9VY","GSON1112110374")</f>
        <v>#NAME?</v>
      </c>
      <c r="Q1625" s="24" t="e">
        <f ca="1">[1]!BexGetData("DP_1","00O2TNJGODT0G5Z4TTKYMM5MT","GSON1112110374")</f>
        <v>#NAME?</v>
      </c>
      <c r="R1625" s="28" t="e">
        <f ca="1">[1]!BexGetData("DP_1","00O2TNJGODT0G5Z4TTKYMMBYD","GSON1112110374")</f>
        <v>#NAME?</v>
      </c>
      <c r="S1625" s="28" t="e">
        <f ca="1">[1]!BexGetData("DP_1","00O2TNJGODT0G5Z4TTKYMMI9X","GSON1112110374")</f>
        <v>#NAME?</v>
      </c>
      <c r="T1625" s="28" t="e">
        <f ca="1">[1]!BexGetData("DP_1","00O2TNJGODT0G5Z4TTKYMMOLH","GSON1112110374")</f>
        <v>#NAME?</v>
      </c>
      <c r="U1625" s="28" t="e">
        <f ca="1">[1]!BexGetData("DP_1","00O2TNJGODT0G5Z4TTKYMMUX1","GSON1112110374")</f>
        <v>#NAME?</v>
      </c>
      <c r="V1625" s="28" t="e">
        <f ca="1">[1]!BexGetData("DP_1","00O2TNJGODT0G5Z4TTKYMN18L","GSON1112110374")</f>
        <v>#NAME?</v>
      </c>
      <c r="W1625" s="28" t="e">
        <f ca="1">[1]!BexGetData("DP_1","00O2TNJGODT0G5Z4TTKYMN7K5","GSON1112110374")</f>
        <v>#NAME?</v>
      </c>
    </row>
    <row r="1626" spans="1:23" x14ac:dyDescent="0.2">
      <c r="A1626" s="36" t="s">
        <v>4325</v>
      </c>
      <c r="B1626" s="27" t="s">
        <v>4326</v>
      </c>
      <c r="C1626" s="23" t="e">
        <f ca="1">[1]!BexGetData("DP_1","003N8EMH8GTFRCSWKMPXRR8GU","GSON1112110375")</f>
        <v>#NAME?</v>
      </c>
      <c r="D1626" s="23" t="e">
        <f ca="1">[1]!BexGetData("DP_1","003N8EMH8GTFRCSWKMPXRRESE","GSON1112110375")</f>
        <v>#NAME?</v>
      </c>
      <c r="E1626" s="28" t="e">
        <f ca="1">[1]!BexGetData("DP_1","003N8EMH8GTFRCSWKMPXRRL3Y","GSON1112110375")</f>
        <v>#NAME?</v>
      </c>
      <c r="F1626" s="24" t="e">
        <f ca="1">[1]!BexGetData("DP_1","003N8EMH8GTFRCSWKMPXRRRFI","GSON1112110375")</f>
        <v>#NAME?</v>
      </c>
      <c r="G1626" s="24" t="e">
        <f ca="1">[1]!BexGetData("DP_1","003N8EMH8GTFRCSWKMPXRRXR2","GSON1112110375")</f>
        <v>#NAME?</v>
      </c>
      <c r="H1626" s="24" t="e">
        <f ca="1">[1]!BexGetData("DP_1","003N8EMH8GTFRCSWKMPXRS42M","GSON1112110375")</f>
        <v>#NAME?</v>
      </c>
      <c r="I1626" s="24" t="e">
        <f ca="1">[1]!BexGetData("DP_1","003N8EMH8GTFRCSWKMPXRSAE6","GSON1112110375")</f>
        <v>#NAME?</v>
      </c>
      <c r="J1626" s="24" t="e">
        <f ca="1">[1]!BexGetData("DP_1","003N8EMH8GTFRCSWKMPXRSGPQ","GSON1112110375")</f>
        <v>#NAME?</v>
      </c>
      <c r="K1626" s="28" t="e">
        <f ca="1">[1]!BexGetData("DP_1","003N8EMH8GTFRIVNUPY288VJH","GSON1112110375")</f>
        <v>#NAME?</v>
      </c>
      <c r="L1626" s="28" t="e">
        <f ca="1">[1]!BexGetData("DP_1","003N8EMH8GTFRIVNUPY2891V1","GSON1112110375")</f>
        <v>#NAME?</v>
      </c>
      <c r="M1626" s="28" t="e">
        <f ca="1">[1]!BexGetData("DP_1","003N8EMH8GTFRIVOG7KG9IQXA","GSON1112110375")</f>
        <v>#NAME?</v>
      </c>
      <c r="N1626" s="28" t="e">
        <f ca="1">[1]!BexGetData("DP_1","003N8EMH8GTFRIVOG7KG9IX8U","GSON1112110375")</f>
        <v>#NAME?</v>
      </c>
      <c r="O1626" s="28" t="e">
        <f ca="1">[1]!BexGetData("DP_1","003N8EMH8GTFRIVOG7KG9J3KE","GSON1112110375")</f>
        <v>#NAME?</v>
      </c>
      <c r="P1626" s="28" t="e">
        <f ca="1">[1]!BexGetData("DP_1","003N8EMH8GTFRIVOG7KG9J9VY","GSON1112110375")</f>
        <v>#NAME?</v>
      </c>
      <c r="Q1626" s="24" t="e">
        <f ca="1">[1]!BexGetData("DP_1","00O2TNJGODT0G5Z4TTKYMM5MT","GSON1112110375")</f>
        <v>#NAME?</v>
      </c>
      <c r="R1626" s="24" t="e">
        <f ca="1">[1]!BexGetData("DP_1","00O2TNJGODT0G5Z4TTKYMMBYD","GSON1112110375")</f>
        <v>#NAME?</v>
      </c>
      <c r="S1626" s="24" t="e">
        <f ca="1">[1]!BexGetData("DP_1","00O2TNJGODT0G5Z4TTKYMMI9X","GSON1112110375")</f>
        <v>#NAME?</v>
      </c>
      <c r="T1626" s="24" t="e">
        <f ca="1">[1]!BexGetData("DP_1","00O2TNJGODT0G5Z4TTKYMMOLH","GSON1112110375")</f>
        <v>#NAME?</v>
      </c>
      <c r="U1626" s="24" t="e">
        <f ca="1">[1]!BexGetData("DP_1","00O2TNJGODT0G5Z4TTKYMMUX1","GSON1112110375")</f>
        <v>#NAME?</v>
      </c>
      <c r="V1626" s="24" t="e">
        <f ca="1">[1]!BexGetData("DP_1","00O2TNJGODT0G5Z4TTKYMN18L","GSON1112110375")</f>
        <v>#NAME?</v>
      </c>
      <c r="W1626" s="24" t="e">
        <f ca="1">[1]!BexGetData("DP_1","00O2TNJGODT0G5Z4TTKYMN7K5","GSON1112110375")</f>
        <v>#NAME?</v>
      </c>
    </row>
    <row r="1627" spans="1:23" x14ac:dyDescent="0.2">
      <c r="A1627" s="36" t="s">
        <v>4327</v>
      </c>
      <c r="B1627" s="27" t="s">
        <v>4328</v>
      </c>
      <c r="C1627" s="23" t="e">
        <f ca="1">[1]!BexGetData("DP_1","003N8EMH8GTFRCSWKMPXRR8GU","GSON1112110380")</f>
        <v>#NAME?</v>
      </c>
      <c r="D1627" s="23" t="e">
        <f ca="1">[1]!BexGetData("DP_1","003N8EMH8GTFRCSWKMPXRRESE","GSON1112110380")</f>
        <v>#NAME?</v>
      </c>
      <c r="E1627" s="28" t="e">
        <f ca="1">[1]!BexGetData("DP_1","003N8EMH8GTFRCSWKMPXRRL3Y","GSON1112110380")</f>
        <v>#NAME?</v>
      </c>
      <c r="F1627" s="23" t="e">
        <f ca="1">[1]!BexGetData("DP_1","003N8EMH8GTFRCSWKMPXRRRFI","GSON1112110380")</f>
        <v>#NAME?</v>
      </c>
      <c r="G1627" s="23" t="e">
        <f ca="1">[1]!BexGetData("DP_1","003N8EMH8GTFRCSWKMPXRRXR2","GSON1112110380")</f>
        <v>#NAME?</v>
      </c>
      <c r="H1627" s="23" t="e">
        <f ca="1">[1]!BexGetData("DP_1","003N8EMH8GTFRCSWKMPXRS42M","GSON1112110380")</f>
        <v>#NAME?</v>
      </c>
      <c r="I1627" s="23" t="e">
        <f ca="1">[1]!BexGetData("DP_1","003N8EMH8GTFRCSWKMPXRSAE6","GSON1112110380")</f>
        <v>#NAME?</v>
      </c>
      <c r="J1627" s="24" t="e">
        <f ca="1">[1]!BexGetData("DP_1","003N8EMH8GTFRCSWKMPXRSGPQ","GSON1112110380")</f>
        <v>#NAME?</v>
      </c>
      <c r="K1627" s="23" t="e">
        <f ca="1">[1]!BexGetData("DP_1","003N8EMH8GTFRIVNUPY288VJH","GSON1112110380")</f>
        <v>#NAME?</v>
      </c>
      <c r="L1627" s="23" t="e">
        <f ca="1">[1]!BexGetData("DP_1","003N8EMH8GTFRIVNUPY2891V1","GSON1112110380")</f>
        <v>#NAME?</v>
      </c>
      <c r="M1627" s="23" t="e">
        <f ca="1">[1]!BexGetData("DP_1","003N8EMH8GTFRIVOG7KG9IQXA","GSON1112110380")</f>
        <v>#NAME?</v>
      </c>
      <c r="N1627" s="28" t="e">
        <f ca="1">[1]!BexGetData("DP_1","003N8EMH8GTFRIVOG7KG9IX8U","GSON1112110380")</f>
        <v>#NAME?</v>
      </c>
      <c r="O1627" s="23" t="e">
        <f ca="1">[1]!BexGetData("DP_1","003N8EMH8GTFRIVOG7KG9J3KE","GSON1112110380")</f>
        <v>#NAME?</v>
      </c>
      <c r="P1627" s="28" t="e">
        <f ca="1">[1]!BexGetData("DP_1","003N8EMH8GTFRIVOG7KG9J9VY","GSON1112110380")</f>
        <v>#NAME?</v>
      </c>
      <c r="Q1627" s="24" t="e">
        <f ca="1">[1]!BexGetData("DP_1","00O2TNJGODT0G5Z4TTKYMM5MT","GSON1112110380")</f>
        <v>#NAME?</v>
      </c>
      <c r="R1627" s="23" t="e">
        <f ca="1">[1]!BexGetData("DP_1","00O2TNJGODT0G5Z4TTKYMMBYD","GSON1112110380")</f>
        <v>#NAME?</v>
      </c>
      <c r="S1627" s="23" t="e">
        <f ca="1">[1]!BexGetData("DP_1","00O2TNJGODT0G5Z4TTKYMMI9X","GSON1112110380")</f>
        <v>#NAME?</v>
      </c>
      <c r="T1627" s="28" t="e">
        <f ca="1">[1]!BexGetData("DP_1","00O2TNJGODT0G5Z4TTKYMMOLH","GSON1112110380")</f>
        <v>#NAME?</v>
      </c>
      <c r="U1627" s="23" t="e">
        <f ca="1">[1]!BexGetData("DP_1","00O2TNJGODT0G5Z4TTKYMMUX1","GSON1112110380")</f>
        <v>#NAME?</v>
      </c>
      <c r="V1627" s="28" t="e">
        <f ca="1">[1]!BexGetData("DP_1","00O2TNJGODT0G5Z4TTKYMN18L","GSON1112110380")</f>
        <v>#NAME?</v>
      </c>
      <c r="W1627" s="23" t="e">
        <f ca="1">[1]!BexGetData("DP_1","00O2TNJGODT0G5Z4TTKYMN7K5","GSON1112110380")</f>
        <v>#NAME?</v>
      </c>
    </row>
    <row r="1628" spans="1:23" x14ac:dyDescent="0.2">
      <c r="A1628" s="36" t="s">
        <v>4329</v>
      </c>
      <c r="B1628" s="27" t="s">
        <v>4330</v>
      </c>
      <c r="C1628" s="23" t="e">
        <f ca="1">[1]!BexGetData("DP_1","003N8EMH8GTFRCSWKMPXRR8GU","GSON1112110381")</f>
        <v>#NAME?</v>
      </c>
      <c r="D1628" s="23" t="e">
        <f ca="1">[1]!BexGetData("DP_1","003N8EMH8GTFRCSWKMPXRRESE","GSON1112110381")</f>
        <v>#NAME?</v>
      </c>
      <c r="E1628" s="28" t="e">
        <f ca="1">[1]!BexGetData("DP_1","003N8EMH8GTFRCSWKMPXRRL3Y","GSON1112110381")</f>
        <v>#NAME?</v>
      </c>
      <c r="F1628" s="28" t="e">
        <f ca="1">[1]!BexGetData("DP_1","003N8EMH8GTFRCSWKMPXRRRFI","GSON1112110381")</f>
        <v>#NAME?</v>
      </c>
      <c r="G1628" s="23" t="e">
        <f ca="1">[1]!BexGetData("DP_1","003N8EMH8GTFRCSWKMPXRRXR2","GSON1112110381")</f>
        <v>#NAME?</v>
      </c>
      <c r="H1628" s="23" t="e">
        <f ca="1">[1]!BexGetData("DP_1","003N8EMH8GTFRCSWKMPXRS42M","GSON1112110381")</f>
        <v>#NAME?</v>
      </c>
      <c r="I1628" s="28" t="e">
        <f ca="1">[1]!BexGetData("DP_1","003N8EMH8GTFRCSWKMPXRSAE6","GSON1112110381")</f>
        <v>#NAME?</v>
      </c>
      <c r="J1628" s="24" t="e">
        <f ca="1">[1]!BexGetData("DP_1","003N8EMH8GTFRCSWKMPXRSGPQ","GSON1112110381")</f>
        <v>#NAME?</v>
      </c>
      <c r="K1628" s="28" t="e">
        <f ca="1">[1]!BexGetData("DP_1","003N8EMH8GTFRIVNUPY288VJH","GSON1112110381")</f>
        <v>#NAME?</v>
      </c>
      <c r="L1628" s="28" t="e">
        <f ca="1">[1]!BexGetData("DP_1","003N8EMH8GTFRIVNUPY2891V1","GSON1112110381")</f>
        <v>#NAME?</v>
      </c>
      <c r="M1628" s="28" t="e">
        <f ca="1">[1]!BexGetData("DP_1","003N8EMH8GTFRIVOG7KG9IQXA","GSON1112110381")</f>
        <v>#NAME?</v>
      </c>
      <c r="N1628" s="28" t="e">
        <f ca="1">[1]!BexGetData("DP_1","003N8EMH8GTFRIVOG7KG9IX8U","GSON1112110381")</f>
        <v>#NAME?</v>
      </c>
      <c r="O1628" s="28" t="e">
        <f ca="1">[1]!BexGetData("DP_1","003N8EMH8GTFRIVOG7KG9J3KE","GSON1112110381")</f>
        <v>#NAME?</v>
      </c>
      <c r="P1628" s="28" t="e">
        <f ca="1">[1]!BexGetData("DP_1","003N8EMH8GTFRIVOG7KG9J9VY","GSON1112110381")</f>
        <v>#NAME?</v>
      </c>
      <c r="Q1628" s="24" t="e">
        <f ca="1">[1]!BexGetData("DP_1","00O2TNJGODT0G5Z4TTKYMM5MT","GSON1112110381")</f>
        <v>#NAME?</v>
      </c>
      <c r="R1628" s="28" t="e">
        <f ca="1">[1]!BexGetData("DP_1","00O2TNJGODT0G5Z4TTKYMMBYD","GSON1112110381")</f>
        <v>#NAME?</v>
      </c>
      <c r="S1628" s="28" t="e">
        <f ca="1">[1]!BexGetData("DP_1","00O2TNJGODT0G5Z4TTKYMMI9X","GSON1112110381")</f>
        <v>#NAME?</v>
      </c>
      <c r="T1628" s="28" t="e">
        <f ca="1">[1]!BexGetData("DP_1","00O2TNJGODT0G5Z4TTKYMMOLH","GSON1112110381")</f>
        <v>#NAME?</v>
      </c>
      <c r="U1628" s="28" t="e">
        <f ca="1">[1]!BexGetData("DP_1","00O2TNJGODT0G5Z4TTKYMMUX1","GSON1112110381")</f>
        <v>#NAME?</v>
      </c>
      <c r="V1628" s="28" t="e">
        <f ca="1">[1]!BexGetData("DP_1","00O2TNJGODT0G5Z4TTKYMN18L","GSON1112110381")</f>
        <v>#NAME?</v>
      </c>
      <c r="W1628" s="28" t="e">
        <f ca="1">[1]!BexGetData("DP_1","00O2TNJGODT0G5Z4TTKYMN7K5","GSON1112110381")</f>
        <v>#NAME?</v>
      </c>
    </row>
    <row r="1629" spans="1:23" x14ac:dyDescent="0.2">
      <c r="A1629" s="36" t="s">
        <v>4331</v>
      </c>
      <c r="B1629" s="27" t="s">
        <v>4332</v>
      </c>
      <c r="C1629" s="23" t="e">
        <f ca="1">[1]!BexGetData("DP_1","003N8EMH8GTFRCSWKMPXRR8GU","GSON1112110383")</f>
        <v>#NAME?</v>
      </c>
      <c r="D1629" s="23" t="e">
        <f ca="1">[1]!BexGetData("DP_1","003N8EMH8GTFRCSWKMPXRRESE","GSON1112110383")</f>
        <v>#NAME?</v>
      </c>
      <c r="E1629" s="28" t="e">
        <f ca="1">[1]!BexGetData("DP_1","003N8EMH8GTFRCSWKMPXRRL3Y","GSON1112110383")</f>
        <v>#NAME?</v>
      </c>
      <c r="F1629" s="28" t="e">
        <f ca="1">[1]!BexGetData("DP_1","003N8EMH8GTFRCSWKMPXRRRFI","GSON1112110383")</f>
        <v>#NAME?</v>
      </c>
      <c r="G1629" s="23" t="e">
        <f ca="1">[1]!BexGetData("DP_1","003N8EMH8GTFRCSWKMPXRRXR2","GSON1112110383")</f>
        <v>#NAME?</v>
      </c>
      <c r="H1629" s="23" t="e">
        <f ca="1">[1]!BexGetData("DP_1","003N8EMH8GTFRCSWKMPXRS42M","GSON1112110383")</f>
        <v>#NAME?</v>
      </c>
      <c r="I1629" s="28" t="e">
        <f ca="1">[1]!BexGetData("DP_1","003N8EMH8GTFRCSWKMPXRSAE6","GSON1112110383")</f>
        <v>#NAME?</v>
      </c>
      <c r="J1629" s="24" t="e">
        <f ca="1">[1]!BexGetData("DP_1","003N8EMH8GTFRCSWKMPXRSGPQ","GSON1112110383")</f>
        <v>#NAME?</v>
      </c>
      <c r="K1629" s="28" t="e">
        <f ca="1">[1]!BexGetData("DP_1","003N8EMH8GTFRIVNUPY288VJH","GSON1112110383")</f>
        <v>#NAME?</v>
      </c>
      <c r="L1629" s="28" t="e">
        <f ca="1">[1]!BexGetData("DP_1","003N8EMH8GTFRIVNUPY2891V1","GSON1112110383")</f>
        <v>#NAME?</v>
      </c>
      <c r="M1629" s="28" t="e">
        <f ca="1">[1]!BexGetData("DP_1","003N8EMH8GTFRIVOG7KG9IQXA","GSON1112110383")</f>
        <v>#NAME?</v>
      </c>
      <c r="N1629" s="28" t="e">
        <f ca="1">[1]!BexGetData("DP_1","003N8EMH8GTFRIVOG7KG9IX8U","GSON1112110383")</f>
        <v>#NAME?</v>
      </c>
      <c r="O1629" s="28" t="e">
        <f ca="1">[1]!BexGetData("DP_1","003N8EMH8GTFRIVOG7KG9J3KE","GSON1112110383")</f>
        <v>#NAME?</v>
      </c>
      <c r="P1629" s="28" t="e">
        <f ca="1">[1]!BexGetData("DP_1","003N8EMH8GTFRIVOG7KG9J9VY","GSON1112110383")</f>
        <v>#NAME?</v>
      </c>
      <c r="Q1629" s="24" t="e">
        <f ca="1">[1]!BexGetData("DP_1","00O2TNJGODT0G5Z4TTKYMM5MT","GSON1112110383")</f>
        <v>#NAME?</v>
      </c>
      <c r="R1629" s="28" t="e">
        <f ca="1">[1]!BexGetData("DP_1","00O2TNJGODT0G5Z4TTKYMMBYD","GSON1112110383")</f>
        <v>#NAME?</v>
      </c>
      <c r="S1629" s="28" t="e">
        <f ca="1">[1]!BexGetData("DP_1","00O2TNJGODT0G5Z4TTKYMMI9X","GSON1112110383")</f>
        <v>#NAME?</v>
      </c>
      <c r="T1629" s="28" t="e">
        <f ca="1">[1]!BexGetData("DP_1","00O2TNJGODT0G5Z4TTKYMMOLH","GSON1112110383")</f>
        <v>#NAME?</v>
      </c>
      <c r="U1629" s="28" t="e">
        <f ca="1">[1]!BexGetData("DP_1","00O2TNJGODT0G5Z4TTKYMMUX1","GSON1112110383")</f>
        <v>#NAME?</v>
      </c>
      <c r="V1629" s="28" t="e">
        <f ca="1">[1]!BexGetData("DP_1","00O2TNJGODT0G5Z4TTKYMN18L","GSON1112110383")</f>
        <v>#NAME?</v>
      </c>
      <c r="W1629" s="28" t="e">
        <f ca="1">[1]!BexGetData("DP_1","00O2TNJGODT0G5Z4TTKYMN7K5","GSON1112110383")</f>
        <v>#NAME?</v>
      </c>
    </row>
    <row r="1630" spans="1:23" x14ac:dyDescent="0.2">
      <c r="A1630" s="36" t="s">
        <v>4333</v>
      </c>
      <c r="B1630" s="27" t="s">
        <v>4334</v>
      </c>
      <c r="C1630" s="23" t="e">
        <f ca="1">[1]!BexGetData("DP_1","003N8EMH8GTFRCSWKMPXRR8GU","GSON1112110384")</f>
        <v>#NAME?</v>
      </c>
      <c r="D1630" s="23" t="e">
        <f ca="1">[1]!BexGetData("DP_1","003N8EMH8GTFRCSWKMPXRRESE","GSON1112110384")</f>
        <v>#NAME?</v>
      </c>
      <c r="E1630" s="28" t="e">
        <f ca="1">[1]!BexGetData("DP_1","003N8EMH8GTFRCSWKMPXRRL3Y","GSON1112110384")</f>
        <v>#NAME?</v>
      </c>
      <c r="F1630" s="28" t="e">
        <f ca="1">[1]!BexGetData("DP_1","003N8EMH8GTFRCSWKMPXRRRFI","GSON1112110384")</f>
        <v>#NAME?</v>
      </c>
      <c r="G1630" s="23" t="e">
        <f ca="1">[1]!BexGetData("DP_1","003N8EMH8GTFRCSWKMPXRRXR2","GSON1112110384")</f>
        <v>#NAME?</v>
      </c>
      <c r="H1630" s="23" t="e">
        <f ca="1">[1]!BexGetData("DP_1","003N8EMH8GTFRCSWKMPXRS42M","GSON1112110384")</f>
        <v>#NAME?</v>
      </c>
      <c r="I1630" s="28" t="e">
        <f ca="1">[1]!BexGetData("DP_1","003N8EMH8GTFRCSWKMPXRSAE6","GSON1112110384")</f>
        <v>#NAME?</v>
      </c>
      <c r="J1630" s="24" t="e">
        <f ca="1">[1]!BexGetData("DP_1","003N8EMH8GTFRCSWKMPXRSGPQ","GSON1112110384")</f>
        <v>#NAME?</v>
      </c>
      <c r="K1630" s="28" t="e">
        <f ca="1">[1]!BexGetData("DP_1","003N8EMH8GTFRIVNUPY288VJH","GSON1112110384")</f>
        <v>#NAME?</v>
      </c>
      <c r="L1630" s="28" t="e">
        <f ca="1">[1]!BexGetData("DP_1","003N8EMH8GTFRIVNUPY2891V1","GSON1112110384")</f>
        <v>#NAME?</v>
      </c>
      <c r="M1630" s="28" t="e">
        <f ca="1">[1]!BexGetData("DP_1","003N8EMH8GTFRIVOG7KG9IQXA","GSON1112110384")</f>
        <v>#NAME?</v>
      </c>
      <c r="N1630" s="28" t="e">
        <f ca="1">[1]!BexGetData("DP_1","003N8EMH8GTFRIVOG7KG9IX8U","GSON1112110384")</f>
        <v>#NAME?</v>
      </c>
      <c r="O1630" s="28" t="e">
        <f ca="1">[1]!BexGetData("DP_1","003N8EMH8GTFRIVOG7KG9J3KE","GSON1112110384")</f>
        <v>#NAME?</v>
      </c>
      <c r="P1630" s="28" t="e">
        <f ca="1">[1]!BexGetData("DP_1","003N8EMH8GTFRIVOG7KG9J9VY","GSON1112110384")</f>
        <v>#NAME?</v>
      </c>
      <c r="Q1630" s="24" t="e">
        <f ca="1">[1]!BexGetData("DP_1","00O2TNJGODT0G5Z4TTKYMM5MT","GSON1112110384")</f>
        <v>#NAME?</v>
      </c>
      <c r="R1630" s="28" t="e">
        <f ca="1">[1]!BexGetData("DP_1","00O2TNJGODT0G5Z4TTKYMMBYD","GSON1112110384")</f>
        <v>#NAME?</v>
      </c>
      <c r="S1630" s="28" t="e">
        <f ca="1">[1]!BexGetData("DP_1","00O2TNJGODT0G5Z4TTKYMMI9X","GSON1112110384")</f>
        <v>#NAME?</v>
      </c>
      <c r="T1630" s="28" t="e">
        <f ca="1">[1]!BexGetData("DP_1","00O2TNJGODT0G5Z4TTKYMMOLH","GSON1112110384")</f>
        <v>#NAME?</v>
      </c>
      <c r="U1630" s="28" t="e">
        <f ca="1">[1]!BexGetData("DP_1","00O2TNJGODT0G5Z4TTKYMMUX1","GSON1112110384")</f>
        <v>#NAME?</v>
      </c>
      <c r="V1630" s="28" t="e">
        <f ca="1">[1]!BexGetData("DP_1","00O2TNJGODT0G5Z4TTKYMN18L","GSON1112110384")</f>
        <v>#NAME?</v>
      </c>
      <c r="W1630" s="28" t="e">
        <f ca="1">[1]!BexGetData("DP_1","00O2TNJGODT0G5Z4TTKYMN7K5","GSON1112110384")</f>
        <v>#NAME?</v>
      </c>
    </row>
    <row r="1631" spans="1:23" x14ac:dyDescent="0.2">
      <c r="A1631" s="36" t="s">
        <v>4335</v>
      </c>
      <c r="B1631" s="27" t="s">
        <v>4336</v>
      </c>
      <c r="C1631" s="23" t="e">
        <f ca="1">[1]!BexGetData("DP_1","003N8EMH8GTFRCSWKMPXRR8GU","GSON1112110385")</f>
        <v>#NAME?</v>
      </c>
      <c r="D1631" s="23" t="e">
        <f ca="1">[1]!BexGetData("DP_1","003N8EMH8GTFRCSWKMPXRRESE","GSON1112110385")</f>
        <v>#NAME?</v>
      </c>
      <c r="E1631" s="28" t="e">
        <f ca="1">[1]!BexGetData("DP_1","003N8EMH8GTFRCSWKMPXRRL3Y","GSON1112110385")</f>
        <v>#NAME?</v>
      </c>
      <c r="F1631" s="28" t="e">
        <f ca="1">[1]!BexGetData("DP_1","003N8EMH8GTFRCSWKMPXRRRFI","GSON1112110385")</f>
        <v>#NAME?</v>
      </c>
      <c r="G1631" s="23" t="e">
        <f ca="1">[1]!BexGetData("DP_1","003N8EMH8GTFRCSWKMPXRRXR2","GSON1112110385")</f>
        <v>#NAME?</v>
      </c>
      <c r="H1631" s="23" t="e">
        <f ca="1">[1]!BexGetData("DP_1","003N8EMH8GTFRCSWKMPXRS42M","GSON1112110385")</f>
        <v>#NAME?</v>
      </c>
      <c r="I1631" s="28" t="e">
        <f ca="1">[1]!BexGetData("DP_1","003N8EMH8GTFRCSWKMPXRSAE6","GSON1112110385")</f>
        <v>#NAME?</v>
      </c>
      <c r="J1631" s="24" t="e">
        <f ca="1">[1]!BexGetData("DP_1","003N8EMH8GTFRCSWKMPXRSGPQ","GSON1112110385")</f>
        <v>#NAME?</v>
      </c>
      <c r="K1631" s="28" t="e">
        <f ca="1">[1]!BexGetData("DP_1","003N8EMH8GTFRIVNUPY288VJH","GSON1112110385")</f>
        <v>#NAME?</v>
      </c>
      <c r="L1631" s="28" t="e">
        <f ca="1">[1]!BexGetData("DP_1","003N8EMH8GTFRIVNUPY2891V1","GSON1112110385")</f>
        <v>#NAME?</v>
      </c>
      <c r="M1631" s="28" t="e">
        <f ca="1">[1]!BexGetData("DP_1","003N8EMH8GTFRIVOG7KG9IQXA","GSON1112110385")</f>
        <v>#NAME?</v>
      </c>
      <c r="N1631" s="28" t="e">
        <f ca="1">[1]!BexGetData("DP_1","003N8EMH8GTFRIVOG7KG9IX8U","GSON1112110385")</f>
        <v>#NAME?</v>
      </c>
      <c r="O1631" s="28" t="e">
        <f ca="1">[1]!BexGetData("DP_1","003N8EMH8GTFRIVOG7KG9J3KE","GSON1112110385")</f>
        <v>#NAME?</v>
      </c>
      <c r="P1631" s="28" t="e">
        <f ca="1">[1]!BexGetData("DP_1","003N8EMH8GTFRIVOG7KG9J9VY","GSON1112110385")</f>
        <v>#NAME?</v>
      </c>
      <c r="Q1631" s="24" t="e">
        <f ca="1">[1]!BexGetData("DP_1","00O2TNJGODT0G5Z4TTKYMM5MT","GSON1112110385")</f>
        <v>#NAME?</v>
      </c>
      <c r="R1631" s="28" t="e">
        <f ca="1">[1]!BexGetData("DP_1","00O2TNJGODT0G5Z4TTKYMMBYD","GSON1112110385")</f>
        <v>#NAME?</v>
      </c>
      <c r="S1631" s="28" t="e">
        <f ca="1">[1]!BexGetData("DP_1","00O2TNJGODT0G5Z4TTKYMMI9X","GSON1112110385")</f>
        <v>#NAME?</v>
      </c>
      <c r="T1631" s="28" t="e">
        <f ca="1">[1]!BexGetData("DP_1","00O2TNJGODT0G5Z4TTKYMMOLH","GSON1112110385")</f>
        <v>#NAME?</v>
      </c>
      <c r="U1631" s="28" t="e">
        <f ca="1">[1]!BexGetData("DP_1","00O2TNJGODT0G5Z4TTKYMMUX1","GSON1112110385")</f>
        <v>#NAME?</v>
      </c>
      <c r="V1631" s="28" t="e">
        <f ca="1">[1]!BexGetData("DP_1","00O2TNJGODT0G5Z4TTKYMN18L","GSON1112110385")</f>
        <v>#NAME?</v>
      </c>
      <c r="W1631" s="28" t="e">
        <f ca="1">[1]!BexGetData("DP_1","00O2TNJGODT0G5Z4TTKYMN7K5","GSON1112110385")</f>
        <v>#NAME?</v>
      </c>
    </row>
    <row r="1632" spans="1:23" x14ac:dyDescent="0.2">
      <c r="A1632" s="36" t="s">
        <v>4337</v>
      </c>
      <c r="B1632" s="27" t="s">
        <v>4338</v>
      </c>
      <c r="C1632" s="23" t="e">
        <f ca="1">[1]!BexGetData("DP_1","003N8EMH8GTFRCSWKMPXRR8GU","GSON1112110390")</f>
        <v>#NAME?</v>
      </c>
      <c r="D1632" s="23" t="e">
        <f ca="1">[1]!BexGetData("DP_1","003N8EMH8GTFRCSWKMPXRRESE","GSON1112110390")</f>
        <v>#NAME?</v>
      </c>
      <c r="E1632" s="28" t="e">
        <f ca="1">[1]!BexGetData("DP_1","003N8EMH8GTFRCSWKMPXRRL3Y","GSON1112110390")</f>
        <v>#NAME?</v>
      </c>
      <c r="F1632" s="23" t="e">
        <f ca="1">[1]!BexGetData("DP_1","003N8EMH8GTFRCSWKMPXRRRFI","GSON1112110390")</f>
        <v>#NAME?</v>
      </c>
      <c r="G1632" s="23" t="e">
        <f ca="1">[1]!BexGetData("DP_1","003N8EMH8GTFRCSWKMPXRRXR2","GSON1112110390")</f>
        <v>#NAME?</v>
      </c>
      <c r="H1632" s="23" t="e">
        <f ca="1">[1]!BexGetData("DP_1","003N8EMH8GTFRCSWKMPXRS42M","GSON1112110390")</f>
        <v>#NAME?</v>
      </c>
      <c r="I1632" s="23" t="e">
        <f ca="1">[1]!BexGetData("DP_1","003N8EMH8GTFRCSWKMPXRSAE6","GSON1112110390")</f>
        <v>#NAME?</v>
      </c>
      <c r="J1632" s="24" t="e">
        <f ca="1">[1]!BexGetData("DP_1","003N8EMH8GTFRCSWKMPXRSGPQ","GSON1112110390")</f>
        <v>#NAME?</v>
      </c>
      <c r="K1632" s="23" t="e">
        <f ca="1">[1]!BexGetData("DP_1","003N8EMH8GTFRIVNUPY288VJH","GSON1112110390")</f>
        <v>#NAME?</v>
      </c>
      <c r="L1632" s="23" t="e">
        <f ca="1">[1]!BexGetData("DP_1","003N8EMH8GTFRIVNUPY2891V1","GSON1112110390")</f>
        <v>#NAME?</v>
      </c>
      <c r="M1632" s="23" t="e">
        <f ca="1">[1]!BexGetData("DP_1","003N8EMH8GTFRIVOG7KG9IQXA","GSON1112110390")</f>
        <v>#NAME?</v>
      </c>
      <c r="N1632" s="28" t="e">
        <f ca="1">[1]!BexGetData("DP_1","003N8EMH8GTFRIVOG7KG9IX8U","GSON1112110390")</f>
        <v>#NAME?</v>
      </c>
      <c r="O1632" s="23" t="e">
        <f ca="1">[1]!BexGetData("DP_1","003N8EMH8GTFRIVOG7KG9J3KE","GSON1112110390")</f>
        <v>#NAME?</v>
      </c>
      <c r="P1632" s="28" t="e">
        <f ca="1">[1]!BexGetData("DP_1","003N8EMH8GTFRIVOG7KG9J9VY","GSON1112110390")</f>
        <v>#NAME?</v>
      </c>
      <c r="Q1632" s="24" t="e">
        <f ca="1">[1]!BexGetData("DP_1","00O2TNJGODT0G5Z4TTKYMM5MT","GSON1112110390")</f>
        <v>#NAME?</v>
      </c>
      <c r="R1632" s="23" t="e">
        <f ca="1">[1]!BexGetData("DP_1","00O2TNJGODT0G5Z4TTKYMMBYD","GSON1112110390")</f>
        <v>#NAME?</v>
      </c>
      <c r="S1632" s="23" t="e">
        <f ca="1">[1]!BexGetData("DP_1","00O2TNJGODT0G5Z4TTKYMMI9X","GSON1112110390")</f>
        <v>#NAME?</v>
      </c>
      <c r="T1632" s="28" t="e">
        <f ca="1">[1]!BexGetData("DP_1","00O2TNJGODT0G5Z4TTKYMMOLH","GSON1112110390")</f>
        <v>#NAME?</v>
      </c>
      <c r="U1632" s="23" t="e">
        <f ca="1">[1]!BexGetData("DP_1","00O2TNJGODT0G5Z4TTKYMMUX1","GSON1112110390")</f>
        <v>#NAME?</v>
      </c>
      <c r="V1632" s="28" t="e">
        <f ca="1">[1]!BexGetData("DP_1","00O2TNJGODT0G5Z4TTKYMN18L","GSON1112110390")</f>
        <v>#NAME?</v>
      </c>
      <c r="W1632" s="23" t="e">
        <f ca="1">[1]!BexGetData("DP_1","00O2TNJGODT0G5Z4TTKYMN7K5","GSON1112110390")</f>
        <v>#NAME?</v>
      </c>
    </row>
    <row r="1633" spans="1:23" x14ac:dyDescent="0.2">
      <c r="A1633" s="36" t="s">
        <v>4339</v>
      </c>
      <c r="B1633" s="27" t="s">
        <v>4340</v>
      </c>
      <c r="C1633" s="23" t="e">
        <f ca="1">[1]!BexGetData("DP_1","003N8EMH8GTFRCSWKMPXRR8GU","GSON1112110391")</f>
        <v>#NAME?</v>
      </c>
      <c r="D1633" s="23" t="e">
        <f ca="1">[1]!BexGetData("DP_1","003N8EMH8GTFRCSWKMPXRRESE","GSON1112110391")</f>
        <v>#NAME?</v>
      </c>
      <c r="E1633" s="28" t="e">
        <f ca="1">[1]!BexGetData("DP_1","003N8EMH8GTFRCSWKMPXRRL3Y","GSON1112110391")</f>
        <v>#NAME?</v>
      </c>
      <c r="F1633" s="28" t="e">
        <f ca="1">[1]!BexGetData("DP_1","003N8EMH8GTFRCSWKMPXRRRFI","GSON1112110391")</f>
        <v>#NAME?</v>
      </c>
      <c r="G1633" s="23" t="e">
        <f ca="1">[1]!BexGetData("DP_1","003N8EMH8GTFRCSWKMPXRRXR2","GSON1112110391")</f>
        <v>#NAME?</v>
      </c>
      <c r="H1633" s="23" t="e">
        <f ca="1">[1]!BexGetData("DP_1","003N8EMH8GTFRCSWKMPXRS42M","GSON1112110391")</f>
        <v>#NAME?</v>
      </c>
      <c r="I1633" s="28" t="e">
        <f ca="1">[1]!BexGetData("DP_1","003N8EMH8GTFRCSWKMPXRSAE6","GSON1112110391")</f>
        <v>#NAME?</v>
      </c>
      <c r="J1633" s="24" t="e">
        <f ca="1">[1]!BexGetData("DP_1","003N8EMH8GTFRCSWKMPXRSGPQ","GSON1112110391")</f>
        <v>#NAME?</v>
      </c>
      <c r="K1633" s="28" t="e">
        <f ca="1">[1]!BexGetData("DP_1","003N8EMH8GTFRIVNUPY288VJH","GSON1112110391")</f>
        <v>#NAME?</v>
      </c>
      <c r="L1633" s="28" t="e">
        <f ca="1">[1]!BexGetData("DP_1","003N8EMH8GTFRIVNUPY2891V1","GSON1112110391")</f>
        <v>#NAME?</v>
      </c>
      <c r="M1633" s="28" t="e">
        <f ca="1">[1]!BexGetData("DP_1","003N8EMH8GTFRIVOG7KG9IQXA","GSON1112110391")</f>
        <v>#NAME?</v>
      </c>
      <c r="N1633" s="28" t="e">
        <f ca="1">[1]!BexGetData("DP_1","003N8EMH8GTFRIVOG7KG9IX8U","GSON1112110391")</f>
        <v>#NAME?</v>
      </c>
      <c r="O1633" s="28" t="e">
        <f ca="1">[1]!BexGetData("DP_1","003N8EMH8GTFRIVOG7KG9J3KE","GSON1112110391")</f>
        <v>#NAME?</v>
      </c>
      <c r="P1633" s="28" t="e">
        <f ca="1">[1]!BexGetData("DP_1","003N8EMH8GTFRIVOG7KG9J9VY","GSON1112110391")</f>
        <v>#NAME?</v>
      </c>
      <c r="Q1633" s="24" t="e">
        <f ca="1">[1]!BexGetData("DP_1","00O2TNJGODT0G5Z4TTKYMM5MT","GSON1112110391")</f>
        <v>#NAME?</v>
      </c>
      <c r="R1633" s="28" t="e">
        <f ca="1">[1]!BexGetData("DP_1","00O2TNJGODT0G5Z4TTKYMMBYD","GSON1112110391")</f>
        <v>#NAME?</v>
      </c>
      <c r="S1633" s="28" t="e">
        <f ca="1">[1]!BexGetData("DP_1","00O2TNJGODT0G5Z4TTKYMMI9X","GSON1112110391")</f>
        <v>#NAME?</v>
      </c>
      <c r="T1633" s="28" t="e">
        <f ca="1">[1]!BexGetData("DP_1","00O2TNJGODT0G5Z4TTKYMMOLH","GSON1112110391")</f>
        <v>#NAME?</v>
      </c>
      <c r="U1633" s="28" t="e">
        <f ca="1">[1]!BexGetData("DP_1","00O2TNJGODT0G5Z4TTKYMMUX1","GSON1112110391")</f>
        <v>#NAME?</v>
      </c>
      <c r="V1633" s="28" t="e">
        <f ca="1">[1]!BexGetData("DP_1","00O2TNJGODT0G5Z4TTKYMN18L","GSON1112110391")</f>
        <v>#NAME?</v>
      </c>
      <c r="W1633" s="28" t="e">
        <f ca="1">[1]!BexGetData("DP_1","00O2TNJGODT0G5Z4TTKYMN7K5","GSON1112110391")</f>
        <v>#NAME?</v>
      </c>
    </row>
    <row r="1634" spans="1:23" x14ac:dyDescent="0.2">
      <c r="A1634" s="36" t="s">
        <v>4341</v>
      </c>
      <c r="B1634" s="27" t="s">
        <v>4342</v>
      </c>
      <c r="C1634" s="23" t="e">
        <f ca="1">[1]!BexGetData("DP_1","003N8EMH8GTFRCSWKMPXRR8GU","GSON1112110393")</f>
        <v>#NAME?</v>
      </c>
      <c r="D1634" s="23" t="e">
        <f ca="1">[1]!BexGetData("DP_1","003N8EMH8GTFRCSWKMPXRRESE","GSON1112110393")</f>
        <v>#NAME?</v>
      </c>
      <c r="E1634" s="28" t="e">
        <f ca="1">[1]!BexGetData("DP_1","003N8EMH8GTFRCSWKMPXRRL3Y","GSON1112110393")</f>
        <v>#NAME?</v>
      </c>
      <c r="F1634" s="28" t="e">
        <f ca="1">[1]!BexGetData("DP_1","003N8EMH8GTFRCSWKMPXRRRFI","GSON1112110393")</f>
        <v>#NAME?</v>
      </c>
      <c r="G1634" s="23" t="e">
        <f ca="1">[1]!BexGetData("DP_1","003N8EMH8GTFRCSWKMPXRRXR2","GSON1112110393")</f>
        <v>#NAME?</v>
      </c>
      <c r="H1634" s="23" t="e">
        <f ca="1">[1]!BexGetData("DP_1","003N8EMH8GTFRCSWKMPXRS42M","GSON1112110393")</f>
        <v>#NAME?</v>
      </c>
      <c r="I1634" s="28" t="e">
        <f ca="1">[1]!BexGetData("DP_1","003N8EMH8GTFRCSWKMPXRSAE6","GSON1112110393")</f>
        <v>#NAME?</v>
      </c>
      <c r="J1634" s="24" t="e">
        <f ca="1">[1]!BexGetData("DP_1","003N8EMH8GTFRCSWKMPXRSGPQ","GSON1112110393")</f>
        <v>#NAME?</v>
      </c>
      <c r="K1634" s="28" t="e">
        <f ca="1">[1]!BexGetData("DP_1","003N8EMH8GTFRIVNUPY288VJH","GSON1112110393")</f>
        <v>#NAME?</v>
      </c>
      <c r="L1634" s="28" t="e">
        <f ca="1">[1]!BexGetData("DP_1","003N8EMH8GTFRIVNUPY2891V1","GSON1112110393")</f>
        <v>#NAME?</v>
      </c>
      <c r="M1634" s="28" t="e">
        <f ca="1">[1]!BexGetData("DP_1","003N8EMH8GTFRIVOG7KG9IQXA","GSON1112110393")</f>
        <v>#NAME?</v>
      </c>
      <c r="N1634" s="28" t="e">
        <f ca="1">[1]!BexGetData("DP_1","003N8EMH8GTFRIVOG7KG9IX8U","GSON1112110393")</f>
        <v>#NAME?</v>
      </c>
      <c r="O1634" s="28" t="e">
        <f ca="1">[1]!BexGetData("DP_1","003N8EMH8GTFRIVOG7KG9J3KE","GSON1112110393")</f>
        <v>#NAME?</v>
      </c>
      <c r="P1634" s="28" t="e">
        <f ca="1">[1]!BexGetData("DP_1","003N8EMH8GTFRIVOG7KG9J9VY","GSON1112110393")</f>
        <v>#NAME?</v>
      </c>
      <c r="Q1634" s="24" t="e">
        <f ca="1">[1]!BexGetData("DP_1","00O2TNJGODT0G5Z4TTKYMM5MT","GSON1112110393")</f>
        <v>#NAME?</v>
      </c>
      <c r="R1634" s="28" t="e">
        <f ca="1">[1]!BexGetData("DP_1","00O2TNJGODT0G5Z4TTKYMMBYD","GSON1112110393")</f>
        <v>#NAME?</v>
      </c>
      <c r="S1634" s="28" t="e">
        <f ca="1">[1]!BexGetData("DP_1","00O2TNJGODT0G5Z4TTKYMMI9X","GSON1112110393")</f>
        <v>#NAME?</v>
      </c>
      <c r="T1634" s="28" t="e">
        <f ca="1">[1]!BexGetData("DP_1","00O2TNJGODT0G5Z4TTKYMMOLH","GSON1112110393")</f>
        <v>#NAME?</v>
      </c>
      <c r="U1634" s="28" t="e">
        <f ca="1">[1]!BexGetData("DP_1","00O2TNJGODT0G5Z4TTKYMMUX1","GSON1112110393")</f>
        <v>#NAME?</v>
      </c>
      <c r="V1634" s="28" t="e">
        <f ca="1">[1]!BexGetData("DP_1","00O2TNJGODT0G5Z4TTKYMN18L","GSON1112110393")</f>
        <v>#NAME?</v>
      </c>
      <c r="W1634" s="28" t="e">
        <f ca="1">[1]!BexGetData("DP_1","00O2TNJGODT0G5Z4TTKYMN7K5","GSON1112110393")</f>
        <v>#NAME?</v>
      </c>
    </row>
    <row r="1635" spans="1:23" x14ac:dyDescent="0.2">
      <c r="A1635" s="36" t="s">
        <v>4343</v>
      </c>
      <c r="B1635" s="27" t="s">
        <v>4344</v>
      </c>
      <c r="C1635" s="23" t="e">
        <f ca="1">[1]!BexGetData("DP_1","003N8EMH8GTFRCSWKMPXRR8GU","GSON1112110394")</f>
        <v>#NAME?</v>
      </c>
      <c r="D1635" s="23" t="e">
        <f ca="1">[1]!BexGetData("DP_1","003N8EMH8GTFRCSWKMPXRRESE","GSON1112110394")</f>
        <v>#NAME?</v>
      </c>
      <c r="E1635" s="28" t="e">
        <f ca="1">[1]!BexGetData("DP_1","003N8EMH8GTFRCSWKMPXRRL3Y","GSON1112110394")</f>
        <v>#NAME?</v>
      </c>
      <c r="F1635" s="28" t="e">
        <f ca="1">[1]!BexGetData("DP_1","003N8EMH8GTFRCSWKMPXRRRFI","GSON1112110394")</f>
        <v>#NAME?</v>
      </c>
      <c r="G1635" s="23" t="e">
        <f ca="1">[1]!BexGetData("DP_1","003N8EMH8GTFRCSWKMPXRRXR2","GSON1112110394")</f>
        <v>#NAME?</v>
      </c>
      <c r="H1635" s="23" t="e">
        <f ca="1">[1]!BexGetData("DP_1","003N8EMH8GTFRCSWKMPXRS42M","GSON1112110394")</f>
        <v>#NAME?</v>
      </c>
      <c r="I1635" s="28" t="e">
        <f ca="1">[1]!BexGetData("DP_1","003N8EMH8GTFRCSWKMPXRSAE6","GSON1112110394")</f>
        <v>#NAME?</v>
      </c>
      <c r="J1635" s="24" t="e">
        <f ca="1">[1]!BexGetData("DP_1","003N8EMH8GTFRCSWKMPXRSGPQ","GSON1112110394")</f>
        <v>#NAME?</v>
      </c>
      <c r="K1635" s="28" t="e">
        <f ca="1">[1]!BexGetData("DP_1","003N8EMH8GTFRIVNUPY288VJH","GSON1112110394")</f>
        <v>#NAME?</v>
      </c>
      <c r="L1635" s="28" t="e">
        <f ca="1">[1]!BexGetData("DP_1","003N8EMH8GTFRIVNUPY2891V1","GSON1112110394")</f>
        <v>#NAME?</v>
      </c>
      <c r="M1635" s="28" t="e">
        <f ca="1">[1]!BexGetData("DP_1","003N8EMH8GTFRIVOG7KG9IQXA","GSON1112110394")</f>
        <v>#NAME?</v>
      </c>
      <c r="N1635" s="28" t="e">
        <f ca="1">[1]!BexGetData("DP_1","003N8EMH8GTFRIVOG7KG9IX8U","GSON1112110394")</f>
        <v>#NAME?</v>
      </c>
      <c r="O1635" s="28" t="e">
        <f ca="1">[1]!BexGetData("DP_1","003N8EMH8GTFRIVOG7KG9J3KE","GSON1112110394")</f>
        <v>#NAME?</v>
      </c>
      <c r="P1635" s="28" t="e">
        <f ca="1">[1]!BexGetData("DP_1","003N8EMH8GTFRIVOG7KG9J9VY","GSON1112110394")</f>
        <v>#NAME?</v>
      </c>
      <c r="Q1635" s="24" t="e">
        <f ca="1">[1]!BexGetData("DP_1","00O2TNJGODT0G5Z4TTKYMM5MT","GSON1112110394")</f>
        <v>#NAME?</v>
      </c>
      <c r="R1635" s="28" t="e">
        <f ca="1">[1]!BexGetData("DP_1","00O2TNJGODT0G5Z4TTKYMMBYD","GSON1112110394")</f>
        <v>#NAME?</v>
      </c>
      <c r="S1635" s="28" t="e">
        <f ca="1">[1]!BexGetData("DP_1","00O2TNJGODT0G5Z4TTKYMMI9X","GSON1112110394")</f>
        <v>#NAME?</v>
      </c>
      <c r="T1635" s="28" t="e">
        <f ca="1">[1]!BexGetData("DP_1","00O2TNJGODT0G5Z4TTKYMMOLH","GSON1112110394")</f>
        <v>#NAME?</v>
      </c>
      <c r="U1635" s="28" t="e">
        <f ca="1">[1]!BexGetData("DP_1","00O2TNJGODT0G5Z4TTKYMMUX1","GSON1112110394")</f>
        <v>#NAME?</v>
      </c>
      <c r="V1635" s="28" t="e">
        <f ca="1">[1]!BexGetData("DP_1","00O2TNJGODT0G5Z4TTKYMN18L","GSON1112110394")</f>
        <v>#NAME?</v>
      </c>
      <c r="W1635" s="28" t="e">
        <f ca="1">[1]!BexGetData("DP_1","00O2TNJGODT0G5Z4TTKYMN7K5","GSON1112110394")</f>
        <v>#NAME?</v>
      </c>
    </row>
    <row r="1636" spans="1:23" x14ac:dyDescent="0.2">
      <c r="A1636" s="36" t="s">
        <v>4345</v>
      </c>
      <c r="B1636" s="27" t="s">
        <v>4346</v>
      </c>
      <c r="C1636" s="23" t="e">
        <f ca="1">[1]!BexGetData("DP_1","003N8EMH8GTFRCSWKMPXRR8GU","GSON1112110395")</f>
        <v>#NAME?</v>
      </c>
      <c r="D1636" s="23" t="e">
        <f ca="1">[1]!BexGetData("DP_1","003N8EMH8GTFRCSWKMPXRRESE","GSON1112110395")</f>
        <v>#NAME?</v>
      </c>
      <c r="E1636" s="28" t="e">
        <f ca="1">[1]!BexGetData("DP_1","003N8EMH8GTFRCSWKMPXRRL3Y","GSON1112110395")</f>
        <v>#NAME?</v>
      </c>
      <c r="F1636" s="28" t="e">
        <f ca="1">[1]!BexGetData("DP_1","003N8EMH8GTFRCSWKMPXRRRFI","GSON1112110395")</f>
        <v>#NAME?</v>
      </c>
      <c r="G1636" s="23" t="e">
        <f ca="1">[1]!BexGetData("DP_1","003N8EMH8GTFRCSWKMPXRRXR2","GSON1112110395")</f>
        <v>#NAME?</v>
      </c>
      <c r="H1636" s="23" t="e">
        <f ca="1">[1]!BexGetData("DP_1","003N8EMH8GTFRCSWKMPXRS42M","GSON1112110395")</f>
        <v>#NAME?</v>
      </c>
      <c r="I1636" s="28" t="e">
        <f ca="1">[1]!BexGetData("DP_1","003N8EMH8GTFRCSWKMPXRSAE6","GSON1112110395")</f>
        <v>#NAME?</v>
      </c>
      <c r="J1636" s="24" t="e">
        <f ca="1">[1]!BexGetData("DP_1","003N8EMH8GTFRCSWKMPXRSGPQ","GSON1112110395")</f>
        <v>#NAME?</v>
      </c>
      <c r="K1636" s="28" t="e">
        <f ca="1">[1]!BexGetData("DP_1","003N8EMH8GTFRIVNUPY288VJH","GSON1112110395")</f>
        <v>#NAME?</v>
      </c>
      <c r="L1636" s="28" t="e">
        <f ca="1">[1]!BexGetData("DP_1","003N8EMH8GTFRIVNUPY2891V1","GSON1112110395")</f>
        <v>#NAME?</v>
      </c>
      <c r="M1636" s="28" t="e">
        <f ca="1">[1]!BexGetData("DP_1","003N8EMH8GTFRIVOG7KG9IQXA","GSON1112110395")</f>
        <v>#NAME?</v>
      </c>
      <c r="N1636" s="28" t="e">
        <f ca="1">[1]!BexGetData("DP_1","003N8EMH8GTFRIVOG7KG9IX8U","GSON1112110395")</f>
        <v>#NAME?</v>
      </c>
      <c r="O1636" s="28" t="e">
        <f ca="1">[1]!BexGetData("DP_1","003N8EMH8GTFRIVOG7KG9J3KE","GSON1112110395")</f>
        <v>#NAME?</v>
      </c>
      <c r="P1636" s="28" t="e">
        <f ca="1">[1]!BexGetData("DP_1","003N8EMH8GTFRIVOG7KG9J9VY","GSON1112110395")</f>
        <v>#NAME?</v>
      </c>
      <c r="Q1636" s="24" t="e">
        <f ca="1">[1]!BexGetData("DP_1","00O2TNJGODT0G5Z4TTKYMM5MT","GSON1112110395")</f>
        <v>#NAME?</v>
      </c>
      <c r="R1636" s="28" t="e">
        <f ca="1">[1]!BexGetData("DP_1","00O2TNJGODT0G5Z4TTKYMMBYD","GSON1112110395")</f>
        <v>#NAME?</v>
      </c>
      <c r="S1636" s="28" t="e">
        <f ca="1">[1]!BexGetData("DP_1","00O2TNJGODT0G5Z4TTKYMMI9X","GSON1112110395")</f>
        <v>#NAME?</v>
      </c>
      <c r="T1636" s="28" t="e">
        <f ca="1">[1]!BexGetData("DP_1","00O2TNJGODT0G5Z4TTKYMMOLH","GSON1112110395")</f>
        <v>#NAME?</v>
      </c>
      <c r="U1636" s="28" t="e">
        <f ca="1">[1]!BexGetData("DP_1","00O2TNJGODT0G5Z4TTKYMMUX1","GSON1112110395")</f>
        <v>#NAME?</v>
      </c>
      <c r="V1636" s="28" t="e">
        <f ca="1">[1]!BexGetData("DP_1","00O2TNJGODT0G5Z4TTKYMN18L","GSON1112110395")</f>
        <v>#NAME?</v>
      </c>
      <c r="W1636" s="28" t="e">
        <f ca="1">[1]!BexGetData("DP_1","00O2TNJGODT0G5Z4TTKYMN7K5","GSON1112110395")</f>
        <v>#NAME?</v>
      </c>
    </row>
    <row r="1637" spans="1:23" x14ac:dyDescent="0.2">
      <c r="A1637" s="36" t="s">
        <v>4347</v>
      </c>
      <c r="B1637" s="27" t="s">
        <v>4348</v>
      </c>
      <c r="C1637" s="23" t="e">
        <f ca="1">[1]!BexGetData("DP_1","003N8EMH8GTFRCSWKMPXRR8GU","GSON1112110401")</f>
        <v>#NAME?</v>
      </c>
      <c r="D1637" s="23" t="e">
        <f ca="1">[1]!BexGetData("DP_1","003N8EMH8GTFRCSWKMPXRRESE","GSON1112110401")</f>
        <v>#NAME?</v>
      </c>
      <c r="E1637" s="28" t="e">
        <f ca="1">[1]!BexGetData("DP_1","003N8EMH8GTFRCSWKMPXRRL3Y","GSON1112110401")</f>
        <v>#NAME?</v>
      </c>
      <c r="F1637" s="24" t="e">
        <f ca="1">[1]!BexGetData("DP_1","003N8EMH8GTFRCSWKMPXRRRFI","GSON1112110401")</f>
        <v>#NAME?</v>
      </c>
      <c r="G1637" s="24" t="e">
        <f ca="1">[1]!BexGetData("DP_1","003N8EMH8GTFRCSWKMPXRRXR2","GSON1112110401")</f>
        <v>#NAME?</v>
      </c>
      <c r="H1637" s="24" t="e">
        <f ca="1">[1]!BexGetData("DP_1","003N8EMH8GTFRCSWKMPXRS42M","GSON1112110401")</f>
        <v>#NAME?</v>
      </c>
      <c r="I1637" s="24" t="e">
        <f ca="1">[1]!BexGetData("DP_1","003N8EMH8GTFRCSWKMPXRSAE6","GSON1112110401")</f>
        <v>#NAME?</v>
      </c>
      <c r="J1637" s="24" t="e">
        <f ca="1">[1]!BexGetData("DP_1","003N8EMH8GTFRCSWKMPXRSGPQ","GSON1112110401")</f>
        <v>#NAME?</v>
      </c>
      <c r="K1637" s="28" t="e">
        <f ca="1">[1]!BexGetData("DP_1","003N8EMH8GTFRIVNUPY288VJH","GSON1112110401")</f>
        <v>#NAME?</v>
      </c>
      <c r="L1637" s="28" t="e">
        <f ca="1">[1]!BexGetData("DP_1","003N8EMH8GTFRIVNUPY2891V1","GSON1112110401")</f>
        <v>#NAME?</v>
      </c>
      <c r="M1637" s="28" t="e">
        <f ca="1">[1]!BexGetData("DP_1","003N8EMH8GTFRIVOG7KG9IQXA","GSON1112110401")</f>
        <v>#NAME?</v>
      </c>
      <c r="N1637" s="28" t="e">
        <f ca="1">[1]!BexGetData("DP_1","003N8EMH8GTFRIVOG7KG9IX8U","GSON1112110401")</f>
        <v>#NAME?</v>
      </c>
      <c r="O1637" s="28" t="e">
        <f ca="1">[1]!BexGetData("DP_1","003N8EMH8GTFRIVOG7KG9J3KE","GSON1112110401")</f>
        <v>#NAME?</v>
      </c>
      <c r="P1637" s="28" t="e">
        <f ca="1">[1]!BexGetData("DP_1","003N8EMH8GTFRIVOG7KG9J9VY","GSON1112110401")</f>
        <v>#NAME?</v>
      </c>
      <c r="Q1637" s="24" t="e">
        <f ca="1">[1]!BexGetData("DP_1","00O2TNJGODT0G5Z4TTKYMM5MT","GSON1112110401")</f>
        <v>#NAME?</v>
      </c>
      <c r="R1637" s="24" t="e">
        <f ca="1">[1]!BexGetData("DP_1","00O2TNJGODT0G5Z4TTKYMMBYD","GSON1112110401")</f>
        <v>#NAME?</v>
      </c>
      <c r="S1637" s="24" t="e">
        <f ca="1">[1]!BexGetData("DP_1","00O2TNJGODT0G5Z4TTKYMMI9X","GSON1112110401")</f>
        <v>#NAME?</v>
      </c>
      <c r="T1637" s="24" t="e">
        <f ca="1">[1]!BexGetData("DP_1","00O2TNJGODT0G5Z4TTKYMMOLH","GSON1112110401")</f>
        <v>#NAME?</v>
      </c>
      <c r="U1637" s="24" t="e">
        <f ca="1">[1]!BexGetData("DP_1","00O2TNJGODT0G5Z4TTKYMMUX1","GSON1112110401")</f>
        <v>#NAME?</v>
      </c>
      <c r="V1637" s="24" t="e">
        <f ca="1">[1]!BexGetData("DP_1","00O2TNJGODT0G5Z4TTKYMN18L","GSON1112110401")</f>
        <v>#NAME?</v>
      </c>
      <c r="W1637" s="24" t="e">
        <f ca="1">[1]!BexGetData("DP_1","00O2TNJGODT0G5Z4TTKYMN7K5","GSON1112110401")</f>
        <v>#NAME?</v>
      </c>
    </row>
    <row r="1638" spans="1:23" x14ac:dyDescent="0.2">
      <c r="A1638" s="36" t="s">
        <v>4349</v>
      </c>
      <c r="B1638" s="27" t="s">
        <v>4350</v>
      </c>
      <c r="C1638" s="23" t="e">
        <f ca="1">[1]!BexGetData("DP_1","003N8EMH8GTFRCSWKMPXRR8GU","GSON1112110420")</f>
        <v>#NAME?</v>
      </c>
      <c r="D1638" s="23" t="e">
        <f ca="1">[1]!BexGetData("DP_1","003N8EMH8GTFRCSWKMPXRRESE","GSON1112110420")</f>
        <v>#NAME?</v>
      </c>
      <c r="E1638" s="23" t="e">
        <f ca="1">[1]!BexGetData("DP_1","003N8EMH8GTFRCSWKMPXRRL3Y","GSON1112110420")</f>
        <v>#NAME?</v>
      </c>
      <c r="F1638" s="24" t="e">
        <f ca="1">[1]!BexGetData("DP_1","003N8EMH8GTFRCSWKMPXRRRFI","GSON1112110420")</f>
        <v>#NAME?</v>
      </c>
      <c r="G1638" s="24" t="e">
        <f ca="1">[1]!BexGetData("DP_1","003N8EMH8GTFRCSWKMPXRRXR2","GSON1112110420")</f>
        <v>#NAME?</v>
      </c>
      <c r="H1638" s="24" t="e">
        <f ca="1">[1]!BexGetData("DP_1","003N8EMH8GTFRCSWKMPXRS42M","GSON1112110420")</f>
        <v>#NAME?</v>
      </c>
      <c r="I1638" s="24" t="e">
        <f ca="1">[1]!BexGetData("DP_1","003N8EMH8GTFRCSWKMPXRSAE6","GSON1112110420")</f>
        <v>#NAME?</v>
      </c>
      <c r="J1638" s="24" t="e">
        <f ca="1">[1]!BexGetData("DP_1","003N8EMH8GTFRCSWKMPXRSGPQ","GSON1112110420")</f>
        <v>#NAME?</v>
      </c>
      <c r="K1638" s="23" t="e">
        <f ca="1">[1]!BexGetData("DP_1","003N8EMH8GTFRIVNUPY288VJH","GSON1112110420")</f>
        <v>#NAME?</v>
      </c>
      <c r="L1638" s="23" t="e">
        <f ca="1">[1]!BexGetData("DP_1","003N8EMH8GTFRIVNUPY2891V1","GSON1112110420")</f>
        <v>#NAME?</v>
      </c>
      <c r="M1638" s="28" t="e">
        <f ca="1">[1]!BexGetData("DP_1","003N8EMH8GTFRIVOG7KG9IQXA","GSON1112110420")</f>
        <v>#NAME?</v>
      </c>
      <c r="N1638" s="23" t="e">
        <f ca="1">[1]!BexGetData("DP_1","003N8EMH8GTFRIVOG7KG9IX8U","GSON1112110420")</f>
        <v>#NAME?</v>
      </c>
      <c r="O1638" s="28" t="e">
        <f ca="1">[1]!BexGetData("DP_1","003N8EMH8GTFRIVOG7KG9J3KE","GSON1112110420")</f>
        <v>#NAME?</v>
      </c>
      <c r="P1638" s="23" t="e">
        <f ca="1">[1]!BexGetData("DP_1","003N8EMH8GTFRIVOG7KG9J9VY","GSON1112110420")</f>
        <v>#NAME?</v>
      </c>
      <c r="Q1638" s="24" t="e">
        <f ca="1">[1]!BexGetData("DP_1","00O2TNJGODT0G5Z4TTKYMM5MT","GSON1112110420")</f>
        <v>#NAME?</v>
      </c>
      <c r="R1638" s="24" t="e">
        <f ca="1">[1]!BexGetData("DP_1","00O2TNJGODT0G5Z4TTKYMMBYD","GSON1112110420")</f>
        <v>#NAME?</v>
      </c>
      <c r="S1638" s="24" t="e">
        <f ca="1">[1]!BexGetData("DP_1","00O2TNJGODT0G5Z4TTKYMMI9X","GSON1112110420")</f>
        <v>#NAME?</v>
      </c>
      <c r="T1638" s="24" t="e">
        <f ca="1">[1]!BexGetData("DP_1","00O2TNJGODT0G5Z4TTKYMMOLH","GSON1112110420")</f>
        <v>#NAME?</v>
      </c>
      <c r="U1638" s="24" t="e">
        <f ca="1">[1]!BexGetData("DP_1","00O2TNJGODT0G5Z4TTKYMMUX1","GSON1112110420")</f>
        <v>#NAME?</v>
      </c>
      <c r="V1638" s="24" t="e">
        <f ca="1">[1]!BexGetData("DP_1","00O2TNJGODT0G5Z4TTKYMN18L","GSON1112110420")</f>
        <v>#NAME?</v>
      </c>
      <c r="W1638" s="24" t="e">
        <f ca="1">[1]!BexGetData("DP_1","00O2TNJGODT0G5Z4TTKYMN7K5","GSON1112110420")</f>
        <v>#NAME?</v>
      </c>
    </row>
    <row r="1639" spans="1:23" x14ac:dyDescent="0.2">
      <c r="A1639" s="36" t="s">
        <v>4351</v>
      </c>
      <c r="B1639" s="27" t="s">
        <v>4352</v>
      </c>
      <c r="C1639" s="23" t="e">
        <f ca="1">[1]!BexGetData("DP_1","003N8EMH8GTFRCSWKMPXRR8GU","GSON1112110421")</f>
        <v>#NAME?</v>
      </c>
      <c r="D1639" s="23" t="e">
        <f ca="1">[1]!BexGetData("DP_1","003N8EMH8GTFRCSWKMPXRRESE","GSON1112110421")</f>
        <v>#NAME?</v>
      </c>
      <c r="E1639" s="28" t="e">
        <f ca="1">[1]!BexGetData("DP_1","003N8EMH8GTFRCSWKMPXRRL3Y","GSON1112110421")</f>
        <v>#NAME?</v>
      </c>
      <c r="F1639" s="24" t="e">
        <f ca="1">[1]!BexGetData("DP_1","003N8EMH8GTFRCSWKMPXRRRFI","GSON1112110421")</f>
        <v>#NAME?</v>
      </c>
      <c r="G1639" s="24" t="e">
        <f ca="1">[1]!BexGetData("DP_1","003N8EMH8GTFRCSWKMPXRRXR2","GSON1112110421")</f>
        <v>#NAME?</v>
      </c>
      <c r="H1639" s="24" t="e">
        <f ca="1">[1]!BexGetData("DP_1","003N8EMH8GTFRCSWKMPXRS42M","GSON1112110421")</f>
        <v>#NAME?</v>
      </c>
      <c r="I1639" s="24" t="e">
        <f ca="1">[1]!BexGetData("DP_1","003N8EMH8GTFRCSWKMPXRSAE6","GSON1112110421")</f>
        <v>#NAME?</v>
      </c>
      <c r="J1639" s="24" t="e">
        <f ca="1">[1]!BexGetData("DP_1","003N8EMH8GTFRCSWKMPXRSGPQ","GSON1112110421")</f>
        <v>#NAME?</v>
      </c>
      <c r="K1639" s="28" t="e">
        <f ca="1">[1]!BexGetData("DP_1","003N8EMH8GTFRIVNUPY288VJH","GSON1112110421")</f>
        <v>#NAME?</v>
      </c>
      <c r="L1639" s="28" t="e">
        <f ca="1">[1]!BexGetData("DP_1","003N8EMH8GTFRIVNUPY2891V1","GSON1112110421")</f>
        <v>#NAME?</v>
      </c>
      <c r="M1639" s="28" t="e">
        <f ca="1">[1]!BexGetData("DP_1","003N8EMH8GTFRIVOG7KG9IQXA","GSON1112110421")</f>
        <v>#NAME?</v>
      </c>
      <c r="N1639" s="28" t="e">
        <f ca="1">[1]!BexGetData("DP_1","003N8EMH8GTFRIVOG7KG9IX8U","GSON1112110421")</f>
        <v>#NAME?</v>
      </c>
      <c r="O1639" s="28" t="e">
        <f ca="1">[1]!BexGetData("DP_1","003N8EMH8GTFRIVOG7KG9J3KE","GSON1112110421")</f>
        <v>#NAME?</v>
      </c>
      <c r="P1639" s="28" t="e">
        <f ca="1">[1]!BexGetData("DP_1","003N8EMH8GTFRIVOG7KG9J9VY","GSON1112110421")</f>
        <v>#NAME?</v>
      </c>
      <c r="Q1639" s="24" t="e">
        <f ca="1">[1]!BexGetData("DP_1","00O2TNJGODT0G5Z4TTKYMM5MT","GSON1112110421")</f>
        <v>#NAME?</v>
      </c>
      <c r="R1639" s="24" t="e">
        <f ca="1">[1]!BexGetData("DP_1","00O2TNJGODT0G5Z4TTKYMMBYD","GSON1112110421")</f>
        <v>#NAME?</v>
      </c>
      <c r="S1639" s="24" t="e">
        <f ca="1">[1]!BexGetData("DP_1","00O2TNJGODT0G5Z4TTKYMMI9X","GSON1112110421")</f>
        <v>#NAME?</v>
      </c>
      <c r="T1639" s="24" t="e">
        <f ca="1">[1]!BexGetData("DP_1","00O2TNJGODT0G5Z4TTKYMMOLH","GSON1112110421")</f>
        <v>#NAME?</v>
      </c>
      <c r="U1639" s="24" t="e">
        <f ca="1">[1]!BexGetData("DP_1","00O2TNJGODT0G5Z4TTKYMMUX1","GSON1112110421")</f>
        <v>#NAME?</v>
      </c>
      <c r="V1639" s="24" t="e">
        <f ca="1">[1]!BexGetData("DP_1","00O2TNJGODT0G5Z4TTKYMN18L","GSON1112110421")</f>
        <v>#NAME?</v>
      </c>
      <c r="W1639" s="24" t="e">
        <f ca="1">[1]!BexGetData("DP_1","00O2TNJGODT0G5Z4TTKYMN7K5","GSON1112110421")</f>
        <v>#NAME?</v>
      </c>
    </row>
    <row r="1640" spans="1:23" x14ac:dyDescent="0.2">
      <c r="A1640" s="36" t="s">
        <v>4353</v>
      </c>
      <c r="B1640" s="27" t="s">
        <v>4354</v>
      </c>
      <c r="C1640" s="23" t="e">
        <f ca="1">[1]!BexGetData("DP_1","003N8EMH8GTFRCSWKMPXRR8GU","GSON1112110423")</f>
        <v>#NAME?</v>
      </c>
      <c r="D1640" s="23" t="e">
        <f ca="1">[1]!BexGetData("DP_1","003N8EMH8GTFRCSWKMPXRRESE","GSON1112110423")</f>
        <v>#NAME?</v>
      </c>
      <c r="E1640" s="28" t="e">
        <f ca="1">[1]!BexGetData("DP_1","003N8EMH8GTFRCSWKMPXRRL3Y","GSON1112110423")</f>
        <v>#NAME?</v>
      </c>
      <c r="F1640" s="24" t="e">
        <f ca="1">[1]!BexGetData("DP_1","003N8EMH8GTFRCSWKMPXRRRFI","GSON1112110423")</f>
        <v>#NAME?</v>
      </c>
      <c r="G1640" s="24" t="e">
        <f ca="1">[1]!BexGetData("DP_1","003N8EMH8GTFRCSWKMPXRRXR2","GSON1112110423")</f>
        <v>#NAME?</v>
      </c>
      <c r="H1640" s="24" t="e">
        <f ca="1">[1]!BexGetData("DP_1","003N8EMH8GTFRCSWKMPXRS42M","GSON1112110423")</f>
        <v>#NAME?</v>
      </c>
      <c r="I1640" s="24" t="e">
        <f ca="1">[1]!BexGetData("DP_1","003N8EMH8GTFRCSWKMPXRSAE6","GSON1112110423")</f>
        <v>#NAME?</v>
      </c>
      <c r="J1640" s="24" t="e">
        <f ca="1">[1]!BexGetData("DP_1","003N8EMH8GTFRCSWKMPXRSGPQ","GSON1112110423")</f>
        <v>#NAME?</v>
      </c>
      <c r="K1640" s="28" t="e">
        <f ca="1">[1]!BexGetData("DP_1","003N8EMH8GTFRIVNUPY288VJH","GSON1112110423")</f>
        <v>#NAME?</v>
      </c>
      <c r="L1640" s="28" t="e">
        <f ca="1">[1]!BexGetData("DP_1","003N8EMH8GTFRIVNUPY2891V1","GSON1112110423")</f>
        <v>#NAME?</v>
      </c>
      <c r="M1640" s="28" t="e">
        <f ca="1">[1]!BexGetData("DP_1","003N8EMH8GTFRIVOG7KG9IQXA","GSON1112110423")</f>
        <v>#NAME?</v>
      </c>
      <c r="N1640" s="28" t="e">
        <f ca="1">[1]!BexGetData("DP_1","003N8EMH8GTFRIVOG7KG9IX8U","GSON1112110423")</f>
        <v>#NAME?</v>
      </c>
      <c r="O1640" s="28" t="e">
        <f ca="1">[1]!BexGetData("DP_1","003N8EMH8GTFRIVOG7KG9J3KE","GSON1112110423")</f>
        <v>#NAME?</v>
      </c>
      <c r="P1640" s="28" t="e">
        <f ca="1">[1]!BexGetData("DP_1","003N8EMH8GTFRIVOG7KG9J9VY","GSON1112110423")</f>
        <v>#NAME?</v>
      </c>
      <c r="Q1640" s="24" t="e">
        <f ca="1">[1]!BexGetData("DP_1","00O2TNJGODT0G5Z4TTKYMM5MT","GSON1112110423")</f>
        <v>#NAME?</v>
      </c>
      <c r="R1640" s="24" t="e">
        <f ca="1">[1]!BexGetData("DP_1","00O2TNJGODT0G5Z4TTKYMMBYD","GSON1112110423")</f>
        <v>#NAME?</v>
      </c>
      <c r="S1640" s="24" t="e">
        <f ca="1">[1]!BexGetData("DP_1","00O2TNJGODT0G5Z4TTKYMMI9X","GSON1112110423")</f>
        <v>#NAME?</v>
      </c>
      <c r="T1640" s="24" t="e">
        <f ca="1">[1]!BexGetData("DP_1","00O2TNJGODT0G5Z4TTKYMMOLH","GSON1112110423")</f>
        <v>#NAME?</v>
      </c>
      <c r="U1640" s="24" t="e">
        <f ca="1">[1]!BexGetData("DP_1","00O2TNJGODT0G5Z4TTKYMMUX1","GSON1112110423")</f>
        <v>#NAME?</v>
      </c>
      <c r="V1640" s="24" t="e">
        <f ca="1">[1]!BexGetData("DP_1","00O2TNJGODT0G5Z4TTKYMN18L","GSON1112110423")</f>
        <v>#NAME?</v>
      </c>
      <c r="W1640" s="24" t="e">
        <f ca="1">[1]!BexGetData("DP_1","00O2TNJGODT0G5Z4TTKYMN7K5","GSON1112110423")</f>
        <v>#NAME?</v>
      </c>
    </row>
    <row r="1641" spans="1:23" x14ac:dyDescent="0.2">
      <c r="A1641" s="36" t="s">
        <v>4355</v>
      </c>
      <c r="B1641" s="27" t="s">
        <v>4356</v>
      </c>
      <c r="C1641" s="23" t="e">
        <f ca="1">[1]!BexGetData("DP_1","003N8EMH8GTFRCSWKMPXRR8GU","GSON1112110424")</f>
        <v>#NAME?</v>
      </c>
      <c r="D1641" s="23" t="e">
        <f ca="1">[1]!BexGetData("DP_1","003N8EMH8GTFRCSWKMPXRRESE","GSON1112110424")</f>
        <v>#NAME?</v>
      </c>
      <c r="E1641" s="28" t="e">
        <f ca="1">[1]!BexGetData("DP_1","003N8EMH8GTFRCSWKMPXRRL3Y","GSON1112110424")</f>
        <v>#NAME?</v>
      </c>
      <c r="F1641" s="24" t="e">
        <f ca="1">[1]!BexGetData("DP_1","003N8EMH8GTFRCSWKMPXRRRFI","GSON1112110424")</f>
        <v>#NAME?</v>
      </c>
      <c r="G1641" s="24" t="e">
        <f ca="1">[1]!BexGetData("DP_1","003N8EMH8GTFRCSWKMPXRRXR2","GSON1112110424")</f>
        <v>#NAME?</v>
      </c>
      <c r="H1641" s="24" t="e">
        <f ca="1">[1]!BexGetData("DP_1","003N8EMH8GTFRCSWKMPXRS42M","GSON1112110424")</f>
        <v>#NAME?</v>
      </c>
      <c r="I1641" s="24" t="e">
        <f ca="1">[1]!BexGetData("DP_1","003N8EMH8GTFRCSWKMPXRSAE6","GSON1112110424")</f>
        <v>#NAME?</v>
      </c>
      <c r="J1641" s="24" t="e">
        <f ca="1">[1]!BexGetData("DP_1","003N8EMH8GTFRCSWKMPXRSGPQ","GSON1112110424")</f>
        <v>#NAME?</v>
      </c>
      <c r="K1641" s="28" t="e">
        <f ca="1">[1]!BexGetData("DP_1","003N8EMH8GTFRIVNUPY288VJH","GSON1112110424")</f>
        <v>#NAME?</v>
      </c>
      <c r="L1641" s="28" t="e">
        <f ca="1">[1]!BexGetData("DP_1","003N8EMH8GTFRIVNUPY2891V1","GSON1112110424")</f>
        <v>#NAME?</v>
      </c>
      <c r="M1641" s="28" t="e">
        <f ca="1">[1]!BexGetData("DP_1","003N8EMH8GTFRIVOG7KG9IQXA","GSON1112110424")</f>
        <v>#NAME?</v>
      </c>
      <c r="N1641" s="28" t="e">
        <f ca="1">[1]!BexGetData("DP_1","003N8EMH8GTFRIVOG7KG9IX8U","GSON1112110424")</f>
        <v>#NAME?</v>
      </c>
      <c r="O1641" s="28" t="e">
        <f ca="1">[1]!BexGetData("DP_1","003N8EMH8GTFRIVOG7KG9J3KE","GSON1112110424")</f>
        <v>#NAME?</v>
      </c>
      <c r="P1641" s="28" t="e">
        <f ca="1">[1]!BexGetData("DP_1","003N8EMH8GTFRIVOG7KG9J9VY","GSON1112110424")</f>
        <v>#NAME?</v>
      </c>
      <c r="Q1641" s="24" t="e">
        <f ca="1">[1]!BexGetData("DP_1","00O2TNJGODT0G5Z4TTKYMM5MT","GSON1112110424")</f>
        <v>#NAME?</v>
      </c>
      <c r="R1641" s="24" t="e">
        <f ca="1">[1]!BexGetData("DP_1","00O2TNJGODT0G5Z4TTKYMMBYD","GSON1112110424")</f>
        <v>#NAME?</v>
      </c>
      <c r="S1641" s="24" t="e">
        <f ca="1">[1]!BexGetData("DP_1","00O2TNJGODT0G5Z4TTKYMMI9X","GSON1112110424")</f>
        <v>#NAME?</v>
      </c>
      <c r="T1641" s="24" t="e">
        <f ca="1">[1]!BexGetData("DP_1","00O2TNJGODT0G5Z4TTKYMMOLH","GSON1112110424")</f>
        <v>#NAME?</v>
      </c>
      <c r="U1641" s="24" t="e">
        <f ca="1">[1]!BexGetData("DP_1","00O2TNJGODT0G5Z4TTKYMMUX1","GSON1112110424")</f>
        <v>#NAME?</v>
      </c>
      <c r="V1641" s="24" t="e">
        <f ca="1">[1]!BexGetData("DP_1","00O2TNJGODT0G5Z4TTKYMN18L","GSON1112110424")</f>
        <v>#NAME?</v>
      </c>
      <c r="W1641" s="24" t="e">
        <f ca="1">[1]!BexGetData("DP_1","00O2TNJGODT0G5Z4TTKYMN7K5","GSON1112110424")</f>
        <v>#NAME?</v>
      </c>
    </row>
    <row r="1642" spans="1:23" x14ac:dyDescent="0.2">
      <c r="A1642" s="36" t="s">
        <v>4357</v>
      </c>
      <c r="B1642" s="27" t="s">
        <v>4358</v>
      </c>
      <c r="C1642" s="23" t="e">
        <f ca="1">[1]!BexGetData("DP_1","003N8EMH8GTFRCSWKMPXRR8GU","GSON1112110425")</f>
        <v>#NAME?</v>
      </c>
      <c r="D1642" s="23" t="e">
        <f ca="1">[1]!BexGetData("DP_1","003N8EMH8GTFRCSWKMPXRRESE","GSON1112110425")</f>
        <v>#NAME?</v>
      </c>
      <c r="E1642" s="28" t="e">
        <f ca="1">[1]!BexGetData("DP_1","003N8EMH8GTFRCSWKMPXRRL3Y","GSON1112110425")</f>
        <v>#NAME?</v>
      </c>
      <c r="F1642" s="24" t="e">
        <f ca="1">[1]!BexGetData("DP_1","003N8EMH8GTFRCSWKMPXRRRFI","GSON1112110425")</f>
        <v>#NAME?</v>
      </c>
      <c r="G1642" s="24" t="e">
        <f ca="1">[1]!BexGetData("DP_1","003N8EMH8GTFRCSWKMPXRRXR2","GSON1112110425")</f>
        <v>#NAME?</v>
      </c>
      <c r="H1642" s="24" t="e">
        <f ca="1">[1]!BexGetData("DP_1","003N8EMH8GTFRCSWKMPXRS42M","GSON1112110425")</f>
        <v>#NAME?</v>
      </c>
      <c r="I1642" s="24" t="e">
        <f ca="1">[1]!BexGetData("DP_1","003N8EMH8GTFRCSWKMPXRSAE6","GSON1112110425")</f>
        <v>#NAME?</v>
      </c>
      <c r="J1642" s="24" t="e">
        <f ca="1">[1]!BexGetData("DP_1","003N8EMH8GTFRCSWKMPXRSGPQ","GSON1112110425")</f>
        <v>#NAME?</v>
      </c>
      <c r="K1642" s="28" t="e">
        <f ca="1">[1]!BexGetData("DP_1","003N8EMH8GTFRIVNUPY288VJH","GSON1112110425")</f>
        <v>#NAME?</v>
      </c>
      <c r="L1642" s="28" t="e">
        <f ca="1">[1]!BexGetData("DP_1","003N8EMH8GTFRIVNUPY2891V1","GSON1112110425")</f>
        <v>#NAME?</v>
      </c>
      <c r="M1642" s="28" t="e">
        <f ca="1">[1]!BexGetData("DP_1","003N8EMH8GTFRIVOG7KG9IQXA","GSON1112110425")</f>
        <v>#NAME?</v>
      </c>
      <c r="N1642" s="28" t="e">
        <f ca="1">[1]!BexGetData("DP_1","003N8EMH8GTFRIVOG7KG9IX8U","GSON1112110425")</f>
        <v>#NAME?</v>
      </c>
      <c r="O1642" s="28" t="e">
        <f ca="1">[1]!BexGetData("DP_1","003N8EMH8GTFRIVOG7KG9J3KE","GSON1112110425")</f>
        <v>#NAME?</v>
      </c>
      <c r="P1642" s="28" t="e">
        <f ca="1">[1]!BexGetData("DP_1","003N8EMH8GTFRIVOG7KG9J9VY","GSON1112110425")</f>
        <v>#NAME?</v>
      </c>
      <c r="Q1642" s="24" t="e">
        <f ca="1">[1]!BexGetData("DP_1","00O2TNJGODT0G5Z4TTKYMM5MT","GSON1112110425")</f>
        <v>#NAME?</v>
      </c>
      <c r="R1642" s="24" t="e">
        <f ca="1">[1]!BexGetData("DP_1","00O2TNJGODT0G5Z4TTKYMMBYD","GSON1112110425")</f>
        <v>#NAME?</v>
      </c>
      <c r="S1642" s="24" t="e">
        <f ca="1">[1]!BexGetData("DP_1","00O2TNJGODT0G5Z4TTKYMMI9X","GSON1112110425")</f>
        <v>#NAME?</v>
      </c>
      <c r="T1642" s="24" t="e">
        <f ca="1">[1]!BexGetData("DP_1","00O2TNJGODT0G5Z4TTKYMMOLH","GSON1112110425")</f>
        <v>#NAME?</v>
      </c>
      <c r="U1642" s="24" t="e">
        <f ca="1">[1]!BexGetData("DP_1","00O2TNJGODT0G5Z4TTKYMMUX1","GSON1112110425")</f>
        <v>#NAME?</v>
      </c>
      <c r="V1642" s="24" t="e">
        <f ca="1">[1]!BexGetData("DP_1","00O2TNJGODT0G5Z4TTKYMN18L","GSON1112110425")</f>
        <v>#NAME?</v>
      </c>
      <c r="W1642" s="24" t="e">
        <f ca="1">[1]!BexGetData("DP_1","00O2TNJGODT0G5Z4TTKYMN7K5","GSON1112110425")</f>
        <v>#NAME?</v>
      </c>
    </row>
    <row r="1643" spans="1:23" x14ac:dyDescent="0.2">
      <c r="A1643" s="36" t="s">
        <v>4359</v>
      </c>
      <c r="B1643" s="27" t="s">
        <v>4360</v>
      </c>
      <c r="C1643" s="28" t="e">
        <f ca="1">[1]!BexGetData("DP_1","003N8EMH8GTFRCSWKMPXRR8GU","GSON1112110440")</f>
        <v>#NAME?</v>
      </c>
      <c r="D1643" s="23" t="e">
        <f ca="1">[1]!BexGetData("DP_1","003N8EMH8GTFRCSWKMPXRRESE","GSON1112110440")</f>
        <v>#NAME?</v>
      </c>
      <c r="E1643" s="23" t="e">
        <f ca="1">[1]!BexGetData("DP_1","003N8EMH8GTFRCSWKMPXRRL3Y","GSON1112110440")</f>
        <v>#NAME?</v>
      </c>
      <c r="F1643" s="23" t="e">
        <f ca="1">[1]!BexGetData("DP_1","003N8EMH8GTFRCSWKMPXRRRFI","GSON1112110440")</f>
        <v>#NAME?</v>
      </c>
      <c r="G1643" s="23" t="e">
        <f ca="1">[1]!BexGetData("DP_1","003N8EMH8GTFRCSWKMPXRRXR2","GSON1112110440")</f>
        <v>#NAME?</v>
      </c>
      <c r="H1643" s="28" t="e">
        <f ca="1">[1]!BexGetData("DP_1","003N8EMH8GTFRCSWKMPXRS42M","GSON1112110440")</f>
        <v>#NAME?</v>
      </c>
      <c r="I1643" s="23" t="e">
        <f ca="1">[1]!BexGetData("DP_1","003N8EMH8GTFRCSWKMPXRSAE6","GSON1112110440")</f>
        <v>#NAME?</v>
      </c>
      <c r="J1643" s="24" t="e">
        <f ca="1">[1]!BexGetData("DP_1","003N8EMH8GTFRCSWKMPXRSGPQ","GSON1112110440")</f>
        <v>#NAME?</v>
      </c>
      <c r="K1643" s="23" t="e">
        <f ca="1">[1]!BexGetData("DP_1","003N8EMH8GTFRIVNUPY288VJH","GSON1112110440")</f>
        <v>#NAME?</v>
      </c>
      <c r="L1643" s="23" t="e">
        <f ca="1">[1]!BexGetData("DP_1","003N8EMH8GTFRIVNUPY2891V1","GSON1112110440")</f>
        <v>#NAME?</v>
      </c>
      <c r="M1643" s="23" t="e">
        <f ca="1">[1]!BexGetData("DP_1","003N8EMH8GTFRIVOG7KG9IQXA","GSON1112110440")</f>
        <v>#NAME?</v>
      </c>
      <c r="N1643" s="28" t="e">
        <f ca="1">[1]!BexGetData("DP_1","003N8EMH8GTFRIVOG7KG9IX8U","GSON1112110440")</f>
        <v>#NAME?</v>
      </c>
      <c r="O1643" s="23" t="e">
        <f ca="1">[1]!BexGetData("DP_1","003N8EMH8GTFRIVOG7KG9J3KE","GSON1112110440")</f>
        <v>#NAME?</v>
      </c>
      <c r="P1643" s="28" t="e">
        <f ca="1">[1]!BexGetData("DP_1","003N8EMH8GTFRIVOG7KG9J9VY","GSON1112110440")</f>
        <v>#NAME?</v>
      </c>
      <c r="Q1643" s="24" t="e">
        <f ca="1">[1]!BexGetData("DP_1","00O2TNJGODT0G5Z4TTKYMM5MT","GSON1112110440")</f>
        <v>#NAME?</v>
      </c>
      <c r="R1643" s="23" t="e">
        <f ca="1">[1]!BexGetData("DP_1","00O2TNJGODT0G5Z4TTKYMMBYD","GSON1112110440")</f>
        <v>#NAME?</v>
      </c>
      <c r="S1643" s="23" t="e">
        <f ca="1">[1]!BexGetData("DP_1","00O2TNJGODT0G5Z4TTKYMMI9X","GSON1112110440")</f>
        <v>#NAME?</v>
      </c>
      <c r="T1643" s="28" t="e">
        <f ca="1">[1]!BexGetData("DP_1","00O2TNJGODT0G5Z4TTKYMMOLH","GSON1112110440")</f>
        <v>#NAME?</v>
      </c>
      <c r="U1643" s="23" t="e">
        <f ca="1">[1]!BexGetData("DP_1","00O2TNJGODT0G5Z4TTKYMMUX1","GSON1112110440")</f>
        <v>#NAME?</v>
      </c>
      <c r="V1643" s="28" t="e">
        <f ca="1">[1]!BexGetData("DP_1","00O2TNJGODT0G5Z4TTKYMN18L","GSON1112110440")</f>
        <v>#NAME?</v>
      </c>
      <c r="W1643" s="23" t="e">
        <f ca="1">[1]!BexGetData("DP_1","00O2TNJGODT0G5Z4TTKYMN7K5","GSON1112110440")</f>
        <v>#NAME?</v>
      </c>
    </row>
    <row r="1644" spans="1:23" x14ac:dyDescent="0.2">
      <c r="A1644" s="36" t="s">
        <v>4361</v>
      </c>
      <c r="B1644" s="27" t="s">
        <v>4362</v>
      </c>
      <c r="C1644" s="28" t="e">
        <f ca="1">[1]!BexGetData("DP_1","003N8EMH8GTFRCSWKMPXRR8GU","GSON1112110441")</f>
        <v>#NAME?</v>
      </c>
      <c r="D1644" s="28" t="e">
        <f ca="1">[1]!BexGetData("DP_1","003N8EMH8GTFRCSWKMPXRRESE","GSON1112110441")</f>
        <v>#NAME?</v>
      </c>
      <c r="E1644" s="28" t="e">
        <f ca="1">[1]!BexGetData("DP_1","003N8EMH8GTFRCSWKMPXRRL3Y","GSON1112110441")</f>
        <v>#NAME?</v>
      </c>
      <c r="F1644" s="28" t="e">
        <f ca="1">[1]!BexGetData("DP_1","003N8EMH8GTFRCSWKMPXRRRFI","GSON1112110441")</f>
        <v>#NAME?</v>
      </c>
      <c r="G1644" s="23" t="e">
        <f ca="1">[1]!BexGetData("DP_1","003N8EMH8GTFRCSWKMPXRRXR2","GSON1112110441")</f>
        <v>#NAME?</v>
      </c>
      <c r="H1644" s="23" t="e">
        <f ca="1">[1]!BexGetData("DP_1","003N8EMH8GTFRCSWKMPXRS42M","GSON1112110441")</f>
        <v>#NAME?</v>
      </c>
      <c r="I1644" s="28" t="e">
        <f ca="1">[1]!BexGetData("DP_1","003N8EMH8GTFRCSWKMPXRSAE6","GSON1112110441")</f>
        <v>#NAME?</v>
      </c>
      <c r="J1644" s="24" t="e">
        <f ca="1">[1]!BexGetData("DP_1","003N8EMH8GTFRCSWKMPXRSGPQ","GSON1112110441")</f>
        <v>#NAME?</v>
      </c>
      <c r="K1644" s="28" t="e">
        <f ca="1">[1]!BexGetData("DP_1","003N8EMH8GTFRIVNUPY288VJH","GSON1112110441")</f>
        <v>#NAME?</v>
      </c>
      <c r="L1644" s="28" t="e">
        <f ca="1">[1]!BexGetData("DP_1","003N8EMH8GTFRIVNUPY2891V1","GSON1112110441")</f>
        <v>#NAME?</v>
      </c>
      <c r="M1644" s="28" t="e">
        <f ca="1">[1]!BexGetData("DP_1","003N8EMH8GTFRIVOG7KG9IQXA","GSON1112110441")</f>
        <v>#NAME?</v>
      </c>
      <c r="N1644" s="28" t="e">
        <f ca="1">[1]!BexGetData("DP_1","003N8EMH8GTFRIVOG7KG9IX8U","GSON1112110441")</f>
        <v>#NAME?</v>
      </c>
      <c r="O1644" s="28" t="e">
        <f ca="1">[1]!BexGetData("DP_1","003N8EMH8GTFRIVOG7KG9J3KE","GSON1112110441")</f>
        <v>#NAME?</v>
      </c>
      <c r="P1644" s="28" t="e">
        <f ca="1">[1]!BexGetData("DP_1","003N8EMH8GTFRIVOG7KG9J9VY","GSON1112110441")</f>
        <v>#NAME?</v>
      </c>
      <c r="Q1644" s="24" t="e">
        <f ca="1">[1]!BexGetData("DP_1","00O2TNJGODT0G5Z4TTKYMM5MT","GSON1112110441")</f>
        <v>#NAME?</v>
      </c>
      <c r="R1644" s="28" t="e">
        <f ca="1">[1]!BexGetData("DP_1","00O2TNJGODT0G5Z4TTKYMMBYD","GSON1112110441")</f>
        <v>#NAME?</v>
      </c>
      <c r="S1644" s="28" t="e">
        <f ca="1">[1]!BexGetData("DP_1","00O2TNJGODT0G5Z4TTKYMMI9X","GSON1112110441")</f>
        <v>#NAME?</v>
      </c>
      <c r="T1644" s="28" t="e">
        <f ca="1">[1]!BexGetData("DP_1","00O2TNJGODT0G5Z4TTKYMMOLH","GSON1112110441")</f>
        <v>#NAME?</v>
      </c>
      <c r="U1644" s="28" t="e">
        <f ca="1">[1]!BexGetData("DP_1","00O2TNJGODT0G5Z4TTKYMMUX1","GSON1112110441")</f>
        <v>#NAME?</v>
      </c>
      <c r="V1644" s="28" t="e">
        <f ca="1">[1]!BexGetData("DP_1","00O2TNJGODT0G5Z4TTKYMN18L","GSON1112110441")</f>
        <v>#NAME?</v>
      </c>
      <c r="W1644" s="28" t="e">
        <f ca="1">[1]!BexGetData("DP_1","00O2TNJGODT0G5Z4TTKYMN7K5","GSON1112110441")</f>
        <v>#NAME?</v>
      </c>
    </row>
    <row r="1645" spans="1:23" x14ac:dyDescent="0.2">
      <c r="A1645" s="36" t="s">
        <v>4363</v>
      </c>
      <c r="B1645" s="27" t="s">
        <v>4364</v>
      </c>
      <c r="C1645" s="23" t="e">
        <f ca="1">[1]!BexGetData("DP_1","003N8EMH8GTFRCSWKMPXRR8GU","GSON1112110443")</f>
        <v>#NAME?</v>
      </c>
      <c r="D1645" s="23" t="e">
        <f ca="1">[1]!BexGetData("DP_1","003N8EMH8GTFRCSWKMPXRRESE","GSON1112110443")</f>
        <v>#NAME?</v>
      </c>
      <c r="E1645" s="28" t="e">
        <f ca="1">[1]!BexGetData("DP_1","003N8EMH8GTFRCSWKMPXRRL3Y","GSON1112110443")</f>
        <v>#NAME?</v>
      </c>
      <c r="F1645" s="24" t="e">
        <f ca="1">[1]!BexGetData("DP_1","003N8EMH8GTFRCSWKMPXRRRFI","GSON1112110443")</f>
        <v>#NAME?</v>
      </c>
      <c r="G1645" s="24" t="e">
        <f ca="1">[1]!BexGetData("DP_1","003N8EMH8GTFRCSWKMPXRRXR2","GSON1112110443")</f>
        <v>#NAME?</v>
      </c>
      <c r="H1645" s="24" t="e">
        <f ca="1">[1]!BexGetData("DP_1","003N8EMH8GTFRCSWKMPXRS42M","GSON1112110443")</f>
        <v>#NAME?</v>
      </c>
      <c r="I1645" s="24" t="e">
        <f ca="1">[1]!BexGetData("DP_1","003N8EMH8GTFRCSWKMPXRSAE6","GSON1112110443")</f>
        <v>#NAME?</v>
      </c>
      <c r="J1645" s="24" t="e">
        <f ca="1">[1]!BexGetData("DP_1","003N8EMH8GTFRCSWKMPXRSGPQ","GSON1112110443")</f>
        <v>#NAME?</v>
      </c>
      <c r="K1645" s="28" t="e">
        <f ca="1">[1]!BexGetData("DP_1","003N8EMH8GTFRIVNUPY288VJH","GSON1112110443")</f>
        <v>#NAME?</v>
      </c>
      <c r="L1645" s="28" t="e">
        <f ca="1">[1]!BexGetData("DP_1","003N8EMH8GTFRIVNUPY2891V1","GSON1112110443")</f>
        <v>#NAME?</v>
      </c>
      <c r="M1645" s="28" t="e">
        <f ca="1">[1]!BexGetData("DP_1","003N8EMH8GTFRIVOG7KG9IQXA","GSON1112110443")</f>
        <v>#NAME?</v>
      </c>
      <c r="N1645" s="28" t="e">
        <f ca="1">[1]!BexGetData("DP_1","003N8EMH8GTFRIVOG7KG9IX8U","GSON1112110443")</f>
        <v>#NAME?</v>
      </c>
      <c r="O1645" s="28" t="e">
        <f ca="1">[1]!BexGetData("DP_1","003N8EMH8GTFRIVOG7KG9J3KE","GSON1112110443")</f>
        <v>#NAME?</v>
      </c>
      <c r="P1645" s="28" t="e">
        <f ca="1">[1]!BexGetData("DP_1","003N8EMH8GTFRIVOG7KG9J9VY","GSON1112110443")</f>
        <v>#NAME?</v>
      </c>
      <c r="Q1645" s="24" t="e">
        <f ca="1">[1]!BexGetData("DP_1","00O2TNJGODT0G5Z4TTKYMM5MT","GSON1112110443")</f>
        <v>#NAME?</v>
      </c>
      <c r="R1645" s="24" t="e">
        <f ca="1">[1]!BexGetData("DP_1","00O2TNJGODT0G5Z4TTKYMMBYD","GSON1112110443")</f>
        <v>#NAME?</v>
      </c>
      <c r="S1645" s="24" t="e">
        <f ca="1">[1]!BexGetData("DP_1","00O2TNJGODT0G5Z4TTKYMMI9X","GSON1112110443")</f>
        <v>#NAME?</v>
      </c>
      <c r="T1645" s="24" t="e">
        <f ca="1">[1]!BexGetData("DP_1","00O2TNJGODT0G5Z4TTKYMMOLH","GSON1112110443")</f>
        <v>#NAME?</v>
      </c>
      <c r="U1645" s="24" t="e">
        <f ca="1">[1]!BexGetData("DP_1","00O2TNJGODT0G5Z4TTKYMMUX1","GSON1112110443")</f>
        <v>#NAME?</v>
      </c>
      <c r="V1645" s="24" t="e">
        <f ca="1">[1]!BexGetData("DP_1","00O2TNJGODT0G5Z4TTKYMN18L","GSON1112110443")</f>
        <v>#NAME?</v>
      </c>
      <c r="W1645" s="24" t="e">
        <f ca="1">[1]!BexGetData("DP_1","00O2TNJGODT0G5Z4TTKYMN7K5","GSON1112110443")</f>
        <v>#NAME?</v>
      </c>
    </row>
    <row r="1646" spans="1:23" x14ac:dyDescent="0.2">
      <c r="A1646" s="36" t="s">
        <v>4365</v>
      </c>
      <c r="B1646" s="27" t="s">
        <v>4366</v>
      </c>
      <c r="C1646" s="23" t="e">
        <f ca="1">[1]!BexGetData("DP_1","003N8EMH8GTFRCSWKMPXRR8GU","GSON1112110444")</f>
        <v>#NAME?</v>
      </c>
      <c r="D1646" s="23" t="e">
        <f ca="1">[1]!BexGetData("DP_1","003N8EMH8GTFRCSWKMPXRRESE","GSON1112110444")</f>
        <v>#NAME?</v>
      </c>
      <c r="E1646" s="28" t="e">
        <f ca="1">[1]!BexGetData("DP_1","003N8EMH8GTFRCSWKMPXRRL3Y","GSON1112110444")</f>
        <v>#NAME?</v>
      </c>
      <c r="F1646" s="24" t="e">
        <f ca="1">[1]!BexGetData("DP_1","003N8EMH8GTFRCSWKMPXRRRFI","GSON1112110444")</f>
        <v>#NAME?</v>
      </c>
      <c r="G1646" s="24" t="e">
        <f ca="1">[1]!BexGetData("DP_1","003N8EMH8GTFRCSWKMPXRRXR2","GSON1112110444")</f>
        <v>#NAME?</v>
      </c>
      <c r="H1646" s="24" t="e">
        <f ca="1">[1]!BexGetData("DP_1","003N8EMH8GTFRCSWKMPXRS42M","GSON1112110444")</f>
        <v>#NAME?</v>
      </c>
      <c r="I1646" s="24" t="e">
        <f ca="1">[1]!BexGetData("DP_1","003N8EMH8GTFRCSWKMPXRSAE6","GSON1112110444")</f>
        <v>#NAME?</v>
      </c>
      <c r="J1646" s="24" t="e">
        <f ca="1">[1]!BexGetData("DP_1","003N8EMH8GTFRCSWKMPXRSGPQ","GSON1112110444")</f>
        <v>#NAME?</v>
      </c>
      <c r="K1646" s="28" t="e">
        <f ca="1">[1]!BexGetData("DP_1","003N8EMH8GTFRIVNUPY288VJH","GSON1112110444")</f>
        <v>#NAME?</v>
      </c>
      <c r="L1646" s="28" t="e">
        <f ca="1">[1]!BexGetData("DP_1","003N8EMH8GTFRIVNUPY2891V1","GSON1112110444")</f>
        <v>#NAME?</v>
      </c>
      <c r="M1646" s="28" t="e">
        <f ca="1">[1]!BexGetData("DP_1","003N8EMH8GTFRIVOG7KG9IQXA","GSON1112110444")</f>
        <v>#NAME?</v>
      </c>
      <c r="N1646" s="28" t="e">
        <f ca="1">[1]!BexGetData("DP_1","003N8EMH8GTFRIVOG7KG9IX8U","GSON1112110444")</f>
        <v>#NAME?</v>
      </c>
      <c r="O1646" s="28" t="e">
        <f ca="1">[1]!BexGetData("DP_1","003N8EMH8GTFRIVOG7KG9J3KE","GSON1112110444")</f>
        <v>#NAME?</v>
      </c>
      <c r="P1646" s="28" t="e">
        <f ca="1">[1]!BexGetData("DP_1","003N8EMH8GTFRIVOG7KG9J9VY","GSON1112110444")</f>
        <v>#NAME?</v>
      </c>
      <c r="Q1646" s="24" t="e">
        <f ca="1">[1]!BexGetData("DP_1","00O2TNJGODT0G5Z4TTKYMM5MT","GSON1112110444")</f>
        <v>#NAME?</v>
      </c>
      <c r="R1646" s="24" t="e">
        <f ca="1">[1]!BexGetData("DP_1","00O2TNJGODT0G5Z4TTKYMMBYD","GSON1112110444")</f>
        <v>#NAME?</v>
      </c>
      <c r="S1646" s="24" t="e">
        <f ca="1">[1]!BexGetData("DP_1","00O2TNJGODT0G5Z4TTKYMMI9X","GSON1112110444")</f>
        <v>#NAME?</v>
      </c>
      <c r="T1646" s="24" t="e">
        <f ca="1">[1]!BexGetData("DP_1","00O2TNJGODT0G5Z4TTKYMMOLH","GSON1112110444")</f>
        <v>#NAME?</v>
      </c>
      <c r="U1646" s="24" t="e">
        <f ca="1">[1]!BexGetData("DP_1","00O2TNJGODT0G5Z4TTKYMMUX1","GSON1112110444")</f>
        <v>#NAME?</v>
      </c>
      <c r="V1646" s="24" t="e">
        <f ca="1">[1]!BexGetData("DP_1","00O2TNJGODT0G5Z4TTKYMN18L","GSON1112110444")</f>
        <v>#NAME?</v>
      </c>
      <c r="W1646" s="24" t="e">
        <f ca="1">[1]!BexGetData("DP_1","00O2TNJGODT0G5Z4TTKYMN7K5","GSON1112110444")</f>
        <v>#NAME?</v>
      </c>
    </row>
    <row r="1647" spans="1:23" x14ac:dyDescent="0.2">
      <c r="A1647" s="36" t="s">
        <v>4367</v>
      </c>
      <c r="B1647" s="27" t="s">
        <v>4368</v>
      </c>
      <c r="C1647" s="28" t="e">
        <f ca="1">[1]!BexGetData("DP_1","003N8EMH8GTFRCSWKMPXRR8GU","GSON1112110445")</f>
        <v>#NAME?</v>
      </c>
      <c r="D1647" s="28" t="e">
        <f ca="1">[1]!BexGetData("DP_1","003N8EMH8GTFRCSWKMPXRRESE","GSON1112110445")</f>
        <v>#NAME?</v>
      </c>
      <c r="E1647" s="28" t="e">
        <f ca="1">[1]!BexGetData("DP_1","003N8EMH8GTFRCSWKMPXRRL3Y","GSON1112110445")</f>
        <v>#NAME?</v>
      </c>
      <c r="F1647" s="28" t="e">
        <f ca="1">[1]!BexGetData("DP_1","003N8EMH8GTFRCSWKMPXRRRFI","GSON1112110445")</f>
        <v>#NAME?</v>
      </c>
      <c r="G1647" s="23" t="e">
        <f ca="1">[1]!BexGetData("DP_1","003N8EMH8GTFRCSWKMPXRRXR2","GSON1112110445")</f>
        <v>#NAME?</v>
      </c>
      <c r="H1647" s="23" t="e">
        <f ca="1">[1]!BexGetData("DP_1","003N8EMH8GTFRCSWKMPXRS42M","GSON1112110445")</f>
        <v>#NAME?</v>
      </c>
      <c r="I1647" s="28" t="e">
        <f ca="1">[1]!BexGetData("DP_1","003N8EMH8GTFRCSWKMPXRSAE6","GSON1112110445")</f>
        <v>#NAME?</v>
      </c>
      <c r="J1647" s="24" t="e">
        <f ca="1">[1]!BexGetData("DP_1","003N8EMH8GTFRCSWKMPXRSGPQ","GSON1112110445")</f>
        <v>#NAME?</v>
      </c>
      <c r="K1647" s="28" t="e">
        <f ca="1">[1]!BexGetData("DP_1","003N8EMH8GTFRIVNUPY288VJH","GSON1112110445")</f>
        <v>#NAME?</v>
      </c>
      <c r="L1647" s="28" t="e">
        <f ca="1">[1]!BexGetData("DP_1","003N8EMH8GTFRIVNUPY2891V1","GSON1112110445")</f>
        <v>#NAME?</v>
      </c>
      <c r="M1647" s="28" t="e">
        <f ca="1">[1]!BexGetData("DP_1","003N8EMH8GTFRIVOG7KG9IQXA","GSON1112110445")</f>
        <v>#NAME?</v>
      </c>
      <c r="N1647" s="28" t="e">
        <f ca="1">[1]!BexGetData("DP_1","003N8EMH8GTFRIVOG7KG9IX8U","GSON1112110445")</f>
        <v>#NAME?</v>
      </c>
      <c r="O1647" s="28" t="e">
        <f ca="1">[1]!BexGetData("DP_1","003N8EMH8GTFRIVOG7KG9J3KE","GSON1112110445")</f>
        <v>#NAME?</v>
      </c>
      <c r="P1647" s="28" t="e">
        <f ca="1">[1]!BexGetData("DP_1","003N8EMH8GTFRIVOG7KG9J9VY","GSON1112110445")</f>
        <v>#NAME?</v>
      </c>
      <c r="Q1647" s="24" t="e">
        <f ca="1">[1]!BexGetData("DP_1","00O2TNJGODT0G5Z4TTKYMM5MT","GSON1112110445")</f>
        <v>#NAME?</v>
      </c>
      <c r="R1647" s="28" t="e">
        <f ca="1">[1]!BexGetData("DP_1","00O2TNJGODT0G5Z4TTKYMMBYD","GSON1112110445")</f>
        <v>#NAME?</v>
      </c>
      <c r="S1647" s="28" t="e">
        <f ca="1">[1]!BexGetData("DP_1","00O2TNJGODT0G5Z4TTKYMMI9X","GSON1112110445")</f>
        <v>#NAME?</v>
      </c>
      <c r="T1647" s="28" t="e">
        <f ca="1">[1]!BexGetData("DP_1","00O2TNJGODT0G5Z4TTKYMMOLH","GSON1112110445")</f>
        <v>#NAME?</v>
      </c>
      <c r="U1647" s="28" t="e">
        <f ca="1">[1]!BexGetData("DP_1","00O2TNJGODT0G5Z4TTKYMMUX1","GSON1112110445")</f>
        <v>#NAME?</v>
      </c>
      <c r="V1647" s="28" t="e">
        <f ca="1">[1]!BexGetData("DP_1","00O2TNJGODT0G5Z4TTKYMN18L","GSON1112110445")</f>
        <v>#NAME?</v>
      </c>
      <c r="W1647" s="28" t="e">
        <f ca="1">[1]!BexGetData("DP_1","00O2TNJGODT0G5Z4TTKYMN7K5","GSON1112110445")</f>
        <v>#NAME?</v>
      </c>
    </row>
    <row r="1648" spans="1:23" x14ac:dyDescent="0.2">
      <c r="A1648" s="36" t="s">
        <v>4369</v>
      </c>
      <c r="B1648" s="27" t="s">
        <v>4370</v>
      </c>
      <c r="C1648" s="28" t="e">
        <f ca="1">[1]!BexGetData("DP_1","003N8EMH8GTFRCSWKMPXRR8GU","GSON1112110450")</f>
        <v>#NAME?</v>
      </c>
      <c r="D1648" s="23" t="e">
        <f ca="1">[1]!BexGetData("DP_1","003N8EMH8GTFRCSWKMPXRRESE","GSON1112110450")</f>
        <v>#NAME?</v>
      </c>
      <c r="E1648" s="28" t="e">
        <f ca="1">[1]!BexGetData("DP_1","003N8EMH8GTFRCSWKMPXRRL3Y","GSON1112110450")</f>
        <v>#NAME?</v>
      </c>
      <c r="F1648" s="23" t="e">
        <f ca="1">[1]!BexGetData("DP_1","003N8EMH8GTFRCSWKMPXRRRFI","GSON1112110450")</f>
        <v>#NAME?</v>
      </c>
      <c r="G1648" s="23" t="e">
        <f ca="1">[1]!BexGetData("DP_1","003N8EMH8GTFRCSWKMPXRRXR2","GSON1112110450")</f>
        <v>#NAME?</v>
      </c>
      <c r="H1648" s="28" t="e">
        <f ca="1">[1]!BexGetData("DP_1","003N8EMH8GTFRCSWKMPXRS42M","GSON1112110450")</f>
        <v>#NAME?</v>
      </c>
      <c r="I1648" s="23" t="e">
        <f ca="1">[1]!BexGetData("DP_1","003N8EMH8GTFRCSWKMPXRSAE6","GSON1112110450")</f>
        <v>#NAME?</v>
      </c>
      <c r="J1648" s="24" t="e">
        <f ca="1">[1]!BexGetData("DP_1","003N8EMH8GTFRCSWKMPXRSGPQ","GSON1112110450")</f>
        <v>#NAME?</v>
      </c>
      <c r="K1648" s="23" t="e">
        <f ca="1">[1]!BexGetData("DP_1","003N8EMH8GTFRIVNUPY288VJH","GSON1112110450")</f>
        <v>#NAME?</v>
      </c>
      <c r="L1648" s="23" t="e">
        <f ca="1">[1]!BexGetData("DP_1","003N8EMH8GTFRIVNUPY2891V1","GSON1112110450")</f>
        <v>#NAME?</v>
      </c>
      <c r="M1648" s="23" t="e">
        <f ca="1">[1]!BexGetData("DP_1","003N8EMH8GTFRIVOG7KG9IQXA","GSON1112110450")</f>
        <v>#NAME?</v>
      </c>
      <c r="N1648" s="28" t="e">
        <f ca="1">[1]!BexGetData("DP_1","003N8EMH8GTFRIVOG7KG9IX8U","GSON1112110450")</f>
        <v>#NAME?</v>
      </c>
      <c r="O1648" s="23" t="e">
        <f ca="1">[1]!BexGetData("DP_1","003N8EMH8GTFRIVOG7KG9J3KE","GSON1112110450")</f>
        <v>#NAME?</v>
      </c>
      <c r="P1648" s="28" t="e">
        <f ca="1">[1]!BexGetData("DP_1","003N8EMH8GTFRIVOG7KG9J9VY","GSON1112110450")</f>
        <v>#NAME?</v>
      </c>
      <c r="Q1648" s="24" t="e">
        <f ca="1">[1]!BexGetData("DP_1","00O2TNJGODT0G5Z4TTKYMM5MT","GSON1112110450")</f>
        <v>#NAME?</v>
      </c>
      <c r="R1648" s="23" t="e">
        <f ca="1">[1]!BexGetData("DP_1","00O2TNJGODT0G5Z4TTKYMMBYD","GSON1112110450")</f>
        <v>#NAME?</v>
      </c>
      <c r="S1648" s="23" t="e">
        <f ca="1">[1]!BexGetData("DP_1","00O2TNJGODT0G5Z4TTKYMMI9X","GSON1112110450")</f>
        <v>#NAME?</v>
      </c>
      <c r="T1648" s="28" t="e">
        <f ca="1">[1]!BexGetData("DP_1","00O2TNJGODT0G5Z4TTKYMMOLH","GSON1112110450")</f>
        <v>#NAME?</v>
      </c>
      <c r="U1648" s="23" t="e">
        <f ca="1">[1]!BexGetData("DP_1","00O2TNJGODT0G5Z4TTKYMMUX1","GSON1112110450")</f>
        <v>#NAME?</v>
      </c>
      <c r="V1648" s="28" t="e">
        <f ca="1">[1]!BexGetData("DP_1","00O2TNJGODT0G5Z4TTKYMN18L","GSON1112110450")</f>
        <v>#NAME?</v>
      </c>
      <c r="W1648" s="23" t="e">
        <f ca="1">[1]!BexGetData("DP_1","00O2TNJGODT0G5Z4TTKYMN7K5","GSON1112110450")</f>
        <v>#NAME?</v>
      </c>
    </row>
    <row r="1649" spans="1:23" x14ac:dyDescent="0.2">
      <c r="A1649" s="36" t="s">
        <v>4371</v>
      </c>
      <c r="B1649" s="27" t="s">
        <v>4372</v>
      </c>
      <c r="C1649" s="28" t="e">
        <f ca="1">[1]!BexGetData("DP_1","003N8EMH8GTFRCSWKMPXRR8GU","GSON1112110451")</f>
        <v>#NAME?</v>
      </c>
      <c r="D1649" s="28" t="e">
        <f ca="1">[1]!BexGetData("DP_1","003N8EMH8GTFRCSWKMPXRRESE","GSON1112110451")</f>
        <v>#NAME?</v>
      </c>
      <c r="E1649" s="28" t="e">
        <f ca="1">[1]!BexGetData("DP_1","003N8EMH8GTFRCSWKMPXRRL3Y","GSON1112110451")</f>
        <v>#NAME?</v>
      </c>
      <c r="F1649" s="28" t="e">
        <f ca="1">[1]!BexGetData("DP_1","003N8EMH8GTFRCSWKMPXRRRFI","GSON1112110451")</f>
        <v>#NAME?</v>
      </c>
      <c r="G1649" s="23" t="e">
        <f ca="1">[1]!BexGetData("DP_1","003N8EMH8GTFRCSWKMPXRRXR2","GSON1112110451")</f>
        <v>#NAME?</v>
      </c>
      <c r="H1649" s="23" t="e">
        <f ca="1">[1]!BexGetData("DP_1","003N8EMH8GTFRCSWKMPXRS42M","GSON1112110451")</f>
        <v>#NAME?</v>
      </c>
      <c r="I1649" s="28" t="e">
        <f ca="1">[1]!BexGetData("DP_1","003N8EMH8GTFRCSWKMPXRSAE6","GSON1112110451")</f>
        <v>#NAME?</v>
      </c>
      <c r="J1649" s="24" t="e">
        <f ca="1">[1]!BexGetData("DP_1","003N8EMH8GTFRCSWKMPXRSGPQ","GSON1112110451")</f>
        <v>#NAME?</v>
      </c>
      <c r="K1649" s="28" t="e">
        <f ca="1">[1]!BexGetData("DP_1","003N8EMH8GTFRIVNUPY288VJH","GSON1112110451")</f>
        <v>#NAME?</v>
      </c>
      <c r="L1649" s="28" t="e">
        <f ca="1">[1]!BexGetData("DP_1","003N8EMH8GTFRIVNUPY2891V1","GSON1112110451")</f>
        <v>#NAME?</v>
      </c>
      <c r="M1649" s="28" t="e">
        <f ca="1">[1]!BexGetData("DP_1","003N8EMH8GTFRIVOG7KG9IQXA","GSON1112110451")</f>
        <v>#NAME?</v>
      </c>
      <c r="N1649" s="28" t="e">
        <f ca="1">[1]!BexGetData("DP_1","003N8EMH8GTFRIVOG7KG9IX8U","GSON1112110451")</f>
        <v>#NAME?</v>
      </c>
      <c r="O1649" s="28" t="e">
        <f ca="1">[1]!BexGetData("DP_1","003N8EMH8GTFRIVOG7KG9J3KE","GSON1112110451")</f>
        <v>#NAME?</v>
      </c>
      <c r="P1649" s="28" t="e">
        <f ca="1">[1]!BexGetData("DP_1","003N8EMH8GTFRIVOG7KG9J9VY","GSON1112110451")</f>
        <v>#NAME?</v>
      </c>
      <c r="Q1649" s="24" t="e">
        <f ca="1">[1]!BexGetData("DP_1","00O2TNJGODT0G5Z4TTKYMM5MT","GSON1112110451")</f>
        <v>#NAME?</v>
      </c>
      <c r="R1649" s="28" t="e">
        <f ca="1">[1]!BexGetData("DP_1","00O2TNJGODT0G5Z4TTKYMMBYD","GSON1112110451")</f>
        <v>#NAME?</v>
      </c>
      <c r="S1649" s="28" t="e">
        <f ca="1">[1]!BexGetData("DP_1","00O2TNJGODT0G5Z4TTKYMMI9X","GSON1112110451")</f>
        <v>#NAME?</v>
      </c>
      <c r="T1649" s="28" t="e">
        <f ca="1">[1]!BexGetData("DP_1","00O2TNJGODT0G5Z4TTKYMMOLH","GSON1112110451")</f>
        <v>#NAME?</v>
      </c>
      <c r="U1649" s="28" t="e">
        <f ca="1">[1]!BexGetData("DP_1","00O2TNJGODT0G5Z4TTKYMMUX1","GSON1112110451")</f>
        <v>#NAME?</v>
      </c>
      <c r="V1649" s="28" t="e">
        <f ca="1">[1]!BexGetData("DP_1","00O2TNJGODT0G5Z4TTKYMN18L","GSON1112110451")</f>
        <v>#NAME?</v>
      </c>
      <c r="W1649" s="28" t="e">
        <f ca="1">[1]!BexGetData("DP_1","00O2TNJGODT0G5Z4TTKYMN7K5","GSON1112110451")</f>
        <v>#NAME?</v>
      </c>
    </row>
    <row r="1650" spans="1:23" x14ac:dyDescent="0.2">
      <c r="A1650" s="36" t="s">
        <v>4373</v>
      </c>
      <c r="B1650" s="27" t="s">
        <v>4374</v>
      </c>
      <c r="C1650" s="23" t="e">
        <f ca="1">[1]!BexGetData("DP_1","003N8EMH8GTFRCSWKMPXRR8GU","GSON1112110453")</f>
        <v>#NAME?</v>
      </c>
      <c r="D1650" s="23" t="e">
        <f ca="1">[1]!BexGetData("DP_1","003N8EMH8GTFRCSWKMPXRRESE","GSON1112110453")</f>
        <v>#NAME?</v>
      </c>
      <c r="E1650" s="28" t="e">
        <f ca="1">[1]!BexGetData("DP_1","003N8EMH8GTFRCSWKMPXRRL3Y","GSON1112110453")</f>
        <v>#NAME?</v>
      </c>
      <c r="F1650" s="24" t="e">
        <f ca="1">[1]!BexGetData("DP_1","003N8EMH8GTFRCSWKMPXRRRFI","GSON1112110453")</f>
        <v>#NAME?</v>
      </c>
      <c r="G1650" s="24" t="e">
        <f ca="1">[1]!BexGetData("DP_1","003N8EMH8GTFRCSWKMPXRRXR2","GSON1112110453")</f>
        <v>#NAME?</v>
      </c>
      <c r="H1650" s="24" t="e">
        <f ca="1">[1]!BexGetData("DP_1","003N8EMH8GTFRCSWKMPXRS42M","GSON1112110453")</f>
        <v>#NAME?</v>
      </c>
      <c r="I1650" s="24" t="e">
        <f ca="1">[1]!BexGetData("DP_1","003N8EMH8GTFRCSWKMPXRSAE6","GSON1112110453")</f>
        <v>#NAME?</v>
      </c>
      <c r="J1650" s="24" t="e">
        <f ca="1">[1]!BexGetData("DP_1","003N8EMH8GTFRCSWKMPXRSGPQ","GSON1112110453")</f>
        <v>#NAME?</v>
      </c>
      <c r="K1650" s="28" t="e">
        <f ca="1">[1]!BexGetData("DP_1","003N8EMH8GTFRIVNUPY288VJH","GSON1112110453")</f>
        <v>#NAME?</v>
      </c>
      <c r="L1650" s="28" t="e">
        <f ca="1">[1]!BexGetData("DP_1","003N8EMH8GTFRIVNUPY2891V1","GSON1112110453")</f>
        <v>#NAME?</v>
      </c>
      <c r="M1650" s="28" t="e">
        <f ca="1">[1]!BexGetData("DP_1","003N8EMH8GTFRIVOG7KG9IQXA","GSON1112110453")</f>
        <v>#NAME?</v>
      </c>
      <c r="N1650" s="28" t="e">
        <f ca="1">[1]!BexGetData("DP_1","003N8EMH8GTFRIVOG7KG9IX8U","GSON1112110453")</f>
        <v>#NAME?</v>
      </c>
      <c r="O1650" s="28" t="e">
        <f ca="1">[1]!BexGetData("DP_1","003N8EMH8GTFRIVOG7KG9J3KE","GSON1112110453")</f>
        <v>#NAME?</v>
      </c>
      <c r="P1650" s="28" t="e">
        <f ca="1">[1]!BexGetData("DP_1","003N8EMH8GTFRIVOG7KG9J9VY","GSON1112110453")</f>
        <v>#NAME?</v>
      </c>
      <c r="Q1650" s="24" t="e">
        <f ca="1">[1]!BexGetData("DP_1","00O2TNJGODT0G5Z4TTKYMM5MT","GSON1112110453")</f>
        <v>#NAME?</v>
      </c>
      <c r="R1650" s="24" t="e">
        <f ca="1">[1]!BexGetData("DP_1","00O2TNJGODT0G5Z4TTKYMMBYD","GSON1112110453")</f>
        <v>#NAME?</v>
      </c>
      <c r="S1650" s="24" t="e">
        <f ca="1">[1]!BexGetData("DP_1","00O2TNJGODT0G5Z4TTKYMMI9X","GSON1112110453")</f>
        <v>#NAME?</v>
      </c>
      <c r="T1650" s="24" t="e">
        <f ca="1">[1]!BexGetData("DP_1","00O2TNJGODT0G5Z4TTKYMMOLH","GSON1112110453")</f>
        <v>#NAME?</v>
      </c>
      <c r="U1650" s="24" t="e">
        <f ca="1">[1]!BexGetData("DP_1","00O2TNJGODT0G5Z4TTKYMMUX1","GSON1112110453")</f>
        <v>#NAME?</v>
      </c>
      <c r="V1650" s="24" t="e">
        <f ca="1">[1]!BexGetData("DP_1","00O2TNJGODT0G5Z4TTKYMN18L","GSON1112110453")</f>
        <v>#NAME?</v>
      </c>
      <c r="W1650" s="24" t="e">
        <f ca="1">[1]!BexGetData("DP_1","00O2TNJGODT0G5Z4TTKYMN7K5","GSON1112110453")</f>
        <v>#NAME?</v>
      </c>
    </row>
    <row r="1651" spans="1:23" x14ac:dyDescent="0.2">
      <c r="A1651" s="36" t="s">
        <v>4375</v>
      </c>
      <c r="B1651" s="27" t="s">
        <v>4376</v>
      </c>
      <c r="C1651" s="23" t="e">
        <f ca="1">[1]!BexGetData("DP_1","003N8EMH8GTFRCSWKMPXRR8GU","GSON1112110460")</f>
        <v>#NAME?</v>
      </c>
      <c r="D1651" s="23" t="e">
        <f ca="1">[1]!BexGetData("DP_1","003N8EMH8GTFRCSWKMPXRRESE","GSON1112110460")</f>
        <v>#NAME?</v>
      </c>
      <c r="E1651" s="23" t="e">
        <f ca="1">[1]!BexGetData("DP_1","003N8EMH8GTFRCSWKMPXRRL3Y","GSON1112110460")</f>
        <v>#NAME?</v>
      </c>
      <c r="F1651" s="24" t="e">
        <f ca="1">[1]!BexGetData("DP_1","003N8EMH8GTFRCSWKMPXRRRFI","GSON1112110460")</f>
        <v>#NAME?</v>
      </c>
      <c r="G1651" s="24" t="e">
        <f ca="1">[1]!BexGetData("DP_1","003N8EMH8GTFRCSWKMPXRRXR2","GSON1112110460")</f>
        <v>#NAME?</v>
      </c>
      <c r="H1651" s="24" t="e">
        <f ca="1">[1]!BexGetData("DP_1","003N8EMH8GTFRCSWKMPXRS42M","GSON1112110460")</f>
        <v>#NAME?</v>
      </c>
      <c r="I1651" s="24" t="e">
        <f ca="1">[1]!BexGetData("DP_1","003N8EMH8GTFRCSWKMPXRSAE6","GSON1112110460")</f>
        <v>#NAME?</v>
      </c>
      <c r="J1651" s="24" t="e">
        <f ca="1">[1]!BexGetData("DP_1","003N8EMH8GTFRCSWKMPXRSGPQ","GSON1112110460")</f>
        <v>#NAME?</v>
      </c>
      <c r="K1651" s="23" t="e">
        <f ca="1">[1]!BexGetData("DP_1","003N8EMH8GTFRIVNUPY288VJH","GSON1112110460")</f>
        <v>#NAME?</v>
      </c>
      <c r="L1651" s="23" t="e">
        <f ca="1">[1]!BexGetData("DP_1","003N8EMH8GTFRIVNUPY2891V1","GSON1112110460")</f>
        <v>#NAME?</v>
      </c>
      <c r="M1651" s="28" t="e">
        <f ca="1">[1]!BexGetData("DP_1","003N8EMH8GTFRIVOG7KG9IQXA","GSON1112110460")</f>
        <v>#NAME?</v>
      </c>
      <c r="N1651" s="23" t="e">
        <f ca="1">[1]!BexGetData("DP_1","003N8EMH8GTFRIVOG7KG9IX8U","GSON1112110460")</f>
        <v>#NAME?</v>
      </c>
      <c r="O1651" s="28" t="e">
        <f ca="1">[1]!BexGetData("DP_1","003N8EMH8GTFRIVOG7KG9J3KE","GSON1112110460")</f>
        <v>#NAME?</v>
      </c>
      <c r="P1651" s="23" t="e">
        <f ca="1">[1]!BexGetData("DP_1","003N8EMH8GTFRIVOG7KG9J9VY","GSON1112110460")</f>
        <v>#NAME?</v>
      </c>
      <c r="Q1651" s="24" t="e">
        <f ca="1">[1]!BexGetData("DP_1","00O2TNJGODT0G5Z4TTKYMM5MT","GSON1112110460")</f>
        <v>#NAME?</v>
      </c>
      <c r="R1651" s="24" t="e">
        <f ca="1">[1]!BexGetData("DP_1","00O2TNJGODT0G5Z4TTKYMMBYD","GSON1112110460")</f>
        <v>#NAME?</v>
      </c>
      <c r="S1651" s="24" t="e">
        <f ca="1">[1]!BexGetData("DP_1","00O2TNJGODT0G5Z4TTKYMMI9X","GSON1112110460")</f>
        <v>#NAME?</v>
      </c>
      <c r="T1651" s="24" t="e">
        <f ca="1">[1]!BexGetData("DP_1","00O2TNJGODT0G5Z4TTKYMMOLH","GSON1112110460")</f>
        <v>#NAME?</v>
      </c>
      <c r="U1651" s="24" t="e">
        <f ca="1">[1]!BexGetData("DP_1","00O2TNJGODT0G5Z4TTKYMMUX1","GSON1112110460")</f>
        <v>#NAME?</v>
      </c>
      <c r="V1651" s="24" t="e">
        <f ca="1">[1]!BexGetData("DP_1","00O2TNJGODT0G5Z4TTKYMN18L","GSON1112110460")</f>
        <v>#NAME?</v>
      </c>
      <c r="W1651" s="24" t="e">
        <f ca="1">[1]!BexGetData("DP_1","00O2TNJGODT0G5Z4TTKYMN7K5","GSON1112110460")</f>
        <v>#NAME?</v>
      </c>
    </row>
    <row r="1652" spans="1:23" x14ac:dyDescent="0.2">
      <c r="A1652" s="36" t="s">
        <v>4377</v>
      </c>
      <c r="B1652" s="27" t="s">
        <v>4378</v>
      </c>
      <c r="C1652" s="23" t="e">
        <f ca="1">[1]!BexGetData("DP_1","003N8EMH8GTFRCSWKMPXRR8GU","GSON1112110461")</f>
        <v>#NAME?</v>
      </c>
      <c r="D1652" s="23" t="e">
        <f ca="1">[1]!BexGetData("DP_1","003N8EMH8GTFRCSWKMPXRRESE","GSON1112110461")</f>
        <v>#NAME?</v>
      </c>
      <c r="E1652" s="28" t="e">
        <f ca="1">[1]!BexGetData("DP_1","003N8EMH8GTFRCSWKMPXRRL3Y","GSON1112110461")</f>
        <v>#NAME?</v>
      </c>
      <c r="F1652" s="24" t="e">
        <f ca="1">[1]!BexGetData("DP_1","003N8EMH8GTFRCSWKMPXRRRFI","GSON1112110461")</f>
        <v>#NAME?</v>
      </c>
      <c r="G1652" s="24" t="e">
        <f ca="1">[1]!BexGetData("DP_1","003N8EMH8GTFRCSWKMPXRRXR2","GSON1112110461")</f>
        <v>#NAME?</v>
      </c>
      <c r="H1652" s="24" t="e">
        <f ca="1">[1]!BexGetData("DP_1","003N8EMH8GTFRCSWKMPXRS42M","GSON1112110461")</f>
        <v>#NAME?</v>
      </c>
      <c r="I1652" s="24" t="e">
        <f ca="1">[1]!BexGetData("DP_1","003N8EMH8GTFRCSWKMPXRSAE6","GSON1112110461")</f>
        <v>#NAME?</v>
      </c>
      <c r="J1652" s="24" t="e">
        <f ca="1">[1]!BexGetData("DP_1","003N8EMH8GTFRCSWKMPXRSGPQ","GSON1112110461")</f>
        <v>#NAME?</v>
      </c>
      <c r="K1652" s="28" t="e">
        <f ca="1">[1]!BexGetData("DP_1","003N8EMH8GTFRIVNUPY288VJH","GSON1112110461")</f>
        <v>#NAME?</v>
      </c>
      <c r="L1652" s="28" t="e">
        <f ca="1">[1]!BexGetData("DP_1","003N8EMH8GTFRIVNUPY2891V1","GSON1112110461")</f>
        <v>#NAME?</v>
      </c>
      <c r="M1652" s="28" t="e">
        <f ca="1">[1]!BexGetData("DP_1","003N8EMH8GTFRIVOG7KG9IQXA","GSON1112110461")</f>
        <v>#NAME?</v>
      </c>
      <c r="N1652" s="28" t="e">
        <f ca="1">[1]!BexGetData("DP_1","003N8EMH8GTFRIVOG7KG9IX8U","GSON1112110461")</f>
        <v>#NAME?</v>
      </c>
      <c r="O1652" s="28" t="e">
        <f ca="1">[1]!BexGetData("DP_1","003N8EMH8GTFRIVOG7KG9J3KE","GSON1112110461")</f>
        <v>#NAME?</v>
      </c>
      <c r="P1652" s="28" t="e">
        <f ca="1">[1]!BexGetData("DP_1","003N8EMH8GTFRIVOG7KG9J9VY","GSON1112110461")</f>
        <v>#NAME?</v>
      </c>
      <c r="Q1652" s="24" t="e">
        <f ca="1">[1]!BexGetData("DP_1","00O2TNJGODT0G5Z4TTKYMM5MT","GSON1112110461")</f>
        <v>#NAME?</v>
      </c>
      <c r="R1652" s="24" t="e">
        <f ca="1">[1]!BexGetData("DP_1","00O2TNJGODT0G5Z4TTKYMMBYD","GSON1112110461")</f>
        <v>#NAME?</v>
      </c>
      <c r="S1652" s="24" t="e">
        <f ca="1">[1]!BexGetData("DP_1","00O2TNJGODT0G5Z4TTKYMMI9X","GSON1112110461")</f>
        <v>#NAME?</v>
      </c>
      <c r="T1652" s="24" t="e">
        <f ca="1">[1]!BexGetData("DP_1","00O2TNJGODT0G5Z4TTKYMMOLH","GSON1112110461")</f>
        <v>#NAME?</v>
      </c>
      <c r="U1652" s="24" t="e">
        <f ca="1">[1]!BexGetData("DP_1","00O2TNJGODT0G5Z4TTKYMMUX1","GSON1112110461")</f>
        <v>#NAME?</v>
      </c>
      <c r="V1652" s="24" t="e">
        <f ca="1">[1]!BexGetData("DP_1","00O2TNJGODT0G5Z4TTKYMN18L","GSON1112110461")</f>
        <v>#NAME?</v>
      </c>
      <c r="W1652" s="24" t="e">
        <f ca="1">[1]!BexGetData("DP_1","00O2TNJGODT0G5Z4TTKYMN7K5","GSON1112110461")</f>
        <v>#NAME?</v>
      </c>
    </row>
    <row r="1653" spans="1:23" x14ac:dyDescent="0.2">
      <c r="A1653" s="36" t="s">
        <v>4379</v>
      </c>
      <c r="B1653" s="27" t="s">
        <v>4380</v>
      </c>
      <c r="C1653" s="23" t="e">
        <f ca="1">[1]!BexGetData("DP_1","003N8EMH8GTFRCSWKMPXRR8GU","GSON1112110462")</f>
        <v>#NAME?</v>
      </c>
      <c r="D1653" s="23" t="e">
        <f ca="1">[1]!BexGetData("DP_1","003N8EMH8GTFRCSWKMPXRRESE","GSON1112110462")</f>
        <v>#NAME?</v>
      </c>
      <c r="E1653" s="23" t="e">
        <f ca="1">[1]!BexGetData("DP_1","003N8EMH8GTFRCSWKMPXRRL3Y","GSON1112110462")</f>
        <v>#NAME?</v>
      </c>
      <c r="F1653" s="24" t="e">
        <f ca="1">[1]!BexGetData("DP_1","003N8EMH8GTFRCSWKMPXRRRFI","GSON1112110462")</f>
        <v>#NAME?</v>
      </c>
      <c r="G1653" s="24" t="e">
        <f ca="1">[1]!BexGetData("DP_1","003N8EMH8GTFRCSWKMPXRRXR2","GSON1112110462")</f>
        <v>#NAME?</v>
      </c>
      <c r="H1653" s="24" t="e">
        <f ca="1">[1]!BexGetData("DP_1","003N8EMH8GTFRCSWKMPXRS42M","GSON1112110462")</f>
        <v>#NAME?</v>
      </c>
      <c r="I1653" s="24" t="e">
        <f ca="1">[1]!BexGetData("DP_1","003N8EMH8GTFRCSWKMPXRSAE6","GSON1112110462")</f>
        <v>#NAME?</v>
      </c>
      <c r="J1653" s="24" t="e">
        <f ca="1">[1]!BexGetData("DP_1","003N8EMH8GTFRCSWKMPXRSGPQ","GSON1112110462")</f>
        <v>#NAME?</v>
      </c>
      <c r="K1653" s="23" t="e">
        <f ca="1">[1]!BexGetData("DP_1","003N8EMH8GTFRIVNUPY288VJH","GSON1112110462")</f>
        <v>#NAME?</v>
      </c>
      <c r="L1653" s="23" t="e">
        <f ca="1">[1]!BexGetData("DP_1","003N8EMH8GTFRIVNUPY2891V1","GSON1112110462")</f>
        <v>#NAME?</v>
      </c>
      <c r="M1653" s="23" t="e">
        <f ca="1">[1]!BexGetData("DP_1","003N8EMH8GTFRIVOG7KG9IQXA","GSON1112110462")</f>
        <v>#NAME?</v>
      </c>
      <c r="N1653" s="28" t="e">
        <f ca="1">[1]!BexGetData("DP_1","003N8EMH8GTFRIVOG7KG9IX8U","GSON1112110462")</f>
        <v>#NAME?</v>
      </c>
      <c r="O1653" s="23" t="e">
        <f ca="1">[1]!BexGetData("DP_1","003N8EMH8GTFRIVOG7KG9J3KE","GSON1112110462")</f>
        <v>#NAME?</v>
      </c>
      <c r="P1653" s="28" t="e">
        <f ca="1">[1]!BexGetData("DP_1","003N8EMH8GTFRIVOG7KG9J9VY","GSON1112110462")</f>
        <v>#NAME?</v>
      </c>
      <c r="Q1653" s="24" t="e">
        <f ca="1">[1]!BexGetData("DP_1","00O2TNJGODT0G5Z4TTKYMM5MT","GSON1112110462")</f>
        <v>#NAME?</v>
      </c>
      <c r="R1653" s="24" t="e">
        <f ca="1">[1]!BexGetData("DP_1","00O2TNJGODT0G5Z4TTKYMMBYD","GSON1112110462")</f>
        <v>#NAME?</v>
      </c>
      <c r="S1653" s="24" t="e">
        <f ca="1">[1]!BexGetData("DP_1","00O2TNJGODT0G5Z4TTKYMMI9X","GSON1112110462")</f>
        <v>#NAME?</v>
      </c>
      <c r="T1653" s="24" t="e">
        <f ca="1">[1]!BexGetData("DP_1","00O2TNJGODT0G5Z4TTKYMMOLH","GSON1112110462")</f>
        <v>#NAME?</v>
      </c>
      <c r="U1653" s="24" t="e">
        <f ca="1">[1]!BexGetData("DP_1","00O2TNJGODT0G5Z4TTKYMMUX1","GSON1112110462")</f>
        <v>#NAME?</v>
      </c>
      <c r="V1653" s="24" t="e">
        <f ca="1">[1]!BexGetData("DP_1","00O2TNJGODT0G5Z4TTKYMN18L","GSON1112110462")</f>
        <v>#NAME?</v>
      </c>
      <c r="W1653" s="24" t="e">
        <f ca="1">[1]!BexGetData("DP_1","00O2TNJGODT0G5Z4TTKYMN7K5","GSON1112110462")</f>
        <v>#NAME?</v>
      </c>
    </row>
    <row r="1654" spans="1:23" x14ac:dyDescent="0.2">
      <c r="A1654" s="36" t="s">
        <v>4381</v>
      </c>
      <c r="B1654" s="27" t="s">
        <v>4382</v>
      </c>
      <c r="C1654" s="23" t="e">
        <f ca="1">[1]!BexGetData("DP_1","003N8EMH8GTFRCSWKMPXRR8GU","GSON1112110463")</f>
        <v>#NAME?</v>
      </c>
      <c r="D1654" s="23" t="e">
        <f ca="1">[1]!BexGetData("DP_1","003N8EMH8GTFRCSWKMPXRRESE","GSON1112110463")</f>
        <v>#NAME?</v>
      </c>
      <c r="E1654" s="28" t="e">
        <f ca="1">[1]!BexGetData("DP_1","003N8EMH8GTFRCSWKMPXRRL3Y","GSON1112110463")</f>
        <v>#NAME?</v>
      </c>
      <c r="F1654" s="24" t="e">
        <f ca="1">[1]!BexGetData("DP_1","003N8EMH8GTFRCSWKMPXRRRFI","GSON1112110463")</f>
        <v>#NAME?</v>
      </c>
      <c r="G1654" s="24" t="e">
        <f ca="1">[1]!BexGetData("DP_1","003N8EMH8GTFRCSWKMPXRRXR2","GSON1112110463")</f>
        <v>#NAME?</v>
      </c>
      <c r="H1654" s="24" t="e">
        <f ca="1">[1]!BexGetData("DP_1","003N8EMH8GTFRCSWKMPXRS42M","GSON1112110463")</f>
        <v>#NAME?</v>
      </c>
      <c r="I1654" s="24" t="e">
        <f ca="1">[1]!BexGetData("DP_1","003N8EMH8GTFRCSWKMPXRSAE6","GSON1112110463")</f>
        <v>#NAME?</v>
      </c>
      <c r="J1654" s="24" t="e">
        <f ca="1">[1]!BexGetData("DP_1","003N8EMH8GTFRCSWKMPXRSGPQ","GSON1112110463")</f>
        <v>#NAME?</v>
      </c>
      <c r="K1654" s="28" t="e">
        <f ca="1">[1]!BexGetData("DP_1","003N8EMH8GTFRIVNUPY288VJH","GSON1112110463")</f>
        <v>#NAME?</v>
      </c>
      <c r="L1654" s="28" t="e">
        <f ca="1">[1]!BexGetData("DP_1","003N8EMH8GTFRIVNUPY2891V1","GSON1112110463")</f>
        <v>#NAME?</v>
      </c>
      <c r="M1654" s="28" t="e">
        <f ca="1">[1]!BexGetData("DP_1","003N8EMH8GTFRIVOG7KG9IQXA","GSON1112110463")</f>
        <v>#NAME?</v>
      </c>
      <c r="N1654" s="28" t="e">
        <f ca="1">[1]!BexGetData("DP_1","003N8EMH8GTFRIVOG7KG9IX8U","GSON1112110463")</f>
        <v>#NAME?</v>
      </c>
      <c r="O1654" s="28" t="e">
        <f ca="1">[1]!BexGetData("DP_1","003N8EMH8GTFRIVOG7KG9J3KE","GSON1112110463")</f>
        <v>#NAME?</v>
      </c>
      <c r="P1654" s="28" t="e">
        <f ca="1">[1]!BexGetData("DP_1","003N8EMH8GTFRIVOG7KG9J9VY","GSON1112110463")</f>
        <v>#NAME?</v>
      </c>
      <c r="Q1654" s="24" t="e">
        <f ca="1">[1]!BexGetData("DP_1","00O2TNJGODT0G5Z4TTKYMM5MT","GSON1112110463")</f>
        <v>#NAME?</v>
      </c>
      <c r="R1654" s="24" t="e">
        <f ca="1">[1]!BexGetData("DP_1","00O2TNJGODT0G5Z4TTKYMMBYD","GSON1112110463")</f>
        <v>#NAME?</v>
      </c>
      <c r="S1654" s="24" t="e">
        <f ca="1">[1]!BexGetData("DP_1","00O2TNJGODT0G5Z4TTKYMMI9X","GSON1112110463")</f>
        <v>#NAME?</v>
      </c>
      <c r="T1654" s="24" t="e">
        <f ca="1">[1]!BexGetData("DP_1","00O2TNJGODT0G5Z4TTKYMMOLH","GSON1112110463")</f>
        <v>#NAME?</v>
      </c>
      <c r="U1654" s="24" t="e">
        <f ca="1">[1]!BexGetData("DP_1","00O2TNJGODT0G5Z4TTKYMMUX1","GSON1112110463")</f>
        <v>#NAME?</v>
      </c>
      <c r="V1654" s="24" t="e">
        <f ca="1">[1]!BexGetData("DP_1","00O2TNJGODT0G5Z4TTKYMN18L","GSON1112110463")</f>
        <v>#NAME?</v>
      </c>
      <c r="W1654" s="24" t="e">
        <f ca="1">[1]!BexGetData("DP_1","00O2TNJGODT0G5Z4TTKYMN7K5","GSON1112110463")</f>
        <v>#NAME?</v>
      </c>
    </row>
    <row r="1655" spans="1:23" x14ac:dyDescent="0.2">
      <c r="A1655" s="36" t="s">
        <v>4383</v>
      </c>
      <c r="B1655" s="27" t="s">
        <v>4384</v>
      </c>
      <c r="C1655" s="23" t="e">
        <f ca="1">[1]!BexGetData("DP_1","003N8EMH8GTFRCSWKMPXRR8GU","GSON1112110464")</f>
        <v>#NAME?</v>
      </c>
      <c r="D1655" s="23" t="e">
        <f ca="1">[1]!BexGetData("DP_1","003N8EMH8GTFRCSWKMPXRRESE","GSON1112110464")</f>
        <v>#NAME?</v>
      </c>
      <c r="E1655" s="28" t="e">
        <f ca="1">[1]!BexGetData("DP_1","003N8EMH8GTFRCSWKMPXRRL3Y","GSON1112110464")</f>
        <v>#NAME?</v>
      </c>
      <c r="F1655" s="24" t="e">
        <f ca="1">[1]!BexGetData("DP_1","003N8EMH8GTFRCSWKMPXRRRFI","GSON1112110464")</f>
        <v>#NAME?</v>
      </c>
      <c r="G1655" s="24" t="e">
        <f ca="1">[1]!BexGetData("DP_1","003N8EMH8GTFRCSWKMPXRRXR2","GSON1112110464")</f>
        <v>#NAME?</v>
      </c>
      <c r="H1655" s="24" t="e">
        <f ca="1">[1]!BexGetData("DP_1","003N8EMH8GTFRCSWKMPXRS42M","GSON1112110464")</f>
        <v>#NAME?</v>
      </c>
      <c r="I1655" s="24" t="e">
        <f ca="1">[1]!BexGetData("DP_1","003N8EMH8GTFRCSWKMPXRSAE6","GSON1112110464")</f>
        <v>#NAME?</v>
      </c>
      <c r="J1655" s="24" t="e">
        <f ca="1">[1]!BexGetData("DP_1","003N8EMH8GTFRCSWKMPXRSGPQ","GSON1112110464")</f>
        <v>#NAME?</v>
      </c>
      <c r="K1655" s="28" t="e">
        <f ca="1">[1]!BexGetData("DP_1","003N8EMH8GTFRIVNUPY288VJH","GSON1112110464")</f>
        <v>#NAME?</v>
      </c>
      <c r="L1655" s="28" t="e">
        <f ca="1">[1]!BexGetData("DP_1","003N8EMH8GTFRIVNUPY2891V1","GSON1112110464")</f>
        <v>#NAME?</v>
      </c>
      <c r="M1655" s="28" t="e">
        <f ca="1">[1]!BexGetData("DP_1","003N8EMH8GTFRIVOG7KG9IQXA","GSON1112110464")</f>
        <v>#NAME?</v>
      </c>
      <c r="N1655" s="28" t="e">
        <f ca="1">[1]!BexGetData("DP_1","003N8EMH8GTFRIVOG7KG9IX8U","GSON1112110464")</f>
        <v>#NAME?</v>
      </c>
      <c r="O1655" s="28" t="e">
        <f ca="1">[1]!BexGetData("DP_1","003N8EMH8GTFRIVOG7KG9J3KE","GSON1112110464")</f>
        <v>#NAME?</v>
      </c>
      <c r="P1655" s="28" t="e">
        <f ca="1">[1]!BexGetData("DP_1","003N8EMH8GTFRIVOG7KG9J9VY","GSON1112110464")</f>
        <v>#NAME?</v>
      </c>
      <c r="Q1655" s="24" t="e">
        <f ca="1">[1]!BexGetData("DP_1","00O2TNJGODT0G5Z4TTKYMM5MT","GSON1112110464")</f>
        <v>#NAME?</v>
      </c>
      <c r="R1655" s="24" t="e">
        <f ca="1">[1]!BexGetData("DP_1","00O2TNJGODT0G5Z4TTKYMMBYD","GSON1112110464")</f>
        <v>#NAME?</v>
      </c>
      <c r="S1655" s="24" t="e">
        <f ca="1">[1]!BexGetData("DP_1","00O2TNJGODT0G5Z4TTKYMMI9X","GSON1112110464")</f>
        <v>#NAME?</v>
      </c>
      <c r="T1655" s="24" t="e">
        <f ca="1">[1]!BexGetData("DP_1","00O2TNJGODT0G5Z4TTKYMMOLH","GSON1112110464")</f>
        <v>#NAME?</v>
      </c>
      <c r="U1655" s="24" t="e">
        <f ca="1">[1]!BexGetData("DP_1","00O2TNJGODT0G5Z4TTKYMMUX1","GSON1112110464")</f>
        <v>#NAME?</v>
      </c>
      <c r="V1655" s="24" t="e">
        <f ca="1">[1]!BexGetData("DP_1","00O2TNJGODT0G5Z4TTKYMN18L","GSON1112110464")</f>
        <v>#NAME?</v>
      </c>
      <c r="W1655" s="24" t="e">
        <f ca="1">[1]!BexGetData("DP_1","00O2TNJGODT0G5Z4TTKYMN7K5","GSON1112110464")</f>
        <v>#NAME?</v>
      </c>
    </row>
    <row r="1656" spans="1:23" x14ac:dyDescent="0.2">
      <c r="A1656" s="36" t="s">
        <v>4385</v>
      </c>
      <c r="B1656" s="27" t="s">
        <v>4386</v>
      </c>
      <c r="C1656" s="23" t="e">
        <f ca="1">[1]!BexGetData("DP_1","003N8EMH8GTFRCSWKMPXRR8GU","GSON1112110465")</f>
        <v>#NAME?</v>
      </c>
      <c r="D1656" s="23" t="e">
        <f ca="1">[1]!BexGetData("DP_1","003N8EMH8GTFRCSWKMPXRRESE","GSON1112110465")</f>
        <v>#NAME?</v>
      </c>
      <c r="E1656" s="28" t="e">
        <f ca="1">[1]!BexGetData("DP_1","003N8EMH8GTFRCSWKMPXRRL3Y","GSON1112110465")</f>
        <v>#NAME?</v>
      </c>
      <c r="F1656" s="24" t="e">
        <f ca="1">[1]!BexGetData("DP_1","003N8EMH8GTFRCSWKMPXRRRFI","GSON1112110465")</f>
        <v>#NAME?</v>
      </c>
      <c r="G1656" s="24" t="e">
        <f ca="1">[1]!BexGetData("DP_1","003N8EMH8GTFRCSWKMPXRRXR2","GSON1112110465")</f>
        <v>#NAME?</v>
      </c>
      <c r="H1656" s="24" t="e">
        <f ca="1">[1]!BexGetData("DP_1","003N8EMH8GTFRCSWKMPXRS42M","GSON1112110465")</f>
        <v>#NAME?</v>
      </c>
      <c r="I1656" s="24" t="e">
        <f ca="1">[1]!BexGetData("DP_1","003N8EMH8GTFRCSWKMPXRSAE6","GSON1112110465")</f>
        <v>#NAME?</v>
      </c>
      <c r="J1656" s="24" t="e">
        <f ca="1">[1]!BexGetData("DP_1","003N8EMH8GTFRCSWKMPXRSGPQ","GSON1112110465")</f>
        <v>#NAME?</v>
      </c>
      <c r="K1656" s="28" t="e">
        <f ca="1">[1]!BexGetData("DP_1","003N8EMH8GTFRIVNUPY288VJH","GSON1112110465")</f>
        <v>#NAME?</v>
      </c>
      <c r="L1656" s="28" t="e">
        <f ca="1">[1]!BexGetData("DP_1","003N8EMH8GTFRIVNUPY2891V1","GSON1112110465")</f>
        <v>#NAME?</v>
      </c>
      <c r="M1656" s="28" t="e">
        <f ca="1">[1]!BexGetData("DP_1","003N8EMH8GTFRIVOG7KG9IQXA","GSON1112110465")</f>
        <v>#NAME?</v>
      </c>
      <c r="N1656" s="28" t="e">
        <f ca="1">[1]!BexGetData("DP_1","003N8EMH8GTFRIVOG7KG9IX8U","GSON1112110465")</f>
        <v>#NAME?</v>
      </c>
      <c r="O1656" s="28" t="e">
        <f ca="1">[1]!BexGetData("DP_1","003N8EMH8GTFRIVOG7KG9J3KE","GSON1112110465")</f>
        <v>#NAME?</v>
      </c>
      <c r="P1656" s="28" t="e">
        <f ca="1">[1]!BexGetData("DP_1","003N8EMH8GTFRIVOG7KG9J9VY","GSON1112110465")</f>
        <v>#NAME?</v>
      </c>
      <c r="Q1656" s="24" t="e">
        <f ca="1">[1]!BexGetData("DP_1","00O2TNJGODT0G5Z4TTKYMM5MT","GSON1112110465")</f>
        <v>#NAME?</v>
      </c>
      <c r="R1656" s="24" t="e">
        <f ca="1">[1]!BexGetData("DP_1","00O2TNJGODT0G5Z4TTKYMMBYD","GSON1112110465")</f>
        <v>#NAME?</v>
      </c>
      <c r="S1656" s="24" t="e">
        <f ca="1">[1]!BexGetData("DP_1","00O2TNJGODT0G5Z4TTKYMMI9X","GSON1112110465")</f>
        <v>#NAME?</v>
      </c>
      <c r="T1656" s="24" t="e">
        <f ca="1">[1]!BexGetData("DP_1","00O2TNJGODT0G5Z4TTKYMMOLH","GSON1112110465")</f>
        <v>#NAME?</v>
      </c>
      <c r="U1656" s="24" t="e">
        <f ca="1">[1]!BexGetData("DP_1","00O2TNJGODT0G5Z4TTKYMMUX1","GSON1112110465")</f>
        <v>#NAME?</v>
      </c>
      <c r="V1656" s="24" t="e">
        <f ca="1">[1]!BexGetData("DP_1","00O2TNJGODT0G5Z4TTKYMN18L","GSON1112110465")</f>
        <v>#NAME?</v>
      </c>
      <c r="W1656" s="24" t="e">
        <f ca="1">[1]!BexGetData("DP_1","00O2TNJGODT0G5Z4TTKYMN7K5","GSON1112110465")</f>
        <v>#NAME?</v>
      </c>
    </row>
    <row r="1657" spans="1:23" x14ac:dyDescent="0.2">
      <c r="A1657" s="36" t="s">
        <v>4387</v>
      </c>
      <c r="B1657" s="27" t="s">
        <v>4388</v>
      </c>
      <c r="C1657" s="23" t="e">
        <f ca="1">[1]!BexGetData("DP_1","003N8EMH8GTFRCSWKMPXRR8GU","GSON1112110470")</f>
        <v>#NAME?</v>
      </c>
      <c r="D1657" s="23" t="e">
        <f ca="1">[1]!BexGetData("DP_1","003N8EMH8GTFRCSWKMPXRRESE","GSON1112110470")</f>
        <v>#NAME?</v>
      </c>
      <c r="E1657" s="23" t="e">
        <f ca="1">[1]!BexGetData("DP_1","003N8EMH8GTFRCSWKMPXRRL3Y","GSON1112110470")</f>
        <v>#NAME?</v>
      </c>
      <c r="F1657" s="24" t="e">
        <f ca="1">[1]!BexGetData("DP_1","003N8EMH8GTFRCSWKMPXRRRFI","GSON1112110470")</f>
        <v>#NAME?</v>
      </c>
      <c r="G1657" s="24" t="e">
        <f ca="1">[1]!BexGetData("DP_1","003N8EMH8GTFRCSWKMPXRRXR2","GSON1112110470")</f>
        <v>#NAME?</v>
      </c>
      <c r="H1657" s="24" t="e">
        <f ca="1">[1]!BexGetData("DP_1","003N8EMH8GTFRCSWKMPXRS42M","GSON1112110470")</f>
        <v>#NAME?</v>
      </c>
      <c r="I1657" s="24" t="e">
        <f ca="1">[1]!BexGetData("DP_1","003N8EMH8GTFRCSWKMPXRSAE6","GSON1112110470")</f>
        <v>#NAME?</v>
      </c>
      <c r="J1657" s="24" t="e">
        <f ca="1">[1]!BexGetData("DP_1","003N8EMH8GTFRCSWKMPXRSGPQ","GSON1112110470")</f>
        <v>#NAME?</v>
      </c>
      <c r="K1657" s="23" t="e">
        <f ca="1">[1]!BexGetData("DP_1","003N8EMH8GTFRIVNUPY288VJH","GSON1112110470")</f>
        <v>#NAME?</v>
      </c>
      <c r="L1657" s="23" t="e">
        <f ca="1">[1]!BexGetData("DP_1","003N8EMH8GTFRIVNUPY2891V1","GSON1112110470")</f>
        <v>#NAME?</v>
      </c>
      <c r="M1657" s="28" t="e">
        <f ca="1">[1]!BexGetData("DP_1","003N8EMH8GTFRIVOG7KG9IQXA","GSON1112110470")</f>
        <v>#NAME?</v>
      </c>
      <c r="N1657" s="23" t="e">
        <f ca="1">[1]!BexGetData("DP_1","003N8EMH8GTFRIVOG7KG9IX8U","GSON1112110470")</f>
        <v>#NAME?</v>
      </c>
      <c r="O1657" s="28" t="e">
        <f ca="1">[1]!BexGetData("DP_1","003N8EMH8GTFRIVOG7KG9J3KE","GSON1112110470")</f>
        <v>#NAME?</v>
      </c>
      <c r="P1657" s="23" t="e">
        <f ca="1">[1]!BexGetData("DP_1","003N8EMH8GTFRIVOG7KG9J9VY","GSON1112110470")</f>
        <v>#NAME?</v>
      </c>
      <c r="Q1657" s="24" t="e">
        <f ca="1">[1]!BexGetData("DP_1","00O2TNJGODT0G5Z4TTKYMM5MT","GSON1112110470")</f>
        <v>#NAME?</v>
      </c>
      <c r="R1657" s="24" t="e">
        <f ca="1">[1]!BexGetData("DP_1","00O2TNJGODT0G5Z4TTKYMMBYD","GSON1112110470")</f>
        <v>#NAME?</v>
      </c>
      <c r="S1657" s="24" t="e">
        <f ca="1">[1]!BexGetData("DP_1","00O2TNJGODT0G5Z4TTKYMMI9X","GSON1112110470")</f>
        <v>#NAME?</v>
      </c>
      <c r="T1657" s="24" t="e">
        <f ca="1">[1]!BexGetData("DP_1","00O2TNJGODT0G5Z4TTKYMMOLH","GSON1112110470")</f>
        <v>#NAME?</v>
      </c>
      <c r="U1657" s="24" t="e">
        <f ca="1">[1]!BexGetData("DP_1","00O2TNJGODT0G5Z4TTKYMMUX1","GSON1112110470")</f>
        <v>#NAME?</v>
      </c>
      <c r="V1657" s="24" t="e">
        <f ca="1">[1]!BexGetData("DP_1","00O2TNJGODT0G5Z4TTKYMN18L","GSON1112110470")</f>
        <v>#NAME?</v>
      </c>
      <c r="W1657" s="24" t="e">
        <f ca="1">[1]!BexGetData("DP_1","00O2TNJGODT0G5Z4TTKYMN7K5","GSON1112110470")</f>
        <v>#NAME?</v>
      </c>
    </row>
    <row r="1658" spans="1:23" x14ac:dyDescent="0.2">
      <c r="A1658" s="36" t="s">
        <v>4389</v>
      </c>
      <c r="B1658" s="27" t="s">
        <v>4390</v>
      </c>
      <c r="C1658" s="23" t="e">
        <f ca="1">[1]!BexGetData("DP_1","003N8EMH8GTFRCSWKMPXRR8GU","GSON1112110471")</f>
        <v>#NAME?</v>
      </c>
      <c r="D1658" s="23" t="e">
        <f ca="1">[1]!BexGetData("DP_1","003N8EMH8GTFRCSWKMPXRRESE","GSON1112110471")</f>
        <v>#NAME?</v>
      </c>
      <c r="E1658" s="28" t="e">
        <f ca="1">[1]!BexGetData("DP_1","003N8EMH8GTFRCSWKMPXRRL3Y","GSON1112110471")</f>
        <v>#NAME?</v>
      </c>
      <c r="F1658" s="24" t="e">
        <f ca="1">[1]!BexGetData("DP_1","003N8EMH8GTFRCSWKMPXRRRFI","GSON1112110471")</f>
        <v>#NAME?</v>
      </c>
      <c r="G1658" s="24" t="e">
        <f ca="1">[1]!BexGetData("DP_1","003N8EMH8GTFRCSWKMPXRRXR2","GSON1112110471")</f>
        <v>#NAME?</v>
      </c>
      <c r="H1658" s="24" t="e">
        <f ca="1">[1]!BexGetData("DP_1","003N8EMH8GTFRCSWKMPXRS42M","GSON1112110471")</f>
        <v>#NAME?</v>
      </c>
      <c r="I1658" s="24" t="e">
        <f ca="1">[1]!BexGetData("DP_1","003N8EMH8GTFRCSWKMPXRSAE6","GSON1112110471")</f>
        <v>#NAME?</v>
      </c>
      <c r="J1658" s="24" t="e">
        <f ca="1">[1]!BexGetData("DP_1","003N8EMH8GTFRCSWKMPXRSGPQ","GSON1112110471")</f>
        <v>#NAME?</v>
      </c>
      <c r="K1658" s="28" t="e">
        <f ca="1">[1]!BexGetData("DP_1","003N8EMH8GTFRIVNUPY288VJH","GSON1112110471")</f>
        <v>#NAME?</v>
      </c>
      <c r="L1658" s="28" t="e">
        <f ca="1">[1]!BexGetData("DP_1","003N8EMH8GTFRIVNUPY2891V1","GSON1112110471")</f>
        <v>#NAME?</v>
      </c>
      <c r="M1658" s="28" t="e">
        <f ca="1">[1]!BexGetData("DP_1","003N8EMH8GTFRIVOG7KG9IQXA","GSON1112110471")</f>
        <v>#NAME?</v>
      </c>
      <c r="N1658" s="28" t="e">
        <f ca="1">[1]!BexGetData("DP_1","003N8EMH8GTFRIVOG7KG9IX8U","GSON1112110471")</f>
        <v>#NAME?</v>
      </c>
      <c r="O1658" s="28" t="e">
        <f ca="1">[1]!BexGetData("DP_1","003N8EMH8GTFRIVOG7KG9J3KE","GSON1112110471")</f>
        <v>#NAME?</v>
      </c>
      <c r="P1658" s="28" t="e">
        <f ca="1">[1]!BexGetData("DP_1","003N8EMH8GTFRIVOG7KG9J9VY","GSON1112110471")</f>
        <v>#NAME?</v>
      </c>
      <c r="Q1658" s="24" t="e">
        <f ca="1">[1]!BexGetData("DP_1","00O2TNJGODT0G5Z4TTKYMM5MT","GSON1112110471")</f>
        <v>#NAME?</v>
      </c>
      <c r="R1658" s="24" t="e">
        <f ca="1">[1]!BexGetData("DP_1","00O2TNJGODT0G5Z4TTKYMMBYD","GSON1112110471")</f>
        <v>#NAME?</v>
      </c>
      <c r="S1658" s="24" t="e">
        <f ca="1">[1]!BexGetData("DP_1","00O2TNJGODT0G5Z4TTKYMMI9X","GSON1112110471")</f>
        <v>#NAME?</v>
      </c>
      <c r="T1658" s="24" t="e">
        <f ca="1">[1]!BexGetData("DP_1","00O2TNJGODT0G5Z4TTKYMMOLH","GSON1112110471")</f>
        <v>#NAME?</v>
      </c>
      <c r="U1658" s="24" t="e">
        <f ca="1">[1]!BexGetData("DP_1","00O2TNJGODT0G5Z4TTKYMMUX1","GSON1112110471")</f>
        <v>#NAME?</v>
      </c>
      <c r="V1658" s="24" t="e">
        <f ca="1">[1]!BexGetData("DP_1","00O2TNJGODT0G5Z4TTKYMN18L","GSON1112110471")</f>
        <v>#NAME?</v>
      </c>
      <c r="W1658" s="24" t="e">
        <f ca="1">[1]!BexGetData("DP_1","00O2TNJGODT0G5Z4TTKYMN7K5","GSON1112110471")</f>
        <v>#NAME?</v>
      </c>
    </row>
    <row r="1659" spans="1:23" x14ac:dyDescent="0.2">
      <c r="A1659" s="36" t="s">
        <v>4391</v>
      </c>
      <c r="B1659" s="27" t="s">
        <v>4392</v>
      </c>
      <c r="C1659" s="23" t="e">
        <f ca="1">[1]!BexGetData("DP_1","003N8EMH8GTFRCSWKMPXRR8GU","GSON1112110473")</f>
        <v>#NAME?</v>
      </c>
      <c r="D1659" s="23" t="e">
        <f ca="1">[1]!BexGetData("DP_1","003N8EMH8GTFRCSWKMPXRRESE","GSON1112110473")</f>
        <v>#NAME?</v>
      </c>
      <c r="E1659" s="28" t="e">
        <f ca="1">[1]!BexGetData("DP_1","003N8EMH8GTFRCSWKMPXRRL3Y","GSON1112110473")</f>
        <v>#NAME?</v>
      </c>
      <c r="F1659" s="24" t="e">
        <f ca="1">[1]!BexGetData("DP_1","003N8EMH8GTFRCSWKMPXRRRFI","GSON1112110473")</f>
        <v>#NAME?</v>
      </c>
      <c r="G1659" s="24" t="e">
        <f ca="1">[1]!BexGetData("DP_1","003N8EMH8GTFRCSWKMPXRRXR2","GSON1112110473")</f>
        <v>#NAME?</v>
      </c>
      <c r="H1659" s="24" t="e">
        <f ca="1">[1]!BexGetData("DP_1","003N8EMH8GTFRCSWKMPXRS42M","GSON1112110473")</f>
        <v>#NAME?</v>
      </c>
      <c r="I1659" s="24" t="e">
        <f ca="1">[1]!BexGetData("DP_1","003N8EMH8GTFRCSWKMPXRSAE6","GSON1112110473")</f>
        <v>#NAME?</v>
      </c>
      <c r="J1659" s="24" t="e">
        <f ca="1">[1]!BexGetData("DP_1","003N8EMH8GTFRCSWKMPXRSGPQ","GSON1112110473")</f>
        <v>#NAME?</v>
      </c>
      <c r="K1659" s="28" t="e">
        <f ca="1">[1]!BexGetData("DP_1","003N8EMH8GTFRIVNUPY288VJH","GSON1112110473")</f>
        <v>#NAME?</v>
      </c>
      <c r="L1659" s="28" t="e">
        <f ca="1">[1]!BexGetData("DP_1","003N8EMH8GTFRIVNUPY2891V1","GSON1112110473")</f>
        <v>#NAME?</v>
      </c>
      <c r="M1659" s="28" t="e">
        <f ca="1">[1]!BexGetData("DP_1","003N8EMH8GTFRIVOG7KG9IQXA","GSON1112110473")</f>
        <v>#NAME?</v>
      </c>
      <c r="N1659" s="28" t="e">
        <f ca="1">[1]!BexGetData("DP_1","003N8EMH8GTFRIVOG7KG9IX8U","GSON1112110473")</f>
        <v>#NAME?</v>
      </c>
      <c r="O1659" s="28" t="e">
        <f ca="1">[1]!BexGetData("DP_1","003N8EMH8GTFRIVOG7KG9J3KE","GSON1112110473")</f>
        <v>#NAME?</v>
      </c>
      <c r="P1659" s="28" t="e">
        <f ca="1">[1]!BexGetData("DP_1","003N8EMH8GTFRIVOG7KG9J9VY","GSON1112110473")</f>
        <v>#NAME?</v>
      </c>
      <c r="Q1659" s="24" t="e">
        <f ca="1">[1]!BexGetData("DP_1","00O2TNJGODT0G5Z4TTKYMM5MT","GSON1112110473")</f>
        <v>#NAME?</v>
      </c>
      <c r="R1659" s="24" t="e">
        <f ca="1">[1]!BexGetData("DP_1","00O2TNJGODT0G5Z4TTKYMMBYD","GSON1112110473")</f>
        <v>#NAME?</v>
      </c>
      <c r="S1659" s="24" t="e">
        <f ca="1">[1]!BexGetData("DP_1","00O2TNJGODT0G5Z4TTKYMMI9X","GSON1112110473")</f>
        <v>#NAME?</v>
      </c>
      <c r="T1659" s="24" t="e">
        <f ca="1">[1]!BexGetData("DP_1","00O2TNJGODT0G5Z4TTKYMMOLH","GSON1112110473")</f>
        <v>#NAME?</v>
      </c>
      <c r="U1659" s="24" t="e">
        <f ca="1">[1]!BexGetData("DP_1","00O2TNJGODT0G5Z4TTKYMMUX1","GSON1112110473")</f>
        <v>#NAME?</v>
      </c>
      <c r="V1659" s="24" t="e">
        <f ca="1">[1]!BexGetData("DP_1","00O2TNJGODT0G5Z4TTKYMN18L","GSON1112110473")</f>
        <v>#NAME?</v>
      </c>
      <c r="W1659" s="24" t="e">
        <f ca="1">[1]!BexGetData("DP_1","00O2TNJGODT0G5Z4TTKYMN7K5","GSON1112110473")</f>
        <v>#NAME?</v>
      </c>
    </row>
    <row r="1660" spans="1:23" x14ac:dyDescent="0.2">
      <c r="A1660" s="36" t="s">
        <v>4393</v>
      </c>
      <c r="B1660" s="27" t="s">
        <v>4394</v>
      </c>
      <c r="C1660" s="23" t="e">
        <f ca="1">[1]!BexGetData("DP_1","003N8EMH8GTFRCSWKMPXRR8GU","GSON1112110474")</f>
        <v>#NAME?</v>
      </c>
      <c r="D1660" s="23" t="e">
        <f ca="1">[1]!BexGetData("DP_1","003N8EMH8GTFRCSWKMPXRRESE","GSON1112110474")</f>
        <v>#NAME?</v>
      </c>
      <c r="E1660" s="28" t="e">
        <f ca="1">[1]!BexGetData("DP_1","003N8EMH8GTFRCSWKMPXRRL3Y","GSON1112110474")</f>
        <v>#NAME?</v>
      </c>
      <c r="F1660" s="24" t="e">
        <f ca="1">[1]!BexGetData("DP_1","003N8EMH8GTFRCSWKMPXRRRFI","GSON1112110474")</f>
        <v>#NAME?</v>
      </c>
      <c r="G1660" s="24" t="e">
        <f ca="1">[1]!BexGetData("DP_1","003N8EMH8GTFRCSWKMPXRRXR2","GSON1112110474")</f>
        <v>#NAME?</v>
      </c>
      <c r="H1660" s="24" t="e">
        <f ca="1">[1]!BexGetData("DP_1","003N8EMH8GTFRCSWKMPXRS42M","GSON1112110474")</f>
        <v>#NAME?</v>
      </c>
      <c r="I1660" s="24" t="e">
        <f ca="1">[1]!BexGetData("DP_1","003N8EMH8GTFRCSWKMPXRSAE6","GSON1112110474")</f>
        <v>#NAME?</v>
      </c>
      <c r="J1660" s="24" t="e">
        <f ca="1">[1]!BexGetData("DP_1","003N8EMH8GTFRCSWKMPXRSGPQ","GSON1112110474")</f>
        <v>#NAME?</v>
      </c>
      <c r="K1660" s="28" t="e">
        <f ca="1">[1]!BexGetData("DP_1","003N8EMH8GTFRIVNUPY288VJH","GSON1112110474")</f>
        <v>#NAME?</v>
      </c>
      <c r="L1660" s="28" t="e">
        <f ca="1">[1]!BexGetData("DP_1","003N8EMH8GTFRIVNUPY2891V1","GSON1112110474")</f>
        <v>#NAME?</v>
      </c>
      <c r="M1660" s="28" t="e">
        <f ca="1">[1]!BexGetData("DP_1","003N8EMH8GTFRIVOG7KG9IQXA","GSON1112110474")</f>
        <v>#NAME?</v>
      </c>
      <c r="N1660" s="28" t="e">
        <f ca="1">[1]!BexGetData("DP_1","003N8EMH8GTFRIVOG7KG9IX8U","GSON1112110474")</f>
        <v>#NAME?</v>
      </c>
      <c r="O1660" s="28" t="e">
        <f ca="1">[1]!BexGetData("DP_1","003N8EMH8GTFRIVOG7KG9J3KE","GSON1112110474")</f>
        <v>#NAME?</v>
      </c>
      <c r="P1660" s="28" t="e">
        <f ca="1">[1]!BexGetData("DP_1","003N8EMH8GTFRIVOG7KG9J9VY","GSON1112110474")</f>
        <v>#NAME?</v>
      </c>
      <c r="Q1660" s="24" t="e">
        <f ca="1">[1]!BexGetData("DP_1","00O2TNJGODT0G5Z4TTKYMM5MT","GSON1112110474")</f>
        <v>#NAME?</v>
      </c>
      <c r="R1660" s="24" t="e">
        <f ca="1">[1]!BexGetData("DP_1","00O2TNJGODT0G5Z4TTKYMMBYD","GSON1112110474")</f>
        <v>#NAME?</v>
      </c>
      <c r="S1660" s="24" t="e">
        <f ca="1">[1]!BexGetData("DP_1","00O2TNJGODT0G5Z4TTKYMMI9X","GSON1112110474")</f>
        <v>#NAME?</v>
      </c>
      <c r="T1660" s="24" t="e">
        <f ca="1">[1]!BexGetData("DP_1","00O2TNJGODT0G5Z4TTKYMMOLH","GSON1112110474")</f>
        <v>#NAME?</v>
      </c>
      <c r="U1660" s="24" t="e">
        <f ca="1">[1]!BexGetData("DP_1","00O2TNJGODT0G5Z4TTKYMMUX1","GSON1112110474")</f>
        <v>#NAME?</v>
      </c>
      <c r="V1660" s="24" t="e">
        <f ca="1">[1]!BexGetData("DP_1","00O2TNJGODT0G5Z4TTKYMN18L","GSON1112110474")</f>
        <v>#NAME?</v>
      </c>
      <c r="W1660" s="24" t="e">
        <f ca="1">[1]!BexGetData("DP_1","00O2TNJGODT0G5Z4TTKYMN7K5","GSON1112110474")</f>
        <v>#NAME?</v>
      </c>
    </row>
    <row r="1661" spans="1:23" x14ac:dyDescent="0.2">
      <c r="A1661" s="36" t="s">
        <v>4395</v>
      </c>
      <c r="B1661" s="27" t="s">
        <v>4396</v>
      </c>
      <c r="C1661" s="23" t="e">
        <f ca="1">[1]!BexGetData("DP_1","003N8EMH8GTFRCSWKMPXRR8GU","GSON1112110475")</f>
        <v>#NAME?</v>
      </c>
      <c r="D1661" s="23" t="e">
        <f ca="1">[1]!BexGetData("DP_1","003N8EMH8GTFRCSWKMPXRRESE","GSON1112110475")</f>
        <v>#NAME?</v>
      </c>
      <c r="E1661" s="28" t="e">
        <f ca="1">[1]!BexGetData("DP_1","003N8EMH8GTFRCSWKMPXRRL3Y","GSON1112110475")</f>
        <v>#NAME?</v>
      </c>
      <c r="F1661" s="24" t="e">
        <f ca="1">[1]!BexGetData("DP_1","003N8EMH8GTFRCSWKMPXRRRFI","GSON1112110475")</f>
        <v>#NAME?</v>
      </c>
      <c r="G1661" s="24" t="e">
        <f ca="1">[1]!BexGetData("DP_1","003N8EMH8GTFRCSWKMPXRRXR2","GSON1112110475")</f>
        <v>#NAME?</v>
      </c>
      <c r="H1661" s="24" t="e">
        <f ca="1">[1]!BexGetData("DP_1","003N8EMH8GTFRCSWKMPXRS42M","GSON1112110475")</f>
        <v>#NAME?</v>
      </c>
      <c r="I1661" s="24" t="e">
        <f ca="1">[1]!BexGetData("DP_1","003N8EMH8GTFRCSWKMPXRSAE6","GSON1112110475")</f>
        <v>#NAME?</v>
      </c>
      <c r="J1661" s="24" t="e">
        <f ca="1">[1]!BexGetData("DP_1","003N8EMH8GTFRCSWKMPXRSGPQ","GSON1112110475")</f>
        <v>#NAME?</v>
      </c>
      <c r="K1661" s="28" t="e">
        <f ca="1">[1]!BexGetData("DP_1","003N8EMH8GTFRIVNUPY288VJH","GSON1112110475")</f>
        <v>#NAME?</v>
      </c>
      <c r="L1661" s="28" t="e">
        <f ca="1">[1]!BexGetData("DP_1","003N8EMH8GTFRIVNUPY2891V1","GSON1112110475")</f>
        <v>#NAME?</v>
      </c>
      <c r="M1661" s="28" t="e">
        <f ca="1">[1]!BexGetData("DP_1","003N8EMH8GTFRIVOG7KG9IQXA","GSON1112110475")</f>
        <v>#NAME?</v>
      </c>
      <c r="N1661" s="28" t="e">
        <f ca="1">[1]!BexGetData("DP_1","003N8EMH8GTFRIVOG7KG9IX8U","GSON1112110475")</f>
        <v>#NAME?</v>
      </c>
      <c r="O1661" s="28" t="e">
        <f ca="1">[1]!BexGetData("DP_1","003N8EMH8GTFRIVOG7KG9J3KE","GSON1112110475")</f>
        <v>#NAME?</v>
      </c>
      <c r="P1661" s="28" t="e">
        <f ca="1">[1]!BexGetData("DP_1","003N8EMH8GTFRIVOG7KG9J9VY","GSON1112110475")</f>
        <v>#NAME?</v>
      </c>
      <c r="Q1661" s="24" t="e">
        <f ca="1">[1]!BexGetData("DP_1","00O2TNJGODT0G5Z4TTKYMM5MT","GSON1112110475")</f>
        <v>#NAME?</v>
      </c>
      <c r="R1661" s="24" t="e">
        <f ca="1">[1]!BexGetData("DP_1","00O2TNJGODT0G5Z4TTKYMMBYD","GSON1112110475")</f>
        <v>#NAME?</v>
      </c>
      <c r="S1661" s="24" t="e">
        <f ca="1">[1]!BexGetData("DP_1","00O2TNJGODT0G5Z4TTKYMMI9X","GSON1112110475")</f>
        <v>#NAME?</v>
      </c>
      <c r="T1661" s="24" t="e">
        <f ca="1">[1]!BexGetData("DP_1","00O2TNJGODT0G5Z4TTKYMMOLH","GSON1112110475")</f>
        <v>#NAME?</v>
      </c>
      <c r="U1661" s="24" t="e">
        <f ca="1">[1]!BexGetData("DP_1","00O2TNJGODT0G5Z4TTKYMMUX1","GSON1112110475")</f>
        <v>#NAME?</v>
      </c>
      <c r="V1661" s="24" t="e">
        <f ca="1">[1]!BexGetData("DP_1","00O2TNJGODT0G5Z4TTKYMN18L","GSON1112110475")</f>
        <v>#NAME?</v>
      </c>
      <c r="W1661" s="24" t="e">
        <f ca="1">[1]!BexGetData("DP_1","00O2TNJGODT0G5Z4TTKYMN7K5","GSON1112110475")</f>
        <v>#NAME?</v>
      </c>
    </row>
    <row r="1662" spans="1:23" x14ac:dyDescent="0.2">
      <c r="A1662" s="36" t="s">
        <v>4397</v>
      </c>
      <c r="B1662" s="27" t="s">
        <v>4398</v>
      </c>
      <c r="C1662" s="23" t="e">
        <f ca="1">[1]!BexGetData("DP_1","003N8EMH8GTFRCSWKMPXRR8GU","GSON1112110480")</f>
        <v>#NAME?</v>
      </c>
      <c r="D1662" s="23" t="e">
        <f ca="1">[1]!BexGetData("DP_1","003N8EMH8GTFRCSWKMPXRRESE","GSON1112110480")</f>
        <v>#NAME?</v>
      </c>
      <c r="E1662" s="23" t="e">
        <f ca="1">[1]!BexGetData("DP_1","003N8EMH8GTFRCSWKMPXRRL3Y","GSON1112110480")</f>
        <v>#NAME?</v>
      </c>
      <c r="F1662" s="24" t="e">
        <f ca="1">[1]!BexGetData("DP_1","003N8EMH8GTFRCSWKMPXRRRFI","GSON1112110480")</f>
        <v>#NAME?</v>
      </c>
      <c r="G1662" s="24" t="e">
        <f ca="1">[1]!BexGetData("DP_1","003N8EMH8GTFRCSWKMPXRRXR2","GSON1112110480")</f>
        <v>#NAME?</v>
      </c>
      <c r="H1662" s="24" t="e">
        <f ca="1">[1]!BexGetData("DP_1","003N8EMH8GTFRCSWKMPXRS42M","GSON1112110480")</f>
        <v>#NAME?</v>
      </c>
      <c r="I1662" s="24" t="e">
        <f ca="1">[1]!BexGetData("DP_1","003N8EMH8GTFRCSWKMPXRSAE6","GSON1112110480")</f>
        <v>#NAME?</v>
      </c>
      <c r="J1662" s="24" t="e">
        <f ca="1">[1]!BexGetData("DP_1","003N8EMH8GTFRCSWKMPXRSGPQ","GSON1112110480")</f>
        <v>#NAME?</v>
      </c>
      <c r="K1662" s="23" t="e">
        <f ca="1">[1]!BexGetData("DP_1","003N8EMH8GTFRIVNUPY288VJH","GSON1112110480")</f>
        <v>#NAME?</v>
      </c>
      <c r="L1662" s="23" t="e">
        <f ca="1">[1]!BexGetData("DP_1","003N8EMH8GTFRIVNUPY2891V1","GSON1112110480")</f>
        <v>#NAME?</v>
      </c>
      <c r="M1662" s="28" t="e">
        <f ca="1">[1]!BexGetData("DP_1","003N8EMH8GTFRIVOG7KG9IQXA","GSON1112110480")</f>
        <v>#NAME?</v>
      </c>
      <c r="N1662" s="23" t="e">
        <f ca="1">[1]!BexGetData("DP_1","003N8EMH8GTFRIVOG7KG9IX8U","GSON1112110480")</f>
        <v>#NAME?</v>
      </c>
      <c r="O1662" s="28" t="e">
        <f ca="1">[1]!BexGetData("DP_1","003N8EMH8GTFRIVOG7KG9J3KE","GSON1112110480")</f>
        <v>#NAME?</v>
      </c>
      <c r="P1662" s="23" t="e">
        <f ca="1">[1]!BexGetData("DP_1","003N8EMH8GTFRIVOG7KG9J9VY","GSON1112110480")</f>
        <v>#NAME?</v>
      </c>
      <c r="Q1662" s="24" t="e">
        <f ca="1">[1]!BexGetData("DP_1","00O2TNJGODT0G5Z4TTKYMM5MT","GSON1112110480")</f>
        <v>#NAME?</v>
      </c>
      <c r="R1662" s="24" t="e">
        <f ca="1">[1]!BexGetData("DP_1","00O2TNJGODT0G5Z4TTKYMMBYD","GSON1112110480")</f>
        <v>#NAME?</v>
      </c>
      <c r="S1662" s="24" t="e">
        <f ca="1">[1]!BexGetData("DP_1","00O2TNJGODT0G5Z4TTKYMMI9X","GSON1112110480")</f>
        <v>#NAME?</v>
      </c>
      <c r="T1662" s="24" t="e">
        <f ca="1">[1]!BexGetData("DP_1","00O2TNJGODT0G5Z4TTKYMMOLH","GSON1112110480")</f>
        <v>#NAME?</v>
      </c>
      <c r="U1662" s="24" t="e">
        <f ca="1">[1]!BexGetData("DP_1","00O2TNJGODT0G5Z4TTKYMMUX1","GSON1112110480")</f>
        <v>#NAME?</v>
      </c>
      <c r="V1662" s="24" t="e">
        <f ca="1">[1]!BexGetData("DP_1","00O2TNJGODT0G5Z4TTKYMN18L","GSON1112110480")</f>
        <v>#NAME?</v>
      </c>
      <c r="W1662" s="24" t="e">
        <f ca="1">[1]!BexGetData("DP_1","00O2TNJGODT0G5Z4TTKYMN7K5","GSON1112110480")</f>
        <v>#NAME?</v>
      </c>
    </row>
    <row r="1663" spans="1:23" x14ac:dyDescent="0.2">
      <c r="A1663" s="36" t="s">
        <v>4399</v>
      </c>
      <c r="B1663" s="27" t="s">
        <v>4400</v>
      </c>
      <c r="C1663" s="23" t="e">
        <f ca="1">[1]!BexGetData("DP_1","003N8EMH8GTFRCSWKMPXRR8GU","GSON1112110481")</f>
        <v>#NAME?</v>
      </c>
      <c r="D1663" s="23" t="e">
        <f ca="1">[1]!BexGetData("DP_1","003N8EMH8GTFRCSWKMPXRRESE","GSON1112110481")</f>
        <v>#NAME?</v>
      </c>
      <c r="E1663" s="28" t="e">
        <f ca="1">[1]!BexGetData("DP_1","003N8EMH8GTFRCSWKMPXRRL3Y","GSON1112110481")</f>
        <v>#NAME?</v>
      </c>
      <c r="F1663" s="24" t="e">
        <f ca="1">[1]!BexGetData("DP_1","003N8EMH8GTFRCSWKMPXRRRFI","GSON1112110481")</f>
        <v>#NAME?</v>
      </c>
      <c r="G1663" s="24" t="e">
        <f ca="1">[1]!BexGetData("DP_1","003N8EMH8GTFRCSWKMPXRRXR2","GSON1112110481")</f>
        <v>#NAME?</v>
      </c>
      <c r="H1663" s="24" t="e">
        <f ca="1">[1]!BexGetData("DP_1","003N8EMH8GTFRCSWKMPXRS42M","GSON1112110481")</f>
        <v>#NAME?</v>
      </c>
      <c r="I1663" s="24" t="e">
        <f ca="1">[1]!BexGetData("DP_1","003N8EMH8GTFRCSWKMPXRSAE6","GSON1112110481")</f>
        <v>#NAME?</v>
      </c>
      <c r="J1663" s="24" t="e">
        <f ca="1">[1]!BexGetData("DP_1","003N8EMH8GTFRCSWKMPXRSGPQ","GSON1112110481")</f>
        <v>#NAME?</v>
      </c>
      <c r="K1663" s="28" t="e">
        <f ca="1">[1]!BexGetData("DP_1","003N8EMH8GTFRIVNUPY288VJH","GSON1112110481")</f>
        <v>#NAME?</v>
      </c>
      <c r="L1663" s="28" t="e">
        <f ca="1">[1]!BexGetData("DP_1","003N8EMH8GTFRIVNUPY2891V1","GSON1112110481")</f>
        <v>#NAME?</v>
      </c>
      <c r="M1663" s="28" t="e">
        <f ca="1">[1]!BexGetData("DP_1","003N8EMH8GTFRIVOG7KG9IQXA","GSON1112110481")</f>
        <v>#NAME?</v>
      </c>
      <c r="N1663" s="28" t="e">
        <f ca="1">[1]!BexGetData("DP_1","003N8EMH8GTFRIVOG7KG9IX8U","GSON1112110481")</f>
        <v>#NAME?</v>
      </c>
      <c r="O1663" s="28" t="e">
        <f ca="1">[1]!BexGetData("DP_1","003N8EMH8GTFRIVOG7KG9J3KE","GSON1112110481")</f>
        <v>#NAME?</v>
      </c>
      <c r="P1663" s="28" t="e">
        <f ca="1">[1]!BexGetData("DP_1","003N8EMH8GTFRIVOG7KG9J9VY","GSON1112110481")</f>
        <v>#NAME?</v>
      </c>
      <c r="Q1663" s="24" t="e">
        <f ca="1">[1]!BexGetData("DP_1","00O2TNJGODT0G5Z4TTKYMM5MT","GSON1112110481")</f>
        <v>#NAME?</v>
      </c>
      <c r="R1663" s="24" t="e">
        <f ca="1">[1]!BexGetData("DP_1","00O2TNJGODT0G5Z4TTKYMMBYD","GSON1112110481")</f>
        <v>#NAME?</v>
      </c>
      <c r="S1663" s="24" t="e">
        <f ca="1">[1]!BexGetData("DP_1","00O2TNJGODT0G5Z4TTKYMMI9X","GSON1112110481")</f>
        <v>#NAME?</v>
      </c>
      <c r="T1663" s="24" t="e">
        <f ca="1">[1]!BexGetData("DP_1","00O2TNJGODT0G5Z4TTKYMMOLH","GSON1112110481")</f>
        <v>#NAME?</v>
      </c>
      <c r="U1663" s="24" t="e">
        <f ca="1">[1]!BexGetData("DP_1","00O2TNJGODT0G5Z4TTKYMMUX1","GSON1112110481")</f>
        <v>#NAME?</v>
      </c>
      <c r="V1663" s="24" t="e">
        <f ca="1">[1]!BexGetData("DP_1","00O2TNJGODT0G5Z4TTKYMN18L","GSON1112110481")</f>
        <v>#NAME?</v>
      </c>
      <c r="W1663" s="24" t="e">
        <f ca="1">[1]!BexGetData("DP_1","00O2TNJGODT0G5Z4TTKYMN7K5","GSON1112110481")</f>
        <v>#NAME?</v>
      </c>
    </row>
    <row r="1664" spans="1:23" x14ac:dyDescent="0.2">
      <c r="A1664" s="36" t="s">
        <v>4401</v>
      </c>
      <c r="B1664" s="27" t="s">
        <v>4402</v>
      </c>
      <c r="C1664" s="23" t="e">
        <f ca="1">[1]!BexGetData("DP_1","003N8EMH8GTFRCSWKMPXRR8GU","GSON1112110483")</f>
        <v>#NAME?</v>
      </c>
      <c r="D1664" s="23" t="e">
        <f ca="1">[1]!BexGetData("DP_1","003N8EMH8GTFRCSWKMPXRRESE","GSON1112110483")</f>
        <v>#NAME?</v>
      </c>
      <c r="E1664" s="28" t="e">
        <f ca="1">[1]!BexGetData("DP_1","003N8EMH8GTFRCSWKMPXRRL3Y","GSON1112110483")</f>
        <v>#NAME?</v>
      </c>
      <c r="F1664" s="24" t="e">
        <f ca="1">[1]!BexGetData("DP_1","003N8EMH8GTFRCSWKMPXRRRFI","GSON1112110483")</f>
        <v>#NAME?</v>
      </c>
      <c r="G1664" s="24" t="e">
        <f ca="1">[1]!BexGetData("DP_1","003N8EMH8GTFRCSWKMPXRRXR2","GSON1112110483")</f>
        <v>#NAME?</v>
      </c>
      <c r="H1664" s="24" t="e">
        <f ca="1">[1]!BexGetData("DP_1","003N8EMH8GTFRCSWKMPXRS42M","GSON1112110483")</f>
        <v>#NAME?</v>
      </c>
      <c r="I1664" s="24" t="e">
        <f ca="1">[1]!BexGetData("DP_1","003N8EMH8GTFRCSWKMPXRSAE6","GSON1112110483")</f>
        <v>#NAME?</v>
      </c>
      <c r="J1664" s="24" t="e">
        <f ca="1">[1]!BexGetData("DP_1","003N8EMH8GTFRCSWKMPXRSGPQ","GSON1112110483")</f>
        <v>#NAME?</v>
      </c>
      <c r="K1664" s="28" t="e">
        <f ca="1">[1]!BexGetData("DP_1","003N8EMH8GTFRIVNUPY288VJH","GSON1112110483")</f>
        <v>#NAME?</v>
      </c>
      <c r="L1664" s="28" t="e">
        <f ca="1">[1]!BexGetData("DP_1","003N8EMH8GTFRIVNUPY2891V1","GSON1112110483")</f>
        <v>#NAME?</v>
      </c>
      <c r="M1664" s="28" t="e">
        <f ca="1">[1]!BexGetData("DP_1","003N8EMH8GTFRIVOG7KG9IQXA","GSON1112110483")</f>
        <v>#NAME?</v>
      </c>
      <c r="N1664" s="28" t="e">
        <f ca="1">[1]!BexGetData("DP_1","003N8EMH8GTFRIVOG7KG9IX8U","GSON1112110483")</f>
        <v>#NAME?</v>
      </c>
      <c r="O1664" s="28" t="e">
        <f ca="1">[1]!BexGetData("DP_1","003N8EMH8GTFRIVOG7KG9J3KE","GSON1112110483")</f>
        <v>#NAME?</v>
      </c>
      <c r="P1664" s="28" t="e">
        <f ca="1">[1]!BexGetData("DP_1","003N8EMH8GTFRIVOG7KG9J9VY","GSON1112110483")</f>
        <v>#NAME?</v>
      </c>
      <c r="Q1664" s="24" t="e">
        <f ca="1">[1]!BexGetData("DP_1","00O2TNJGODT0G5Z4TTKYMM5MT","GSON1112110483")</f>
        <v>#NAME?</v>
      </c>
      <c r="R1664" s="24" t="e">
        <f ca="1">[1]!BexGetData("DP_1","00O2TNJGODT0G5Z4TTKYMMBYD","GSON1112110483")</f>
        <v>#NAME?</v>
      </c>
      <c r="S1664" s="24" t="e">
        <f ca="1">[1]!BexGetData("DP_1","00O2TNJGODT0G5Z4TTKYMMI9X","GSON1112110483")</f>
        <v>#NAME?</v>
      </c>
      <c r="T1664" s="24" t="e">
        <f ca="1">[1]!BexGetData("DP_1","00O2TNJGODT0G5Z4TTKYMMOLH","GSON1112110483")</f>
        <v>#NAME?</v>
      </c>
      <c r="U1664" s="24" t="e">
        <f ca="1">[1]!BexGetData("DP_1","00O2TNJGODT0G5Z4TTKYMMUX1","GSON1112110483")</f>
        <v>#NAME?</v>
      </c>
      <c r="V1664" s="24" t="e">
        <f ca="1">[1]!BexGetData("DP_1","00O2TNJGODT0G5Z4TTKYMN18L","GSON1112110483")</f>
        <v>#NAME?</v>
      </c>
      <c r="W1664" s="24" t="e">
        <f ca="1">[1]!BexGetData("DP_1","00O2TNJGODT0G5Z4TTKYMN7K5","GSON1112110483")</f>
        <v>#NAME?</v>
      </c>
    </row>
    <row r="1665" spans="1:23" x14ac:dyDescent="0.2">
      <c r="A1665" s="36" t="s">
        <v>4403</v>
      </c>
      <c r="B1665" s="27" t="s">
        <v>4404</v>
      </c>
      <c r="C1665" s="23" t="e">
        <f ca="1">[1]!BexGetData("DP_1","003N8EMH8GTFRCSWKMPXRR8GU","GSON1112110484")</f>
        <v>#NAME?</v>
      </c>
      <c r="D1665" s="23" t="e">
        <f ca="1">[1]!BexGetData("DP_1","003N8EMH8GTFRCSWKMPXRRESE","GSON1112110484")</f>
        <v>#NAME?</v>
      </c>
      <c r="E1665" s="28" t="e">
        <f ca="1">[1]!BexGetData("DP_1","003N8EMH8GTFRCSWKMPXRRL3Y","GSON1112110484")</f>
        <v>#NAME?</v>
      </c>
      <c r="F1665" s="24" t="e">
        <f ca="1">[1]!BexGetData("DP_1","003N8EMH8GTFRCSWKMPXRRRFI","GSON1112110484")</f>
        <v>#NAME?</v>
      </c>
      <c r="G1665" s="24" t="e">
        <f ca="1">[1]!BexGetData("DP_1","003N8EMH8GTFRCSWKMPXRRXR2","GSON1112110484")</f>
        <v>#NAME?</v>
      </c>
      <c r="H1665" s="24" t="e">
        <f ca="1">[1]!BexGetData("DP_1","003N8EMH8GTFRCSWKMPXRS42M","GSON1112110484")</f>
        <v>#NAME?</v>
      </c>
      <c r="I1665" s="24" t="e">
        <f ca="1">[1]!BexGetData("DP_1","003N8EMH8GTFRCSWKMPXRSAE6","GSON1112110484")</f>
        <v>#NAME?</v>
      </c>
      <c r="J1665" s="24" t="e">
        <f ca="1">[1]!BexGetData("DP_1","003N8EMH8GTFRCSWKMPXRSGPQ","GSON1112110484")</f>
        <v>#NAME?</v>
      </c>
      <c r="K1665" s="28" t="e">
        <f ca="1">[1]!BexGetData("DP_1","003N8EMH8GTFRIVNUPY288VJH","GSON1112110484")</f>
        <v>#NAME?</v>
      </c>
      <c r="L1665" s="28" t="e">
        <f ca="1">[1]!BexGetData("DP_1","003N8EMH8GTFRIVNUPY2891V1","GSON1112110484")</f>
        <v>#NAME?</v>
      </c>
      <c r="M1665" s="28" t="e">
        <f ca="1">[1]!BexGetData("DP_1","003N8EMH8GTFRIVOG7KG9IQXA","GSON1112110484")</f>
        <v>#NAME?</v>
      </c>
      <c r="N1665" s="28" t="e">
        <f ca="1">[1]!BexGetData("DP_1","003N8EMH8GTFRIVOG7KG9IX8U","GSON1112110484")</f>
        <v>#NAME?</v>
      </c>
      <c r="O1665" s="28" t="e">
        <f ca="1">[1]!BexGetData("DP_1","003N8EMH8GTFRIVOG7KG9J3KE","GSON1112110484")</f>
        <v>#NAME?</v>
      </c>
      <c r="P1665" s="28" t="e">
        <f ca="1">[1]!BexGetData("DP_1","003N8EMH8GTFRIVOG7KG9J9VY","GSON1112110484")</f>
        <v>#NAME?</v>
      </c>
      <c r="Q1665" s="24" t="e">
        <f ca="1">[1]!BexGetData("DP_1","00O2TNJGODT0G5Z4TTKYMM5MT","GSON1112110484")</f>
        <v>#NAME?</v>
      </c>
      <c r="R1665" s="24" t="e">
        <f ca="1">[1]!BexGetData("DP_1","00O2TNJGODT0G5Z4TTKYMMBYD","GSON1112110484")</f>
        <v>#NAME?</v>
      </c>
      <c r="S1665" s="24" t="e">
        <f ca="1">[1]!BexGetData("DP_1","00O2TNJGODT0G5Z4TTKYMMI9X","GSON1112110484")</f>
        <v>#NAME?</v>
      </c>
      <c r="T1665" s="24" t="e">
        <f ca="1">[1]!BexGetData("DP_1","00O2TNJGODT0G5Z4TTKYMMOLH","GSON1112110484")</f>
        <v>#NAME?</v>
      </c>
      <c r="U1665" s="24" t="e">
        <f ca="1">[1]!BexGetData("DP_1","00O2TNJGODT0G5Z4TTKYMMUX1","GSON1112110484")</f>
        <v>#NAME?</v>
      </c>
      <c r="V1665" s="24" t="e">
        <f ca="1">[1]!BexGetData("DP_1","00O2TNJGODT0G5Z4TTKYMN18L","GSON1112110484")</f>
        <v>#NAME?</v>
      </c>
      <c r="W1665" s="24" t="e">
        <f ca="1">[1]!BexGetData("DP_1","00O2TNJGODT0G5Z4TTKYMN7K5","GSON1112110484")</f>
        <v>#NAME?</v>
      </c>
    </row>
    <row r="1666" spans="1:23" x14ac:dyDescent="0.2">
      <c r="A1666" s="36" t="s">
        <v>4405</v>
      </c>
      <c r="B1666" s="27" t="s">
        <v>4406</v>
      </c>
      <c r="C1666" s="23" t="e">
        <f ca="1">[1]!BexGetData("DP_1","003N8EMH8GTFRCSWKMPXRR8GU","GSON1112110485")</f>
        <v>#NAME?</v>
      </c>
      <c r="D1666" s="23" t="e">
        <f ca="1">[1]!BexGetData("DP_1","003N8EMH8GTFRCSWKMPXRRESE","GSON1112110485")</f>
        <v>#NAME?</v>
      </c>
      <c r="E1666" s="28" t="e">
        <f ca="1">[1]!BexGetData("DP_1","003N8EMH8GTFRCSWKMPXRRL3Y","GSON1112110485")</f>
        <v>#NAME?</v>
      </c>
      <c r="F1666" s="24" t="e">
        <f ca="1">[1]!BexGetData("DP_1","003N8EMH8GTFRCSWKMPXRRRFI","GSON1112110485")</f>
        <v>#NAME?</v>
      </c>
      <c r="G1666" s="24" t="e">
        <f ca="1">[1]!BexGetData("DP_1","003N8EMH8GTFRCSWKMPXRRXR2","GSON1112110485")</f>
        <v>#NAME?</v>
      </c>
      <c r="H1666" s="24" t="e">
        <f ca="1">[1]!BexGetData("DP_1","003N8EMH8GTFRCSWKMPXRS42M","GSON1112110485")</f>
        <v>#NAME?</v>
      </c>
      <c r="I1666" s="24" t="e">
        <f ca="1">[1]!BexGetData("DP_1","003N8EMH8GTFRCSWKMPXRSAE6","GSON1112110485")</f>
        <v>#NAME?</v>
      </c>
      <c r="J1666" s="24" t="e">
        <f ca="1">[1]!BexGetData("DP_1","003N8EMH8GTFRCSWKMPXRSGPQ","GSON1112110485")</f>
        <v>#NAME?</v>
      </c>
      <c r="K1666" s="28" t="e">
        <f ca="1">[1]!BexGetData("DP_1","003N8EMH8GTFRIVNUPY288VJH","GSON1112110485")</f>
        <v>#NAME?</v>
      </c>
      <c r="L1666" s="28" t="e">
        <f ca="1">[1]!BexGetData("DP_1","003N8EMH8GTFRIVNUPY2891V1","GSON1112110485")</f>
        <v>#NAME?</v>
      </c>
      <c r="M1666" s="28" t="e">
        <f ca="1">[1]!BexGetData("DP_1","003N8EMH8GTFRIVOG7KG9IQXA","GSON1112110485")</f>
        <v>#NAME?</v>
      </c>
      <c r="N1666" s="28" t="e">
        <f ca="1">[1]!BexGetData("DP_1","003N8EMH8GTFRIVOG7KG9IX8U","GSON1112110485")</f>
        <v>#NAME?</v>
      </c>
      <c r="O1666" s="28" t="e">
        <f ca="1">[1]!BexGetData("DP_1","003N8EMH8GTFRIVOG7KG9J3KE","GSON1112110485")</f>
        <v>#NAME?</v>
      </c>
      <c r="P1666" s="28" t="e">
        <f ca="1">[1]!BexGetData("DP_1","003N8EMH8GTFRIVOG7KG9J9VY","GSON1112110485")</f>
        <v>#NAME?</v>
      </c>
      <c r="Q1666" s="24" t="e">
        <f ca="1">[1]!BexGetData("DP_1","00O2TNJGODT0G5Z4TTKYMM5MT","GSON1112110485")</f>
        <v>#NAME?</v>
      </c>
      <c r="R1666" s="24" t="e">
        <f ca="1">[1]!BexGetData("DP_1","00O2TNJGODT0G5Z4TTKYMMBYD","GSON1112110485")</f>
        <v>#NAME?</v>
      </c>
      <c r="S1666" s="24" t="e">
        <f ca="1">[1]!BexGetData("DP_1","00O2TNJGODT0G5Z4TTKYMMI9X","GSON1112110485")</f>
        <v>#NAME?</v>
      </c>
      <c r="T1666" s="24" t="e">
        <f ca="1">[1]!BexGetData("DP_1","00O2TNJGODT0G5Z4TTKYMMOLH","GSON1112110485")</f>
        <v>#NAME?</v>
      </c>
      <c r="U1666" s="24" t="e">
        <f ca="1">[1]!BexGetData("DP_1","00O2TNJGODT0G5Z4TTKYMMUX1","GSON1112110485")</f>
        <v>#NAME?</v>
      </c>
      <c r="V1666" s="24" t="e">
        <f ca="1">[1]!BexGetData("DP_1","00O2TNJGODT0G5Z4TTKYMN18L","GSON1112110485")</f>
        <v>#NAME?</v>
      </c>
      <c r="W1666" s="24" t="e">
        <f ca="1">[1]!BexGetData("DP_1","00O2TNJGODT0G5Z4TTKYMN7K5","GSON1112110485")</f>
        <v>#NAME?</v>
      </c>
    </row>
    <row r="1667" spans="1:23" x14ac:dyDescent="0.2">
      <c r="A1667" s="36" t="s">
        <v>4407</v>
      </c>
      <c r="B1667" s="27" t="s">
        <v>4408</v>
      </c>
      <c r="C1667" s="23" t="e">
        <f ca="1">[1]!BexGetData("DP_1","003N8EMH8GTFRCSWKMPXRR8GU","GSON1112110490")</f>
        <v>#NAME?</v>
      </c>
      <c r="D1667" s="23" t="e">
        <f ca="1">[1]!BexGetData("DP_1","003N8EMH8GTFRCSWKMPXRRESE","GSON1112110490")</f>
        <v>#NAME?</v>
      </c>
      <c r="E1667" s="23" t="e">
        <f ca="1">[1]!BexGetData("DP_1","003N8EMH8GTFRCSWKMPXRRL3Y","GSON1112110490")</f>
        <v>#NAME?</v>
      </c>
      <c r="F1667" s="24" t="e">
        <f ca="1">[1]!BexGetData("DP_1","003N8EMH8GTFRCSWKMPXRRRFI","GSON1112110490")</f>
        <v>#NAME?</v>
      </c>
      <c r="G1667" s="24" t="e">
        <f ca="1">[1]!BexGetData("DP_1","003N8EMH8GTFRCSWKMPXRRXR2","GSON1112110490")</f>
        <v>#NAME?</v>
      </c>
      <c r="H1667" s="24" t="e">
        <f ca="1">[1]!BexGetData("DP_1","003N8EMH8GTFRCSWKMPXRS42M","GSON1112110490")</f>
        <v>#NAME?</v>
      </c>
      <c r="I1667" s="24" t="e">
        <f ca="1">[1]!BexGetData("DP_1","003N8EMH8GTFRCSWKMPXRSAE6","GSON1112110490")</f>
        <v>#NAME?</v>
      </c>
      <c r="J1667" s="24" t="e">
        <f ca="1">[1]!BexGetData("DP_1","003N8EMH8GTFRCSWKMPXRSGPQ","GSON1112110490")</f>
        <v>#NAME?</v>
      </c>
      <c r="K1667" s="23" t="e">
        <f ca="1">[1]!BexGetData("DP_1","003N8EMH8GTFRIVNUPY288VJH","GSON1112110490")</f>
        <v>#NAME?</v>
      </c>
      <c r="L1667" s="23" t="e">
        <f ca="1">[1]!BexGetData("DP_1","003N8EMH8GTFRIVNUPY2891V1","GSON1112110490")</f>
        <v>#NAME?</v>
      </c>
      <c r="M1667" s="28" t="e">
        <f ca="1">[1]!BexGetData("DP_1","003N8EMH8GTFRIVOG7KG9IQXA","GSON1112110490")</f>
        <v>#NAME?</v>
      </c>
      <c r="N1667" s="23" t="e">
        <f ca="1">[1]!BexGetData("DP_1","003N8EMH8GTFRIVOG7KG9IX8U","GSON1112110490")</f>
        <v>#NAME?</v>
      </c>
      <c r="O1667" s="28" t="e">
        <f ca="1">[1]!BexGetData("DP_1","003N8EMH8GTFRIVOG7KG9J3KE","GSON1112110490")</f>
        <v>#NAME?</v>
      </c>
      <c r="P1667" s="23" t="e">
        <f ca="1">[1]!BexGetData("DP_1","003N8EMH8GTFRIVOG7KG9J9VY","GSON1112110490")</f>
        <v>#NAME?</v>
      </c>
      <c r="Q1667" s="24" t="e">
        <f ca="1">[1]!BexGetData("DP_1","00O2TNJGODT0G5Z4TTKYMM5MT","GSON1112110490")</f>
        <v>#NAME?</v>
      </c>
      <c r="R1667" s="24" t="e">
        <f ca="1">[1]!BexGetData("DP_1","00O2TNJGODT0G5Z4TTKYMMBYD","GSON1112110490")</f>
        <v>#NAME?</v>
      </c>
      <c r="S1667" s="24" t="e">
        <f ca="1">[1]!BexGetData("DP_1","00O2TNJGODT0G5Z4TTKYMMI9X","GSON1112110490")</f>
        <v>#NAME?</v>
      </c>
      <c r="T1667" s="24" t="e">
        <f ca="1">[1]!BexGetData("DP_1","00O2TNJGODT0G5Z4TTKYMMOLH","GSON1112110490")</f>
        <v>#NAME?</v>
      </c>
      <c r="U1667" s="24" t="e">
        <f ca="1">[1]!BexGetData("DP_1","00O2TNJGODT0G5Z4TTKYMMUX1","GSON1112110490")</f>
        <v>#NAME?</v>
      </c>
      <c r="V1667" s="24" t="e">
        <f ca="1">[1]!BexGetData("DP_1","00O2TNJGODT0G5Z4TTKYMN18L","GSON1112110490")</f>
        <v>#NAME?</v>
      </c>
      <c r="W1667" s="24" t="e">
        <f ca="1">[1]!BexGetData("DP_1","00O2TNJGODT0G5Z4TTKYMN7K5","GSON1112110490")</f>
        <v>#NAME?</v>
      </c>
    </row>
    <row r="1668" spans="1:23" x14ac:dyDescent="0.2">
      <c r="A1668" s="36" t="s">
        <v>4409</v>
      </c>
      <c r="B1668" s="27" t="s">
        <v>4410</v>
      </c>
      <c r="C1668" s="23" t="e">
        <f ca="1">[1]!BexGetData("DP_1","003N8EMH8GTFRCSWKMPXRR8GU","GSON1112110491")</f>
        <v>#NAME?</v>
      </c>
      <c r="D1668" s="23" t="e">
        <f ca="1">[1]!BexGetData("DP_1","003N8EMH8GTFRCSWKMPXRRESE","GSON1112110491")</f>
        <v>#NAME?</v>
      </c>
      <c r="E1668" s="23" t="e">
        <f ca="1">[1]!BexGetData("DP_1","003N8EMH8GTFRCSWKMPXRRL3Y","GSON1112110491")</f>
        <v>#NAME?</v>
      </c>
      <c r="F1668" s="24" t="e">
        <f ca="1">[1]!BexGetData("DP_1","003N8EMH8GTFRCSWKMPXRRRFI","GSON1112110491")</f>
        <v>#NAME?</v>
      </c>
      <c r="G1668" s="24" t="e">
        <f ca="1">[1]!BexGetData("DP_1","003N8EMH8GTFRCSWKMPXRRXR2","GSON1112110491")</f>
        <v>#NAME?</v>
      </c>
      <c r="H1668" s="24" t="e">
        <f ca="1">[1]!BexGetData("DP_1","003N8EMH8GTFRCSWKMPXRS42M","GSON1112110491")</f>
        <v>#NAME?</v>
      </c>
      <c r="I1668" s="24" t="e">
        <f ca="1">[1]!BexGetData("DP_1","003N8EMH8GTFRCSWKMPXRSAE6","GSON1112110491")</f>
        <v>#NAME?</v>
      </c>
      <c r="J1668" s="24" t="e">
        <f ca="1">[1]!BexGetData("DP_1","003N8EMH8GTFRCSWKMPXRSGPQ","GSON1112110491")</f>
        <v>#NAME?</v>
      </c>
      <c r="K1668" s="23" t="e">
        <f ca="1">[1]!BexGetData("DP_1","003N8EMH8GTFRIVNUPY288VJH","GSON1112110491")</f>
        <v>#NAME?</v>
      </c>
      <c r="L1668" s="23" t="e">
        <f ca="1">[1]!BexGetData("DP_1","003N8EMH8GTFRIVNUPY2891V1","GSON1112110491")</f>
        <v>#NAME?</v>
      </c>
      <c r="M1668" s="23" t="e">
        <f ca="1">[1]!BexGetData("DP_1","003N8EMH8GTFRIVOG7KG9IQXA","GSON1112110491")</f>
        <v>#NAME?</v>
      </c>
      <c r="N1668" s="28" t="e">
        <f ca="1">[1]!BexGetData("DP_1","003N8EMH8GTFRIVOG7KG9IX8U","GSON1112110491")</f>
        <v>#NAME?</v>
      </c>
      <c r="O1668" s="23" t="e">
        <f ca="1">[1]!BexGetData("DP_1","003N8EMH8GTFRIVOG7KG9J3KE","GSON1112110491")</f>
        <v>#NAME?</v>
      </c>
      <c r="P1668" s="28" t="e">
        <f ca="1">[1]!BexGetData("DP_1","003N8EMH8GTFRIVOG7KG9J9VY","GSON1112110491")</f>
        <v>#NAME?</v>
      </c>
      <c r="Q1668" s="24" t="e">
        <f ca="1">[1]!BexGetData("DP_1","00O2TNJGODT0G5Z4TTKYMM5MT","GSON1112110491")</f>
        <v>#NAME?</v>
      </c>
      <c r="R1668" s="24" t="e">
        <f ca="1">[1]!BexGetData("DP_1","00O2TNJGODT0G5Z4TTKYMMBYD","GSON1112110491")</f>
        <v>#NAME?</v>
      </c>
      <c r="S1668" s="24" t="e">
        <f ca="1">[1]!BexGetData("DP_1","00O2TNJGODT0G5Z4TTKYMMI9X","GSON1112110491")</f>
        <v>#NAME?</v>
      </c>
      <c r="T1668" s="24" t="e">
        <f ca="1">[1]!BexGetData("DP_1","00O2TNJGODT0G5Z4TTKYMMOLH","GSON1112110491")</f>
        <v>#NAME?</v>
      </c>
      <c r="U1668" s="24" t="e">
        <f ca="1">[1]!BexGetData("DP_1","00O2TNJGODT0G5Z4TTKYMMUX1","GSON1112110491")</f>
        <v>#NAME?</v>
      </c>
      <c r="V1668" s="24" t="e">
        <f ca="1">[1]!BexGetData("DP_1","00O2TNJGODT0G5Z4TTKYMN18L","GSON1112110491")</f>
        <v>#NAME?</v>
      </c>
      <c r="W1668" s="24" t="e">
        <f ca="1">[1]!BexGetData("DP_1","00O2TNJGODT0G5Z4TTKYMN7K5","GSON1112110491")</f>
        <v>#NAME?</v>
      </c>
    </row>
    <row r="1669" spans="1:23" x14ac:dyDescent="0.2">
      <c r="A1669" s="36" t="s">
        <v>4411</v>
      </c>
      <c r="B1669" s="27" t="s">
        <v>4412</v>
      </c>
      <c r="C1669" s="23" t="e">
        <f ca="1">[1]!BexGetData("DP_1","003N8EMH8GTFRCSWKMPXRR8GU","GSON1112110494")</f>
        <v>#NAME?</v>
      </c>
      <c r="D1669" s="28" t="e">
        <f ca="1">[1]!BexGetData("DP_1","003N8EMH8GTFRCSWKMPXRRESE","GSON1112110494")</f>
        <v>#NAME?</v>
      </c>
      <c r="E1669" s="23" t="e">
        <f ca="1">[1]!BexGetData("DP_1","003N8EMH8GTFRCSWKMPXRRL3Y","GSON1112110494")</f>
        <v>#NAME?</v>
      </c>
      <c r="F1669" s="24" t="e">
        <f ca="1">[1]!BexGetData("DP_1","003N8EMH8GTFRCSWKMPXRRRFI","GSON1112110494")</f>
        <v>#NAME?</v>
      </c>
      <c r="G1669" s="24" t="e">
        <f ca="1">[1]!BexGetData("DP_1","003N8EMH8GTFRCSWKMPXRRXR2","GSON1112110494")</f>
        <v>#NAME?</v>
      </c>
      <c r="H1669" s="24" t="e">
        <f ca="1">[1]!BexGetData("DP_1","003N8EMH8GTFRCSWKMPXRS42M","GSON1112110494")</f>
        <v>#NAME?</v>
      </c>
      <c r="I1669" s="24" t="e">
        <f ca="1">[1]!BexGetData("DP_1","003N8EMH8GTFRCSWKMPXRSAE6","GSON1112110494")</f>
        <v>#NAME?</v>
      </c>
      <c r="J1669" s="24" t="e">
        <f ca="1">[1]!BexGetData("DP_1","003N8EMH8GTFRCSWKMPXRSGPQ","GSON1112110494")</f>
        <v>#NAME?</v>
      </c>
      <c r="K1669" s="23" t="e">
        <f ca="1">[1]!BexGetData("DP_1","003N8EMH8GTFRIVNUPY288VJH","GSON1112110494")</f>
        <v>#NAME?</v>
      </c>
      <c r="L1669" s="23" t="e">
        <f ca="1">[1]!BexGetData("DP_1","003N8EMH8GTFRIVNUPY2891V1","GSON1112110494")</f>
        <v>#NAME?</v>
      </c>
      <c r="M1669" s="28" t="e">
        <f ca="1">[1]!BexGetData("DP_1","003N8EMH8GTFRIVOG7KG9IQXA","GSON1112110494")</f>
        <v>#NAME?</v>
      </c>
      <c r="N1669" s="23" t="e">
        <f ca="1">[1]!BexGetData("DP_1","003N8EMH8GTFRIVOG7KG9IX8U","GSON1112110494")</f>
        <v>#NAME?</v>
      </c>
      <c r="O1669" s="28" t="e">
        <f ca="1">[1]!BexGetData("DP_1","003N8EMH8GTFRIVOG7KG9J3KE","GSON1112110494")</f>
        <v>#NAME?</v>
      </c>
      <c r="P1669" s="23" t="e">
        <f ca="1">[1]!BexGetData("DP_1","003N8EMH8GTFRIVOG7KG9J9VY","GSON1112110494")</f>
        <v>#NAME?</v>
      </c>
      <c r="Q1669" s="24" t="e">
        <f ca="1">[1]!BexGetData("DP_1","00O2TNJGODT0G5Z4TTKYMM5MT","GSON1112110494")</f>
        <v>#NAME?</v>
      </c>
      <c r="R1669" s="24" t="e">
        <f ca="1">[1]!BexGetData("DP_1","00O2TNJGODT0G5Z4TTKYMMBYD","GSON1112110494")</f>
        <v>#NAME?</v>
      </c>
      <c r="S1669" s="24" t="e">
        <f ca="1">[1]!BexGetData("DP_1","00O2TNJGODT0G5Z4TTKYMMI9X","GSON1112110494")</f>
        <v>#NAME?</v>
      </c>
      <c r="T1669" s="24" t="e">
        <f ca="1">[1]!BexGetData("DP_1","00O2TNJGODT0G5Z4TTKYMMOLH","GSON1112110494")</f>
        <v>#NAME?</v>
      </c>
      <c r="U1669" s="24" t="e">
        <f ca="1">[1]!BexGetData("DP_1","00O2TNJGODT0G5Z4TTKYMMUX1","GSON1112110494")</f>
        <v>#NAME?</v>
      </c>
      <c r="V1669" s="24" t="e">
        <f ca="1">[1]!BexGetData("DP_1","00O2TNJGODT0G5Z4TTKYMN18L","GSON1112110494")</f>
        <v>#NAME?</v>
      </c>
      <c r="W1669" s="24" t="e">
        <f ca="1">[1]!BexGetData("DP_1","00O2TNJGODT0G5Z4TTKYMN7K5","GSON1112110494")</f>
        <v>#NAME?</v>
      </c>
    </row>
    <row r="1670" spans="1:23" x14ac:dyDescent="0.2">
      <c r="A1670" s="36" t="s">
        <v>4413</v>
      </c>
      <c r="B1670" s="27" t="s">
        <v>4414</v>
      </c>
      <c r="C1670" s="23" t="e">
        <f ca="1">[1]!BexGetData("DP_1","003N8EMH8GTFRCSWKMPXRR8GU","GSON1112110500")</f>
        <v>#NAME?</v>
      </c>
      <c r="D1670" s="23" t="e">
        <f ca="1">[1]!BexGetData("DP_1","003N8EMH8GTFRCSWKMPXRRESE","GSON1112110500")</f>
        <v>#NAME?</v>
      </c>
      <c r="E1670" s="23" t="e">
        <f ca="1">[1]!BexGetData("DP_1","003N8EMH8GTFRCSWKMPXRRL3Y","GSON1112110500")</f>
        <v>#NAME?</v>
      </c>
      <c r="F1670" s="24" t="e">
        <f ca="1">[1]!BexGetData("DP_1","003N8EMH8GTFRCSWKMPXRRRFI","GSON1112110500")</f>
        <v>#NAME?</v>
      </c>
      <c r="G1670" s="24" t="e">
        <f ca="1">[1]!BexGetData("DP_1","003N8EMH8GTFRCSWKMPXRRXR2","GSON1112110500")</f>
        <v>#NAME?</v>
      </c>
      <c r="H1670" s="24" t="e">
        <f ca="1">[1]!BexGetData("DP_1","003N8EMH8GTFRCSWKMPXRS42M","GSON1112110500")</f>
        <v>#NAME?</v>
      </c>
      <c r="I1670" s="24" t="e">
        <f ca="1">[1]!BexGetData("DP_1","003N8EMH8GTFRCSWKMPXRSAE6","GSON1112110500")</f>
        <v>#NAME?</v>
      </c>
      <c r="J1670" s="24" t="e">
        <f ca="1">[1]!BexGetData("DP_1","003N8EMH8GTFRCSWKMPXRSGPQ","GSON1112110500")</f>
        <v>#NAME?</v>
      </c>
      <c r="K1670" s="23" t="e">
        <f ca="1">[1]!BexGetData("DP_1","003N8EMH8GTFRIVNUPY288VJH","GSON1112110500")</f>
        <v>#NAME?</v>
      </c>
      <c r="L1670" s="23" t="e">
        <f ca="1">[1]!BexGetData("DP_1","003N8EMH8GTFRIVNUPY2891V1","GSON1112110500")</f>
        <v>#NAME?</v>
      </c>
      <c r="M1670" s="28" t="e">
        <f ca="1">[1]!BexGetData("DP_1","003N8EMH8GTFRIVOG7KG9IQXA","GSON1112110500")</f>
        <v>#NAME?</v>
      </c>
      <c r="N1670" s="23" t="e">
        <f ca="1">[1]!BexGetData("DP_1","003N8EMH8GTFRIVOG7KG9IX8U","GSON1112110500")</f>
        <v>#NAME?</v>
      </c>
      <c r="O1670" s="28" t="e">
        <f ca="1">[1]!BexGetData("DP_1","003N8EMH8GTFRIVOG7KG9J3KE","GSON1112110500")</f>
        <v>#NAME?</v>
      </c>
      <c r="P1670" s="23" t="e">
        <f ca="1">[1]!BexGetData("DP_1","003N8EMH8GTFRIVOG7KG9J9VY","GSON1112110500")</f>
        <v>#NAME?</v>
      </c>
      <c r="Q1670" s="24" t="e">
        <f ca="1">[1]!BexGetData("DP_1","00O2TNJGODT0G5Z4TTKYMM5MT","GSON1112110500")</f>
        <v>#NAME?</v>
      </c>
      <c r="R1670" s="24" t="e">
        <f ca="1">[1]!BexGetData("DP_1","00O2TNJGODT0G5Z4TTKYMMBYD","GSON1112110500")</f>
        <v>#NAME?</v>
      </c>
      <c r="S1670" s="24" t="e">
        <f ca="1">[1]!BexGetData("DP_1","00O2TNJGODT0G5Z4TTKYMMI9X","GSON1112110500")</f>
        <v>#NAME?</v>
      </c>
      <c r="T1670" s="24" t="e">
        <f ca="1">[1]!BexGetData("DP_1","00O2TNJGODT0G5Z4TTKYMMOLH","GSON1112110500")</f>
        <v>#NAME?</v>
      </c>
      <c r="U1670" s="24" t="e">
        <f ca="1">[1]!BexGetData("DP_1","00O2TNJGODT0G5Z4TTKYMMUX1","GSON1112110500")</f>
        <v>#NAME?</v>
      </c>
      <c r="V1670" s="24" t="e">
        <f ca="1">[1]!BexGetData("DP_1","00O2TNJGODT0G5Z4TTKYMN18L","GSON1112110500")</f>
        <v>#NAME?</v>
      </c>
      <c r="W1670" s="24" t="e">
        <f ca="1">[1]!BexGetData("DP_1","00O2TNJGODT0G5Z4TTKYMN7K5","GSON1112110500")</f>
        <v>#NAME?</v>
      </c>
    </row>
    <row r="1671" spans="1:23" x14ac:dyDescent="0.2">
      <c r="A1671" s="36" t="s">
        <v>4415</v>
      </c>
      <c r="B1671" s="27" t="s">
        <v>4416</v>
      </c>
      <c r="C1671" s="23" t="e">
        <f ca="1">[1]!BexGetData("DP_1","003N8EMH8GTFRCSWKMPXRR8GU","GSON1112110501")</f>
        <v>#NAME?</v>
      </c>
      <c r="D1671" s="23" t="e">
        <f ca="1">[1]!BexGetData("DP_1","003N8EMH8GTFRCSWKMPXRRESE","GSON1112110501")</f>
        <v>#NAME?</v>
      </c>
      <c r="E1671" s="28" t="e">
        <f ca="1">[1]!BexGetData("DP_1","003N8EMH8GTFRCSWKMPXRRL3Y","GSON1112110501")</f>
        <v>#NAME?</v>
      </c>
      <c r="F1671" s="24" t="e">
        <f ca="1">[1]!BexGetData("DP_1","003N8EMH8GTFRCSWKMPXRRRFI","GSON1112110501")</f>
        <v>#NAME?</v>
      </c>
      <c r="G1671" s="24" t="e">
        <f ca="1">[1]!BexGetData("DP_1","003N8EMH8GTFRCSWKMPXRRXR2","GSON1112110501")</f>
        <v>#NAME?</v>
      </c>
      <c r="H1671" s="24" t="e">
        <f ca="1">[1]!BexGetData("DP_1","003N8EMH8GTFRCSWKMPXRS42M","GSON1112110501")</f>
        <v>#NAME?</v>
      </c>
      <c r="I1671" s="24" t="e">
        <f ca="1">[1]!BexGetData("DP_1","003N8EMH8GTFRCSWKMPXRSAE6","GSON1112110501")</f>
        <v>#NAME?</v>
      </c>
      <c r="J1671" s="24" t="e">
        <f ca="1">[1]!BexGetData("DP_1","003N8EMH8GTFRCSWKMPXRSGPQ","GSON1112110501")</f>
        <v>#NAME?</v>
      </c>
      <c r="K1671" s="28" t="e">
        <f ca="1">[1]!BexGetData("DP_1","003N8EMH8GTFRIVNUPY288VJH","GSON1112110501")</f>
        <v>#NAME?</v>
      </c>
      <c r="L1671" s="28" t="e">
        <f ca="1">[1]!BexGetData("DP_1","003N8EMH8GTFRIVNUPY2891V1","GSON1112110501")</f>
        <v>#NAME?</v>
      </c>
      <c r="M1671" s="28" t="e">
        <f ca="1">[1]!BexGetData("DP_1","003N8EMH8GTFRIVOG7KG9IQXA","GSON1112110501")</f>
        <v>#NAME?</v>
      </c>
      <c r="N1671" s="28" t="e">
        <f ca="1">[1]!BexGetData("DP_1","003N8EMH8GTFRIVOG7KG9IX8U","GSON1112110501")</f>
        <v>#NAME?</v>
      </c>
      <c r="O1671" s="28" t="e">
        <f ca="1">[1]!BexGetData("DP_1","003N8EMH8GTFRIVOG7KG9J3KE","GSON1112110501")</f>
        <v>#NAME?</v>
      </c>
      <c r="P1671" s="28" t="e">
        <f ca="1">[1]!BexGetData("DP_1","003N8EMH8GTFRIVOG7KG9J9VY","GSON1112110501")</f>
        <v>#NAME?</v>
      </c>
      <c r="Q1671" s="24" t="e">
        <f ca="1">[1]!BexGetData("DP_1","00O2TNJGODT0G5Z4TTKYMM5MT","GSON1112110501")</f>
        <v>#NAME?</v>
      </c>
      <c r="R1671" s="24" t="e">
        <f ca="1">[1]!BexGetData("DP_1","00O2TNJGODT0G5Z4TTKYMMBYD","GSON1112110501")</f>
        <v>#NAME?</v>
      </c>
      <c r="S1671" s="24" t="e">
        <f ca="1">[1]!BexGetData("DP_1","00O2TNJGODT0G5Z4TTKYMMI9X","GSON1112110501")</f>
        <v>#NAME?</v>
      </c>
      <c r="T1671" s="24" t="e">
        <f ca="1">[1]!BexGetData("DP_1","00O2TNJGODT0G5Z4TTKYMMOLH","GSON1112110501")</f>
        <v>#NAME?</v>
      </c>
      <c r="U1671" s="24" t="e">
        <f ca="1">[1]!BexGetData("DP_1","00O2TNJGODT0G5Z4TTKYMMUX1","GSON1112110501")</f>
        <v>#NAME?</v>
      </c>
      <c r="V1671" s="24" t="e">
        <f ca="1">[1]!BexGetData("DP_1","00O2TNJGODT0G5Z4TTKYMN18L","GSON1112110501")</f>
        <v>#NAME?</v>
      </c>
      <c r="W1671" s="24" t="e">
        <f ca="1">[1]!BexGetData("DP_1","00O2TNJGODT0G5Z4TTKYMN7K5","GSON1112110501")</f>
        <v>#NAME?</v>
      </c>
    </row>
    <row r="1672" spans="1:23" x14ac:dyDescent="0.2">
      <c r="A1672" s="36" t="s">
        <v>4417</v>
      </c>
      <c r="B1672" s="27" t="s">
        <v>4418</v>
      </c>
      <c r="C1672" s="23" t="e">
        <f ca="1">[1]!BexGetData("DP_1","003N8EMH8GTFRCSWKMPXRR8GU","GSON1112110503")</f>
        <v>#NAME?</v>
      </c>
      <c r="D1672" s="23" t="e">
        <f ca="1">[1]!BexGetData("DP_1","003N8EMH8GTFRCSWKMPXRRESE","GSON1112110503")</f>
        <v>#NAME?</v>
      </c>
      <c r="E1672" s="28" t="e">
        <f ca="1">[1]!BexGetData("DP_1","003N8EMH8GTFRCSWKMPXRRL3Y","GSON1112110503")</f>
        <v>#NAME?</v>
      </c>
      <c r="F1672" s="24" t="e">
        <f ca="1">[1]!BexGetData("DP_1","003N8EMH8GTFRCSWKMPXRRRFI","GSON1112110503")</f>
        <v>#NAME?</v>
      </c>
      <c r="G1672" s="24" t="e">
        <f ca="1">[1]!BexGetData("DP_1","003N8EMH8GTFRCSWKMPXRRXR2","GSON1112110503")</f>
        <v>#NAME?</v>
      </c>
      <c r="H1672" s="24" t="e">
        <f ca="1">[1]!BexGetData("DP_1","003N8EMH8GTFRCSWKMPXRS42M","GSON1112110503")</f>
        <v>#NAME?</v>
      </c>
      <c r="I1672" s="24" t="e">
        <f ca="1">[1]!BexGetData("DP_1","003N8EMH8GTFRCSWKMPXRSAE6","GSON1112110503")</f>
        <v>#NAME?</v>
      </c>
      <c r="J1672" s="24" t="e">
        <f ca="1">[1]!BexGetData("DP_1","003N8EMH8GTFRCSWKMPXRSGPQ","GSON1112110503")</f>
        <v>#NAME?</v>
      </c>
      <c r="K1672" s="28" t="e">
        <f ca="1">[1]!BexGetData("DP_1","003N8EMH8GTFRIVNUPY288VJH","GSON1112110503")</f>
        <v>#NAME?</v>
      </c>
      <c r="L1672" s="28" t="e">
        <f ca="1">[1]!BexGetData("DP_1","003N8EMH8GTFRIVNUPY2891V1","GSON1112110503")</f>
        <v>#NAME?</v>
      </c>
      <c r="M1672" s="28" t="e">
        <f ca="1">[1]!BexGetData("DP_1","003N8EMH8GTFRIVOG7KG9IQXA","GSON1112110503")</f>
        <v>#NAME?</v>
      </c>
      <c r="N1672" s="28" t="e">
        <f ca="1">[1]!BexGetData("DP_1","003N8EMH8GTFRIVOG7KG9IX8U","GSON1112110503")</f>
        <v>#NAME?</v>
      </c>
      <c r="O1672" s="28" t="e">
        <f ca="1">[1]!BexGetData("DP_1","003N8EMH8GTFRIVOG7KG9J3KE","GSON1112110503")</f>
        <v>#NAME?</v>
      </c>
      <c r="P1672" s="28" t="e">
        <f ca="1">[1]!BexGetData("DP_1","003N8EMH8GTFRIVOG7KG9J9VY","GSON1112110503")</f>
        <v>#NAME?</v>
      </c>
      <c r="Q1672" s="24" t="e">
        <f ca="1">[1]!BexGetData("DP_1","00O2TNJGODT0G5Z4TTKYMM5MT","GSON1112110503")</f>
        <v>#NAME?</v>
      </c>
      <c r="R1672" s="24" t="e">
        <f ca="1">[1]!BexGetData("DP_1","00O2TNJGODT0G5Z4TTKYMMBYD","GSON1112110503")</f>
        <v>#NAME?</v>
      </c>
      <c r="S1672" s="24" t="e">
        <f ca="1">[1]!BexGetData("DP_1","00O2TNJGODT0G5Z4TTKYMMI9X","GSON1112110503")</f>
        <v>#NAME?</v>
      </c>
      <c r="T1672" s="24" t="e">
        <f ca="1">[1]!BexGetData("DP_1","00O2TNJGODT0G5Z4TTKYMMOLH","GSON1112110503")</f>
        <v>#NAME?</v>
      </c>
      <c r="U1672" s="24" t="e">
        <f ca="1">[1]!BexGetData("DP_1","00O2TNJGODT0G5Z4TTKYMMUX1","GSON1112110503")</f>
        <v>#NAME?</v>
      </c>
      <c r="V1672" s="24" t="e">
        <f ca="1">[1]!BexGetData("DP_1","00O2TNJGODT0G5Z4TTKYMN18L","GSON1112110503")</f>
        <v>#NAME?</v>
      </c>
      <c r="W1672" s="24" t="e">
        <f ca="1">[1]!BexGetData("DP_1","00O2TNJGODT0G5Z4TTKYMN7K5","GSON1112110503")</f>
        <v>#NAME?</v>
      </c>
    </row>
    <row r="1673" spans="1:23" x14ac:dyDescent="0.2">
      <c r="A1673" s="36" t="s">
        <v>4419</v>
      </c>
      <c r="B1673" s="27" t="s">
        <v>4420</v>
      </c>
      <c r="C1673" s="23" t="e">
        <f ca="1">[1]!BexGetData("DP_1","003N8EMH8GTFRCSWKMPXRR8GU","GSON1112110504")</f>
        <v>#NAME?</v>
      </c>
      <c r="D1673" s="23" t="e">
        <f ca="1">[1]!BexGetData("DP_1","003N8EMH8GTFRCSWKMPXRRESE","GSON1112110504")</f>
        <v>#NAME?</v>
      </c>
      <c r="E1673" s="28" t="e">
        <f ca="1">[1]!BexGetData("DP_1","003N8EMH8GTFRCSWKMPXRRL3Y","GSON1112110504")</f>
        <v>#NAME?</v>
      </c>
      <c r="F1673" s="24" t="e">
        <f ca="1">[1]!BexGetData("DP_1","003N8EMH8GTFRCSWKMPXRRRFI","GSON1112110504")</f>
        <v>#NAME?</v>
      </c>
      <c r="G1673" s="24" t="e">
        <f ca="1">[1]!BexGetData("DP_1","003N8EMH8GTFRCSWKMPXRRXR2","GSON1112110504")</f>
        <v>#NAME?</v>
      </c>
      <c r="H1673" s="24" t="e">
        <f ca="1">[1]!BexGetData("DP_1","003N8EMH8GTFRCSWKMPXRS42M","GSON1112110504")</f>
        <v>#NAME?</v>
      </c>
      <c r="I1673" s="24" t="e">
        <f ca="1">[1]!BexGetData("DP_1","003N8EMH8GTFRCSWKMPXRSAE6","GSON1112110504")</f>
        <v>#NAME?</v>
      </c>
      <c r="J1673" s="24" t="e">
        <f ca="1">[1]!BexGetData("DP_1","003N8EMH8GTFRCSWKMPXRSGPQ","GSON1112110504")</f>
        <v>#NAME?</v>
      </c>
      <c r="K1673" s="28" t="e">
        <f ca="1">[1]!BexGetData("DP_1","003N8EMH8GTFRIVNUPY288VJH","GSON1112110504")</f>
        <v>#NAME?</v>
      </c>
      <c r="L1673" s="28" t="e">
        <f ca="1">[1]!BexGetData("DP_1","003N8EMH8GTFRIVNUPY2891V1","GSON1112110504")</f>
        <v>#NAME?</v>
      </c>
      <c r="M1673" s="28" t="e">
        <f ca="1">[1]!BexGetData("DP_1","003N8EMH8GTFRIVOG7KG9IQXA","GSON1112110504")</f>
        <v>#NAME?</v>
      </c>
      <c r="N1673" s="28" t="e">
        <f ca="1">[1]!BexGetData("DP_1","003N8EMH8GTFRIVOG7KG9IX8U","GSON1112110504")</f>
        <v>#NAME?</v>
      </c>
      <c r="O1673" s="28" t="e">
        <f ca="1">[1]!BexGetData("DP_1","003N8EMH8GTFRIVOG7KG9J3KE","GSON1112110504")</f>
        <v>#NAME?</v>
      </c>
      <c r="P1673" s="28" t="e">
        <f ca="1">[1]!BexGetData("DP_1","003N8EMH8GTFRIVOG7KG9J9VY","GSON1112110504")</f>
        <v>#NAME?</v>
      </c>
      <c r="Q1673" s="24" t="e">
        <f ca="1">[1]!BexGetData("DP_1","00O2TNJGODT0G5Z4TTKYMM5MT","GSON1112110504")</f>
        <v>#NAME?</v>
      </c>
      <c r="R1673" s="24" t="e">
        <f ca="1">[1]!BexGetData("DP_1","00O2TNJGODT0G5Z4TTKYMMBYD","GSON1112110504")</f>
        <v>#NAME?</v>
      </c>
      <c r="S1673" s="24" t="e">
        <f ca="1">[1]!BexGetData("DP_1","00O2TNJGODT0G5Z4TTKYMMI9X","GSON1112110504")</f>
        <v>#NAME?</v>
      </c>
      <c r="T1673" s="24" t="e">
        <f ca="1">[1]!BexGetData("DP_1","00O2TNJGODT0G5Z4TTKYMMOLH","GSON1112110504")</f>
        <v>#NAME?</v>
      </c>
      <c r="U1673" s="24" t="e">
        <f ca="1">[1]!BexGetData("DP_1","00O2TNJGODT0G5Z4TTKYMMUX1","GSON1112110504")</f>
        <v>#NAME?</v>
      </c>
      <c r="V1673" s="24" t="e">
        <f ca="1">[1]!BexGetData("DP_1","00O2TNJGODT0G5Z4TTKYMN18L","GSON1112110504")</f>
        <v>#NAME?</v>
      </c>
      <c r="W1673" s="24" t="e">
        <f ca="1">[1]!BexGetData("DP_1","00O2TNJGODT0G5Z4TTKYMN7K5","GSON1112110504")</f>
        <v>#NAME?</v>
      </c>
    </row>
    <row r="1674" spans="1:23" x14ac:dyDescent="0.2">
      <c r="A1674" s="36" t="s">
        <v>4421</v>
      </c>
      <c r="B1674" s="27" t="s">
        <v>4422</v>
      </c>
      <c r="C1674" s="23" t="e">
        <f ca="1">[1]!BexGetData("DP_1","003N8EMH8GTFRCSWKMPXRR8GU","GSON1112110505")</f>
        <v>#NAME?</v>
      </c>
      <c r="D1674" s="23" t="e">
        <f ca="1">[1]!BexGetData("DP_1","003N8EMH8GTFRCSWKMPXRRESE","GSON1112110505")</f>
        <v>#NAME?</v>
      </c>
      <c r="E1674" s="28" t="e">
        <f ca="1">[1]!BexGetData("DP_1","003N8EMH8GTFRCSWKMPXRRL3Y","GSON1112110505")</f>
        <v>#NAME?</v>
      </c>
      <c r="F1674" s="24" t="e">
        <f ca="1">[1]!BexGetData("DP_1","003N8EMH8GTFRCSWKMPXRRRFI","GSON1112110505")</f>
        <v>#NAME?</v>
      </c>
      <c r="G1674" s="24" t="e">
        <f ca="1">[1]!BexGetData("DP_1","003N8EMH8GTFRCSWKMPXRRXR2","GSON1112110505")</f>
        <v>#NAME?</v>
      </c>
      <c r="H1674" s="24" t="e">
        <f ca="1">[1]!BexGetData("DP_1","003N8EMH8GTFRCSWKMPXRS42M","GSON1112110505")</f>
        <v>#NAME?</v>
      </c>
      <c r="I1674" s="24" t="e">
        <f ca="1">[1]!BexGetData("DP_1","003N8EMH8GTFRCSWKMPXRSAE6","GSON1112110505")</f>
        <v>#NAME?</v>
      </c>
      <c r="J1674" s="24" t="e">
        <f ca="1">[1]!BexGetData("DP_1","003N8EMH8GTFRCSWKMPXRSGPQ","GSON1112110505")</f>
        <v>#NAME?</v>
      </c>
      <c r="K1674" s="28" t="e">
        <f ca="1">[1]!BexGetData("DP_1","003N8EMH8GTFRIVNUPY288VJH","GSON1112110505")</f>
        <v>#NAME?</v>
      </c>
      <c r="L1674" s="28" t="e">
        <f ca="1">[1]!BexGetData("DP_1","003N8EMH8GTFRIVNUPY2891V1","GSON1112110505")</f>
        <v>#NAME?</v>
      </c>
      <c r="M1674" s="28" t="e">
        <f ca="1">[1]!BexGetData("DP_1","003N8EMH8GTFRIVOG7KG9IQXA","GSON1112110505")</f>
        <v>#NAME?</v>
      </c>
      <c r="N1674" s="28" t="e">
        <f ca="1">[1]!BexGetData("DP_1","003N8EMH8GTFRIVOG7KG9IX8U","GSON1112110505")</f>
        <v>#NAME?</v>
      </c>
      <c r="O1674" s="28" t="e">
        <f ca="1">[1]!BexGetData("DP_1","003N8EMH8GTFRIVOG7KG9J3KE","GSON1112110505")</f>
        <v>#NAME?</v>
      </c>
      <c r="P1674" s="28" t="e">
        <f ca="1">[1]!BexGetData("DP_1","003N8EMH8GTFRIVOG7KG9J9VY","GSON1112110505")</f>
        <v>#NAME?</v>
      </c>
      <c r="Q1674" s="24" t="e">
        <f ca="1">[1]!BexGetData("DP_1","00O2TNJGODT0G5Z4TTKYMM5MT","GSON1112110505")</f>
        <v>#NAME?</v>
      </c>
      <c r="R1674" s="24" t="e">
        <f ca="1">[1]!BexGetData("DP_1","00O2TNJGODT0G5Z4TTKYMMBYD","GSON1112110505")</f>
        <v>#NAME?</v>
      </c>
      <c r="S1674" s="24" t="e">
        <f ca="1">[1]!BexGetData("DP_1","00O2TNJGODT0G5Z4TTKYMMI9X","GSON1112110505")</f>
        <v>#NAME?</v>
      </c>
      <c r="T1674" s="24" t="e">
        <f ca="1">[1]!BexGetData("DP_1","00O2TNJGODT0G5Z4TTKYMMOLH","GSON1112110505")</f>
        <v>#NAME?</v>
      </c>
      <c r="U1674" s="24" t="e">
        <f ca="1">[1]!BexGetData("DP_1","00O2TNJGODT0G5Z4TTKYMMUX1","GSON1112110505")</f>
        <v>#NAME?</v>
      </c>
      <c r="V1674" s="24" t="e">
        <f ca="1">[1]!BexGetData("DP_1","00O2TNJGODT0G5Z4TTKYMN18L","GSON1112110505")</f>
        <v>#NAME?</v>
      </c>
      <c r="W1674" s="24" t="e">
        <f ca="1">[1]!BexGetData("DP_1","00O2TNJGODT0G5Z4TTKYMN7K5","GSON1112110505")</f>
        <v>#NAME?</v>
      </c>
    </row>
    <row r="1675" spans="1:23" x14ac:dyDescent="0.2">
      <c r="A1675" s="36" t="s">
        <v>4423</v>
      </c>
      <c r="B1675" s="27" t="s">
        <v>4424</v>
      </c>
      <c r="C1675" s="23" t="e">
        <f ca="1">[1]!BexGetData("DP_1","003N8EMH8GTFRCSWKMPXRR8GU","GSON1112110510")</f>
        <v>#NAME?</v>
      </c>
      <c r="D1675" s="23" t="e">
        <f ca="1">[1]!BexGetData("DP_1","003N8EMH8GTFRCSWKMPXRRESE","GSON1112110510")</f>
        <v>#NAME?</v>
      </c>
      <c r="E1675" s="23" t="e">
        <f ca="1">[1]!BexGetData("DP_1","003N8EMH8GTFRCSWKMPXRRL3Y","GSON1112110510")</f>
        <v>#NAME?</v>
      </c>
      <c r="F1675" s="24" t="e">
        <f ca="1">[1]!BexGetData("DP_1","003N8EMH8GTFRCSWKMPXRRRFI","GSON1112110510")</f>
        <v>#NAME?</v>
      </c>
      <c r="G1675" s="24" t="e">
        <f ca="1">[1]!BexGetData("DP_1","003N8EMH8GTFRCSWKMPXRRXR2","GSON1112110510")</f>
        <v>#NAME?</v>
      </c>
      <c r="H1675" s="24" t="e">
        <f ca="1">[1]!BexGetData("DP_1","003N8EMH8GTFRCSWKMPXRS42M","GSON1112110510")</f>
        <v>#NAME?</v>
      </c>
      <c r="I1675" s="24" t="e">
        <f ca="1">[1]!BexGetData("DP_1","003N8EMH8GTFRCSWKMPXRSAE6","GSON1112110510")</f>
        <v>#NAME?</v>
      </c>
      <c r="J1675" s="24" t="e">
        <f ca="1">[1]!BexGetData("DP_1","003N8EMH8GTFRCSWKMPXRSGPQ","GSON1112110510")</f>
        <v>#NAME?</v>
      </c>
      <c r="K1675" s="23" t="e">
        <f ca="1">[1]!BexGetData("DP_1","003N8EMH8GTFRIVNUPY288VJH","GSON1112110510")</f>
        <v>#NAME?</v>
      </c>
      <c r="L1675" s="23" t="e">
        <f ca="1">[1]!BexGetData("DP_1","003N8EMH8GTFRIVNUPY2891V1","GSON1112110510")</f>
        <v>#NAME?</v>
      </c>
      <c r="M1675" s="28" t="e">
        <f ca="1">[1]!BexGetData("DP_1","003N8EMH8GTFRIVOG7KG9IQXA","GSON1112110510")</f>
        <v>#NAME?</v>
      </c>
      <c r="N1675" s="23" t="e">
        <f ca="1">[1]!BexGetData("DP_1","003N8EMH8GTFRIVOG7KG9IX8U","GSON1112110510")</f>
        <v>#NAME?</v>
      </c>
      <c r="O1675" s="28" t="e">
        <f ca="1">[1]!BexGetData("DP_1","003N8EMH8GTFRIVOG7KG9J3KE","GSON1112110510")</f>
        <v>#NAME?</v>
      </c>
      <c r="P1675" s="23" t="e">
        <f ca="1">[1]!BexGetData("DP_1","003N8EMH8GTFRIVOG7KG9J9VY","GSON1112110510")</f>
        <v>#NAME?</v>
      </c>
      <c r="Q1675" s="24" t="e">
        <f ca="1">[1]!BexGetData("DP_1","00O2TNJGODT0G5Z4TTKYMM5MT","GSON1112110510")</f>
        <v>#NAME?</v>
      </c>
      <c r="R1675" s="24" t="e">
        <f ca="1">[1]!BexGetData("DP_1","00O2TNJGODT0G5Z4TTKYMMBYD","GSON1112110510")</f>
        <v>#NAME?</v>
      </c>
      <c r="S1675" s="24" t="e">
        <f ca="1">[1]!BexGetData("DP_1","00O2TNJGODT0G5Z4TTKYMMI9X","GSON1112110510")</f>
        <v>#NAME?</v>
      </c>
      <c r="T1675" s="24" t="e">
        <f ca="1">[1]!BexGetData("DP_1","00O2TNJGODT0G5Z4TTKYMMOLH","GSON1112110510")</f>
        <v>#NAME?</v>
      </c>
      <c r="U1675" s="24" t="e">
        <f ca="1">[1]!BexGetData("DP_1","00O2TNJGODT0G5Z4TTKYMMUX1","GSON1112110510")</f>
        <v>#NAME?</v>
      </c>
      <c r="V1675" s="24" t="e">
        <f ca="1">[1]!BexGetData("DP_1","00O2TNJGODT0G5Z4TTKYMN18L","GSON1112110510")</f>
        <v>#NAME?</v>
      </c>
      <c r="W1675" s="24" t="e">
        <f ca="1">[1]!BexGetData("DP_1","00O2TNJGODT0G5Z4TTKYMN7K5","GSON1112110510")</f>
        <v>#NAME?</v>
      </c>
    </row>
    <row r="1676" spans="1:23" x14ac:dyDescent="0.2">
      <c r="A1676" s="36" t="s">
        <v>4425</v>
      </c>
      <c r="B1676" s="27" t="s">
        <v>4426</v>
      </c>
      <c r="C1676" s="23" t="e">
        <f ca="1">[1]!BexGetData("DP_1","003N8EMH8GTFRCSWKMPXRR8GU","GSON1112110511")</f>
        <v>#NAME?</v>
      </c>
      <c r="D1676" s="23" t="e">
        <f ca="1">[1]!BexGetData("DP_1","003N8EMH8GTFRCSWKMPXRRESE","GSON1112110511")</f>
        <v>#NAME?</v>
      </c>
      <c r="E1676" s="28" t="e">
        <f ca="1">[1]!BexGetData("DP_1","003N8EMH8GTFRCSWKMPXRRL3Y","GSON1112110511")</f>
        <v>#NAME?</v>
      </c>
      <c r="F1676" s="24" t="e">
        <f ca="1">[1]!BexGetData("DP_1","003N8EMH8GTFRCSWKMPXRRRFI","GSON1112110511")</f>
        <v>#NAME?</v>
      </c>
      <c r="G1676" s="24" t="e">
        <f ca="1">[1]!BexGetData("DP_1","003N8EMH8GTFRCSWKMPXRRXR2","GSON1112110511")</f>
        <v>#NAME?</v>
      </c>
      <c r="H1676" s="24" t="e">
        <f ca="1">[1]!BexGetData("DP_1","003N8EMH8GTFRCSWKMPXRS42M","GSON1112110511")</f>
        <v>#NAME?</v>
      </c>
      <c r="I1676" s="24" t="e">
        <f ca="1">[1]!BexGetData("DP_1","003N8EMH8GTFRCSWKMPXRSAE6","GSON1112110511")</f>
        <v>#NAME?</v>
      </c>
      <c r="J1676" s="24" t="e">
        <f ca="1">[1]!BexGetData("DP_1","003N8EMH8GTFRCSWKMPXRSGPQ","GSON1112110511")</f>
        <v>#NAME?</v>
      </c>
      <c r="K1676" s="28" t="e">
        <f ca="1">[1]!BexGetData("DP_1","003N8EMH8GTFRIVNUPY288VJH","GSON1112110511")</f>
        <v>#NAME?</v>
      </c>
      <c r="L1676" s="28" t="e">
        <f ca="1">[1]!BexGetData("DP_1","003N8EMH8GTFRIVNUPY2891V1","GSON1112110511")</f>
        <v>#NAME?</v>
      </c>
      <c r="M1676" s="28" t="e">
        <f ca="1">[1]!BexGetData("DP_1","003N8EMH8GTFRIVOG7KG9IQXA","GSON1112110511")</f>
        <v>#NAME?</v>
      </c>
      <c r="N1676" s="28" t="e">
        <f ca="1">[1]!BexGetData("DP_1","003N8EMH8GTFRIVOG7KG9IX8U","GSON1112110511")</f>
        <v>#NAME?</v>
      </c>
      <c r="O1676" s="28" t="e">
        <f ca="1">[1]!BexGetData("DP_1","003N8EMH8GTFRIVOG7KG9J3KE","GSON1112110511")</f>
        <v>#NAME?</v>
      </c>
      <c r="P1676" s="28" t="e">
        <f ca="1">[1]!BexGetData("DP_1","003N8EMH8GTFRIVOG7KG9J9VY","GSON1112110511")</f>
        <v>#NAME?</v>
      </c>
      <c r="Q1676" s="24" t="e">
        <f ca="1">[1]!BexGetData("DP_1","00O2TNJGODT0G5Z4TTKYMM5MT","GSON1112110511")</f>
        <v>#NAME?</v>
      </c>
      <c r="R1676" s="24" t="e">
        <f ca="1">[1]!BexGetData("DP_1","00O2TNJGODT0G5Z4TTKYMMBYD","GSON1112110511")</f>
        <v>#NAME?</v>
      </c>
      <c r="S1676" s="24" t="e">
        <f ca="1">[1]!BexGetData("DP_1","00O2TNJGODT0G5Z4TTKYMMI9X","GSON1112110511")</f>
        <v>#NAME?</v>
      </c>
      <c r="T1676" s="24" t="e">
        <f ca="1">[1]!BexGetData("DP_1","00O2TNJGODT0G5Z4TTKYMMOLH","GSON1112110511")</f>
        <v>#NAME?</v>
      </c>
      <c r="U1676" s="24" t="e">
        <f ca="1">[1]!BexGetData("DP_1","00O2TNJGODT0G5Z4TTKYMMUX1","GSON1112110511")</f>
        <v>#NAME?</v>
      </c>
      <c r="V1676" s="24" t="e">
        <f ca="1">[1]!BexGetData("DP_1","00O2TNJGODT0G5Z4TTKYMN18L","GSON1112110511")</f>
        <v>#NAME?</v>
      </c>
      <c r="W1676" s="24" t="e">
        <f ca="1">[1]!BexGetData("DP_1","00O2TNJGODT0G5Z4TTKYMN7K5","GSON1112110511")</f>
        <v>#NAME?</v>
      </c>
    </row>
    <row r="1677" spans="1:23" x14ac:dyDescent="0.2">
      <c r="A1677" s="36" t="s">
        <v>4427</v>
      </c>
      <c r="B1677" s="27" t="s">
        <v>4428</v>
      </c>
      <c r="C1677" s="23" t="e">
        <f ca="1">[1]!BexGetData("DP_1","003N8EMH8GTFRCSWKMPXRR8GU","GSON1112110514")</f>
        <v>#NAME?</v>
      </c>
      <c r="D1677" s="23" t="e">
        <f ca="1">[1]!BexGetData("DP_1","003N8EMH8GTFRCSWKMPXRRESE","GSON1112110514")</f>
        <v>#NAME?</v>
      </c>
      <c r="E1677" s="28" t="e">
        <f ca="1">[1]!BexGetData("DP_1","003N8EMH8GTFRCSWKMPXRRL3Y","GSON1112110514")</f>
        <v>#NAME?</v>
      </c>
      <c r="F1677" s="24" t="e">
        <f ca="1">[1]!BexGetData("DP_1","003N8EMH8GTFRCSWKMPXRRRFI","GSON1112110514")</f>
        <v>#NAME?</v>
      </c>
      <c r="G1677" s="24" t="e">
        <f ca="1">[1]!BexGetData("DP_1","003N8EMH8GTFRCSWKMPXRRXR2","GSON1112110514")</f>
        <v>#NAME?</v>
      </c>
      <c r="H1677" s="24" t="e">
        <f ca="1">[1]!BexGetData("DP_1","003N8EMH8GTFRCSWKMPXRS42M","GSON1112110514")</f>
        <v>#NAME?</v>
      </c>
      <c r="I1677" s="24" t="e">
        <f ca="1">[1]!BexGetData("DP_1","003N8EMH8GTFRCSWKMPXRSAE6","GSON1112110514")</f>
        <v>#NAME?</v>
      </c>
      <c r="J1677" s="24" t="e">
        <f ca="1">[1]!BexGetData("DP_1","003N8EMH8GTFRCSWKMPXRSGPQ","GSON1112110514")</f>
        <v>#NAME?</v>
      </c>
      <c r="K1677" s="28" t="e">
        <f ca="1">[1]!BexGetData("DP_1","003N8EMH8GTFRIVNUPY288VJH","GSON1112110514")</f>
        <v>#NAME?</v>
      </c>
      <c r="L1677" s="28" t="e">
        <f ca="1">[1]!BexGetData("DP_1","003N8EMH8GTFRIVNUPY2891V1","GSON1112110514")</f>
        <v>#NAME?</v>
      </c>
      <c r="M1677" s="28" t="e">
        <f ca="1">[1]!BexGetData("DP_1","003N8EMH8GTFRIVOG7KG9IQXA","GSON1112110514")</f>
        <v>#NAME?</v>
      </c>
      <c r="N1677" s="28" t="e">
        <f ca="1">[1]!BexGetData("DP_1","003N8EMH8GTFRIVOG7KG9IX8U","GSON1112110514")</f>
        <v>#NAME?</v>
      </c>
      <c r="O1677" s="28" t="e">
        <f ca="1">[1]!BexGetData("DP_1","003N8EMH8GTFRIVOG7KG9J3KE","GSON1112110514")</f>
        <v>#NAME?</v>
      </c>
      <c r="P1677" s="28" t="e">
        <f ca="1">[1]!BexGetData("DP_1","003N8EMH8GTFRIVOG7KG9J9VY","GSON1112110514")</f>
        <v>#NAME?</v>
      </c>
      <c r="Q1677" s="24" t="e">
        <f ca="1">[1]!BexGetData("DP_1","00O2TNJGODT0G5Z4TTKYMM5MT","GSON1112110514")</f>
        <v>#NAME?</v>
      </c>
      <c r="R1677" s="24" t="e">
        <f ca="1">[1]!BexGetData("DP_1","00O2TNJGODT0G5Z4TTKYMMBYD","GSON1112110514")</f>
        <v>#NAME?</v>
      </c>
      <c r="S1677" s="24" t="e">
        <f ca="1">[1]!BexGetData("DP_1","00O2TNJGODT0G5Z4TTKYMMI9X","GSON1112110514")</f>
        <v>#NAME?</v>
      </c>
      <c r="T1677" s="24" t="e">
        <f ca="1">[1]!BexGetData("DP_1","00O2TNJGODT0G5Z4TTKYMMOLH","GSON1112110514")</f>
        <v>#NAME?</v>
      </c>
      <c r="U1677" s="24" t="e">
        <f ca="1">[1]!BexGetData("DP_1","00O2TNJGODT0G5Z4TTKYMMUX1","GSON1112110514")</f>
        <v>#NAME?</v>
      </c>
      <c r="V1677" s="24" t="e">
        <f ca="1">[1]!BexGetData("DP_1","00O2TNJGODT0G5Z4TTKYMN18L","GSON1112110514")</f>
        <v>#NAME?</v>
      </c>
      <c r="W1677" s="24" t="e">
        <f ca="1">[1]!BexGetData("DP_1","00O2TNJGODT0G5Z4TTKYMN7K5","GSON1112110514")</f>
        <v>#NAME?</v>
      </c>
    </row>
    <row r="1678" spans="1:23" x14ac:dyDescent="0.2">
      <c r="A1678" s="36" t="s">
        <v>4429</v>
      </c>
      <c r="B1678" s="27" t="s">
        <v>4430</v>
      </c>
      <c r="C1678" s="23" t="e">
        <f ca="1">[1]!BexGetData("DP_1","003N8EMH8GTFRCSWKMPXRR8GU","GSON1112110515")</f>
        <v>#NAME?</v>
      </c>
      <c r="D1678" s="23" t="e">
        <f ca="1">[1]!BexGetData("DP_1","003N8EMH8GTFRCSWKMPXRRESE","GSON1112110515")</f>
        <v>#NAME?</v>
      </c>
      <c r="E1678" s="28" t="e">
        <f ca="1">[1]!BexGetData("DP_1","003N8EMH8GTFRCSWKMPXRRL3Y","GSON1112110515")</f>
        <v>#NAME?</v>
      </c>
      <c r="F1678" s="24" t="e">
        <f ca="1">[1]!BexGetData("DP_1","003N8EMH8GTFRCSWKMPXRRRFI","GSON1112110515")</f>
        <v>#NAME?</v>
      </c>
      <c r="G1678" s="24" t="e">
        <f ca="1">[1]!BexGetData("DP_1","003N8EMH8GTFRCSWKMPXRRXR2","GSON1112110515")</f>
        <v>#NAME?</v>
      </c>
      <c r="H1678" s="24" t="e">
        <f ca="1">[1]!BexGetData("DP_1","003N8EMH8GTFRCSWKMPXRS42M","GSON1112110515")</f>
        <v>#NAME?</v>
      </c>
      <c r="I1678" s="24" t="e">
        <f ca="1">[1]!BexGetData("DP_1","003N8EMH8GTFRCSWKMPXRSAE6","GSON1112110515")</f>
        <v>#NAME?</v>
      </c>
      <c r="J1678" s="24" t="e">
        <f ca="1">[1]!BexGetData("DP_1","003N8EMH8GTFRCSWKMPXRSGPQ","GSON1112110515")</f>
        <v>#NAME?</v>
      </c>
      <c r="K1678" s="28" t="e">
        <f ca="1">[1]!BexGetData("DP_1","003N8EMH8GTFRIVNUPY288VJH","GSON1112110515")</f>
        <v>#NAME?</v>
      </c>
      <c r="L1678" s="28" t="e">
        <f ca="1">[1]!BexGetData("DP_1","003N8EMH8GTFRIVNUPY2891V1","GSON1112110515")</f>
        <v>#NAME?</v>
      </c>
      <c r="M1678" s="28" t="e">
        <f ca="1">[1]!BexGetData("DP_1","003N8EMH8GTFRIVOG7KG9IQXA","GSON1112110515")</f>
        <v>#NAME?</v>
      </c>
      <c r="N1678" s="28" t="e">
        <f ca="1">[1]!BexGetData("DP_1","003N8EMH8GTFRIVOG7KG9IX8U","GSON1112110515")</f>
        <v>#NAME?</v>
      </c>
      <c r="O1678" s="28" t="e">
        <f ca="1">[1]!BexGetData("DP_1","003N8EMH8GTFRIVOG7KG9J3KE","GSON1112110515")</f>
        <v>#NAME?</v>
      </c>
      <c r="P1678" s="28" t="e">
        <f ca="1">[1]!BexGetData("DP_1","003N8EMH8GTFRIVOG7KG9J9VY","GSON1112110515")</f>
        <v>#NAME?</v>
      </c>
      <c r="Q1678" s="24" t="e">
        <f ca="1">[1]!BexGetData("DP_1","00O2TNJGODT0G5Z4TTKYMM5MT","GSON1112110515")</f>
        <v>#NAME?</v>
      </c>
      <c r="R1678" s="24" t="e">
        <f ca="1">[1]!BexGetData("DP_1","00O2TNJGODT0G5Z4TTKYMMBYD","GSON1112110515")</f>
        <v>#NAME?</v>
      </c>
      <c r="S1678" s="24" t="e">
        <f ca="1">[1]!BexGetData("DP_1","00O2TNJGODT0G5Z4TTKYMMI9X","GSON1112110515")</f>
        <v>#NAME?</v>
      </c>
      <c r="T1678" s="24" t="e">
        <f ca="1">[1]!BexGetData("DP_1","00O2TNJGODT0G5Z4TTKYMMOLH","GSON1112110515")</f>
        <v>#NAME?</v>
      </c>
      <c r="U1678" s="24" t="e">
        <f ca="1">[1]!BexGetData("DP_1","00O2TNJGODT0G5Z4TTKYMMUX1","GSON1112110515")</f>
        <v>#NAME?</v>
      </c>
      <c r="V1678" s="24" t="e">
        <f ca="1">[1]!BexGetData("DP_1","00O2TNJGODT0G5Z4TTKYMN18L","GSON1112110515")</f>
        <v>#NAME?</v>
      </c>
      <c r="W1678" s="24" t="e">
        <f ca="1">[1]!BexGetData("DP_1","00O2TNJGODT0G5Z4TTKYMN7K5","GSON1112110515")</f>
        <v>#NAME?</v>
      </c>
    </row>
    <row r="1679" spans="1:23" x14ac:dyDescent="0.2">
      <c r="A1679" s="36" t="s">
        <v>4431</v>
      </c>
      <c r="B1679" s="27" t="s">
        <v>4432</v>
      </c>
      <c r="C1679" s="23" t="e">
        <f ca="1">[1]!BexGetData("DP_1","003N8EMH8GTFRCSWKMPXRR8GU","GSON1112110520")</f>
        <v>#NAME?</v>
      </c>
      <c r="D1679" s="23" t="e">
        <f ca="1">[1]!BexGetData("DP_1","003N8EMH8GTFRCSWKMPXRRESE","GSON1112110520")</f>
        <v>#NAME?</v>
      </c>
      <c r="E1679" s="23" t="e">
        <f ca="1">[1]!BexGetData("DP_1","003N8EMH8GTFRCSWKMPXRRL3Y","GSON1112110520")</f>
        <v>#NAME?</v>
      </c>
      <c r="F1679" s="24" t="e">
        <f ca="1">[1]!BexGetData("DP_1","003N8EMH8GTFRCSWKMPXRRRFI","GSON1112110520")</f>
        <v>#NAME?</v>
      </c>
      <c r="G1679" s="24" t="e">
        <f ca="1">[1]!BexGetData("DP_1","003N8EMH8GTFRCSWKMPXRRXR2","GSON1112110520")</f>
        <v>#NAME?</v>
      </c>
      <c r="H1679" s="24" t="e">
        <f ca="1">[1]!BexGetData("DP_1","003N8EMH8GTFRCSWKMPXRS42M","GSON1112110520")</f>
        <v>#NAME?</v>
      </c>
      <c r="I1679" s="24" t="e">
        <f ca="1">[1]!BexGetData("DP_1","003N8EMH8GTFRCSWKMPXRSAE6","GSON1112110520")</f>
        <v>#NAME?</v>
      </c>
      <c r="J1679" s="24" t="e">
        <f ca="1">[1]!BexGetData("DP_1","003N8EMH8GTFRCSWKMPXRSGPQ","GSON1112110520")</f>
        <v>#NAME?</v>
      </c>
      <c r="K1679" s="23" t="e">
        <f ca="1">[1]!BexGetData("DP_1","003N8EMH8GTFRIVNUPY288VJH","GSON1112110520")</f>
        <v>#NAME?</v>
      </c>
      <c r="L1679" s="23" t="e">
        <f ca="1">[1]!BexGetData("DP_1","003N8EMH8GTFRIVNUPY2891V1","GSON1112110520")</f>
        <v>#NAME?</v>
      </c>
      <c r="M1679" s="28" t="e">
        <f ca="1">[1]!BexGetData("DP_1","003N8EMH8GTFRIVOG7KG9IQXA","GSON1112110520")</f>
        <v>#NAME?</v>
      </c>
      <c r="N1679" s="23" t="e">
        <f ca="1">[1]!BexGetData("DP_1","003N8EMH8GTFRIVOG7KG9IX8U","GSON1112110520")</f>
        <v>#NAME?</v>
      </c>
      <c r="O1679" s="28" t="e">
        <f ca="1">[1]!BexGetData("DP_1","003N8EMH8GTFRIVOG7KG9J3KE","GSON1112110520")</f>
        <v>#NAME?</v>
      </c>
      <c r="P1679" s="23" t="e">
        <f ca="1">[1]!BexGetData("DP_1","003N8EMH8GTFRIVOG7KG9J9VY","GSON1112110520")</f>
        <v>#NAME?</v>
      </c>
      <c r="Q1679" s="24" t="e">
        <f ca="1">[1]!BexGetData("DP_1","00O2TNJGODT0G5Z4TTKYMM5MT","GSON1112110520")</f>
        <v>#NAME?</v>
      </c>
      <c r="R1679" s="24" t="e">
        <f ca="1">[1]!BexGetData("DP_1","00O2TNJGODT0G5Z4TTKYMMBYD","GSON1112110520")</f>
        <v>#NAME?</v>
      </c>
      <c r="S1679" s="24" t="e">
        <f ca="1">[1]!BexGetData("DP_1","00O2TNJGODT0G5Z4TTKYMMI9X","GSON1112110520")</f>
        <v>#NAME?</v>
      </c>
      <c r="T1679" s="24" t="e">
        <f ca="1">[1]!BexGetData("DP_1","00O2TNJGODT0G5Z4TTKYMMOLH","GSON1112110520")</f>
        <v>#NAME?</v>
      </c>
      <c r="U1679" s="24" t="e">
        <f ca="1">[1]!BexGetData("DP_1","00O2TNJGODT0G5Z4TTKYMMUX1","GSON1112110520")</f>
        <v>#NAME?</v>
      </c>
      <c r="V1679" s="24" t="e">
        <f ca="1">[1]!BexGetData("DP_1","00O2TNJGODT0G5Z4TTKYMN18L","GSON1112110520")</f>
        <v>#NAME?</v>
      </c>
      <c r="W1679" s="24" t="e">
        <f ca="1">[1]!BexGetData("DP_1","00O2TNJGODT0G5Z4TTKYMN7K5","GSON1112110520")</f>
        <v>#NAME?</v>
      </c>
    </row>
    <row r="1680" spans="1:23" x14ac:dyDescent="0.2">
      <c r="A1680" s="36" t="s">
        <v>4433</v>
      </c>
      <c r="B1680" s="27" t="s">
        <v>4434</v>
      </c>
      <c r="C1680" s="23" t="e">
        <f ca="1">[1]!BexGetData("DP_1","003N8EMH8GTFRCSWKMPXRR8GU","GSON1112110521")</f>
        <v>#NAME?</v>
      </c>
      <c r="D1680" s="23" t="e">
        <f ca="1">[1]!BexGetData("DP_1","003N8EMH8GTFRCSWKMPXRRESE","GSON1112110521")</f>
        <v>#NAME?</v>
      </c>
      <c r="E1680" s="28" t="e">
        <f ca="1">[1]!BexGetData("DP_1","003N8EMH8GTFRCSWKMPXRRL3Y","GSON1112110521")</f>
        <v>#NAME?</v>
      </c>
      <c r="F1680" s="24" t="e">
        <f ca="1">[1]!BexGetData("DP_1","003N8EMH8GTFRCSWKMPXRRRFI","GSON1112110521")</f>
        <v>#NAME?</v>
      </c>
      <c r="G1680" s="24" t="e">
        <f ca="1">[1]!BexGetData("DP_1","003N8EMH8GTFRCSWKMPXRRXR2","GSON1112110521")</f>
        <v>#NAME?</v>
      </c>
      <c r="H1680" s="24" t="e">
        <f ca="1">[1]!BexGetData("DP_1","003N8EMH8GTFRCSWKMPXRS42M","GSON1112110521")</f>
        <v>#NAME?</v>
      </c>
      <c r="I1680" s="24" t="e">
        <f ca="1">[1]!BexGetData("DP_1","003N8EMH8GTFRCSWKMPXRSAE6","GSON1112110521")</f>
        <v>#NAME?</v>
      </c>
      <c r="J1680" s="24" t="e">
        <f ca="1">[1]!BexGetData("DP_1","003N8EMH8GTFRCSWKMPXRSGPQ","GSON1112110521")</f>
        <v>#NAME?</v>
      </c>
      <c r="K1680" s="28" t="e">
        <f ca="1">[1]!BexGetData("DP_1","003N8EMH8GTFRIVNUPY288VJH","GSON1112110521")</f>
        <v>#NAME?</v>
      </c>
      <c r="L1680" s="28" t="e">
        <f ca="1">[1]!BexGetData("DP_1","003N8EMH8GTFRIVNUPY2891V1","GSON1112110521")</f>
        <v>#NAME?</v>
      </c>
      <c r="M1680" s="28" t="e">
        <f ca="1">[1]!BexGetData("DP_1","003N8EMH8GTFRIVOG7KG9IQXA","GSON1112110521")</f>
        <v>#NAME?</v>
      </c>
      <c r="N1680" s="28" t="e">
        <f ca="1">[1]!BexGetData("DP_1","003N8EMH8GTFRIVOG7KG9IX8U","GSON1112110521")</f>
        <v>#NAME?</v>
      </c>
      <c r="O1680" s="28" t="e">
        <f ca="1">[1]!BexGetData("DP_1","003N8EMH8GTFRIVOG7KG9J3KE","GSON1112110521")</f>
        <v>#NAME?</v>
      </c>
      <c r="P1680" s="28" t="e">
        <f ca="1">[1]!BexGetData("DP_1","003N8EMH8GTFRIVOG7KG9J9VY","GSON1112110521")</f>
        <v>#NAME?</v>
      </c>
      <c r="Q1680" s="24" t="e">
        <f ca="1">[1]!BexGetData("DP_1","00O2TNJGODT0G5Z4TTKYMM5MT","GSON1112110521")</f>
        <v>#NAME?</v>
      </c>
      <c r="R1680" s="24" t="e">
        <f ca="1">[1]!BexGetData("DP_1","00O2TNJGODT0G5Z4TTKYMMBYD","GSON1112110521")</f>
        <v>#NAME?</v>
      </c>
      <c r="S1680" s="24" t="e">
        <f ca="1">[1]!BexGetData("DP_1","00O2TNJGODT0G5Z4TTKYMMI9X","GSON1112110521")</f>
        <v>#NAME?</v>
      </c>
      <c r="T1680" s="24" t="e">
        <f ca="1">[1]!BexGetData("DP_1","00O2TNJGODT0G5Z4TTKYMMOLH","GSON1112110521")</f>
        <v>#NAME?</v>
      </c>
      <c r="U1680" s="24" t="e">
        <f ca="1">[1]!BexGetData("DP_1","00O2TNJGODT0G5Z4TTKYMMUX1","GSON1112110521")</f>
        <v>#NAME?</v>
      </c>
      <c r="V1680" s="24" t="e">
        <f ca="1">[1]!BexGetData("DP_1","00O2TNJGODT0G5Z4TTKYMN18L","GSON1112110521")</f>
        <v>#NAME?</v>
      </c>
      <c r="W1680" s="24" t="e">
        <f ca="1">[1]!BexGetData("DP_1","00O2TNJGODT0G5Z4TTKYMN7K5","GSON1112110521")</f>
        <v>#NAME?</v>
      </c>
    </row>
    <row r="1681" spans="1:23" x14ac:dyDescent="0.2">
      <c r="A1681" s="36" t="s">
        <v>4435</v>
      </c>
      <c r="B1681" s="27" t="s">
        <v>4436</v>
      </c>
      <c r="C1681" s="23" t="e">
        <f ca="1">[1]!BexGetData("DP_1","003N8EMH8GTFRCSWKMPXRR8GU","GSON1112110523")</f>
        <v>#NAME?</v>
      </c>
      <c r="D1681" s="23" t="e">
        <f ca="1">[1]!BexGetData("DP_1","003N8EMH8GTFRCSWKMPXRRESE","GSON1112110523")</f>
        <v>#NAME?</v>
      </c>
      <c r="E1681" s="28" t="e">
        <f ca="1">[1]!BexGetData("DP_1","003N8EMH8GTFRCSWKMPXRRL3Y","GSON1112110523")</f>
        <v>#NAME?</v>
      </c>
      <c r="F1681" s="24" t="e">
        <f ca="1">[1]!BexGetData("DP_1","003N8EMH8GTFRCSWKMPXRRRFI","GSON1112110523")</f>
        <v>#NAME?</v>
      </c>
      <c r="G1681" s="24" t="e">
        <f ca="1">[1]!BexGetData("DP_1","003N8EMH8GTFRCSWKMPXRRXR2","GSON1112110523")</f>
        <v>#NAME?</v>
      </c>
      <c r="H1681" s="24" t="e">
        <f ca="1">[1]!BexGetData("DP_1","003N8EMH8GTFRCSWKMPXRS42M","GSON1112110523")</f>
        <v>#NAME?</v>
      </c>
      <c r="I1681" s="24" t="e">
        <f ca="1">[1]!BexGetData("DP_1","003N8EMH8GTFRCSWKMPXRSAE6","GSON1112110523")</f>
        <v>#NAME?</v>
      </c>
      <c r="J1681" s="24" t="e">
        <f ca="1">[1]!BexGetData("DP_1","003N8EMH8GTFRCSWKMPXRSGPQ","GSON1112110523")</f>
        <v>#NAME?</v>
      </c>
      <c r="K1681" s="28" t="e">
        <f ca="1">[1]!BexGetData("DP_1","003N8EMH8GTFRIVNUPY288VJH","GSON1112110523")</f>
        <v>#NAME?</v>
      </c>
      <c r="L1681" s="28" t="e">
        <f ca="1">[1]!BexGetData("DP_1","003N8EMH8GTFRIVNUPY2891V1","GSON1112110523")</f>
        <v>#NAME?</v>
      </c>
      <c r="M1681" s="28" t="e">
        <f ca="1">[1]!BexGetData("DP_1","003N8EMH8GTFRIVOG7KG9IQXA","GSON1112110523")</f>
        <v>#NAME?</v>
      </c>
      <c r="N1681" s="28" t="e">
        <f ca="1">[1]!BexGetData("DP_1","003N8EMH8GTFRIVOG7KG9IX8U","GSON1112110523")</f>
        <v>#NAME?</v>
      </c>
      <c r="O1681" s="28" t="e">
        <f ca="1">[1]!BexGetData("DP_1","003N8EMH8GTFRIVOG7KG9J3KE","GSON1112110523")</f>
        <v>#NAME?</v>
      </c>
      <c r="P1681" s="28" t="e">
        <f ca="1">[1]!BexGetData("DP_1","003N8EMH8GTFRIVOG7KG9J9VY","GSON1112110523")</f>
        <v>#NAME?</v>
      </c>
      <c r="Q1681" s="24" t="e">
        <f ca="1">[1]!BexGetData("DP_1","00O2TNJGODT0G5Z4TTKYMM5MT","GSON1112110523")</f>
        <v>#NAME?</v>
      </c>
      <c r="R1681" s="24" t="e">
        <f ca="1">[1]!BexGetData("DP_1","00O2TNJGODT0G5Z4TTKYMMBYD","GSON1112110523")</f>
        <v>#NAME?</v>
      </c>
      <c r="S1681" s="24" t="e">
        <f ca="1">[1]!BexGetData("DP_1","00O2TNJGODT0G5Z4TTKYMMI9X","GSON1112110523")</f>
        <v>#NAME?</v>
      </c>
      <c r="T1681" s="24" t="e">
        <f ca="1">[1]!BexGetData("DP_1","00O2TNJGODT0G5Z4TTKYMMOLH","GSON1112110523")</f>
        <v>#NAME?</v>
      </c>
      <c r="U1681" s="24" t="e">
        <f ca="1">[1]!BexGetData("DP_1","00O2TNJGODT0G5Z4TTKYMMUX1","GSON1112110523")</f>
        <v>#NAME?</v>
      </c>
      <c r="V1681" s="24" t="e">
        <f ca="1">[1]!BexGetData("DP_1","00O2TNJGODT0G5Z4TTKYMN18L","GSON1112110523")</f>
        <v>#NAME?</v>
      </c>
      <c r="W1681" s="24" t="e">
        <f ca="1">[1]!BexGetData("DP_1","00O2TNJGODT0G5Z4TTKYMN7K5","GSON1112110523")</f>
        <v>#NAME?</v>
      </c>
    </row>
    <row r="1682" spans="1:23" x14ac:dyDescent="0.2">
      <c r="A1682" s="36" t="s">
        <v>4437</v>
      </c>
      <c r="B1682" s="27" t="s">
        <v>4438</v>
      </c>
      <c r="C1682" s="23" t="e">
        <f ca="1">[1]!BexGetData("DP_1","003N8EMH8GTFRCSWKMPXRR8GU","GSON1112110524")</f>
        <v>#NAME?</v>
      </c>
      <c r="D1682" s="23" t="e">
        <f ca="1">[1]!BexGetData("DP_1","003N8EMH8GTFRCSWKMPXRRESE","GSON1112110524")</f>
        <v>#NAME?</v>
      </c>
      <c r="E1682" s="28" t="e">
        <f ca="1">[1]!BexGetData("DP_1","003N8EMH8GTFRCSWKMPXRRL3Y","GSON1112110524")</f>
        <v>#NAME?</v>
      </c>
      <c r="F1682" s="24" t="e">
        <f ca="1">[1]!BexGetData("DP_1","003N8EMH8GTFRCSWKMPXRRRFI","GSON1112110524")</f>
        <v>#NAME?</v>
      </c>
      <c r="G1682" s="24" t="e">
        <f ca="1">[1]!BexGetData("DP_1","003N8EMH8GTFRCSWKMPXRRXR2","GSON1112110524")</f>
        <v>#NAME?</v>
      </c>
      <c r="H1682" s="24" t="e">
        <f ca="1">[1]!BexGetData("DP_1","003N8EMH8GTFRCSWKMPXRS42M","GSON1112110524")</f>
        <v>#NAME?</v>
      </c>
      <c r="I1682" s="24" t="e">
        <f ca="1">[1]!BexGetData("DP_1","003N8EMH8GTFRCSWKMPXRSAE6","GSON1112110524")</f>
        <v>#NAME?</v>
      </c>
      <c r="J1682" s="24" t="e">
        <f ca="1">[1]!BexGetData("DP_1","003N8EMH8GTFRCSWKMPXRSGPQ","GSON1112110524")</f>
        <v>#NAME?</v>
      </c>
      <c r="K1682" s="28" t="e">
        <f ca="1">[1]!BexGetData("DP_1","003N8EMH8GTFRIVNUPY288VJH","GSON1112110524")</f>
        <v>#NAME?</v>
      </c>
      <c r="L1682" s="28" t="e">
        <f ca="1">[1]!BexGetData("DP_1","003N8EMH8GTFRIVNUPY2891V1","GSON1112110524")</f>
        <v>#NAME?</v>
      </c>
      <c r="M1682" s="28" t="e">
        <f ca="1">[1]!BexGetData("DP_1","003N8EMH8GTFRIVOG7KG9IQXA","GSON1112110524")</f>
        <v>#NAME?</v>
      </c>
      <c r="N1682" s="28" t="e">
        <f ca="1">[1]!BexGetData("DP_1","003N8EMH8GTFRIVOG7KG9IX8U","GSON1112110524")</f>
        <v>#NAME?</v>
      </c>
      <c r="O1682" s="28" t="e">
        <f ca="1">[1]!BexGetData("DP_1","003N8EMH8GTFRIVOG7KG9J3KE","GSON1112110524")</f>
        <v>#NAME?</v>
      </c>
      <c r="P1682" s="28" t="e">
        <f ca="1">[1]!BexGetData("DP_1","003N8EMH8GTFRIVOG7KG9J9VY","GSON1112110524")</f>
        <v>#NAME?</v>
      </c>
      <c r="Q1682" s="24" t="e">
        <f ca="1">[1]!BexGetData("DP_1","00O2TNJGODT0G5Z4TTKYMM5MT","GSON1112110524")</f>
        <v>#NAME?</v>
      </c>
      <c r="R1682" s="24" t="e">
        <f ca="1">[1]!BexGetData("DP_1","00O2TNJGODT0G5Z4TTKYMMBYD","GSON1112110524")</f>
        <v>#NAME?</v>
      </c>
      <c r="S1682" s="24" t="e">
        <f ca="1">[1]!BexGetData("DP_1","00O2TNJGODT0G5Z4TTKYMMI9X","GSON1112110524")</f>
        <v>#NAME?</v>
      </c>
      <c r="T1682" s="24" t="e">
        <f ca="1">[1]!BexGetData("DP_1","00O2TNJGODT0G5Z4TTKYMMOLH","GSON1112110524")</f>
        <v>#NAME?</v>
      </c>
      <c r="U1682" s="24" t="e">
        <f ca="1">[1]!BexGetData("DP_1","00O2TNJGODT0G5Z4TTKYMMUX1","GSON1112110524")</f>
        <v>#NAME?</v>
      </c>
      <c r="V1682" s="24" t="e">
        <f ca="1">[1]!BexGetData("DP_1","00O2TNJGODT0G5Z4TTKYMN18L","GSON1112110524")</f>
        <v>#NAME?</v>
      </c>
      <c r="W1682" s="24" t="e">
        <f ca="1">[1]!BexGetData("DP_1","00O2TNJGODT0G5Z4TTKYMN7K5","GSON1112110524")</f>
        <v>#NAME?</v>
      </c>
    </row>
    <row r="1683" spans="1:23" x14ac:dyDescent="0.2">
      <c r="A1683" s="36" t="s">
        <v>4439</v>
      </c>
      <c r="B1683" s="27" t="s">
        <v>4440</v>
      </c>
      <c r="C1683" s="23" t="e">
        <f ca="1">[1]!BexGetData("DP_1","003N8EMH8GTFRCSWKMPXRR8GU","GSON1112110525")</f>
        <v>#NAME?</v>
      </c>
      <c r="D1683" s="23" t="e">
        <f ca="1">[1]!BexGetData("DP_1","003N8EMH8GTFRCSWKMPXRRESE","GSON1112110525")</f>
        <v>#NAME?</v>
      </c>
      <c r="E1683" s="28" t="e">
        <f ca="1">[1]!BexGetData("DP_1","003N8EMH8GTFRCSWKMPXRRL3Y","GSON1112110525")</f>
        <v>#NAME?</v>
      </c>
      <c r="F1683" s="24" t="e">
        <f ca="1">[1]!BexGetData("DP_1","003N8EMH8GTFRCSWKMPXRRRFI","GSON1112110525")</f>
        <v>#NAME?</v>
      </c>
      <c r="G1683" s="24" t="e">
        <f ca="1">[1]!BexGetData("DP_1","003N8EMH8GTFRCSWKMPXRRXR2","GSON1112110525")</f>
        <v>#NAME?</v>
      </c>
      <c r="H1683" s="24" t="e">
        <f ca="1">[1]!BexGetData("DP_1","003N8EMH8GTFRCSWKMPXRS42M","GSON1112110525")</f>
        <v>#NAME?</v>
      </c>
      <c r="I1683" s="24" t="e">
        <f ca="1">[1]!BexGetData("DP_1","003N8EMH8GTFRCSWKMPXRSAE6","GSON1112110525")</f>
        <v>#NAME?</v>
      </c>
      <c r="J1683" s="24" t="e">
        <f ca="1">[1]!BexGetData("DP_1","003N8EMH8GTFRCSWKMPXRSGPQ","GSON1112110525")</f>
        <v>#NAME?</v>
      </c>
      <c r="K1683" s="28" t="e">
        <f ca="1">[1]!BexGetData("DP_1","003N8EMH8GTFRIVNUPY288VJH","GSON1112110525")</f>
        <v>#NAME?</v>
      </c>
      <c r="L1683" s="28" t="e">
        <f ca="1">[1]!BexGetData("DP_1","003N8EMH8GTFRIVNUPY2891V1","GSON1112110525")</f>
        <v>#NAME?</v>
      </c>
      <c r="M1683" s="28" t="e">
        <f ca="1">[1]!BexGetData("DP_1","003N8EMH8GTFRIVOG7KG9IQXA","GSON1112110525")</f>
        <v>#NAME?</v>
      </c>
      <c r="N1683" s="28" t="e">
        <f ca="1">[1]!BexGetData("DP_1","003N8EMH8GTFRIVOG7KG9IX8U","GSON1112110525")</f>
        <v>#NAME?</v>
      </c>
      <c r="O1683" s="28" t="e">
        <f ca="1">[1]!BexGetData("DP_1","003N8EMH8GTFRIVOG7KG9J3KE","GSON1112110525")</f>
        <v>#NAME?</v>
      </c>
      <c r="P1683" s="28" t="e">
        <f ca="1">[1]!BexGetData("DP_1","003N8EMH8GTFRIVOG7KG9J9VY","GSON1112110525")</f>
        <v>#NAME?</v>
      </c>
      <c r="Q1683" s="24" t="e">
        <f ca="1">[1]!BexGetData("DP_1","00O2TNJGODT0G5Z4TTKYMM5MT","GSON1112110525")</f>
        <v>#NAME?</v>
      </c>
      <c r="R1683" s="24" t="e">
        <f ca="1">[1]!BexGetData("DP_1","00O2TNJGODT0G5Z4TTKYMMBYD","GSON1112110525")</f>
        <v>#NAME?</v>
      </c>
      <c r="S1683" s="24" t="e">
        <f ca="1">[1]!BexGetData("DP_1","00O2TNJGODT0G5Z4TTKYMMI9X","GSON1112110525")</f>
        <v>#NAME?</v>
      </c>
      <c r="T1683" s="24" t="e">
        <f ca="1">[1]!BexGetData("DP_1","00O2TNJGODT0G5Z4TTKYMMOLH","GSON1112110525")</f>
        <v>#NAME?</v>
      </c>
      <c r="U1683" s="24" t="e">
        <f ca="1">[1]!BexGetData("DP_1","00O2TNJGODT0G5Z4TTKYMMUX1","GSON1112110525")</f>
        <v>#NAME?</v>
      </c>
      <c r="V1683" s="24" t="e">
        <f ca="1">[1]!BexGetData("DP_1","00O2TNJGODT0G5Z4TTKYMN18L","GSON1112110525")</f>
        <v>#NAME?</v>
      </c>
      <c r="W1683" s="24" t="e">
        <f ca="1">[1]!BexGetData("DP_1","00O2TNJGODT0G5Z4TTKYMN7K5","GSON1112110525")</f>
        <v>#NAME?</v>
      </c>
    </row>
    <row r="1684" spans="1:23" x14ac:dyDescent="0.2">
      <c r="A1684" s="36" t="s">
        <v>4441</v>
      </c>
      <c r="B1684" s="27" t="s">
        <v>4442</v>
      </c>
      <c r="C1684" s="23" t="e">
        <f ca="1">[1]!BexGetData("DP_1","003N8EMH8GTFRCSWKMPXRR8GU","GSON1112110530")</f>
        <v>#NAME?</v>
      </c>
      <c r="D1684" s="23" t="e">
        <f ca="1">[1]!BexGetData("DP_1","003N8EMH8GTFRCSWKMPXRRESE","GSON1112110530")</f>
        <v>#NAME?</v>
      </c>
      <c r="E1684" s="23" t="e">
        <f ca="1">[1]!BexGetData("DP_1","003N8EMH8GTFRCSWKMPXRRL3Y","GSON1112110530")</f>
        <v>#NAME?</v>
      </c>
      <c r="F1684" s="24" t="e">
        <f ca="1">[1]!BexGetData("DP_1","003N8EMH8GTFRCSWKMPXRRRFI","GSON1112110530")</f>
        <v>#NAME?</v>
      </c>
      <c r="G1684" s="24" t="e">
        <f ca="1">[1]!BexGetData("DP_1","003N8EMH8GTFRCSWKMPXRRXR2","GSON1112110530")</f>
        <v>#NAME?</v>
      </c>
      <c r="H1684" s="24" t="e">
        <f ca="1">[1]!BexGetData("DP_1","003N8EMH8GTFRCSWKMPXRS42M","GSON1112110530")</f>
        <v>#NAME?</v>
      </c>
      <c r="I1684" s="24" t="e">
        <f ca="1">[1]!BexGetData("DP_1","003N8EMH8GTFRCSWKMPXRSAE6","GSON1112110530")</f>
        <v>#NAME?</v>
      </c>
      <c r="J1684" s="24" t="e">
        <f ca="1">[1]!BexGetData("DP_1","003N8EMH8GTFRCSWKMPXRSGPQ","GSON1112110530")</f>
        <v>#NAME?</v>
      </c>
      <c r="K1684" s="23" t="e">
        <f ca="1">[1]!BexGetData("DP_1","003N8EMH8GTFRIVNUPY288VJH","GSON1112110530")</f>
        <v>#NAME?</v>
      </c>
      <c r="L1684" s="23" t="e">
        <f ca="1">[1]!BexGetData("DP_1","003N8EMH8GTFRIVNUPY2891V1","GSON1112110530")</f>
        <v>#NAME?</v>
      </c>
      <c r="M1684" s="28" t="e">
        <f ca="1">[1]!BexGetData("DP_1","003N8EMH8GTFRIVOG7KG9IQXA","GSON1112110530")</f>
        <v>#NAME?</v>
      </c>
      <c r="N1684" s="23" t="e">
        <f ca="1">[1]!BexGetData("DP_1","003N8EMH8GTFRIVOG7KG9IX8U","GSON1112110530")</f>
        <v>#NAME?</v>
      </c>
      <c r="O1684" s="28" t="e">
        <f ca="1">[1]!BexGetData("DP_1","003N8EMH8GTFRIVOG7KG9J3KE","GSON1112110530")</f>
        <v>#NAME?</v>
      </c>
      <c r="P1684" s="23" t="e">
        <f ca="1">[1]!BexGetData("DP_1","003N8EMH8GTFRIVOG7KG9J9VY","GSON1112110530")</f>
        <v>#NAME?</v>
      </c>
      <c r="Q1684" s="24" t="e">
        <f ca="1">[1]!BexGetData("DP_1","00O2TNJGODT0G5Z4TTKYMM5MT","GSON1112110530")</f>
        <v>#NAME?</v>
      </c>
      <c r="R1684" s="24" t="e">
        <f ca="1">[1]!BexGetData("DP_1","00O2TNJGODT0G5Z4TTKYMMBYD","GSON1112110530")</f>
        <v>#NAME?</v>
      </c>
      <c r="S1684" s="24" t="e">
        <f ca="1">[1]!BexGetData("DP_1","00O2TNJGODT0G5Z4TTKYMMI9X","GSON1112110530")</f>
        <v>#NAME?</v>
      </c>
      <c r="T1684" s="24" t="e">
        <f ca="1">[1]!BexGetData("DP_1","00O2TNJGODT0G5Z4TTKYMMOLH","GSON1112110530")</f>
        <v>#NAME?</v>
      </c>
      <c r="U1684" s="24" t="e">
        <f ca="1">[1]!BexGetData("DP_1","00O2TNJGODT0G5Z4TTKYMMUX1","GSON1112110530")</f>
        <v>#NAME?</v>
      </c>
      <c r="V1684" s="24" t="e">
        <f ca="1">[1]!BexGetData("DP_1","00O2TNJGODT0G5Z4TTKYMN18L","GSON1112110530")</f>
        <v>#NAME?</v>
      </c>
      <c r="W1684" s="24" t="e">
        <f ca="1">[1]!BexGetData("DP_1","00O2TNJGODT0G5Z4TTKYMN7K5","GSON1112110530")</f>
        <v>#NAME?</v>
      </c>
    </row>
    <row r="1685" spans="1:23" x14ac:dyDescent="0.2">
      <c r="A1685" s="36" t="s">
        <v>4443</v>
      </c>
      <c r="B1685" s="27" t="s">
        <v>4444</v>
      </c>
      <c r="C1685" s="28" t="e">
        <f ca="1">[1]!BexGetData("DP_1","003N8EMH8GTFRCSWKMPXRR8GU","GSON1112110531")</f>
        <v>#NAME?</v>
      </c>
      <c r="D1685" s="23" t="e">
        <f ca="1">[1]!BexGetData("DP_1","003N8EMH8GTFRCSWKMPXRRESE","GSON1112110531")</f>
        <v>#NAME?</v>
      </c>
      <c r="E1685" s="23" t="e">
        <f ca="1">[1]!BexGetData("DP_1","003N8EMH8GTFRCSWKMPXRRL3Y","GSON1112110531")</f>
        <v>#NAME?</v>
      </c>
      <c r="F1685" s="24" t="e">
        <f ca="1">[1]!BexGetData("DP_1","003N8EMH8GTFRCSWKMPXRRRFI","GSON1112110531")</f>
        <v>#NAME?</v>
      </c>
      <c r="G1685" s="24" t="e">
        <f ca="1">[1]!BexGetData("DP_1","003N8EMH8GTFRCSWKMPXRRXR2","GSON1112110531")</f>
        <v>#NAME?</v>
      </c>
      <c r="H1685" s="24" t="e">
        <f ca="1">[1]!BexGetData("DP_1","003N8EMH8GTFRCSWKMPXRS42M","GSON1112110531")</f>
        <v>#NAME?</v>
      </c>
      <c r="I1685" s="24" t="e">
        <f ca="1">[1]!BexGetData("DP_1","003N8EMH8GTFRCSWKMPXRSAE6","GSON1112110531")</f>
        <v>#NAME?</v>
      </c>
      <c r="J1685" s="24" t="e">
        <f ca="1">[1]!BexGetData("DP_1","003N8EMH8GTFRCSWKMPXRSGPQ","GSON1112110531")</f>
        <v>#NAME?</v>
      </c>
      <c r="K1685" s="23" t="e">
        <f ca="1">[1]!BexGetData("DP_1","003N8EMH8GTFRIVNUPY288VJH","GSON1112110531")</f>
        <v>#NAME?</v>
      </c>
      <c r="L1685" s="23" t="e">
        <f ca="1">[1]!BexGetData("DP_1","003N8EMH8GTFRIVNUPY2891V1","GSON1112110531")</f>
        <v>#NAME?</v>
      </c>
      <c r="M1685" s="23" t="e">
        <f ca="1">[1]!BexGetData("DP_1","003N8EMH8GTFRIVOG7KG9IQXA","GSON1112110531")</f>
        <v>#NAME?</v>
      </c>
      <c r="N1685" s="28" t="e">
        <f ca="1">[1]!BexGetData("DP_1","003N8EMH8GTFRIVOG7KG9IX8U","GSON1112110531")</f>
        <v>#NAME?</v>
      </c>
      <c r="O1685" s="23" t="e">
        <f ca="1">[1]!BexGetData("DP_1","003N8EMH8GTFRIVOG7KG9J3KE","GSON1112110531")</f>
        <v>#NAME?</v>
      </c>
      <c r="P1685" s="28" t="e">
        <f ca="1">[1]!BexGetData("DP_1","003N8EMH8GTFRIVOG7KG9J9VY","GSON1112110531")</f>
        <v>#NAME?</v>
      </c>
      <c r="Q1685" s="24" t="e">
        <f ca="1">[1]!BexGetData("DP_1","00O2TNJGODT0G5Z4TTKYMM5MT","GSON1112110531")</f>
        <v>#NAME?</v>
      </c>
      <c r="R1685" s="24" t="e">
        <f ca="1">[1]!BexGetData("DP_1","00O2TNJGODT0G5Z4TTKYMMBYD","GSON1112110531")</f>
        <v>#NAME?</v>
      </c>
      <c r="S1685" s="24" t="e">
        <f ca="1">[1]!BexGetData("DP_1","00O2TNJGODT0G5Z4TTKYMMI9X","GSON1112110531")</f>
        <v>#NAME?</v>
      </c>
      <c r="T1685" s="24" t="e">
        <f ca="1">[1]!BexGetData("DP_1","00O2TNJGODT0G5Z4TTKYMMOLH","GSON1112110531")</f>
        <v>#NAME?</v>
      </c>
      <c r="U1685" s="24" t="e">
        <f ca="1">[1]!BexGetData("DP_1","00O2TNJGODT0G5Z4TTKYMMUX1","GSON1112110531")</f>
        <v>#NAME?</v>
      </c>
      <c r="V1685" s="24" t="e">
        <f ca="1">[1]!BexGetData("DP_1","00O2TNJGODT0G5Z4TTKYMN18L","GSON1112110531")</f>
        <v>#NAME?</v>
      </c>
      <c r="W1685" s="24" t="e">
        <f ca="1">[1]!BexGetData("DP_1","00O2TNJGODT0G5Z4TTKYMN7K5","GSON1112110531")</f>
        <v>#NAME?</v>
      </c>
    </row>
    <row r="1686" spans="1:23" x14ac:dyDescent="0.2">
      <c r="A1686" s="36" t="s">
        <v>4445</v>
      </c>
      <c r="B1686" s="27" t="s">
        <v>4446</v>
      </c>
      <c r="C1686" s="23" t="e">
        <f ca="1">[1]!BexGetData("DP_1","003N8EMH8GTFRCSWKMPXRR8GU","GSON1112110534")</f>
        <v>#NAME?</v>
      </c>
      <c r="D1686" s="28" t="e">
        <f ca="1">[1]!BexGetData("DP_1","003N8EMH8GTFRCSWKMPXRRESE","GSON1112110534")</f>
        <v>#NAME?</v>
      </c>
      <c r="E1686" s="23" t="e">
        <f ca="1">[1]!BexGetData("DP_1","003N8EMH8GTFRCSWKMPXRRL3Y","GSON1112110534")</f>
        <v>#NAME?</v>
      </c>
      <c r="F1686" s="24" t="e">
        <f ca="1">[1]!BexGetData("DP_1","003N8EMH8GTFRCSWKMPXRRRFI","GSON1112110534")</f>
        <v>#NAME?</v>
      </c>
      <c r="G1686" s="24" t="e">
        <f ca="1">[1]!BexGetData("DP_1","003N8EMH8GTFRCSWKMPXRRXR2","GSON1112110534")</f>
        <v>#NAME?</v>
      </c>
      <c r="H1686" s="24" t="e">
        <f ca="1">[1]!BexGetData("DP_1","003N8EMH8GTFRCSWKMPXRS42M","GSON1112110534")</f>
        <v>#NAME?</v>
      </c>
      <c r="I1686" s="24" t="e">
        <f ca="1">[1]!BexGetData("DP_1","003N8EMH8GTFRCSWKMPXRSAE6","GSON1112110534")</f>
        <v>#NAME?</v>
      </c>
      <c r="J1686" s="24" t="e">
        <f ca="1">[1]!BexGetData("DP_1","003N8EMH8GTFRCSWKMPXRSGPQ","GSON1112110534")</f>
        <v>#NAME?</v>
      </c>
      <c r="K1686" s="23" t="e">
        <f ca="1">[1]!BexGetData("DP_1","003N8EMH8GTFRIVNUPY288VJH","GSON1112110534")</f>
        <v>#NAME?</v>
      </c>
      <c r="L1686" s="23" t="e">
        <f ca="1">[1]!BexGetData("DP_1","003N8EMH8GTFRIVNUPY2891V1","GSON1112110534")</f>
        <v>#NAME?</v>
      </c>
      <c r="M1686" s="28" t="e">
        <f ca="1">[1]!BexGetData("DP_1","003N8EMH8GTFRIVOG7KG9IQXA","GSON1112110534")</f>
        <v>#NAME?</v>
      </c>
      <c r="N1686" s="23" t="e">
        <f ca="1">[1]!BexGetData("DP_1","003N8EMH8GTFRIVOG7KG9IX8U","GSON1112110534")</f>
        <v>#NAME?</v>
      </c>
      <c r="O1686" s="28" t="e">
        <f ca="1">[1]!BexGetData("DP_1","003N8EMH8GTFRIVOG7KG9J3KE","GSON1112110534")</f>
        <v>#NAME?</v>
      </c>
      <c r="P1686" s="23" t="e">
        <f ca="1">[1]!BexGetData("DP_1","003N8EMH8GTFRIVOG7KG9J9VY","GSON1112110534")</f>
        <v>#NAME?</v>
      </c>
      <c r="Q1686" s="24" t="e">
        <f ca="1">[1]!BexGetData("DP_1","00O2TNJGODT0G5Z4TTKYMM5MT","GSON1112110534")</f>
        <v>#NAME?</v>
      </c>
      <c r="R1686" s="24" t="e">
        <f ca="1">[1]!BexGetData("DP_1","00O2TNJGODT0G5Z4TTKYMMBYD","GSON1112110534")</f>
        <v>#NAME?</v>
      </c>
      <c r="S1686" s="24" t="e">
        <f ca="1">[1]!BexGetData("DP_1","00O2TNJGODT0G5Z4TTKYMMI9X","GSON1112110534")</f>
        <v>#NAME?</v>
      </c>
      <c r="T1686" s="24" t="e">
        <f ca="1">[1]!BexGetData("DP_1","00O2TNJGODT0G5Z4TTKYMMOLH","GSON1112110534")</f>
        <v>#NAME?</v>
      </c>
      <c r="U1686" s="24" t="e">
        <f ca="1">[1]!BexGetData("DP_1","00O2TNJGODT0G5Z4TTKYMMUX1","GSON1112110534")</f>
        <v>#NAME?</v>
      </c>
      <c r="V1686" s="24" t="e">
        <f ca="1">[1]!BexGetData("DP_1","00O2TNJGODT0G5Z4TTKYMN18L","GSON1112110534")</f>
        <v>#NAME?</v>
      </c>
      <c r="W1686" s="24" t="e">
        <f ca="1">[1]!BexGetData("DP_1","00O2TNJGODT0G5Z4TTKYMN7K5","GSON1112110534")</f>
        <v>#NAME?</v>
      </c>
    </row>
    <row r="1687" spans="1:23" x14ac:dyDescent="0.2">
      <c r="A1687" s="36" t="s">
        <v>4447</v>
      </c>
      <c r="B1687" s="27" t="s">
        <v>4448</v>
      </c>
      <c r="C1687" s="23" t="e">
        <f ca="1">[1]!BexGetData("DP_1","003N8EMH8GTFRCSWKMPXRR8GU","GSON1112120010")</f>
        <v>#NAME?</v>
      </c>
      <c r="D1687" s="23" t="e">
        <f ca="1">[1]!BexGetData("DP_1","003N8EMH8GTFRCSWKMPXRRESE","GSON1112120010")</f>
        <v>#NAME?</v>
      </c>
      <c r="E1687" s="23" t="e">
        <f ca="1">[1]!BexGetData("DP_1","003N8EMH8GTFRCSWKMPXRRL3Y","GSON1112120010")</f>
        <v>#NAME?</v>
      </c>
      <c r="F1687" s="23" t="e">
        <f ca="1">[1]!BexGetData("DP_1","003N8EMH8GTFRCSWKMPXRRRFI","GSON1112120010")</f>
        <v>#NAME?</v>
      </c>
      <c r="G1687" s="23" t="e">
        <f ca="1">[1]!BexGetData("DP_1","003N8EMH8GTFRCSWKMPXRRXR2","GSON1112120010")</f>
        <v>#NAME?</v>
      </c>
      <c r="H1687" s="23" t="e">
        <f ca="1">[1]!BexGetData("DP_1","003N8EMH8GTFRCSWKMPXRS42M","GSON1112120010")</f>
        <v>#NAME?</v>
      </c>
      <c r="I1687" s="23" t="e">
        <f ca="1">[1]!BexGetData("DP_1","003N8EMH8GTFRCSWKMPXRSAE6","GSON1112120010")</f>
        <v>#NAME?</v>
      </c>
      <c r="J1687" s="23" t="e">
        <f ca="1">[1]!BexGetData("DP_1","003N8EMH8GTFRCSWKMPXRSGPQ","GSON1112120010")</f>
        <v>#NAME?</v>
      </c>
      <c r="K1687" s="23" t="e">
        <f ca="1">[1]!BexGetData("DP_1","003N8EMH8GTFRIVNUPY288VJH","GSON1112120010")</f>
        <v>#NAME?</v>
      </c>
      <c r="L1687" s="23" t="e">
        <f ca="1">[1]!BexGetData("DP_1","003N8EMH8GTFRIVNUPY2891V1","GSON1112120010")</f>
        <v>#NAME?</v>
      </c>
      <c r="M1687" s="28" t="e">
        <f ca="1">[1]!BexGetData("DP_1","003N8EMH8GTFRIVOG7KG9IQXA","GSON1112120010")</f>
        <v>#NAME?</v>
      </c>
      <c r="N1687" s="23" t="e">
        <f ca="1">[1]!BexGetData("DP_1","003N8EMH8GTFRIVOG7KG9IX8U","GSON1112120010")</f>
        <v>#NAME?</v>
      </c>
      <c r="O1687" s="28" t="e">
        <f ca="1">[1]!BexGetData("DP_1","003N8EMH8GTFRIVOG7KG9J3KE","GSON1112120010")</f>
        <v>#NAME?</v>
      </c>
      <c r="P1687" s="23" t="e">
        <f ca="1">[1]!BexGetData("DP_1","003N8EMH8GTFRIVOG7KG9J9VY","GSON1112120010")</f>
        <v>#NAME?</v>
      </c>
      <c r="Q1687" s="23" t="e">
        <f ca="1">[1]!BexGetData("DP_1","00O2TNJGODT0G5Z4TTKYMM5MT","GSON1112120010")</f>
        <v>#NAME?</v>
      </c>
      <c r="R1687" s="23" t="e">
        <f ca="1">[1]!BexGetData("DP_1","00O2TNJGODT0G5Z4TTKYMMBYD","GSON1112120010")</f>
        <v>#NAME?</v>
      </c>
      <c r="S1687" s="23" t="e">
        <f ca="1">[1]!BexGetData("DP_1","00O2TNJGODT0G5Z4TTKYMMI9X","GSON1112120010")</f>
        <v>#NAME?</v>
      </c>
      <c r="T1687" s="28" t="e">
        <f ca="1">[1]!BexGetData("DP_1","00O2TNJGODT0G5Z4TTKYMMOLH","GSON1112120010")</f>
        <v>#NAME?</v>
      </c>
      <c r="U1687" s="23" t="e">
        <f ca="1">[1]!BexGetData("DP_1","00O2TNJGODT0G5Z4TTKYMMUX1","GSON1112120010")</f>
        <v>#NAME?</v>
      </c>
      <c r="V1687" s="28" t="e">
        <f ca="1">[1]!BexGetData("DP_1","00O2TNJGODT0G5Z4TTKYMN18L","GSON1112120010")</f>
        <v>#NAME?</v>
      </c>
      <c r="W1687" s="23" t="e">
        <f ca="1">[1]!BexGetData("DP_1","00O2TNJGODT0G5Z4TTKYMN7K5","GSON1112120010")</f>
        <v>#NAME?</v>
      </c>
    </row>
    <row r="1688" spans="1:23" x14ac:dyDescent="0.2">
      <c r="A1688" s="36" t="s">
        <v>4449</v>
      </c>
      <c r="B1688" s="27" t="s">
        <v>4450</v>
      </c>
      <c r="C1688" s="23" t="e">
        <f ca="1">[1]!BexGetData("DP_1","003N8EMH8GTFRCSWKMPXRR8GU","GSON1112120014")</f>
        <v>#NAME?</v>
      </c>
      <c r="D1688" s="23" t="e">
        <f ca="1">[1]!BexGetData("DP_1","003N8EMH8GTFRCSWKMPXRRESE","GSON1112120014")</f>
        <v>#NAME?</v>
      </c>
      <c r="E1688" s="28" t="e">
        <f ca="1">[1]!BexGetData("DP_1","003N8EMH8GTFRCSWKMPXRRL3Y","GSON1112120014")</f>
        <v>#NAME?</v>
      </c>
      <c r="F1688" s="28" t="e">
        <f ca="1">[1]!BexGetData("DP_1","003N8EMH8GTFRCSWKMPXRRRFI","GSON1112120014")</f>
        <v>#NAME?</v>
      </c>
      <c r="G1688" s="23" t="e">
        <f ca="1">[1]!BexGetData("DP_1","003N8EMH8GTFRCSWKMPXRRXR2","GSON1112120014")</f>
        <v>#NAME?</v>
      </c>
      <c r="H1688" s="23" t="e">
        <f ca="1">[1]!BexGetData("DP_1","003N8EMH8GTFRCSWKMPXRS42M","GSON1112120014")</f>
        <v>#NAME?</v>
      </c>
      <c r="I1688" s="28" t="e">
        <f ca="1">[1]!BexGetData("DP_1","003N8EMH8GTFRCSWKMPXRSAE6","GSON1112120014")</f>
        <v>#NAME?</v>
      </c>
      <c r="J1688" s="24" t="e">
        <f ca="1">[1]!BexGetData("DP_1","003N8EMH8GTFRCSWKMPXRSGPQ","GSON1112120014")</f>
        <v>#NAME?</v>
      </c>
      <c r="K1688" s="28" t="e">
        <f ca="1">[1]!BexGetData("DP_1","003N8EMH8GTFRIVNUPY288VJH","GSON1112120014")</f>
        <v>#NAME?</v>
      </c>
      <c r="L1688" s="28" t="e">
        <f ca="1">[1]!BexGetData("DP_1","003N8EMH8GTFRIVNUPY2891V1","GSON1112120014")</f>
        <v>#NAME?</v>
      </c>
      <c r="M1688" s="28" t="e">
        <f ca="1">[1]!BexGetData("DP_1","003N8EMH8GTFRIVOG7KG9IQXA","GSON1112120014")</f>
        <v>#NAME?</v>
      </c>
      <c r="N1688" s="28" t="e">
        <f ca="1">[1]!BexGetData("DP_1","003N8EMH8GTFRIVOG7KG9IX8U","GSON1112120014")</f>
        <v>#NAME?</v>
      </c>
      <c r="O1688" s="28" t="e">
        <f ca="1">[1]!BexGetData("DP_1","003N8EMH8GTFRIVOG7KG9J3KE","GSON1112120014")</f>
        <v>#NAME?</v>
      </c>
      <c r="P1688" s="28" t="e">
        <f ca="1">[1]!BexGetData("DP_1","003N8EMH8GTFRIVOG7KG9J9VY","GSON1112120014")</f>
        <v>#NAME?</v>
      </c>
      <c r="Q1688" s="24" t="e">
        <f ca="1">[1]!BexGetData("DP_1","00O2TNJGODT0G5Z4TTKYMM5MT","GSON1112120014")</f>
        <v>#NAME?</v>
      </c>
      <c r="R1688" s="28" t="e">
        <f ca="1">[1]!BexGetData("DP_1","00O2TNJGODT0G5Z4TTKYMMBYD","GSON1112120014")</f>
        <v>#NAME?</v>
      </c>
      <c r="S1688" s="28" t="e">
        <f ca="1">[1]!BexGetData("DP_1","00O2TNJGODT0G5Z4TTKYMMI9X","GSON1112120014")</f>
        <v>#NAME?</v>
      </c>
      <c r="T1688" s="28" t="e">
        <f ca="1">[1]!BexGetData("DP_1","00O2TNJGODT0G5Z4TTKYMMOLH","GSON1112120014")</f>
        <v>#NAME?</v>
      </c>
      <c r="U1688" s="28" t="e">
        <f ca="1">[1]!BexGetData("DP_1","00O2TNJGODT0G5Z4TTKYMMUX1","GSON1112120014")</f>
        <v>#NAME?</v>
      </c>
      <c r="V1688" s="28" t="e">
        <f ca="1">[1]!BexGetData("DP_1","00O2TNJGODT0G5Z4TTKYMN18L","GSON1112120014")</f>
        <v>#NAME?</v>
      </c>
      <c r="W1688" s="28" t="e">
        <f ca="1">[1]!BexGetData("DP_1","00O2TNJGODT0G5Z4TTKYMN7K5","GSON1112120014")</f>
        <v>#NAME?</v>
      </c>
    </row>
    <row r="1689" spans="1:23" x14ac:dyDescent="0.2">
      <c r="A1689" s="36" t="s">
        <v>4451</v>
      </c>
      <c r="B1689" s="27" t="s">
        <v>4452</v>
      </c>
      <c r="C1689" s="23" t="e">
        <f ca="1">[1]!BexGetData("DP_1","003N8EMH8GTFRCSWKMPXRR8GU","GSON1112120015")</f>
        <v>#NAME?</v>
      </c>
      <c r="D1689" s="23" t="e">
        <f ca="1">[1]!BexGetData("DP_1","003N8EMH8GTFRCSWKMPXRRESE","GSON1112120015")</f>
        <v>#NAME?</v>
      </c>
      <c r="E1689" s="28" t="e">
        <f ca="1">[1]!BexGetData("DP_1","003N8EMH8GTFRCSWKMPXRRL3Y","GSON1112120015")</f>
        <v>#NAME?</v>
      </c>
      <c r="F1689" s="28" t="e">
        <f ca="1">[1]!BexGetData("DP_1","003N8EMH8GTFRCSWKMPXRRRFI","GSON1112120015")</f>
        <v>#NAME?</v>
      </c>
      <c r="G1689" s="23" t="e">
        <f ca="1">[1]!BexGetData("DP_1","003N8EMH8GTFRCSWKMPXRRXR2","GSON1112120015")</f>
        <v>#NAME?</v>
      </c>
      <c r="H1689" s="23" t="e">
        <f ca="1">[1]!BexGetData("DP_1","003N8EMH8GTFRCSWKMPXRS42M","GSON1112120015")</f>
        <v>#NAME?</v>
      </c>
      <c r="I1689" s="28" t="e">
        <f ca="1">[1]!BexGetData("DP_1","003N8EMH8GTFRCSWKMPXRSAE6","GSON1112120015")</f>
        <v>#NAME?</v>
      </c>
      <c r="J1689" s="24" t="e">
        <f ca="1">[1]!BexGetData("DP_1","003N8EMH8GTFRCSWKMPXRSGPQ","GSON1112120015")</f>
        <v>#NAME?</v>
      </c>
      <c r="K1689" s="28" t="e">
        <f ca="1">[1]!BexGetData("DP_1","003N8EMH8GTFRIVNUPY288VJH","GSON1112120015")</f>
        <v>#NAME?</v>
      </c>
      <c r="L1689" s="28" t="e">
        <f ca="1">[1]!BexGetData("DP_1","003N8EMH8GTFRIVNUPY2891V1","GSON1112120015")</f>
        <v>#NAME?</v>
      </c>
      <c r="M1689" s="28" t="e">
        <f ca="1">[1]!BexGetData("DP_1","003N8EMH8GTFRIVOG7KG9IQXA","GSON1112120015")</f>
        <v>#NAME?</v>
      </c>
      <c r="N1689" s="28" t="e">
        <f ca="1">[1]!BexGetData("DP_1","003N8EMH8GTFRIVOG7KG9IX8U","GSON1112120015")</f>
        <v>#NAME?</v>
      </c>
      <c r="O1689" s="28" t="e">
        <f ca="1">[1]!BexGetData("DP_1","003N8EMH8GTFRIVOG7KG9J3KE","GSON1112120015")</f>
        <v>#NAME?</v>
      </c>
      <c r="P1689" s="28" t="e">
        <f ca="1">[1]!BexGetData("DP_1","003N8EMH8GTFRIVOG7KG9J9VY","GSON1112120015")</f>
        <v>#NAME?</v>
      </c>
      <c r="Q1689" s="24" t="e">
        <f ca="1">[1]!BexGetData("DP_1","00O2TNJGODT0G5Z4TTKYMM5MT","GSON1112120015")</f>
        <v>#NAME?</v>
      </c>
      <c r="R1689" s="28" t="e">
        <f ca="1">[1]!BexGetData("DP_1","00O2TNJGODT0G5Z4TTKYMMBYD","GSON1112120015")</f>
        <v>#NAME?</v>
      </c>
      <c r="S1689" s="28" t="e">
        <f ca="1">[1]!BexGetData("DP_1","00O2TNJGODT0G5Z4TTKYMMI9X","GSON1112120015")</f>
        <v>#NAME?</v>
      </c>
      <c r="T1689" s="28" t="e">
        <f ca="1">[1]!BexGetData("DP_1","00O2TNJGODT0G5Z4TTKYMMOLH","GSON1112120015")</f>
        <v>#NAME?</v>
      </c>
      <c r="U1689" s="28" t="e">
        <f ca="1">[1]!BexGetData("DP_1","00O2TNJGODT0G5Z4TTKYMMUX1","GSON1112120015")</f>
        <v>#NAME?</v>
      </c>
      <c r="V1689" s="28" t="e">
        <f ca="1">[1]!BexGetData("DP_1","00O2TNJGODT0G5Z4TTKYMN18L","GSON1112120015")</f>
        <v>#NAME?</v>
      </c>
      <c r="W1689" s="28" t="e">
        <f ca="1">[1]!BexGetData("DP_1","00O2TNJGODT0G5Z4TTKYMN7K5","GSON1112120015")</f>
        <v>#NAME?</v>
      </c>
    </row>
    <row r="1690" spans="1:23" x14ac:dyDescent="0.2">
      <c r="A1690" s="36" t="s">
        <v>432</v>
      </c>
      <c r="B1690" s="27" t="s">
        <v>433</v>
      </c>
      <c r="C1690" s="23" t="e">
        <f ca="1">[1]!BexGetData("DP_1","003N8EMH8GTFRCSWKMPXRR8GU","GSON1112120021")</f>
        <v>#NAME?</v>
      </c>
      <c r="D1690" s="23" t="e">
        <f ca="1">[1]!BexGetData("DP_1","003N8EMH8GTFRCSWKMPXRRESE","GSON1112120021")</f>
        <v>#NAME?</v>
      </c>
      <c r="E1690" s="28" t="e">
        <f ca="1">[1]!BexGetData("DP_1","003N8EMH8GTFRCSWKMPXRRL3Y","GSON1112120021")</f>
        <v>#NAME?</v>
      </c>
      <c r="F1690" s="28" t="e">
        <f ca="1">[1]!BexGetData("DP_1","003N8EMH8GTFRCSWKMPXRRRFI","GSON1112120021")</f>
        <v>#NAME?</v>
      </c>
      <c r="G1690" s="23" t="e">
        <f ca="1">[1]!BexGetData("DP_1","003N8EMH8GTFRCSWKMPXRRXR2","GSON1112120021")</f>
        <v>#NAME?</v>
      </c>
      <c r="H1690" s="23" t="e">
        <f ca="1">[1]!BexGetData("DP_1","003N8EMH8GTFRCSWKMPXRS42M","GSON1112120021")</f>
        <v>#NAME?</v>
      </c>
      <c r="I1690" s="28" t="e">
        <f ca="1">[1]!BexGetData("DP_1","003N8EMH8GTFRCSWKMPXRSAE6","GSON1112120021")</f>
        <v>#NAME?</v>
      </c>
      <c r="J1690" s="24" t="e">
        <f ca="1">[1]!BexGetData("DP_1","003N8EMH8GTFRCSWKMPXRSGPQ","GSON1112120021")</f>
        <v>#NAME?</v>
      </c>
      <c r="K1690" s="28" t="e">
        <f ca="1">[1]!BexGetData("DP_1","003N8EMH8GTFRIVNUPY288VJH","GSON1112120021")</f>
        <v>#NAME?</v>
      </c>
      <c r="L1690" s="28" t="e">
        <f ca="1">[1]!BexGetData("DP_1","003N8EMH8GTFRIVNUPY2891V1","GSON1112120021")</f>
        <v>#NAME?</v>
      </c>
      <c r="M1690" s="28" t="e">
        <f ca="1">[1]!BexGetData("DP_1","003N8EMH8GTFRIVOG7KG9IQXA","GSON1112120021")</f>
        <v>#NAME?</v>
      </c>
      <c r="N1690" s="28" t="e">
        <f ca="1">[1]!BexGetData("DP_1","003N8EMH8GTFRIVOG7KG9IX8U","GSON1112120021")</f>
        <v>#NAME?</v>
      </c>
      <c r="O1690" s="28" t="e">
        <f ca="1">[1]!BexGetData("DP_1","003N8EMH8GTFRIVOG7KG9J3KE","GSON1112120021")</f>
        <v>#NAME?</v>
      </c>
      <c r="P1690" s="28" t="e">
        <f ca="1">[1]!BexGetData("DP_1","003N8EMH8GTFRIVOG7KG9J9VY","GSON1112120021")</f>
        <v>#NAME?</v>
      </c>
      <c r="Q1690" s="24" t="e">
        <f ca="1">[1]!BexGetData("DP_1","00O2TNJGODT0G5Z4TTKYMM5MT","GSON1112120021")</f>
        <v>#NAME?</v>
      </c>
      <c r="R1690" s="28" t="e">
        <f ca="1">[1]!BexGetData("DP_1","00O2TNJGODT0G5Z4TTKYMMBYD","GSON1112120021")</f>
        <v>#NAME?</v>
      </c>
      <c r="S1690" s="28" t="e">
        <f ca="1">[1]!BexGetData("DP_1","00O2TNJGODT0G5Z4TTKYMMI9X","GSON1112120021")</f>
        <v>#NAME?</v>
      </c>
      <c r="T1690" s="28" t="e">
        <f ca="1">[1]!BexGetData("DP_1","00O2TNJGODT0G5Z4TTKYMMOLH","GSON1112120021")</f>
        <v>#NAME?</v>
      </c>
      <c r="U1690" s="28" t="e">
        <f ca="1">[1]!BexGetData("DP_1","00O2TNJGODT0G5Z4TTKYMMUX1","GSON1112120021")</f>
        <v>#NAME?</v>
      </c>
      <c r="V1690" s="28" t="e">
        <f ca="1">[1]!BexGetData("DP_1","00O2TNJGODT0G5Z4TTKYMN18L","GSON1112120021")</f>
        <v>#NAME?</v>
      </c>
      <c r="W1690" s="28" t="e">
        <f ca="1">[1]!BexGetData("DP_1","00O2TNJGODT0G5Z4TTKYMN7K5","GSON1112120021")</f>
        <v>#NAME?</v>
      </c>
    </row>
    <row r="1691" spans="1:23" x14ac:dyDescent="0.2">
      <c r="A1691" s="36" t="s">
        <v>4453</v>
      </c>
      <c r="B1691" s="27" t="s">
        <v>4454</v>
      </c>
      <c r="C1691" s="23" t="e">
        <f ca="1">[1]!BexGetData("DP_1","003N8EMH8GTFRCSWKMPXRR8GU","GSON1112120030")</f>
        <v>#NAME?</v>
      </c>
      <c r="D1691" s="23" t="e">
        <f ca="1">[1]!BexGetData("DP_1","003N8EMH8GTFRCSWKMPXRRESE","GSON1112120030")</f>
        <v>#NAME?</v>
      </c>
      <c r="E1691" s="23" t="e">
        <f ca="1">[1]!BexGetData("DP_1","003N8EMH8GTFRCSWKMPXRRL3Y","GSON1112120030")</f>
        <v>#NAME?</v>
      </c>
      <c r="F1691" s="24" t="e">
        <f ca="1">[1]!BexGetData("DP_1","003N8EMH8GTFRCSWKMPXRRRFI","GSON1112120030")</f>
        <v>#NAME?</v>
      </c>
      <c r="G1691" s="24" t="e">
        <f ca="1">[1]!BexGetData("DP_1","003N8EMH8GTFRCSWKMPXRRXR2","GSON1112120030")</f>
        <v>#NAME?</v>
      </c>
      <c r="H1691" s="24" t="e">
        <f ca="1">[1]!BexGetData("DP_1","003N8EMH8GTFRCSWKMPXRS42M","GSON1112120030")</f>
        <v>#NAME?</v>
      </c>
      <c r="I1691" s="24" t="e">
        <f ca="1">[1]!BexGetData("DP_1","003N8EMH8GTFRCSWKMPXRSAE6","GSON1112120030")</f>
        <v>#NAME?</v>
      </c>
      <c r="J1691" s="24" t="e">
        <f ca="1">[1]!BexGetData("DP_1","003N8EMH8GTFRCSWKMPXRSGPQ","GSON1112120030")</f>
        <v>#NAME?</v>
      </c>
      <c r="K1691" s="23" t="e">
        <f ca="1">[1]!BexGetData("DP_1","003N8EMH8GTFRIVNUPY288VJH","GSON1112120030")</f>
        <v>#NAME?</v>
      </c>
      <c r="L1691" s="23" t="e">
        <f ca="1">[1]!BexGetData("DP_1","003N8EMH8GTFRIVNUPY2891V1","GSON1112120030")</f>
        <v>#NAME?</v>
      </c>
      <c r="M1691" s="28" t="e">
        <f ca="1">[1]!BexGetData("DP_1","003N8EMH8GTFRIVOG7KG9IQXA","GSON1112120030")</f>
        <v>#NAME?</v>
      </c>
      <c r="N1691" s="23" t="e">
        <f ca="1">[1]!BexGetData("DP_1","003N8EMH8GTFRIVOG7KG9IX8U","GSON1112120030")</f>
        <v>#NAME?</v>
      </c>
      <c r="O1691" s="28" t="e">
        <f ca="1">[1]!BexGetData("DP_1","003N8EMH8GTFRIVOG7KG9J3KE","GSON1112120030")</f>
        <v>#NAME?</v>
      </c>
      <c r="P1691" s="23" t="e">
        <f ca="1">[1]!BexGetData("DP_1","003N8EMH8GTFRIVOG7KG9J9VY","GSON1112120030")</f>
        <v>#NAME?</v>
      </c>
      <c r="Q1691" s="24" t="e">
        <f ca="1">[1]!BexGetData("DP_1","00O2TNJGODT0G5Z4TTKYMM5MT","GSON1112120030")</f>
        <v>#NAME?</v>
      </c>
      <c r="R1691" s="24" t="e">
        <f ca="1">[1]!BexGetData("DP_1","00O2TNJGODT0G5Z4TTKYMMBYD","GSON1112120030")</f>
        <v>#NAME?</v>
      </c>
      <c r="S1691" s="24" t="e">
        <f ca="1">[1]!BexGetData("DP_1","00O2TNJGODT0G5Z4TTKYMMI9X","GSON1112120030")</f>
        <v>#NAME?</v>
      </c>
      <c r="T1691" s="24" t="e">
        <f ca="1">[1]!BexGetData("DP_1","00O2TNJGODT0G5Z4TTKYMMOLH","GSON1112120030")</f>
        <v>#NAME?</v>
      </c>
      <c r="U1691" s="24" t="e">
        <f ca="1">[1]!BexGetData("DP_1","00O2TNJGODT0G5Z4TTKYMMUX1","GSON1112120030")</f>
        <v>#NAME?</v>
      </c>
      <c r="V1691" s="24" t="e">
        <f ca="1">[1]!BexGetData("DP_1","00O2TNJGODT0G5Z4TTKYMN18L","GSON1112120030")</f>
        <v>#NAME?</v>
      </c>
      <c r="W1691" s="24" t="e">
        <f ca="1">[1]!BexGetData("DP_1","00O2TNJGODT0G5Z4TTKYMN7K5","GSON1112120030")</f>
        <v>#NAME?</v>
      </c>
    </row>
    <row r="1692" spans="1:23" x14ac:dyDescent="0.2">
      <c r="A1692" s="36" t="s">
        <v>4455</v>
      </c>
      <c r="B1692" s="27" t="s">
        <v>4456</v>
      </c>
      <c r="C1692" s="23" t="e">
        <f ca="1">[1]!BexGetData("DP_1","003N8EMH8GTFRCSWKMPXRR8GU","GSON1112120031")</f>
        <v>#NAME?</v>
      </c>
      <c r="D1692" s="23" t="e">
        <f ca="1">[1]!BexGetData("DP_1","003N8EMH8GTFRCSWKMPXRRESE","GSON1112120031")</f>
        <v>#NAME?</v>
      </c>
      <c r="E1692" s="28" t="e">
        <f ca="1">[1]!BexGetData("DP_1","003N8EMH8GTFRCSWKMPXRRL3Y","GSON1112120031")</f>
        <v>#NAME?</v>
      </c>
      <c r="F1692" s="24" t="e">
        <f ca="1">[1]!BexGetData("DP_1","003N8EMH8GTFRCSWKMPXRRRFI","GSON1112120031")</f>
        <v>#NAME?</v>
      </c>
      <c r="G1692" s="24" t="e">
        <f ca="1">[1]!BexGetData("DP_1","003N8EMH8GTFRCSWKMPXRRXR2","GSON1112120031")</f>
        <v>#NAME?</v>
      </c>
      <c r="H1692" s="24" t="e">
        <f ca="1">[1]!BexGetData("DP_1","003N8EMH8GTFRCSWKMPXRS42M","GSON1112120031")</f>
        <v>#NAME?</v>
      </c>
      <c r="I1692" s="24" t="e">
        <f ca="1">[1]!BexGetData("DP_1","003N8EMH8GTFRCSWKMPXRSAE6","GSON1112120031")</f>
        <v>#NAME?</v>
      </c>
      <c r="J1692" s="24" t="e">
        <f ca="1">[1]!BexGetData("DP_1","003N8EMH8GTFRCSWKMPXRSGPQ","GSON1112120031")</f>
        <v>#NAME?</v>
      </c>
      <c r="K1692" s="28" t="e">
        <f ca="1">[1]!BexGetData("DP_1","003N8EMH8GTFRIVNUPY288VJH","GSON1112120031")</f>
        <v>#NAME?</v>
      </c>
      <c r="L1692" s="28" t="e">
        <f ca="1">[1]!BexGetData("DP_1","003N8EMH8GTFRIVNUPY2891V1","GSON1112120031")</f>
        <v>#NAME?</v>
      </c>
      <c r="M1692" s="28" t="e">
        <f ca="1">[1]!BexGetData("DP_1","003N8EMH8GTFRIVOG7KG9IQXA","GSON1112120031")</f>
        <v>#NAME?</v>
      </c>
      <c r="N1692" s="28" t="e">
        <f ca="1">[1]!BexGetData("DP_1","003N8EMH8GTFRIVOG7KG9IX8U","GSON1112120031")</f>
        <v>#NAME?</v>
      </c>
      <c r="O1692" s="28" t="e">
        <f ca="1">[1]!BexGetData("DP_1","003N8EMH8GTFRIVOG7KG9J3KE","GSON1112120031")</f>
        <v>#NAME?</v>
      </c>
      <c r="P1692" s="28" t="e">
        <f ca="1">[1]!BexGetData("DP_1","003N8EMH8GTFRIVOG7KG9J9VY","GSON1112120031")</f>
        <v>#NAME?</v>
      </c>
      <c r="Q1692" s="24" t="e">
        <f ca="1">[1]!BexGetData("DP_1","00O2TNJGODT0G5Z4TTKYMM5MT","GSON1112120031")</f>
        <v>#NAME?</v>
      </c>
      <c r="R1692" s="24" t="e">
        <f ca="1">[1]!BexGetData("DP_1","00O2TNJGODT0G5Z4TTKYMMBYD","GSON1112120031")</f>
        <v>#NAME?</v>
      </c>
      <c r="S1692" s="24" t="e">
        <f ca="1">[1]!BexGetData("DP_1","00O2TNJGODT0G5Z4TTKYMMI9X","GSON1112120031")</f>
        <v>#NAME?</v>
      </c>
      <c r="T1692" s="24" t="e">
        <f ca="1">[1]!BexGetData("DP_1","00O2TNJGODT0G5Z4TTKYMMOLH","GSON1112120031")</f>
        <v>#NAME?</v>
      </c>
      <c r="U1692" s="24" t="e">
        <f ca="1">[1]!BexGetData("DP_1","00O2TNJGODT0G5Z4TTKYMMUX1","GSON1112120031")</f>
        <v>#NAME?</v>
      </c>
      <c r="V1692" s="24" t="e">
        <f ca="1">[1]!BexGetData("DP_1","00O2TNJGODT0G5Z4TTKYMN18L","GSON1112120031")</f>
        <v>#NAME?</v>
      </c>
      <c r="W1692" s="24" t="e">
        <f ca="1">[1]!BexGetData("DP_1","00O2TNJGODT0G5Z4TTKYMN7K5","GSON1112120031")</f>
        <v>#NAME?</v>
      </c>
    </row>
    <row r="1693" spans="1:23" x14ac:dyDescent="0.2">
      <c r="A1693" s="36" t="s">
        <v>4457</v>
      </c>
      <c r="B1693" s="27" t="s">
        <v>4458</v>
      </c>
      <c r="C1693" s="23" t="e">
        <f ca="1">[1]!BexGetData("DP_1","003N8EMH8GTFRCSWKMPXRR8GU","GSON1112120033")</f>
        <v>#NAME?</v>
      </c>
      <c r="D1693" s="23" t="e">
        <f ca="1">[1]!BexGetData("DP_1","003N8EMH8GTFRCSWKMPXRRESE","GSON1112120033")</f>
        <v>#NAME?</v>
      </c>
      <c r="E1693" s="28" t="e">
        <f ca="1">[1]!BexGetData("DP_1","003N8EMH8GTFRCSWKMPXRRL3Y","GSON1112120033")</f>
        <v>#NAME?</v>
      </c>
      <c r="F1693" s="24" t="e">
        <f ca="1">[1]!BexGetData("DP_1","003N8EMH8GTFRCSWKMPXRRRFI","GSON1112120033")</f>
        <v>#NAME?</v>
      </c>
      <c r="G1693" s="24" t="e">
        <f ca="1">[1]!BexGetData("DP_1","003N8EMH8GTFRCSWKMPXRRXR2","GSON1112120033")</f>
        <v>#NAME?</v>
      </c>
      <c r="H1693" s="24" t="e">
        <f ca="1">[1]!BexGetData("DP_1","003N8EMH8GTFRCSWKMPXRS42M","GSON1112120033")</f>
        <v>#NAME?</v>
      </c>
      <c r="I1693" s="24" t="e">
        <f ca="1">[1]!BexGetData("DP_1","003N8EMH8GTFRCSWKMPXRSAE6","GSON1112120033")</f>
        <v>#NAME?</v>
      </c>
      <c r="J1693" s="24" t="e">
        <f ca="1">[1]!BexGetData("DP_1","003N8EMH8GTFRCSWKMPXRSGPQ","GSON1112120033")</f>
        <v>#NAME?</v>
      </c>
      <c r="K1693" s="28" t="e">
        <f ca="1">[1]!BexGetData("DP_1","003N8EMH8GTFRIVNUPY288VJH","GSON1112120033")</f>
        <v>#NAME?</v>
      </c>
      <c r="L1693" s="28" t="e">
        <f ca="1">[1]!BexGetData("DP_1","003N8EMH8GTFRIVNUPY2891V1","GSON1112120033")</f>
        <v>#NAME?</v>
      </c>
      <c r="M1693" s="28" t="e">
        <f ca="1">[1]!BexGetData("DP_1","003N8EMH8GTFRIVOG7KG9IQXA","GSON1112120033")</f>
        <v>#NAME?</v>
      </c>
      <c r="N1693" s="28" t="e">
        <f ca="1">[1]!BexGetData("DP_1","003N8EMH8GTFRIVOG7KG9IX8U","GSON1112120033")</f>
        <v>#NAME?</v>
      </c>
      <c r="O1693" s="28" t="e">
        <f ca="1">[1]!BexGetData("DP_1","003N8EMH8GTFRIVOG7KG9J3KE","GSON1112120033")</f>
        <v>#NAME?</v>
      </c>
      <c r="P1693" s="28" t="e">
        <f ca="1">[1]!BexGetData("DP_1","003N8EMH8GTFRIVOG7KG9J9VY","GSON1112120033")</f>
        <v>#NAME?</v>
      </c>
      <c r="Q1693" s="24" t="e">
        <f ca="1">[1]!BexGetData("DP_1","00O2TNJGODT0G5Z4TTKYMM5MT","GSON1112120033")</f>
        <v>#NAME?</v>
      </c>
      <c r="R1693" s="24" t="e">
        <f ca="1">[1]!BexGetData("DP_1","00O2TNJGODT0G5Z4TTKYMMBYD","GSON1112120033")</f>
        <v>#NAME?</v>
      </c>
      <c r="S1693" s="24" t="e">
        <f ca="1">[1]!BexGetData("DP_1","00O2TNJGODT0G5Z4TTKYMMI9X","GSON1112120033")</f>
        <v>#NAME?</v>
      </c>
      <c r="T1693" s="24" t="e">
        <f ca="1">[1]!BexGetData("DP_1","00O2TNJGODT0G5Z4TTKYMMOLH","GSON1112120033")</f>
        <v>#NAME?</v>
      </c>
      <c r="U1693" s="24" t="e">
        <f ca="1">[1]!BexGetData("DP_1","00O2TNJGODT0G5Z4TTKYMMUX1","GSON1112120033")</f>
        <v>#NAME?</v>
      </c>
      <c r="V1693" s="24" t="e">
        <f ca="1">[1]!BexGetData("DP_1","00O2TNJGODT0G5Z4TTKYMN18L","GSON1112120033")</f>
        <v>#NAME?</v>
      </c>
      <c r="W1693" s="24" t="e">
        <f ca="1">[1]!BexGetData("DP_1","00O2TNJGODT0G5Z4TTKYMN7K5","GSON1112120033")</f>
        <v>#NAME?</v>
      </c>
    </row>
    <row r="1694" spans="1:23" x14ac:dyDescent="0.2">
      <c r="A1694" s="36" t="s">
        <v>4459</v>
      </c>
      <c r="B1694" s="27" t="s">
        <v>4460</v>
      </c>
      <c r="C1694" s="23" t="e">
        <f ca="1">[1]!BexGetData("DP_1","003N8EMH8GTFRCSWKMPXRR8GU","GSON1112120034")</f>
        <v>#NAME?</v>
      </c>
      <c r="D1694" s="23" t="e">
        <f ca="1">[1]!BexGetData("DP_1","003N8EMH8GTFRCSWKMPXRRESE","GSON1112120034")</f>
        <v>#NAME?</v>
      </c>
      <c r="E1694" s="28" t="e">
        <f ca="1">[1]!BexGetData("DP_1","003N8EMH8GTFRCSWKMPXRRL3Y","GSON1112120034")</f>
        <v>#NAME?</v>
      </c>
      <c r="F1694" s="24" t="e">
        <f ca="1">[1]!BexGetData("DP_1","003N8EMH8GTFRCSWKMPXRRRFI","GSON1112120034")</f>
        <v>#NAME?</v>
      </c>
      <c r="G1694" s="24" t="e">
        <f ca="1">[1]!BexGetData("DP_1","003N8EMH8GTFRCSWKMPXRRXR2","GSON1112120034")</f>
        <v>#NAME?</v>
      </c>
      <c r="H1694" s="24" t="e">
        <f ca="1">[1]!BexGetData("DP_1","003N8EMH8GTFRCSWKMPXRS42M","GSON1112120034")</f>
        <v>#NAME?</v>
      </c>
      <c r="I1694" s="24" t="e">
        <f ca="1">[1]!BexGetData("DP_1","003N8EMH8GTFRCSWKMPXRSAE6","GSON1112120034")</f>
        <v>#NAME?</v>
      </c>
      <c r="J1694" s="24" t="e">
        <f ca="1">[1]!BexGetData("DP_1","003N8EMH8GTFRCSWKMPXRSGPQ","GSON1112120034")</f>
        <v>#NAME?</v>
      </c>
      <c r="K1694" s="28" t="e">
        <f ca="1">[1]!BexGetData("DP_1","003N8EMH8GTFRIVNUPY288VJH","GSON1112120034")</f>
        <v>#NAME?</v>
      </c>
      <c r="L1694" s="28" t="e">
        <f ca="1">[1]!BexGetData("DP_1","003N8EMH8GTFRIVNUPY2891V1","GSON1112120034")</f>
        <v>#NAME?</v>
      </c>
      <c r="M1694" s="28" t="e">
        <f ca="1">[1]!BexGetData("DP_1","003N8EMH8GTFRIVOG7KG9IQXA","GSON1112120034")</f>
        <v>#NAME?</v>
      </c>
      <c r="N1694" s="28" t="e">
        <f ca="1">[1]!BexGetData("DP_1","003N8EMH8GTFRIVOG7KG9IX8U","GSON1112120034")</f>
        <v>#NAME?</v>
      </c>
      <c r="O1694" s="28" t="e">
        <f ca="1">[1]!BexGetData("DP_1","003N8EMH8GTFRIVOG7KG9J3KE","GSON1112120034")</f>
        <v>#NAME?</v>
      </c>
      <c r="P1694" s="28" t="e">
        <f ca="1">[1]!BexGetData("DP_1","003N8EMH8GTFRIVOG7KG9J9VY","GSON1112120034")</f>
        <v>#NAME?</v>
      </c>
      <c r="Q1694" s="24" t="e">
        <f ca="1">[1]!BexGetData("DP_1","00O2TNJGODT0G5Z4TTKYMM5MT","GSON1112120034")</f>
        <v>#NAME?</v>
      </c>
      <c r="R1694" s="24" t="e">
        <f ca="1">[1]!BexGetData("DP_1","00O2TNJGODT0G5Z4TTKYMMBYD","GSON1112120034")</f>
        <v>#NAME?</v>
      </c>
      <c r="S1694" s="24" t="e">
        <f ca="1">[1]!BexGetData("DP_1","00O2TNJGODT0G5Z4TTKYMMI9X","GSON1112120034")</f>
        <v>#NAME?</v>
      </c>
      <c r="T1694" s="24" t="e">
        <f ca="1">[1]!BexGetData("DP_1","00O2TNJGODT0G5Z4TTKYMMOLH","GSON1112120034")</f>
        <v>#NAME?</v>
      </c>
      <c r="U1694" s="24" t="e">
        <f ca="1">[1]!BexGetData("DP_1","00O2TNJGODT0G5Z4TTKYMMUX1","GSON1112120034")</f>
        <v>#NAME?</v>
      </c>
      <c r="V1694" s="24" t="e">
        <f ca="1">[1]!BexGetData("DP_1","00O2TNJGODT0G5Z4TTKYMN18L","GSON1112120034")</f>
        <v>#NAME?</v>
      </c>
      <c r="W1694" s="24" t="e">
        <f ca="1">[1]!BexGetData("DP_1","00O2TNJGODT0G5Z4TTKYMN7K5","GSON1112120034")</f>
        <v>#NAME?</v>
      </c>
    </row>
    <row r="1695" spans="1:23" x14ac:dyDescent="0.2">
      <c r="A1695" s="36" t="s">
        <v>4461</v>
      </c>
      <c r="B1695" s="27" t="s">
        <v>4462</v>
      </c>
      <c r="C1695" s="23" t="e">
        <f ca="1">[1]!BexGetData("DP_1","003N8EMH8GTFRCSWKMPXRR8GU","GSON1112120035")</f>
        <v>#NAME?</v>
      </c>
      <c r="D1695" s="23" t="e">
        <f ca="1">[1]!BexGetData("DP_1","003N8EMH8GTFRCSWKMPXRRESE","GSON1112120035")</f>
        <v>#NAME?</v>
      </c>
      <c r="E1695" s="28" t="e">
        <f ca="1">[1]!BexGetData("DP_1","003N8EMH8GTFRCSWKMPXRRL3Y","GSON1112120035")</f>
        <v>#NAME?</v>
      </c>
      <c r="F1695" s="24" t="e">
        <f ca="1">[1]!BexGetData("DP_1","003N8EMH8GTFRCSWKMPXRRRFI","GSON1112120035")</f>
        <v>#NAME?</v>
      </c>
      <c r="G1695" s="24" t="e">
        <f ca="1">[1]!BexGetData("DP_1","003N8EMH8GTFRCSWKMPXRRXR2","GSON1112120035")</f>
        <v>#NAME?</v>
      </c>
      <c r="H1695" s="24" t="e">
        <f ca="1">[1]!BexGetData("DP_1","003N8EMH8GTFRCSWKMPXRS42M","GSON1112120035")</f>
        <v>#NAME?</v>
      </c>
      <c r="I1695" s="24" t="e">
        <f ca="1">[1]!BexGetData("DP_1","003N8EMH8GTFRCSWKMPXRSAE6","GSON1112120035")</f>
        <v>#NAME?</v>
      </c>
      <c r="J1695" s="24" t="e">
        <f ca="1">[1]!BexGetData("DP_1","003N8EMH8GTFRCSWKMPXRSGPQ","GSON1112120035")</f>
        <v>#NAME?</v>
      </c>
      <c r="K1695" s="28" t="e">
        <f ca="1">[1]!BexGetData("DP_1","003N8EMH8GTFRIVNUPY288VJH","GSON1112120035")</f>
        <v>#NAME?</v>
      </c>
      <c r="L1695" s="28" t="e">
        <f ca="1">[1]!BexGetData("DP_1","003N8EMH8GTFRIVNUPY2891V1","GSON1112120035")</f>
        <v>#NAME?</v>
      </c>
      <c r="M1695" s="28" t="e">
        <f ca="1">[1]!BexGetData("DP_1","003N8EMH8GTFRIVOG7KG9IQXA","GSON1112120035")</f>
        <v>#NAME?</v>
      </c>
      <c r="N1695" s="28" t="e">
        <f ca="1">[1]!BexGetData("DP_1","003N8EMH8GTFRIVOG7KG9IX8U","GSON1112120035")</f>
        <v>#NAME?</v>
      </c>
      <c r="O1695" s="28" t="e">
        <f ca="1">[1]!BexGetData("DP_1","003N8EMH8GTFRIVOG7KG9J3KE","GSON1112120035")</f>
        <v>#NAME?</v>
      </c>
      <c r="P1695" s="28" t="e">
        <f ca="1">[1]!BexGetData("DP_1","003N8EMH8GTFRIVOG7KG9J9VY","GSON1112120035")</f>
        <v>#NAME?</v>
      </c>
      <c r="Q1695" s="24" t="e">
        <f ca="1">[1]!BexGetData("DP_1","00O2TNJGODT0G5Z4TTKYMM5MT","GSON1112120035")</f>
        <v>#NAME?</v>
      </c>
      <c r="R1695" s="24" t="e">
        <f ca="1">[1]!BexGetData("DP_1","00O2TNJGODT0G5Z4TTKYMMBYD","GSON1112120035")</f>
        <v>#NAME?</v>
      </c>
      <c r="S1695" s="24" t="e">
        <f ca="1">[1]!BexGetData("DP_1","00O2TNJGODT0G5Z4TTKYMMI9X","GSON1112120035")</f>
        <v>#NAME?</v>
      </c>
      <c r="T1695" s="24" t="e">
        <f ca="1">[1]!BexGetData("DP_1","00O2TNJGODT0G5Z4TTKYMMOLH","GSON1112120035")</f>
        <v>#NAME?</v>
      </c>
      <c r="U1695" s="24" t="e">
        <f ca="1">[1]!BexGetData("DP_1","00O2TNJGODT0G5Z4TTKYMMUX1","GSON1112120035")</f>
        <v>#NAME?</v>
      </c>
      <c r="V1695" s="24" t="e">
        <f ca="1">[1]!BexGetData("DP_1","00O2TNJGODT0G5Z4TTKYMN18L","GSON1112120035")</f>
        <v>#NAME?</v>
      </c>
      <c r="W1695" s="24" t="e">
        <f ca="1">[1]!BexGetData("DP_1","00O2TNJGODT0G5Z4TTKYMN7K5","GSON1112120035")</f>
        <v>#NAME?</v>
      </c>
    </row>
    <row r="1696" spans="1:23" x14ac:dyDescent="0.2">
      <c r="A1696" s="36" t="s">
        <v>4463</v>
      </c>
      <c r="B1696" s="27" t="s">
        <v>1139</v>
      </c>
      <c r="C1696" s="23" t="e">
        <f ca="1">[1]!BexGetData("DP_1","003N8EMH8GTFRCSWKMPXRR8GU","GSON1112130010")</f>
        <v>#NAME?</v>
      </c>
      <c r="D1696" s="23" t="e">
        <f ca="1">[1]!BexGetData("DP_1","003N8EMH8GTFRCSWKMPXRRESE","GSON1112130010")</f>
        <v>#NAME?</v>
      </c>
      <c r="E1696" s="23" t="e">
        <f ca="1">[1]!BexGetData("DP_1","003N8EMH8GTFRCSWKMPXRRL3Y","GSON1112130010")</f>
        <v>#NAME?</v>
      </c>
      <c r="F1696" s="28" t="e">
        <f ca="1">[1]!BexGetData("DP_1","003N8EMH8GTFRCSWKMPXRRRFI","GSON1112130010")</f>
        <v>#NAME?</v>
      </c>
      <c r="G1696" s="23" t="e">
        <f ca="1">[1]!BexGetData("DP_1","003N8EMH8GTFRCSWKMPXRRXR2","GSON1112130010")</f>
        <v>#NAME?</v>
      </c>
      <c r="H1696" s="23" t="e">
        <f ca="1">[1]!BexGetData("DP_1","003N8EMH8GTFRCSWKMPXRS42M","GSON1112130010")</f>
        <v>#NAME?</v>
      </c>
      <c r="I1696" s="28" t="e">
        <f ca="1">[1]!BexGetData("DP_1","003N8EMH8GTFRCSWKMPXRSAE6","GSON1112130010")</f>
        <v>#NAME?</v>
      </c>
      <c r="J1696" s="23" t="e">
        <f ca="1">[1]!BexGetData("DP_1","003N8EMH8GTFRCSWKMPXRSGPQ","GSON1112130010")</f>
        <v>#NAME?</v>
      </c>
      <c r="K1696" s="23" t="e">
        <f ca="1">[1]!BexGetData("DP_1","003N8EMH8GTFRIVNUPY288VJH","GSON1112130010")</f>
        <v>#NAME?</v>
      </c>
      <c r="L1696" s="23" t="e">
        <f ca="1">[1]!BexGetData("DP_1","003N8EMH8GTFRIVNUPY2891V1","GSON1112130010")</f>
        <v>#NAME?</v>
      </c>
      <c r="M1696" s="28" t="e">
        <f ca="1">[1]!BexGetData("DP_1","003N8EMH8GTFRIVOG7KG9IQXA","GSON1112130010")</f>
        <v>#NAME?</v>
      </c>
      <c r="N1696" s="23" t="e">
        <f ca="1">[1]!BexGetData("DP_1","003N8EMH8GTFRIVOG7KG9IX8U","GSON1112130010")</f>
        <v>#NAME?</v>
      </c>
      <c r="O1696" s="28" t="e">
        <f ca="1">[1]!BexGetData("DP_1","003N8EMH8GTFRIVOG7KG9J3KE","GSON1112130010")</f>
        <v>#NAME?</v>
      </c>
      <c r="P1696" s="23" t="e">
        <f ca="1">[1]!BexGetData("DP_1","003N8EMH8GTFRIVOG7KG9J9VY","GSON1112130010")</f>
        <v>#NAME?</v>
      </c>
      <c r="Q1696" s="23" t="e">
        <f ca="1">[1]!BexGetData("DP_1","00O2TNJGODT0G5Z4TTKYMM5MT","GSON1112130010")</f>
        <v>#NAME?</v>
      </c>
      <c r="R1696" s="23" t="e">
        <f ca="1">[1]!BexGetData("DP_1","00O2TNJGODT0G5Z4TTKYMMBYD","GSON1112130010")</f>
        <v>#NAME?</v>
      </c>
      <c r="S1696" s="23" t="e">
        <f ca="1">[1]!BexGetData("DP_1","00O2TNJGODT0G5Z4TTKYMMI9X","GSON1112130010")</f>
        <v>#NAME?</v>
      </c>
      <c r="T1696" s="23" t="e">
        <f ca="1">[1]!BexGetData("DP_1","00O2TNJGODT0G5Z4TTKYMMOLH","GSON1112130010")</f>
        <v>#NAME?</v>
      </c>
      <c r="U1696" s="28" t="e">
        <f ca="1">[1]!BexGetData("DP_1","00O2TNJGODT0G5Z4TTKYMMUX1","GSON1112130010")</f>
        <v>#NAME?</v>
      </c>
      <c r="V1696" s="23" t="e">
        <f ca="1">[1]!BexGetData("DP_1","00O2TNJGODT0G5Z4TTKYMN18L","GSON1112130010")</f>
        <v>#NAME?</v>
      </c>
      <c r="W1696" s="28" t="e">
        <f ca="1">[1]!BexGetData("DP_1","00O2TNJGODT0G5Z4TTKYMN7K5","GSON1112130010")</f>
        <v>#NAME?</v>
      </c>
    </row>
    <row r="1697" spans="1:23" x14ac:dyDescent="0.2">
      <c r="A1697" s="36" t="s">
        <v>1140</v>
      </c>
      <c r="B1697" s="27" t="s">
        <v>1141</v>
      </c>
      <c r="C1697" s="23" t="e">
        <f ca="1">[1]!BexGetData("DP_1","003N8EMH8GTFRCSWKMPXRR8GU","GSON1112130011")</f>
        <v>#NAME?</v>
      </c>
      <c r="D1697" s="23" t="e">
        <f ca="1">[1]!BexGetData("DP_1","003N8EMH8GTFRCSWKMPXRRESE","GSON1112130011")</f>
        <v>#NAME?</v>
      </c>
      <c r="E1697" s="28" t="e">
        <f ca="1">[1]!BexGetData("DP_1","003N8EMH8GTFRCSWKMPXRRL3Y","GSON1112130011")</f>
        <v>#NAME?</v>
      </c>
      <c r="F1697" s="28" t="e">
        <f ca="1">[1]!BexGetData("DP_1","003N8EMH8GTFRCSWKMPXRRRFI","GSON1112130011")</f>
        <v>#NAME?</v>
      </c>
      <c r="G1697" s="23" t="e">
        <f ca="1">[1]!BexGetData("DP_1","003N8EMH8GTFRCSWKMPXRRXR2","GSON1112130011")</f>
        <v>#NAME?</v>
      </c>
      <c r="H1697" s="23" t="e">
        <f ca="1">[1]!BexGetData("DP_1","003N8EMH8GTFRCSWKMPXRS42M","GSON1112130011")</f>
        <v>#NAME?</v>
      </c>
      <c r="I1697" s="28" t="e">
        <f ca="1">[1]!BexGetData("DP_1","003N8EMH8GTFRCSWKMPXRSAE6","GSON1112130011")</f>
        <v>#NAME?</v>
      </c>
      <c r="J1697" s="28" t="e">
        <f ca="1">[1]!BexGetData("DP_1","003N8EMH8GTFRCSWKMPXRSGPQ","GSON1112130011")</f>
        <v>#NAME?</v>
      </c>
      <c r="K1697" s="28" t="e">
        <f ca="1">[1]!BexGetData("DP_1","003N8EMH8GTFRIVNUPY288VJH","GSON1112130011")</f>
        <v>#NAME?</v>
      </c>
      <c r="L1697" s="28" t="e">
        <f ca="1">[1]!BexGetData("DP_1","003N8EMH8GTFRIVNUPY2891V1","GSON1112130011")</f>
        <v>#NAME?</v>
      </c>
      <c r="M1697" s="28" t="e">
        <f ca="1">[1]!BexGetData("DP_1","003N8EMH8GTFRIVOG7KG9IQXA","GSON1112130011")</f>
        <v>#NAME?</v>
      </c>
      <c r="N1697" s="28" t="e">
        <f ca="1">[1]!BexGetData("DP_1","003N8EMH8GTFRIVOG7KG9IX8U","GSON1112130011")</f>
        <v>#NAME?</v>
      </c>
      <c r="O1697" s="28" t="e">
        <f ca="1">[1]!BexGetData("DP_1","003N8EMH8GTFRIVOG7KG9J3KE","GSON1112130011")</f>
        <v>#NAME?</v>
      </c>
      <c r="P1697" s="28" t="e">
        <f ca="1">[1]!BexGetData("DP_1","003N8EMH8GTFRIVOG7KG9J9VY","GSON1112130011")</f>
        <v>#NAME?</v>
      </c>
      <c r="Q1697" s="28" t="e">
        <f ca="1">[1]!BexGetData("DP_1","00O2TNJGODT0G5Z4TTKYMM5MT","GSON1112130011")</f>
        <v>#NAME?</v>
      </c>
      <c r="R1697" s="28" t="e">
        <f ca="1">[1]!BexGetData("DP_1","00O2TNJGODT0G5Z4TTKYMMBYD","GSON1112130011")</f>
        <v>#NAME?</v>
      </c>
      <c r="S1697" s="28" t="e">
        <f ca="1">[1]!BexGetData("DP_1","00O2TNJGODT0G5Z4TTKYMMI9X","GSON1112130011")</f>
        <v>#NAME?</v>
      </c>
      <c r="T1697" s="28" t="e">
        <f ca="1">[1]!BexGetData("DP_1","00O2TNJGODT0G5Z4TTKYMMOLH","GSON1112130011")</f>
        <v>#NAME?</v>
      </c>
      <c r="U1697" s="28" t="e">
        <f ca="1">[1]!BexGetData("DP_1","00O2TNJGODT0G5Z4TTKYMMUX1","GSON1112130011")</f>
        <v>#NAME?</v>
      </c>
      <c r="V1697" s="28" t="e">
        <f ca="1">[1]!BexGetData("DP_1","00O2TNJGODT0G5Z4TTKYMN18L","GSON1112130011")</f>
        <v>#NAME?</v>
      </c>
      <c r="W1697" s="28" t="e">
        <f ca="1">[1]!BexGetData("DP_1","00O2TNJGODT0G5Z4TTKYMN7K5","GSON1112130011")</f>
        <v>#NAME?</v>
      </c>
    </row>
    <row r="1698" spans="1:23" x14ac:dyDescent="0.2">
      <c r="A1698" s="36" t="s">
        <v>1142</v>
      </c>
      <c r="B1698" s="27" t="s">
        <v>1143</v>
      </c>
      <c r="C1698" s="23" t="e">
        <f ca="1">[1]!BexGetData("DP_1","003N8EMH8GTFRCSWKMPXRR8GU","GSON1112130013")</f>
        <v>#NAME?</v>
      </c>
      <c r="D1698" s="23" t="e">
        <f ca="1">[1]!BexGetData("DP_1","003N8EMH8GTFRCSWKMPXRRESE","GSON1112130013")</f>
        <v>#NAME?</v>
      </c>
      <c r="E1698" s="23" t="e">
        <f ca="1">[1]!BexGetData("DP_1","003N8EMH8GTFRCSWKMPXRRL3Y","GSON1112130013")</f>
        <v>#NAME?</v>
      </c>
      <c r="F1698" s="28" t="e">
        <f ca="1">[1]!BexGetData("DP_1","003N8EMH8GTFRCSWKMPXRRRFI","GSON1112130013")</f>
        <v>#NAME?</v>
      </c>
      <c r="G1698" s="23" t="e">
        <f ca="1">[1]!BexGetData("DP_1","003N8EMH8GTFRCSWKMPXRRXR2","GSON1112130013")</f>
        <v>#NAME?</v>
      </c>
      <c r="H1698" s="23" t="e">
        <f ca="1">[1]!BexGetData("DP_1","003N8EMH8GTFRCSWKMPXRS42M","GSON1112130013")</f>
        <v>#NAME?</v>
      </c>
      <c r="I1698" s="28" t="e">
        <f ca="1">[1]!BexGetData("DP_1","003N8EMH8GTFRCSWKMPXRSAE6","GSON1112130013")</f>
        <v>#NAME?</v>
      </c>
      <c r="J1698" s="24" t="e">
        <f ca="1">[1]!BexGetData("DP_1","003N8EMH8GTFRCSWKMPXRSGPQ","GSON1112130013")</f>
        <v>#NAME?</v>
      </c>
      <c r="K1698" s="23" t="e">
        <f ca="1">[1]!BexGetData("DP_1","003N8EMH8GTFRIVNUPY288VJH","GSON1112130013")</f>
        <v>#NAME?</v>
      </c>
      <c r="L1698" s="23" t="e">
        <f ca="1">[1]!BexGetData("DP_1","003N8EMH8GTFRIVNUPY2891V1","GSON1112130013")</f>
        <v>#NAME?</v>
      </c>
      <c r="M1698" s="23" t="e">
        <f ca="1">[1]!BexGetData("DP_1","003N8EMH8GTFRIVOG7KG9IQXA","GSON1112130013")</f>
        <v>#NAME?</v>
      </c>
      <c r="N1698" s="28" t="e">
        <f ca="1">[1]!BexGetData("DP_1","003N8EMH8GTFRIVOG7KG9IX8U","GSON1112130013")</f>
        <v>#NAME?</v>
      </c>
      <c r="O1698" s="23" t="e">
        <f ca="1">[1]!BexGetData("DP_1","003N8EMH8GTFRIVOG7KG9J3KE","GSON1112130013")</f>
        <v>#NAME?</v>
      </c>
      <c r="P1698" s="28" t="e">
        <f ca="1">[1]!BexGetData("DP_1","003N8EMH8GTFRIVOG7KG9J9VY","GSON1112130013")</f>
        <v>#NAME?</v>
      </c>
      <c r="Q1698" s="24" t="e">
        <f ca="1">[1]!BexGetData("DP_1","00O2TNJGODT0G5Z4TTKYMM5MT","GSON1112130013")</f>
        <v>#NAME?</v>
      </c>
      <c r="R1698" s="28" t="e">
        <f ca="1">[1]!BexGetData("DP_1","00O2TNJGODT0G5Z4TTKYMMBYD","GSON1112130013")</f>
        <v>#NAME?</v>
      </c>
      <c r="S1698" s="28" t="e">
        <f ca="1">[1]!BexGetData("DP_1","00O2TNJGODT0G5Z4TTKYMMI9X","GSON1112130013")</f>
        <v>#NAME?</v>
      </c>
      <c r="T1698" s="28" t="e">
        <f ca="1">[1]!BexGetData("DP_1","00O2TNJGODT0G5Z4TTKYMMOLH","GSON1112130013")</f>
        <v>#NAME?</v>
      </c>
      <c r="U1698" s="28" t="e">
        <f ca="1">[1]!BexGetData("DP_1","00O2TNJGODT0G5Z4TTKYMMUX1","GSON1112130013")</f>
        <v>#NAME?</v>
      </c>
      <c r="V1698" s="28" t="e">
        <f ca="1">[1]!BexGetData("DP_1","00O2TNJGODT0G5Z4TTKYMN18L","GSON1112130013")</f>
        <v>#NAME?</v>
      </c>
      <c r="W1698" s="28" t="e">
        <f ca="1">[1]!BexGetData("DP_1","00O2TNJGODT0G5Z4TTKYMN7K5","GSON1112130013")</f>
        <v>#NAME?</v>
      </c>
    </row>
    <row r="1699" spans="1:23" x14ac:dyDescent="0.2">
      <c r="A1699" s="36" t="s">
        <v>4464</v>
      </c>
      <c r="B1699" s="27" t="s">
        <v>4465</v>
      </c>
      <c r="C1699" s="24" t="e">
        <f ca="1">[1]!BexGetData("DP_1","003N8EMH8GTFRCSWKMPXRR8GU","GSON1112130014")</f>
        <v>#NAME?</v>
      </c>
      <c r="D1699" s="24" t="e">
        <f ca="1">[1]!BexGetData("DP_1","003N8EMH8GTFRCSWKMPXRRESE","GSON1112130014")</f>
        <v>#NAME?</v>
      </c>
      <c r="E1699" s="24" t="e">
        <f ca="1">[1]!BexGetData("DP_1","003N8EMH8GTFRCSWKMPXRRL3Y","GSON1112130014")</f>
        <v>#NAME?</v>
      </c>
      <c r="F1699" s="28" t="e">
        <f ca="1">[1]!BexGetData("DP_1","003N8EMH8GTFRCSWKMPXRRRFI","GSON1112130014")</f>
        <v>#NAME?</v>
      </c>
      <c r="G1699" s="23" t="e">
        <f ca="1">[1]!BexGetData("DP_1","003N8EMH8GTFRCSWKMPXRRXR2","GSON1112130014")</f>
        <v>#NAME?</v>
      </c>
      <c r="H1699" s="23" t="e">
        <f ca="1">[1]!BexGetData("DP_1","003N8EMH8GTFRCSWKMPXRS42M","GSON1112130014")</f>
        <v>#NAME?</v>
      </c>
      <c r="I1699" s="28" t="e">
        <f ca="1">[1]!BexGetData("DP_1","003N8EMH8GTFRCSWKMPXRSAE6","GSON1112130014")</f>
        <v>#NAME?</v>
      </c>
      <c r="J1699" s="24" t="e">
        <f ca="1">[1]!BexGetData("DP_1","003N8EMH8GTFRCSWKMPXRSGPQ","GSON1112130014")</f>
        <v>#NAME?</v>
      </c>
      <c r="K1699" s="28" t="e">
        <f ca="1">[1]!BexGetData("DP_1","003N8EMH8GTFRIVNUPY288VJH","GSON1112130014")</f>
        <v>#NAME?</v>
      </c>
      <c r="L1699" s="28" t="e">
        <f ca="1">[1]!BexGetData("DP_1","003N8EMH8GTFRIVNUPY2891V1","GSON1112130014")</f>
        <v>#NAME?</v>
      </c>
      <c r="M1699" s="28" t="e">
        <f ca="1">[1]!BexGetData("DP_1","003N8EMH8GTFRIVOG7KG9IQXA","GSON1112130014")</f>
        <v>#NAME?</v>
      </c>
      <c r="N1699" s="28" t="e">
        <f ca="1">[1]!BexGetData("DP_1","003N8EMH8GTFRIVOG7KG9IX8U","GSON1112130014")</f>
        <v>#NAME?</v>
      </c>
      <c r="O1699" s="28" t="e">
        <f ca="1">[1]!BexGetData("DP_1","003N8EMH8GTFRIVOG7KG9J3KE","GSON1112130014")</f>
        <v>#NAME?</v>
      </c>
      <c r="P1699" s="28" t="e">
        <f ca="1">[1]!BexGetData("DP_1","003N8EMH8GTFRIVOG7KG9J9VY","GSON1112130014")</f>
        <v>#NAME?</v>
      </c>
      <c r="Q1699" s="24" t="e">
        <f ca="1">[1]!BexGetData("DP_1","00O2TNJGODT0G5Z4TTKYMM5MT","GSON1112130014")</f>
        <v>#NAME?</v>
      </c>
      <c r="R1699" s="28" t="e">
        <f ca="1">[1]!BexGetData("DP_1","00O2TNJGODT0G5Z4TTKYMMBYD","GSON1112130014")</f>
        <v>#NAME?</v>
      </c>
      <c r="S1699" s="28" t="e">
        <f ca="1">[1]!BexGetData("DP_1","00O2TNJGODT0G5Z4TTKYMMI9X","GSON1112130014")</f>
        <v>#NAME?</v>
      </c>
      <c r="T1699" s="28" t="e">
        <f ca="1">[1]!BexGetData("DP_1","00O2TNJGODT0G5Z4TTKYMMOLH","GSON1112130014")</f>
        <v>#NAME?</v>
      </c>
      <c r="U1699" s="28" t="e">
        <f ca="1">[1]!BexGetData("DP_1","00O2TNJGODT0G5Z4TTKYMMUX1","GSON1112130014")</f>
        <v>#NAME?</v>
      </c>
      <c r="V1699" s="28" t="e">
        <f ca="1">[1]!BexGetData("DP_1","00O2TNJGODT0G5Z4TTKYMN18L","GSON1112130014")</f>
        <v>#NAME?</v>
      </c>
      <c r="W1699" s="28" t="e">
        <f ca="1">[1]!BexGetData("DP_1","00O2TNJGODT0G5Z4TTKYMN7K5","GSON1112130014")</f>
        <v>#NAME?</v>
      </c>
    </row>
    <row r="1700" spans="1:23" x14ac:dyDescent="0.2">
      <c r="A1700" s="36" t="s">
        <v>4466</v>
      </c>
      <c r="B1700" s="27" t="s">
        <v>4467</v>
      </c>
      <c r="C1700" s="23" t="e">
        <f ca="1">[1]!BexGetData("DP_1","003N8EMH8GTFRCSWKMPXRR8GU","GSON1112130015")</f>
        <v>#NAME?</v>
      </c>
      <c r="D1700" s="23" t="e">
        <f ca="1">[1]!BexGetData("DP_1","003N8EMH8GTFRCSWKMPXRRESE","GSON1112130015")</f>
        <v>#NAME?</v>
      </c>
      <c r="E1700" s="28" t="e">
        <f ca="1">[1]!BexGetData("DP_1","003N8EMH8GTFRCSWKMPXRRL3Y","GSON1112130015")</f>
        <v>#NAME?</v>
      </c>
      <c r="F1700" s="24" t="e">
        <f ca="1">[1]!BexGetData("DP_1","003N8EMH8GTFRCSWKMPXRRRFI","GSON1112130015")</f>
        <v>#NAME?</v>
      </c>
      <c r="G1700" s="24" t="e">
        <f ca="1">[1]!BexGetData("DP_1","003N8EMH8GTFRCSWKMPXRRXR2","GSON1112130015")</f>
        <v>#NAME?</v>
      </c>
      <c r="H1700" s="24" t="e">
        <f ca="1">[1]!BexGetData("DP_1","003N8EMH8GTFRCSWKMPXRS42M","GSON1112130015")</f>
        <v>#NAME?</v>
      </c>
      <c r="I1700" s="24" t="e">
        <f ca="1">[1]!BexGetData("DP_1","003N8EMH8GTFRCSWKMPXRSAE6","GSON1112130015")</f>
        <v>#NAME?</v>
      </c>
      <c r="J1700" s="24" t="e">
        <f ca="1">[1]!BexGetData("DP_1","003N8EMH8GTFRCSWKMPXRSGPQ","GSON1112130015")</f>
        <v>#NAME?</v>
      </c>
      <c r="K1700" s="28" t="e">
        <f ca="1">[1]!BexGetData("DP_1","003N8EMH8GTFRIVNUPY288VJH","GSON1112130015")</f>
        <v>#NAME?</v>
      </c>
      <c r="L1700" s="28" t="e">
        <f ca="1">[1]!BexGetData("DP_1","003N8EMH8GTFRIVNUPY2891V1","GSON1112130015")</f>
        <v>#NAME?</v>
      </c>
      <c r="M1700" s="28" t="e">
        <f ca="1">[1]!BexGetData("DP_1","003N8EMH8GTFRIVOG7KG9IQXA","GSON1112130015")</f>
        <v>#NAME?</v>
      </c>
      <c r="N1700" s="28" t="e">
        <f ca="1">[1]!BexGetData("DP_1","003N8EMH8GTFRIVOG7KG9IX8U","GSON1112130015")</f>
        <v>#NAME?</v>
      </c>
      <c r="O1700" s="28" t="e">
        <f ca="1">[1]!BexGetData("DP_1","003N8EMH8GTFRIVOG7KG9J3KE","GSON1112130015")</f>
        <v>#NAME?</v>
      </c>
      <c r="P1700" s="28" t="e">
        <f ca="1">[1]!BexGetData("DP_1","003N8EMH8GTFRIVOG7KG9J9VY","GSON1112130015")</f>
        <v>#NAME?</v>
      </c>
      <c r="Q1700" s="24" t="e">
        <f ca="1">[1]!BexGetData("DP_1","00O2TNJGODT0G5Z4TTKYMM5MT","GSON1112130015")</f>
        <v>#NAME?</v>
      </c>
      <c r="R1700" s="24" t="e">
        <f ca="1">[1]!BexGetData("DP_1","00O2TNJGODT0G5Z4TTKYMMBYD","GSON1112130015")</f>
        <v>#NAME?</v>
      </c>
      <c r="S1700" s="24" t="e">
        <f ca="1">[1]!BexGetData("DP_1","00O2TNJGODT0G5Z4TTKYMMI9X","GSON1112130015")</f>
        <v>#NAME?</v>
      </c>
      <c r="T1700" s="24" t="e">
        <f ca="1">[1]!BexGetData("DP_1","00O2TNJGODT0G5Z4TTKYMMOLH","GSON1112130015")</f>
        <v>#NAME?</v>
      </c>
      <c r="U1700" s="24" t="e">
        <f ca="1">[1]!BexGetData("DP_1","00O2TNJGODT0G5Z4TTKYMMUX1","GSON1112130015")</f>
        <v>#NAME?</v>
      </c>
      <c r="V1700" s="24" t="e">
        <f ca="1">[1]!BexGetData("DP_1","00O2TNJGODT0G5Z4TTKYMN18L","GSON1112130015")</f>
        <v>#NAME?</v>
      </c>
      <c r="W1700" s="24" t="e">
        <f ca="1">[1]!BexGetData("DP_1","00O2TNJGODT0G5Z4TTKYMN7K5","GSON1112130015")</f>
        <v>#NAME?</v>
      </c>
    </row>
    <row r="1701" spans="1:23" x14ac:dyDescent="0.2">
      <c r="A1701" s="36" t="s">
        <v>4468</v>
      </c>
      <c r="B1701" s="27" t="s">
        <v>4469</v>
      </c>
      <c r="C1701" s="23" t="e">
        <f ca="1">[1]!BexGetData("DP_1","003N8EMH8GTFRCSWKMPXRR8GU","GSON1112130030")</f>
        <v>#NAME?</v>
      </c>
      <c r="D1701" s="28" t="e">
        <f ca="1">[1]!BexGetData("DP_1","003N8EMH8GTFRCSWKMPXRRESE","GSON1112130030")</f>
        <v>#NAME?</v>
      </c>
      <c r="E1701" s="23" t="e">
        <f ca="1">[1]!BexGetData("DP_1","003N8EMH8GTFRCSWKMPXRRL3Y","GSON1112130030")</f>
        <v>#NAME?</v>
      </c>
      <c r="F1701" s="23" t="e">
        <f ca="1">[1]!BexGetData("DP_1","003N8EMH8GTFRCSWKMPXRRRFI","GSON1112130030")</f>
        <v>#NAME?</v>
      </c>
      <c r="G1701" s="23" t="e">
        <f ca="1">[1]!BexGetData("DP_1","003N8EMH8GTFRCSWKMPXRRXR2","GSON1112130030")</f>
        <v>#NAME?</v>
      </c>
      <c r="H1701" s="23" t="e">
        <f ca="1">[1]!BexGetData("DP_1","003N8EMH8GTFRCSWKMPXRS42M","GSON1112130030")</f>
        <v>#NAME?</v>
      </c>
      <c r="I1701" s="23" t="e">
        <f ca="1">[1]!BexGetData("DP_1","003N8EMH8GTFRCSWKMPXRSAE6","GSON1112130030")</f>
        <v>#NAME?</v>
      </c>
      <c r="J1701" s="23" t="e">
        <f ca="1">[1]!BexGetData("DP_1","003N8EMH8GTFRCSWKMPXRSGPQ","GSON1112130030")</f>
        <v>#NAME?</v>
      </c>
      <c r="K1701" s="23" t="e">
        <f ca="1">[1]!BexGetData("DP_1","003N8EMH8GTFRIVNUPY288VJH","GSON1112130030")</f>
        <v>#NAME?</v>
      </c>
      <c r="L1701" s="23" t="e">
        <f ca="1">[1]!BexGetData("DP_1","003N8EMH8GTFRIVNUPY2891V1","GSON1112130030")</f>
        <v>#NAME?</v>
      </c>
      <c r="M1701" s="28" t="e">
        <f ca="1">[1]!BexGetData("DP_1","003N8EMH8GTFRIVOG7KG9IQXA","GSON1112130030")</f>
        <v>#NAME?</v>
      </c>
      <c r="N1701" s="23" t="e">
        <f ca="1">[1]!BexGetData("DP_1","003N8EMH8GTFRIVOG7KG9IX8U","GSON1112130030")</f>
        <v>#NAME?</v>
      </c>
      <c r="O1701" s="28" t="e">
        <f ca="1">[1]!BexGetData("DP_1","003N8EMH8GTFRIVOG7KG9J3KE","GSON1112130030")</f>
        <v>#NAME?</v>
      </c>
      <c r="P1701" s="23" t="e">
        <f ca="1">[1]!BexGetData("DP_1","003N8EMH8GTFRIVOG7KG9J9VY","GSON1112130030")</f>
        <v>#NAME?</v>
      </c>
      <c r="Q1701" s="23" t="e">
        <f ca="1">[1]!BexGetData("DP_1","00O2TNJGODT0G5Z4TTKYMM5MT","GSON1112130030")</f>
        <v>#NAME?</v>
      </c>
      <c r="R1701" s="23" t="e">
        <f ca="1">[1]!BexGetData("DP_1","00O2TNJGODT0G5Z4TTKYMMBYD","GSON1112130030")</f>
        <v>#NAME?</v>
      </c>
      <c r="S1701" s="23" t="e">
        <f ca="1">[1]!BexGetData("DP_1","00O2TNJGODT0G5Z4TTKYMMI9X","GSON1112130030")</f>
        <v>#NAME?</v>
      </c>
      <c r="T1701" s="28" t="e">
        <f ca="1">[1]!BexGetData("DP_1","00O2TNJGODT0G5Z4TTKYMMOLH","GSON1112130030")</f>
        <v>#NAME?</v>
      </c>
      <c r="U1701" s="23" t="e">
        <f ca="1">[1]!BexGetData("DP_1","00O2TNJGODT0G5Z4TTKYMMUX1","GSON1112130030")</f>
        <v>#NAME?</v>
      </c>
      <c r="V1701" s="28" t="e">
        <f ca="1">[1]!BexGetData("DP_1","00O2TNJGODT0G5Z4TTKYMN18L","GSON1112130030")</f>
        <v>#NAME?</v>
      </c>
      <c r="W1701" s="23" t="e">
        <f ca="1">[1]!BexGetData("DP_1","00O2TNJGODT0G5Z4TTKYMN7K5","GSON1112130030")</f>
        <v>#NAME?</v>
      </c>
    </row>
    <row r="1702" spans="1:23" x14ac:dyDescent="0.2">
      <c r="A1702" s="36" t="s">
        <v>4470</v>
      </c>
      <c r="B1702" s="27" t="s">
        <v>4471</v>
      </c>
      <c r="C1702" s="24" t="e">
        <f ca="1">[1]!BexGetData("DP_1","003N8EMH8GTFRCSWKMPXRR8GU","GSON1112130033")</f>
        <v>#NAME?</v>
      </c>
      <c r="D1702" s="24" t="e">
        <f ca="1">[1]!BexGetData("DP_1","003N8EMH8GTFRCSWKMPXRRESE","GSON1112130033")</f>
        <v>#NAME?</v>
      </c>
      <c r="E1702" s="24" t="e">
        <f ca="1">[1]!BexGetData("DP_1","003N8EMH8GTFRCSWKMPXRRL3Y","GSON1112130033")</f>
        <v>#NAME?</v>
      </c>
      <c r="F1702" s="28" t="e">
        <f ca="1">[1]!BexGetData("DP_1","003N8EMH8GTFRCSWKMPXRRRFI","GSON1112130033")</f>
        <v>#NAME?</v>
      </c>
      <c r="G1702" s="23" t="e">
        <f ca="1">[1]!BexGetData("DP_1","003N8EMH8GTFRCSWKMPXRRXR2","GSON1112130033")</f>
        <v>#NAME?</v>
      </c>
      <c r="H1702" s="23" t="e">
        <f ca="1">[1]!BexGetData("DP_1","003N8EMH8GTFRCSWKMPXRS42M","GSON1112130033")</f>
        <v>#NAME?</v>
      </c>
      <c r="I1702" s="28" t="e">
        <f ca="1">[1]!BexGetData("DP_1","003N8EMH8GTFRCSWKMPXRSAE6","GSON1112130033")</f>
        <v>#NAME?</v>
      </c>
      <c r="J1702" s="24" t="e">
        <f ca="1">[1]!BexGetData("DP_1","003N8EMH8GTFRCSWKMPXRSGPQ","GSON1112130033")</f>
        <v>#NAME?</v>
      </c>
      <c r="K1702" s="28" t="e">
        <f ca="1">[1]!BexGetData("DP_1","003N8EMH8GTFRIVNUPY288VJH","GSON1112130033")</f>
        <v>#NAME?</v>
      </c>
      <c r="L1702" s="28" t="e">
        <f ca="1">[1]!BexGetData("DP_1","003N8EMH8GTFRIVNUPY2891V1","GSON1112130033")</f>
        <v>#NAME?</v>
      </c>
      <c r="M1702" s="28" t="e">
        <f ca="1">[1]!BexGetData("DP_1","003N8EMH8GTFRIVOG7KG9IQXA","GSON1112130033")</f>
        <v>#NAME?</v>
      </c>
      <c r="N1702" s="28" t="e">
        <f ca="1">[1]!BexGetData("DP_1","003N8EMH8GTFRIVOG7KG9IX8U","GSON1112130033")</f>
        <v>#NAME?</v>
      </c>
      <c r="O1702" s="28" t="e">
        <f ca="1">[1]!BexGetData("DP_1","003N8EMH8GTFRIVOG7KG9J3KE","GSON1112130033")</f>
        <v>#NAME?</v>
      </c>
      <c r="P1702" s="28" t="e">
        <f ca="1">[1]!BexGetData("DP_1","003N8EMH8GTFRIVOG7KG9J9VY","GSON1112130033")</f>
        <v>#NAME?</v>
      </c>
      <c r="Q1702" s="24" t="e">
        <f ca="1">[1]!BexGetData("DP_1","00O2TNJGODT0G5Z4TTKYMM5MT","GSON1112130033")</f>
        <v>#NAME?</v>
      </c>
      <c r="R1702" s="28" t="e">
        <f ca="1">[1]!BexGetData("DP_1","00O2TNJGODT0G5Z4TTKYMMBYD","GSON1112130033")</f>
        <v>#NAME?</v>
      </c>
      <c r="S1702" s="28" t="e">
        <f ca="1">[1]!BexGetData("DP_1","00O2TNJGODT0G5Z4TTKYMMI9X","GSON1112130033")</f>
        <v>#NAME?</v>
      </c>
      <c r="T1702" s="28" t="e">
        <f ca="1">[1]!BexGetData("DP_1","00O2TNJGODT0G5Z4TTKYMMOLH","GSON1112130033")</f>
        <v>#NAME?</v>
      </c>
      <c r="U1702" s="28" t="e">
        <f ca="1">[1]!BexGetData("DP_1","00O2TNJGODT0G5Z4TTKYMMUX1","GSON1112130033")</f>
        <v>#NAME?</v>
      </c>
      <c r="V1702" s="28" t="e">
        <f ca="1">[1]!BexGetData("DP_1","00O2TNJGODT0G5Z4TTKYMN18L","GSON1112130033")</f>
        <v>#NAME?</v>
      </c>
      <c r="W1702" s="28" t="e">
        <f ca="1">[1]!BexGetData("DP_1","00O2TNJGODT0G5Z4TTKYMN7K5","GSON1112130033")</f>
        <v>#NAME?</v>
      </c>
    </row>
    <row r="1703" spans="1:23" x14ac:dyDescent="0.2">
      <c r="A1703" s="36" t="s">
        <v>4472</v>
      </c>
      <c r="B1703" s="27" t="s">
        <v>4473</v>
      </c>
      <c r="C1703" s="23" t="e">
        <f ca="1">[1]!BexGetData("DP_1","003N8EMH8GTFRCSWKMPXRR8GU","GSON1112130035")</f>
        <v>#NAME?</v>
      </c>
      <c r="D1703" s="23" t="e">
        <f ca="1">[1]!BexGetData("DP_1","003N8EMH8GTFRCSWKMPXRRESE","GSON1112130035")</f>
        <v>#NAME?</v>
      </c>
      <c r="E1703" s="28" t="e">
        <f ca="1">[1]!BexGetData("DP_1","003N8EMH8GTFRCSWKMPXRRL3Y","GSON1112130035")</f>
        <v>#NAME?</v>
      </c>
      <c r="F1703" s="28" t="e">
        <f ca="1">[1]!BexGetData("DP_1","003N8EMH8GTFRCSWKMPXRRRFI","GSON1112130035")</f>
        <v>#NAME?</v>
      </c>
      <c r="G1703" s="23" t="e">
        <f ca="1">[1]!BexGetData("DP_1","003N8EMH8GTFRCSWKMPXRRXR2","GSON1112130035")</f>
        <v>#NAME?</v>
      </c>
      <c r="H1703" s="23" t="e">
        <f ca="1">[1]!BexGetData("DP_1","003N8EMH8GTFRCSWKMPXRS42M","GSON1112130035")</f>
        <v>#NAME?</v>
      </c>
      <c r="I1703" s="28" t="e">
        <f ca="1">[1]!BexGetData("DP_1","003N8EMH8GTFRCSWKMPXRSAE6","GSON1112130035")</f>
        <v>#NAME?</v>
      </c>
      <c r="J1703" s="24" t="e">
        <f ca="1">[1]!BexGetData("DP_1","003N8EMH8GTFRCSWKMPXRSGPQ","GSON1112130035")</f>
        <v>#NAME?</v>
      </c>
      <c r="K1703" s="28" t="e">
        <f ca="1">[1]!BexGetData("DP_1","003N8EMH8GTFRIVNUPY288VJH","GSON1112130035")</f>
        <v>#NAME?</v>
      </c>
      <c r="L1703" s="28" t="e">
        <f ca="1">[1]!BexGetData("DP_1","003N8EMH8GTFRIVNUPY2891V1","GSON1112130035")</f>
        <v>#NAME?</v>
      </c>
      <c r="M1703" s="28" t="e">
        <f ca="1">[1]!BexGetData("DP_1","003N8EMH8GTFRIVOG7KG9IQXA","GSON1112130035")</f>
        <v>#NAME?</v>
      </c>
      <c r="N1703" s="28" t="e">
        <f ca="1">[1]!BexGetData("DP_1","003N8EMH8GTFRIVOG7KG9IX8U","GSON1112130035")</f>
        <v>#NAME?</v>
      </c>
      <c r="O1703" s="28" t="e">
        <f ca="1">[1]!BexGetData("DP_1","003N8EMH8GTFRIVOG7KG9J3KE","GSON1112130035")</f>
        <v>#NAME?</v>
      </c>
      <c r="P1703" s="28" t="e">
        <f ca="1">[1]!BexGetData("DP_1","003N8EMH8GTFRIVOG7KG9J9VY","GSON1112130035")</f>
        <v>#NAME?</v>
      </c>
      <c r="Q1703" s="24" t="e">
        <f ca="1">[1]!BexGetData("DP_1","00O2TNJGODT0G5Z4TTKYMM5MT","GSON1112130035")</f>
        <v>#NAME?</v>
      </c>
      <c r="R1703" s="28" t="e">
        <f ca="1">[1]!BexGetData("DP_1","00O2TNJGODT0G5Z4TTKYMMBYD","GSON1112130035")</f>
        <v>#NAME?</v>
      </c>
      <c r="S1703" s="28" t="e">
        <f ca="1">[1]!BexGetData("DP_1","00O2TNJGODT0G5Z4TTKYMMI9X","GSON1112130035")</f>
        <v>#NAME?</v>
      </c>
      <c r="T1703" s="28" t="e">
        <f ca="1">[1]!BexGetData("DP_1","00O2TNJGODT0G5Z4TTKYMMOLH","GSON1112130035")</f>
        <v>#NAME?</v>
      </c>
      <c r="U1703" s="28" t="e">
        <f ca="1">[1]!BexGetData("DP_1","00O2TNJGODT0G5Z4TTKYMMUX1","GSON1112130035")</f>
        <v>#NAME?</v>
      </c>
      <c r="V1703" s="28" t="e">
        <f ca="1">[1]!BexGetData("DP_1","00O2TNJGODT0G5Z4TTKYMN18L","GSON1112130035")</f>
        <v>#NAME?</v>
      </c>
      <c r="W1703" s="28" t="e">
        <f ca="1">[1]!BexGetData("DP_1","00O2TNJGODT0G5Z4TTKYMN7K5","GSON1112130035")</f>
        <v>#NAME?</v>
      </c>
    </row>
    <row r="1704" spans="1:23" x14ac:dyDescent="0.2">
      <c r="A1704" s="36" t="s">
        <v>4474</v>
      </c>
      <c r="B1704" s="27" t="s">
        <v>1144</v>
      </c>
      <c r="C1704" s="23" t="e">
        <f ca="1">[1]!BexGetData("DP_1","003N8EMH8GTFRCSWKMPXRR8GU","GSON1112130050")</f>
        <v>#NAME?</v>
      </c>
      <c r="D1704" s="23" t="e">
        <f ca="1">[1]!BexGetData("DP_1","003N8EMH8GTFRCSWKMPXRRESE","GSON1112130050")</f>
        <v>#NAME?</v>
      </c>
      <c r="E1704" s="23" t="e">
        <f ca="1">[1]!BexGetData("DP_1","003N8EMH8GTFRCSWKMPXRRL3Y","GSON1112130050")</f>
        <v>#NAME?</v>
      </c>
      <c r="F1704" s="23" t="e">
        <f ca="1">[1]!BexGetData("DP_1","003N8EMH8GTFRCSWKMPXRRRFI","GSON1112130050")</f>
        <v>#NAME?</v>
      </c>
      <c r="G1704" s="23" t="e">
        <f ca="1">[1]!BexGetData("DP_1","003N8EMH8GTFRCSWKMPXRRXR2","GSON1112130050")</f>
        <v>#NAME?</v>
      </c>
      <c r="H1704" s="23" t="e">
        <f ca="1">[1]!BexGetData("DP_1","003N8EMH8GTFRCSWKMPXRS42M","GSON1112130050")</f>
        <v>#NAME?</v>
      </c>
      <c r="I1704" s="23" t="e">
        <f ca="1">[1]!BexGetData("DP_1","003N8EMH8GTFRCSWKMPXRSAE6","GSON1112130050")</f>
        <v>#NAME?</v>
      </c>
      <c r="J1704" s="23" t="e">
        <f ca="1">[1]!BexGetData("DP_1","003N8EMH8GTFRCSWKMPXRSGPQ","GSON1112130050")</f>
        <v>#NAME?</v>
      </c>
      <c r="K1704" s="23" t="e">
        <f ca="1">[1]!BexGetData("DP_1","003N8EMH8GTFRIVNUPY288VJH","GSON1112130050")</f>
        <v>#NAME?</v>
      </c>
      <c r="L1704" s="23" t="e">
        <f ca="1">[1]!BexGetData("DP_1","003N8EMH8GTFRIVNUPY2891V1","GSON1112130050")</f>
        <v>#NAME?</v>
      </c>
      <c r="M1704" s="23" t="e">
        <f ca="1">[1]!BexGetData("DP_1","003N8EMH8GTFRIVOG7KG9IQXA","GSON1112130050")</f>
        <v>#NAME?</v>
      </c>
      <c r="N1704" s="28" t="e">
        <f ca="1">[1]!BexGetData("DP_1","003N8EMH8GTFRIVOG7KG9IX8U","GSON1112130050")</f>
        <v>#NAME?</v>
      </c>
      <c r="O1704" s="23" t="e">
        <f ca="1">[1]!BexGetData("DP_1","003N8EMH8GTFRIVOG7KG9J3KE","GSON1112130050")</f>
        <v>#NAME?</v>
      </c>
      <c r="P1704" s="28" t="e">
        <f ca="1">[1]!BexGetData("DP_1","003N8EMH8GTFRIVOG7KG9J9VY","GSON1112130050")</f>
        <v>#NAME?</v>
      </c>
      <c r="Q1704" s="23" t="e">
        <f ca="1">[1]!BexGetData("DP_1","00O2TNJGODT0G5Z4TTKYMM5MT","GSON1112130050")</f>
        <v>#NAME?</v>
      </c>
      <c r="R1704" s="23" t="e">
        <f ca="1">[1]!BexGetData("DP_1","00O2TNJGODT0G5Z4TTKYMMBYD","GSON1112130050")</f>
        <v>#NAME?</v>
      </c>
      <c r="S1704" s="23" t="e">
        <f ca="1">[1]!BexGetData("DP_1","00O2TNJGODT0G5Z4TTKYMMI9X","GSON1112130050")</f>
        <v>#NAME?</v>
      </c>
      <c r="T1704" s="23" t="e">
        <f ca="1">[1]!BexGetData("DP_1","00O2TNJGODT0G5Z4TTKYMMOLH","GSON1112130050")</f>
        <v>#NAME?</v>
      </c>
      <c r="U1704" s="28" t="e">
        <f ca="1">[1]!BexGetData("DP_1","00O2TNJGODT0G5Z4TTKYMMUX1","GSON1112130050")</f>
        <v>#NAME?</v>
      </c>
      <c r="V1704" s="23" t="e">
        <f ca="1">[1]!BexGetData("DP_1","00O2TNJGODT0G5Z4TTKYMN18L","GSON1112130050")</f>
        <v>#NAME?</v>
      </c>
      <c r="W1704" s="28" t="e">
        <f ca="1">[1]!BexGetData("DP_1","00O2TNJGODT0G5Z4TTKYMN7K5","GSON1112130050")</f>
        <v>#NAME?</v>
      </c>
    </row>
    <row r="1705" spans="1:23" x14ac:dyDescent="0.2">
      <c r="A1705" s="36" t="s">
        <v>1145</v>
      </c>
      <c r="B1705" s="27" t="s">
        <v>1146</v>
      </c>
      <c r="C1705" s="23" t="e">
        <f ca="1">[1]!BexGetData("DP_1","003N8EMH8GTFRCSWKMPXRR8GU","GSON1112130051")</f>
        <v>#NAME?</v>
      </c>
      <c r="D1705" s="23" t="e">
        <f ca="1">[1]!BexGetData("DP_1","003N8EMH8GTFRCSWKMPXRRESE","GSON1112130051")</f>
        <v>#NAME?</v>
      </c>
      <c r="E1705" s="28" t="e">
        <f ca="1">[1]!BexGetData("DP_1","003N8EMH8GTFRCSWKMPXRRL3Y","GSON1112130051")</f>
        <v>#NAME?</v>
      </c>
      <c r="F1705" s="28" t="e">
        <f ca="1">[1]!BexGetData("DP_1","003N8EMH8GTFRCSWKMPXRRRFI","GSON1112130051")</f>
        <v>#NAME?</v>
      </c>
      <c r="G1705" s="23" t="e">
        <f ca="1">[1]!BexGetData("DP_1","003N8EMH8GTFRCSWKMPXRRXR2","GSON1112130051")</f>
        <v>#NAME?</v>
      </c>
      <c r="H1705" s="23" t="e">
        <f ca="1">[1]!BexGetData("DP_1","003N8EMH8GTFRCSWKMPXRS42M","GSON1112130051")</f>
        <v>#NAME?</v>
      </c>
      <c r="I1705" s="28" t="e">
        <f ca="1">[1]!BexGetData("DP_1","003N8EMH8GTFRCSWKMPXRSAE6","GSON1112130051")</f>
        <v>#NAME?</v>
      </c>
      <c r="J1705" s="24" t="e">
        <f ca="1">[1]!BexGetData("DP_1","003N8EMH8GTFRCSWKMPXRSGPQ","GSON1112130051")</f>
        <v>#NAME?</v>
      </c>
      <c r="K1705" s="28" t="e">
        <f ca="1">[1]!BexGetData("DP_1","003N8EMH8GTFRIVNUPY288VJH","GSON1112130051")</f>
        <v>#NAME?</v>
      </c>
      <c r="L1705" s="28" t="e">
        <f ca="1">[1]!BexGetData("DP_1","003N8EMH8GTFRIVNUPY2891V1","GSON1112130051")</f>
        <v>#NAME?</v>
      </c>
      <c r="M1705" s="28" t="e">
        <f ca="1">[1]!BexGetData("DP_1","003N8EMH8GTFRIVOG7KG9IQXA","GSON1112130051")</f>
        <v>#NAME?</v>
      </c>
      <c r="N1705" s="28" t="e">
        <f ca="1">[1]!BexGetData("DP_1","003N8EMH8GTFRIVOG7KG9IX8U","GSON1112130051")</f>
        <v>#NAME?</v>
      </c>
      <c r="O1705" s="28" t="e">
        <f ca="1">[1]!BexGetData("DP_1","003N8EMH8GTFRIVOG7KG9J3KE","GSON1112130051")</f>
        <v>#NAME?</v>
      </c>
      <c r="P1705" s="28" t="e">
        <f ca="1">[1]!BexGetData("DP_1","003N8EMH8GTFRIVOG7KG9J9VY","GSON1112130051")</f>
        <v>#NAME?</v>
      </c>
      <c r="Q1705" s="24" t="e">
        <f ca="1">[1]!BexGetData("DP_1","00O2TNJGODT0G5Z4TTKYMM5MT","GSON1112130051")</f>
        <v>#NAME?</v>
      </c>
      <c r="R1705" s="28" t="e">
        <f ca="1">[1]!BexGetData("DP_1","00O2TNJGODT0G5Z4TTKYMMBYD","GSON1112130051")</f>
        <v>#NAME?</v>
      </c>
      <c r="S1705" s="28" t="e">
        <f ca="1">[1]!BexGetData("DP_1","00O2TNJGODT0G5Z4TTKYMMI9X","GSON1112130051")</f>
        <v>#NAME?</v>
      </c>
      <c r="T1705" s="28" t="e">
        <f ca="1">[1]!BexGetData("DP_1","00O2TNJGODT0G5Z4TTKYMMOLH","GSON1112130051")</f>
        <v>#NAME?</v>
      </c>
      <c r="U1705" s="28" t="e">
        <f ca="1">[1]!BexGetData("DP_1","00O2TNJGODT0G5Z4TTKYMMUX1","GSON1112130051")</f>
        <v>#NAME?</v>
      </c>
      <c r="V1705" s="28" t="e">
        <f ca="1">[1]!BexGetData("DP_1","00O2TNJGODT0G5Z4TTKYMN18L","GSON1112130051")</f>
        <v>#NAME?</v>
      </c>
      <c r="W1705" s="28" t="e">
        <f ca="1">[1]!BexGetData("DP_1","00O2TNJGODT0G5Z4TTKYMN7K5","GSON1112130051")</f>
        <v>#NAME?</v>
      </c>
    </row>
    <row r="1706" spans="1:23" x14ac:dyDescent="0.2">
      <c r="A1706" s="36" t="s">
        <v>1147</v>
      </c>
      <c r="B1706" s="27" t="s">
        <v>1148</v>
      </c>
      <c r="C1706" s="23" t="e">
        <f ca="1">[1]!BexGetData("DP_1","003N8EMH8GTFRCSWKMPXRR8GU","GSON1112130053")</f>
        <v>#NAME?</v>
      </c>
      <c r="D1706" s="23" t="e">
        <f ca="1">[1]!BexGetData("DP_1","003N8EMH8GTFRCSWKMPXRRESE","GSON1112130053")</f>
        <v>#NAME?</v>
      </c>
      <c r="E1706" s="28" t="e">
        <f ca="1">[1]!BexGetData("DP_1","003N8EMH8GTFRCSWKMPXRRL3Y","GSON1112130053")</f>
        <v>#NAME?</v>
      </c>
      <c r="F1706" s="28" t="e">
        <f ca="1">[1]!BexGetData("DP_1","003N8EMH8GTFRCSWKMPXRRRFI","GSON1112130053")</f>
        <v>#NAME?</v>
      </c>
      <c r="G1706" s="23" t="e">
        <f ca="1">[1]!BexGetData("DP_1","003N8EMH8GTFRCSWKMPXRRXR2","GSON1112130053")</f>
        <v>#NAME?</v>
      </c>
      <c r="H1706" s="23" t="e">
        <f ca="1">[1]!BexGetData("DP_1","003N8EMH8GTFRCSWKMPXRS42M","GSON1112130053")</f>
        <v>#NAME?</v>
      </c>
      <c r="I1706" s="28" t="e">
        <f ca="1">[1]!BexGetData("DP_1","003N8EMH8GTFRCSWKMPXRSAE6","GSON1112130053")</f>
        <v>#NAME?</v>
      </c>
      <c r="J1706" s="24" t="e">
        <f ca="1">[1]!BexGetData("DP_1","003N8EMH8GTFRCSWKMPXRSGPQ","GSON1112130053")</f>
        <v>#NAME?</v>
      </c>
      <c r="K1706" s="28" t="e">
        <f ca="1">[1]!BexGetData("DP_1","003N8EMH8GTFRIVNUPY288VJH","GSON1112130053")</f>
        <v>#NAME?</v>
      </c>
      <c r="L1706" s="28" t="e">
        <f ca="1">[1]!BexGetData("DP_1","003N8EMH8GTFRIVNUPY2891V1","GSON1112130053")</f>
        <v>#NAME?</v>
      </c>
      <c r="M1706" s="28" t="e">
        <f ca="1">[1]!BexGetData("DP_1","003N8EMH8GTFRIVOG7KG9IQXA","GSON1112130053")</f>
        <v>#NAME?</v>
      </c>
      <c r="N1706" s="28" t="e">
        <f ca="1">[1]!BexGetData("DP_1","003N8EMH8GTFRIVOG7KG9IX8U","GSON1112130053")</f>
        <v>#NAME?</v>
      </c>
      <c r="O1706" s="28" t="e">
        <f ca="1">[1]!BexGetData("DP_1","003N8EMH8GTFRIVOG7KG9J3KE","GSON1112130053")</f>
        <v>#NAME?</v>
      </c>
      <c r="P1706" s="28" t="e">
        <f ca="1">[1]!BexGetData("DP_1","003N8EMH8GTFRIVOG7KG9J9VY","GSON1112130053")</f>
        <v>#NAME?</v>
      </c>
      <c r="Q1706" s="24" t="e">
        <f ca="1">[1]!BexGetData("DP_1","00O2TNJGODT0G5Z4TTKYMM5MT","GSON1112130053")</f>
        <v>#NAME?</v>
      </c>
      <c r="R1706" s="28" t="e">
        <f ca="1">[1]!BexGetData("DP_1","00O2TNJGODT0G5Z4TTKYMMBYD","GSON1112130053")</f>
        <v>#NAME?</v>
      </c>
      <c r="S1706" s="28" t="e">
        <f ca="1">[1]!BexGetData("DP_1","00O2TNJGODT0G5Z4TTKYMMI9X","GSON1112130053")</f>
        <v>#NAME?</v>
      </c>
      <c r="T1706" s="28" t="e">
        <f ca="1">[1]!BexGetData("DP_1","00O2TNJGODT0G5Z4TTKYMMOLH","GSON1112130053")</f>
        <v>#NAME?</v>
      </c>
      <c r="U1706" s="28" t="e">
        <f ca="1">[1]!BexGetData("DP_1","00O2TNJGODT0G5Z4TTKYMMUX1","GSON1112130053")</f>
        <v>#NAME?</v>
      </c>
      <c r="V1706" s="28" t="e">
        <f ca="1">[1]!BexGetData("DP_1","00O2TNJGODT0G5Z4TTKYMN18L","GSON1112130053")</f>
        <v>#NAME?</v>
      </c>
      <c r="W1706" s="28" t="e">
        <f ca="1">[1]!BexGetData("DP_1","00O2TNJGODT0G5Z4TTKYMN7K5","GSON1112130053")</f>
        <v>#NAME?</v>
      </c>
    </row>
    <row r="1707" spans="1:23" x14ac:dyDescent="0.2">
      <c r="A1707" s="36" t="s">
        <v>4475</v>
      </c>
      <c r="B1707" s="27" t="s">
        <v>4476</v>
      </c>
      <c r="C1707" s="23" t="e">
        <f ca="1">[1]!BexGetData("DP_1","003N8EMH8GTFRCSWKMPXRR8GU","GSON1112130055")</f>
        <v>#NAME?</v>
      </c>
      <c r="D1707" s="23" t="e">
        <f ca="1">[1]!BexGetData("DP_1","003N8EMH8GTFRCSWKMPXRRESE","GSON1112130055")</f>
        <v>#NAME?</v>
      </c>
      <c r="E1707" s="28" t="e">
        <f ca="1">[1]!BexGetData("DP_1","003N8EMH8GTFRCSWKMPXRRL3Y","GSON1112130055")</f>
        <v>#NAME?</v>
      </c>
      <c r="F1707" s="24" t="e">
        <f ca="1">[1]!BexGetData("DP_1","003N8EMH8GTFRCSWKMPXRRRFI","GSON1112130055")</f>
        <v>#NAME?</v>
      </c>
      <c r="G1707" s="24" t="e">
        <f ca="1">[1]!BexGetData("DP_1","003N8EMH8GTFRCSWKMPXRRXR2","GSON1112130055")</f>
        <v>#NAME?</v>
      </c>
      <c r="H1707" s="24" t="e">
        <f ca="1">[1]!BexGetData("DP_1","003N8EMH8GTFRCSWKMPXRS42M","GSON1112130055")</f>
        <v>#NAME?</v>
      </c>
      <c r="I1707" s="24" t="e">
        <f ca="1">[1]!BexGetData("DP_1","003N8EMH8GTFRCSWKMPXRSAE6","GSON1112130055")</f>
        <v>#NAME?</v>
      </c>
      <c r="J1707" s="24" t="e">
        <f ca="1">[1]!BexGetData("DP_1","003N8EMH8GTFRCSWKMPXRSGPQ","GSON1112130055")</f>
        <v>#NAME?</v>
      </c>
      <c r="K1707" s="28" t="e">
        <f ca="1">[1]!BexGetData("DP_1","003N8EMH8GTFRIVNUPY288VJH","GSON1112130055")</f>
        <v>#NAME?</v>
      </c>
      <c r="L1707" s="28" t="e">
        <f ca="1">[1]!BexGetData("DP_1","003N8EMH8GTFRIVNUPY2891V1","GSON1112130055")</f>
        <v>#NAME?</v>
      </c>
      <c r="M1707" s="28" t="e">
        <f ca="1">[1]!BexGetData("DP_1","003N8EMH8GTFRIVOG7KG9IQXA","GSON1112130055")</f>
        <v>#NAME?</v>
      </c>
      <c r="N1707" s="28" t="e">
        <f ca="1">[1]!BexGetData("DP_1","003N8EMH8GTFRIVOG7KG9IX8U","GSON1112130055")</f>
        <v>#NAME?</v>
      </c>
      <c r="O1707" s="28" t="e">
        <f ca="1">[1]!BexGetData("DP_1","003N8EMH8GTFRIVOG7KG9J3KE","GSON1112130055")</f>
        <v>#NAME?</v>
      </c>
      <c r="P1707" s="28" t="e">
        <f ca="1">[1]!BexGetData("DP_1","003N8EMH8GTFRIVOG7KG9J9VY","GSON1112130055")</f>
        <v>#NAME?</v>
      </c>
      <c r="Q1707" s="24" t="e">
        <f ca="1">[1]!BexGetData("DP_1","00O2TNJGODT0G5Z4TTKYMM5MT","GSON1112130055")</f>
        <v>#NAME?</v>
      </c>
      <c r="R1707" s="24" t="e">
        <f ca="1">[1]!BexGetData("DP_1","00O2TNJGODT0G5Z4TTKYMMBYD","GSON1112130055")</f>
        <v>#NAME?</v>
      </c>
      <c r="S1707" s="24" t="e">
        <f ca="1">[1]!BexGetData("DP_1","00O2TNJGODT0G5Z4TTKYMMI9X","GSON1112130055")</f>
        <v>#NAME?</v>
      </c>
      <c r="T1707" s="24" t="e">
        <f ca="1">[1]!BexGetData("DP_1","00O2TNJGODT0G5Z4TTKYMMOLH","GSON1112130055")</f>
        <v>#NAME?</v>
      </c>
      <c r="U1707" s="24" t="e">
        <f ca="1">[1]!BexGetData("DP_1","00O2TNJGODT0G5Z4TTKYMMUX1","GSON1112130055")</f>
        <v>#NAME?</v>
      </c>
      <c r="V1707" s="24" t="e">
        <f ca="1">[1]!BexGetData("DP_1","00O2TNJGODT0G5Z4TTKYMN18L","GSON1112130055")</f>
        <v>#NAME?</v>
      </c>
      <c r="W1707" s="24" t="e">
        <f ca="1">[1]!BexGetData("DP_1","00O2TNJGODT0G5Z4TTKYMN7K5","GSON1112130055")</f>
        <v>#NAME?</v>
      </c>
    </row>
    <row r="1708" spans="1:23" x14ac:dyDescent="0.2">
      <c r="A1708" s="36" t="s">
        <v>4477</v>
      </c>
      <c r="B1708" s="27" t="s">
        <v>4478</v>
      </c>
      <c r="C1708" s="23" t="e">
        <f ca="1">[1]!BexGetData("DP_1","003N8EMH8GTFRCSWKMPXRR8GU","GSON1112130060")</f>
        <v>#NAME?</v>
      </c>
      <c r="D1708" s="28" t="e">
        <f ca="1">[1]!BexGetData("DP_1","003N8EMH8GTFRCSWKMPXRRESE","GSON1112130060")</f>
        <v>#NAME?</v>
      </c>
      <c r="E1708" s="23" t="e">
        <f ca="1">[1]!BexGetData("DP_1","003N8EMH8GTFRCSWKMPXRRL3Y","GSON1112130060")</f>
        <v>#NAME?</v>
      </c>
      <c r="F1708" s="23" t="e">
        <f ca="1">[1]!BexGetData("DP_1","003N8EMH8GTFRCSWKMPXRRRFI","GSON1112130060")</f>
        <v>#NAME?</v>
      </c>
      <c r="G1708" s="23" t="e">
        <f ca="1">[1]!BexGetData("DP_1","003N8EMH8GTFRCSWKMPXRRXR2","GSON1112130060")</f>
        <v>#NAME?</v>
      </c>
      <c r="H1708" s="23" t="e">
        <f ca="1">[1]!BexGetData("DP_1","003N8EMH8GTFRCSWKMPXRS42M","GSON1112130060")</f>
        <v>#NAME?</v>
      </c>
      <c r="I1708" s="23" t="e">
        <f ca="1">[1]!BexGetData("DP_1","003N8EMH8GTFRCSWKMPXRSAE6","GSON1112130060")</f>
        <v>#NAME?</v>
      </c>
      <c r="J1708" s="23" t="e">
        <f ca="1">[1]!BexGetData("DP_1","003N8EMH8GTFRCSWKMPXRSGPQ","GSON1112130060")</f>
        <v>#NAME?</v>
      </c>
      <c r="K1708" s="23" t="e">
        <f ca="1">[1]!BexGetData("DP_1","003N8EMH8GTFRIVNUPY288VJH","GSON1112130060")</f>
        <v>#NAME?</v>
      </c>
      <c r="L1708" s="23" t="e">
        <f ca="1">[1]!BexGetData("DP_1","003N8EMH8GTFRIVNUPY2891V1","GSON1112130060")</f>
        <v>#NAME?</v>
      </c>
      <c r="M1708" s="28" t="e">
        <f ca="1">[1]!BexGetData("DP_1","003N8EMH8GTFRIVOG7KG9IQXA","GSON1112130060")</f>
        <v>#NAME?</v>
      </c>
      <c r="N1708" s="23" t="e">
        <f ca="1">[1]!BexGetData("DP_1","003N8EMH8GTFRIVOG7KG9IX8U","GSON1112130060")</f>
        <v>#NAME?</v>
      </c>
      <c r="O1708" s="28" t="e">
        <f ca="1">[1]!BexGetData("DP_1","003N8EMH8GTFRIVOG7KG9J3KE","GSON1112130060")</f>
        <v>#NAME?</v>
      </c>
      <c r="P1708" s="23" t="e">
        <f ca="1">[1]!BexGetData("DP_1","003N8EMH8GTFRIVOG7KG9J9VY","GSON1112130060")</f>
        <v>#NAME?</v>
      </c>
      <c r="Q1708" s="23" t="e">
        <f ca="1">[1]!BexGetData("DP_1","00O2TNJGODT0G5Z4TTKYMM5MT","GSON1112130060")</f>
        <v>#NAME?</v>
      </c>
      <c r="R1708" s="23" t="e">
        <f ca="1">[1]!BexGetData("DP_1","00O2TNJGODT0G5Z4TTKYMMBYD","GSON1112130060")</f>
        <v>#NAME?</v>
      </c>
      <c r="S1708" s="23" t="e">
        <f ca="1">[1]!BexGetData("DP_1","00O2TNJGODT0G5Z4TTKYMMI9X","GSON1112130060")</f>
        <v>#NAME?</v>
      </c>
      <c r="T1708" s="23" t="e">
        <f ca="1">[1]!BexGetData("DP_1","00O2TNJGODT0G5Z4TTKYMMOLH","GSON1112130060")</f>
        <v>#NAME?</v>
      </c>
      <c r="U1708" s="28" t="e">
        <f ca="1">[1]!BexGetData("DP_1","00O2TNJGODT0G5Z4TTKYMMUX1","GSON1112130060")</f>
        <v>#NAME?</v>
      </c>
      <c r="V1708" s="23" t="e">
        <f ca="1">[1]!BexGetData("DP_1","00O2TNJGODT0G5Z4TTKYMN18L","GSON1112130060")</f>
        <v>#NAME?</v>
      </c>
      <c r="W1708" s="28" t="e">
        <f ca="1">[1]!BexGetData("DP_1","00O2TNJGODT0G5Z4TTKYMN7K5","GSON1112130060")</f>
        <v>#NAME?</v>
      </c>
    </row>
    <row r="1709" spans="1:23" x14ac:dyDescent="0.2">
      <c r="A1709" s="36" t="s">
        <v>4479</v>
      </c>
      <c r="B1709" s="27" t="s">
        <v>4480</v>
      </c>
      <c r="C1709" s="24" t="e">
        <f ca="1">[1]!BexGetData("DP_1","003N8EMH8GTFRCSWKMPXRR8GU","GSON1112130063")</f>
        <v>#NAME?</v>
      </c>
      <c r="D1709" s="24" t="e">
        <f ca="1">[1]!BexGetData("DP_1","003N8EMH8GTFRCSWKMPXRRESE","GSON1112130063")</f>
        <v>#NAME?</v>
      </c>
      <c r="E1709" s="24" t="e">
        <f ca="1">[1]!BexGetData("DP_1","003N8EMH8GTFRCSWKMPXRRL3Y","GSON1112130063")</f>
        <v>#NAME?</v>
      </c>
      <c r="F1709" s="28" t="e">
        <f ca="1">[1]!BexGetData("DP_1","003N8EMH8GTFRCSWKMPXRRRFI","GSON1112130063")</f>
        <v>#NAME?</v>
      </c>
      <c r="G1709" s="23" t="e">
        <f ca="1">[1]!BexGetData("DP_1","003N8EMH8GTFRCSWKMPXRRXR2","GSON1112130063")</f>
        <v>#NAME?</v>
      </c>
      <c r="H1709" s="23" t="e">
        <f ca="1">[1]!BexGetData("DP_1","003N8EMH8GTFRCSWKMPXRS42M","GSON1112130063")</f>
        <v>#NAME?</v>
      </c>
      <c r="I1709" s="28" t="e">
        <f ca="1">[1]!BexGetData("DP_1","003N8EMH8GTFRCSWKMPXRSAE6","GSON1112130063")</f>
        <v>#NAME?</v>
      </c>
      <c r="J1709" s="24" t="e">
        <f ca="1">[1]!BexGetData("DP_1","003N8EMH8GTFRCSWKMPXRSGPQ","GSON1112130063")</f>
        <v>#NAME?</v>
      </c>
      <c r="K1709" s="28" t="e">
        <f ca="1">[1]!BexGetData("DP_1","003N8EMH8GTFRIVNUPY288VJH","GSON1112130063")</f>
        <v>#NAME?</v>
      </c>
      <c r="L1709" s="28" t="e">
        <f ca="1">[1]!BexGetData("DP_1","003N8EMH8GTFRIVNUPY2891V1","GSON1112130063")</f>
        <v>#NAME?</v>
      </c>
      <c r="M1709" s="28" t="e">
        <f ca="1">[1]!BexGetData("DP_1","003N8EMH8GTFRIVOG7KG9IQXA","GSON1112130063")</f>
        <v>#NAME?</v>
      </c>
      <c r="N1709" s="28" t="e">
        <f ca="1">[1]!BexGetData("DP_1","003N8EMH8GTFRIVOG7KG9IX8U","GSON1112130063")</f>
        <v>#NAME?</v>
      </c>
      <c r="O1709" s="28" t="e">
        <f ca="1">[1]!BexGetData("DP_1","003N8EMH8GTFRIVOG7KG9J3KE","GSON1112130063")</f>
        <v>#NAME?</v>
      </c>
      <c r="P1709" s="28" t="e">
        <f ca="1">[1]!BexGetData("DP_1","003N8EMH8GTFRIVOG7KG9J9VY","GSON1112130063")</f>
        <v>#NAME?</v>
      </c>
      <c r="Q1709" s="24" t="e">
        <f ca="1">[1]!BexGetData("DP_1","00O2TNJGODT0G5Z4TTKYMM5MT","GSON1112130063")</f>
        <v>#NAME?</v>
      </c>
      <c r="R1709" s="28" t="e">
        <f ca="1">[1]!BexGetData("DP_1","00O2TNJGODT0G5Z4TTKYMMBYD","GSON1112130063")</f>
        <v>#NAME?</v>
      </c>
      <c r="S1709" s="28" t="e">
        <f ca="1">[1]!BexGetData("DP_1","00O2TNJGODT0G5Z4TTKYMMI9X","GSON1112130063")</f>
        <v>#NAME?</v>
      </c>
      <c r="T1709" s="28" t="e">
        <f ca="1">[1]!BexGetData("DP_1","00O2TNJGODT0G5Z4TTKYMMOLH","GSON1112130063")</f>
        <v>#NAME?</v>
      </c>
      <c r="U1709" s="28" t="e">
        <f ca="1">[1]!BexGetData("DP_1","00O2TNJGODT0G5Z4TTKYMMUX1","GSON1112130063")</f>
        <v>#NAME?</v>
      </c>
      <c r="V1709" s="28" t="e">
        <f ca="1">[1]!BexGetData("DP_1","00O2TNJGODT0G5Z4TTKYMN18L","GSON1112130063")</f>
        <v>#NAME?</v>
      </c>
      <c r="W1709" s="28" t="e">
        <f ca="1">[1]!BexGetData("DP_1","00O2TNJGODT0G5Z4TTKYMN7K5","GSON1112130063")</f>
        <v>#NAME?</v>
      </c>
    </row>
    <row r="1710" spans="1:23" x14ac:dyDescent="0.2">
      <c r="A1710" s="36" t="s">
        <v>4481</v>
      </c>
      <c r="B1710" s="27" t="s">
        <v>4482</v>
      </c>
      <c r="C1710" s="23" t="e">
        <f ca="1">[1]!BexGetData("DP_1","003N8EMH8GTFRCSWKMPXRR8GU","GSON1112130065")</f>
        <v>#NAME?</v>
      </c>
      <c r="D1710" s="23" t="e">
        <f ca="1">[1]!BexGetData("DP_1","003N8EMH8GTFRCSWKMPXRRESE","GSON1112130065")</f>
        <v>#NAME?</v>
      </c>
      <c r="E1710" s="28" t="e">
        <f ca="1">[1]!BexGetData("DP_1","003N8EMH8GTFRCSWKMPXRRL3Y","GSON1112130065")</f>
        <v>#NAME?</v>
      </c>
      <c r="F1710" s="28" t="e">
        <f ca="1">[1]!BexGetData("DP_1","003N8EMH8GTFRCSWKMPXRRRFI","GSON1112130065")</f>
        <v>#NAME?</v>
      </c>
      <c r="G1710" s="23" t="e">
        <f ca="1">[1]!BexGetData("DP_1","003N8EMH8GTFRCSWKMPXRRXR2","GSON1112130065")</f>
        <v>#NAME?</v>
      </c>
      <c r="H1710" s="23" t="e">
        <f ca="1">[1]!BexGetData("DP_1","003N8EMH8GTFRCSWKMPXRS42M","GSON1112130065")</f>
        <v>#NAME?</v>
      </c>
      <c r="I1710" s="28" t="e">
        <f ca="1">[1]!BexGetData("DP_1","003N8EMH8GTFRCSWKMPXRSAE6","GSON1112130065")</f>
        <v>#NAME?</v>
      </c>
      <c r="J1710" s="24" t="e">
        <f ca="1">[1]!BexGetData("DP_1","003N8EMH8GTFRCSWKMPXRSGPQ","GSON1112130065")</f>
        <v>#NAME?</v>
      </c>
      <c r="K1710" s="28" t="e">
        <f ca="1">[1]!BexGetData("DP_1","003N8EMH8GTFRIVNUPY288VJH","GSON1112130065")</f>
        <v>#NAME?</v>
      </c>
      <c r="L1710" s="28" t="e">
        <f ca="1">[1]!BexGetData("DP_1","003N8EMH8GTFRIVNUPY2891V1","GSON1112130065")</f>
        <v>#NAME?</v>
      </c>
      <c r="M1710" s="28" t="e">
        <f ca="1">[1]!BexGetData("DP_1","003N8EMH8GTFRIVOG7KG9IQXA","GSON1112130065")</f>
        <v>#NAME?</v>
      </c>
      <c r="N1710" s="28" t="e">
        <f ca="1">[1]!BexGetData("DP_1","003N8EMH8GTFRIVOG7KG9IX8U","GSON1112130065")</f>
        <v>#NAME?</v>
      </c>
      <c r="O1710" s="28" t="e">
        <f ca="1">[1]!BexGetData("DP_1","003N8EMH8GTFRIVOG7KG9J3KE","GSON1112130065")</f>
        <v>#NAME?</v>
      </c>
      <c r="P1710" s="28" t="e">
        <f ca="1">[1]!BexGetData("DP_1","003N8EMH8GTFRIVOG7KG9J9VY","GSON1112130065")</f>
        <v>#NAME?</v>
      </c>
      <c r="Q1710" s="24" t="e">
        <f ca="1">[1]!BexGetData("DP_1","00O2TNJGODT0G5Z4TTKYMM5MT","GSON1112130065")</f>
        <v>#NAME?</v>
      </c>
      <c r="R1710" s="28" t="e">
        <f ca="1">[1]!BexGetData("DP_1","00O2TNJGODT0G5Z4TTKYMMBYD","GSON1112130065")</f>
        <v>#NAME?</v>
      </c>
      <c r="S1710" s="28" t="e">
        <f ca="1">[1]!BexGetData("DP_1","00O2TNJGODT0G5Z4TTKYMMI9X","GSON1112130065")</f>
        <v>#NAME?</v>
      </c>
      <c r="T1710" s="28" t="e">
        <f ca="1">[1]!BexGetData("DP_1","00O2TNJGODT0G5Z4TTKYMMOLH","GSON1112130065")</f>
        <v>#NAME?</v>
      </c>
      <c r="U1710" s="28" t="e">
        <f ca="1">[1]!BexGetData("DP_1","00O2TNJGODT0G5Z4TTKYMMUX1","GSON1112130065")</f>
        <v>#NAME?</v>
      </c>
      <c r="V1710" s="28" t="e">
        <f ca="1">[1]!BexGetData("DP_1","00O2TNJGODT0G5Z4TTKYMN18L","GSON1112130065")</f>
        <v>#NAME?</v>
      </c>
      <c r="W1710" s="28" t="e">
        <f ca="1">[1]!BexGetData("DP_1","00O2TNJGODT0G5Z4TTKYMN7K5","GSON1112130065")</f>
        <v>#NAME?</v>
      </c>
    </row>
    <row r="1711" spans="1:23" x14ac:dyDescent="0.2">
      <c r="A1711" s="36" t="s">
        <v>4483</v>
      </c>
      <c r="B1711" s="27" t="s">
        <v>4484</v>
      </c>
      <c r="C1711" s="23" t="e">
        <f ca="1">[1]!BexGetData("DP_1","003N8EMH8GTFRCSWKMPXRR8GU","GSON1112130080")</f>
        <v>#NAME?</v>
      </c>
      <c r="D1711" s="23" t="e">
        <f ca="1">[1]!BexGetData("DP_1","003N8EMH8GTFRCSWKMPXRRESE","GSON1112130080")</f>
        <v>#NAME?</v>
      </c>
      <c r="E1711" s="28" t="e">
        <f ca="1">[1]!BexGetData("DP_1","003N8EMH8GTFRCSWKMPXRRL3Y","GSON1112130080")</f>
        <v>#NAME?</v>
      </c>
      <c r="F1711" s="23" t="e">
        <f ca="1">[1]!BexGetData("DP_1","003N8EMH8GTFRCSWKMPXRRRFI","GSON1112130080")</f>
        <v>#NAME?</v>
      </c>
      <c r="G1711" s="23" t="e">
        <f ca="1">[1]!BexGetData("DP_1","003N8EMH8GTFRCSWKMPXRRXR2","GSON1112130080")</f>
        <v>#NAME?</v>
      </c>
      <c r="H1711" s="23" t="e">
        <f ca="1">[1]!BexGetData("DP_1","003N8EMH8GTFRCSWKMPXRS42M","GSON1112130080")</f>
        <v>#NAME?</v>
      </c>
      <c r="I1711" s="23" t="e">
        <f ca="1">[1]!BexGetData("DP_1","003N8EMH8GTFRCSWKMPXRSAE6","GSON1112130080")</f>
        <v>#NAME?</v>
      </c>
      <c r="J1711" s="23" t="e">
        <f ca="1">[1]!BexGetData("DP_1","003N8EMH8GTFRCSWKMPXRSGPQ","GSON1112130080")</f>
        <v>#NAME?</v>
      </c>
      <c r="K1711" s="23" t="e">
        <f ca="1">[1]!BexGetData("DP_1","003N8EMH8GTFRIVNUPY288VJH","GSON1112130080")</f>
        <v>#NAME?</v>
      </c>
      <c r="L1711" s="23" t="e">
        <f ca="1">[1]!BexGetData("DP_1","003N8EMH8GTFRIVNUPY2891V1","GSON1112130080")</f>
        <v>#NAME?</v>
      </c>
      <c r="M1711" s="23" t="e">
        <f ca="1">[1]!BexGetData("DP_1","003N8EMH8GTFRIVOG7KG9IQXA","GSON1112130080")</f>
        <v>#NAME?</v>
      </c>
      <c r="N1711" s="28" t="e">
        <f ca="1">[1]!BexGetData("DP_1","003N8EMH8GTFRIVOG7KG9IX8U","GSON1112130080")</f>
        <v>#NAME?</v>
      </c>
      <c r="O1711" s="23" t="e">
        <f ca="1">[1]!BexGetData("DP_1","003N8EMH8GTFRIVOG7KG9J3KE","GSON1112130080")</f>
        <v>#NAME?</v>
      </c>
      <c r="P1711" s="28" t="e">
        <f ca="1">[1]!BexGetData("DP_1","003N8EMH8GTFRIVOG7KG9J9VY","GSON1112130080")</f>
        <v>#NAME?</v>
      </c>
      <c r="Q1711" s="23" t="e">
        <f ca="1">[1]!BexGetData("DP_1","00O2TNJGODT0G5Z4TTKYMM5MT","GSON1112130080")</f>
        <v>#NAME?</v>
      </c>
      <c r="R1711" s="23" t="e">
        <f ca="1">[1]!BexGetData("DP_1","00O2TNJGODT0G5Z4TTKYMMBYD","GSON1112130080")</f>
        <v>#NAME?</v>
      </c>
      <c r="S1711" s="23" t="e">
        <f ca="1">[1]!BexGetData("DP_1","00O2TNJGODT0G5Z4TTKYMMI9X","GSON1112130080")</f>
        <v>#NAME?</v>
      </c>
      <c r="T1711" s="28" t="e">
        <f ca="1">[1]!BexGetData("DP_1","00O2TNJGODT0G5Z4TTKYMMOLH","GSON1112130080")</f>
        <v>#NAME?</v>
      </c>
      <c r="U1711" s="23" t="e">
        <f ca="1">[1]!BexGetData("DP_1","00O2TNJGODT0G5Z4TTKYMMUX1","GSON1112130080")</f>
        <v>#NAME?</v>
      </c>
      <c r="V1711" s="28" t="e">
        <f ca="1">[1]!BexGetData("DP_1","00O2TNJGODT0G5Z4TTKYMN18L","GSON1112130080")</f>
        <v>#NAME?</v>
      </c>
      <c r="W1711" s="23" t="e">
        <f ca="1">[1]!BexGetData("DP_1","00O2TNJGODT0G5Z4TTKYMN7K5","GSON1112130080")</f>
        <v>#NAME?</v>
      </c>
    </row>
    <row r="1712" spans="1:23" x14ac:dyDescent="0.2">
      <c r="A1712" s="36" t="s">
        <v>4485</v>
      </c>
      <c r="B1712" s="27" t="s">
        <v>4486</v>
      </c>
      <c r="C1712" s="23" t="e">
        <f ca="1">[1]!BexGetData("DP_1","003N8EMH8GTFRCSWKMPXRR8GU","GSON1112130081")</f>
        <v>#NAME?</v>
      </c>
      <c r="D1712" s="23" t="e">
        <f ca="1">[1]!BexGetData("DP_1","003N8EMH8GTFRCSWKMPXRRESE","GSON1112130081")</f>
        <v>#NAME?</v>
      </c>
      <c r="E1712" s="28" t="e">
        <f ca="1">[1]!BexGetData("DP_1","003N8EMH8GTFRCSWKMPXRRL3Y","GSON1112130081")</f>
        <v>#NAME?</v>
      </c>
      <c r="F1712" s="28" t="e">
        <f ca="1">[1]!BexGetData("DP_1","003N8EMH8GTFRCSWKMPXRRRFI","GSON1112130081")</f>
        <v>#NAME?</v>
      </c>
      <c r="G1712" s="23" t="e">
        <f ca="1">[1]!BexGetData("DP_1","003N8EMH8GTFRCSWKMPXRRXR2","GSON1112130081")</f>
        <v>#NAME?</v>
      </c>
      <c r="H1712" s="23" t="e">
        <f ca="1">[1]!BexGetData("DP_1","003N8EMH8GTFRCSWKMPXRS42M","GSON1112130081")</f>
        <v>#NAME?</v>
      </c>
      <c r="I1712" s="28" t="e">
        <f ca="1">[1]!BexGetData("DP_1","003N8EMH8GTFRCSWKMPXRSAE6","GSON1112130081")</f>
        <v>#NAME?</v>
      </c>
      <c r="J1712" s="24" t="e">
        <f ca="1">[1]!BexGetData("DP_1","003N8EMH8GTFRCSWKMPXRSGPQ","GSON1112130081")</f>
        <v>#NAME?</v>
      </c>
      <c r="K1712" s="28" t="e">
        <f ca="1">[1]!BexGetData("DP_1","003N8EMH8GTFRIVNUPY288VJH","GSON1112130081")</f>
        <v>#NAME?</v>
      </c>
      <c r="L1712" s="28" t="e">
        <f ca="1">[1]!BexGetData("DP_1","003N8EMH8GTFRIVNUPY2891V1","GSON1112130081")</f>
        <v>#NAME?</v>
      </c>
      <c r="M1712" s="28" t="e">
        <f ca="1">[1]!BexGetData("DP_1","003N8EMH8GTFRIVOG7KG9IQXA","GSON1112130081")</f>
        <v>#NAME?</v>
      </c>
      <c r="N1712" s="28" t="e">
        <f ca="1">[1]!BexGetData("DP_1","003N8EMH8GTFRIVOG7KG9IX8U","GSON1112130081")</f>
        <v>#NAME?</v>
      </c>
      <c r="O1712" s="28" t="e">
        <f ca="1">[1]!BexGetData("DP_1","003N8EMH8GTFRIVOG7KG9J3KE","GSON1112130081")</f>
        <v>#NAME?</v>
      </c>
      <c r="P1712" s="28" t="e">
        <f ca="1">[1]!BexGetData("DP_1","003N8EMH8GTFRIVOG7KG9J9VY","GSON1112130081")</f>
        <v>#NAME?</v>
      </c>
      <c r="Q1712" s="24" t="e">
        <f ca="1">[1]!BexGetData("DP_1","00O2TNJGODT0G5Z4TTKYMM5MT","GSON1112130081")</f>
        <v>#NAME?</v>
      </c>
      <c r="R1712" s="28" t="e">
        <f ca="1">[1]!BexGetData("DP_1","00O2TNJGODT0G5Z4TTKYMMBYD","GSON1112130081")</f>
        <v>#NAME?</v>
      </c>
      <c r="S1712" s="28" t="e">
        <f ca="1">[1]!BexGetData("DP_1","00O2TNJGODT0G5Z4TTKYMMI9X","GSON1112130081")</f>
        <v>#NAME?</v>
      </c>
      <c r="T1712" s="28" t="e">
        <f ca="1">[1]!BexGetData("DP_1","00O2TNJGODT0G5Z4TTKYMMOLH","GSON1112130081")</f>
        <v>#NAME?</v>
      </c>
      <c r="U1712" s="28" t="e">
        <f ca="1">[1]!BexGetData("DP_1","00O2TNJGODT0G5Z4TTKYMMUX1","GSON1112130081")</f>
        <v>#NAME?</v>
      </c>
      <c r="V1712" s="28" t="e">
        <f ca="1">[1]!BexGetData("DP_1","00O2TNJGODT0G5Z4TTKYMN18L","GSON1112130081")</f>
        <v>#NAME?</v>
      </c>
      <c r="W1712" s="28" t="e">
        <f ca="1">[1]!BexGetData("DP_1","00O2TNJGODT0G5Z4TTKYMN7K5","GSON1112130081")</f>
        <v>#NAME?</v>
      </c>
    </row>
    <row r="1713" spans="1:23" x14ac:dyDescent="0.2">
      <c r="A1713" s="36" t="s">
        <v>4487</v>
      </c>
      <c r="B1713" s="27" t="s">
        <v>4488</v>
      </c>
      <c r="C1713" s="23" t="e">
        <f ca="1">[1]!BexGetData("DP_1","003N8EMH8GTFRCSWKMPXRR8GU","GSON1112130083")</f>
        <v>#NAME?</v>
      </c>
      <c r="D1713" s="23" t="e">
        <f ca="1">[1]!BexGetData("DP_1","003N8EMH8GTFRCSWKMPXRRESE","GSON1112130083")</f>
        <v>#NAME?</v>
      </c>
      <c r="E1713" s="28" t="e">
        <f ca="1">[1]!BexGetData("DP_1","003N8EMH8GTFRCSWKMPXRRL3Y","GSON1112130083")</f>
        <v>#NAME?</v>
      </c>
      <c r="F1713" s="24" t="e">
        <f ca="1">[1]!BexGetData("DP_1","003N8EMH8GTFRCSWKMPXRRRFI","GSON1112130083")</f>
        <v>#NAME?</v>
      </c>
      <c r="G1713" s="24" t="e">
        <f ca="1">[1]!BexGetData("DP_1","003N8EMH8GTFRCSWKMPXRRXR2","GSON1112130083")</f>
        <v>#NAME?</v>
      </c>
      <c r="H1713" s="24" t="e">
        <f ca="1">[1]!BexGetData("DP_1","003N8EMH8GTFRCSWKMPXRS42M","GSON1112130083")</f>
        <v>#NAME?</v>
      </c>
      <c r="I1713" s="24" t="e">
        <f ca="1">[1]!BexGetData("DP_1","003N8EMH8GTFRCSWKMPXRSAE6","GSON1112130083")</f>
        <v>#NAME?</v>
      </c>
      <c r="J1713" s="24" t="e">
        <f ca="1">[1]!BexGetData("DP_1","003N8EMH8GTFRCSWKMPXRSGPQ","GSON1112130083")</f>
        <v>#NAME?</v>
      </c>
      <c r="K1713" s="28" t="e">
        <f ca="1">[1]!BexGetData("DP_1","003N8EMH8GTFRIVNUPY288VJH","GSON1112130083")</f>
        <v>#NAME?</v>
      </c>
      <c r="L1713" s="28" t="e">
        <f ca="1">[1]!BexGetData("DP_1","003N8EMH8GTFRIVNUPY2891V1","GSON1112130083")</f>
        <v>#NAME?</v>
      </c>
      <c r="M1713" s="28" t="e">
        <f ca="1">[1]!BexGetData("DP_1","003N8EMH8GTFRIVOG7KG9IQXA","GSON1112130083")</f>
        <v>#NAME?</v>
      </c>
      <c r="N1713" s="28" t="e">
        <f ca="1">[1]!BexGetData("DP_1","003N8EMH8GTFRIVOG7KG9IX8U","GSON1112130083")</f>
        <v>#NAME?</v>
      </c>
      <c r="O1713" s="28" t="e">
        <f ca="1">[1]!BexGetData("DP_1","003N8EMH8GTFRIVOG7KG9J3KE","GSON1112130083")</f>
        <v>#NAME?</v>
      </c>
      <c r="P1713" s="28" t="e">
        <f ca="1">[1]!BexGetData("DP_1","003N8EMH8GTFRIVOG7KG9J9VY","GSON1112130083")</f>
        <v>#NAME?</v>
      </c>
      <c r="Q1713" s="24" t="e">
        <f ca="1">[1]!BexGetData("DP_1","00O2TNJGODT0G5Z4TTKYMM5MT","GSON1112130083")</f>
        <v>#NAME?</v>
      </c>
      <c r="R1713" s="24" t="e">
        <f ca="1">[1]!BexGetData("DP_1","00O2TNJGODT0G5Z4TTKYMMBYD","GSON1112130083")</f>
        <v>#NAME?</v>
      </c>
      <c r="S1713" s="24" t="e">
        <f ca="1">[1]!BexGetData("DP_1","00O2TNJGODT0G5Z4TTKYMMI9X","GSON1112130083")</f>
        <v>#NAME?</v>
      </c>
      <c r="T1713" s="24" t="e">
        <f ca="1">[1]!BexGetData("DP_1","00O2TNJGODT0G5Z4TTKYMMOLH","GSON1112130083")</f>
        <v>#NAME?</v>
      </c>
      <c r="U1713" s="24" t="e">
        <f ca="1">[1]!BexGetData("DP_1","00O2TNJGODT0G5Z4TTKYMMUX1","GSON1112130083")</f>
        <v>#NAME?</v>
      </c>
      <c r="V1713" s="24" t="e">
        <f ca="1">[1]!BexGetData("DP_1","00O2TNJGODT0G5Z4TTKYMN18L","GSON1112130083")</f>
        <v>#NAME?</v>
      </c>
      <c r="W1713" s="24" t="e">
        <f ca="1">[1]!BexGetData("DP_1","00O2TNJGODT0G5Z4TTKYMN7K5","GSON1112130083")</f>
        <v>#NAME?</v>
      </c>
    </row>
    <row r="1714" spans="1:23" x14ac:dyDescent="0.2">
      <c r="A1714" s="36" t="s">
        <v>4489</v>
      </c>
      <c r="B1714" s="27" t="s">
        <v>4490</v>
      </c>
      <c r="C1714" s="23" t="e">
        <f ca="1">[1]!BexGetData("DP_1","003N8EMH8GTFRCSWKMPXRR8GU","GSON1112130085")</f>
        <v>#NAME?</v>
      </c>
      <c r="D1714" s="23" t="e">
        <f ca="1">[1]!BexGetData("DP_1","003N8EMH8GTFRCSWKMPXRRESE","GSON1112130085")</f>
        <v>#NAME?</v>
      </c>
      <c r="E1714" s="28" t="e">
        <f ca="1">[1]!BexGetData("DP_1","003N8EMH8GTFRCSWKMPXRRL3Y","GSON1112130085")</f>
        <v>#NAME?</v>
      </c>
      <c r="F1714" s="28" t="e">
        <f ca="1">[1]!BexGetData("DP_1","003N8EMH8GTFRCSWKMPXRRRFI","GSON1112130085")</f>
        <v>#NAME?</v>
      </c>
      <c r="G1714" s="23" t="e">
        <f ca="1">[1]!BexGetData("DP_1","003N8EMH8GTFRCSWKMPXRRXR2","GSON1112130085")</f>
        <v>#NAME?</v>
      </c>
      <c r="H1714" s="23" t="e">
        <f ca="1">[1]!BexGetData("DP_1","003N8EMH8GTFRCSWKMPXRS42M","GSON1112130085")</f>
        <v>#NAME?</v>
      </c>
      <c r="I1714" s="28" t="e">
        <f ca="1">[1]!BexGetData("DP_1","003N8EMH8GTFRCSWKMPXRSAE6","GSON1112130085")</f>
        <v>#NAME?</v>
      </c>
      <c r="J1714" s="24" t="e">
        <f ca="1">[1]!BexGetData("DP_1","003N8EMH8GTFRCSWKMPXRSGPQ","GSON1112130085")</f>
        <v>#NAME?</v>
      </c>
      <c r="K1714" s="28" t="e">
        <f ca="1">[1]!BexGetData("DP_1","003N8EMH8GTFRIVNUPY288VJH","GSON1112130085")</f>
        <v>#NAME?</v>
      </c>
      <c r="L1714" s="28" t="e">
        <f ca="1">[1]!BexGetData("DP_1","003N8EMH8GTFRIVNUPY2891V1","GSON1112130085")</f>
        <v>#NAME?</v>
      </c>
      <c r="M1714" s="28" t="e">
        <f ca="1">[1]!BexGetData("DP_1","003N8EMH8GTFRIVOG7KG9IQXA","GSON1112130085")</f>
        <v>#NAME?</v>
      </c>
      <c r="N1714" s="28" t="e">
        <f ca="1">[1]!BexGetData("DP_1","003N8EMH8GTFRIVOG7KG9IX8U","GSON1112130085")</f>
        <v>#NAME?</v>
      </c>
      <c r="O1714" s="28" t="e">
        <f ca="1">[1]!BexGetData("DP_1","003N8EMH8GTFRIVOG7KG9J3KE","GSON1112130085")</f>
        <v>#NAME?</v>
      </c>
      <c r="P1714" s="28" t="e">
        <f ca="1">[1]!BexGetData("DP_1","003N8EMH8GTFRIVOG7KG9J9VY","GSON1112130085")</f>
        <v>#NAME?</v>
      </c>
      <c r="Q1714" s="24" t="e">
        <f ca="1">[1]!BexGetData("DP_1","00O2TNJGODT0G5Z4TTKYMM5MT","GSON1112130085")</f>
        <v>#NAME?</v>
      </c>
      <c r="R1714" s="28" t="e">
        <f ca="1">[1]!BexGetData("DP_1","00O2TNJGODT0G5Z4TTKYMMBYD","GSON1112130085")</f>
        <v>#NAME?</v>
      </c>
      <c r="S1714" s="28" t="e">
        <f ca="1">[1]!BexGetData("DP_1","00O2TNJGODT0G5Z4TTKYMMI9X","GSON1112130085")</f>
        <v>#NAME?</v>
      </c>
      <c r="T1714" s="28" t="e">
        <f ca="1">[1]!BexGetData("DP_1","00O2TNJGODT0G5Z4TTKYMMOLH","GSON1112130085")</f>
        <v>#NAME?</v>
      </c>
      <c r="U1714" s="28" t="e">
        <f ca="1">[1]!BexGetData("DP_1","00O2TNJGODT0G5Z4TTKYMMUX1","GSON1112130085")</f>
        <v>#NAME?</v>
      </c>
      <c r="V1714" s="28" t="e">
        <f ca="1">[1]!BexGetData("DP_1","00O2TNJGODT0G5Z4TTKYMN18L","GSON1112130085")</f>
        <v>#NAME?</v>
      </c>
      <c r="W1714" s="28" t="e">
        <f ca="1">[1]!BexGetData("DP_1","00O2TNJGODT0G5Z4TTKYMN7K5","GSON1112130085")</f>
        <v>#NAME?</v>
      </c>
    </row>
    <row r="1715" spans="1:23" x14ac:dyDescent="0.2">
      <c r="A1715" s="36" t="s">
        <v>4491</v>
      </c>
      <c r="B1715" s="27" t="s">
        <v>4492</v>
      </c>
      <c r="C1715" s="23" t="e">
        <f ca="1">[1]!BexGetData("DP_1","003N8EMH8GTFRCSWKMPXRR8GU","GSON1112130090")</f>
        <v>#NAME?</v>
      </c>
      <c r="D1715" s="28" t="e">
        <f ca="1">[1]!BexGetData("DP_1","003N8EMH8GTFRCSWKMPXRRESE","GSON1112130090")</f>
        <v>#NAME?</v>
      </c>
      <c r="E1715" s="23" t="e">
        <f ca="1">[1]!BexGetData("DP_1","003N8EMH8GTFRCSWKMPXRRL3Y","GSON1112130090")</f>
        <v>#NAME?</v>
      </c>
      <c r="F1715" s="23" t="e">
        <f ca="1">[1]!BexGetData("DP_1","003N8EMH8GTFRCSWKMPXRRRFI","GSON1112130090")</f>
        <v>#NAME?</v>
      </c>
      <c r="G1715" s="23" t="e">
        <f ca="1">[1]!BexGetData("DP_1","003N8EMH8GTFRCSWKMPXRRXR2","GSON1112130090")</f>
        <v>#NAME?</v>
      </c>
      <c r="H1715" s="23" t="e">
        <f ca="1">[1]!BexGetData("DP_1","003N8EMH8GTFRCSWKMPXRS42M","GSON1112130090")</f>
        <v>#NAME?</v>
      </c>
      <c r="I1715" s="23" t="e">
        <f ca="1">[1]!BexGetData("DP_1","003N8EMH8GTFRCSWKMPXRSAE6","GSON1112130090")</f>
        <v>#NAME?</v>
      </c>
      <c r="J1715" s="23" t="e">
        <f ca="1">[1]!BexGetData("DP_1","003N8EMH8GTFRCSWKMPXRSGPQ","GSON1112130090")</f>
        <v>#NAME?</v>
      </c>
      <c r="K1715" s="23" t="e">
        <f ca="1">[1]!BexGetData("DP_1","003N8EMH8GTFRIVNUPY288VJH","GSON1112130090")</f>
        <v>#NAME?</v>
      </c>
      <c r="L1715" s="23" t="e">
        <f ca="1">[1]!BexGetData("DP_1","003N8EMH8GTFRIVNUPY2891V1","GSON1112130090")</f>
        <v>#NAME?</v>
      </c>
      <c r="M1715" s="28" t="e">
        <f ca="1">[1]!BexGetData("DP_1","003N8EMH8GTFRIVOG7KG9IQXA","GSON1112130090")</f>
        <v>#NAME?</v>
      </c>
      <c r="N1715" s="23" t="e">
        <f ca="1">[1]!BexGetData("DP_1","003N8EMH8GTFRIVOG7KG9IX8U","GSON1112130090")</f>
        <v>#NAME?</v>
      </c>
      <c r="O1715" s="28" t="e">
        <f ca="1">[1]!BexGetData("DP_1","003N8EMH8GTFRIVOG7KG9J3KE","GSON1112130090")</f>
        <v>#NAME?</v>
      </c>
      <c r="P1715" s="23" t="e">
        <f ca="1">[1]!BexGetData("DP_1","003N8EMH8GTFRIVOG7KG9J9VY","GSON1112130090")</f>
        <v>#NAME?</v>
      </c>
      <c r="Q1715" s="23" t="e">
        <f ca="1">[1]!BexGetData("DP_1","00O2TNJGODT0G5Z4TTKYMM5MT","GSON1112130090")</f>
        <v>#NAME?</v>
      </c>
      <c r="R1715" s="23" t="e">
        <f ca="1">[1]!BexGetData("DP_1","00O2TNJGODT0G5Z4TTKYMMBYD","GSON1112130090")</f>
        <v>#NAME?</v>
      </c>
      <c r="S1715" s="23" t="e">
        <f ca="1">[1]!BexGetData("DP_1","00O2TNJGODT0G5Z4TTKYMMI9X","GSON1112130090")</f>
        <v>#NAME?</v>
      </c>
      <c r="T1715" s="28" t="e">
        <f ca="1">[1]!BexGetData("DP_1","00O2TNJGODT0G5Z4TTKYMMOLH","GSON1112130090")</f>
        <v>#NAME?</v>
      </c>
      <c r="U1715" s="23" t="e">
        <f ca="1">[1]!BexGetData("DP_1","00O2TNJGODT0G5Z4TTKYMMUX1","GSON1112130090")</f>
        <v>#NAME?</v>
      </c>
      <c r="V1715" s="28" t="e">
        <f ca="1">[1]!BexGetData("DP_1","00O2TNJGODT0G5Z4TTKYMN18L","GSON1112130090")</f>
        <v>#NAME?</v>
      </c>
      <c r="W1715" s="23" t="e">
        <f ca="1">[1]!BexGetData("DP_1","00O2TNJGODT0G5Z4TTKYMN7K5","GSON1112130090")</f>
        <v>#NAME?</v>
      </c>
    </row>
    <row r="1716" spans="1:23" x14ac:dyDescent="0.2">
      <c r="A1716" s="36" t="s">
        <v>4493</v>
      </c>
      <c r="B1716" s="27" t="s">
        <v>4494</v>
      </c>
      <c r="C1716" s="23" t="e">
        <f ca="1">[1]!BexGetData("DP_1","003N8EMH8GTFRCSWKMPXRR8GU","GSON1112130095")</f>
        <v>#NAME?</v>
      </c>
      <c r="D1716" s="23" t="e">
        <f ca="1">[1]!BexGetData("DP_1","003N8EMH8GTFRCSWKMPXRRESE","GSON1112130095")</f>
        <v>#NAME?</v>
      </c>
      <c r="E1716" s="28" t="e">
        <f ca="1">[1]!BexGetData("DP_1","003N8EMH8GTFRCSWKMPXRRL3Y","GSON1112130095")</f>
        <v>#NAME?</v>
      </c>
      <c r="F1716" s="28" t="e">
        <f ca="1">[1]!BexGetData("DP_1","003N8EMH8GTFRCSWKMPXRRRFI","GSON1112130095")</f>
        <v>#NAME?</v>
      </c>
      <c r="G1716" s="23" t="e">
        <f ca="1">[1]!BexGetData("DP_1","003N8EMH8GTFRCSWKMPXRRXR2","GSON1112130095")</f>
        <v>#NAME?</v>
      </c>
      <c r="H1716" s="23" t="e">
        <f ca="1">[1]!BexGetData("DP_1","003N8EMH8GTFRCSWKMPXRS42M","GSON1112130095")</f>
        <v>#NAME?</v>
      </c>
      <c r="I1716" s="28" t="e">
        <f ca="1">[1]!BexGetData("DP_1","003N8EMH8GTFRCSWKMPXRSAE6","GSON1112130095")</f>
        <v>#NAME?</v>
      </c>
      <c r="J1716" s="24" t="e">
        <f ca="1">[1]!BexGetData("DP_1","003N8EMH8GTFRCSWKMPXRSGPQ","GSON1112130095")</f>
        <v>#NAME?</v>
      </c>
      <c r="K1716" s="28" t="e">
        <f ca="1">[1]!BexGetData("DP_1","003N8EMH8GTFRIVNUPY288VJH","GSON1112130095")</f>
        <v>#NAME?</v>
      </c>
      <c r="L1716" s="28" t="e">
        <f ca="1">[1]!BexGetData("DP_1","003N8EMH8GTFRIVNUPY2891V1","GSON1112130095")</f>
        <v>#NAME?</v>
      </c>
      <c r="M1716" s="28" t="e">
        <f ca="1">[1]!BexGetData("DP_1","003N8EMH8GTFRIVOG7KG9IQXA","GSON1112130095")</f>
        <v>#NAME?</v>
      </c>
      <c r="N1716" s="28" t="e">
        <f ca="1">[1]!BexGetData("DP_1","003N8EMH8GTFRIVOG7KG9IX8U","GSON1112130095")</f>
        <v>#NAME?</v>
      </c>
      <c r="O1716" s="28" t="e">
        <f ca="1">[1]!BexGetData("DP_1","003N8EMH8GTFRIVOG7KG9J3KE","GSON1112130095")</f>
        <v>#NAME?</v>
      </c>
      <c r="P1716" s="28" t="e">
        <f ca="1">[1]!BexGetData("DP_1","003N8EMH8GTFRIVOG7KG9J9VY","GSON1112130095")</f>
        <v>#NAME?</v>
      </c>
      <c r="Q1716" s="24" t="e">
        <f ca="1">[1]!BexGetData("DP_1","00O2TNJGODT0G5Z4TTKYMM5MT","GSON1112130095")</f>
        <v>#NAME?</v>
      </c>
      <c r="R1716" s="28" t="e">
        <f ca="1">[1]!BexGetData("DP_1","00O2TNJGODT0G5Z4TTKYMMBYD","GSON1112130095")</f>
        <v>#NAME?</v>
      </c>
      <c r="S1716" s="28" t="e">
        <f ca="1">[1]!BexGetData("DP_1","00O2TNJGODT0G5Z4TTKYMMI9X","GSON1112130095")</f>
        <v>#NAME?</v>
      </c>
      <c r="T1716" s="28" t="e">
        <f ca="1">[1]!BexGetData("DP_1","00O2TNJGODT0G5Z4TTKYMMOLH","GSON1112130095")</f>
        <v>#NAME?</v>
      </c>
      <c r="U1716" s="28" t="e">
        <f ca="1">[1]!BexGetData("DP_1","00O2TNJGODT0G5Z4TTKYMMUX1","GSON1112130095")</f>
        <v>#NAME?</v>
      </c>
      <c r="V1716" s="28" t="e">
        <f ca="1">[1]!BexGetData("DP_1","00O2TNJGODT0G5Z4TTKYMN18L","GSON1112130095")</f>
        <v>#NAME?</v>
      </c>
      <c r="W1716" s="28" t="e">
        <f ca="1">[1]!BexGetData("DP_1","00O2TNJGODT0G5Z4TTKYMN7K5","GSON1112130095")</f>
        <v>#NAME?</v>
      </c>
    </row>
    <row r="1717" spans="1:23" x14ac:dyDescent="0.2">
      <c r="A1717" s="36" t="s">
        <v>4495</v>
      </c>
      <c r="B1717" s="27" t="s">
        <v>4496</v>
      </c>
      <c r="C1717" s="23" t="e">
        <f ca="1">[1]!BexGetData("DP_1","003N8EMH8GTFRCSWKMPXRR8GU","GSON1112130100")</f>
        <v>#NAME?</v>
      </c>
      <c r="D1717" s="28" t="e">
        <f ca="1">[1]!BexGetData("DP_1","003N8EMH8GTFRCSWKMPXRRESE","GSON1112130100")</f>
        <v>#NAME?</v>
      </c>
      <c r="E1717" s="23" t="e">
        <f ca="1">[1]!BexGetData("DP_1","003N8EMH8GTFRCSWKMPXRRL3Y","GSON1112130100")</f>
        <v>#NAME?</v>
      </c>
      <c r="F1717" s="23" t="e">
        <f ca="1">[1]!BexGetData("DP_1","003N8EMH8GTFRCSWKMPXRRRFI","GSON1112130100")</f>
        <v>#NAME?</v>
      </c>
      <c r="G1717" s="23" t="e">
        <f ca="1">[1]!BexGetData("DP_1","003N8EMH8GTFRCSWKMPXRRXR2","GSON1112130100")</f>
        <v>#NAME?</v>
      </c>
      <c r="H1717" s="23" t="e">
        <f ca="1">[1]!BexGetData("DP_1","003N8EMH8GTFRCSWKMPXRS42M","GSON1112130100")</f>
        <v>#NAME?</v>
      </c>
      <c r="I1717" s="23" t="e">
        <f ca="1">[1]!BexGetData("DP_1","003N8EMH8GTFRCSWKMPXRSAE6","GSON1112130100")</f>
        <v>#NAME?</v>
      </c>
      <c r="J1717" s="23" t="e">
        <f ca="1">[1]!BexGetData("DP_1","003N8EMH8GTFRCSWKMPXRSGPQ","GSON1112130100")</f>
        <v>#NAME?</v>
      </c>
      <c r="K1717" s="23" t="e">
        <f ca="1">[1]!BexGetData("DP_1","003N8EMH8GTFRIVNUPY288VJH","GSON1112130100")</f>
        <v>#NAME?</v>
      </c>
      <c r="L1717" s="23" t="e">
        <f ca="1">[1]!BexGetData("DP_1","003N8EMH8GTFRIVNUPY2891V1","GSON1112130100")</f>
        <v>#NAME?</v>
      </c>
      <c r="M1717" s="28" t="e">
        <f ca="1">[1]!BexGetData("DP_1","003N8EMH8GTFRIVOG7KG9IQXA","GSON1112130100")</f>
        <v>#NAME?</v>
      </c>
      <c r="N1717" s="23" t="e">
        <f ca="1">[1]!BexGetData("DP_1","003N8EMH8GTFRIVOG7KG9IX8U","GSON1112130100")</f>
        <v>#NAME?</v>
      </c>
      <c r="O1717" s="28" t="e">
        <f ca="1">[1]!BexGetData("DP_1","003N8EMH8GTFRIVOG7KG9J3KE","GSON1112130100")</f>
        <v>#NAME?</v>
      </c>
      <c r="P1717" s="23" t="e">
        <f ca="1">[1]!BexGetData("DP_1","003N8EMH8GTFRIVOG7KG9J9VY","GSON1112130100")</f>
        <v>#NAME?</v>
      </c>
      <c r="Q1717" s="23" t="e">
        <f ca="1">[1]!BexGetData("DP_1","00O2TNJGODT0G5Z4TTKYMM5MT","GSON1112130100")</f>
        <v>#NAME?</v>
      </c>
      <c r="R1717" s="23" t="e">
        <f ca="1">[1]!BexGetData("DP_1","00O2TNJGODT0G5Z4TTKYMMBYD","GSON1112130100")</f>
        <v>#NAME?</v>
      </c>
      <c r="S1717" s="23" t="e">
        <f ca="1">[1]!BexGetData("DP_1","00O2TNJGODT0G5Z4TTKYMMI9X","GSON1112130100")</f>
        <v>#NAME?</v>
      </c>
      <c r="T1717" s="28" t="e">
        <f ca="1">[1]!BexGetData("DP_1","00O2TNJGODT0G5Z4TTKYMMOLH","GSON1112130100")</f>
        <v>#NAME?</v>
      </c>
      <c r="U1717" s="23" t="e">
        <f ca="1">[1]!BexGetData("DP_1","00O2TNJGODT0G5Z4TTKYMMUX1","GSON1112130100")</f>
        <v>#NAME?</v>
      </c>
      <c r="V1717" s="28" t="e">
        <f ca="1">[1]!BexGetData("DP_1","00O2TNJGODT0G5Z4TTKYMN18L","GSON1112130100")</f>
        <v>#NAME?</v>
      </c>
      <c r="W1717" s="23" t="e">
        <f ca="1">[1]!BexGetData("DP_1","00O2TNJGODT0G5Z4TTKYMN7K5","GSON1112130100")</f>
        <v>#NAME?</v>
      </c>
    </row>
    <row r="1718" spans="1:23" x14ac:dyDescent="0.2">
      <c r="A1718" s="36" t="s">
        <v>4497</v>
      </c>
      <c r="B1718" s="27" t="s">
        <v>4498</v>
      </c>
      <c r="C1718" s="23" t="e">
        <f ca="1">[1]!BexGetData("DP_1","003N8EMH8GTFRCSWKMPXRR8GU","GSON1112130105")</f>
        <v>#NAME?</v>
      </c>
      <c r="D1718" s="23" t="e">
        <f ca="1">[1]!BexGetData("DP_1","003N8EMH8GTFRCSWKMPXRRESE","GSON1112130105")</f>
        <v>#NAME?</v>
      </c>
      <c r="E1718" s="28" t="e">
        <f ca="1">[1]!BexGetData("DP_1","003N8EMH8GTFRCSWKMPXRRL3Y","GSON1112130105")</f>
        <v>#NAME?</v>
      </c>
      <c r="F1718" s="28" t="e">
        <f ca="1">[1]!BexGetData("DP_1","003N8EMH8GTFRCSWKMPXRRRFI","GSON1112130105")</f>
        <v>#NAME?</v>
      </c>
      <c r="G1718" s="23" t="e">
        <f ca="1">[1]!BexGetData("DP_1","003N8EMH8GTFRCSWKMPXRRXR2","GSON1112130105")</f>
        <v>#NAME?</v>
      </c>
      <c r="H1718" s="23" t="e">
        <f ca="1">[1]!BexGetData("DP_1","003N8EMH8GTFRCSWKMPXRS42M","GSON1112130105")</f>
        <v>#NAME?</v>
      </c>
      <c r="I1718" s="28" t="e">
        <f ca="1">[1]!BexGetData("DP_1","003N8EMH8GTFRCSWKMPXRSAE6","GSON1112130105")</f>
        <v>#NAME?</v>
      </c>
      <c r="J1718" s="24" t="e">
        <f ca="1">[1]!BexGetData("DP_1","003N8EMH8GTFRCSWKMPXRSGPQ","GSON1112130105")</f>
        <v>#NAME?</v>
      </c>
      <c r="K1718" s="28" t="e">
        <f ca="1">[1]!BexGetData("DP_1","003N8EMH8GTFRIVNUPY288VJH","GSON1112130105")</f>
        <v>#NAME?</v>
      </c>
      <c r="L1718" s="28" t="e">
        <f ca="1">[1]!BexGetData("DP_1","003N8EMH8GTFRIVNUPY2891V1","GSON1112130105")</f>
        <v>#NAME?</v>
      </c>
      <c r="M1718" s="28" t="e">
        <f ca="1">[1]!BexGetData("DP_1","003N8EMH8GTFRIVOG7KG9IQXA","GSON1112130105")</f>
        <v>#NAME?</v>
      </c>
      <c r="N1718" s="28" t="e">
        <f ca="1">[1]!BexGetData("DP_1","003N8EMH8GTFRIVOG7KG9IX8U","GSON1112130105")</f>
        <v>#NAME?</v>
      </c>
      <c r="O1718" s="28" t="e">
        <f ca="1">[1]!BexGetData("DP_1","003N8EMH8GTFRIVOG7KG9J3KE","GSON1112130105")</f>
        <v>#NAME?</v>
      </c>
      <c r="P1718" s="28" t="e">
        <f ca="1">[1]!BexGetData("DP_1","003N8EMH8GTFRIVOG7KG9J9VY","GSON1112130105")</f>
        <v>#NAME?</v>
      </c>
      <c r="Q1718" s="24" t="e">
        <f ca="1">[1]!BexGetData("DP_1","00O2TNJGODT0G5Z4TTKYMM5MT","GSON1112130105")</f>
        <v>#NAME?</v>
      </c>
      <c r="R1718" s="28" t="e">
        <f ca="1">[1]!BexGetData("DP_1","00O2TNJGODT0G5Z4TTKYMMBYD","GSON1112130105")</f>
        <v>#NAME?</v>
      </c>
      <c r="S1718" s="28" t="e">
        <f ca="1">[1]!BexGetData("DP_1","00O2TNJGODT0G5Z4TTKYMMI9X","GSON1112130105")</f>
        <v>#NAME?</v>
      </c>
      <c r="T1718" s="28" t="e">
        <f ca="1">[1]!BexGetData("DP_1","00O2TNJGODT0G5Z4TTKYMMOLH","GSON1112130105")</f>
        <v>#NAME?</v>
      </c>
      <c r="U1718" s="28" t="e">
        <f ca="1">[1]!BexGetData("DP_1","00O2TNJGODT0G5Z4TTKYMMUX1","GSON1112130105")</f>
        <v>#NAME?</v>
      </c>
      <c r="V1718" s="28" t="e">
        <f ca="1">[1]!BexGetData("DP_1","00O2TNJGODT0G5Z4TTKYMN18L","GSON1112130105")</f>
        <v>#NAME?</v>
      </c>
      <c r="W1718" s="28" t="e">
        <f ca="1">[1]!BexGetData("DP_1","00O2TNJGODT0G5Z4TTKYMN7K5","GSON1112130105")</f>
        <v>#NAME?</v>
      </c>
    </row>
    <row r="1719" spans="1:23" x14ac:dyDescent="0.2">
      <c r="A1719" s="36" t="s">
        <v>4499</v>
      </c>
      <c r="B1719" s="27" t="s">
        <v>4500</v>
      </c>
      <c r="C1719" s="28" t="e">
        <f ca="1">[1]!BexGetData("DP_1","003N8EMH8GTFRCSWKMPXRR8GU","GSON1112130110")</f>
        <v>#NAME?</v>
      </c>
      <c r="D1719" s="28" t="e">
        <f ca="1">[1]!BexGetData("DP_1","003N8EMH8GTFRCSWKMPXRRESE","GSON1112130110")</f>
        <v>#NAME?</v>
      </c>
      <c r="E1719" s="23" t="e">
        <f ca="1">[1]!BexGetData("DP_1","003N8EMH8GTFRCSWKMPXRRL3Y","GSON1112130110")</f>
        <v>#NAME?</v>
      </c>
      <c r="F1719" s="23" t="e">
        <f ca="1">[1]!BexGetData("DP_1","003N8EMH8GTFRCSWKMPXRRRFI","GSON1112130110")</f>
        <v>#NAME?</v>
      </c>
      <c r="G1719" s="28" t="e">
        <f ca="1">[1]!BexGetData("DP_1","003N8EMH8GTFRCSWKMPXRRXR2","GSON1112130110")</f>
        <v>#NAME?</v>
      </c>
      <c r="H1719" s="28" t="e">
        <f ca="1">[1]!BexGetData("DP_1","003N8EMH8GTFRCSWKMPXRS42M","GSON1112130110")</f>
        <v>#NAME?</v>
      </c>
      <c r="I1719" s="23" t="e">
        <f ca="1">[1]!BexGetData("DP_1","003N8EMH8GTFRCSWKMPXRSAE6","GSON1112130110")</f>
        <v>#NAME?</v>
      </c>
      <c r="J1719" s="23" t="e">
        <f ca="1">[1]!BexGetData("DP_1","003N8EMH8GTFRCSWKMPXRSGPQ","GSON1112130110")</f>
        <v>#NAME?</v>
      </c>
      <c r="K1719" s="28" t="e">
        <f ca="1">[1]!BexGetData("DP_1","003N8EMH8GTFRIVNUPY288VJH","GSON1112130110")</f>
        <v>#NAME?</v>
      </c>
      <c r="L1719" s="28" t="e">
        <f ca="1">[1]!BexGetData("DP_1","003N8EMH8GTFRIVNUPY2891V1","GSON1112130110")</f>
        <v>#NAME?</v>
      </c>
      <c r="M1719" s="28" t="e">
        <f ca="1">[1]!BexGetData("DP_1","003N8EMH8GTFRIVOG7KG9IQXA","GSON1112130110")</f>
        <v>#NAME?</v>
      </c>
      <c r="N1719" s="28" t="e">
        <f ca="1">[1]!BexGetData("DP_1","003N8EMH8GTFRIVOG7KG9IX8U","GSON1112130110")</f>
        <v>#NAME?</v>
      </c>
      <c r="O1719" s="28" t="e">
        <f ca="1">[1]!BexGetData("DP_1","003N8EMH8GTFRIVOG7KG9J3KE","GSON1112130110")</f>
        <v>#NAME?</v>
      </c>
      <c r="P1719" s="28" t="e">
        <f ca="1">[1]!BexGetData("DP_1","003N8EMH8GTFRIVOG7KG9J9VY","GSON1112130110")</f>
        <v>#NAME?</v>
      </c>
      <c r="Q1719" s="23" t="e">
        <f ca="1">[1]!BexGetData("DP_1","00O2TNJGODT0G5Z4TTKYMM5MT","GSON1112130110")</f>
        <v>#NAME?</v>
      </c>
      <c r="R1719" s="28" t="e">
        <f ca="1">[1]!BexGetData("DP_1","00O2TNJGODT0G5Z4TTKYMMBYD","GSON1112130110")</f>
        <v>#NAME?</v>
      </c>
      <c r="S1719" s="28" t="e">
        <f ca="1">[1]!BexGetData("DP_1","00O2TNJGODT0G5Z4TTKYMMI9X","GSON1112130110")</f>
        <v>#NAME?</v>
      </c>
      <c r="T1719" s="28" t="e">
        <f ca="1">[1]!BexGetData("DP_1","00O2TNJGODT0G5Z4TTKYMMOLH","GSON1112130110")</f>
        <v>#NAME?</v>
      </c>
      <c r="U1719" s="28" t="e">
        <f ca="1">[1]!BexGetData("DP_1","00O2TNJGODT0G5Z4TTKYMMUX1","GSON1112130110")</f>
        <v>#NAME?</v>
      </c>
      <c r="V1719" s="28" t="e">
        <f ca="1">[1]!BexGetData("DP_1","00O2TNJGODT0G5Z4TTKYMN18L","GSON1112130110")</f>
        <v>#NAME?</v>
      </c>
      <c r="W1719" s="28" t="e">
        <f ca="1">[1]!BexGetData("DP_1","00O2TNJGODT0G5Z4TTKYMN7K5","GSON1112130110")</f>
        <v>#NAME?</v>
      </c>
    </row>
    <row r="1720" spans="1:23" x14ac:dyDescent="0.2">
      <c r="A1720" s="36" t="s">
        <v>4501</v>
      </c>
      <c r="B1720" s="27" t="s">
        <v>4502</v>
      </c>
      <c r="C1720" s="23" t="e">
        <f ca="1">[1]!BexGetData("DP_1","003N8EMH8GTFRCSWKMPXRR8GU","GSON1112130170")</f>
        <v>#NAME?</v>
      </c>
      <c r="D1720" s="23" t="e">
        <f ca="1">[1]!BexGetData("DP_1","003N8EMH8GTFRCSWKMPXRRESE","GSON1112130170")</f>
        <v>#NAME?</v>
      </c>
      <c r="E1720" s="23" t="e">
        <f ca="1">[1]!BexGetData("DP_1","003N8EMH8GTFRCSWKMPXRRL3Y","GSON1112130170")</f>
        <v>#NAME?</v>
      </c>
      <c r="F1720" s="23" t="e">
        <f ca="1">[1]!BexGetData("DP_1","003N8EMH8GTFRCSWKMPXRRRFI","GSON1112130170")</f>
        <v>#NAME?</v>
      </c>
      <c r="G1720" s="23" t="e">
        <f ca="1">[1]!BexGetData("DP_1","003N8EMH8GTFRCSWKMPXRRXR2","GSON1112130170")</f>
        <v>#NAME?</v>
      </c>
      <c r="H1720" s="23" t="e">
        <f ca="1">[1]!BexGetData("DP_1","003N8EMH8GTFRCSWKMPXRS42M","GSON1112130170")</f>
        <v>#NAME?</v>
      </c>
      <c r="I1720" s="23" t="e">
        <f ca="1">[1]!BexGetData("DP_1","003N8EMH8GTFRCSWKMPXRSAE6","GSON1112130170")</f>
        <v>#NAME?</v>
      </c>
      <c r="J1720" s="23" t="e">
        <f ca="1">[1]!BexGetData("DP_1","003N8EMH8GTFRCSWKMPXRSGPQ","GSON1112130170")</f>
        <v>#NAME?</v>
      </c>
      <c r="K1720" s="23" t="e">
        <f ca="1">[1]!BexGetData("DP_1","003N8EMH8GTFRIVNUPY288VJH","GSON1112130170")</f>
        <v>#NAME?</v>
      </c>
      <c r="L1720" s="23" t="e">
        <f ca="1">[1]!BexGetData("DP_1","003N8EMH8GTFRIVNUPY2891V1","GSON1112130170")</f>
        <v>#NAME?</v>
      </c>
      <c r="M1720" s="28" t="e">
        <f ca="1">[1]!BexGetData("DP_1","003N8EMH8GTFRIVOG7KG9IQXA","GSON1112130170")</f>
        <v>#NAME?</v>
      </c>
      <c r="N1720" s="23" t="e">
        <f ca="1">[1]!BexGetData("DP_1","003N8EMH8GTFRIVOG7KG9IX8U","GSON1112130170")</f>
        <v>#NAME?</v>
      </c>
      <c r="O1720" s="28" t="e">
        <f ca="1">[1]!BexGetData("DP_1","003N8EMH8GTFRIVOG7KG9J3KE","GSON1112130170")</f>
        <v>#NAME?</v>
      </c>
      <c r="P1720" s="23" t="e">
        <f ca="1">[1]!BexGetData("DP_1","003N8EMH8GTFRIVOG7KG9J9VY","GSON1112130170")</f>
        <v>#NAME?</v>
      </c>
      <c r="Q1720" s="23" t="e">
        <f ca="1">[1]!BexGetData("DP_1","00O2TNJGODT0G5Z4TTKYMM5MT","GSON1112130170")</f>
        <v>#NAME?</v>
      </c>
      <c r="R1720" s="23" t="e">
        <f ca="1">[1]!BexGetData("DP_1","00O2TNJGODT0G5Z4TTKYMMBYD","GSON1112130170")</f>
        <v>#NAME?</v>
      </c>
      <c r="S1720" s="23" t="e">
        <f ca="1">[1]!BexGetData("DP_1","00O2TNJGODT0G5Z4TTKYMMI9X","GSON1112130170")</f>
        <v>#NAME?</v>
      </c>
      <c r="T1720" s="23" t="e">
        <f ca="1">[1]!BexGetData("DP_1","00O2TNJGODT0G5Z4TTKYMMOLH","GSON1112130170")</f>
        <v>#NAME?</v>
      </c>
      <c r="U1720" s="28" t="e">
        <f ca="1">[1]!BexGetData("DP_1","00O2TNJGODT0G5Z4TTKYMMUX1","GSON1112130170")</f>
        <v>#NAME?</v>
      </c>
      <c r="V1720" s="23" t="e">
        <f ca="1">[1]!BexGetData("DP_1","00O2TNJGODT0G5Z4TTKYMN18L","GSON1112130170")</f>
        <v>#NAME?</v>
      </c>
      <c r="W1720" s="28" t="e">
        <f ca="1">[1]!BexGetData("DP_1","00O2TNJGODT0G5Z4TTKYMN7K5","GSON1112130170")</f>
        <v>#NAME?</v>
      </c>
    </row>
    <row r="1721" spans="1:23" x14ac:dyDescent="0.2">
      <c r="A1721" s="36" t="s">
        <v>4503</v>
      </c>
      <c r="B1721" s="27" t="s">
        <v>4504</v>
      </c>
      <c r="C1721" s="23" t="e">
        <f ca="1">[1]!BexGetData("DP_1","003N8EMH8GTFRCSWKMPXRR8GU","GSON1112130171")</f>
        <v>#NAME?</v>
      </c>
      <c r="D1721" s="23" t="e">
        <f ca="1">[1]!BexGetData("DP_1","003N8EMH8GTFRCSWKMPXRRESE","GSON1112130171")</f>
        <v>#NAME?</v>
      </c>
      <c r="E1721" s="28" t="e">
        <f ca="1">[1]!BexGetData("DP_1","003N8EMH8GTFRCSWKMPXRRL3Y","GSON1112130171")</f>
        <v>#NAME?</v>
      </c>
      <c r="F1721" s="28" t="e">
        <f ca="1">[1]!BexGetData("DP_1","003N8EMH8GTFRCSWKMPXRRRFI","GSON1112130171")</f>
        <v>#NAME?</v>
      </c>
      <c r="G1721" s="23" t="e">
        <f ca="1">[1]!BexGetData("DP_1","003N8EMH8GTFRCSWKMPXRRXR2","GSON1112130171")</f>
        <v>#NAME?</v>
      </c>
      <c r="H1721" s="23" t="e">
        <f ca="1">[1]!BexGetData("DP_1","003N8EMH8GTFRCSWKMPXRS42M","GSON1112130171")</f>
        <v>#NAME?</v>
      </c>
      <c r="I1721" s="28" t="e">
        <f ca="1">[1]!BexGetData("DP_1","003N8EMH8GTFRCSWKMPXRSAE6","GSON1112130171")</f>
        <v>#NAME?</v>
      </c>
      <c r="J1721" s="24" t="e">
        <f ca="1">[1]!BexGetData("DP_1","003N8EMH8GTFRCSWKMPXRSGPQ","GSON1112130171")</f>
        <v>#NAME?</v>
      </c>
      <c r="K1721" s="28" t="e">
        <f ca="1">[1]!BexGetData("DP_1","003N8EMH8GTFRIVNUPY288VJH","GSON1112130171")</f>
        <v>#NAME?</v>
      </c>
      <c r="L1721" s="28" t="e">
        <f ca="1">[1]!BexGetData("DP_1","003N8EMH8GTFRIVNUPY2891V1","GSON1112130171")</f>
        <v>#NAME?</v>
      </c>
      <c r="M1721" s="28" t="e">
        <f ca="1">[1]!BexGetData("DP_1","003N8EMH8GTFRIVOG7KG9IQXA","GSON1112130171")</f>
        <v>#NAME?</v>
      </c>
      <c r="N1721" s="28" t="e">
        <f ca="1">[1]!BexGetData("DP_1","003N8EMH8GTFRIVOG7KG9IX8U","GSON1112130171")</f>
        <v>#NAME?</v>
      </c>
      <c r="O1721" s="28" t="e">
        <f ca="1">[1]!BexGetData("DP_1","003N8EMH8GTFRIVOG7KG9J3KE","GSON1112130171")</f>
        <v>#NAME?</v>
      </c>
      <c r="P1721" s="28" t="e">
        <f ca="1">[1]!BexGetData("DP_1","003N8EMH8GTFRIVOG7KG9J9VY","GSON1112130171")</f>
        <v>#NAME?</v>
      </c>
      <c r="Q1721" s="24" t="e">
        <f ca="1">[1]!BexGetData("DP_1","00O2TNJGODT0G5Z4TTKYMM5MT","GSON1112130171")</f>
        <v>#NAME?</v>
      </c>
      <c r="R1721" s="28" t="e">
        <f ca="1">[1]!BexGetData("DP_1","00O2TNJGODT0G5Z4TTKYMMBYD","GSON1112130171")</f>
        <v>#NAME?</v>
      </c>
      <c r="S1721" s="28" t="e">
        <f ca="1">[1]!BexGetData("DP_1","00O2TNJGODT0G5Z4TTKYMMI9X","GSON1112130171")</f>
        <v>#NAME?</v>
      </c>
      <c r="T1721" s="28" t="e">
        <f ca="1">[1]!BexGetData("DP_1","00O2TNJGODT0G5Z4TTKYMMOLH","GSON1112130171")</f>
        <v>#NAME?</v>
      </c>
      <c r="U1721" s="28" t="e">
        <f ca="1">[1]!BexGetData("DP_1","00O2TNJGODT0G5Z4TTKYMMUX1","GSON1112130171")</f>
        <v>#NAME?</v>
      </c>
      <c r="V1721" s="28" t="e">
        <f ca="1">[1]!BexGetData("DP_1","00O2TNJGODT0G5Z4TTKYMN18L","GSON1112130171")</f>
        <v>#NAME?</v>
      </c>
      <c r="W1721" s="28" t="e">
        <f ca="1">[1]!BexGetData("DP_1","00O2TNJGODT0G5Z4TTKYMN7K5","GSON1112130171")</f>
        <v>#NAME?</v>
      </c>
    </row>
    <row r="1722" spans="1:23" x14ac:dyDescent="0.2">
      <c r="A1722" s="36" t="s">
        <v>4505</v>
      </c>
      <c r="B1722" s="27" t="s">
        <v>4506</v>
      </c>
      <c r="C1722" s="28" t="e">
        <f ca="1">[1]!BexGetData("DP_1","003N8EMH8GTFRCSWKMPXRR8GU","GSON1112130172")</f>
        <v>#NAME?</v>
      </c>
      <c r="D1722" s="28" t="e">
        <f ca="1">[1]!BexGetData("DP_1","003N8EMH8GTFRCSWKMPXRRESE","GSON1112130172")</f>
        <v>#NAME?</v>
      </c>
      <c r="E1722" s="28" t="e">
        <f ca="1">[1]!BexGetData("DP_1","003N8EMH8GTFRCSWKMPXRRL3Y","GSON1112130172")</f>
        <v>#NAME?</v>
      </c>
      <c r="F1722" s="28" t="e">
        <f ca="1">[1]!BexGetData("DP_1","003N8EMH8GTFRCSWKMPXRRRFI","GSON1112130172")</f>
        <v>#NAME?</v>
      </c>
      <c r="G1722" s="23" t="e">
        <f ca="1">[1]!BexGetData("DP_1","003N8EMH8GTFRCSWKMPXRRXR2","GSON1112130172")</f>
        <v>#NAME?</v>
      </c>
      <c r="H1722" s="23" t="e">
        <f ca="1">[1]!BexGetData("DP_1","003N8EMH8GTFRCSWKMPXRS42M","GSON1112130172")</f>
        <v>#NAME?</v>
      </c>
      <c r="I1722" s="28" t="e">
        <f ca="1">[1]!BexGetData("DP_1","003N8EMH8GTFRCSWKMPXRSAE6","GSON1112130172")</f>
        <v>#NAME?</v>
      </c>
      <c r="J1722" s="23" t="e">
        <f ca="1">[1]!BexGetData("DP_1","003N8EMH8GTFRCSWKMPXRSGPQ","GSON1112130172")</f>
        <v>#NAME?</v>
      </c>
      <c r="K1722" s="28" t="e">
        <f ca="1">[1]!BexGetData("DP_1","003N8EMH8GTFRIVNUPY288VJH","GSON1112130172")</f>
        <v>#NAME?</v>
      </c>
      <c r="L1722" s="28" t="e">
        <f ca="1">[1]!BexGetData("DP_1","003N8EMH8GTFRIVNUPY2891V1","GSON1112130172")</f>
        <v>#NAME?</v>
      </c>
      <c r="M1722" s="28" t="e">
        <f ca="1">[1]!BexGetData("DP_1","003N8EMH8GTFRIVOG7KG9IQXA","GSON1112130172")</f>
        <v>#NAME?</v>
      </c>
      <c r="N1722" s="28" t="e">
        <f ca="1">[1]!BexGetData("DP_1","003N8EMH8GTFRIVOG7KG9IX8U","GSON1112130172")</f>
        <v>#NAME?</v>
      </c>
      <c r="O1722" s="28" t="e">
        <f ca="1">[1]!BexGetData("DP_1","003N8EMH8GTFRIVOG7KG9J3KE","GSON1112130172")</f>
        <v>#NAME?</v>
      </c>
      <c r="P1722" s="28" t="e">
        <f ca="1">[1]!BexGetData("DP_1","003N8EMH8GTFRIVOG7KG9J9VY","GSON1112130172")</f>
        <v>#NAME?</v>
      </c>
      <c r="Q1722" s="23" t="e">
        <f ca="1">[1]!BexGetData("DP_1","00O2TNJGODT0G5Z4TTKYMM5MT","GSON1112130172")</f>
        <v>#NAME?</v>
      </c>
      <c r="R1722" s="23" t="e">
        <f ca="1">[1]!BexGetData("DP_1","00O2TNJGODT0G5Z4TTKYMMBYD","GSON1112130172")</f>
        <v>#NAME?</v>
      </c>
      <c r="S1722" s="23" t="e">
        <f ca="1">[1]!BexGetData("DP_1","00O2TNJGODT0G5Z4TTKYMMI9X","GSON1112130172")</f>
        <v>#NAME?</v>
      </c>
      <c r="T1722" s="28" t="e">
        <f ca="1">[1]!BexGetData("DP_1","00O2TNJGODT0G5Z4TTKYMMOLH","GSON1112130172")</f>
        <v>#NAME?</v>
      </c>
      <c r="U1722" s="23" t="e">
        <f ca="1">[1]!BexGetData("DP_1","00O2TNJGODT0G5Z4TTKYMMUX1","GSON1112130172")</f>
        <v>#NAME?</v>
      </c>
      <c r="V1722" s="28" t="e">
        <f ca="1">[1]!BexGetData("DP_1","00O2TNJGODT0G5Z4TTKYMN18L","GSON1112130172")</f>
        <v>#NAME?</v>
      </c>
      <c r="W1722" s="23" t="e">
        <f ca="1">[1]!BexGetData("DP_1","00O2TNJGODT0G5Z4TTKYMN7K5","GSON1112130172")</f>
        <v>#NAME?</v>
      </c>
    </row>
    <row r="1723" spans="1:23" x14ac:dyDescent="0.2">
      <c r="A1723" s="36" t="s">
        <v>4507</v>
      </c>
      <c r="B1723" s="27" t="s">
        <v>4508</v>
      </c>
      <c r="C1723" s="23" t="e">
        <f ca="1">[1]!BexGetData("DP_1","003N8EMH8GTFRCSWKMPXRR8GU","GSON1112130173")</f>
        <v>#NAME?</v>
      </c>
      <c r="D1723" s="23" t="e">
        <f ca="1">[1]!BexGetData("DP_1","003N8EMH8GTFRCSWKMPXRRESE","GSON1112130173")</f>
        <v>#NAME?</v>
      </c>
      <c r="E1723" s="28" t="e">
        <f ca="1">[1]!BexGetData("DP_1","003N8EMH8GTFRCSWKMPXRRL3Y","GSON1112130173")</f>
        <v>#NAME?</v>
      </c>
      <c r="F1723" s="28" t="e">
        <f ca="1">[1]!BexGetData("DP_1","003N8EMH8GTFRCSWKMPXRRRFI","GSON1112130173")</f>
        <v>#NAME?</v>
      </c>
      <c r="G1723" s="23" t="e">
        <f ca="1">[1]!BexGetData("DP_1","003N8EMH8GTFRCSWKMPXRRXR2","GSON1112130173")</f>
        <v>#NAME?</v>
      </c>
      <c r="H1723" s="23" t="e">
        <f ca="1">[1]!BexGetData("DP_1","003N8EMH8GTFRCSWKMPXRS42M","GSON1112130173")</f>
        <v>#NAME?</v>
      </c>
      <c r="I1723" s="28" t="e">
        <f ca="1">[1]!BexGetData("DP_1","003N8EMH8GTFRCSWKMPXRSAE6","GSON1112130173")</f>
        <v>#NAME?</v>
      </c>
      <c r="J1723" s="24" t="e">
        <f ca="1">[1]!BexGetData("DP_1","003N8EMH8GTFRCSWKMPXRSGPQ","GSON1112130173")</f>
        <v>#NAME?</v>
      </c>
      <c r="K1723" s="28" t="e">
        <f ca="1">[1]!BexGetData("DP_1","003N8EMH8GTFRIVNUPY288VJH","GSON1112130173")</f>
        <v>#NAME?</v>
      </c>
      <c r="L1723" s="28" t="e">
        <f ca="1">[1]!BexGetData("DP_1","003N8EMH8GTFRIVNUPY2891V1","GSON1112130173")</f>
        <v>#NAME?</v>
      </c>
      <c r="M1723" s="28" t="e">
        <f ca="1">[1]!BexGetData("DP_1","003N8EMH8GTFRIVOG7KG9IQXA","GSON1112130173")</f>
        <v>#NAME?</v>
      </c>
      <c r="N1723" s="28" t="e">
        <f ca="1">[1]!BexGetData("DP_1","003N8EMH8GTFRIVOG7KG9IX8U","GSON1112130173")</f>
        <v>#NAME?</v>
      </c>
      <c r="O1723" s="28" t="e">
        <f ca="1">[1]!BexGetData("DP_1","003N8EMH8GTFRIVOG7KG9J3KE","GSON1112130173")</f>
        <v>#NAME?</v>
      </c>
      <c r="P1723" s="28" t="e">
        <f ca="1">[1]!BexGetData("DP_1","003N8EMH8GTFRIVOG7KG9J9VY","GSON1112130173")</f>
        <v>#NAME?</v>
      </c>
      <c r="Q1723" s="24" t="e">
        <f ca="1">[1]!BexGetData("DP_1","00O2TNJGODT0G5Z4TTKYMM5MT","GSON1112130173")</f>
        <v>#NAME?</v>
      </c>
      <c r="R1723" s="28" t="e">
        <f ca="1">[1]!BexGetData("DP_1","00O2TNJGODT0G5Z4TTKYMMBYD","GSON1112130173")</f>
        <v>#NAME?</v>
      </c>
      <c r="S1723" s="28" t="e">
        <f ca="1">[1]!BexGetData("DP_1","00O2TNJGODT0G5Z4TTKYMMI9X","GSON1112130173")</f>
        <v>#NAME?</v>
      </c>
      <c r="T1723" s="28" t="e">
        <f ca="1">[1]!BexGetData("DP_1","00O2TNJGODT0G5Z4TTKYMMOLH","GSON1112130173")</f>
        <v>#NAME?</v>
      </c>
      <c r="U1723" s="28" t="e">
        <f ca="1">[1]!BexGetData("DP_1","00O2TNJGODT0G5Z4TTKYMMUX1","GSON1112130173")</f>
        <v>#NAME?</v>
      </c>
      <c r="V1723" s="28" t="e">
        <f ca="1">[1]!BexGetData("DP_1","00O2TNJGODT0G5Z4TTKYMN18L","GSON1112130173")</f>
        <v>#NAME?</v>
      </c>
      <c r="W1723" s="28" t="e">
        <f ca="1">[1]!BexGetData("DP_1","00O2TNJGODT0G5Z4TTKYMN7K5","GSON1112130173")</f>
        <v>#NAME?</v>
      </c>
    </row>
    <row r="1724" spans="1:23" x14ac:dyDescent="0.2">
      <c r="A1724" s="36" t="s">
        <v>4509</v>
      </c>
      <c r="B1724" s="27" t="s">
        <v>4510</v>
      </c>
      <c r="C1724" s="23" t="e">
        <f ca="1">[1]!BexGetData("DP_1","003N8EMH8GTFRCSWKMPXRR8GU","GSON1112130175")</f>
        <v>#NAME?</v>
      </c>
      <c r="D1724" s="23" t="e">
        <f ca="1">[1]!BexGetData("DP_1","003N8EMH8GTFRCSWKMPXRRESE","GSON1112130175")</f>
        <v>#NAME?</v>
      </c>
      <c r="E1724" s="28" t="e">
        <f ca="1">[1]!BexGetData("DP_1","003N8EMH8GTFRCSWKMPXRRL3Y","GSON1112130175")</f>
        <v>#NAME?</v>
      </c>
      <c r="F1724" s="28" t="e">
        <f ca="1">[1]!BexGetData("DP_1","003N8EMH8GTFRCSWKMPXRRRFI","GSON1112130175")</f>
        <v>#NAME?</v>
      </c>
      <c r="G1724" s="23" t="e">
        <f ca="1">[1]!BexGetData("DP_1","003N8EMH8GTFRCSWKMPXRRXR2","GSON1112130175")</f>
        <v>#NAME?</v>
      </c>
      <c r="H1724" s="23" t="e">
        <f ca="1">[1]!BexGetData("DP_1","003N8EMH8GTFRCSWKMPXRS42M","GSON1112130175")</f>
        <v>#NAME?</v>
      </c>
      <c r="I1724" s="28" t="e">
        <f ca="1">[1]!BexGetData("DP_1","003N8EMH8GTFRCSWKMPXRSAE6","GSON1112130175")</f>
        <v>#NAME?</v>
      </c>
      <c r="J1724" s="24" t="e">
        <f ca="1">[1]!BexGetData("DP_1","003N8EMH8GTFRCSWKMPXRSGPQ","GSON1112130175")</f>
        <v>#NAME?</v>
      </c>
      <c r="K1724" s="28" t="e">
        <f ca="1">[1]!BexGetData("DP_1","003N8EMH8GTFRIVNUPY288VJH","GSON1112130175")</f>
        <v>#NAME?</v>
      </c>
      <c r="L1724" s="28" t="e">
        <f ca="1">[1]!BexGetData("DP_1","003N8EMH8GTFRIVNUPY2891V1","GSON1112130175")</f>
        <v>#NAME?</v>
      </c>
      <c r="M1724" s="28" t="e">
        <f ca="1">[1]!BexGetData("DP_1","003N8EMH8GTFRIVOG7KG9IQXA","GSON1112130175")</f>
        <v>#NAME?</v>
      </c>
      <c r="N1724" s="28" t="e">
        <f ca="1">[1]!BexGetData("DP_1","003N8EMH8GTFRIVOG7KG9IX8U","GSON1112130175")</f>
        <v>#NAME?</v>
      </c>
      <c r="O1724" s="28" t="e">
        <f ca="1">[1]!BexGetData("DP_1","003N8EMH8GTFRIVOG7KG9J3KE","GSON1112130175")</f>
        <v>#NAME?</v>
      </c>
      <c r="P1724" s="28" t="e">
        <f ca="1">[1]!BexGetData("DP_1","003N8EMH8GTFRIVOG7KG9J9VY","GSON1112130175")</f>
        <v>#NAME?</v>
      </c>
      <c r="Q1724" s="24" t="e">
        <f ca="1">[1]!BexGetData("DP_1","00O2TNJGODT0G5Z4TTKYMM5MT","GSON1112130175")</f>
        <v>#NAME?</v>
      </c>
      <c r="R1724" s="28" t="e">
        <f ca="1">[1]!BexGetData("DP_1","00O2TNJGODT0G5Z4TTKYMMBYD","GSON1112130175")</f>
        <v>#NAME?</v>
      </c>
      <c r="S1724" s="28" t="e">
        <f ca="1">[1]!BexGetData("DP_1","00O2TNJGODT0G5Z4TTKYMMI9X","GSON1112130175")</f>
        <v>#NAME?</v>
      </c>
      <c r="T1724" s="28" t="e">
        <f ca="1">[1]!BexGetData("DP_1","00O2TNJGODT0G5Z4TTKYMMOLH","GSON1112130175")</f>
        <v>#NAME?</v>
      </c>
      <c r="U1724" s="28" t="e">
        <f ca="1">[1]!BexGetData("DP_1","00O2TNJGODT0G5Z4TTKYMMUX1","GSON1112130175")</f>
        <v>#NAME?</v>
      </c>
      <c r="V1724" s="28" t="e">
        <f ca="1">[1]!BexGetData("DP_1","00O2TNJGODT0G5Z4TTKYMN18L","GSON1112130175")</f>
        <v>#NAME?</v>
      </c>
      <c r="W1724" s="28" t="e">
        <f ca="1">[1]!BexGetData("DP_1","00O2TNJGODT0G5Z4TTKYMN7K5","GSON1112130175")</f>
        <v>#NAME?</v>
      </c>
    </row>
    <row r="1725" spans="1:23" x14ac:dyDescent="0.2">
      <c r="A1725" s="36" t="s">
        <v>4511</v>
      </c>
      <c r="B1725" s="27" t="s">
        <v>4512</v>
      </c>
      <c r="C1725" s="28" t="e">
        <f ca="1">[1]!BexGetData("DP_1","003N8EMH8GTFRCSWKMPXRR8GU","GSON1112130180")</f>
        <v>#NAME?</v>
      </c>
      <c r="D1725" s="23" t="e">
        <f ca="1">[1]!BexGetData("DP_1","003N8EMH8GTFRCSWKMPXRRESE","GSON1112130180")</f>
        <v>#NAME?</v>
      </c>
      <c r="E1725" s="28" t="e">
        <f ca="1">[1]!BexGetData("DP_1","003N8EMH8GTFRCSWKMPXRRL3Y","GSON1112130180")</f>
        <v>#NAME?</v>
      </c>
      <c r="F1725" s="23" t="e">
        <f ca="1">[1]!BexGetData("DP_1","003N8EMH8GTFRCSWKMPXRRRFI","GSON1112130180")</f>
        <v>#NAME?</v>
      </c>
      <c r="G1725" s="23" t="e">
        <f ca="1">[1]!BexGetData("DP_1","003N8EMH8GTFRCSWKMPXRRXR2","GSON1112130180")</f>
        <v>#NAME?</v>
      </c>
      <c r="H1725" s="23" t="e">
        <f ca="1">[1]!BexGetData("DP_1","003N8EMH8GTFRCSWKMPXRS42M","GSON1112130180")</f>
        <v>#NAME?</v>
      </c>
      <c r="I1725" s="23" t="e">
        <f ca="1">[1]!BexGetData("DP_1","003N8EMH8GTFRCSWKMPXRSAE6","GSON1112130180")</f>
        <v>#NAME?</v>
      </c>
      <c r="J1725" s="24" t="e">
        <f ca="1">[1]!BexGetData("DP_1","003N8EMH8GTFRCSWKMPXRSGPQ","GSON1112130180")</f>
        <v>#NAME?</v>
      </c>
      <c r="K1725" s="23" t="e">
        <f ca="1">[1]!BexGetData("DP_1","003N8EMH8GTFRIVNUPY288VJH","GSON1112130180")</f>
        <v>#NAME?</v>
      </c>
      <c r="L1725" s="23" t="e">
        <f ca="1">[1]!BexGetData("DP_1","003N8EMH8GTFRIVNUPY2891V1","GSON1112130180")</f>
        <v>#NAME?</v>
      </c>
      <c r="M1725" s="23" t="e">
        <f ca="1">[1]!BexGetData("DP_1","003N8EMH8GTFRIVOG7KG9IQXA","GSON1112130180")</f>
        <v>#NAME?</v>
      </c>
      <c r="N1725" s="28" t="e">
        <f ca="1">[1]!BexGetData("DP_1","003N8EMH8GTFRIVOG7KG9IX8U","GSON1112130180")</f>
        <v>#NAME?</v>
      </c>
      <c r="O1725" s="23" t="e">
        <f ca="1">[1]!BexGetData("DP_1","003N8EMH8GTFRIVOG7KG9J3KE","GSON1112130180")</f>
        <v>#NAME?</v>
      </c>
      <c r="P1725" s="28" t="e">
        <f ca="1">[1]!BexGetData("DP_1","003N8EMH8GTFRIVOG7KG9J9VY","GSON1112130180")</f>
        <v>#NAME?</v>
      </c>
      <c r="Q1725" s="24" t="e">
        <f ca="1">[1]!BexGetData("DP_1","00O2TNJGODT0G5Z4TTKYMM5MT","GSON1112130180")</f>
        <v>#NAME?</v>
      </c>
      <c r="R1725" s="23" t="e">
        <f ca="1">[1]!BexGetData("DP_1","00O2TNJGODT0G5Z4TTKYMMBYD","GSON1112130180")</f>
        <v>#NAME?</v>
      </c>
      <c r="S1725" s="23" t="e">
        <f ca="1">[1]!BexGetData("DP_1","00O2TNJGODT0G5Z4TTKYMMI9X","GSON1112130180")</f>
        <v>#NAME?</v>
      </c>
      <c r="T1725" s="28" t="e">
        <f ca="1">[1]!BexGetData("DP_1","00O2TNJGODT0G5Z4TTKYMMOLH","GSON1112130180")</f>
        <v>#NAME?</v>
      </c>
      <c r="U1725" s="23" t="e">
        <f ca="1">[1]!BexGetData("DP_1","00O2TNJGODT0G5Z4TTKYMMUX1","GSON1112130180")</f>
        <v>#NAME?</v>
      </c>
      <c r="V1725" s="28" t="e">
        <f ca="1">[1]!BexGetData("DP_1","00O2TNJGODT0G5Z4TTKYMN18L","GSON1112130180")</f>
        <v>#NAME?</v>
      </c>
      <c r="W1725" s="23" t="e">
        <f ca="1">[1]!BexGetData("DP_1","00O2TNJGODT0G5Z4TTKYMN7K5","GSON1112130180")</f>
        <v>#NAME?</v>
      </c>
    </row>
    <row r="1726" spans="1:23" x14ac:dyDescent="0.2">
      <c r="A1726" s="36" t="s">
        <v>4513</v>
      </c>
      <c r="B1726" s="27" t="s">
        <v>4514</v>
      </c>
      <c r="C1726" s="28" t="e">
        <f ca="1">[1]!BexGetData("DP_1","003N8EMH8GTFRCSWKMPXRR8GU","GSON1112130181")</f>
        <v>#NAME?</v>
      </c>
      <c r="D1726" s="28" t="e">
        <f ca="1">[1]!BexGetData("DP_1","003N8EMH8GTFRCSWKMPXRRESE","GSON1112130181")</f>
        <v>#NAME?</v>
      </c>
      <c r="E1726" s="28" t="e">
        <f ca="1">[1]!BexGetData("DP_1","003N8EMH8GTFRCSWKMPXRRL3Y","GSON1112130181")</f>
        <v>#NAME?</v>
      </c>
      <c r="F1726" s="28" t="e">
        <f ca="1">[1]!BexGetData("DP_1","003N8EMH8GTFRCSWKMPXRRRFI","GSON1112130181")</f>
        <v>#NAME?</v>
      </c>
      <c r="G1726" s="23" t="e">
        <f ca="1">[1]!BexGetData("DP_1","003N8EMH8GTFRCSWKMPXRRXR2","GSON1112130181")</f>
        <v>#NAME?</v>
      </c>
      <c r="H1726" s="23" t="e">
        <f ca="1">[1]!BexGetData("DP_1","003N8EMH8GTFRCSWKMPXRS42M","GSON1112130181")</f>
        <v>#NAME?</v>
      </c>
      <c r="I1726" s="28" t="e">
        <f ca="1">[1]!BexGetData("DP_1","003N8EMH8GTFRCSWKMPXRSAE6","GSON1112130181")</f>
        <v>#NAME?</v>
      </c>
      <c r="J1726" s="24" t="e">
        <f ca="1">[1]!BexGetData("DP_1","003N8EMH8GTFRCSWKMPXRSGPQ","GSON1112130181")</f>
        <v>#NAME?</v>
      </c>
      <c r="K1726" s="28" t="e">
        <f ca="1">[1]!BexGetData("DP_1","003N8EMH8GTFRIVNUPY288VJH","GSON1112130181")</f>
        <v>#NAME?</v>
      </c>
      <c r="L1726" s="28" t="e">
        <f ca="1">[1]!BexGetData("DP_1","003N8EMH8GTFRIVNUPY2891V1","GSON1112130181")</f>
        <v>#NAME?</v>
      </c>
      <c r="M1726" s="28" t="e">
        <f ca="1">[1]!BexGetData("DP_1","003N8EMH8GTFRIVOG7KG9IQXA","GSON1112130181")</f>
        <v>#NAME?</v>
      </c>
      <c r="N1726" s="28" t="e">
        <f ca="1">[1]!BexGetData("DP_1","003N8EMH8GTFRIVOG7KG9IX8U","GSON1112130181")</f>
        <v>#NAME?</v>
      </c>
      <c r="O1726" s="28" t="e">
        <f ca="1">[1]!BexGetData("DP_1","003N8EMH8GTFRIVOG7KG9J3KE","GSON1112130181")</f>
        <v>#NAME?</v>
      </c>
      <c r="P1726" s="28" t="e">
        <f ca="1">[1]!BexGetData("DP_1","003N8EMH8GTFRIVOG7KG9J9VY","GSON1112130181")</f>
        <v>#NAME?</v>
      </c>
      <c r="Q1726" s="24" t="e">
        <f ca="1">[1]!BexGetData("DP_1","00O2TNJGODT0G5Z4TTKYMM5MT","GSON1112130181")</f>
        <v>#NAME?</v>
      </c>
      <c r="R1726" s="28" t="e">
        <f ca="1">[1]!BexGetData("DP_1","00O2TNJGODT0G5Z4TTKYMMBYD","GSON1112130181")</f>
        <v>#NAME?</v>
      </c>
      <c r="S1726" s="28" t="e">
        <f ca="1">[1]!BexGetData("DP_1","00O2TNJGODT0G5Z4TTKYMMI9X","GSON1112130181")</f>
        <v>#NAME?</v>
      </c>
      <c r="T1726" s="28" t="e">
        <f ca="1">[1]!BexGetData("DP_1","00O2TNJGODT0G5Z4TTKYMMOLH","GSON1112130181")</f>
        <v>#NAME?</v>
      </c>
      <c r="U1726" s="28" t="e">
        <f ca="1">[1]!BexGetData("DP_1","00O2TNJGODT0G5Z4TTKYMMUX1","GSON1112130181")</f>
        <v>#NAME?</v>
      </c>
      <c r="V1726" s="28" t="e">
        <f ca="1">[1]!BexGetData("DP_1","00O2TNJGODT0G5Z4TTKYMN18L","GSON1112130181")</f>
        <v>#NAME?</v>
      </c>
      <c r="W1726" s="28" t="e">
        <f ca="1">[1]!BexGetData("DP_1","00O2TNJGODT0G5Z4TTKYMN7K5","GSON1112130181")</f>
        <v>#NAME?</v>
      </c>
    </row>
    <row r="1727" spans="1:23" x14ac:dyDescent="0.2">
      <c r="A1727" s="36" t="s">
        <v>4515</v>
      </c>
      <c r="B1727" s="27" t="s">
        <v>4516</v>
      </c>
      <c r="C1727" s="23" t="e">
        <f ca="1">[1]!BexGetData("DP_1","003N8EMH8GTFRCSWKMPXRR8GU","GSON1112130183")</f>
        <v>#NAME?</v>
      </c>
      <c r="D1727" s="23" t="e">
        <f ca="1">[1]!BexGetData("DP_1","003N8EMH8GTFRCSWKMPXRRESE","GSON1112130183")</f>
        <v>#NAME?</v>
      </c>
      <c r="E1727" s="28" t="e">
        <f ca="1">[1]!BexGetData("DP_1","003N8EMH8GTFRCSWKMPXRRL3Y","GSON1112130183")</f>
        <v>#NAME?</v>
      </c>
      <c r="F1727" s="28" t="e">
        <f ca="1">[1]!BexGetData("DP_1","003N8EMH8GTFRCSWKMPXRRRFI","GSON1112130183")</f>
        <v>#NAME?</v>
      </c>
      <c r="G1727" s="23" t="e">
        <f ca="1">[1]!BexGetData("DP_1","003N8EMH8GTFRCSWKMPXRRXR2","GSON1112130183")</f>
        <v>#NAME?</v>
      </c>
      <c r="H1727" s="23" t="e">
        <f ca="1">[1]!BexGetData("DP_1","003N8EMH8GTFRCSWKMPXRS42M","GSON1112130183")</f>
        <v>#NAME?</v>
      </c>
      <c r="I1727" s="28" t="e">
        <f ca="1">[1]!BexGetData("DP_1","003N8EMH8GTFRCSWKMPXRSAE6","GSON1112130183")</f>
        <v>#NAME?</v>
      </c>
      <c r="J1727" s="24" t="e">
        <f ca="1">[1]!BexGetData("DP_1","003N8EMH8GTFRCSWKMPXRSGPQ","GSON1112130183")</f>
        <v>#NAME?</v>
      </c>
      <c r="K1727" s="28" t="e">
        <f ca="1">[1]!BexGetData("DP_1","003N8EMH8GTFRIVNUPY288VJH","GSON1112130183")</f>
        <v>#NAME?</v>
      </c>
      <c r="L1727" s="28" t="e">
        <f ca="1">[1]!BexGetData("DP_1","003N8EMH8GTFRIVNUPY2891V1","GSON1112130183")</f>
        <v>#NAME?</v>
      </c>
      <c r="M1727" s="28" t="e">
        <f ca="1">[1]!BexGetData("DP_1","003N8EMH8GTFRIVOG7KG9IQXA","GSON1112130183")</f>
        <v>#NAME?</v>
      </c>
      <c r="N1727" s="28" t="e">
        <f ca="1">[1]!BexGetData("DP_1","003N8EMH8GTFRIVOG7KG9IX8U","GSON1112130183")</f>
        <v>#NAME?</v>
      </c>
      <c r="O1727" s="28" t="e">
        <f ca="1">[1]!BexGetData("DP_1","003N8EMH8GTFRIVOG7KG9J3KE","GSON1112130183")</f>
        <v>#NAME?</v>
      </c>
      <c r="P1727" s="28" t="e">
        <f ca="1">[1]!BexGetData("DP_1","003N8EMH8GTFRIVOG7KG9J9VY","GSON1112130183")</f>
        <v>#NAME?</v>
      </c>
      <c r="Q1727" s="24" t="e">
        <f ca="1">[1]!BexGetData("DP_1","00O2TNJGODT0G5Z4TTKYMM5MT","GSON1112130183")</f>
        <v>#NAME?</v>
      </c>
      <c r="R1727" s="28" t="e">
        <f ca="1">[1]!BexGetData("DP_1","00O2TNJGODT0G5Z4TTKYMMBYD","GSON1112130183")</f>
        <v>#NAME?</v>
      </c>
      <c r="S1727" s="28" t="e">
        <f ca="1">[1]!BexGetData("DP_1","00O2TNJGODT0G5Z4TTKYMMI9X","GSON1112130183")</f>
        <v>#NAME?</v>
      </c>
      <c r="T1727" s="28" t="e">
        <f ca="1">[1]!BexGetData("DP_1","00O2TNJGODT0G5Z4TTKYMMOLH","GSON1112130183")</f>
        <v>#NAME?</v>
      </c>
      <c r="U1727" s="28" t="e">
        <f ca="1">[1]!BexGetData("DP_1","00O2TNJGODT0G5Z4TTKYMMUX1","GSON1112130183")</f>
        <v>#NAME?</v>
      </c>
      <c r="V1727" s="28" t="e">
        <f ca="1">[1]!BexGetData("DP_1","00O2TNJGODT0G5Z4TTKYMN18L","GSON1112130183")</f>
        <v>#NAME?</v>
      </c>
      <c r="W1727" s="28" t="e">
        <f ca="1">[1]!BexGetData("DP_1","00O2TNJGODT0G5Z4TTKYMN7K5","GSON1112130183")</f>
        <v>#NAME?</v>
      </c>
    </row>
    <row r="1728" spans="1:23" x14ac:dyDescent="0.2">
      <c r="A1728" s="36" t="s">
        <v>4517</v>
      </c>
      <c r="B1728" s="27" t="s">
        <v>4518</v>
      </c>
      <c r="C1728" s="28" t="e">
        <f ca="1">[1]!BexGetData("DP_1","003N8EMH8GTFRCSWKMPXRR8GU","GSON1112130185")</f>
        <v>#NAME?</v>
      </c>
      <c r="D1728" s="28" t="e">
        <f ca="1">[1]!BexGetData("DP_1","003N8EMH8GTFRCSWKMPXRRESE","GSON1112130185")</f>
        <v>#NAME?</v>
      </c>
      <c r="E1728" s="28" t="e">
        <f ca="1">[1]!BexGetData("DP_1","003N8EMH8GTFRCSWKMPXRRL3Y","GSON1112130185")</f>
        <v>#NAME?</v>
      </c>
      <c r="F1728" s="28" t="e">
        <f ca="1">[1]!BexGetData("DP_1","003N8EMH8GTFRCSWKMPXRRRFI","GSON1112130185")</f>
        <v>#NAME?</v>
      </c>
      <c r="G1728" s="23" t="e">
        <f ca="1">[1]!BexGetData("DP_1","003N8EMH8GTFRCSWKMPXRRXR2","GSON1112130185")</f>
        <v>#NAME?</v>
      </c>
      <c r="H1728" s="23" t="e">
        <f ca="1">[1]!BexGetData("DP_1","003N8EMH8GTFRCSWKMPXRS42M","GSON1112130185")</f>
        <v>#NAME?</v>
      </c>
      <c r="I1728" s="28" t="e">
        <f ca="1">[1]!BexGetData("DP_1","003N8EMH8GTFRCSWKMPXRSAE6","GSON1112130185")</f>
        <v>#NAME?</v>
      </c>
      <c r="J1728" s="24" t="e">
        <f ca="1">[1]!BexGetData("DP_1","003N8EMH8GTFRCSWKMPXRSGPQ","GSON1112130185")</f>
        <v>#NAME?</v>
      </c>
      <c r="K1728" s="28" t="e">
        <f ca="1">[1]!BexGetData("DP_1","003N8EMH8GTFRIVNUPY288VJH","GSON1112130185")</f>
        <v>#NAME?</v>
      </c>
      <c r="L1728" s="28" t="e">
        <f ca="1">[1]!BexGetData("DP_1","003N8EMH8GTFRIVNUPY2891V1","GSON1112130185")</f>
        <v>#NAME?</v>
      </c>
      <c r="M1728" s="28" t="e">
        <f ca="1">[1]!BexGetData("DP_1","003N8EMH8GTFRIVOG7KG9IQXA","GSON1112130185")</f>
        <v>#NAME?</v>
      </c>
      <c r="N1728" s="28" t="e">
        <f ca="1">[1]!BexGetData("DP_1","003N8EMH8GTFRIVOG7KG9IX8U","GSON1112130185")</f>
        <v>#NAME?</v>
      </c>
      <c r="O1728" s="28" t="e">
        <f ca="1">[1]!BexGetData("DP_1","003N8EMH8GTFRIVOG7KG9J3KE","GSON1112130185")</f>
        <v>#NAME?</v>
      </c>
      <c r="P1728" s="28" t="e">
        <f ca="1">[1]!BexGetData("DP_1","003N8EMH8GTFRIVOG7KG9J9VY","GSON1112130185")</f>
        <v>#NAME?</v>
      </c>
      <c r="Q1728" s="24" t="e">
        <f ca="1">[1]!BexGetData("DP_1","00O2TNJGODT0G5Z4TTKYMM5MT","GSON1112130185")</f>
        <v>#NAME?</v>
      </c>
      <c r="R1728" s="28" t="e">
        <f ca="1">[1]!BexGetData("DP_1","00O2TNJGODT0G5Z4TTKYMMBYD","GSON1112130185")</f>
        <v>#NAME?</v>
      </c>
      <c r="S1728" s="28" t="e">
        <f ca="1">[1]!BexGetData("DP_1","00O2TNJGODT0G5Z4TTKYMMI9X","GSON1112130185")</f>
        <v>#NAME?</v>
      </c>
      <c r="T1728" s="28" t="e">
        <f ca="1">[1]!BexGetData("DP_1","00O2TNJGODT0G5Z4TTKYMMOLH","GSON1112130185")</f>
        <v>#NAME?</v>
      </c>
      <c r="U1728" s="28" t="e">
        <f ca="1">[1]!BexGetData("DP_1","00O2TNJGODT0G5Z4TTKYMMUX1","GSON1112130185")</f>
        <v>#NAME?</v>
      </c>
      <c r="V1728" s="28" t="e">
        <f ca="1">[1]!BexGetData("DP_1","00O2TNJGODT0G5Z4TTKYMN18L","GSON1112130185")</f>
        <v>#NAME?</v>
      </c>
      <c r="W1728" s="28" t="e">
        <f ca="1">[1]!BexGetData("DP_1","00O2TNJGODT0G5Z4TTKYMN7K5","GSON1112130185")</f>
        <v>#NAME?</v>
      </c>
    </row>
    <row r="1729" spans="1:23" x14ac:dyDescent="0.2">
      <c r="A1729" s="36" t="s">
        <v>4519</v>
      </c>
      <c r="B1729" s="27" t="s">
        <v>4520</v>
      </c>
      <c r="C1729" s="28" t="e">
        <f ca="1">[1]!BexGetData("DP_1","003N8EMH8GTFRCSWKMPXRR8GU","GSON1112130200")</f>
        <v>#NAME?</v>
      </c>
      <c r="D1729" s="23" t="e">
        <f ca="1">[1]!BexGetData("DP_1","003N8EMH8GTFRCSWKMPXRRESE","GSON1112130200")</f>
        <v>#NAME?</v>
      </c>
      <c r="E1729" s="28" t="e">
        <f ca="1">[1]!BexGetData("DP_1","003N8EMH8GTFRCSWKMPXRRL3Y","GSON1112130200")</f>
        <v>#NAME?</v>
      </c>
      <c r="F1729" s="23" t="e">
        <f ca="1">[1]!BexGetData("DP_1","003N8EMH8GTFRCSWKMPXRRRFI","GSON1112130200")</f>
        <v>#NAME?</v>
      </c>
      <c r="G1729" s="23" t="e">
        <f ca="1">[1]!BexGetData("DP_1","003N8EMH8GTFRCSWKMPXRRXR2","GSON1112130200")</f>
        <v>#NAME?</v>
      </c>
      <c r="H1729" s="23" t="e">
        <f ca="1">[1]!BexGetData("DP_1","003N8EMH8GTFRCSWKMPXRS42M","GSON1112130200")</f>
        <v>#NAME?</v>
      </c>
      <c r="I1729" s="23" t="e">
        <f ca="1">[1]!BexGetData("DP_1","003N8EMH8GTFRCSWKMPXRSAE6","GSON1112130200")</f>
        <v>#NAME?</v>
      </c>
      <c r="J1729" s="24" t="e">
        <f ca="1">[1]!BexGetData("DP_1","003N8EMH8GTFRCSWKMPXRSGPQ","GSON1112130200")</f>
        <v>#NAME?</v>
      </c>
      <c r="K1729" s="23" t="e">
        <f ca="1">[1]!BexGetData("DP_1","003N8EMH8GTFRIVNUPY288VJH","GSON1112130200")</f>
        <v>#NAME?</v>
      </c>
      <c r="L1729" s="23" t="e">
        <f ca="1">[1]!BexGetData("DP_1","003N8EMH8GTFRIVNUPY2891V1","GSON1112130200")</f>
        <v>#NAME?</v>
      </c>
      <c r="M1729" s="23" t="e">
        <f ca="1">[1]!BexGetData("DP_1","003N8EMH8GTFRIVOG7KG9IQXA","GSON1112130200")</f>
        <v>#NAME?</v>
      </c>
      <c r="N1729" s="28" t="e">
        <f ca="1">[1]!BexGetData("DP_1","003N8EMH8GTFRIVOG7KG9IX8U","GSON1112130200")</f>
        <v>#NAME?</v>
      </c>
      <c r="O1729" s="23" t="e">
        <f ca="1">[1]!BexGetData("DP_1","003N8EMH8GTFRIVOG7KG9J3KE","GSON1112130200")</f>
        <v>#NAME?</v>
      </c>
      <c r="P1729" s="28" t="e">
        <f ca="1">[1]!BexGetData("DP_1","003N8EMH8GTFRIVOG7KG9J9VY","GSON1112130200")</f>
        <v>#NAME?</v>
      </c>
      <c r="Q1729" s="24" t="e">
        <f ca="1">[1]!BexGetData("DP_1","00O2TNJGODT0G5Z4TTKYMM5MT","GSON1112130200")</f>
        <v>#NAME?</v>
      </c>
      <c r="R1729" s="23" t="e">
        <f ca="1">[1]!BexGetData("DP_1","00O2TNJGODT0G5Z4TTKYMMBYD","GSON1112130200")</f>
        <v>#NAME?</v>
      </c>
      <c r="S1729" s="23" t="e">
        <f ca="1">[1]!BexGetData("DP_1","00O2TNJGODT0G5Z4TTKYMMI9X","GSON1112130200")</f>
        <v>#NAME?</v>
      </c>
      <c r="T1729" s="28" t="e">
        <f ca="1">[1]!BexGetData("DP_1","00O2TNJGODT0G5Z4TTKYMMOLH","GSON1112130200")</f>
        <v>#NAME?</v>
      </c>
      <c r="U1729" s="23" t="e">
        <f ca="1">[1]!BexGetData("DP_1","00O2TNJGODT0G5Z4TTKYMMUX1","GSON1112130200")</f>
        <v>#NAME?</v>
      </c>
      <c r="V1729" s="28" t="e">
        <f ca="1">[1]!BexGetData("DP_1","00O2TNJGODT0G5Z4TTKYMN18L","GSON1112130200")</f>
        <v>#NAME?</v>
      </c>
      <c r="W1729" s="23" t="e">
        <f ca="1">[1]!BexGetData("DP_1","00O2TNJGODT0G5Z4TTKYMN7K5","GSON1112130200")</f>
        <v>#NAME?</v>
      </c>
    </row>
    <row r="1730" spans="1:23" x14ac:dyDescent="0.2">
      <c r="A1730" s="36" t="s">
        <v>4521</v>
      </c>
      <c r="B1730" s="27" t="s">
        <v>4522</v>
      </c>
      <c r="C1730" s="28" t="e">
        <f ca="1">[1]!BexGetData("DP_1","003N8EMH8GTFRCSWKMPXRR8GU","GSON1112130201")</f>
        <v>#NAME?</v>
      </c>
      <c r="D1730" s="28" t="e">
        <f ca="1">[1]!BexGetData("DP_1","003N8EMH8GTFRCSWKMPXRRESE","GSON1112130201")</f>
        <v>#NAME?</v>
      </c>
      <c r="E1730" s="28" t="e">
        <f ca="1">[1]!BexGetData("DP_1","003N8EMH8GTFRCSWKMPXRRL3Y","GSON1112130201")</f>
        <v>#NAME?</v>
      </c>
      <c r="F1730" s="28" t="e">
        <f ca="1">[1]!BexGetData("DP_1","003N8EMH8GTFRCSWKMPXRRRFI","GSON1112130201")</f>
        <v>#NAME?</v>
      </c>
      <c r="G1730" s="23" t="e">
        <f ca="1">[1]!BexGetData("DP_1","003N8EMH8GTFRCSWKMPXRRXR2","GSON1112130201")</f>
        <v>#NAME?</v>
      </c>
      <c r="H1730" s="23" t="e">
        <f ca="1">[1]!BexGetData("DP_1","003N8EMH8GTFRCSWKMPXRS42M","GSON1112130201")</f>
        <v>#NAME?</v>
      </c>
      <c r="I1730" s="28" t="e">
        <f ca="1">[1]!BexGetData("DP_1","003N8EMH8GTFRCSWKMPXRSAE6","GSON1112130201")</f>
        <v>#NAME?</v>
      </c>
      <c r="J1730" s="24" t="e">
        <f ca="1">[1]!BexGetData("DP_1","003N8EMH8GTFRCSWKMPXRSGPQ","GSON1112130201")</f>
        <v>#NAME?</v>
      </c>
      <c r="K1730" s="28" t="e">
        <f ca="1">[1]!BexGetData("DP_1","003N8EMH8GTFRIVNUPY288VJH","GSON1112130201")</f>
        <v>#NAME?</v>
      </c>
      <c r="L1730" s="28" t="e">
        <f ca="1">[1]!BexGetData("DP_1","003N8EMH8GTFRIVNUPY2891V1","GSON1112130201")</f>
        <v>#NAME?</v>
      </c>
      <c r="M1730" s="28" t="e">
        <f ca="1">[1]!BexGetData("DP_1","003N8EMH8GTFRIVOG7KG9IQXA","GSON1112130201")</f>
        <v>#NAME?</v>
      </c>
      <c r="N1730" s="28" t="e">
        <f ca="1">[1]!BexGetData("DP_1","003N8EMH8GTFRIVOG7KG9IX8U","GSON1112130201")</f>
        <v>#NAME?</v>
      </c>
      <c r="O1730" s="28" t="e">
        <f ca="1">[1]!BexGetData("DP_1","003N8EMH8GTFRIVOG7KG9J3KE","GSON1112130201")</f>
        <v>#NAME?</v>
      </c>
      <c r="P1730" s="28" t="e">
        <f ca="1">[1]!BexGetData("DP_1","003N8EMH8GTFRIVOG7KG9J9VY","GSON1112130201")</f>
        <v>#NAME?</v>
      </c>
      <c r="Q1730" s="24" t="e">
        <f ca="1">[1]!BexGetData("DP_1","00O2TNJGODT0G5Z4TTKYMM5MT","GSON1112130201")</f>
        <v>#NAME?</v>
      </c>
      <c r="R1730" s="28" t="e">
        <f ca="1">[1]!BexGetData("DP_1","00O2TNJGODT0G5Z4TTKYMMBYD","GSON1112130201")</f>
        <v>#NAME?</v>
      </c>
      <c r="S1730" s="28" t="e">
        <f ca="1">[1]!BexGetData("DP_1","00O2TNJGODT0G5Z4TTKYMMI9X","GSON1112130201")</f>
        <v>#NAME?</v>
      </c>
      <c r="T1730" s="28" t="e">
        <f ca="1">[1]!BexGetData("DP_1","00O2TNJGODT0G5Z4TTKYMMOLH","GSON1112130201")</f>
        <v>#NAME?</v>
      </c>
      <c r="U1730" s="28" t="e">
        <f ca="1">[1]!BexGetData("DP_1","00O2TNJGODT0G5Z4TTKYMMUX1","GSON1112130201")</f>
        <v>#NAME?</v>
      </c>
      <c r="V1730" s="28" t="e">
        <f ca="1">[1]!BexGetData("DP_1","00O2TNJGODT0G5Z4TTKYMN18L","GSON1112130201")</f>
        <v>#NAME?</v>
      </c>
      <c r="W1730" s="28" t="e">
        <f ca="1">[1]!BexGetData("DP_1","00O2TNJGODT0G5Z4TTKYMN7K5","GSON1112130201")</f>
        <v>#NAME?</v>
      </c>
    </row>
    <row r="1731" spans="1:23" x14ac:dyDescent="0.2">
      <c r="A1731" s="36" t="s">
        <v>4523</v>
      </c>
      <c r="B1731" s="27" t="s">
        <v>4524</v>
      </c>
      <c r="C1731" s="23" t="e">
        <f ca="1">[1]!BexGetData("DP_1","003N8EMH8GTFRCSWKMPXRR8GU","GSON1112130203")</f>
        <v>#NAME?</v>
      </c>
      <c r="D1731" s="23" t="e">
        <f ca="1">[1]!BexGetData("DP_1","003N8EMH8GTFRCSWKMPXRRESE","GSON1112130203")</f>
        <v>#NAME?</v>
      </c>
      <c r="E1731" s="28" t="e">
        <f ca="1">[1]!BexGetData("DP_1","003N8EMH8GTFRCSWKMPXRRL3Y","GSON1112130203")</f>
        <v>#NAME?</v>
      </c>
      <c r="F1731" s="28" t="e">
        <f ca="1">[1]!BexGetData("DP_1","003N8EMH8GTFRCSWKMPXRRRFI","GSON1112130203")</f>
        <v>#NAME?</v>
      </c>
      <c r="G1731" s="23" t="e">
        <f ca="1">[1]!BexGetData("DP_1","003N8EMH8GTFRCSWKMPXRRXR2","GSON1112130203")</f>
        <v>#NAME?</v>
      </c>
      <c r="H1731" s="23" t="e">
        <f ca="1">[1]!BexGetData("DP_1","003N8EMH8GTFRCSWKMPXRS42M","GSON1112130203")</f>
        <v>#NAME?</v>
      </c>
      <c r="I1731" s="28" t="e">
        <f ca="1">[1]!BexGetData("DP_1","003N8EMH8GTFRCSWKMPXRSAE6","GSON1112130203")</f>
        <v>#NAME?</v>
      </c>
      <c r="J1731" s="24" t="e">
        <f ca="1">[1]!BexGetData("DP_1","003N8EMH8GTFRCSWKMPXRSGPQ","GSON1112130203")</f>
        <v>#NAME?</v>
      </c>
      <c r="K1731" s="28" t="e">
        <f ca="1">[1]!BexGetData("DP_1","003N8EMH8GTFRIVNUPY288VJH","GSON1112130203")</f>
        <v>#NAME?</v>
      </c>
      <c r="L1731" s="28" t="e">
        <f ca="1">[1]!BexGetData("DP_1","003N8EMH8GTFRIVNUPY2891V1","GSON1112130203")</f>
        <v>#NAME?</v>
      </c>
      <c r="M1731" s="28" t="e">
        <f ca="1">[1]!BexGetData("DP_1","003N8EMH8GTFRIVOG7KG9IQXA","GSON1112130203")</f>
        <v>#NAME?</v>
      </c>
      <c r="N1731" s="28" t="e">
        <f ca="1">[1]!BexGetData("DP_1","003N8EMH8GTFRIVOG7KG9IX8U","GSON1112130203")</f>
        <v>#NAME?</v>
      </c>
      <c r="O1731" s="28" t="e">
        <f ca="1">[1]!BexGetData("DP_1","003N8EMH8GTFRIVOG7KG9J3KE","GSON1112130203")</f>
        <v>#NAME?</v>
      </c>
      <c r="P1731" s="28" t="e">
        <f ca="1">[1]!BexGetData("DP_1","003N8EMH8GTFRIVOG7KG9J9VY","GSON1112130203")</f>
        <v>#NAME?</v>
      </c>
      <c r="Q1731" s="24" t="e">
        <f ca="1">[1]!BexGetData("DP_1","00O2TNJGODT0G5Z4TTKYMM5MT","GSON1112130203")</f>
        <v>#NAME?</v>
      </c>
      <c r="R1731" s="28" t="e">
        <f ca="1">[1]!BexGetData("DP_1","00O2TNJGODT0G5Z4TTKYMMBYD","GSON1112130203")</f>
        <v>#NAME?</v>
      </c>
      <c r="S1731" s="28" t="e">
        <f ca="1">[1]!BexGetData("DP_1","00O2TNJGODT0G5Z4TTKYMMI9X","GSON1112130203")</f>
        <v>#NAME?</v>
      </c>
      <c r="T1731" s="28" t="e">
        <f ca="1">[1]!BexGetData("DP_1","00O2TNJGODT0G5Z4TTKYMMOLH","GSON1112130203")</f>
        <v>#NAME?</v>
      </c>
      <c r="U1731" s="28" t="e">
        <f ca="1">[1]!BexGetData("DP_1","00O2TNJGODT0G5Z4TTKYMMUX1","GSON1112130203")</f>
        <v>#NAME?</v>
      </c>
      <c r="V1731" s="28" t="e">
        <f ca="1">[1]!BexGetData("DP_1","00O2TNJGODT0G5Z4TTKYMN18L","GSON1112130203")</f>
        <v>#NAME?</v>
      </c>
      <c r="W1731" s="28" t="e">
        <f ca="1">[1]!BexGetData("DP_1","00O2TNJGODT0G5Z4TTKYMN7K5","GSON1112130203")</f>
        <v>#NAME?</v>
      </c>
    </row>
    <row r="1732" spans="1:23" x14ac:dyDescent="0.2">
      <c r="A1732" s="36" t="s">
        <v>4525</v>
      </c>
      <c r="B1732" s="27" t="s">
        <v>4526</v>
      </c>
      <c r="C1732" s="24" t="e">
        <f ca="1">[1]!BexGetData("DP_1","003N8EMH8GTFRCSWKMPXRR8GU","GSON1112130204")</f>
        <v>#NAME?</v>
      </c>
      <c r="D1732" s="24" t="e">
        <f ca="1">[1]!BexGetData("DP_1","003N8EMH8GTFRCSWKMPXRRESE","GSON1112130204")</f>
        <v>#NAME?</v>
      </c>
      <c r="E1732" s="24" t="e">
        <f ca="1">[1]!BexGetData("DP_1","003N8EMH8GTFRCSWKMPXRRL3Y","GSON1112130204")</f>
        <v>#NAME?</v>
      </c>
      <c r="F1732" s="28" t="e">
        <f ca="1">[1]!BexGetData("DP_1","003N8EMH8GTFRCSWKMPXRRRFI","GSON1112130204")</f>
        <v>#NAME?</v>
      </c>
      <c r="G1732" s="23" t="e">
        <f ca="1">[1]!BexGetData("DP_1","003N8EMH8GTFRCSWKMPXRRXR2","GSON1112130204")</f>
        <v>#NAME?</v>
      </c>
      <c r="H1732" s="23" t="e">
        <f ca="1">[1]!BexGetData("DP_1","003N8EMH8GTFRCSWKMPXRS42M","GSON1112130204")</f>
        <v>#NAME?</v>
      </c>
      <c r="I1732" s="28" t="e">
        <f ca="1">[1]!BexGetData("DP_1","003N8EMH8GTFRCSWKMPXRSAE6","GSON1112130204")</f>
        <v>#NAME?</v>
      </c>
      <c r="J1732" s="24" t="e">
        <f ca="1">[1]!BexGetData("DP_1","003N8EMH8GTFRCSWKMPXRSGPQ","GSON1112130204")</f>
        <v>#NAME?</v>
      </c>
      <c r="K1732" s="28" t="e">
        <f ca="1">[1]!BexGetData("DP_1","003N8EMH8GTFRIVNUPY288VJH","GSON1112130204")</f>
        <v>#NAME?</v>
      </c>
      <c r="L1732" s="28" t="e">
        <f ca="1">[1]!BexGetData("DP_1","003N8EMH8GTFRIVNUPY2891V1","GSON1112130204")</f>
        <v>#NAME?</v>
      </c>
      <c r="M1732" s="28" t="e">
        <f ca="1">[1]!BexGetData("DP_1","003N8EMH8GTFRIVOG7KG9IQXA","GSON1112130204")</f>
        <v>#NAME?</v>
      </c>
      <c r="N1732" s="28" t="e">
        <f ca="1">[1]!BexGetData("DP_1","003N8EMH8GTFRIVOG7KG9IX8U","GSON1112130204")</f>
        <v>#NAME?</v>
      </c>
      <c r="O1732" s="28" t="e">
        <f ca="1">[1]!BexGetData("DP_1","003N8EMH8GTFRIVOG7KG9J3KE","GSON1112130204")</f>
        <v>#NAME?</v>
      </c>
      <c r="P1732" s="28" t="e">
        <f ca="1">[1]!BexGetData("DP_1","003N8EMH8GTFRIVOG7KG9J9VY","GSON1112130204")</f>
        <v>#NAME?</v>
      </c>
      <c r="Q1732" s="24" t="e">
        <f ca="1">[1]!BexGetData("DP_1","00O2TNJGODT0G5Z4TTKYMM5MT","GSON1112130204")</f>
        <v>#NAME?</v>
      </c>
      <c r="R1732" s="28" t="e">
        <f ca="1">[1]!BexGetData("DP_1","00O2TNJGODT0G5Z4TTKYMMBYD","GSON1112130204")</f>
        <v>#NAME?</v>
      </c>
      <c r="S1732" s="28" t="e">
        <f ca="1">[1]!BexGetData("DP_1","00O2TNJGODT0G5Z4TTKYMMI9X","GSON1112130204")</f>
        <v>#NAME?</v>
      </c>
      <c r="T1732" s="28" t="e">
        <f ca="1">[1]!BexGetData("DP_1","00O2TNJGODT0G5Z4TTKYMMOLH","GSON1112130204")</f>
        <v>#NAME?</v>
      </c>
      <c r="U1732" s="28" t="e">
        <f ca="1">[1]!BexGetData("DP_1","00O2TNJGODT0G5Z4TTKYMMUX1","GSON1112130204")</f>
        <v>#NAME?</v>
      </c>
      <c r="V1732" s="28" t="e">
        <f ca="1">[1]!BexGetData("DP_1","00O2TNJGODT0G5Z4TTKYMN18L","GSON1112130204")</f>
        <v>#NAME?</v>
      </c>
      <c r="W1732" s="28" t="e">
        <f ca="1">[1]!BexGetData("DP_1","00O2TNJGODT0G5Z4TTKYMN7K5","GSON1112130204")</f>
        <v>#NAME?</v>
      </c>
    </row>
    <row r="1733" spans="1:23" x14ac:dyDescent="0.2">
      <c r="A1733" s="36" t="s">
        <v>4527</v>
      </c>
      <c r="B1733" s="27" t="s">
        <v>4528</v>
      </c>
      <c r="C1733" s="28" t="e">
        <f ca="1">[1]!BexGetData("DP_1","003N8EMH8GTFRCSWKMPXRR8GU","GSON1112130205")</f>
        <v>#NAME?</v>
      </c>
      <c r="D1733" s="28" t="e">
        <f ca="1">[1]!BexGetData("DP_1","003N8EMH8GTFRCSWKMPXRRESE","GSON1112130205")</f>
        <v>#NAME?</v>
      </c>
      <c r="E1733" s="28" t="e">
        <f ca="1">[1]!BexGetData("DP_1","003N8EMH8GTFRCSWKMPXRRL3Y","GSON1112130205")</f>
        <v>#NAME?</v>
      </c>
      <c r="F1733" s="28" t="e">
        <f ca="1">[1]!BexGetData("DP_1","003N8EMH8GTFRCSWKMPXRRRFI","GSON1112130205")</f>
        <v>#NAME?</v>
      </c>
      <c r="G1733" s="23" t="e">
        <f ca="1">[1]!BexGetData("DP_1","003N8EMH8GTFRCSWKMPXRRXR2","GSON1112130205")</f>
        <v>#NAME?</v>
      </c>
      <c r="H1733" s="23" t="e">
        <f ca="1">[1]!BexGetData("DP_1","003N8EMH8GTFRCSWKMPXRS42M","GSON1112130205")</f>
        <v>#NAME?</v>
      </c>
      <c r="I1733" s="28" t="e">
        <f ca="1">[1]!BexGetData("DP_1","003N8EMH8GTFRCSWKMPXRSAE6","GSON1112130205")</f>
        <v>#NAME?</v>
      </c>
      <c r="J1733" s="24" t="e">
        <f ca="1">[1]!BexGetData("DP_1","003N8EMH8GTFRCSWKMPXRSGPQ","GSON1112130205")</f>
        <v>#NAME?</v>
      </c>
      <c r="K1733" s="28" t="e">
        <f ca="1">[1]!BexGetData("DP_1","003N8EMH8GTFRIVNUPY288VJH","GSON1112130205")</f>
        <v>#NAME?</v>
      </c>
      <c r="L1733" s="28" t="e">
        <f ca="1">[1]!BexGetData("DP_1","003N8EMH8GTFRIVNUPY2891V1","GSON1112130205")</f>
        <v>#NAME?</v>
      </c>
      <c r="M1733" s="28" t="e">
        <f ca="1">[1]!BexGetData("DP_1","003N8EMH8GTFRIVOG7KG9IQXA","GSON1112130205")</f>
        <v>#NAME?</v>
      </c>
      <c r="N1733" s="28" t="e">
        <f ca="1">[1]!BexGetData("DP_1","003N8EMH8GTFRIVOG7KG9IX8U","GSON1112130205")</f>
        <v>#NAME?</v>
      </c>
      <c r="O1733" s="28" t="e">
        <f ca="1">[1]!BexGetData("DP_1","003N8EMH8GTFRIVOG7KG9J3KE","GSON1112130205")</f>
        <v>#NAME?</v>
      </c>
      <c r="P1733" s="28" t="e">
        <f ca="1">[1]!BexGetData("DP_1","003N8EMH8GTFRIVOG7KG9J9VY","GSON1112130205")</f>
        <v>#NAME?</v>
      </c>
      <c r="Q1733" s="24" t="e">
        <f ca="1">[1]!BexGetData("DP_1","00O2TNJGODT0G5Z4TTKYMM5MT","GSON1112130205")</f>
        <v>#NAME?</v>
      </c>
      <c r="R1733" s="28" t="e">
        <f ca="1">[1]!BexGetData("DP_1","00O2TNJGODT0G5Z4TTKYMMBYD","GSON1112130205")</f>
        <v>#NAME?</v>
      </c>
      <c r="S1733" s="28" t="e">
        <f ca="1">[1]!BexGetData("DP_1","00O2TNJGODT0G5Z4TTKYMMI9X","GSON1112130205")</f>
        <v>#NAME?</v>
      </c>
      <c r="T1733" s="28" t="e">
        <f ca="1">[1]!BexGetData("DP_1","00O2TNJGODT0G5Z4TTKYMMOLH","GSON1112130205")</f>
        <v>#NAME?</v>
      </c>
      <c r="U1733" s="28" t="e">
        <f ca="1">[1]!BexGetData("DP_1","00O2TNJGODT0G5Z4TTKYMMUX1","GSON1112130205")</f>
        <v>#NAME?</v>
      </c>
      <c r="V1733" s="28" t="e">
        <f ca="1">[1]!BexGetData("DP_1","00O2TNJGODT0G5Z4TTKYMN18L","GSON1112130205")</f>
        <v>#NAME?</v>
      </c>
      <c r="W1733" s="28" t="e">
        <f ca="1">[1]!BexGetData("DP_1","00O2TNJGODT0G5Z4TTKYMN7K5","GSON1112130205")</f>
        <v>#NAME?</v>
      </c>
    </row>
    <row r="1734" spans="1:23" x14ac:dyDescent="0.2">
      <c r="A1734" s="36" t="s">
        <v>4529</v>
      </c>
      <c r="B1734" s="27" t="s">
        <v>4530</v>
      </c>
      <c r="C1734" s="23" t="e">
        <f ca="1">[1]!BexGetData("DP_1","003N8EMH8GTFRCSWKMPXRR8GU","GSON1112130211")</f>
        <v>#NAME?</v>
      </c>
      <c r="D1734" s="23" t="e">
        <f ca="1">[1]!BexGetData("DP_1","003N8EMH8GTFRCSWKMPXRRESE","GSON1112130211")</f>
        <v>#NAME?</v>
      </c>
      <c r="E1734" s="28" t="e">
        <f ca="1">[1]!BexGetData("DP_1","003N8EMH8GTFRCSWKMPXRRL3Y","GSON1112130211")</f>
        <v>#NAME?</v>
      </c>
      <c r="F1734" s="24" t="e">
        <f ca="1">[1]!BexGetData("DP_1","003N8EMH8GTFRCSWKMPXRRRFI","GSON1112130211")</f>
        <v>#NAME?</v>
      </c>
      <c r="G1734" s="24" t="e">
        <f ca="1">[1]!BexGetData("DP_1","003N8EMH8GTFRCSWKMPXRRXR2","GSON1112130211")</f>
        <v>#NAME?</v>
      </c>
      <c r="H1734" s="24" t="e">
        <f ca="1">[1]!BexGetData("DP_1","003N8EMH8GTFRCSWKMPXRS42M","GSON1112130211")</f>
        <v>#NAME?</v>
      </c>
      <c r="I1734" s="24" t="e">
        <f ca="1">[1]!BexGetData("DP_1","003N8EMH8GTFRCSWKMPXRSAE6","GSON1112130211")</f>
        <v>#NAME?</v>
      </c>
      <c r="J1734" s="24" t="e">
        <f ca="1">[1]!BexGetData("DP_1","003N8EMH8GTFRCSWKMPXRSGPQ","GSON1112130211")</f>
        <v>#NAME?</v>
      </c>
      <c r="K1734" s="28" t="e">
        <f ca="1">[1]!BexGetData("DP_1","003N8EMH8GTFRIVNUPY288VJH","GSON1112130211")</f>
        <v>#NAME?</v>
      </c>
      <c r="L1734" s="28" t="e">
        <f ca="1">[1]!BexGetData("DP_1","003N8EMH8GTFRIVNUPY2891V1","GSON1112130211")</f>
        <v>#NAME?</v>
      </c>
      <c r="M1734" s="28" t="e">
        <f ca="1">[1]!BexGetData("DP_1","003N8EMH8GTFRIVOG7KG9IQXA","GSON1112130211")</f>
        <v>#NAME?</v>
      </c>
      <c r="N1734" s="28" t="e">
        <f ca="1">[1]!BexGetData("DP_1","003N8EMH8GTFRIVOG7KG9IX8U","GSON1112130211")</f>
        <v>#NAME?</v>
      </c>
      <c r="O1734" s="28" t="e">
        <f ca="1">[1]!BexGetData("DP_1","003N8EMH8GTFRIVOG7KG9J3KE","GSON1112130211")</f>
        <v>#NAME?</v>
      </c>
      <c r="P1734" s="28" t="e">
        <f ca="1">[1]!BexGetData("DP_1","003N8EMH8GTFRIVOG7KG9J9VY","GSON1112130211")</f>
        <v>#NAME?</v>
      </c>
      <c r="Q1734" s="24" t="e">
        <f ca="1">[1]!BexGetData("DP_1","00O2TNJGODT0G5Z4TTKYMM5MT","GSON1112130211")</f>
        <v>#NAME?</v>
      </c>
      <c r="R1734" s="24" t="e">
        <f ca="1">[1]!BexGetData("DP_1","00O2TNJGODT0G5Z4TTKYMMBYD","GSON1112130211")</f>
        <v>#NAME?</v>
      </c>
      <c r="S1734" s="24" t="e">
        <f ca="1">[1]!BexGetData("DP_1","00O2TNJGODT0G5Z4TTKYMMI9X","GSON1112130211")</f>
        <v>#NAME?</v>
      </c>
      <c r="T1734" s="24" t="e">
        <f ca="1">[1]!BexGetData("DP_1","00O2TNJGODT0G5Z4TTKYMMOLH","GSON1112130211")</f>
        <v>#NAME?</v>
      </c>
      <c r="U1734" s="24" t="e">
        <f ca="1">[1]!BexGetData("DP_1","00O2TNJGODT0G5Z4TTKYMMUX1","GSON1112130211")</f>
        <v>#NAME?</v>
      </c>
      <c r="V1734" s="24" t="e">
        <f ca="1">[1]!BexGetData("DP_1","00O2TNJGODT0G5Z4TTKYMN18L","GSON1112130211")</f>
        <v>#NAME?</v>
      </c>
      <c r="W1734" s="24" t="e">
        <f ca="1">[1]!BexGetData("DP_1","00O2TNJGODT0G5Z4TTKYMN7K5","GSON1112130211")</f>
        <v>#NAME?</v>
      </c>
    </row>
    <row r="1735" spans="1:23" x14ac:dyDescent="0.2">
      <c r="A1735" s="36" t="s">
        <v>4531</v>
      </c>
      <c r="B1735" s="27" t="s">
        <v>4532</v>
      </c>
      <c r="C1735" s="23" t="e">
        <f ca="1">[1]!BexGetData("DP_1","003N8EMH8GTFRCSWKMPXRR8GU","GSON1112130220")</f>
        <v>#NAME?</v>
      </c>
      <c r="D1735" s="23" t="e">
        <f ca="1">[1]!BexGetData("DP_1","003N8EMH8GTFRCSWKMPXRRESE","GSON1112130220")</f>
        <v>#NAME?</v>
      </c>
      <c r="E1735" s="23" t="e">
        <f ca="1">[1]!BexGetData("DP_1","003N8EMH8GTFRCSWKMPXRRL3Y","GSON1112130220")</f>
        <v>#NAME?</v>
      </c>
      <c r="F1735" s="24" t="e">
        <f ca="1">[1]!BexGetData("DP_1","003N8EMH8GTFRCSWKMPXRRRFI","GSON1112130220")</f>
        <v>#NAME?</v>
      </c>
      <c r="G1735" s="24" t="e">
        <f ca="1">[1]!BexGetData("DP_1","003N8EMH8GTFRCSWKMPXRRXR2","GSON1112130220")</f>
        <v>#NAME?</v>
      </c>
      <c r="H1735" s="24" t="e">
        <f ca="1">[1]!BexGetData("DP_1","003N8EMH8GTFRCSWKMPXRS42M","GSON1112130220")</f>
        <v>#NAME?</v>
      </c>
      <c r="I1735" s="24" t="e">
        <f ca="1">[1]!BexGetData("DP_1","003N8EMH8GTFRCSWKMPXRSAE6","GSON1112130220")</f>
        <v>#NAME?</v>
      </c>
      <c r="J1735" s="24" t="e">
        <f ca="1">[1]!BexGetData("DP_1","003N8EMH8GTFRCSWKMPXRSGPQ","GSON1112130220")</f>
        <v>#NAME?</v>
      </c>
      <c r="K1735" s="23" t="e">
        <f ca="1">[1]!BexGetData("DP_1","003N8EMH8GTFRIVNUPY288VJH","GSON1112130220")</f>
        <v>#NAME?</v>
      </c>
      <c r="L1735" s="23" t="e">
        <f ca="1">[1]!BexGetData("DP_1","003N8EMH8GTFRIVNUPY2891V1","GSON1112130220")</f>
        <v>#NAME?</v>
      </c>
      <c r="M1735" s="28" t="e">
        <f ca="1">[1]!BexGetData("DP_1","003N8EMH8GTFRIVOG7KG9IQXA","GSON1112130220")</f>
        <v>#NAME?</v>
      </c>
      <c r="N1735" s="23" t="e">
        <f ca="1">[1]!BexGetData("DP_1","003N8EMH8GTFRIVOG7KG9IX8U","GSON1112130220")</f>
        <v>#NAME?</v>
      </c>
      <c r="O1735" s="28" t="e">
        <f ca="1">[1]!BexGetData("DP_1","003N8EMH8GTFRIVOG7KG9J3KE","GSON1112130220")</f>
        <v>#NAME?</v>
      </c>
      <c r="P1735" s="23" t="e">
        <f ca="1">[1]!BexGetData("DP_1","003N8EMH8GTFRIVOG7KG9J9VY","GSON1112130220")</f>
        <v>#NAME?</v>
      </c>
      <c r="Q1735" s="24" t="e">
        <f ca="1">[1]!BexGetData("DP_1","00O2TNJGODT0G5Z4TTKYMM5MT","GSON1112130220")</f>
        <v>#NAME?</v>
      </c>
      <c r="R1735" s="24" t="e">
        <f ca="1">[1]!BexGetData("DP_1","00O2TNJGODT0G5Z4TTKYMMBYD","GSON1112130220")</f>
        <v>#NAME?</v>
      </c>
      <c r="S1735" s="24" t="e">
        <f ca="1">[1]!BexGetData("DP_1","00O2TNJGODT0G5Z4TTKYMMI9X","GSON1112130220")</f>
        <v>#NAME?</v>
      </c>
      <c r="T1735" s="24" t="e">
        <f ca="1">[1]!BexGetData("DP_1","00O2TNJGODT0G5Z4TTKYMMOLH","GSON1112130220")</f>
        <v>#NAME?</v>
      </c>
      <c r="U1735" s="24" t="e">
        <f ca="1">[1]!BexGetData("DP_1","00O2TNJGODT0G5Z4TTKYMMUX1","GSON1112130220")</f>
        <v>#NAME?</v>
      </c>
      <c r="V1735" s="24" t="e">
        <f ca="1">[1]!BexGetData("DP_1","00O2TNJGODT0G5Z4TTKYMN18L","GSON1112130220")</f>
        <v>#NAME?</v>
      </c>
      <c r="W1735" s="24" t="e">
        <f ca="1">[1]!BexGetData("DP_1","00O2TNJGODT0G5Z4TTKYMN7K5","GSON1112130220")</f>
        <v>#NAME?</v>
      </c>
    </row>
    <row r="1736" spans="1:23" x14ac:dyDescent="0.2">
      <c r="A1736" s="36" t="s">
        <v>4533</v>
      </c>
      <c r="B1736" s="27" t="s">
        <v>4534</v>
      </c>
      <c r="C1736" s="23" t="e">
        <f ca="1">[1]!BexGetData("DP_1","003N8EMH8GTFRCSWKMPXRR8GU","GSON1112130221")</f>
        <v>#NAME?</v>
      </c>
      <c r="D1736" s="23" t="e">
        <f ca="1">[1]!BexGetData("DP_1","003N8EMH8GTFRCSWKMPXRRESE","GSON1112130221")</f>
        <v>#NAME?</v>
      </c>
      <c r="E1736" s="28" t="e">
        <f ca="1">[1]!BexGetData("DP_1","003N8EMH8GTFRCSWKMPXRRL3Y","GSON1112130221")</f>
        <v>#NAME?</v>
      </c>
      <c r="F1736" s="24" t="e">
        <f ca="1">[1]!BexGetData("DP_1","003N8EMH8GTFRCSWKMPXRRRFI","GSON1112130221")</f>
        <v>#NAME?</v>
      </c>
      <c r="G1736" s="24" t="e">
        <f ca="1">[1]!BexGetData("DP_1","003N8EMH8GTFRCSWKMPXRRXR2","GSON1112130221")</f>
        <v>#NAME?</v>
      </c>
      <c r="H1736" s="24" t="e">
        <f ca="1">[1]!BexGetData("DP_1","003N8EMH8GTFRCSWKMPXRS42M","GSON1112130221")</f>
        <v>#NAME?</v>
      </c>
      <c r="I1736" s="24" t="e">
        <f ca="1">[1]!BexGetData("DP_1","003N8EMH8GTFRCSWKMPXRSAE6","GSON1112130221")</f>
        <v>#NAME?</v>
      </c>
      <c r="J1736" s="24" t="e">
        <f ca="1">[1]!BexGetData("DP_1","003N8EMH8GTFRCSWKMPXRSGPQ","GSON1112130221")</f>
        <v>#NAME?</v>
      </c>
      <c r="K1736" s="28" t="e">
        <f ca="1">[1]!BexGetData("DP_1","003N8EMH8GTFRIVNUPY288VJH","GSON1112130221")</f>
        <v>#NAME?</v>
      </c>
      <c r="L1736" s="28" t="e">
        <f ca="1">[1]!BexGetData("DP_1","003N8EMH8GTFRIVNUPY2891V1","GSON1112130221")</f>
        <v>#NAME?</v>
      </c>
      <c r="M1736" s="28" t="e">
        <f ca="1">[1]!BexGetData("DP_1","003N8EMH8GTFRIVOG7KG9IQXA","GSON1112130221")</f>
        <v>#NAME?</v>
      </c>
      <c r="N1736" s="28" t="e">
        <f ca="1">[1]!BexGetData("DP_1","003N8EMH8GTFRIVOG7KG9IX8U","GSON1112130221")</f>
        <v>#NAME?</v>
      </c>
      <c r="O1736" s="28" t="e">
        <f ca="1">[1]!BexGetData("DP_1","003N8EMH8GTFRIVOG7KG9J3KE","GSON1112130221")</f>
        <v>#NAME?</v>
      </c>
      <c r="P1736" s="28" t="e">
        <f ca="1">[1]!BexGetData("DP_1","003N8EMH8GTFRIVOG7KG9J9VY","GSON1112130221")</f>
        <v>#NAME?</v>
      </c>
      <c r="Q1736" s="24" t="e">
        <f ca="1">[1]!BexGetData("DP_1","00O2TNJGODT0G5Z4TTKYMM5MT","GSON1112130221")</f>
        <v>#NAME?</v>
      </c>
      <c r="R1736" s="24" t="e">
        <f ca="1">[1]!BexGetData("DP_1","00O2TNJGODT0G5Z4TTKYMMBYD","GSON1112130221")</f>
        <v>#NAME?</v>
      </c>
      <c r="S1736" s="24" t="e">
        <f ca="1">[1]!BexGetData("DP_1","00O2TNJGODT0G5Z4TTKYMMI9X","GSON1112130221")</f>
        <v>#NAME?</v>
      </c>
      <c r="T1736" s="24" t="e">
        <f ca="1">[1]!BexGetData("DP_1","00O2TNJGODT0G5Z4TTKYMMOLH","GSON1112130221")</f>
        <v>#NAME?</v>
      </c>
      <c r="U1736" s="24" t="e">
        <f ca="1">[1]!BexGetData("DP_1","00O2TNJGODT0G5Z4TTKYMMUX1","GSON1112130221")</f>
        <v>#NAME?</v>
      </c>
      <c r="V1736" s="24" t="e">
        <f ca="1">[1]!BexGetData("DP_1","00O2TNJGODT0G5Z4TTKYMN18L","GSON1112130221")</f>
        <v>#NAME?</v>
      </c>
      <c r="W1736" s="24" t="e">
        <f ca="1">[1]!BexGetData("DP_1","00O2TNJGODT0G5Z4TTKYMN7K5","GSON1112130221")</f>
        <v>#NAME?</v>
      </c>
    </row>
    <row r="1737" spans="1:23" x14ac:dyDescent="0.2">
      <c r="A1737" s="36" t="s">
        <v>4535</v>
      </c>
      <c r="B1737" s="27" t="s">
        <v>4536</v>
      </c>
      <c r="C1737" s="23" t="e">
        <f ca="1">[1]!BexGetData("DP_1","003N8EMH8GTFRCSWKMPXRR8GU","GSON1112130223")</f>
        <v>#NAME?</v>
      </c>
      <c r="D1737" s="23" t="e">
        <f ca="1">[1]!BexGetData("DP_1","003N8EMH8GTFRCSWKMPXRRESE","GSON1112130223")</f>
        <v>#NAME?</v>
      </c>
      <c r="E1737" s="28" t="e">
        <f ca="1">[1]!BexGetData("DP_1","003N8EMH8GTFRCSWKMPXRRL3Y","GSON1112130223")</f>
        <v>#NAME?</v>
      </c>
      <c r="F1737" s="24" t="e">
        <f ca="1">[1]!BexGetData("DP_1","003N8EMH8GTFRCSWKMPXRRRFI","GSON1112130223")</f>
        <v>#NAME?</v>
      </c>
      <c r="G1737" s="24" t="e">
        <f ca="1">[1]!BexGetData("DP_1","003N8EMH8GTFRCSWKMPXRRXR2","GSON1112130223")</f>
        <v>#NAME?</v>
      </c>
      <c r="H1737" s="24" t="e">
        <f ca="1">[1]!BexGetData("DP_1","003N8EMH8GTFRCSWKMPXRS42M","GSON1112130223")</f>
        <v>#NAME?</v>
      </c>
      <c r="I1737" s="24" t="e">
        <f ca="1">[1]!BexGetData("DP_1","003N8EMH8GTFRCSWKMPXRSAE6","GSON1112130223")</f>
        <v>#NAME?</v>
      </c>
      <c r="J1737" s="24" t="e">
        <f ca="1">[1]!BexGetData("DP_1","003N8EMH8GTFRCSWKMPXRSGPQ","GSON1112130223")</f>
        <v>#NAME?</v>
      </c>
      <c r="K1737" s="28" t="e">
        <f ca="1">[1]!BexGetData("DP_1","003N8EMH8GTFRIVNUPY288VJH","GSON1112130223")</f>
        <v>#NAME?</v>
      </c>
      <c r="L1737" s="28" t="e">
        <f ca="1">[1]!BexGetData("DP_1","003N8EMH8GTFRIVNUPY2891V1","GSON1112130223")</f>
        <v>#NAME?</v>
      </c>
      <c r="M1737" s="28" t="e">
        <f ca="1">[1]!BexGetData("DP_1","003N8EMH8GTFRIVOG7KG9IQXA","GSON1112130223")</f>
        <v>#NAME?</v>
      </c>
      <c r="N1737" s="28" t="e">
        <f ca="1">[1]!BexGetData("DP_1","003N8EMH8GTFRIVOG7KG9IX8U","GSON1112130223")</f>
        <v>#NAME?</v>
      </c>
      <c r="O1737" s="28" t="e">
        <f ca="1">[1]!BexGetData("DP_1","003N8EMH8GTFRIVOG7KG9J3KE","GSON1112130223")</f>
        <v>#NAME?</v>
      </c>
      <c r="P1737" s="28" t="e">
        <f ca="1">[1]!BexGetData("DP_1","003N8EMH8GTFRIVOG7KG9J9VY","GSON1112130223")</f>
        <v>#NAME?</v>
      </c>
      <c r="Q1737" s="24" t="e">
        <f ca="1">[1]!BexGetData("DP_1","00O2TNJGODT0G5Z4TTKYMM5MT","GSON1112130223")</f>
        <v>#NAME?</v>
      </c>
      <c r="R1737" s="24" t="e">
        <f ca="1">[1]!BexGetData("DP_1","00O2TNJGODT0G5Z4TTKYMMBYD","GSON1112130223")</f>
        <v>#NAME?</v>
      </c>
      <c r="S1737" s="24" t="e">
        <f ca="1">[1]!BexGetData("DP_1","00O2TNJGODT0G5Z4TTKYMMI9X","GSON1112130223")</f>
        <v>#NAME?</v>
      </c>
      <c r="T1737" s="24" t="e">
        <f ca="1">[1]!BexGetData("DP_1","00O2TNJGODT0G5Z4TTKYMMOLH","GSON1112130223")</f>
        <v>#NAME?</v>
      </c>
      <c r="U1737" s="24" t="e">
        <f ca="1">[1]!BexGetData("DP_1","00O2TNJGODT0G5Z4TTKYMMUX1","GSON1112130223")</f>
        <v>#NAME?</v>
      </c>
      <c r="V1737" s="24" t="e">
        <f ca="1">[1]!BexGetData("DP_1","00O2TNJGODT0G5Z4TTKYMN18L","GSON1112130223")</f>
        <v>#NAME?</v>
      </c>
      <c r="W1737" s="24" t="e">
        <f ca="1">[1]!BexGetData("DP_1","00O2TNJGODT0G5Z4TTKYMN7K5","GSON1112130223")</f>
        <v>#NAME?</v>
      </c>
    </row>
    <row r="1738" spans="1:23" x14ac:dyDescent="0.2">
      <c r="A1738" s="36" t="s">
        <v>4537</v>
      </c>
      <c r="B1738" s="27" t="s">
        <v>4538</v>
      </c>
      <c r="C1738" s="23" t="e">
        <f ca="1">[1]!BexGetData("DP_1","003N8EMH8GTFRCSWKMPXRR8GU","GSON1112130225")</f>
        <v>#NAME?</v>
      </c>
      <c r="D1738" s="23" t="e">
        <f ca="1">[1]!BexGetData("DP_1","003N8EMH8GTFRCSWKMPXRRESE","GSON1112130225")</f>
        <v>#NAME?</v>
      </c>
      <c r="E1738" s="28" t="e">
        <f ca="1">[1]!BexGetData("DP_1","003N8EMH8GTFRCSWKMPXRRL3Y","GSON1112130225")</f>
        <v>#NAME?</v>
      </c>
      <c r="F1738" s="24" t="e">
        <f ca="1">[1]!BexGetData("DP_1","003N8EMH8GTFRCSWKMPXRRRFI","GSON1112130225")</f>
        <v>#NAME?</v>
      </c>
      <c r="G1738" s="24" t="e">
        <f ca="1">[1]!BexGetData("DP_1","003N8EMH8GTFRCSWKMPXRRXR2","GSON1112130225")</f>
        <v>#NAME?</v>
      </c>
      <c r="H1738" s="24" t="e">
        <f ca="1">[1]!BexGetData("DP_1","003N8EMH8GTFRCSWKMPXRS42M","GSON1112130225")</f>
        <v>#NAME?</v>
      </c>
      <c r="I1738" s="24" t="e">
        <f ca="1">[1]!BexGetData("DP_1","003N8EMH8GTFRCSWKMPXRSAE6","GSON1112130225")</f>
        <v>#NAME?</v>
      </c>
      <c r="J1738" s="24" t="e">
        <f ca="1">[1]!BexGetData("DP_1","003N8EMH8GTFRCSWKMPXRSGPQ","GSON1112130225")</f>
        <v>#NAME?</v>
      </c>
      <c r="K1738" s="28" t="e">
        <f ca="1">[1]!BexGetData("DP_1","003N8EMH8GTFRIVNUPY288VJH","GSON1112130225")</f>
        <v>#NAME?</v>
      </c>
      <c r="L1738" s="28" t="e">
        <f ca="1">[1]!BexGetData("DP_1","003N8EMH8GTFRIVNUPY2891V1","GSON1112130225")</f>
        <v>#NAME?</v>
      </c>
      <c r="M1738" s="28" t="e">
        <f ca="1">[1]!BexGetData("DP_1","003N8EMH8GTFRIVOG7KG9IQXA","GSON1112130225")</f>
        <v>#NAME?</v>
      </c>
      <c r="N1738" s="28" t="e">
        <f ca="1">[1]!BexGetData("DP_1","003N8EMH8GTFRIVOG7KG9IX8U","GSON1112130225")</f>
        <v>#NAME?</v>
      </c>
      <c r="O1738" s="28" t="e">
        <f ca="1">[1]!BexGetData("DP_1","003N8EMH8GTFRIVOG7KG9J3KE","GSON1112130225")</f>
        <v>#NAME?</v>
      </c>
      <c r="P1738" s="28" t="e">
        <f ca="1">[1]!BexGetData("DP_1","003N8EMH8GTFRIVOG7KG9J9VY","GSON1112130225")</f>
        <v>#NAME?</v>
      </c>
      <c r="Q1738" s="24" t="e">
        <f ca="1">[1]!BexGetData("DP_1","00O2TNJGODT0G5Z4TTKYMM5MT","GSON1112130225")</f>
        <v>#NAME?</v>
      </c>
      <c r="R1738" s="24" t="e">
        <f ca="1">[1]!BexGetData("DP_1","00O2TNJGODT0G5Z4TTKYMMBYD","GSON1112130225")</f>
        <v>#NAME?</v>
      </c>
      <c r="S1738" s="24" t="e">
        <f ca="1">[1]!BexGetData("DP_1","00O2TNJGODT0G5Z4TTKYMMI9X","GSON1112130225")</f>
        <v>#NAME?</v>
      </c>
      <c r="T1738" s="24" t="e">
        <f ca="1">[1]!BexGetData("DP_1","00O2TNJGODT0G5Z4TTKYMMOLH","GSON1112130225")</f>
        <v>#NAME?</v>
      </c>
      <c r="U1738" s="24" t="e">
        <f ca="1">[1]!BexGetData("DP_1","00O2TNJGODT0G5Z4TTKYMMUX1","GSON1112130225")</f>
        <v>#NAME?</v>
      </c>
      <c r="V1738" s="24" t="e">
        <f ca="1">[1]!BexGetData("DP_1","00O2TNJGODT0G5Z4TTKYMN18L","GSON1112130225")</f>
        <v>#NAME?</v>
      </c>
      <c r="W1738" s="24" t="e">
        <f ca="1">[1]!BexGetData("DP_1","00O2TNJGODT0G5Z4TTKYMN7K5","GSON1112130225")</f>
        <v>#NAME?</v>
      </c>
    </row>
    <row r="1739" spans="1:23" x14ac:dyDescent="0.2">
      <c r="A1739" s="36" t="s">
        <v>4539</v>
      </c>
      <c r="B1739" s="27" t="s">
        <v>4540</v>
      </c>
      <c r="C1739" s="23" t="e">
        <f ca="1">[1]!BexGetData("DP_1","003N8EMH8GTFRCSWKMPXRR8GU","GSON1112130230")</f>
        <v>#NAME?</v>
      </c>
      <c r="D1739" s="23" t="e">
        <f ca="1">[1]!BexGetData("DP_1","003N8EMH8GTFRCSWKMPXRRESE","GSON1112130230")</f>
        <v>#NAME?</v>
      </c>
      <c r="E1739" s="23" t="e">
        <f ca="1">[1]!BexGetData("DP_1","003N8EMH8GTFRCSWKMPXRRL3Y","GSON1112130230")</f>
        <v>#NAME?</v>
      </c>
      <c r="F1739" s="24" t="e">
        <f ca="1">[1]!BexGetData("DP_1","003N8EMH8GTFRCSWKMPXRRRFI","GSON1112130230")</f>
        <v>#NAME?</v>
      </c>
      <c r="G1739" s="24" t="e">
        <f ca="1">[1]!BexGetData("DP_1","003N8EMH8GTFRCSWKMPXRRXR2","GSON1112130230")</f>
        <v>#NAME?</v>
      </c>
      <c r="H1739" s="24" t="e">
        <f ca="1">[1]!BexGetData("DP_1","003N8EMH8GTFRCSWKMPXRS42M","GSON1112130230")</f>
        <v>#NAME?</v>
      </c>
      <c r="I1739" s="24" t="e">
        <f ca="1">[1]!BexGetData("DP_1","003N8EMH8GTFRCSWKMPXRSAE6","GSON1112130230")</f>
        <v>#NAME?</v>
      </c>
      <c r="J1739" s="24" t="e">
        <f ca="1">[1]!BexGetData("DP_1","003N8EMH8GTFRCSWKMPXRSGPQ","GSON1112130230")</f>
        <v>#NAME?</v>
      </c>
      <c r="K1739" s="23" t="e">
        <f ca="1">[1]!BexGetData("DP_1","003N8EMH8GTFRIVNUPY288VJH","GSON1112130230")</f>
        <v>#NAME?</v>
      </c>
      <c r="L1739" s="23" t="e">
        <f ca="1">[1]!BexGetData("DP_1","003N8EMH8GTFRIVNUPY2891V1","GSON1112130230")</f>
        <v>#NAME?</v>
      </c>
      <c r="M1739" s="28" t="e">
        <f ca="1">[1]!BexGetData("DP_1","003N8EMH8GTFRIVOG7KG9IQXA","GSON1112130230")</f>
        <v>#NAME?</v>
      </c>
      <c r="N1739" s="23" t="e">
        <f ca="1">[1]!BexGetData("DP_1","003N8EMH8GTFRIVOG7KG9IX8U","GSON1112130230")</f>
        <v>#NAME?</v>
      </c>
      <c r="O1739" s="28" t="e">
        <f ca="1">[1]!BexGetData("DP_1","003N8EMH8GTFRIVOG7KG9J3KE","GSON1112130230")</f>
        <v>#NAME?</v>
      </c>
      <c r="P1739" s="23" t="e">
        <f ca="1">[1]!BexGetData("DP_1","003N8EMH8GTFRIVOG7KG9J9VY","GSON1112130230")</f>
        <v>#NAME?</v>
      </c>
      <c r="Q1739" s="24" t="e">
        <f ca="1">[1]!BexGetData("DP_1","00O2TNJGODT0G5Z4TTKYMM5MT","GSON1112130230")</f>
        <v>#NAME?</v>
      </c>
      <c r="R1739" s="24" t="e">
        <f ca="1">[1]!BexGetData("DP_1","00O2TNJGODT0G5Z4TTKYMMBYD","GSON1112130230")</f>
        <v>#NAME?</v>
      </c>
      <c r="S1739" s="24" t="e">
        <f ca="1">[1]!BexGetData("DP_1","00O2TNJGODT0G5Z4TTKYMMI9X","GSON1112130230")</f>
        <v>#NAME?</v>
      </c>
      <c r="T1739" s="24" t="e">
        <f ca="1">[1]!BexGetData("DP_1","00O2TNJGODT0G5Z4TTKYMMOLH","GSON1112130230")</f>
        <v>#NAME?</v>
      </c>
      <c r="U1739" s="24" t="e">
        <f ca="1">[1]!BexGetData("DP_1","00O2TNJGODT0G5Z4TTKYMMUX1","GSON1112130230")</f>
        <v>#NAME?</v>
      </c>
      <c r="V1739" s="24" t="e">
        <f ca="1">[1]!BexGetData("DP_1","00O2TNJGODT0G5Z4TTKYMN18L","GSON1112130230")</f>
        <v>#NAME?</v>
      </c>
      <c r="W1739" s="24" t="e">
        <f ca="1">[1]!BexGetData("DP_1","00O2TNJGODT0G5Z4TTKYMN7K5","GSON1112130230")</f>
        <v>#NAME?</v>
      </c>
    </row>
    <row r="1740" spans="1:23" x14ac:dyDescent="0.2">
      <c r="A1740" s="36" t="s">
        <v>4541</v>
      </c>
      <c r="B1740" s="27" t="s">
        <v>4542</v>
      </c>
      <c r="C1740" s="23" t="e">
        <f ca="1">[1]!BexGetData("DP_1","003N8EMH8GTFRCSWKMPXRR8GU","GSON1112130231")</f>
        <v>#NAME?</v>
      </c>
      <c r="D1740" s="23" t="e">
        <f ca="1">[1]!BexGetData("DP_1","003N8EMH8GTFRCSWKMPXRRESE","GSON1112130231")</f>
        <v>#NAME?</v>
      </c>
      <c r="E1740" s="28" t="e">
        <f ca="1">[1]!BexGetData("DP_1","003N8EMH8GTFRCSWKMPXRRL3Y","GSON1112130231")</f>
        <v>#NAME?</v>
      </c>
      <c r="F1740" s="24" t="e">
        <f ca="1">[1]!BexGetData("DP_1","003N8EMH8GTFRCSWKMPXRRRFI","GSON1112130231")</f>
        <v>#NAME?</v>
      </c>
      <c r="G1740" s="24" t="e">
        <f ca="1">[1]!BexGetData("DP_1","003N8EMH8GTFRCSWKMPXRRXR2","GSON1112130231")</f>
        <v>#NAME?</v>
      </c>
      <c r="H1740" s="24" t="e">
        <f ca="1">[1]!BexGetData("DP_1","003N8EMH8GTFRCSWKMPXRS42M","GSON1112130231")</f>
        <v>#NAME?</v>
      </c>
      <c r="I1740" s="24" t="e">
        <f ca="1">[1]!BexGetData("DP_1","003N8EMH8GTFRCSWKMPXRSAE6","GSON1112130231")</f>
        <v>#NAME?</v>
      </c>
      <c r="J1740" s="24" t="e">
        <f ca="1">[1]!BexGetData("DP_1","003N8EMH8GTFRCSWKMPXRSGPQ","GSON1112130231")</f>
        <v>#NAME?</v>
      </c>
      <c r="K1740" s="28" t="e">
        <f ca="1">[1]!BexGetData("DP_1","003N8EMH8GTFRIVNUPY288VJH","GSON1112130231")</f>
        <v>#NAME?</v>
      </c>
      <c r="L1740" s="28" t="e">
        <f ca="1">[1]!BexGetData("DP_1","003N8EMH8GTFRIVNUPY2891V1","GSON1112130231")</f>
        <v>#NAME?</v>
      </c>
      <c r="M1740" s="28" t="e">
        <f ca="1">[1]!BexGetData("DP_1","003N8EMH8GTFRIVOG7KG9IQXA","GSON1112130231")</f>
        <v>#NAME?</v>
      </c>
      <c r="N1740" s="28" t="e">
        <f ca="1">[1]!BexGetData("DP_1","003N8EMH8GTFRIVOG7KG9IX8U","GSON1112130231")</f>
        <v>#NAME?</v>
      </c>
      <c r="O1740" s="28" t="e">
        <f ca="1">[1]!BexGetData("DP_1","003N8EMH8GTFRIVOG7KG9J3KE","GSON1112130231")</f>
        <v>#NAME?</v>
      </c>
      <c r="P1740" s="28" t="e">
        <f ca="1">[1]!BexGetData("DP_1","003N8EMH8GTFRIVOG7KG9J9VY","GSON1112130231")</f>
        <v>#NAME?</v>
      </c>
      <c r="Q1740" s="24" t="e">
        <f ca="1">[1]!BexGetData("DP_1","00O2TNJGODT0G5Z4TTKYMM5MT","GSON1112130231")</f>
        <v>#NAME?</v>
      </c>
      <c r="R1740" s="24" t="e">
        <f ca="1">[1]!BexGetData("DP_1","00O2TNJGODT0G5Z4TTKYMMBYD","GSON1112130231")</f>
        <v>#NAME?</v>
      </c>
      <c r="S1740" s="24" t="e">
        <f ca="1">[1]!BexGetData("DP_1","00O2TNJGODT0G5Z4TTKYMMI9X","GSON1112130231")</f>
        <v>#NAME?</v>
      </c>
      <c r="T1740" s="24" t="e">
        <f ca="1">[1]!BexGetData("DP_1","00O2TNJGODT0G5Z4TTKYMMOLH","GSON1112130231")</f>
        <v>#NAME?</v>
      </c>
      <c r="U1740" s="24" t="e">
        <f ca="1">[1]!BexGetData("DP_1","00O2TNJGODT0G5Z4TTKYMMUX1","GSON1112130231")</f>
        <v>#NAME?</v>
      </c>
      <c r="V1740" s="24" t="e">
        <f ca="1">[1]!BexGetData("DP_1","00O2TNJGODT0G5Z4TTKYMN18L","GSON1112130231")</f>
        <v>#NAME?</v>
      </c>
      <c r="W1740" s="24" t="e">
        <f ca="1">[1]!BexGetData("DP_1","00O2TNJGODT0G5Z4TTKYMN7K5","GSON1112130231")</f>
        <v>#NAME?</v>
      </c>
    </row>
    <row r="1741" spans="1:23" x14ac:dyDescent="0.2">
      <c r="A1741" s="36" t="s">
        <v>4543</v>
      </c>
      <c r="B1741" s="27" t="s">
        <v>4544</v>
      </c>
      <c r="C1741" s="23" t="e">
        <f ca="1">[1]!BexGetData("DP_1","003N8EMH8GTFRCSWKMPXRR8GU","GSON1112130233")</f>
        <v>#NAME?</v>
      </c>
      <c r="D1741" s="23" t="e">
        <f ca="1">[1]!BexGetData("DP_1","003N8EMH8GTFRCSWKMPXRRESE","GSON1112130233")</f>
        <v>#NAME?</v>
      </c>
      <c r="E1741" s="28" t="e">
        <f ca="1">[1]!BexGetData("DP_1","003N8EMH8GTFRCSWKMPXRRL3Y","GSON1112130233")</f>
        <v>#NAME?</v>
      </c>
      <c r="F1741" s="24" t="e">
        <f ca="1">[1]!BexGetData("DP_1","003N8EMH8GTFRCSWKMPXRRRFI","GSON1112130233")</f>
        <v>#NAME?</v>
      </c>
      <c r="G1741" s="24" t="e">
        <f ca="1">[1]!BexGetData("DP_1","003N8EMH8GTFRCSWKMPXRRXR2","GSON1112130233")</f>
        <v>#NAME?</v>
      </c>
      <c r="H1741" s="24" t="e">
        <f ca="1">[1]!BexGetData("DP_1","003N8EMH8GTFRCSWKMPXRS42M","GSON1112130233")</f>
        <v>#NAME?</v>
      </c>
      <c r="I1741" s="24" t="e">
        <f ca="1">[1]!BexGetData("DP_1","003N8EMH8GTFRCSWKMPXRSAE6","GSON1112130233")</f>
        <v>#NAME?</v>
      </c>
      <c r="J1741" s="24" t="e">
        <f ca="1">[1]!BexGetData("DP_1","003N8EMH8GTFRCSWKMPXRSGPQ","GSON1112130233")</f>
        <v>#NAME?</v>
      </c>
      <c r="K1741" s="28" t="e">
        <f ca="1">[1]!BexGetData("DP_1","003N8EMH8GTFRIVNUPY288VJH","GSON1112130233")</f>
        <v>#NAME?</v>
      </c>
      <c r="L1741" s="28" t="e">
        <f ca="1">[1]!BexGetData("DP_1","003N8EMH8GTFRIVNUPY2891V1","GSON1112130233")</f>
        <v>#NAME?</v>
      </c>
      <c r="M1741" s="28" t="e">
        <f ca="1">[1]!BexGetData("DP_1","003N8EMH8GTFRIVOG7KG9IQXA","GSON1112130233")</f>
        <v>#NAME?</v>
      </c>
      <c r="N1741" s="28" t="e">
        <f ca="1">[1]!BexGetData("DP_1","003N8EMH8GTFRIVOG7KG9IX8U","GSON1112130233")</f>
        <v>#NAME?</v>
      </c>
      <c r="O1741" s="28" t="e">
        <f ca="1">[1]!BexGetData("DP_1","003N8EMH8GTFRIVOG7KG9J3KE","GSON1112130233")</f>
        <v>#NAME?</v>
      </c>
      <c r="P1741" s="28" t="e">
        <f ca="1">[1]!BexGetData("DP_1","003N8EMH8GTFRIVOG7KG9J9VY","GSON1112130233")</f>
        <v>#NAME?</v>
      </c>
      <c r="Q1741" s="24" t="e">
        <f ca="1">[1]!BexGetData("DP_1","00O2TNJGODT0G5Z4TTKYMM5MT","GSON1112130233")</f>
        <v>#NAME?</v>
      </c>
      <c r="R1741" s="24" t="e">
        <f ca="1">[1]!BexGetData("DP_1","00O2TNJGODT0G5Z4TTKYMMBYD","GSON1112130233")</f>
        <v>#NAME?</v>
      </c>
      <c r="S1741" s="24" t="e">
        <f ca="1">[1]!BexGetData("DP_1","00O2TNJGODT0G5Z4TTKYMMI9X","GSON1112130233")</f>
        <v>#NAME?</v>
      </c>
      <c r="T1741" s="24" t="e">
        <f ca="1">[1]!BexGetData("DP_1","00O2TNJGODT0G5Z4TTKYMMOLH","GSON1112130233")</f>
        <v>#NAME?</v>
      </c>
      <c r="U1741" s="24" t="e">
        <f ca="1">[1]!BexGetData("DP_1","00O2TNJGODT0G5Z4TTKYMMUX1","GSON1112130233")</f>
        <v>#NAME?</v>
      </c>
      <c r="V1741" s="24" t="e">
        <f ca="1">[1]!BexGetData("DP_1","00O2TNJGODT0G5Z4TTKYMN18L","GSON1112130233")</f>
        <v>#NAME?</v>
      </c>
      <c r="W1741" s="24" t="e">
        <f ca="1">[1]!BexGetData("DP_1","00O2TNJGODT0G5Z4TTKYMN7K5","GSON1112130233")</f>
        <v>#NAME?</v>
      </c>
    </row>
    <row r="1742" spans="1:23" x14ac:dyDescent="0.2">
      <c r="A1742" s="36" t="s">
        <v>4545</v>
      </c>
      <c r="B1742" s="27" t="s">
        <v>4546</v>
      </c>
      <c r="C1742" s="23" t="e">
        <f ca="1">[1]!BexGetData("DP_1","003N8EMH8GTFRCSWKMPXRR8GU","GSON1112130235")</f>
        <v>#NAME?</v>
      </c>
      <c r="D1742" s="23" t="e">
        <f ca="1">[1]!BexGetData("DP_1","003N8EMH8GTFRCSWKMPXRRESE","GSON1112130235")</f>
        <v>#NAME?</v>
      </c>
      <c r="E1742" s="28" t="e">
        <f ca="1">[1]!BexGetData("DP_1","003N8EMH8GTFRCSWKMPXRRL3Y","GSON1112130235")</f>
        <v>#NAME?</v>
      </c>
      <c r="F1742" s="24" t="e">
        <f ca="1">[1]!BexGetData("DP_1","003N8EMH8GTFRCSWKMPXRRRFI","GSON1112130235")</f>
        <v>#NAME?</v>
      </c>
      <c r="G1742" s="24" t="e">
        <f ca="1">[1]!BexGetData("DP_1","003N8EMH8GTFRCSWKMPXRRXR2","GSON1112130235")</f>
        <v>#NAME?</v>
      </c>
      <c r="H1742" s="24" t="e">
        <f ca="1">[1]!BexGetData("DP_1","003N8EMH8GTFRCSWKMPXRS42M","GSON1112130235")</f>
        <v>#NAME?</v>
      </c>
      <c r="I1742" s="24" t="e">
        <f ca="1">[1]!BexGetData("DP_1","003N8EMH8GTFRCSWKMPXRSAE6","GSON1112130235")</f>
        <v>#NAME?</v>
      </c>
      <c r="J1742" s="24" t="e">
        <f ca="1">[1]!BexGetData("DP_1","003N8EMH8GTFRCSWKMPXRSGPQ","GSON1112130235")</f>
        <v>#NAME?</v>
      </c>
      <c r="K1742" s="28" t="e">
        <f ca="1">[1]!BexGetData("DP_1","003N8EMH8GTFRIVNUPY288VJH","GSON1112130235")</f>
        <v>#NAME?</v>
      </c>
      <c r="L1742" s="28" t="e">
        <f ca="1">[1]!BexGetData("DP_1","003N8EMH8GTFRIVNUPY2891V1","GSON1112130235")</f>
        <v>#NAME?</v>
      </c>
      <c r="M1742" s="28" t="e">
        <f ca="1">[1]!BexGetData("DP_1","003N8EMH8GTFRIVOG7KG9IQXA","GSON1112130235")</f>
        <v>#NAME?</v>
      </c>
      <c r="N1742" s="28" t="e">
        <f ca="1">[1]!BexGetData("DP_1","003N8EMH8GTFRIVOG7KG9IX8U","GSON1112130235")</f>
        <v>#NAME?</v>
      </c>
      <c r="O1742" s="28" t="e">
        <f ca="1">[1]!BexGetData("DP_1","003N8EMH8GTFRIVOG7KG9J3KE","GSON1112130235")</f>
        <v>#NAME?</v>
      </c>
      <c r="P1742" s="28" t="e">
        <f ca="1">[1]!BexGetData("DP_1","003N8EMH8GTFRIVOG7KG9J9VY","GSON1112130235")</f>
        <v>#NAME?</v>
      </c>
      <c r="Q1742" s="24" t="e">
        <f ca="1">[1]!BexGetData("DP_1","00O2TNJGODT0G5Z4TTKYMM5MT","GSON1112130235")</f>
        <v>#NAME?</v>
      </c>
      <c r="R1742" s="24" t="e">
        <f ca="1">[1]!BexGetData("DP_1","00O2TNJGODT0G5Z4TTKYMMBYD","GSON1112130235")</f>
        <v>#NAME?</v>
      </c>
      <c r="S1742" s="24" t="e">
        <f ca="1">[1]!BexGetData("DP_1","00O2TNJGODT0G5Z4TTKYMMI9X","GSON1112130235")</f>
        <v>#NAME?</v>
      </c>
      <c r="T1742" s="24" t="e">
        <f ca="1">[1]!BexGetData("DP_1","00O2TNJGODT0G5Z4TTKYMMOLH","GSON1112130235")</f>
        <v>#NAME?</v>
      </c>
      <c r="U1742" s="24" t="e">
        <f ca="1">[1]!BexGetData("DP_1","00O2TNJGODT0G5Z4TTKYMMUX1","GSON1112130235")</f>
        <v>#NAME?</v>
      </c>
      <c r="V1742" s="24" t="e">
        <f ca="1">[1]!BexGetData("DP_1","00O2TNJGODT0G5Z4TTKYMN18L","GSON1112130235")</f>
        <v>#NAME?</v>
      </c>
      <c r="W1742" s="24" t="e">
        <f ca="1">[1]!BexGetData("DP_1","00O2TNJGODT0G5Z4TTKYMN7K5","GSON1112130235")</f>
        <v>#NAME?</v>
      </c>
    </row>
    <row r="1743" spans="1:23" x14ac:dyDescent="0.2">
      <c r="A1743" s="36" t="s">
        <v>4547</v>
      </c>
      <c r="B1743" s="27" t="s">
        <v>4548</v>
      </c>
      <c r="C1743" s="23" t="e">
        <f ca="1">[1]!BexGetData("DP_1","003N8EMH8GTFRCSWKMPXRR8GU","GSON1112130240")</f>
        <v>#NAME?</v>
      </c>
      <c r="D1743" s="23" t="e">
        <f ca="1">[1]!BexGetData("DP_1","003N8EMH8GTFRCSWKMPXRRESE","GSON1112130240")</f>
        <v>#NAME?</v>
      </c>
      <c r="E1743" s="23" t="e">
        <f ca="1">[1]!BexGetData("DP_1","003N8EMH8GTFRCSWKMPXRRL3Y","GSON1112130240")</f>
        <v>#NAME?</v>
      </c>
      <c r="F1743" s="24" t="e">
        <f ca="1">[1]!BexGetData("DP_1","003N8EMH8GTFRCSWKMPXRRRFI","GSON1112130240")</f>
        <v>#NAME?</v>
      </c>
      <c r="G1743" s="24" t="e">
        <f ca="1">[1]!BexGetData("DP_1","003N8EMH8GTFRCSWKMPXRRXR2","GSON1112130240")</f>
        <v>#NAME?</v>
      </c>
      <c r="H1743" s="24" t="e">
        <f ca="1">[1]!BexGetData("DP_1","003N8EMH8GTFRCSWKMPXRS42M","GSON1112130240")</f>
        <v>#NAME?</v>
      </c>
      <c r="I1743" s="24" t="e">
        <f ca="1">[1]!BexGetData("DP_1","003N8EMH8GTFRCSWKMPXRSAE6","GSON1112130240")</f>
        <v>#NAME?</v>
      </c>
      <c r="J1743" s="24" t="e">
        <f ca="1">[1]!BexGetData("DP_1","003N8EMH8GTFRCSWKMPXRSGPQ","GSON1112130240")</f>
        <v>#NAME?</v>
      </c>
      <c r="K1743" s="23" t="e">
        <f ca="1">[1]!BexGetData("DP_1","003N8EMH8GTFRIVNUPY288VJH","GSON1112130240")</f>
        <v>#NAME?</v>
      </c>
      <c r="L1743" s="23" t="e">
        <f ca="1">[1]!BexGetData("DP_1","003N8EMH8GTFRIVNUPY2891V1","GSON1112130240")</f>
        <v>#NAME?</v>
      </c>
      <c r="M1743" s="28" t="e">
        <f ca="1">[1]!BexGetData("DP_1","003N8EMH8GTFRIVOG7KG9IQXA","GSON1112130240")</f>
        <v>#NAME?</v>
      </c>
      <c r="N1743" s="23" t="e">
        <f ca="1">[1]!BexGetData("DP_1","003N8EMH8GTFRIVOG7KG9IX8U","GSON1112130240")</f>
        <v>#NAME?</v>
      </c>
      <c r="O1743" s="28" t="e">
        <f ca="1">[1]!BexGetData("DP_1","003N8EMH8GTFRIVOG7KG9J3KE","GSON1112130240")</f>
        <v>#NAME?</v>
      </c>
      <c r="P1743" s="23" t="e">
        <f ca="1">[1]!BexGetData("DP_1","003N8EMH8GTFRIVOG7KG9J9VY","GSON1112130240")</f>
        <v>#NAME?</v>
      </c>
      <c r="Q1743" s="24" t="e">
        <f ca="1">[1]!BexGetData("DP_1","00O2TNJGODT0G5Z4TTKYMM5MT","GSON1112130240")</f>
        <v>#NAME?</v>
      </c>
      <c r="R1743" s="24" t="e">
        <f ca="1">[1]!BexGetData("DP_1","00O2TNJGODT0G5Z4TTKYMMBYD","GSON1112130240")</f>
        <v>#NAME?</v>
      </c>
      <c r="S1743" s="24" t="e">
        <f ca="1">[1]!BexGetData("DP_1","00O2TNJGODT0G5Z4TTKYMMI9X","GSON1112130240")</f>
        <v>#NAME?</v>
      </c>
      <c r="T1743" s="24" t="e">
        <f ca="1">[1]!BexGetData("DP_1","00O2TNJGODT0G5Z4TTKYMMOLH","GSON1112130240")</f>
        <v>#NAME?</v>
      </c>
      <c r="U1743" s="24" t="e">
        <f ca="1">[1]!BexGetData("DP_1","00O2TNJGODT0G5Z4TTKYMMUX1","GSON1112130240")</f>
        <v>#NAME?</v>
      </c>
      <c r="V1743" s="24" t="e">
        <f ca="1">[1]!BexGetData("DP_1","00O2TNJGODT0G5Z4TTKYMN18L","GSON1112130240")</f>
        <v>#NAME?</v>
      </c>
      <c r="W1743" s="24" t="e">
        <f ca="1">[1]!BexGetData("DP_1","00O2TNJGODT0G5Z4TTKYMN7K5","GSON1112130240")</f>
        <v>#NAME?</v>
      </c>
    </row>
    <row r="1744" spans="1:23" x14ac:dyDescent="0.2">
      <c r="A1744" s="36" t="s">
        <v>4549</v>
      </c>
      <c r="B1744" s="27" t="s">
        <v>4550</v>
      </c>
      <c r="C1744" s="23" t="e">
        <f ca="1">[1]!BexGetData("DP_1","003N8EMH8GTFRCSWKMPXRR8GU","GSON1112130241")</f>
        <v>#NAME?</v>
      </c>
      <c r="D1744" s="23" t="e">
        <f ca="1">[1]!BexGetData("DP_1","003N8EMH8GTFRCSWKMPXRRESE","GSON1112130241")</f>
        <v>#NAME?</v>
      </c>
      <c r="E1744" s="28" t="e">
        <f ca="1">[1]!BexGetData("DP_1","003N8EMH8GTFRCSWKMPXRRL3Y","GSON1112130241")</f>
        <v>#NAME?</v>
      </c>
      <c r="F1744" s="24" t="e">
        <f ca="1">[1]!BexGetData("DP_1","003N8EMH8GTFRCSWKMPXRRRFI","GSON1112130241")</f>
        <v>#NAME?</v>
      </c>
      <c r="G1744" s="24" t="e">
        <f ca="1">[1]!BexGetData("DP_1","003N8EMH8GTFRCSWKMPXRRXR2","GSON1112130241")</f>
        <v>#NAME?</v>
      </c>
      <c r="H1744" s="24" t="e">
        <f ca="1">[1]!BexGetData("DP_1","003N8EMH8GTFRCSWKMPXRS42M","GSON1112130241")</f>
        <v>#NAME?</v>
      </c>
      <c r="I1744" s="24" t="e">
        <f ca="1">[1]!BexGetData("DP_1","003N8EMH8GTFRCSWKMPXRSAE6","GSON1112130241")</f>
        <v>#NAME?</v>
      </c>
      <c r="J1744" s="24" t="e">
        <f ca="1">[1]!BexGetData("DP_1","003N8EMH8GTFRCSWKMPXRSGPQ","GSON1112130241")</f>
        <v>#NAME?</v>
      </c>
      <c r="K1744" s="28" t="e">
        <f ca="1">[1]!BexGetData("DP_1","003N8EMH8GTFRIVNUPY288VJH","GSON1112130241")</f>
        <v>#NAME?</v>
      </c>
      <c r="L1744" s="28" t="e">
        <f ca="1">[1]!BexGetData("DP_1","003N8EMH8GTFRIVNUPY2891V1","GSON1112130241")</f>
        <v>#NAME?</v>
      </c>
      <c r="M1744" s="28" t="e">
        <f ca="1">[1]!BexGetData("DP_1","003N8EMH8GTFRIVOG7KG9IQXA","GSON1112130241")</f>
        <v>#NAME?</v>
      </c>
      <c r="N1744" s="28" t="e">
        <f ca="1">[1]!BexGetData("DP_1","003N8EMH8GTFRIVOG7KG9IX8U","GSON1112130241")</f>
        <v>#NAME?</v>
      </c>
      <c r="O1744" s="28" t="e">
        <f ca="1">[1]!BexGetData("DP_1","003N8EMH8GTFRIVOG7KG9J3KE","GSON1112130241")</f>
        <v>#NAME?</v>
      </c>
      <c r="P1744" s="28" t="e">
        <f ca="1">[1]!BexGetData("DP_1","003N8EMH8GTFRIVOG7KG9J9VY","GSON1112130241")</f>
        <v>#NAME?</v>
      </c>
      <c r="Q1744" s="24" t="e">
        <f ca="1">[1]!BexGetData("DP_1","00O2TNJGODT0G5Z4TTKYMM5MT","GSON1112130241")</f>
        <v>#NAME?</v>
      </c>
      <c r="R1744" s="24" t="e">
        <f ca="1">[1]!BexGetData("DP_1","00O2TNJGODT0G5Z4TTKYMMBYD","GSON1112130241")</f>
        <v>#NAME?</v>
      </c>
      <c r="S1744" s="24" t="e">
        <f ca="1">[1]!BexGetData("DP_1","00O2TNJGODT0G5Z4TTKYMMI9X","GSON1112130241")</f>
        <v>#NAME?</v>
      </c>
      <c r="T1744" s="24" t="e">
        <f ca="1">[1]!BexGetData("DP_1","00O2TNJGODT0G5Z4TTKYMMOLH","GSON1112130241")</f>
        <v>#NAME?</v>
      </c>
      <c r="U1744" s="24" t="e">
        <f ca="1">[1]!BexGetData("DP_1","00O2TNJGODT0G5Z4TTKYMMUX1","GSON1112130241")</f>
        <v>#NAME?</v>
      </c>
      <c r="V1744" s="24" t="e">
        <f ca="1">[1]!BexGetData("DP_1","00O2TNJGODT0G5Z4TTKYMN18L","GSON1112130241")</f>
        <v>#NAME?</v>
      </c>
      <c r="W1744" s="24" t="e">
        <f ca="1">[1]!BexGetData("DP_1","00O2TNJGODT0G5Z4TTKYMN7K5","GSON1112130241")</f>
        <v>#NAME?</v>
      </c>
    </row>
    <row r="1745" spans="1:23" x14ac:dyDescent="0.2">
      <c r="A1745" s="36" t="s">
        <v>4551</v>
      </c>
      <c r="B1745" s="27" t="s">
        <v>4552</v>
      </c>
      <c r="C1745" s="23" t="e">
        <f ca="1">[1]!BexGetData("DP_1","003N8EMH8GTFRCSWKMPXRR8GU","GSON1112130243")</f>
        <v>#NAME?</v>
      </c>
      <c r="D1745" s="23" t="e">
        <f ca="1">[1]!BexGetData("DP_1","003N8EMH8GTFRCSWKMPXRRESE","GSON1112130243")</f>
        <v>#NAME?</v>
      </c>
      <c r="E1745" s="28" t="e">
        <f ca="1">[1]!BexGetData("DP_1","003N8EMH8GTFRCSWKMPXRRL3Y","GSON1112130243")</f>
        <v>#NAME?</v>
      </c>
      <c r="F1745" s="24" t="e">
        <f ca="1">[1]!BexGetData("DP_1","003N8EMH8GTFRCSWKMPXRRRFI","GSON1112130243")</f>
        <v>#NAME?</v>
      </c>
      <c r="G1745" s="24" t="e">
        <f ca="1">[1]!BexGetData("DP_1","003N8EMH8GTFRCSWKMPXRRXR2","GSON1112130243")</f>
        <v>#NAME?</v>
      </c>
      <c r="H1745" s="24" t="e">
        <f ca="1">[1]!BexGetData("DP_1","003N8EMH8GTFRCSWKMPXRS42M","GSON1112130243")</f>
        <v>#NAME?</v>
      </c>
      <c r="I1745" s="24" t="e">
        <f ca="1">[1]!BexGetData("DP_1","003N8EMH8GTFRCSWKMPXRSAE6","GSON1112130243")</f>
        <v>#NAME?</v>
      </c>
      <c r="J1745" s="24" t="e">
        <f ca="1">[1]!BexGetData("DP_1","003N8EMH8GTFRCSWKMPXRSGPQ","GSON1112130243")</f>
        <v>#NAME?</v>
      </c>
      <c r="K1745" s="28" t="e">
        <f ca="1">[1]!BexGetData("DP_1","003N8EMH8GTFRIVNUPY288VJH","GSON1112130243")</f>
        <v>#NAME?</v>
      </c>
      <c r="L1745" s="28" t="e">
        <f ca="1">[1]!BexGetData("DP_1","003N8EMH8GTFRIVNUPY2891V1","GSON1112130243")</f>
        <v>#NAME?</v>
      </c>
      <c r="M1745" s="28" t="e">
        <f ca="1">[1]!BexGetData("DP_1","003N8EMH8GTFRIVOG7KG9IQXA","GSON1112130243")</f>
        <v>#NAME?</v>
      </c>
      <c r="N1745" s="28" t="e">
        <f ca="1">[1]!BexGetData("DP_1","003N8EMH8GTFRIVOG7KG9IX8U","GSON1112130243")</f>
        <v>#NAME?</v>
      </c>
      <c r="O1745" s="28" t="e">
        <f ca="1">[1]!BexGetData("DP_1","003N8EMH8GTFRIVOG7KG9J3KE","GSON1112130243")</f>
        <v>#NAME?</v>
      </c>
      <c r="P1745" s="28" t="e">
        <f ca="1">[1]!BexGetData("DP_1","003N8EMH8GTFRIVOG7KG9J9VY","GSON1112130243")</f>
        <v>#NAME?</v>
      </c>
      <c r="Q1745" s="24" t="e">
        <f ca="1">[1]!BexGetData("DP_1","00O2TNJGODT0G5Z4TTKYMM5MT","GSON1112130243")</f>
        <v>#NAME?</v>
      </c>
      <c r="R1745" s="24" t="e">
        <f ca="1">[1]!BexGetData("DP_1","00O2TNJGODT0G5Z4TTKYMMBYD","GSON1112130243")</f>
        <v>#NAME?</v>
      </c>
      <c r="S1745" s="24" t="e">
        <f ca="1">[1]!BexGetData("DP_1","00O2TNJGODT0G5Z4TTKYMMI9X","GSON1112130243")</f>
        <v>#NAME?</v>
      </c>
      <c r="T1745" s="24" t="e">
        <f ca="1">[1]!BexGetData("DP_1","00O2TNJGODT0G5Z4TTKYMMOLH","GSON1112130243")</f>
        <v>#NAME?</v>
      </c>
      <c r="U1745" s="24" t="e">
        <f ca="1">[1]!BexGetData("DP_1","00O2TNJGODT0G5Z4TTKYMMUX1","GSON1112130243")</f>
        <v>#NAME?</v>
      </c>
      <c r="V1745" s="24" t="e">
        <f ca="1">[1]!BexGetData("DP_1","00O2TNJGODT0G5Z4TTKYMN18L","GSON1112130243")</f>
        <v>#NAME?</v>
      </c>
      <c r="W1745" s="24" t="e">
        <f ca="1">[1]!BexGetData("DP_1","00O2TNJGODT0G5Z4TTKYMN7K5","GSON1112130243")</f>
        <v>#NAME?</v>
      </c>
    </row>
    <row r="1746" spans="1:23" x14ac:dyDescent="0.2">
      <c r="A1746" s="36" t="s">
        <v>4553</v>
      </c>
      <c r="B1746" s="27" t="s">
        <v>4554</v>
      </c>
      <c r="C1746" s="23" t="e">
        <f ca="1">[1]!BexGetData("DP_1","003N8EMH8GTFRCSWKMPXRR8GU","GSON1112130245")</f>
        <v>#NAME?</v>
      </c>
      <c r="D1746" s="23" t="e">
        <f ca="1">[1]!BexGetData("DP_1","003N8EMH8GTFRCSWKMPXRRESE","GSON1112130245")</f>
        <v>#NAME?</v>
      </c>
      <c r="E1746" s="28" t="e">
        <f ca="1">[1]!BexGetData("DP_1","003N8EMH8GTFRCSWKMPXRRL3Y","GSON1112130245")</f>
        <v>#NAME?</v>
      </c>
      <c r="F1746" s="24" t="e">
        <f ca="1">[1]!BexGetData("DP_1","003N8EMH8GTFRCSWKMPXRRRFI","GSON1112130245")</f>
        <v>#NAME?</v>
      </c>
      <c r="G1746" s="24" t="e">
        <f ca="1">[1]!BexGetData("DP_1","003N8EMH8GTFRCSWKMPXRRXR2","GSON1112130245")</f>
        <v>#NAME?</v>
      </c>
      <c r="H1746" s="24" t="e">
        <f ca="1">[1]!BexGetData("DP_1","003N8EMH8GTFRCSWKMPXRS42M","GSON1112130245")</f>
        <v>#NAME?</v>
      </c>
      <c r="I1746" s="24" t="e">
        <f ca="1">[1]!BexGetData("DP_1","003N8EMH8GTFRCSWKMPXRSAE6","GSON1112130245")</f>
        <v>#NAME?</v>
      </c>
      <c r="J1746" s="24" t="e">
        <f ca="1">[1]!BexGetData("DP_1","003N8EMH8GTFRCSWKMPXRSGPQ","GSON1112130245")</f>
        <v>#NAME?</v>
      </c>
      <c r="K1746" s="28" t="e">
        <f ca="1">[1]!BexGetData("DP_1","003N8EMH8GTFRIVNUPY288VJH","GSON1112130245")</f>
        <v>#NAME?</v>
      </c>
      <c r="L1746" s="28" t="e">
        <f ca="1">[1]!BexGetData("DP_1","003N8EMH8GTFRIVNUPY2891V1","GSON1112130245")</f>
        <v>#NAME?</v>
      </c>
      <c r="M1746" s="28" t="e">
        <f ca="1">[1]!BexGetData("DP_1","003N8EMH8GTFRIVOG7KG9IQXA","GSON1112130245")</f>
        <v>#NAME?</v>
      </c>
      <c r="N1746" s="28" t="e">
        <f ca="1">[1]!BexGetData("DP_1","003N8EMH8GTFRIVOG7KG9IX8U","GSON1112130245")</f>
        <v>#NAME?</v>
      </c>
      <c r="O1746" s="28" t="e">
        <f ca="1">[1]!BexGetData("DP_1","003N8EMH8GTFRIVOG7KG9J3KE","GSON1112130245")</f>
        <v>#NAME?</v>
      </c>
      <c r="P1746" s="28" t="e">
        <f ca="1">[1]!BexGetData("DP_1","003N8EMH8GTFRIVOG7KG9J9VY","GSON1112130245")</f>
        <v>#NAME?</v>
      </c>
      <c r="Q1746" s="24" t="e">
        <f ca="1">[1]!BexGetData("DP_1","00O2TNJGODT0G5Z4TTKYMM5MT","GSON1112130245")</f>
        <v>#NAME?</v>
      </c>
      <c r="R1746" s="24" t="e">
        <f ca="1">[1]!BexGetData("DP_1","00O2TNJGODT0G5Z4TTKYMMBYD","GSON1112130245")</f>
        <v>#NAME?</v>
      </c>
      <c r="S1746" s="24" t="e">
        <f ca="1">[1]!BexGetData("DP_1","00O2TNJGODT0G5Z4TTKYMMI9X","GSON1112130245")</f>
        <v>#NAME?</v>
      </c>
      <c r="T1746" s="24" t="e">
        <f ca="1">[1]!BexGetData("DP_1","00O2TNJGODT0G5Z4TTKYMMOLH","GSON1112130245")</f>
        <v>#NAME?</v>
      </c>
      <c r="U1746" s="24" t="e">
        <f ca="1">[1]!BexGetData("DP_1","00O2TNJGODT0G5Z4TTKYMMUX1","GSON1112130245")</f>
        <v>#NAME?</v>
      </c>
      <c r="V1746" s="24" t="e">
        <f ca="1">[1]!BexGetData("DP_1","00O2TNJGODT0G5Z4TTKYMN18L","GSON1112130245")</f>
        <v>#NAME?</v>
      </c>
      <c r="W1746" s="24" t="e">
        <f ca="1">[1]!BexGetData("DP_1","00O2TNJGODT0G5Z4TTKYMN7K5","GSON1112130245")</f>
        <v>#NAME?</v>
      </c>
    </row>
    <row r="1747" spans="1:23" x14ac:dyDescent="0.2">
      <c r="A1747" s="36" t="s">
        <v>4555</v>
      </c>
      <c r="B1747" s="27" t="s">
        <v>4556</v>
      </c>
      <c r="C1747" s="23" t="e">
        <f ca="1">[1]!BexGetData("DP_1","003N8EMH8GTFRCSWKMPXRR8GU","GSON1112130250")</f>
        <v>#NAME?</v>
      </c>
      <c r="D1747" s="23" t="e">
        <f ca="1">[1]!BexGetData("DP_1","003N8EMH8GTFRCSWKMPXRRESE","GSON1112130250")</f>
        <v>#NAME?</v>
      </c>
      <c r="E1747" s="23" t="e">
        <f ca="1">[1]!BexGetData("DP_1","003N8EMH8GTFRCSWKMPXRRL3Y","GSON1112130250")</f>
        <v>#NAME?</v>
      </c>
      <c r="F1747" s="24" t="e">
        <f ca="1">[1]!BexGetData("DP_1","003N8EMH8GTFRCSWKMPXRRRFI","GSON1112130250")</f>
        <v>#NAME?</v>
      </c>
      <c r="G1747" s="24" t="e">
        <f ca="1">[1]!BexGetData("DP_1","003N8EMH8GTFRCSWKMPXRRXR2","GSON1112130250")</f>
        <v>#NAME?</v>
      </c>
      <c r="H1747" s="24" t="e">
        <f ca="1">[1]!BexGetData("DP_1","003N8EMH8GTFRCSWKMPXRS42M","GSON1112130250")</f>
        <v>#NAME?</v>
      </c>
      <c r="I1747" s="24" t="e">
        <f ca="1">[1]!BexGetData("DP_1","003N8EMH8GTFRCSWKMPXRSAE6","GSON1112130250")</f>
        <v>#NAME?</v>
      </c>
      <c r="J1747" s="24" t="e">
        <f ca="1">[1]!BexGetData("DP_1","003N8EMH8GTFRCSWKMPXRSGPQ","GSON1112130250")</f>
        <v>#NAME?</v>
      </c>
      <c r="K1747" s="23" t="e">
        <f ca="1">[1]!BexGetData("DP_1","003N8EMH8GTFRIVNUPY288VJH","GSON1112130250")</f>
        <v>#NAME?</v>
      </c>
      <c r="L1747" s="23" t="e">
        <f ca="1">[1]!BexGetData("DP_1","003N8EMH8GTFRIVNUPY2891V1","GSON1112130250")</f>
        <v>#NAME?</v>
      </c>
      <c r="M1747" s="28" t="e">
        <f ca="1">[1]!BexGetData("DP_1","003N8EMH8GTFRIVOG7KG9IQXA","GSON1112130250")</f>
        <v>#NAME?</v>
      </c>
      <c r="N1747" s="23" t="e">
        <f ca="1">[1]!BexGetData("DP_1","003N8EMH8GTFRIVOG7KG9IX8U","GSON1112130250")</f>
        <v>#NAME?</v>
      </c>
      <c r="O1747" s="28" t="e">
        <f ca="1">[1]!BexGetData("DP_1","003N8EMH8GTFRIVOG7KG9J3KE","GSON1112130250")</f>
        <v>#NAME?</v>
      </c>
      <c r="P1747" s="23" t="e">
        <f ca="1">[1]!BexGetData("DP_1","003N8EMH8GTFRIVOG7KG9J9VY","GSON1112130250")</f>
        <v>#NAME?</v>
      </c>
      <c r="Q1747" s="24" t="e">
        <f ca="1">[1]!BexGetData("DP_1","00O2TNJGODT0G5Z4TTKYMM5MT","GSON1112130250")</f>
        <v>#NAME?</v>
      </c>
      <c r="R1747" s="24" t="e">
        <f ca="1">[1]!BexGetData("DP_1","00O2TNJGODT0G5Z4TTKYMMBYD","GSON1112130250")</f>
        <v>#NAME?</v>
      </c>
      <c r="S1747" s="24" t="e">
        <f ca="1">[1]!BexGetData("DP_1","00O2TNJGODT0G5Z4TTKYMMI9X","GSON1112130250")</f>
        <v>#NAME?</v>
      </c>
      <c r="T1747" s="24" t="e">
        <f ca="1">[1]!BexGetData("DP_1","00O2TNJGODT0G5Z4TTKYMMOLH","GSON1112130250")</f>
        <v>#NAME?</v>
      </c>
      <c r="U1747" s="24" t="e">
        <f ca="1">[1]!BexGetData("DP_1","00O2TNJGODT0G5Z4TTKYMMUX1","GSON1112130250")</f>
        <v>#NAME?</v>
      </c>
      <c r="V1747" s="24" t="e">
        <f ca="1">[1]!BexGetData("DP_1","00O2TNJGODT0G5Z4TTKYMN18L","GSON1112130250")</f>
        <v>#NAME?</v>
      </c>
      <c r="W1747" s="24" t="e">
        <f ca="1">[1]!BexGetData("DP_1","00O2TNJGODT0G5Z4TTKYMN7K5","GSON1112130250")</f>
        <v>#NAME?</v>
      </c>
    </row>
    <row r="1748" spans="1:23" x14ac:dyDescent="0.2">
      <c r="A1748" s="36" t="s">
        <v>4557</v>
      </c>
      <c r="B1748" s="27" t="s">
        <v>4558</v>
      </c>
      <c r="C1748" s="23" t="e">
        <f ca="1">[1]!BexGetData("DP_1","003N8EMH8GTFRCSWKMPXRR8GU","GSON1112130251")</f>
        <v>#NAME?</v>
      </c>
      <c r="D1748" s="23" t="e">
        <f ca="1">[1]!BexGetData("DP_1","003N8EMH8GTFRCSWKMPXRRESE","GSON1112130251")</f>
        <v>#NAME?</v>
      </c>
      <c r="E1748" s="28" t="e">
        <f ca="1">[1]!BexGetData("DP_1","003N8EMH8GTFRCSWKMPXRRL3Y","GSON1112130251")</f>
        <v>#NAME?</v>
      </c>
      <c r="F1748" s="24" t="e">
        <f ca="1">[1]!BexGetData("DP_1","003N8EMH8GTFRCSWKMPXRRRFI","GSON1112130251")</f>
        <v>#NAME?</v>
      </c>
      <c r="G1748" s="24" t="e">
        <f ca="1">[1]!BexGetData("DP_1","003N8EMH8GTFRCSWKMPXRRXR2","GSON1112130251")</f>
        <v>#NAME?</v>
      </c>
      <c r="H1748" s="24" t="e">
        <f ca="1">[1]!BexGetData("DP_1","003N8EMH8GTFRCSWKMPXRS42M","GSON1112130251")</f>
        <v>#NAME?</v>
      </c>
      <c r="I1748" s="24" t="e">
        <f ca="1">[1]!BexGetData("DP_1","003N8EMH8GTFRCSWKMPXRSAE6","GSON1112130251")</f>
        <v>#NAME?</v>
      </c>
      <c r="J1748" s="24" t="e">
        <f ca="1">[1]!BexGetData("DP_1","003N8EMH8GTFRCSWKMPXRSGPQ","GSON1112130251")</f>
        <v>#NAME?</v>
      </c>
      <c r="K1748" s="28" t="e">
        <f ca="1">[1]!BexGetData("DP_1","003N8EMH8GTFRIVNUPY288VJH","GSON1112130251")</f>
        <v>#NAME?</v>
      </c>
      <c r="L1748" s="28" t="e">
        <f ca="1">[1]!BexGetData("DP_1","003N8EMH8GTFRIVNUPY2891V1","GSON1112130251")</f>
        <v>#NAME?</v>
      </c>
      <c r="M1748" s="28" t="e">
        <f ca="1">[1]!BexGetData("DP_1","003N8EMH8GTFRIVOG7KG9IQXA","GSON1112130251")</f>
        <v>#NAME?</v>
      </c>
      <c r="N1748" s="28" t="e">
        <f ca="1">[1]!BexGetData("DP_1","003N8EMH8GTFRIVOG7KG9IX8U","GSON1112130251")</f>
        <v>#NAME?</v>
      </c>
      <c r="O1748" s="28" t="e">
        <f ca="1">[1]!BexGetData("DP_1","003N8EMH8GTFRIVOG7KG9J3KE","GSON1112130251")</f>
        <v>#NAME?</v>
      </c>
      <c r="P1748" s="28" t="e">
        <f ca="1">[1]!BexGetData("DP_1","003N8EMH8GTFRIVOG7KG9J9VY","GSON1112130251")</f>
        <v>#NAME?</v>
      </c>
      <c r="Q1748" s="24" t="e">
        <f ca="1">[1]!BexGetData("DP_1","00O2TNJGODT0G5Z4TTKYMM5MT","GSON1112130251")</f>
        <v>#NAME?</v>
      </c>
      <c r="R1748" s="24" t="e">
        <f ca="1">[1]!BexGetData("DP_1","00O2TNJGODT0G5Z4TTKYMMBYD","GSON1112130251")</f>
        <v>#NAME?</v>
      </c>
      <c r="S1748" s="24" t="e">
        <f ca="1">[1]!BexGetData("DP_1","00O2TNJGODT0G5Z4TTKYMMI9X","GSON1112130251")</f>
        <v>#NAME?</v>
      </c>
      <c r="T1748" s="24" t="e">
        <f ca="1">[1]!BexGetData("DP_1","00O2TNJGODT0G5Z4TTKYMMOLH","GSON1112130251")</f>
        <v>#NAME?</v>
      </c>
      <c r="U1748" s="24" t="e">
        <f ca="1">[1]!BexGetData("DP_1","00O2TNJGODT0G5Z4TTKYMMUX1","GSON1112130251")</f>
        <v>#NAME?</v>
      </c>
      <c r="V1748" s="24" t="e">
        <f ca="1">[1]!BexGetData("DP_1","00O2TNJGODT0G5Z4TTKYMN18L","GSON1112130251")</f>
        <v>#NAME?</v>
      </c>
      <c r="W1748" s="24" t="e">
        <f ca="1">[1]!BexGetData("DP_1","00O2TNJGODT0G5Z4TTKYMN7K5","GSON1112130251")</f>
        <v>#NAME?</v>
      </c>
    </row>
    <row r="1749" spans="1:23" x14ac:dyDescent="0.2">
      <c r="A1749" s="36" t="s">
        <v>4559</v>
      </c>
      <c r="B1749" s="27" t="s">
        <v>4560</v>
      </c>
      <c r="C1749" s="23" t="e">
        <f ca="1">[1]!BexGetData("DP_1","003N8EMH8GTFRCSWKMPXRR8GU","GSON1112130253")</f>
        <v>#NAME?</v>
      </c>
      <c r="D1749" s="23" t="e">
        <f ca="1">[1]!BexGetData("DP_1","003N8EMH8GTFRCSWKMPXRRESE","GSON1112130253")</f>
        <v>#NAME?</v>
      </c>
      <c r="E1749" s="28" t="e">
        <f ca="1">[1]!BexGetData("DP_1","003N8EMH8GTFRCSWKMPXRRL3Y","GSON1112130253")</f>
        <v>#NAME?</v>
      </c>
      <c r="F1749" s="24" t="e">
        <f ca="1">[1]!BexGetData("DP_1","003N8EMH8GTFRCSWKMPXRRRFI","GSON1112130253")</f>
        <v>#NAME?</v>
      </c>
      <c r="G1749" s="24" t="e">
        <f ca="1">[1]!BexGetData("DP_1","003N8EMH8GTFRCSWKMPXRRXR2","GSON1112130253")</f>
        <v>#NAME?</v>
      </c>
      <c r="H1749" s="24" t="e">
        <f ca="1">[1]!BexGetData("DP_1","003N8EMH8GTFRCSWKMPXRS42M","GSON1112130253")</f>
        <v>#NAME?</v>
      </c>
      <c r="I1749" s="24" t="e">
        <f ca="1">[1]!BexGetData("DP_1","003N8EMH8GTFRCSWKMPXRSAE6","GSON1112130253")</f>
        <v>#NAME?</v>
      </c>
      <c r="J1749" s="24" t="e">
        <f ca="1">[1]!BexGetData("DP_1","003N8EMH8GTFRCSWKMPXRSGPQ","GSON1112130253")</f>
        <v>#NAME?</v>
      </c>
      <c r="K1749" s="28" t="e">
        <f ca="1">[1]!BexGetData("DP_1","003N8EMH8GTFRIVNUPY288VJH","GSON1112130253")</f>
        <v>#NAME?</v>
      </c>
      <c r="L1749" s="28" t="e">
        <f ca="1">[1]!BexGetData("DP_1","003N8EMH8GTFRIVNUPY2891V1","GSON1112130253")</f>
        <v>#NAME?</v>
      </c>
      <c r="M1749" s="28" t="e">
        <f ca="1">[1]!BexGetData("DP_1","003N8EMH8GTFRIVOG7KG9IQXA","GSON1112130253")</f>
        <v>#NAME?</v>
      </c>
      <c r="N1749" s="28" t="e">
        <f ca="1">[1]!BexGetData("DP_1","003N8EMH8GTFRIVOG7KG9IX8U","GSON1112130253")</f>
        <v>#NAME?</v>
      </c>
      <c r="O1749" s="28" t="e">
        <f ca="1">[1]!BexGetData("DP_1","003N8EMH8GTFRIVOG7KG9J3KE","GSON1112130253")</f>
        <v>#NAME?</v>
      </c>
      <c r="P1749" s="28" t="e">
        <f ca="1">[1]!BexGetData("DP_1","003N8EMH8GTFRIVOG7KG9J9VY","GSON1112130253")</f>
        <v>#NAME?</v>
      </c>
      <c r="Q1749" s="24" t="e">
        <f ca="1">[1]!BexGetData("DP_1","00O2TNJGODT0G5Z4TTKYMM5MT","GSON1112130253")</f>
        <v>#NAME?</v>
      </c>
      <c r="R1749" s="24" t="e">
        <f ca="1">[1]!BexGetData("DP_1","00O2TNJGODT0G5Z4TTKYMMBYD","GSON1112130253")</f>
        <v>#NAME?</v>
      </c>
      <c r="S1749" s="24" t="e">
        <f ca="1">[1]!BexGetData("DP_1","00O2TNJGODT0G5Z4TTKYMMI9X","GSON1112130253")</f>
        <v>#NAME?</v>
      </c>
      <c r="T1749" s="24" t="e">
        <f ca="1">[1]!BexGetData("DP_1","00O2TNJGODT0G5Z4TTKYMMOLH","GSON1112130253")</f>
        <v>#NAME?</v>
      </c>
      <c r="U1749" s="24" t="e">
        <f ca="1">[1]!BexGetData("DP_1","00O2TNJGODT0G5Z4TTKYMMUX1","GSON1112130253")</f>
        <v>#NAME?</v>
      </c>
      <c r="V1749" s="24" t="e">
        <f ca="1">[1]!BexGetData("DP_1","00O2TNJGODT0G5Z4TTKYMN18L","GSON1112130253")</f>
        <v>#NAME?</v>
      </c>
      <c r="W1749" s="24" t="e">
        <f ca="1">[1]!BexGetData("DP_1","00O2TNJGODT0G5Z4TTKYMN7K5","GSON1112130253")</f>
        <v>#NAME?</v>
      </c>
    </row>
    <row r="1750" spans="1:23" x14ac:dyDescent="0.2">
      <c r="A1750" s="36" t="s">
        <v>4561</v>
      </c>
      <c r="B1750" s="27" t="s">
        <v>4562</v>
      </c>
      <c r="C1750" s="23" t="e">
        <f ca="1">[1]!BexGetData("DP_1","003N8EMH8GTFRCSWKMPXRR8GU","GSON1112130255")</f>
        <v>#NAME?</v>
      </c>
      <c r="D1750" s="23" t="e">
        <f ca="1">[1]!BexGetData("DP_1","003N8EMH8GTFRCSWKMPXRRESE","GSON1112130255")</f>
        <v>#NAME?</v>
      </c>
      <c r="E1750" s="28" t="e">
        <f ca="1">[1]!BexGetData("DP_1","003N8EMH8GTFRCSWKMPXRRL3Y","GSON1112130255")</f>
        <v>#NAME?</v>
      </c>
      <c r="F1750" s="24" t="e">
        <f ca="1">[1]!BexGetData("DP_1","003N8EMH8GTFRCSWKMPXRRRFI","GSON1112130255")</f>
        <v>#NAME?</v>
      </c>
      <c r="G1750" s="24" t="e">
        <f ca="1">[1]!BexGetData("DP_1","003N8EMH8GTFRCSWKMPXRRXR2","GSON1112130255")</f>
        <v>#NAME?</v>
      </c>
      <c r="H1750" s="24" t="e">
        <f ca="1">[1]!BexGetData("DP_1","003N8EMH8GTFRCSWKMPXRS42M","GSON1112130255")</f>
        <v>#NAME?</v>
      </c>
      <c r="I1750" s="24" t="e">
        <f ca="1">[1]!BexGetData("DP_1","003N8EMH8GTFRCSWKMPXRSAE6","GSON1112130255")</f>
        <v>#NAME?</v>
      </c>
      <c r="J1750" s="24" t="e">
        <f ca="1">[1]!BexGetData("DP_1","003N8EMH8GTFRCSWKMPXRSGPQ","GSON1112130255")</f>
        <v>#NAME?</v>
      </c>
      <c r="K1750" s="28" t="e">
        <f ca="1">[1]!BexGetData("DP_1","003N8EMH8GTFRIVNUPY288VJH","GSON1112130255")</f>
        <v>#NAME?</v>
      </c>
      <c r="L1750" s="28" t="e">
        <f ca="1">[1]!BexGetData("DP_1","003N8EMH8GTFRIVNUPY2891V1","GSON1112130255")</f>
        <v>#NAME?</v>
      </c>
      <c r="M1750" s="28" t="e">
        <f ca="1">[1]!BexGetData("DP_1","003N8EMH8GTFRIVOG7KG9IQXA","GSON1112130255")</f>
        <v>#NAME?</v>
      </c>
      <c r="N1750" s="28" t="e">
        <f ca="1">[1]!BexGetData("DP_1","003N8EMH8GTFRIVOG7KG9IX8U","GSON1112130255")</f>
        <v>#NAME?</v>
      </c>
      <c r="O1750" s="28" t="e">
        <f ca="1">[1]!BexGetData("DP_1","003N8EMH8GTFRIVOG7KG9J3KE","GSON1112130255")</f>
        <v>#NAME?</v>
      </c>
      <c r="P1750" s="28" t="e">
        <f ca="1">[1]!BexGetData("DP_1","003N8EMH8GTFRIVOG7KG9J9VY","GSON1112130255")</f>
        <v>#NAME?</v>
      </c>
      <c r="Q1750" s="24" t="e">
        <f ca="1">[1]!BexGetData("DP_1","00O2TNJGODT0G5Z4TTKYMM5MT","GSON1112130255")</f>
        <v>#NAME?</v>
      </c>
      <c r="R1750" s="24" t="e">
        <f ca="1">[1]!BexGetData("DP_1","00O2TNJGODT0G5Z4TTKYMMBYD","GSON1112130255")</f>
        <v>#NAME?</v>
      </c>
      <c r="S1750" s="24" t="e">
        <f ca="1">[1]!BexGetData("DP_1","00O2TNJGODT0G5Z4TTKYMMI9X","GSON1112130255")</f>
        <v>#NAME?</v>
      </c>
      <c r="T1750" s="24" t="e">
        <f ca="1">[1]!BexGetData("DP_1","00O2TNJGODT0G5Z4TTKYMMOLH","GSON1112130255")</f>
        <v>#NAME?</v>
      </c>
      <c r="U1750" s="24" t="e">
        <f ca="1">[1]!BexGetData("DP_1","00O2TNJGODT0G5Z4TTKYMMUX1","GSON1112130255")</f>
        <v>#NAME?</v>
      </c>
      <c r="V1750" s="24" t="e">
        <f ca="1">[1]!BexGetData("DP_1","00O2TNJGODT0G5Z4TTKYMN18L","GSON1112130255")</f>
        <v>#NAME?</v>
      </c>
      <c r="W1750" s="24" t="e">
        <f ca="1">[1]!BexGetData("DP_1","00O2TNJGODT0G5Z4TTKYMN7K5","GSON1112130255")</f>
        <v>#NAME?</v>
      </c>
    </row>
    <row r="1751" spans="1:23" x14ac:dyDescent="0.2">
      <c r="A1751" s="36" t="s">
        <v>4563</v>
      </c>
      <c r="B1751" s="27" t="s">
        <v>4564</v>
      </c>
      <c r="C1751" s="23" t="e">
        <f ca="1">[1]!BexGetData("DP_1","003N8EMH8GTFRCSWKMPXRR8GU","GSON1112130260")</f>
        <v>#NAME?</v>
      </c>
      <c r="D1751" s="23" t="e">
        <f ca="1">[1]!BexGetData("DP_1","003N8EMH8GTFRCSWKMPXRRESE","GSON1112130260")</f>
        <v>#NAME?</v>
      </c>
      <c r="E1751" s="23" t="e">
        <f ca="1">[1]!BexGetData("DP_1","003N8EMH8GTFRCSWKMPXRRL3Y","GSON1112130260")</f>
        <v>#NAME?</v>
      </c>
      <c r="F1751" s="24" t="e">
        <f ca="1">[1]!BexGetData("DP_1","003N8EMH8GTFRCSWKMPXRRRFI","GSON1112130260")</f>
        <v>#NAME?</v>
      </c>
      <c r="G1751" s="24" t="e">
        <f ca="1">[1]!BexGetData("DP_1","003N8EMH8GTFRCSWKMPXRRXR2","GSON1112130260")</f>
        <v>#NAME?</v>
      </c>
      <c r="H1751" s="24" t="e">
        <f ca="1">[1]!BexGetData("DP_1","003N8EMH8GTFRCSWKMPXRS42M","GSON1112130260")</f>
        <v>#NAME?</v>
      </c>
      <c r="I1751" s="24" t="e">
        <f ca="1">[1]!BexGetData("DP_1","003N8EMH8GTFRCSWKMPXRSAE6","GSON1112130260")</f>
        <v>#NAME?</v>
      </c>
      <c r="J1751" s="24" t="e">
        <f ca="1">[1]!BexGetData("DP_1","003N8EMH8GTFRCSWKMPXRSGPQ","GSON1112130260")</f>
        <v>#NAME?</v>
      </c>
      <c r="K1751" s="23" t="e">
        <f ca="1">[1]!BexGetData("DP_1","003N8EMH8GTFRIVNUPY288VJH","GSON1112130260")</f>
        <v>#NAME?</v>
      </c>
      <c r="L1751" s="23" t="e">
        <f ca="1">[1]!BexGetData("DP_1","003N8EMH8GTFRIVNUPY2891V1","GSON1112130260")</f>
        <v>#NAME?</v>
      </c>
      <c r="M1751" s="28" t="e">
        <f ca="1">[1]!BexGetData("DP_1","003N8EMH8GTFRIVOG7KG9IQXA","GSON1112130260")</f>
        <v>#NAME?</v>
      </c>
      <c r="N1751" s="23" t="e">
        <f ca="1">[1]!BexGetData("DP_1","003N8EMH8GTFRIVOG7KG9IX8U","GSON1112130260")</f>
        <v>#NAME?</v>
      </c>
      <c r="O1751" s="28" t="e">
        <f ca="1">[1]!BexGetData("DP_1","003N8EMH8GTFRIVOG7KG9J3KE","GSON1112130260")</f>
        <v>#NAME?</v>
      </c>
      <c r="P1751" s="23" t="e">
        <f ca="1">[1]!BexGetData("DP_1","003N8EMH8GTFRIVOG7KG9J9VY","GSON1112130260")</f>
        <v>#NAME?</v>
      </c>
      <c r="Q1751" s="24" t="e">
        <f ca="1">[1]!BexGetData("DP_1","00O2TNJGODT0G5Z4TTKYMM5MT","GSON1112130260")</f>
        <v>#NAME?</v>
      </c>
      <c r="R1751" s="24" t="e">
        <f ca="1">[1]!BexGetData("DP_1","00O2TNJGODT0G5Z4TTKYMMBYD","GSON1112130260")</f>
        <v>#NAME?</v>
      </c>
      <c r="S1751" s="24" t="e">
        <f ca="1">[1]!BexGetData("DP_1","00O2TNJGODT0G5Z4TTKYMMI9X","GSON1112130260")</f>
        <v>#NAME?</v>
      </c>
      <c r="T1751" s="24" t="e">
        <f ca="1">[1]!BexGetData("DP_1","00O2TNJGODT0G5Z4TTKYMMOLH","GSON1112130260")</f>
        <v>#NAME?</v>
      </c>
      <c r="U1751" s="24" t="e">
        <f ca="1">[1]!BexGetData("DP_1","00O2TNJGODT0G5Z4TTKYMMUX1","GSON1112130260")</f>
        <v>#NAME?</v>
      </c>
      <c r="V1751" s="24" t="e">
        <f ca="1">[1]!BexGetData("DP_1","00O2TNJGODT0G5Z4TTKYMN18L","GSON1112130260")</f>
        <v>#NAME?</v>
      </c>
      <c r="W1751" s="24" t="e">
        <f ca="1">[1]!BexGetData("DP_1","00O2TNJGODT0G5Z4TTKYMN7K5","GSON1112130260")</f>
        <v>#NAME?</v>
      </c>
    </row>
    <row r="1752" spans="1:23" x14ac:dyDescent="0.2">
      <c r="A1752" s="36" t="s">
        <v>4565</v>
      </c>
      <c r="B1752" s="27" t="s">
        <v>4566</v>
      </c>
      <c r="C1752" s="23" t="e">
        <f ca="1">[1]!BexGetData("DP_1","003N8EMH8GTFRCSWKMPXRR8GU","GSON1112130261")</f>
        <v>#NAME?</v>
      </c>
      <c r="D1752" s="23" t="e">
        <f ca="1">[1]!BexGetData("DP_1","003N8EMH8GTFRCSWKMPXRRESE","GSON1112130261")</f>
        <v>#NAME?</v>
      </c>
      <c r="E1752" s="28" t="e">
        <f ca="1">[1]!BexGetData("DP_1","003N8EMH8GTFRCSWKMPXRRL3Y","GSON1112130261")</f>
        <v>#NAME?</v>
      </c>
      <c r="F1752" s="24" t="e">
        <f ca="1">[1]!BexGetData("DP_1","003N8EMH8GTFRCSWKMPXRRRFI","GSON1112130261")</f>
        <v>#NAME?</v>
      </c>
      <c r="G1752" s="24" t="e">
        <f ca="1">[1]!BexGetData("DP_1","003N8EMH8GTFRCSWKMPXRRXR2","GSON1112130261")</f>
        <v>#NAME?</v>
      </c>
      <c r="H1752" s="24" t="e">
        <f ca="1">[1]!BexGetData("DP_1","003N8EMH8GTFRCSWKMPXRS42M","GSON1112130261")</f>
        <v>#NAME?</v>
      </c>
      <c r="I1752" s="24" t="e">
        <f ca="1">[1]!BexGetData("DP_1","003N8EMH8GTFRCSWKMPXRSAE6","GSON1112130261")</f>
        <v>#NAME?</v>
      </c>
      <c r="J1752" s="24" t="e">
        <f ca="1">[1]!BexGetData("DP_1","003N8EMH8GTFRCSWKMPXRSGPQ","GSON1112130261")</f>
        <v>#NAME?</v>
      </c>
      <c r="K1752" s="28" t="e">
        <f ca="1">[1]!BexGetData("DP_1","003N8EMH8GTFRIVNUPY288VJH","GSON1112130261")</f>
        <v>#NAME?</v>
      </c>
      <c r="L1752" s="28" t="e">
        <f ca="1">[1]!BexGetData("DP_1","003N8EMH8GTFRIVNUPY2891V1","GSON1112130261")</f>
        <v>#NAME?</v>
      </c>
      <c r="M1752" s="28" t="e">
        <f ca="1">[1]!BexGetData("DP_1","003N8EMH8GTFRIVOG7KG9IQXA","GSON1112130261")</f>
        <v>#NAME?</v>
      </c>
      <c r="N1752" s="28" t="e">
        <f ca="1">[1]!BexGetData("DP_1","003N8EMH8GTFRIVOG7KG9IX8U","GSON1112130261")</f>
        <v>#NAME?</v>
      </c>
      <c r="O1752" s="28" t="e">
        <f ca="1">[1]!BexGetData("DP_1","003N8EMH8GTFRIVOG7KG9J3KE","GSON1112130261")</f>
        <v>#NAME?</v>
      </c>
      <c r="P1752" s="28" t="e">
        <f ca="1">[1]!BexGetData("DP_1","003N8EMH8GTFRIVOG7KG9J9VY","GSON1112130261")</f>
        <v>#NAME?</v>
      </c>
      <c r="Q1752" s="24" t="e">
        <f ca="1">[1]!BexGetData("DP_1","00O2TNJGODT0G5Z4TTKYMM5MT","GSON1112130261")</f>
        <v>#NAME?</v>
      </c>
      <c r="R1752" s="24" t="e">
        <f ca="1">[1]!BexGetData("DP_1","00O2TNJGODT0G5Z4TTKYMMBYD","GSON1112130261")</f>
        <v>#NAME?</v>
      </c>
      <c r="S1752" s="24" t="e">
        <f ca="1">[1]!BexGetData("DP_1","00O2TNJGODT0G5Z4TTKYMMI9X","GSON1112130261")</f>
        <v>#NAME?</v>
      </c>
      <c r="T1752" s="24" t="e">
        <f ca="1">[1]!BexGetData("DP_1","00O2TNJGODT0G5Z4TTKYMMOLH","GSON1112130261")</f>
        <v>#NAME?</v>
      </c>
      <c r="U1752" s="24" t="e">
        <f ca="1">[1]!BexGetData("DP_1","00O2TNJGODT0G5Z4TTKYMMUX1","GSON1112130261")</f>
        <v>#NAME?</v>
      </c>
      <c r="V1752" s="24" t="e">
        <f ca="1">[1]!BexGetData("DP_1","00O2TNJGODT0G5Z4TTKYMN18L","GSON1112130261")</f>
        <v>#NAME?</v>
      </c>
      <c r="W1752" s="24" t="e">
        <f ca="1">[1]!BexGetData("DP_1","00O2TNJGODT0G5Z4TTKYMN7K5","GSON1112130261")</f>
        <v>#NAME?</v>
      </c>
    </row>
    <row r="1753" spans="1:23" x14ac:dyDescent="0.2">
      <c r="A1753" s="36" t="s">
        <v>4567</v>
      </c>
      <c r="B1753" s="27" t="s">
        <v>4568</v>
      </c>
      <c r="C1753" s="23" t="e">
        <f ca="1">[1]!BexGetData("DP_1","003N8EMH8GTFRCSWKMPXRR8GU","GSON1112130263")</f>
        <v>#NAME?</v>
      </c>
      <c r="D1753" s="23" t="e">
        <f ca="1">[1]!BexGetData("DP_1","003N8EMH8GTFRCSWKMPXRRESE","GSON1112130263")</f>
        <v>#NAME?</v>
      </c>
      <c r="E1753" s="23" t="e">
        <f ca="1">[1]!BexGetData("DP_1","003N8EMH8GTFRCSWKMPXRRL3Y","GSON1112130263")</f>
        <v>#NAME?</v>
      </c>
      <c r="F1753" s="24" t="e">
        <f ca="1">[1]!BexGetData("DP_1","003N8EMH8GTFRCSWKMPXRRRFI","GSON1112130263")</f>
        <v>#NAME?</v>
      </c>
      <c r="G1753" s="24" t="e">
        <f ca="1">[1]!BexGetData("DP_1","003N8EMH8GTFRCSWKMPXRRXR2","GSON1112130263")</f>
        <v>#NAME?</v>
      </c>
      <c r="H1753" s="24" t="e">
        <f ca="1">[1]!BexGetData("DP_1","003N8EMH8GTFRCSWKMPXRS42M","GSON1112130263")</f>
        <v>#NAME?</v>
      </c>
      <c r="I1753" s="24" t="e">
        <f ca="1">[1]!BexGetData("DP_1","003N8EMH8GTFRCSWKMPXRSAE6","GSON1112130263")</f>
        <v>#NAME?</v>
      </c>
      <c r="J1753" s="24" t="e">
        <f ca="1">[1]!BexGetData("DP_1","003N8EMH8GTFRCSWKMPXRSGPQ","GSON1112130263")</f>
        <v>#NAME?</v>
      </c>
      <c r="K1753" s="23" t="e">
        <f ca="1">[1]!BexGetData("DP_1","003N8EMH8GTFRIVNUPY288VJH","GSON1112130263")</f>
        <v>#NAME?</v>
      </c>
      <c r="L1753" s="23" t="e">
        <f ca="1">[1]!BexGetData("DP_1","003N8EMH8GTFRIVNUPY2891V1","GSON1112130263")</f>
        <v>#NAME?</v>
      </c>
      <c r="M1753" s="23" t="e">
        <f ca="1">[1]!BexGetData("DP_1","003N8EMH8GTFRIVOG7KG9IQXA","GSON1112130263")</f>
        <v>#NAME?</v>
      </c>
      <c r="N1753" s="28" t="e">
        <f ca="1">[1]!BexGetData("DP_1","003N8EMH8GTFRIVOG7KG9IX8U","GSON1112130263")</f>
        <v>#NAME?</v>
      </c>
      <c r="O1753" s="23" t="e">
        <f ca="1">[1]!BexGetData("DP_1","003N8EMH8GTFRIVOG7KG9J3KE","GSON1112130263")</f>
        <v>#NAME?</v>
      </c>
      <c r="P1753" s="28" t="e">
        <f ca="1">[1]!BexGetData("DP_1","003N8EMH8GTFRIVOG7KG9J9VY","GSON1112130263")</f>
        <v>#NAME?</v>
      </c>
      <c r="Q1753" s="24" t="e">
        <f ca="1">[1]!BexGetData("DP_1","00O2TNJGODT0G5Z4TTKYMM5MT","GSON1112130263")</f>
        <v>#NAME?</v>
      </c>
      <c r="R1753" s="24" t="e">
        <f ca="1">[1]!BexGetData("DP_1","00O2TNJGODT0G5Z4TTKYMMBYD","GSON1112130263")</f>
        <v>#NAME?</v>
      </c>
      <c r="S1753" s="24" t="e">
        <f ca="1">[1]!BexGetData("DP_1","00O2TNJGODT0G5Z4TTKYMMI9X","GSON1112130263")</f>
        <v>#NAME?</v>
      </c>
      <c r="T1753" s="24" t="e">
        <f ca="1">[1]!BexGetData("DP_1","00O2TNJGODT0G5Z4TTKYMMOLH","GSON1112130263")</f>
        <v>#NAME?</v>
      </c>
      <c r="U1753" s="24" t="e">
        <f ca="1">[1]!BexGetData("DP_1","00O2TNJGODT0G5Z4TTKYMMUX1","GSON1112130263")</f>
        <v>#NAME?</v>
      </c>
      <c r="V1753" s="24" t="e">
        <f ca="1">[1]!BexGetData("DP_1","00O2TNJGODT0G5Z4TTKYMN18L","GSON1112130263")</f>
        <v>#NAME?</v>
      </c>
      <c r="W1753" s="24" t="e">
        <f ca="1">[1]!BexGetData("DP_1","00O2TNJGODT0G5Z4TTKYMN7K5","GSON1112130263")</f>
        <v>#NAME?</v>
      </c>
    </row>
    <row r="1754" spans="1:23" x14ac:dyDescent="0.2">
      <c r="A1754" s="36" t="s">
        <v>4569</v>
      </c>
      <c r="B1754" s="27" t="s">
        <v>4570</v>
      </c>
      <c r="C1754" s="23" t="e">
        <f ca="1">[1]!BexGetData("DP_1","003N8EMH8GTFRCSWKMPXRR8GU","GSON1112130265")</f>
        <v>#NAME?</v>
      </c>
      <c r="D1754" s="23" t="e">
        <f ca="1">[1]!BexGetData("DP_1","003N8EMH8GTFRCSWKMPXRRESE","GSON1112130265")</f>
        <v>#NAME?</v>
      </c>
      <c r="E1754" s="28" t="e">
        <f ca="1">[1]!BexGetData("DP_1","003N8EMH8GTFRCSWKMPXRRL3Y","GSON1112130265")</f>
        <v>#NAME?</v>
      </c>
      <c r="F1754" s="24" t="e">
        <f ca="1">[1]!BexGetData("DP_1","003N8EMH8GTFRCSWKMPXRRRFI","GSON1112130265")</f>
        <v>#NAME?</v>
      </c>
      <c r="G1754" s="24" t="e">
        <f ca="1">[1]!BexGetData("DP_1","003N8EMH8GTFRCSWKMPXRRXR2","GSON1112130265")</f>
        <v>#NAME?</v>
      </c>
      <c r="H1754" s="24" t="e">
        <f ca="1">[1]!BexGetData("DP_1","003N8EMH8GTFRCSWKMPXRS42M","GSON1112130265")</f>
        <v>#NAME?</v>
      </c>
      <c r="I1754" s="24" t="e">
        <f ca="1">[1]!BexGetData("DP_1","003N8EMH8GTFRCSWKMPXRSAE6","GSON1112130265")</f>
        <v>#NAME?</v>
      </c>
      <c r="J1754" s="24" t="e">
        <f ca="1">[1]!BexGetData("DP_1","003N8EMH8GTFRCSWKMPXRSGPQ","GSON1112130265")</f>
        <v>#NAME?</v>
      </c>
      <c r="K1754" s="28" t="e">
        <f ca="1">[1]!BexGetData("DP_1","003N8EMH8GTFRIVNUPY288VJH","GSON1112130265")</f>
        <v>#NAME?</v>
      </c>
      <c r="L1754" s="28" t="e">
        <f ca="1">[1]!BexGetData("DP_1","003N8EMH8GTFRIVNUPY2891V1","GSON1112130265")</f>
        <v>#NAME?</v>
      </c>
      <c r="M1754" s="28" t="e">
        <f ca="1">[1]!BexGetData("DP_1","003N8EMH8GTFRIVOG7KG9IQXA","GSON1112130265")</f>
        <v>#NAME?</v>
      </c>
      <c r="N1754" s="28" t="e">
        <f ca="1">[1]!BexGetData("DP_1","003N8EMH8GTFRIVOG7KG9IX8U","GSON1112130265")</f>
        <v>#NAME?</v>
      </c>
      <c r="O1754" s="28" t="e">
        <f ca="1">[1]!BexGetData("DP_1","003N8EMH8GTFRIVOG7KG9J3KE","GSON1112130265")</f>
        <v>#NAME?</v>
      </c>
      <c r="P1754" s="28" t="e">
        <f ca="1">[1]!BexGetData("DP_1","003N8EMH8GTFRIVOG7KG9J9VY","GSON1112130265")</f>
        <v>#NAME?</v>
      </c>
      <c r="Q1754" s="24" t="e">
        <f ca="1">[1]!BexGetData("DP_1","00O2TNJGODT0G5Z4TTKYMM5MT","GSON1112130265")</f>
        <v>#NAME?</v>
      </c>
      <c r="R1754" s="24" t="e">
        <f ca="1">[1]!BexGetData("DP_1","00O2TNJGODT0G5Z4TTKYMMBYD","GSON1112130265")</f>
        <v>#NAME?</v>
      </c>
      <c r="S1754" s="24" t="e">
        <f ca="1">[1]!BexGetData("DP_1","00O2TNJGODT0G5Z4TTKYMMI9X","GSON1112130265")</f>
        <v>#NAME?</v>
      </c>
      <c r="T1754" s="24" t="e">
        <f ca="1">[1]!BexGetData("DP_1","00O2TNJGODT0G5Z4TTKYMMOLH","GSON1112130265")</f>
        <v>#NAME?</v>
      </c>
      <c r="U1754" s="24" t="e">
        <f ca="1">[1]!BexGetData("DP_1","00O2TNJGODT0G5Z4TTKYMMUX1","GSON1112130265")</f>
        <v>#NAME?</v>
      </c>
      <c r="V1754" s="24" t="e">
        <f ca="1">[1]!BexGetData("DP_1","00O2TNJGODT0G5Z4TTKYMN18L","GSON1112130265")</f>
        <v>#NAME?</v>
      </c>
      <c r="W1754" s="24" t="e">
        <f ca="1">[1]!BexGetData("DP_1","00O2TNJGODT0G5Z4TTKYMN7K5","GSON1112130265")</f>
        <v>#NAME?</v>
      </c>
    </row>
    <row r="1755" spans="1:23" x14ac:dyDescent="0.2">
      <c r="A1755" s="36" t="s">
        <v>4571</v>
      </c>
      <c r="B1755" s="27" t="s">
        <v>4572</v>
      </c>
      <c r="C1755" s="23" t="e">
        <f ca="1">[1]!BexGetData("DP_1","003N8EMH8GTFRCSWKMPXRR8GU","GSON1112130270")</f>
        <v>#NAME?</v>
      </c>
      <c r="D1755" s="23" t="e">
        <f ca="1">[1]!BexGetData("DP_1","003N8EMH8GTFRCSWKMPXRRESE","GSON1112130270")</f>
        <v>#NAME?</v>
      </c>
      <c r="E1755" s="23" t="e">
        <f ca="1">[1]!BexGetData("DP_1","003N8EMH8GTFRCSWKMPXRRL3Y","GSON1112130270")</f>
        <v>#NAME?</v>
      </c>
      <c r="F1755" s="24" t="e">
        <f ca="1">[1]!BexGetData("DP_1","003N8EMH8GTFRCSWKMPXRRRFI","GSON1112130270")</f>
        <v>#NAME?</v>
      </c>
      <c r="G1755" s="24" t="e">
        <f ca="1">[1]!BexGetData("DP_1","003N8EMH8GTFRCSWKMPXRRXR2","GSON1112130270")</f>
        <v>#NAME?</v>
      </c>
      <c r="H1755" s="24" t="e">
        <f ca="1">[1]!BexGetData("DP_1","003N8EMH8GTFRCSWKMPXRS42M","GSON1112130270")</f>
        <v>#NAME?</v>
      </c>
      <c r="I1755" s="24" t="e">
        <f ca="1">[1]!BexGetData("DP_1","003N8EMH8GTFRCSWKMPXRSAE6","GSON1112130270")</f>
        <v>#NAME?</v>
      </c>
      <c r="J1755" s="24" t="e">
        <f ca="1">[1]!BexGetData("DP_1","003N8EMH8GTFRCSWKMPXRSGPQ","GSON1112130270")</f>
        <v>#NAME?</v>
      </c>
      <c r="K1755" s="23" t="e">
        <f ca="1">[1]!BexGetData("DP_1","003N8EMH8GTFRIVNUPY288VJH","GSON1112130270")</f>
        <v>#NAME?</v>
      </c>
      <c r="L1755" s="23" t="e">
        <f ca="1">[1]!BexGetData("DP_1","003N8EMH8GTFRIVNUPY2891V1","GSON1112130270")</f>
        <v>#NAME?</v>
      </c>
      <c r="M1755" s="28" t="e">
        <f ca="1">[1]!BexGetData("DP_1","003N8EMH8GTFRIVOG7KG9IQXA","GSON1112130270")</f>
        <v>#NAME?</v>
      </c>
      <c r="N1755" s="23" t="e">
        <f ca="1">[1]!BexGetData("DP_1","003N8EMH8GTFRIVOG7KG9IX8U","GSON1112130270")</f>
        <v>#NAME?</v>
      </c>
      <c r="O1755" s="28" t="e">
        <f ca="1">[1]!BexGetData("DP_1","003N8EMH8GTFRIVOG7KG9J3KE","GSON1112130270")</f>
        <v>#NAME?</v>
      </c>
      <c r="P1755" s="23" t="e">
        <f ca="1">[1]!BexGetData("DP_1","003N8EMH8GTFRIVOG7KG9J9VY","GSON1112130270")</f>
        <v>#NAME?</v>
      </c>
      <c r="Q1755" s="24" t="e">
        <f ca="1">[1]!BexGetData("DP_1","00O2TNJGODT0G5Z4TTKYMM5MT","GSON1112130270")</f>
        <v>#NAME?</v>
      </c>
      <c r="R1755" s="24" t="e">
        <f ca="1">[1]!BexGetData("DP_1","00O2TNJGODT0G5Z4TTKYMMBYD","GSON1112130270")</f>
        <v>#NAME?</v>
      </c>
      <c r="S1755" s="24" t="e">
        <f ca="1">[1]!BexGetData("DP_1","00O2TNJGODT0G5Z4TTKYMMI9X","GSON1112130270")</f>
        <v>#NAME?</v>
      </c>
      <c r="T1755" s="24" t="e">
        <f ca="1">[1]!BexGetData("DP_1","00O2TNJGODT0G5Z4TTKYMMOLH","GSON1112130270")</f>
        <v>#NAME?</v>
      </c>
      <c r="U1755" s="24" t="e">
        <f ca="1">[1]!BexGetData("DP_1","00O2TNJGODT0G5Z4TTKYMMUX1","GSON1112130270")</f>
        <v>#NAME?</v>
      </c>
      <c r="V1755" s="24" t="e">
        <f ca="1">[1]!BexGetData("DP_1","00O2TNJGODT0G5Z4TTKYMN18L","GSON1112130270")</f>
        <v>#NAME?</v>
      </c>
      <c r="W1755" s="24" t="e">
        <f ca="1">[1]!BexGetData("DP_1","00O2TNJGODT0G5Z4TTKYMN7K5","GSON1112130270")</f>
        <v>#NAME?</v>
      </c>
    </row>
    <row r="1756" spans="1:23" x14ac:dyDescent="0.2">
      <c r="A1756" s="36" t="s">
        <v>4573</v>
      </c>
      <c r="B1756" s="27" t="s">
        <v>4574</v>
      </c>
      <c r="C1756" s="23" t="e">
        <f ca="1">[1]!BexGetData("DP_1","003N8EMH8GTFRCSWKMPXRR8GU","GSON1112130271")</f>
        <v>#NAME?</v>
      </c>
      <c r="D1756" s="23" t="e">
        <f ca="1">[1]!BexGetData("DP_1","003N8EMH8GTFRCSWKMPXRRESE","GSON1112130271")</f>
        <v>#NAME?</v>
      </c>
      <c r="E1756" s="28" t="e">
        <f ca="1">[1]!BexGetData("DP_1","003N8EMH8GTFRCSWKMPXRRL3Y","GSON1112130271")</f>
        <v>#NAME?</v>
      </c>
      <c r="F1756" s="24" t="e">
        <f ca="1">[1]!BexGetData("DP_1","003N8EMH8GTFRCSWKMPXRRRFI","GSON1112130271")</f>
        <v>#NAME?</v>
      </c>
      <c r="G1756" s="24" t="e">
        <f ca="1">[1]!BexGetData("DP_1","003N8EMH8GTFRCSWKMPXRRXR2","GSON1112130271")</f>
        <v>#NAME?</v>
      </c>
      <c r="H1756" s="24" t="e">
        <f ca="1">[1]!BexGetData("DP_1","003N8EMH8GTFRCSWKMPXRS42M","GSON1112130271")</f>
        <v>#NAME?</v>
      </c>
      <c r="I1756" s="24" t="e">
        <f ca="1">[1]!BexGetData("DP_1","003N8EMH8GTFRCSWKMPXRSAE6","GSON1112130271")</f>
        <v>#NAME?</v>
      </c>
      <c r="J1756" s="24" t="e">
        <f ca="1">[1]!BexGetData("DP_1","003N8EMH8GTFRCSWKMPXRSGPQ","GSON1112130271")</f>
        <v>#NAME?</v>
      </c>
      <c r="K1756" s="28" t="e">
        <f ca="1">[1]!BexGetData("DP_1","003N8EMH8GTFRIVNUPY288VJH","GSON1112130271")</f>
        <v>#NAME?</v>
      </c>
      <c r="L1756" s="28" t="e">
        <f ca="1">[1]!BexGetData("DP_1","003N8EMH8GTFRIVNUPY2891V1","GSON1112130271")</f>
        <v>#NAME?</v>
      </c>
      <c r="M1756" s="28" t="e">
        <f ca="1">[1]!BexGetData("DP_1","003N8EMH8GTFRIVOG7KG9IQXA","GSON1112130271")</f>
        <v>#NAME?</v>
      </c>
      <c r="N1756" s="28" t="e">
        <f ca="1">[1]!BexGetData("DP_1","003N8EMH8GTFRIVOG7KG9IX8U","GSON1112130271")</f>
        <v>#NAME?</v>
      </c>
      <c r="O1756" s="28" t="e">
        <f ca="1">[1]!BexGetData("DP_1","003N8EMH8GTFRIVOG7KG9J3KE","GSON1112130271")</f>
        <v>#NAME?</v>
      </c>
      <c r="P1756" s="28" t="e">
        <f ca="1">[1]!BexGetData("DP_1","003N8EMH8GTFRIVOG7KG9J9VY","GSON1112130271")</f>
        <v>#NAME?</v>
      </c>
      <c r="Q1756" s="24" t="e">
        <f ca="1">[1]!BexGetData("DP_1","00O2TNJGODT0G5Z4TTKYMM5MT","GSON1112130271")</f>
        <v>#NAME?</v>
      </c>
      <c r="R1756" s="24" t="e">
        <f ca="1">[1]!BexGetData("DP_1","00O2TNJGODT0G5Z4TTKYMMBYD","GSON1112130271")</f>
        <v>#NAME?</v>
      </c>
      <c r="S1756" s="24" t="e">
        <f ca="1">[1]!BexGetData("DP_1","00O2TNJGODT0G5Z4TTKYMMI9X","GSON1112130271")</f>
        <v>#NAME?</v>
      </c>
      <c r="T1756" s="24" t="e">
        <f ca="1">[1]!BexGetData("DP_1","00O2TNJGODT0G5Z4TTKYMMOLH","GSON1112130271")</f>
        <v>#NAME?</v>
      </c>
      <c r="U1756" s="24" t="e">
        <f ca="1">[1]!BexGetData("DP_1","00O2TNJGODT0G5Z4TTKYMMUX1","GSON1112130271")</f>
        <v>#NAME?</v>
      </c>
      <c r="V1756" s="24" t="e">
        <f ca="1">[1]!BexGetData("DP_1","00O2TNJGODT0G5Z4TTKYMN18L","GSON1112130271")</f>
        <v>#NAME?</v>
      </c>
      <c r="W1756" s="24" t="e">
        <f ca="1">[1]!BexGetData("DP_1","00O2TNJGODT0G5Z4TTKYMN7K5","GSON1112130271")</f>
        <v>#NAME?</v>
      </c>
    </row>
    <row r="1757" spans="1:23" x14ac:dyDescent="0.2">
      <c r="A1757" s="36" t="s">
        <v>4575</v>
      </c>
      <c r="B1757" s="27" t="s">
        <v>4576</v>
      </c>
      <c r="C1757" s="23" t="e">
        <f ca="1">[1]!BexGetData("DP_1","003N8EMH8GTFRCSWKMPXRR8GU","GSON1112130273")</f>
        <v>#NAME?</v>
      </c>
      <c r="D1757" s="23" t="e">
        <f ca="1">[1]!BexGetData("DP_1","003N8EMH8GTFRCSWKMPXRRESE","GSON1112130273")</f>
        <v>#NAME?</v>
      </c>
      <c r="E1757" s="28" t="e">
        <f ca="1">[1]!BexGetData("DP_1","003N8EMH8GTFRCSWKMPXRRL3Y","GSON1112130273")</f>
        <v>#NAME?</v>
      </c>
      <c r="F1757" s="24" t="e">
        <f ca="1">[1]!BexGetData("DP_1","003N8EMH8GTFRCSWKMPXRRRFI","GSON1112130273")</f>
        <v>#NAME?</v>
      </c>
      <c r="G1757" s="24" t="e">
        <f ca="1">[1]!BexGetData("DP_1","003N8EMH8GTFRCSWKMPXRRXR2","GSON1112130273")</f>
        <v>#NAME?</v>
      </c>
      <c r="H1757" s="24" t="e">
        <f ca="1">[1]!BexGetData("DP_1","003N8EMH8GTFRCSWKMPXRS42M","GSON1112130273")</f>
        <v>#NAME?</v>
      </c>
      <c r="I1757" s="24" t="e">
        <f ca="1">[1]!BexGetData("DP_1","003N8EMH8GTFRCSWKMPXRSAE6","GSON1112130273")</f>
        <v>#NAME?</v>
      </c>
      <c r="J1757" s="24" t="e">
        <f ca="1">[1]!BexGetData("DP_1","003N8EMH8GTFRCSWKMPXRSGPQ","GSON1112130273")</f>
        <v>#NAME?</v>
      </c>
      <c r="K1757" s="28" t="e">
        <f ca="1">[1]!BexGetData("DP_1","003N8EMH8GTFRIVNUPY288VJH","GSON1112130273")</f>
        <v>#NAME?</v>
      </c>
      <c r="L1757" s="28" t="e">
        <f ca="1">[1]!BexGetData("DP_1","003N8EMH8GTFRIVNUPY2891V1","GSON1112130273")</f>
        <v>#NAME?</v>
      </c>
      <c r="M1757" s="28" t="e">
        <f ca="1">[1]!BexGetData("DP_1","003N8EMH8GTFRIVOG7KG9IQXA","GSON1112130273")</f>
        <v>#NAME?</v>
      </c>
      <c r="N1757" s="28" t="e">
        <f ca="1">[1]!BexGetData("DP_1","003N8EMH8GTFRIVOG7KG9IX8U","GSON1112130273")</f>
        <v>#NAME?</v>
      </c>
      <c r="O1757" s="28" t="e">
        <f ca="1">[1]!BexGetData("DP_1","003N8EMH8GTFRIVOG7KG9J3KE","GSON1112130273")</f>
        <v>#NAME?</v>
      </c>
      <c r="P1757" s="28" t="e">
        <f ca="1">[1]!BexGetData("DP_1","003N8EMH8GTFRIVOG7KG9J9VY","GSON1112130273")</f>
        <v>#NAME?</v>
      </c>
      <c r="Q1757" s="24" t="e">
        <f ca="1">[1]!BexGetData("DP_1","00O2TNJGODT0G5Z4TTKYMM5MT","GSON1112130273")</f>
        <v>#NAME?</v>
      </c>
      <c r="R1757" s="24" t="e">
        <f ca="1">[1]!BexGetData("DP_1","00O2TNJGODT0G5Z4TTKYMMBYD","GSON1112130273")</f>
        <v>#NAME?</v>
      </c>
      <c r="S1757" s="24" t="e">
        <f ca="1">[1]!BexGetData("DP_1","00O2TNJGODT0G5Z4TTKYMMI9X","GSON1112130273")</f>
        <v>#NAME?</v>
      </c>
      <c r="T1757" s="24" t="e">
        <f ca="1">[1]!BexGetData("DP_1","00O2TNJGODT0G5Z4TTKYMMOLH","GSON1112130273")</f>
        <v>#NAME?</v>
      </c>
      <c r="U1757" s="24" t="e">
        <f ca="1">[1]!BexGetData("DP_1","00O2TNJGODT0G5Z4TTKYMMUX1","GSON1112130273")</f>
        <v>#NAME?</v>
      </c>
      <c r="V1757" s="24" t="e">
        <f ca="1">[1]!BexGetData("DP_1","00O2TNJGODT0G5Z4TTKYMN18L","GSON1112130273")</f>
        <v>#NAME?</v>
      </c>
      <c r="W1757" s="24" t="e">
        <f ca="1">[1]!BexGetData("DP_1","00O2TNJGODT0G5Z4TTKYMN7K5","GSON1112130273")</f>
        <v>#NAME?</v>
      </c>
    </row>
    <row r="1758" spans="1:23" x14ac:dyDescent="0.2">
      <c r="A1758" s="36" t="s">
        <v>4577</v>
      </c>
      <c r="B1758" s="27" t="s">
        <v>4578</v>
      </c>
      <c r="C1758" s="23" t="e">
        <f ca="1">[1]!BexGetData("DP_1","003N8EMH8GTFRCSWKMPXRR8GU","GSON1112130275")</f>
        <v>#NAME?</v>
      </c>
      <c r="D1758" s="23" t="e">
        <f ca="1">[1]!BexGetData("DP_1","003N8EMH8GTFRCSWKMPXRRESE","GSON1112130275")</f>
        <v>#NAME?</v>
      </c>
      <c r="E1758" s="28" t="e">
        <f ca="1">[1]!BexGetData("DP_1","003N8EMH8GTFRCSWKMPXRRL3Y","GSON1112130275")</f>
        <v>#NAME?</v>
      </c>
      <c r="F1758" s="24" t="e">
        <f ca="1">[1]!BexGetData("DP_1","003N8EMH8GTFRCSWKMPXRRRFI","GSON1112130275")</f>
        <v>#NAME?</v>
      </c>
      <c r="G1758" s="24" t="e">
        <f ca="1">[1]!BexGetData("DP_1","003N8EMH8GTFRCSWKMPXRRXR2","GSON1112130275")</f>
        <v>#NAME?</v>
      </c>
      <c r="H1758" s="24" t="e">
        <f ca="1">[1]!BexGetData("DP_1","003N8EMH8GTFRCSWKMPXRS42M","GSON1112130275")</f>
        <v>#NAME?</v>
      </c>
      <c r="I1758" s="24" t="e">
        <f ca="1">[1]!BexGetData("DP_1","003N8EMH8GTFRCSWKMPXRSAE6","GSON1112130275")</f>
        <v>#NAME?</v>
      </c>
      <c r="J1758" s="24" t="e">
        <f ca="1">[1]!BexGetData("DP_1","003N8EMH8GTFRCSWKMPXRSGPQ","GSON1112130275")</f>
        <v>#NAME?</v>
      </c>
      <c r="K1758" s="28" t="e">
        <f ca="1">[1]!BexGetData("DP_1","003N8EMH8GTFRIVNUPY288VJH","GSON1112130275")</f>
        <v>#NAME?</v>
      </c>
      <c r="L1758" s="28" t="e">
        <f ca="1">[1]!BexGetData("DP_1","003N8EMH8GTFRIVNUPY2891V1","GSON1112130275")</f>
        <v>#NAME?</v>
      </c>
      <c r="M1758" s="28" t="e">
        <f ca="1">[1]!BexGetData("DP_1","003N8EMH8GTFRIVOG7KG9IQXA","GSON1112130275")</f>
        <v>#NAME?</v>
      </c>
      <c r="N1758" s="28" t="e">
        <f ca="1">[1]!BexGetData("DP_1","003N8EMH8GTFRIVOG7KG9IX8U","GSON1112130275")</f>
        <v>#NAME?</v>
      </c>
      <c r="O1758" s="28" t="e">
        <f ca="1">[1]!BexGetData("DP_1","003N8EMH8GTFRIVOG7KG9J3KE","GSON1112130275")</f>
        <v>#NAME?</v>
      </c>
      <c r="P1758" s="28" t="e">
        <f ca="1">[1]!BexGetData("DP_1","003N8EMH8GTFRIVOG7KG9J9VY","GSON1112130275")</f>
        <v>#NAME?</v>
      </c>
      <c r="Q1758" s="24" t="e">
        <f ca="1">[1]!BexGetData("DP_1","00O2TNJGODT0G5Z4TTKYMM5MT","GSON1112130275")</f>
        <v>#NAME?</v>
      </c>
      <c r="R1758" s="24" t="e">
        <f ca="1">[1]!BexGetData("DP_1","00O2TNJGODT0G5Z4TTKYMMBYD","GSON1112130275")</f>
        <v>#NAME?</v>
      </c>
      <c r="S1758" s="24" t="e">
        <f ca="1">[1]!BexGetData("DP_1","00O2TNJGODT0G5Z4TTKYMMI9X","GSON1112130275")</f>
        <v>#NAME?</v>
      </c>
      <c r="T1758" s="24" t="e">
        <f ca="1">[1]!BexGetData("DP_1","00O2TNJGODT0G5Z4TTKYMMOLH","GSON1112130275")</f>
        <v>#NAME?</v>
      </c>
      <c r="U1758" s="24" t="e">
        <f ca="1">[1]!BexGetData("DP_1","00O2TNJGODT0G5Z4TTKYMMUX1","GSON1112130275")</f>
        <v>#NAME?</v>
      </c>
      <c r="V1758" s="24" t="e">
        <f ca="1">[1]!BexGetData("DP_1","00O2TNJGODT0G5Z4TTKYMN18L","GSON1112130275")</f>
        <v>#NAME?</v>
      </c>
      <c r="W1758" s="24" t="e">
        <f ca="1">[1]!BexGetData("DP_1","00O2TNJGODT0G5Z4TTKYMN7K5","GSON1112130275")</f>
        <v>#NAME?</v>
      </c>
    </row>
    <row r="1759" spans="1:23" x14ac:dyDescent="0.2">
      <c r="A1759" s="36" t="s">
        <v>4579</v>
      </c>
      <c r="B1759" s="27" t="s">
        <v>4580</v>
      </c>
      <c r="C1759" s="23" t="e">
        <f ca="1">[1]!BexGetData("DP_1","003N8EMH8GTFRCSWKMPXRR8GU","GSON1112130280")</f>
        <v>#NAME?</v>
      </c>
      <c r="D1759" s="23" t="e">
        <f ca="1">[1]!BexGetData("DP_1","003N8EMH8GTFRCSWKMPXRRESE","GSON1112130280")</f>
        <v>#NAME?</v>
      </c>
      <c r="E1759" s="23" t="e">
        <f ca="1">[1]!BexGetData("DP_1","003N8EMH8GTFRCSWKMPXRRL3Y","GSON1112130280")</f>
        <v>#NAME?</v>
      </c>
      <c r="F1759" s="24" t="e">
        <f ca="1">[1]!BexGetData("DP_1","003N8EMH8GTFRCSWKMPXRRRFI","GSON1112130280")</f>
        <v>#NAME?</v>
      </c>
      <c r="G1759" s="24" t="e">
        <f ca="1">[1]!BexGetData("DP_1","003N8EMH8GTFRCSWKMPXRRXR2","GSON1112130280")</f>
        <v>#NAME?</v>
      </c>
      <c r="H1759" s="24" t="e">
        <f ca="1">[1]!BexGetData("DP_1","003N8EMH8GTFRCSWKMPXRS42M","GSON1112130280")</f>
        <v>#NAME?</v>
      </c>
      <c r="I1759" s="24" t="e">
        <f ca="1">[1]!BexGetData("DP_1","003N8EMH8GTFRCSWKMPXRSAE6","GSON1112130280")</f>
        <v>#NAME?</v>
      </c>
      <c r="J1759" s="24" t="e">
        <f ca="1">[1]!BexGetData("DP_1","003N8EMH8GTFRCSWKMPXRSGPQ","GSON1112130280")</f>
        <v>#NAME?</v>
      </c>
      <c r="K1759" s="23" t="e">
        <f ca="1">[1]!BexGetData("DP_1","003N8EMH8GTFRIVNUPY288VJH","GSON1112130280")</f>
        <v>#NAME?</v>
      </c>
      <c r="L1759" s="23" t="e">
        <f ca="1">[1]!BexGetData("DP_1","003N8EMH8GTFRIVNUPY2891V1","GSON1112130280")</f>
        <v>#NAME?</v>
      </c>
      <c r="M1759" s="28" t="e">
        <f ca="1">[1]!BexGetData("DP_1","003N8EMH8GTFRIVOG7KG9IQXA","GSON1112130280")</f>
        <v>#NAME?</v>
      </c>
      <c r="N1759" s="23" t="e">
        <f ca="1">[1]!BexGetData("DP_1","003N8EMH8GTFRIVOG7KG9IX8U","GSON1112130280")</f>
        <v>#NAME?</v>
      </c>
      <c r="O1759" s="28" t="e">
        <f ca="1">[1]!BexGetData("DP_1","003N8EMH8GTFRIVOG7KG9J3KE","GSON1112130280")</f>
        <v>#NAME?</v>
      </c>
      <c r="P1759" s="23" t="e">
        <f ca="1">[1]!BexGetData("DP_1","003N8EMH8GTFRIVOG7KG9J9VY","GSON1112130280")</f>
        <v>#NAME?</v>
      </c>
      <c r="Q1759" s="24" t="e">
        <f ca="1">[1]!BexGetData("DP_1","00O2TNJGODT0G5Z4TTKYMM5MT","GSON1112130280")</f>
        <v>#NAME?</v>
      </c>
      <c r="R1759" s="24" t="e">
        <f ca="1">[1]!BexGetData("DP_1","00O2TNJGODT0G5Z4TTKYMMBYD","GSON1112130280")</f>
        <v>#NAME?</v>
      </c>
      <c r="S1759" s="24" t="e">
        <f ca="1">[1]!BexGetData("DP_1","00O2TNJGODT0G5Z4TTKYMMI9X","GSON1112130280")</f>
        <v>#NAME?</v>
      </c>
      <c r="T1759" s="24" t="e">
        <f ca="1">[1]!BexGetData("DP_1","00O2TNJGODT0G5Z4TTKYMMOLH","GSON1112130280")</f>
        <v>#NAME?</v>
      </c>
      <c r="U1759" s="24" t="e">
        <f ca="1">[1]!BexGetData("DP_1","00O2TNJGODT0G5Z4TTKYMMUX1","GSON1112130280")</f>
        <v>#NAME?</v>
      </c>
      <c r="V1759" s="24" t="e">
        <f ca="1">[1]!BexGetData("DP_1","00O2TNJGODT0G5Z4TTKYMN18L","GSON1112130280")</f>
        <v>#NAME?</v>
      </c>
      <c r="W1759" s="24" t="e">
        <f ca="1">[1]!BexGetData("DP_1","00O2TNJGODT0G5Z4TTKYMN7K5","GSON1112130280")</f>
        <v>#NAME?</v>
      </c>
    </row>
    <row r="1760" spans="1:23" x14ac:dyDescent="0.2">
      <c r="A1760" s="36" t="s">
        <v>4581</v>
      </c>
      <c r="B1760" s="27" t="s">
        <v>4582</v>
      </c>
      <c r="C1760" s="23" t="e">
        <f ca="1">[1]!BexGetData("DP_1","003N8EMH8GTFRCSWKMPXRR8GU","GSON1112130281")</f>
        <v>#NAME?</v>
      </c>
      <c r="D1760" s="23" t="e">
        <f ca="1">[1]!BexGetData("DP_1","003N8EMH8GTFRCSWKMPXRRESE","GSON1112130281")</f>
        <v>#NAME?</v>
      </c>
      <c r="E1760" s="28" t="e">
        <f ca="1">[1]!BexGetData("DP_1","003N8EMH8GTFRCSWKMPXRRL3Y","GSON1112130281")</f>
        <v>#NAME?</v>
      </c>
      <c r="F1760" s="24" t="e">
        <f ca="1">[1]!BexGetData("DP_1","003N8EMH8GTFRCSWKMPXRRRFI","GSON1112130281")</f>
        <v>#NAME?</v>
      </c>
      <c r="G1760" s="24" t="e">
        <f ca="1">[1]!BexGetData("DP_1","003N8EMH8GTFRCSWKMPXRRXR2","GSON1112130281")</f>
        <v>#NAME?</v>
      </c>
      <c r="H1760" s="24" t="e">
        <f ca="1">[1]!BexGetData("DP_1","003N8EMH8GTFRCSWKMPXRS42M","GSON1112130281")</f>
        <v>#NAME?</v>
      </c>
      <c r="I1760" s="24" t="e">
        <f ca="1">[1]!BexGetData("DP_1","003N8EMH8GTFRCSWKMPXRSAE6","GSON1112130281")</f>
        <v>#NAME?</v>
      </c>
      <c r="J1760" s="24" t="e">
        <f ca="1">[1]!BexGetData("DP_1","003N8EMH8GTFRCSWKMPXRSGPQ","GSON1112130281")</f>
        <v>#NAME?</v>
      </c>
      <c r="K1760" s="28" t="e">
        <f ca="1">[1]!BexGetData("DP_1","003N8EMH8GTFRIVNUPY288VJH","GSON1112130281")</f>
        <v>#NAME?</v>
      </c>
      <c r="L1760" s="28" t="e">
        <f ca="1">[1]!BexGetData("DP_1","003N8EMH8GTFRIVNUPY2891V1","GSON1112130281")</f>
        <v>#NAME?</v>
      </c>
      <c r="M1760" s="28" t="e">
        <f ca="1">[1]!BexGetData("DP_1","003N8EMH8GTFRIVOG7KG9IQXA","GSON1112130281")</f>
        <v>#NAME?</v>
      </c>
      <c r="N1760" s="28" t="e">
        <f ca="1">[1]!BexGetData("DP_1","003N8EMH8GTFRIVOG7KG9IX8U","GSON1112130281")</f>
        <v>#NAME?</v>
      </c>
      <c r="O1760" s="28" t="e">
        <f ca="1">[1]!BexGetData("DP_1","003N8EMH8GTFRIVOG7KG9J3KE","GSON1112130281")</f>
        <v>#NAME?</v>
      </c>
      <c r="P1760" s="28" t="e">
        <f ca="1">[1]!BexGetData("DP_1","003N8EMH8GTFRIVOG7KG9J9VY","GSON1112130281")</f>
        <v>#NAME?</v>
      </c>
      <c r="Q1760" s="24" t="e">
        <f ca="1">[1]!BexGetData("DP_1","00O2TNJGODT0G5Z4TTKYMM5MT","GSON1112130281")</f>
        <v>#NAME?</v>
      </c>
      <c r="R1760" s="24" t="e">
        <f ca="1">[1]!BexGetData("DP_1","00O2TNJGODT0G5Z4TTKYMMBYD","GSON1112130281")</f>
        <v>#NAME?</v>
      </c>
      <c r="S1760" s="24" t="e">
        <f ca="1">[1]!BexGetData("DP_1","00O2TNJGODT0G5Z4TTKYMMI9X","GSON1112130281")</f>
        <v>#NAME?</v>
      </c>
      <c r="T1760" s="24" t="e">
        <f ca="1">[1]!BexGetData("DP_1","00O2TNJGODT0G5Z4TTKYMMOLH","GSON1112130281")</f>
        <v>#NAME?</v>
      </c>
      <c r="U1760" s="24" t="e">
        <f ca="1">[1]!BexGetData("DP_1","00O2TNJGODT0G5Z4TTKYMMUX1","GSON1112130281")</f>
        <v>#NAME?</v>
      </c>
      <c r="V1760" s="24" t="e">
        <f ca="1">[1]!BexGetData("DP_1","00O2TNJGODT0G5Z4TTKYMN18L","GSON1112130281")</f>
        <v>#NAME?</v>
      </c>
      <c r="W1760" s="24" t="e">
        <f ca="1">[1]!BexGetData("DP_1","00O2TNJGODT0G5Z4TTKYMN7K5","GSON1112130281")</f>
        <v>#NAME?</v>
      </c>
    </row>
    <row r="1761" spans="1:23" x14ac:dyDescent="0.2">
      <c r="A1761" s="36" t="s">
        <v>4583</v>
      </c>
      <c r="B1761" s="27" t="s">
        <v>4584</v>
      </c>
      <c r="C1761" s="23" t="e">
        <f ca="1">[1]!BexGetData("DP_1","003N8EMH8GTFRCSWKMPXRR8GU","GSON1112130283")</f>
        <v>#NAME?</v>
      </c>
      <c r="D1761" s="23" t="e">
        <f ca="1">[1]!BexGetData("DP_1","003N8EMH8GTFRCSWKMPXRRESE","GSON1112130283")</f>
        <v>#NAME?</v>
      </c>
      <c r="E1761" s="28" t="e">
        <f ca="1">[1]!BexGetData("DP_1","003N8EMH8GTFRCSWKMPXRRL3Y","GSON1112130283")</f>
        <v>#NAME?</v>
      </c>
      <c r="F1761" s="24" t="e">
        <f ca="1">[1]!BexGetData("DP_1","003N8EMH8GTFRCSWKMPXRRRFI","GSON1112130283")</f>
        <v>#NAME?</v>
      </c>
      <c r="G1761" s="24" t="e">
        <f ca="1">[1]!BexGetData("DP_1","003N8EMH8GTFRCSWKMPXRRXR2","GSON1112130283")</f>
        <v>#NAME?</v>
      </c>
      <c r="H1761" s="24" t="e">
        <f ca="1">[1]!BexGetData("DP_1","003N8EMH8GTFRCSWKMPXRS42M","GSON1112130283")</f>
        <v>#NAME?</v>
      </c>
      <c r="I1761" s="24" t="e">
        <f ca="1">[1]!BexGetData("DP_1","003N8EMH8GTFRCSWKMPXRSAE6","GSON1112130283")</f>
        <v>#NAME?</v>
      </c>
      <c r="J1761" s="24" t="e">
        <f ca="1">[1]!BexGetData("DP_1","003N8EMH8GTFRCSWKMPXRSGPQ","GSON1112130283")</f>
        <v>#NAME?</v>
      </c>
      <c r="K1761" s="28" t="e">
        <f ca="1">[1]!BexGetData("DP_1","003N8EMH8GTFRIVNUPY288VJH","GSON1112130283")</f>
        <v>#NAME?</v>
      </c>
      <c r="L1761" s="28" t="e">
        <f ca="1">[1]!BexGetData("DP_1","003N8EMH8GTFRIVNUPY2891V1","GSON1112130283")</f>
        <v>#NAME?</v>
      </c>
      <c r="M1761" s="28" t="e">
        <f ca="1">[1]!BexGetData("DP_1","003N8EMH8GTFRIVOG7KG9IQXA","GSON1112130283")</f>
        <v>#NAME?</v>
      </c>
      <c r="N1761" s="28" t="e">
        <f ca="1">[1]!BexGetData("DP_1","003N8EMH8GTFRIVOG7KG9IX8U","GSON1112130283")</f>
        <v>#NAME?</v>
      </c>
      <c r="O1761" s="28" t="e">
        <f ca="1">[1]!BexGetData("DP_1","003N8EMH8GTFRIVOG7KG9J3KE","GSON1112130283")</f>
        <v>#NAME?</v>
      </c>
      <c r="P1761" s="28" t="e">
        <f ca="1">[1]!BexGetData("DP_1","003N8EMH8GTFRIVOG7KG9J9VY","GSON1112130283")</f>
        <v>#NAME?</v>
      </c>
      <c r="Q1761" s="24" t="e">
        <f ca="1">[1]!BexGetData("DP_1","00O2TNJGODT0G5Z4TTKYMM5MT","GSON1112130283")</f>
        <v>#NAME?</v>
      </c>
      <c r="R1761" s="24" t="e">
        <f ca="1">[1]!BexGetData("DP_1","00O2TNJGODT0G5Z4TTKYMMBYD","GSON1112130283")</f>
        <v>#NAME?</v>
      </c>
      <c r="S1761" s="24" t="e">
        <f ca="1">[1]!BexGetData("DP_1","00O2TNJGODT0G5Z4TTKYMMI9X","GSON1112130283")</f>
        <v>#NAME?</v>
      </c>
      <c r="T1761" s="24" t="e">
        <f ca="1">[1]!BexGetData("DP_1","00O2TNJGODT0G5Z4TTKYMMOLH","GSON1112130283")</f>
        <v>#NAME?</v>
      </c>
      <c r="U1761" s="24" t="e">
        <f ca="1">[1]!BexGetData("DP_1","00O2TNJGODT0G5Z4TTKYMMUX1","GSON1112130283")</f>
        <v>#NAME?</v>
      </c>
      <c r="V1761" s="24" t="e">
        <f ca="1">[1]!BexGetData("DP_1","00O2TNJGODT0G5Z4TTKYMN18L","GSON1112130283")</f>
        <v>#NAME?</v>
      </c>
      <c r="W1761" s="24" t="e">
        <f ca="1">[1]!BexGetData("DP_1","00O2TNJGODT0G5Z4TTKYMN7K5","GSON1112130283")</f>
        <v>#NAME?</v>
      </c>
    </row>
    <row r="1762" spans="1:23" x14ac:dyDescent="0.2">
      <c r="A1762" s="36" t="s">
        <v>4585</v>
      </c>
      <c r="B1762" s="27" t="s">
        <v>4586</v>
      </c>
      <c r="C1762" s="23" t="e">
        <f ca="1">[1]!BexGetData("DP_1","003N8EMH8GTFRCSWKMPXRR8GU","GSON1112130285")</f>
        <v>#NAME?</v>
      </c>
      <c r="D1762" s="23" t="e">
        <f ca="1">[1]!BexGetData("DP_1","003N8EMH8GTFRCSWKMPXRRESE","GSON1112130285")</f>
        <v>#NAME?</v>
      </c>
      <c r="E1762" s="28" t="e">
        <f ca="1">[1]!BexGetData("DP_1","003N8EMH8GTFRCSWKMPXRRL3Y","GSON1112130285")</f>
        <v>#NAME?</v>
      </c>
      <c r="F1762" s="24" t="e">
        <f ca="1">[1]!BexGetData("DP_1","003N8EMH8GTFRCSWKMPXRRRFI","GSON1112130285")</f>
        <v>#NAME?</v>
      </c>
      <c r="G1762" s="24" t="e">
        <f ca="1">[1]!BexGetData("DP_1","003N8EMH8GTFRCSWKMPXRRXR2","GSON1112130285")</f>
        <v>#NAME?</v>
      </c>
      <c r="H1762" s="24" t="e">
        <f ca="1">[1]!BexGetData("DP_1","003N8EMH8GTFRCSWKMPXRS42M","GSON1112130285")</f>
        <v>#NAME?</v>
      </c>
      <c r="I1762" s="24" t="e">
        <f ca="1">[1]!BexGetData("DP_1","003N8EMH8GTFRCSWKMPXRSAE6","GSON1112130285")</f>
        <v>#NAME?</v>
      </c>
      <c r="J1762" s="24" t="e">
        <f ca="1">[1]!BexGetData("DP_1","003N8EMH8GTFRCSWKMPXRSGPQ","GSON1112130285")</f>
        <v>#NAME?</v>
      </c>
      <c r="K1762" s="28" t="e">
        <f ca="1">[1]!BexGetData("DP_1","003N8EMH8GTFRIVNUPY288VJH","GSON1112130285")</f>
        <v>#NAME?</v>
      </c>
      <c r="L1762" s="28" t="e">
        <f ca="1">[1]!BexGetData("DP_1","003N8EMH8GTFRIVNUPY2891V1","GSON1112130285")</f>
        <v>#NAME?</v>
      </c>
      <c r="M1762" s="28" t="e">
        <f ca="1">[1]!BexGetData("DP_1","003N8EMH8GTFRIVOG7KG9IQXA","GSON1112130285")</f>
        <v>#NAME?</v>
      </c>
      <c r="N1762" s="28" t="e">
        <f ca="1">[1]!BexGetData("DP_1","003N8EMH8GTFRIVOG7KG9IX8U","GSON1112130285")</f>
        <v>#NAME?</v>
      </c>
      <c r="O1762" s="28" t="e">
        <f ca="1">[1]!BexGetData("DP_1","003N8EMH8GTFRIVOG7KG9J3KE","GSON1112130285")</f>
        <v>#NAME?</v>
      </c>
      <c r="P1762" s="28" t="e">
        <f ca="1">[1]!BexGetData("DP_1","003N8EMH8GTFRIVOG7KG9J9VY","GSON1112130285")</f>
        <v>#NAME?</v>
      </c>
      <c r="Q1762" s="24" t="e">
        <f ca="1">[1]!BexGetData("DP_1","00O2TNJGODT0G5Z4TTKYMM5MT","GSON1112130285")</f>
        <v>#NAME?</v>
      </c>
      <c r="R1762" s="24" t="e">
        <f ca="1">[1]!BexGetData("DP_1","00O2TNJGODT0G5Z4TTKYMMBYD","GSON1112130285")</f>
        <v>#NAME?</v>
      </c>
      <c r="S1762" s="24" t="e">
        <f ca="1">[1]!BexGetData("DP_1","00O2TNJGODT0G5Z4TTKYMMI9X","GSON1112130285")</f>
        <v>#NAME?</v>
      </c>
      <c r="T1762" s="24" t="e">
        <f ca="1">[1]!BexGetData("DP_1","00O2TNJGODT0G5Z4TTKYMMOLH","GSON1112130285")</f>
        <v>#NAME?</v>
      </c>
      <c r="U1762" s="24" t="e">
        <f ca="1">[1]!BexGetData("DP_1","00O2TNJGODT0G5Z4TTKYMMUX1","GSON1112130285")</f>
        <v>#NAME?</v>
      </c>
      <c r="V1762" s="24" t="e">
        <f ca="1">[1]!BexGetData("DP_1","00O2TNJGODT0G5Z4TTKYMN18L","GSON1112130285")</f>
        <v>#NAME?</v>
      </c>
      <c r="W1762" s="24" t="e">
        <f ca="1">[1]!BexGetData("DP_1","00O2TNJGODT0G5Z4TTKYMN7K5","GSON1112130285")</f>
        <v>#NAME?</v>
      </c>
    </row>
    <row r="1763" spans="1:23" x14ac:dyDescent="0.2">
      <c r="A1763" s="36" t="s">
        <v>4587</v>
      </c>
      <c r="B1763" s="27" t="s">
        <v>4588</v>
      </c>
      <c r="C1763" s="23" t="e">
        <f ca="1">[1]!BexGetData("DP_1","003N8EMH8GTFRCSWKMPXRR8GU","GSON1112130290")</f>
        <v>#NAME?</v>
      </c>
      <c r="D1763" s="23" t="e">
        <f ca="1">[1]!BexGetData("DP_1","003N8EMH8GTFRCSWKMPXRRESE","GSON1112130290")</f>
        <v>#NAME?</v>
      </c>
      <c r="E1763" s="23" t="e">
        <f ca="1">[1]!BexGetData("DP_1","003N8EMH8GTFRCSWKMPXRRL3Y","GSON1112130290")</f>
        <v>#NAME?</v>
      </c>
      <c r="F1763" s="24" t="e">
        <f ca="1">[1]!BexGetData("DP_1","003N8EMH8GTFRCSWKMPXRRRFI","GSON1112130290")</f>
        <v>#NAME?</v>
      </c>
      <c r="G1763" s="24" t="e">
        <f ca="1">[1]!BexGetData("DP_1","003N8EMH8GTFRCSWKMPXRRXR2","GSON1112130290")</f>
        <v>#NAME?</v>
      </c>
      <c r="H1763" s="24" t="e">
        <f ca="1">[1]!BexGetData("DP_1","003N8EMH8GTFRCSWKMPXRS42M","GSON1112130290")</f>
        <v>#NAME?</v>
      </c>
      <c r="I1763" s="24" t="e">
        <f ca="1">[1]!BexGetData("DP_1","003N8EMH8GTFRCSWKMPXRSAE6","GSON1112130290")</f>
        <v>#NAME?</v>
      </c>
      <c r="J1763" s="24" t="e">
        <f ca="1">[1]!BexGetData("DP_1","003N8EMH8GTFRCSWKMPXRSGPQ","GSON1112130290")</f>
        <v>#NAME?</v>
      </c>
      <c r="K1763" s="23" t="e">
        <f ca="1">[1]!BexGetData("DP_1","003N8EMH8GTFRIVNUPY288VJH","GSON1112130290")</f>
        <v>#NAME?</v>
      </c>
      <c r="L1763" s="23" t="e">
        <f ca="1">[1]!BexGetData("DP_1","003N8EMH8GTFRIVNUPY2891V1","GSON1112130290")</f>
        <v>#NAME?</v>
      </c>
      <c r="M1763" s="28" t="e">
        <f ca="1">[1]!BexGetData("DP_1","003N8EMH8GTFRIVOG7KG9IQXA","GSON1112130290")</f>
        <v>#NAME?</v>
      </c>
      <c r="N1763" s="23" t="e">
        <f ca="1">[1]!BexGetData("DP_1","003N8EMH8GTFRIVOG7KG9IX8U","GSON1112130290")</f>
        <v>#NAME?</v>
      </c>
      <c r="O1763" s="28" t="e">
        <f ca="1">[1]!BexGetData("DP_1","003N8EMH8GTFRIVOG7KG9J3KE","GSON1112130290")</f>
        <v>#NAME?</v>
      </c>
      <c r="P1763" s="23" t="e">
        <f ca="1">[1]!BexGetData("DP_1","003N8EMH8GTFRIVOG7KG9J9VY","GSON1112130290")</f>
        <v>#NAME?</v>
      </c>
      <c r="Q1763" s="24" t="e">
        <f ca="1">[1]!BexGetData("DP_1","00O2TNJGODT0G5Z4TTKYMM5MT","GSON1112130290")</f>
        <v>#NAME?</v>
      </c>
      <c r="R1763" s="24" t="e">
        <f ca="1">[1]!BexGetData("DP_1","00O2TNJGODT0G5Z4TTKYMMBYD","GSON1112130290")</f>
        <v>#NAME?</v>
      </c>
      <c r="S1763" s="24" t="e">
        <f ca="1">[1]!BexGetData("DP_1","00O2TNJGODT0G5Z4TTKYMMI9X","GSON1112130290")</f>
        <v>#NAME?</v>
      </c>
      <c r="T1763" s="24" t="e">
        <f ca="1">[1]!BexGetData("DP_1","00O2TNJGODT0G5Z4TTKYMMOLH","GSON1112130290")</f>
        <v>#NAME?</v>
      </c>
      <c r="U1763" s="24" t="e">
        <f ca="1">[1]!BexGetData("DP_1","00O2TNJGODT0G5Z4TTKYMMUX1","GSON1112130290")</f>
        <v>#NAME?</v>
      </c>
      <c r="V1763" s="24" t="e">
        <f ca="1">[1]!BexGetData("DP_1","00O2TNJGODT0G5Z4TTKYMN18L","GSON1112130290")</f>
        <v>#NAME?</v>
      </c>
      <c r="W1763" s="24" t="e">
        <f ca="1">[1]!BexGetData("DP_1","00O2TNJGODT0G5Z4TTKYMN7K5","GSON1112130290")</f>
        <v>#NAME?</v>
      </c>
    </row>
    <row r="1764" spans="1:23" x14ac:dyDescent="0.2">
      <c r="A1764" s="36" t="s">
        <v>4589</v>
      </c>
      <c r="B1764" s="27" t="s">
        <v>4590</v>
      </c>
      <c r="C1764" s="23" t="e">
        <f ca="1">[1]!BexGetData("DP_1","003N8EMH8GTFRCSWKMPXRR8GU","GSON1112130291")</f>
        <v>#NAME?</v>
      </c>
      <c r="D1764" s="23" t="e">
        <f ca="1">[1]!BexGetData("DP_1","003N8EMH8GTFRCSWKMPXRRESE","GSON1112130291")</f>
        <v>#NAME?</v>
      </c>
      <c r="E1764" s="28" t="e">
        <f ca="1">[1]!BexGetData("DP_1","003N8EMH8GTFRCSWKMPXRRL3Y","GSON1112130291")</f>
        <v>#NAME?</v>
      </c>
      <c r="F1764" s="24" t="e">
        <f ca="1">[1]!BexGetData("DP_1","003N8EMH8GTFRCSWKMPXRRRFI","GSON1112130291")</f>
        <v>#NAME?</v>
      </c>
      <c r="G1764" s="24" t="e">
        <f ca="1">[1]!BexGetData("DP_1","003N8EMH8GTFRCSWKMPXRRXR2","GSON1112130291")</f>
        <v>#NAME?</v>
      </c>
      <c r="H1764" s="24" t="e">
        <f ca="1">[1]!BexGetData("DP_1","003N8EMH8GTFRCSWKMPXRS42M","GSON1112130291")</f>
        <v>#NAME?</v>
      </c>
      <c r="I1764" s="24" t="e">
        <f ca="1">[1]!BexGetData("DP_1","003N8EMH8GTFRCSWKMPXRSAE6","GSON1112130291")</f>
        <v>#NAME?</v>
      </c>
      <c r="J1764" s="24" t="e">
        <f ca="1">[1]!BexGetData("DP_1","003N8EMH8GTFRCSWKMPXRSGPQ","GSON1112130291")</f>
        <v>#NAME?</v>
      </c>
      <c r="K1764" s="28" t="e">
        <f ca="1">[1]!BexGetData("DP_1","003N8EMH8GTFRIVNUPY288VJH","GSON1112130291")</f>
        <v>#NAME?</v>
      </c>
      <c r="L1764" s="28" t="e">
        <f ca="1">[1]!BexGetData("DP_1","003N8EMH8GTFRIVNUPY2891V1","GSON1112130291")</f>
        <v>#NAME?</v>
      </c>
      <c r="M1764" s="28" t="e">
        <f ca="1">[1]!BexGetData("DP_1","003N8EMH8GTFRIVOG7KG9IQXA","GSON1112130291")</f>
        <v>#NAME?</v>
      </c>
      <c r="N1764" s="28" t="e">
        <f ca="1">[1]!BexGetData("DP_1","003N8EMH8GTFRIVOG7KG9IX8U","GSON1112130291")</f>
        <v>#NAME?</v>
      </c>
      <c r="O1764" s="28" t="e">
        <f ca="1">[1]!BexGetData("DP_1","003N8EMH8GTFRIVOG7KG9J3KE","GSON1112130291")</f>
        <v>#NAME?</v>
      </c>
      <c r="P1764" s="28" t="e">
        <f ca="1">[1]!BexGetData("DP_1","003N8EMH8GTFRIVOG7KG9J9VY","GSON1112130291")</f>
        <v>#NAME?</v>
      </c>
      <c r="Q1764" s="24" t="e">
        <f ca="1">[1]!BexGetData("DP_1","00O2TNJGODT0G5Z4TTKYMM5MT","GSON1112130291")</f>
        <v>#NAME?</v>
      </c>
      <c r="R1764" s="24" t="e">
        <f ca="1">[1]!BexGetData("DP_1","00O2TNJGODT0G5Z4TTKYMMBYD","GSON1112130291")</f>
        <v>#NAME?</v>
      </c>
      <c r="S1764" s="24" t="e">
        <f ca="1">[1]!BexGetData("DP_1","00O2TNJGODT0G5Z4TTKYMMI9X","GSON1112130291")</f>
        <v>#NAME?</v>
      </c>
      <c r="T1764" s="24" t="e">
        <f ca="1">[1]!BexGetData("DP_1","00O2TNJGODT0G5Z4TTKYMMOLH","GSON1112130291")</f>
        <v>#NAME?</v>
      </c>
      <c r="U1764" s="24" t="e">
        <f ca="1">[1]!BexGetData("DP_1","00O2TNJGODT0G5Z4TTKYMMUX1","GSON1112130291")</f>
        <v>#NAME?</v>
      </c>
      <c r="V1764" s="24" t="e">
        <f ca="1">[1]!BexGetData("DP_1","00O2TNJGODT0G5Z4TTKYMN18L","GSON1112130291")</f>
        <v>#NAME?</v>
      </c>
      <c r="W1764" s="24" t="e">
        <f ca="1">[1]!BexGetData("DP_1","00O2TNJGODT0G5Z4TTKYMN7K5","GSON1112130291")</f>
        <v>#NAME?</v>
      </c>
    </row>
    <row r="1765" spans="1:23" x14ac:dyDescent="0.2">
      <c r="A1765" s="36" t="s">
        <v>4591</v>
      </c>
      <c r="B1765" s="27" t="s">
        <v>4592</v>
      </c>
      <c r="C1765" s="23" t="e">
        <f ca="1">[1]!BexGetData("DP_1","003N8EMH8GTFRCSWKMPXRR8GU","GSON1112130293")</f>
        <v>#NAME?</v>
      </c>
      <c r="D1765" s="23" t="e">
        <f ca="1">[1]!BexGetData("DP_1","003N8EMH8GTFRCSWKMPXRRESE","GSON1112130293")</f>
        <v>#NAME?</v>
      </c>
      <c r="E1765" s="23" t="e">
        <f ca="1">[1]!BexGetData("DP_1","003N8EMH8GTFRCSWKMPXRRL3Y","GSON1112130293")</f>
        <v>#NAME?</v>
      </c>
      <c r="F1765" s="24" t="e">
        <f ca="1">[1]!BexGetData("DP_1","003N8EMH8GTFRCSWKMPXRRRFI","GSON1112130293")</f>
        <v>#NAME?</v>
      </c>
      <c r="G1765" s="24" t="e">
        <f ca="1">[1]!BexGetData("DP_1","003N8EMH8GTFRCSWKMPXRRXR2","GSON1112130293")</f>
        <v>#NAME?</v>
      </c>
      <c r="H1765" s="24" t="e">
        <f ca="1">[1]!BexGetData("DP_1","003N8EMH8GTFRCSWKMPXRS42M","GSON1112130293")</f>
        <v>#NAME?</v>
      </c>
      <c r="I1765" s="24" t="e">
        <f ca="1">[1]!BexGetData("DP_1","003N8EMH8GTFRCSWKMPXRSAE6","GSON1112130293")</f>
        <v>#NAME?</v>
      </c>
      <c r="J1765" s="24" t="e">
        <f ca="1">[1]!BexGetData("DP_1","003N8EMH8GTFRCSWKMPXRSGPQ","GSON1112130293")</f>
        <v>#NAME?</v>
      </c>
      <c r="K1765" s="23" t="e">
        <f ca="1">[1]!BexGetData("DP_1","003N8EMH8GTFRIVNUPY288VJH","GSON1112130293")</f>
        <v>#NAME?</v>
      </c>
      <c r="L1765" s="23" t="e">
        <f ca="1">[1]!BexGetData("DP_1","003N8EMH8GTFRIVNUPY2891V1","GSON1112130293")</f>
        <v>#NAME?</v>
      </c>
      <c r="M1765" s="23" t="e">
        <f ca="1">[1]!BexGetData("DP_1","003N8EMH8GTFRIVOG7KG9IQXA","GSON1112130293")</f>
        <v>#NAME?</v>
      </c>
      <c r="N1765" s="28" t="e">
        <f ca="1">[1]!BexGetData("DP_1","003N8EMH8GTFRIVOG7KG9IX8U","GSON1112130293")</f>
        <v>#NAME?</v>
      </c>
      <c r="O1765" s="23" t="e">
        <f ca="1">[1]!BexGetData("DP_1","003N8EMH8GTFRIVOG7KG9J3KE","GSON1112130293")</f>
        <v>#NAME?</v>
      </c>
      <c r="P1765" s="28" t="e">
        <f ca="1">[1]!BexGetData("DP_1","003N8EMH8GTFRIVOG7KG9J9VY","GSON1112130293")</f>
        <v>#NAME?</v>
      </c>
      <c r="Q1765" s="24" t="e">
        <f ca="1">[1]!BexGetData("DP_1","00O2TNJGODT0G5Z4TTKYMM5MT","GSON1112130293")</f>
        <v>#NAME?</v>
      </c>
      <c r="R1765" s="24" t="e">
        <f ca="1">[1]!BexGetData("DP_1","00O2TNJGODT0G5Z4TTKYMMBYD","GSON1112130293")</f>
        <v>#NAME?</v>
      </c>
      <c r="S1765" s="24" t="e">
        <f ca="1">[1]!BexGetData("DP_1","00O2TNJGODT0G5Z4TTKYMMI9X","GSON1112130293")</f>
        <v>#NAME?</v>
      </c>
      <c r="T1765" s="24" t="e">
        <f ca="1">[1]!BexGetData("DP_1","00O2TNJGODT0G5Z4TTKYMMOLH","GSON1112130293")</f>
        <v>#NAME?</v>
      </c>
      <c r="U1765" s="24" t="e">
        <f ca="1">[1]!BexGetData("DP_1","00O2TNJGODT0G5Z4TTKYMMUX1","GSON1112130293")</f>
        <v>#NAME?</v>
      </c>
      <c r="V1765" s="24" t="e">
        <f ca="1">[1]!BexGetData("DP_1","00O2TNJGODT0G5Z4TTKYMN18L","GSON1112130293")</f>
        <v>#NAME?</v>
      </c>
      <c r="W1765" s="24" t="e">
        <f ca="1">[1]!BexGetData("DP_1","00O2TNJGODT0G5Z4TTKYMN7K5","GSON1112130293")</f>
        <v>#NAME?</v>
      </c>
    </row>
    <row r="1766" spans="1:23" x14ac:dyDescent="0.2">
      <c r="A1766" s="36" t="s">
        <v>4593</v>
      </c>
      <c r="B1766" s="27" t="s">
        <v>4594</v>
      </c>
      <c r="C1766" s="23" t="e">
        <f ca="1">[1]!BexGetData("DP_1","003N8EMH8GTFRCSWKMPXRR8GU","GSON1112130295")</f>
        <v>#NAME?</v>
      </c>
      <c r="D1766" s="23" t="e">
        <f ca="1">[1]!BexGetData("DP_1","003N8EMH8GTFRCSWKMPXRRESE","GSON1112130295")</f>
        <v>#NAME?</v>
      </c>
      <c r="E1766" s="28" t="e">
        <f ca="1">[1]!BexGetData("DP_1","003N8EMH8GTFRCSWKMPXRRL3Y","GSON1112130295")</f>
        <v>#NAME?</v>
      </c>
      <c r="F1766" s="24" t="e">
        <f ca="1">[1]!BexGetData("DP_1","003N8EMH8GTFRCSWKMPXRRRFI","GSON1112130295")</f>
        <v>#NAME?</v>
      </c>
      <c r="G1766" s="24" t="e">
        <f ca="1">[1]!BexGetData("DP_1","003N8EMH8GTFRCSWKMPXRRXR2","GSON1112130295")</f>
        <v>#NAME?</v>
      </c>
      <c r="H1766" s="24" t="e">
        <f ca="1">[1]!BexGetData("DP_1","003N8EMH8GTFRCSWKMPXRS42M","GSON1112130295")</f>
        <v>#NAME?</v>
      </c>
      <c r="I1766" s="24" t="e">
        <f ca="1">[1]!BexGetData("DP_1","003N8EMH8GTFRCSWKMPXRSAE6","GSON1112130295")</f>
        <v>#NAME?</v>
      </c>
      <c r="J1766" s="24" t="e">
        <f ca="1">[1]!BexGetData("DP_1","003N8EMH8GTFRCSWKMPXRSGPQ","GSON1112130295")</f>
        <v>#NAME?</v>
      </c>
      <c r="K1766" s="28" t="e">
        <f ca="1">[1]!BexGetData("DP_1","003N8EMH8GTFRIVNUPY288VJH","GSON1112130295")</f>
        <v>#NAME?</v>
      </c>
      <c r="L1766" s="28" t="e">
        <f ca="1">[1]!BexGetData("DP_1","003N8EMH8GTFRIVNUPY2891V1","GSON1112130295")</f>
        <v>#NAME?</v>
      </c>
      <c r="M1766" s="28" t="e">
        <f ca="1">[1]!BexGetData("DP_1","003N8EMH8GTFRIVOG7KG9IQXA","GSON1112130295")</f>
        <v>#NAME?</v>
      </c>
      <c r="N1766" s="28" t="e">
        <f ca="1">[1]!BexGetData("DP_1","003N8EMH8GTFRIVOG7KG9IX8U","GSON1112130295")</f>
        <v>#NAME?</v>
      </c>
      <c r="O1766" s="28" t="e">
        <f ca="1">[1]!BexGetData("DP_1","003N8EMH8GTFRIVOG7KG9J3KE","GSON1112130295")</f>
        <v>#NAME?</v>
      </c>
      <c r="P1766" s="28" t="e">
        <f ca="1">[1]!BexGetData("DP_1","003N8EMH8GTFRIVOG7KG9J9VY","GSON1112130295")</f>
        <v>#NAME?</v>
      </c>
      <c r="Q1766" s="24" t="e">
        <f ca="1">[1]!BexGetData("DP_1","00O2TNJGODT0G5Z4TTKYMM5MT","GSON1112130295")</f>
        <v>#NAME?</v>
      </c>
      <c r="R1766" s="24" t="e">
        <f ca="1">[1]!BexGetData("DP_1","00O2TNJGODT0G5Z4TTKYMMBYD","GSON1112130295")</f>
        <v>#NAME?</v>
      </c>
      <c r="S1766" s="24" t="e">
        <f ca="1">[1]!BexGetData("DP_1","00O2TNJGODT0G5Z4TTKYMMI9X","GSON1112130295")</f>
        <v>#NAME?</v>
      </c>
      <c r="T1766" s="24" t="e">
        <f ca="1">[1]!BexGetData("DP_1","00O2TNJGODT0G5Z4TTKYMMOLH","GSON1112130295")</f>
        <v>#NAME?</v>
      </c>
      <c r="U1766" s="24" t="e">
        <f ca="1">[1]!BexGetData("DP_1","00O2TNJGODT0G5Z4TTKYMMUX1","GSON1112130295")</f>
        <v>#NAME?</v>
      </c>
      <c r="V1766" s="24" t="e">
        <f ca="1">[1]!BexGetData("DP_1","00O2TNJGODT0G5Z4TTKYMN18L","GSON1112130295")</f>
        <v>#NAME?</v>
      </c>
      <c r="W1766" s="24" t="e">
        <f ca="1">[1]!BexGetData("DP_1","00O2TNJGODT0G5Z4TTKYMN7K5","GSON1112130295")</f>
        <v>#NAME?</v>
      </c>
    </row>
    <row r="1767" spans="1:23" x14ac:dyDescent="0.2">
      <c r="A1767" s="36" t="s">
        <v>4587</v>
      </c>
      <c r="B1767" s="27" t="s">
        <v>4595</v>
      </c>
      <c r="C1767" s="23" t="e">
        <f ca="1">[1]!BexGetData("DP_1","003N8EMH8GTFRCSWKMPXRR8GU","GSON1112130300")</f>
        <v>#NAME?</v>
      </c>
      <c r="D1767" s="23" t="e">
        <f ca="1">[1]!BexGetData("DP_1","003N8EMH8GTFRCSWKMPXRRESE","GSON1112130300")</f>
        <v>#NAME?</v>
      </c>
      <c r="E1767" s="23" t="e">
        <f ca="1">[1]!BexGetData("DP_1","003N8EMH8GTFRCSWKMPXRRL3Y","GSON1112130300")</f>
        <v>#NAME?</v>
      </c>
      <c r="F1767" s="24" t="e">
        <f ca="1">[1]!BexGetData("DP_1","003N8EMH8GTFRCSWKMPXRRRFI","GSON1112130300")</f>
        <v>#NAME?</v>
      </c>
      <c r="G1767" s="24" t="e">
        <f ca="1">[1]!BexGetData("DP_1","003N8EMH8GTFRCSWKMPXRRXR2","GSON1112130300")</f>
        <v>#NAME?</v>
      </c>
      <c r="H1767" s="24" t="e">
        <f ca="1">[1]!BexGetData("DP_1","003N8EMH8GTFRCSWKMPXRS42M","GSON1112130300")</f>
        <v>#NAME?</v>
      </c>
      <c r="I1767" s="24" t="e">
        <f ca="1">[1]!BexGetData("DP_1","003N8EMH8GTFRCSWKMPXRSAE6","GSON1112130300")</f>
        <v>#NAME?</v>
      </c>
      <c r="J1767" s="24" t="e">
        <f ca="1">[1]!BexGetData("DP_1","003N8EMH8GTFRCSWKMPXRSGPQ","GSON1112130300")</f>
        <v>#NAME?</v>
      </c>
      <c r="K1767" s="23" t="e">
        <f ca="1">[1]!BexGetData("DP_1","003N8EMH8GTFRIVNUPY288VJH","GSON1112130300")</f>
        <v>#NAME?</v>
      </c>
      <c r="L1767" s="23" t="e">
        <f ca="1">[1]!BexGetData("DP_1","003N8EMH8GTFRIVNUPY2891V1","GSON1112130300")</f>
        <v>#NAME?</v>
      </c>
      <c r="M1767" s="28" t="e">
        <f ca="1">[1]!BexGetData("DP_1","003N8EMH8GTFRIVOG7KG9IQXA","GSON1112130300")</f>
        <v>#NAME?</v>
      </c>
      <c r="N1767" s="23" t="e">
        <f ca="1">[1]!BexGetData("DP_1","003N8EMH8GTFRIVOG7KG9IX8U","GSON1112130300")</f>
        <v>#NAME?</v>
      </c>
      <c r="O1767" s="28" t="e">
        <f ca="1">[1]!BexGetData("DP_1","003N8EMH8GTFRIVOG7KG9J3KE","GSON1112130300")</f>
        <v>#NAME?</v>
      </c>
      <c r="P1767" s="23" t="e">
        <f ca="1">[1]!BexGetData("DP_1","003N8EMH8GTFRIVOG7KG9J9VY","GSON1112130300")</f>
        <v>#NAME?</v>
      </c>
      <c r="Q1767" s="24" t="e">
        <f ca="1">[1]!BexGetData("DP_1","00O2TNJGODT0G5Z4TTKYMM5MT","GSON1112130300")</f>
        <v>#NAME?</v>
      </c>
      <c r="R1767" s="24" t="e">
        <f ca="1">[1]!BexGetData("DP_1","00O2TNJGODT0G5Z4TTKYMMBYD","GSON1112130300")</f>
        <v>#NAME?</v>
      </c>
      <c r="S1767" s="24" t="e">
        <f ca="1">[1]!BexGetData("DP_1","00O2TNJGODT0G5Z4TTKYMMI9X","GSON1112130300")</f>
        <v>#NAME?</v>
      </c>
      <c r="T1767" s="24" t="e">
        <f ca="1">[1]!BexGetData("DP_1","00O2TNJGODT0G5Z4TTKYMMOLH","GSON1112130300")</f>
        <v>#NAME?</v>
      </c>
      <c r="U1767" s="24" t="e">
        <f ca="1">[1]!BexGetData("DP_1","00O2TNJGODT0G5Z4TTKYMMUX1","GSON1112130300")</f>
        <v>#NAME?</v>
      </c>
      <c r="V1767" s="24" t="e">
        <f ca="1">[1]!BexGetData("DP_1","00O2TNJGODT0G5Z4TTKYMN18L","GSON1112130300")</f>
        <v>#NAME?</v>
      </c>
      <c r="W1767" s="24" t="e">
        <f ca="1">[1]!BexGetData("DP_1","00O2TNJGODT0G5Z4TTKYMN7K5","GSON1112130300")</f>
        <v>#NAME?</v>
      </c>
    </row>
    <row r="1768" spans="1:23" x14ac:dyDescent="0.2">
      <c r="A1768" s="36" t="s">
        <v>4589</v>
      </c>
      <c r="B1768" s="27" t="s">
        <v>4596</v>
      </c>
      <c r="C1768" s="23" t="e">
        <f ca="1">[1]!BexGetData("DP_1","003N8EMH8GTFRCSWKMPXRR8GU","GSON1112130301")</f>
        <v>#NAME?</v>
      </c>
      <c r="D1768" s="23" t="e">
        <f ca="1">[1]!BexGetData("DP_1","003N8EMH8GTFRCSWKMPXRRESE","GSON1112130301")</f>
        <v>#NAME?</v>
      </c>
      <c r="E1768" s="28" t="e">
        <f ca="1">[1]!BexGetData("DP_1","003N8EMH8GTFRCSWKMPXRRL3Y","GSON1112130301")</f>
        <v>#NAME?</v>
      </c>
      <c r="F1768" s="24" t="e">
        <f ca="1">[1]!BexGetData("DP_1","003N8EMH8GTFRCSWKMPXRRRFI","GSON1112130301")</f>
        <v>#NAME?</v>
      </c>
      <c r="G1768" s="24" t="e">
        <f ca="1">[1]!BexGetData("DP_1","003N8EMH8GTFRCSWKMPXRRXR2","GSON1112130301")</f>
        <v>#NAME?</v>
      </c>
      <c r="H1768" s="24" t="e">
        <f ca="1">[1]!BexGetData("DP_1","003N8EMH8GTFRCSWKMPXRS42M","GSON1112130301")</f>
        <v>#NAME?</v>
      </c>
      <c r="I1768" s="24" t="e">
        <f ca="1">[1]!BexGetData("DP_1","003N8EMH8GTFRCSWKMPXRSAE6","GSON1112130301")</f>
        <v>#NAME?</v>
      </c>
      <c r="J1768" s="24" t="e">
        <f ca="1">[1]!BexGetData("DP_1","003N8EMH8GTFRCSWKMPXRSGPQ","GSON1112130301")</f>
        <v>#NAME?</v>
      </c>
      <c r="K1768" s="28" t="e">
        <f ca="1">[1]!BexGetData("DP_1","003N8EMH8GTFRIVNUPY288VJH","GSON1112130301")</f>
        <v>#NAME?</v>
      </c>
      <c r="L1768" s="28" t="e">
        <f ca="1">[1]!BexGetData("DP_1","003N8EMH8GTFRIVNUPY2891V1","GSON1112130301")</f>
        <v>#NAME?</v>
      </c>
      <c r="M1768" s="28" t="e">
        <f ca="1">[1]!BexGetData("DP_1","003N8EMH8GTFRIVOG7KG9IQXA","GSON1112130301")</f>
        <v>#NAME?</v>
      </c>
      <c r="N1768" s="28" t="e">
        <f ca="1">[1]!BexGetData("DP_1","003N8EMH8GTFRIVOG7KG9IX8U","GSON1112130301")</f>
        <v>#NAME?</v>
      </c>
      <c r="O1768" s="28" t="e">
        <f ca="1">[1]!BexGetData("DP_1","003N8EMH8GTFRIVOG7KG9J3KE","GSON1112130301")</f>
        <v>#NAME?</v>
      </c>
      <c r="P1768" s="28" t="e">
        <f ca="1">[1]!BexGetData("DP_1","003N8EMH8GTFRIVOG7KG9J9VY","GSON1112130301")</f>
        <v>#NAME?</v>
      </c>
      <c r="Q1768" s="24" t="e">
        <f ca="1">[1]!BexGetData("DP_1","00O2TNJGODT0G5Z4TTKYMM5MT","GSON1112130301")</f>
        <v>#NAME?</v>
      </c>
      <c r="R1768" s="24" t="e">
        <f ca="1">[1]!BexGetData("DP_1","00O2TNJGODT0G5Z4TTKYMMBYD","GSON1112130301")</f>
        <v>#NAME?</v>
      </c>
      <c r="S1768" s="24" t="e">
        <f ca="1">[1]!BexGetData("DP_1","00O2TNJGODT0G5Z4TTKYMMI9X","GSON1112130301")</f>
        <v>#NAME?</v>
      </c>
      <c r="T1768" s="24" t="e">
        <f ca="1">[1]!BexGetData("DP_1","00O2TNJGODT0G5Z4TTKYMMOLH","GSON1112130301")</f>
        <v>#NAME?</v>
      </c>
      <c r="U1768" s="24" t="e">
        <f ca="1">[1]!BexGetData("DP_1","00O2TNJGODT0G5Z4TTKYMMUX1","GSON1112130301")</f>
        <v>#NAME?</v>
      </c>
      <c r="V1768" s="24" t="e">
        <f ca="1">[1]!BexGetData("DP_1","00O2TNJGODT0G5Z4TTKYMN18L","GSON1112130301")</f>
        <v>#NAME?</v>
      </c>
      <c r="W1768" s="24" t="e">
        <f ca="1">[1]!BexGetData("DP_1","00O2TNJGODT0G5Z4TTKYMN7K5","GSON1112130301")</f>
        <v>#NAME?</v>
      </c>
    </row>
    <row r="1769" spans="1:23" x14ac:dyDescent="0.2">
      <c r="A1769" s="36" t="s">
        <v>4593</v>
      </c>
      <c r="B1769" s="27" t="s">
        <v>4597</v>
      </c>
      <c r="C1769" s="23" t="e">
        <f ca="1">[1]!BexGetData("DP_1","003N8EMH8GTFRCSWKMPXRR8GU","GSON1112130305")</f>
        <v>#NAME?</v>
      </c>
      <c r="D1769" s="23" t="e">
        <f ca="1">[1]!BexGetData("DP_1","003N8EMH8GTFRCSWKMPXRRESE","GSON1112130305")</f>
        <v>#NAME?</v>
      </c>
      <c r="E1769" s="28" t="e">
        <f ca="1">[1]!BexGetData("DP_1","003N8EMH8GTFRCSWKMPXRRL3Y","GSON1112130305")</f>
        <v>#NAME?</v>
      </c>
      <c r="F1769" s="24" t="e">
        <f ca="1">[1]!BexGetData("DP_1","003N8EMH8GTFRCSWKMPXRRRFI","GSON1112130305")</f>
        <v>#NAME?</v>
      </c>
      <c r="G1769" s="24" t="e">
        <f ca="1">[1]!BexGetData("DP_1","003N8EMH8GTFRCSWKMPXRRXR2","GSON1112130305")</f>
        <v>#NAME?</v>
      </c>
      <c r="H1769" s="24" t="e">
        <f ca="1">[1]!BexGetData("DP_1","003N8EMH8GTFRCSWKMPXRS42M","GSON1112130305")</f>
        <v>#NAME?</v>
      </c>
      <c r="I1769" s="24" t="e">
        <f ca="1">[1]!BexGetData("DP_1","003N8EMH8GTFRCSWKMPXRSAE6","GSON1112130305")</f>
        <v>#NAME?</v>
      </c>
      <c r="J1769" s="24" t="e">
        <f ca="1">[1]!BexGetData("DP_1","003N8EMH8GTFRCSWKMPXRSGPQ","GSON1112130305")</f>
        <v>#NAME?</v>
      </c>
      <c r="K1769" s="28" t="e">
        <f ca="1">[1]!BexGetData("DP_1","003N8EMH8GTFRIVNUPY288VJH","GSON1112130305")</f>
        <v>#NAME?</v>
      </c>
      <c r="L1769" s="28" t="e">
        <f ca="1">[1]!BexGetData("DP_1","003N8EMH8GTFRIVNUPY2891V1","GSON1112130305")</f>
        <v>#NAME?</v>
      </c>
      <c r="M1769" s="28" t="e">
        <f ca="1">[1]!BexGetData("DP_1","003N8EMH8GTFRIVOG7KG9IQXA","GSON1112130305")</f>
        <v>#NAME?</v>
      </c>
      <c r="N1769" s="28" t="e">
        <f ca="1">[1]!BexGetData("DP_1","003N8EMH8GTFRIVOG7KG9IX8U","GSON1112130305")</f>
        <v>#NAME?</v>
      </c>
      <c r="O1769" s="28" t="e">
        <f ca="1">[1]!BexGetData("DP_1","003N8EMH8GTFRIVOG7KG9J3KE","GSON1112130305")</f>
        <v>#NAME?</v>
      </c>
      <c r="P1769" s="28" t="e">
        <f ca="1">[1]!BexGetData("DP_1","003N8EMH8GTFRIVOG7KG9J9VY","GSON1112130305")</f>
        <v>#NAME?</v>
      </c>
      <c r="Q1769" s="24" t="e">
        <f ca="1">[1]!BexGetData("DP_1","00O2TNJGODT0G5Z4TTKYMM5MT","GSON1112130305")</f>
        <v>#NAME?</v>
      </c>
      <c r="R1769" s="24" t="e">
        <f ca="1">[1]!BexGetData("DP_1","00O2TNJGODT0G5Z4TTKYMMBYD","GSON1112130305")</f>
        <v>#NAME?</v>
      </c>
      <c r="S1769" s="24" t="e">
        <f ca="1">[1]!BexGetData("DP_1","00O2TNJGODT0G5Z4TTKYMMI9X","GSON1112130305")</f>
        <v>#NAME?</v>
      </c>
      <c r="T1769" s="24" t="e">
        <f ca="1">[1]!BexGetData("DP_1","00O2TNJGODT0G5Z4TTKYMMOLH","GSON1112130305")</f>
        <v>#NAME?</v>
      </c>
      <c r="U1769" s="24" t="e">
        <f ca="1">[1]!BexGetData("DP_1","00O2TNJGODT0G5Z4TTKYMMUX1","GSON1112130305")</f>
        <v>#NAME?</v>
      </c>
      <c r="V1769" s="24" t="e">
        <f ca="1">[1]!BexGetData("DP_1","00O2TNJGODT0G5Z4TTKYMN18L","GSON1112130305")</f>
        <v>#NAME?</v>
      </c>
      <c r="W1769" s="24" t="e">
        <f ca="1">[1]!BexGetData("DP_1","00O2TNJGODT0G5Z4TTKYMN7K5","GSON1112130305")</f>
        <v>#NAME?</v>
      </c>
    </row>
    <row r="1770" spans="1:23" x14ac:dyDescent="0.2">
      <c r="A1770" s="36" t="s">
        <v>4598</v>
      </c>
      <c r="B1770" s="27" t="s">
        <v>4599</v>
      </c>
      <c r="C1770" s="23" t="e">
        <f ca="1">[1]!BexGetData("DP_1","003N8EMH8GTFRCSWKMPXRR8GU","GSON1112130310")</f>
        <v>#NAME?</v>
      </c>
      <c r="D1770" s="23" t="e">
        <f ca="1">[1]!BexGetData("DP_1","003N8EMH8GTFRCSWKMPXRRESE","GSON1112130310")</f>
        <v>#NAME?</v>
      </c>
      <c r="E1770" s="23" t="e">
        <f ca="1">[1]!BexGetData("DP_1","003N8EMH8GTFRCSWKMPXRRL3Y","GSON1112130310")</f>
        <v>#NAME?</v>
      </c>
      <c r="F1770" s="24" t="e">
        <f ca="1">[1]!BexGetData("DP_1","003N8EMH8GTFRCSWKMPXRRRFI","GSON1112130310")</f>
        <v>#NAME?</v>
      </c>
      <c r="G1770" s="24" t="e">
        <f ca="1">[1]!BexGetData("DP_1","003N8EMH8GTFRCSWKMPXRRXR2","GSON1112130310")</f>
        <v>#NAME?</v>
      </c>
      <c r="H1770" s="24" t="e">
        <f ca="1">[1]!BexGetData("DP_1","003N8EMH8GTFRCSWKMPXRS42M","GSON1112130310")</f>
        <v>#NAME?</v>
      </c>
      <c r="I1770" s="24" t="e">
        <f ca="1">[1]!BexGetData("DP_1","003N8EMH8GTFRCSWKMPXRSAE6","GSON1112130310")</f>
        <v>#NAME?</v>
      </c>
      <c r="J1770" s="24" t="e">
        <f ca="1">[1]!BexGetData("DP_1","003N8EMH8GTFRCSWKMPXRSGPQ","GSON1112130310")</f>
        <v>#NAME?</v>
      </c>
      <c r="K1770" s="23" t="e">
        <f ca="1">[1]!BexGetData("DP_1","003N8EMH8GTFRIVNUPY288VJH","GSON1112130310")</f>
        <v>#NAME?</v>
      </c>
      <c r="L1770" s="23" t="e">
        <f ca="1">[1]!BexGetData("DP_1","003N8EMH8GTFRIVNUPY2891V1","GSON1112130310")</f>
        <v>#NAME?</v>
      </c>
      <c r="M1770" s="28" t="e">
        <f ca="1">[1]!BexGetData("DP_1","003N8EMH8GTFRIVOG7KG9IQXA","GSON1112130310")</f>
        <v>#NAME?</v>
      </c>
      <c r="N1770" s="23" t="e">
        <f ca="1">[1]!BexGetData("DP_1","003N8EMH8GTFRIVOG7KG9IX8U","GSON1112130310")</f>
        <v>#NAME?</v>
      </c>
      <c r="O1770" s="28" t="e">
        <f ca="1">[1]!BexGetData("DP_1","003N8EMH8GTFRIVOG7KG9J3KE","GSON1112130310")</f>
        <v>#NAME?</v>
      </c>
      <c r="P1770" s="23" t="e">
        <f ca="1">[1]!BexGetData("DP_1","003N8EMH8GTFRIVOG7KG9J9VY","GSON1112130310")</f>
        <v>#NAME?</v>
      </c>
      <c r="Q1770" s="24" t="e">
        <f ca="1">[1]!BexGetData("DP_1","00O2TNJGODT0G5Z4TTKYMM5MT","GSON1112130310")</f>
        <v>#NAME?</v>
      </c>
      <c r="R1770" s="24" t="e">
        <f ca="1">[1]!BexGetData("DP_1","00O2TNJGODT0G5Z4TTKYMMBYD","GSON1112130310")</f>
        <v>#NAME?</v>
      </c>
      <c r="S1770" s="24" t="e">
        <f ca="1">[1]!BexGetData("DP_1","00O2TNJGODT0G5Z4TTKYMMI9X","GSON1112130310")</f>
        <v>#NAME?</v>
      </c>
      <c r="T1770" s="24" t="e">
        <f ca="1">[1]!BexGetData("DP_1","00O2TNJGODT0G5Z4TTKYMMOLH","GSON1112130310")</f>
        <v>#NAME?</v>
      </c>
      <c r="U1770" s="24" t="e">
        <f ca="1">[1]!BexGetData("DP_1","00O2TNJGODT0G5Z4TTKYMMUX1","GSON1112130310")</f>
        <v>#NAME?</v>
      </c>
      <c r="V1770" s="24" t="e">
        <f ca="1">[1]!BexGetData("DP_1","00O2TNJGODT0G5Z4TTKYMN18L","GSON1112130310")</f>
        <v>#NAME?</v>
      </c>
      <c r="W1770" s="24" t="e">
        <f ca="1">[1]!BexGetData("DP_1","00O2TNJGODT0G5Z4TTKYMN7K5","GSON1112130310")</f>
        <v>#NAME?</v>
      </c>
    </row>
    <row r="1771" spans="1:23" x14ac:dyDescent="0.2">
      <c r="A1771" s="36" t="s">
        <v>4600</v>
      </c>
      <c r="B1771" s="27" t="s">
        <v>4601</v>
      </c>
      <c r="C1771" s="23" t="e">
        <f ca="1">[1]!BexGetData("DP_1","003N8EMH8GTFRCSWKMPXRR8GU","GSON1112130311")</f>
        <v>#NAME?</v>
      </c>
      <c r="D1771" s="23" t="e">
        <f ca="1">[1]!BexGetData("DP_1","003N8EMH8GTFRCSWKMPXRRESE","GSON1112130311")</f>
        <v>#NAME?</v>
      </c>
      <c r="E1771" s="28" t="e">
        <f ca="1">[1]!BexGetData("DP_1","003N8EMH8GTFRCSWKMPXRRL3Y","GSON1112130311")</f>
        <v>#NAME?</v>
      </c>
      <c r="F1771" s="24" t="e">
        <f ca="1">[1]!BexGetData("DP_1","003N8EMH8GTFRCSWKMPXRRRFI","GSON1112130311")</f>
        <v>#NAME?</v>
      </c>
      <c r="G1771" s="24" t="e">
        <f ca="1">[1]!BexGetData("DP_1","003N8EMH8GTFRCSWKMPXRRXR2","GSON1112130311")</f>
        <v>#NAME?</v>
      </c>
      <c r="H1771" s="24" t="e">
        <f ca="1">[1]!BexGetData("DP_1","003N8EMH8GTFRCSWKMPXRS42M","GSON1112130311")</f>
        <v>#NAME?</v>
      </c>
      <c r="I1771" s="24" t="e">
        <f ca="1">[1]!BexGetData("DP_1","003N8EMH8GTFRCSWKMPXRSAE6","GSON1112130311")</f>
        <v>#NAME?</v>
      </c>
      <c r="J1771" s="24" t="e">
        <f ca="1">[1]!BexGetData("DP_1","003N8EMH8GTFRCSWKMPXRSGPQ","GSON1112130311")</f>
        <v>#NAME?</v>
      </c>
      <c r="K1771" s="28" t="e">
        <f ca="1">[1]!BexGetData("DP_1","003N8EMH8GTFRIVNUPY288VJH","GSON1112130311")</f>
        <v>#NAME?</v>
      </c>
      <c r="L1771" s="28" t="e">
        <f ca="1">[1]!BexGetData("DP_1","003N8EMH8GTFRIVNUPY2891V1","GSON1112130311")</f>
        <v>#NAME?</v>
      </c>
      <c r="M1771" s="28" t="e">
        <f ca="1">[1]!BexGetData("DP_1","003N8EMH8GTFRIVOG7KG9IQXA","GSON1112130311")</f>
        <v>#NAME?</v>
      </c>
      <c r="N1771" s="28" t="e">
        <f ca="1">[1]!BexGetData("DP_1","003N8EMH8GTFRIVOG7KG9IX8U","GSON1112130311")</f>
        <v>#NAME?</v>
      </c>
      <c r="O1771" s="28" t="e">
        <f ca="1">[1]!BexGetData("DP_1","003N8EMH8GTFRIVOG7KG9J3KE","GSON1112130311")</f>
        <v>#NAME?</v>
      </c>
      <c r="P1771" s="28" t="e">
        <f ca="1">[1]!BexGetData("DP_1","003N8EMH8GTFRIVOG7KG9J9VY","GSON1112130311")</f>
        <v>#NAME?</v>
      </c>
      <c r="Q1771" s="24" t="e">
        <f ca="1">[1]!BexGetData("DP_1","00O2TNJGODT0G5Z4TTKYMM5MT","GSON1112130311")</f>
        <v>#NAME?</v>
      </c>
      <c r="R1771" s="24" t="e">
        <f ca="1">[1]!BexGetData("DP_1","00O2TNJGODT0G5Z4TTKYMMBYD","GSON1112130311")</f>
        <v>#NAME?</v>
      </c>
      <c r="S1771" s="24" t="e">
        <f ca="1">[1]!BexGetData("DP_1","00O2TNJGODT0G5Z4TTKYMMI9X","GSON1112130311")</f>
        <v>#NAME?</v>
      </c>
      <c r="T1771" s="24" t="e">
        <f ca="1">[1]!BexGetData("DP_1","00O2TNJGODT0G5Z4TTKYMMOLH","GSON1112130311")</f>
        <v>#NAME?</v>
      </c>
      <c r="U1771" s="24" t="e">
        <f ca="1">[1]!BexGetData("DP_1","00O2TNJGODT0G5Z4TTKYMMUX1","GSON1112130311")</f>
        <v>#NAME?</v>
      </c>
      <c r="V1771" s="24" t="e">
        <f ca="1">[1]!BexGetData("DP_1","00O2TNJGODT0G5Z4TTKYMN18L","GSON1112130311")</f>
        <v>#NAME?</v>
      </c>
      <c r="W1771" s="24" t="e">
        <f ca="1">[1]!BexGetData("DP_1","00O2TNJGODT0G5Z4TTKYMN7K5","GSON1112130311")</f>
        <v>#NAME?</v>
      </c>
    </row>
    <row r="1772" spans="1:23" x14ac:dyDescent="0.2">
      <c r="A1772" s="36" t="s">
        <v>4602</v>
      </c>
      <c r="B1772" s="27" t="s">
        <v>4603</v>
      </c>
      <c r="C1772" s="23" t="e">
        <f ca="1">[1]!BexGetData("DP_1","003N8EMH8GTFRCSWKMPXRR8GU","GSON1112130315")</f>
        <v>#NAME?</v>
      </c>
      <c r="D1772" s="23" t="e">
        <f ca="1">[1]!BexGetData("DP_1","003N8EMH8GTFRCSWKMPXRRESE","GSON1112130315")</f>
        <v>#NAME?</v>
      </c>
      <c r="E1772" s="28" t="e">
        <f ca="1">[1]!BexGetData("DP_1","003N8EMH8GTFRCSWKMPXRRL3Y","GSON1112130315")</f>
        <v>#NAME?</v>
      </c>
      <c r="F1772" s="24" t="e">
        <f ca="1">[1]!BexGetData("DP_1","003N8EMH8GTFRCSWKMPXRRRFI","GSON1112130315")</f>
        <v>#NAME?</v>
      </c>
      <c r="G1772" s="24" t="e">
        <f ca="1">[1]!BexGetData("DP_1","003N8EMH8GTFRCSWKMPXRRXR2","GSON1112130315")</f>
        <v>#NAME?</v>
      </c>
      <c r="H1772" s="24" t="e">
        <f ca="1">[1]!BexGetData("DP_1","003N8EMH8GTFRCSWKMPXRS42M","GSON1112130315")</f>
        <v>#NAME?</v>
      </c>
      <c r="I1772" s="24" t="e">
        <f ca="1">[1]!BexGetData("DP_1","003N8EMH8GTFRCSWKMPXRSAE6","GSON1112130315")</f>
        <v>#NAME?</v>
      </c>
      <c r="J1772" s="24" t="e">
        <f ca="1">[1]!BexGetData("DP_1","003N8EMH8GTFRCSWKMPXRSGPQ","GSON1112130315")</f>
        <v>#NAME?</v>
      </c>
      <c r="K1772" s="28" t="e">
        <f ca="1">[1]!BexGetData("DP_1","003N8EMH8GTFRIVNUPY288VJH","GSON1112130315")</f>
        <v>#NAME?</v>
      </c>
      <c r="L1772" s="28" t="e">
        <f ca="1">[1]!BexGetData("DP_1","003N8EMH8GTFRIVNUPY2891V1","GSON1112130315")</f>
        <v>#NAME?</v>
      </c>
      <c r="M1772" s="28" t="e">
        <f ca="1">[1]!BexGetData("DP_1","003N8EMH8GTFRIVOG7KG9IQXA","GSON1112130315")</f>
        <v>#NAME?</v>
      </c>
      <c r="N1772" s="28" t="e">
        <f ca="1">[1]!BexGetData("DP_1","003N8EMH8GTFRIVOG7KG9IX8U","GSON1112130315")</f>
        <v>#NAME?</v>
      </c>
      <c r="O1772" s="28" t="e">
        <f ca="1">[1]!BexGetData("DP_1","003N8EMH8GTFRIVOG7KG9J3KE","GSON1112130315")</f>
        <v>#NAME?</v>
      </c>
      <c r="P1772" s="28" t="e">
        <f ca="1">[1]!BexGetData("DP_1","003N8EMH8GTFRIVOG7KG9J9VY","GSON1112130315")</f>
        <v>#NAME?</v>
      </c>
      <c r="Q1772" s="24" t="e">
        <f ca="1">[1]!BexGetData("DP_1","00O2TNJGODT0G5Z4TTKYMM5MT","GSON1112130315")</f>
        <v>#NAME?</v>
      </c>
      <c r="R1772" s="24" t="e">
        <f ca="1">[1]!BexGetData("DP_1","00O2TNJGODT0G5Z4TTKYMMBYD","GSON1112130315")</f>
        <v>#NAME?</v>
      </c>
      <c r="S1772" s="24" t="e">
        <f ca="1">[1]!BexGetData("DP_1","00O2TNJGODT0G5Z4TTKYMMI9X","GSON1112130315")</f>
        <v>#NAME?</v>
      </c>
      <c r="T1772" s="24" t="e">
        <f ca="1">[1]!BexGetData("DP_1","00O2TNJGODT0G5Z4TTKYMMOLH","GSON1112130315")</f>
        <v>#NAME?</v>
      </c>
      <c r="U1772" s="24" t="e">
        <f ca="1">[1]!BexGetData("DP_1","00O2TNJGODT0G5Z4TTKYMMUX1","GSON1112130315")</f>
        <v>#NAME?</v>
      </c>
      <c r="V1772" s="24" t="e">
        <f ca="1">[1]!BexGetData("DP_1","00O2TNJGODT0G5Z4TTKYMN18L","GSON1112130315")</f>
        <v>#NAME?</v>
      </c>
      <c r="W1772" s="24" t="e">
        <f ca="1">[1]!BexGetData("DP_1","00O2TNJGODT0G5Z4TTKYMN7K5","GSON1112130315")</f>
        <v>#NAME?</v>
      </c>
    </row>
    <row r="1773" spans="1:23" x14ac:dyDescent="0.2">
      <c r="A1773" s="36" t="s">
        <v>4604</v>
      </c>
      <c r="B1773" s="27" t="s">
        <v>4605</v>
      </c>
      <c r="C1773" s="23" t="e">
        <f ca="1">[1]!BexGetData("DP_1","003N8EMH8GTFRCSWKMPXRR8GU","GSON1112130320")</f>
        <v>#NAME?</v>
      </c>
      <c r="D1773" s="28" t="e">
        <f ca="1">[1]!BexGetData("DP_1","003N8EMH8GTFRCSWKMPXRRESE","GSON1112130320")</f>
        <v>#NAME?</v>
      </c>
      <c r="E1773" s="23" t="e">
        <f ca="1">[1]!BexGetData("DP_1","003N8EMH8GTFRCSWKMPXRRL3Y","GSON1112130320")</f>
        <v>#NAME?</v>
      </c>
      <c r="F1773" s="24" t="e">
        <f ca="1">[1]!BexGetData("DP_1","003N8EMH8GTFRCSWKMPXRRRFI","GSON1112130320")</f>
        <v>#NAME?</v>
      </c>
      <c r="G1773" s="24" t="e">
        <f ca="1">[1]!BexGetData("DP_1","003N8EMH8GTFRCSWKMPXRRXR2","GSON1112130320")</f>
        <v>#NAME?</v>
      </c>
      <c r="H1773" s="24" t="e">
        <f ca="1">[1]!BexGetData("DP_1","003N8EMH8GTFRCSWKMPXRS42M","GSON1112130320")</f>
        <v>#NAME?</v>
      </c>
      <c r="I1773" s="24" t="e">
        <f ca="1">[1]!BexGetData("DP_1","003N8EMH8GTFRCSWKMPXRSAE6","GSON1112130320")</f>
        <v>#NAME?</v>
      </c>
      <c r="J1773" s="24" t="e">
        <f ca="1">[1]!BexGetData("DP_1","003N8EMH8GTFRCSWKMPXRSGPQ","GSON1112130320")</f>
        <v>#NAME?</v>
      </c>
      <c r="K1773" s="23" t="e">
        <f ca="1">[1]!BexGetData("DP_1","003N8EMH8GTFRIVNUPY288VJH","GSON1112130320")</f>
        <v>#NAME?</v>
      </c>
      <c r="L1773" s="23" t="e">
        <f ca="1">[1]!BexGetData("DP_1","003N8EMH8GTFRIVNUPY2891V1","GSON1112130320")</f>
        <v>#NAME?</v>
      </c>
      <c r="M1773" s="28" t="e">
        <f ca="1">[1]!BexGetData("DP_1","003N8EMH8GTFRIVOG7KG9IQXA","GSON1112130320")</f>
        <v>#NAME?</v>
      </c>
      <c r="N1773" s="23" t="e">
        <f ca="1">[1]!BexGetData("DP_1","003N8EMH8GTFRIVOG7KG9IX8U","GSON1112130320")</f>
        <v>#NAME?</v>
      </c>
      <c r="O1773" s="28" t="e">
        <f ca="1">[1]!BexGetData("DP_1","003N8EMH8GTFRIVOG7KG9J3KE","GSON1112130320")</f>
        <v>#NAME?</v>
      </c>
      <c r="P1773" s="23" t="e">
        <f ca="1">[1]!BexGetData("DP_1","003N8EMH8GTFRIVOG7KG9J9VY","GSON1112130320")</f>
        <v>#NAME?</v>
      </c>
      <c r="Q1773" s="24" t="e">
        <f ca="1">[1]!BexGetData("DP_1","00O2TNJGODT0G5Z4TTKYMM5MT","GSON1112130320")</f>
        <v>#NAME?</v>
      </c>
      <c r="R1773" s="24" t="e">
        <f ca="1">[1]!BexGetData("DP_1","00O2TNJGODT0G5Z4TTKYMMBYD","GSON1112130320")</f>
        <v>#NAME?</v>
      </c>
      <c r="S1773" s="24" t="e">
        <f ca="1">[1]!BexGetData("DP_1","00O2TNJGODT0G5Z4TTKYMMI9X","GSON1112130320")</f>
        <v>#NAME?</v>
      </c>
      <c r="T1773" s="24" t="e">
        <f ca="1">[1]!BexGetData("DP_1","00O2TNJGODT0G5Z4TTKYMMOLH","GSON1112130320")</f>
        <v>#NAME?</v>
      </c>
      <c r="U1773" s="24" t="e">
        <f ca="1">[1]!BexGetData("DP_1","00O2TNJGODT0G5Z4TTKYMMUX1","GSON1112130320")</f>
        <v>#NAME?</v>
      </c>
      <c r="V1773" s="24" t="e">
        <f ca="1">[1]!BexGetData("DP_1","00O2TNJGODT0G5Z4TTKYMN18L","GSON1112130320")</f>
        <v>#NAME?</v>
      </c>
      <c r="W1773" s="24" t="e">
        <f ca="1">[1]!BexGetData("DP_1","00O2TNJGODT0G5Z4TTKYMN7K5","GSON1112130320")</f>
        <v>#NAME?</v>
      </c>
    </row>
    <row r="1774" spans="1:23" x14ac:dyDescent="0.2">
      <c r="A1774" s="36" t="s">
        <v>4606</v>
      </c>
      <c r="B1774" s="27" t="s">
        <v>4607</v>
      </c>
      <c r="C1774" s="23" t="e">
        <f ca="1">[1]!BexGetData("DP_1","003N8EMH8GTFRCSWKMPXRR8GU","GSON1112130321")</f>
        <v>#NAME?</v>
      </c>
      <c r="D1774" s="23" t="e">
        <f ca="1">[1]!BexGetData("DP_1","003N8EMH8GTFRCSWKMPXRRESE","GSON1112130321")</f>
        <v>#NAME?</v>
      </c>
      <c r="E1774" s="28" t="e">
        <f ca="1">[1]!BexGetData("DP_1","003N8EMH8GTFRCSWKMPXRRL3Y","GSON1112130321")</f>
        <v>#NAME?</v>
      </c>
      <c r="F1774" s="24" t="e">
        <f ca="1">[1]!BexGetData("DP_1","003N8EMH8GTFRCSWKMPXRRRFI","GSON1112130321")</f>
        <v>#NAME?</v>
      </c>
      <c r="G1774" s="24" t="e">
        <f ca="1">[1]!BexGetData("DP_1","003N8EMH8GTFRCSWKMPXRRXR2","GSON1112130321")</f>
        <v>#NAME?</v>
      </c>
      <c r="H1774" s="24" t="e">
        <f ca="1">[1]!BexGetData("DP_1","003N8EMH8GTFRCSWKMPXRS42M","GSON1112130321")</f>
        <v>#NAME?</v>
      </c>
      <c r="I1774" s="24" t="e">
        <f ca="1">[1]!BexGetData("DP_1","003N8EMH8GTFRCSWKMPXRSAE6","GSON1112130321")</f>
        <v>#NAME?</v>
      </c>
      <c r="J1774" s="24" t="e">
        <f ca="1">[1]!BexGetData("DP_1","003N8EMH8GTFRCSWKMPXRSGPQ","GSON1112130321")</f>
        <v>#NAME?</v>
      </c>
      <c r="K1774" s="28" t="e">
        <f ca="1">[1]!BexGetData("DP_1","003N8EMH8GTFRIVNUPY288VJH","GSON1112130321")</f>
        <v>#NAME?</v>
      </c>
      <c r="L1774" s="28" t="e">
        <f ca="1">[1]!BexGetData("DP_1","003N8EMH8GTFRIVNUPY2891V1","GSON1112130321")</f>
        <v>#NAME?</v>
      </c>
      <c r="M1774" s="28" t="e">
        <f ca="1">[1]!BexGetData("DP_1","003N8EMH8GTFRIVOG7KG9IQXA","GSON1112130321")</f>
        <v>#NAME?</v>
      </c>
      <c r="N1774" s="28" t="e">
        <f ca="1">[1]!BexGetData("DP_1","003N8EMH8GTFRIVOG7KG9IX8U","GSON1112130321")</f>
        <v>#NAME?</v>
      </c>
      <c r="O1774" s="28" t="e">
        <f ca="1">[1]!BexGetData("DP_1","003N8EMH8GTFRIVOG7KG9J3KE","GSON1112130321")</f>
        <v>#NAME?</v>
      </c>
      <c r="P1774" s="28" t="e">
        <f ca="1">[1]!BexGetData("DP_1","003N8EMH8GTFRIVOG7KG9J9VY","GSON1112130321")</f>
        <v>#NAME?</v>
      </c>
      <c r="Q1774" s="24" t="e">
        <f ca="1">[1]!BexGetData("DP_1","00O2TNJGODT0G5Z4TTKYMM5MT","GSON1112130321")</f>
        <v>#NAME?</v>
      </c>
      <c r="R1774" s="24" t="e">
        <f ca="1">[1]!BexGetData("DP_1","00O2TNJGODT0G5Z4TTKYMMBYD","GSON1112130321")</f>
        <v>#NAME?</v>
      </c>
      <c r="S1774" s="24" t="e">
        <f ca="1">[1]!BexGetData("DP_1","00O2TNJGODT0G5Z4TTKYMMI9X","GSON1112130321")</f>
        <v>#NAME?</v>
      </c>
      <c r="T1774" s="24" t="e">
        <f ca="1">[1]!BexGetData("DP_1","00O2TNJGODT0G5Z4TTKYMMOLH","GSON1112130321")</f>
        <v>#NAME?</v>
      </c>
      <c r="U1774" s="24" t="e">
        <f ca="1">[1]!BexGetData("DP_1","00O2TNJGODT0G5Z4TTKYMMUX1","GSON1112130321")</f>
        <v>#NAME?</v>
      </c>
      <c r="V1774" s="24" t="e">
        <f ca="1">[1]!BexGetData("DP_1","00O2TNJGODT0G5Z4TTKYMN18L","GSON1112130321")</f>
        <v>#NAME?</v>
      </c>
      <c r="W1774" s="24" t="e">
        <f ca="1">[1]!BexGetData("DP_1","00O2TNJGODT0G5Z4TTKYMN7K5","GSON1112130321")</f>
        <v>#NAME?</v>
      </c>
    </row>
    <row r="1775" spans="1:23" x14ac:dyDescent="0.2">
      <c r="A1775" s="36" t="s">
        <v>4608</v>
      </c>
      <c r="B1775" s="27" t="s">
        <v>4609</v>
      </c>
      <c r="C1775" s="23" t="e">
        <f ca="1">[1]!BexGetData("DP_1","003N8EMH8GTFRCSWKMPXRR8GU","GSON1112130325")</f>
        <v>#NAME?</v>
      </c>
      <c r="D1775" s="23" t="e">
        <f ca="1">[1]!BexGetData("DP_1","003N8EMH8GTFRCSWKMPXRRESE","GSON1112130325")</f>
        <v>#NAME?</v>
      </c>
      <c r="E1775" s="28" t="e">
        <f ca="1">[1]!BexGetData("DP_1","003N8EMH8GTFRCSWKMPXRRL3Y","GSON1112130325")</f>
        <v>#NAME?</v>
      </c>
      <c r="F1775" s="24" t="e">
        <f ca="1">[1]!BexGetData("DP_1","003N8EMH8GTFRCSWKMPXRRRFI","GSON1112130325")</f>
        <v>#NAME?</v>
      </c>
      <c r="G1775" s="24" t="e">
        <f ca="1">[1]!BexGetData("DP_1","003N8EMH8GTFRCSWKMPXRRXR2","GSON1112130325")</f>
        <v>#NAME?</v>
      </c>
      <c r="H1775" s="24" t="e">
        <f ca="1">[1]!BexGetData("DP_1","003N8EMH8GTFRCSWKMPXRS42M","GSON1112130325")</f>
        <v>#NAME?</v>
      </c>
      <c r="I1775" s="24" t="e">
        <f ca="1">[1]!BexGetData("DP_1","003N8EMH8GTFRCSWKMPXRSAE6","GSON1112130325")</f>
        <v>#NAME?</v>
      </c>
      <c r="J1775" s="24" t="e">
        <f ca="1">[1]!BexGetData("DP_1","003N8EMH8GTFRCSWKMPXRSGPQ","GSON1112130325")</f>
        <v>#NAME?</v>
      </c>
      <c r="K1775" s="28" t="e">
        <f ca="1">[1]!BexGetData("DP_1","003N8EMH8GTFRIVNUPY288VJH","GSON1112130325")</f>
        <v>#NAME?</v>
      </c>
      <c r="L1775" s="28" t="e">
        <f ca="1">[1]!BexGetData("DP_1","003N8EMH8GTFRIVNUPY2891V1","GSON1112130325")</f>
        <v>#NAME?</v>
      </c>
      <c r="M1775" s="28" t="e">
        <f ca="1">[1]!BexGetData("DP_1","003N8EMH8GTFRIVOG7KG9IQXA","GSON1112130325")</f>
        <v>#NAME?</v>
      </c>
      <c r="N1775" s="28" t="e">
        <f ca="1">[1]!BexGetData("DP_1","003N8EMH8GTFRIVOG7KG9IX8U","GSON1112130325")</f>
        <v>#NAME?</v>
      </c>
      <c r="O1775" s="28" t="e">
        <f ca="1">[1]!BexGetData("DP_1","003N8EMH8GTFRIVOG7KG9J3KE","GSON1112130325")</f>
        <v>#NAME?</v>
      </c>
      <c r="P1775" s="28" t="e">
        <f ca="1">[1]!BexGetData("DP_1","003N8EMH8GTFRIVOG7KG9J9VY","GSON1112130325")</f>
        <v>#NAME?</v>
      </c>
      <c r="Q1775" s="24" t="e">
        <f ca="1">[1]!BexGetData("DP_1","00O2TNJGODT0G5Z4TTKYMM5MT","GSON1112130325")</f>
        <v>#NAME?</v>
      </c>
      <c r="R1775" s="24" t="e">
        <f ca="1">[1]!BexGetData("DP_1","00O2TNJGODT0G5Z4TTKYMMBYD","GSON1112130325")</f>
        <v>#NAME?</v>
      </c>
      <c r="S1775" s="24" t="e">
        <f ca="1">[1]!BexGetData("DP_1","00O2TNJGODT0G5Z4TTKYMMI9X","GSON1112130325")</f>
        <v>#NAME?</v>
      </c>
      <c r="T1775" s="24" t="e">
        <f ca="1">[1]!BexGetData("DP_1","00O2TNJGODT0G5Z4TTKYMMOLH","GSON1112130325")</f>
        <v>#NAME?</v>
      </c>
      <c r="U1775" s="24" t="e">
        <f ca="1">[1]!BexGetData("DP_1","00O2TNJGODT0G5Z4TTKYMMUX1","GSON1112130325")</f>
        <v>#NAME?</v>
      </c>
      <c r="V1775" s="24" t="e">
        <f ca="1">[1]!BexGetData("DP_1","00O2TNJGODT0G5Z4TTKYMN18L","GSON1112130325")</f>
        <v>#NAME?</v>
      </c>
      <c r="W1775" s="24" t="e">
        <f ca="1">[1]!BexGetData("DP_1","00O2TNJGODT0G5Z4TTKYMN7K5","GSON1112130325")</f>
        <v>#NAME?</v>
      </c>
    </row>
    <row r="1776" spans="1:23" x14ac:dyDescent="0.2">
      <c r="A1776" s="36" t="s">
        <v>4610</v>
      </c>
      <c r="B1776" s="27" t="s">
        <v>4611</v>
      </c>
      <c r="C1776" s="23" t="e">
        <f ca="1">[1]!BexGetData("DP_1","003N8EMH8GTFRCSWKMPXRR8GU","GSON1112130330")</f>
        <v>#NAME?</v>
      </c>
      <c r="D1776" s="28" t="e">
        <f ca="1">[1]!BexGetData("DP_1","003N8EMH8GTFRCSWKMPXRRESE","GSON1112130330")</f>
        <v>#NAME?</v>
      </c>
      <c r="E1776" s="23" t="e">
        <f ca="1">[1]!BexGetData("DP_1","003N8EMH8GTFRCSWKMPXRRL3Y","GSON1112130330")</f>
        <v>#NAME?</v>
      </c>
      <c r="F1776" s="24" t="e">
        <f ca="1">[1]!BexGetData("DP_1","003N8EMH8GTFRCSWKMPXRRRFI","GSON1112130330")</f>
        <v>#NAME?</v>
      </c>
      <c r="G1776" s="24" t="e">
        <f ca="1">[1]!BexGetData("DP_1","003N8EMH8GTFRCSWKMPXRRXR2","GSON1112130330")</f>
        <v>#NAME?</v>
      </c>
      <c r="H1776" s="24" t="e">
        <f ca="1">[1]!BexGetData("DP_1","003N8EMH8GTFRCSWKMPXRS42M","GSON1112130330")</f>
        <v>#NAME?</v>
      </c>
      <c r="I1776" s="24" t="e">
        <f ca="1">[1]!BexGetData("DP_1","003N8EMH8GTFRCSWKMPXRSAE6","GSON1112130330")</f>
        <v>#NAME?</v>
      </c>
      <c r="J1776" s="24" t="e">
        <f ca="1">[1]!BexGetData("DP_1","003N8EMH8GTFRCSWKMPXRSGPQ","GSON1112130330")</f>
        <v>#NAME?</v>
      </c>
      <c r="K1776" s="23" t="e">
        <f ca="1">[1]!BexGetData("DP_1","003N8EMH8GTFRIVNUPY288VJH","GSON1112130330")</f>
        <v>#NAME?</v>
      </c>
      <c r="L1776" s="23" t="e">
        <f ca="1">[1]!BexGetData("DP_1","003N8EMH8GTFRIVNUPY2891V1","GSON1112130330")</f>
        <v>#NAME?</v>
      </c>
      <c r="M1776" s="28" t="e">
        <f ca="1">[1]!BexGetData("DP_1","003N8EMH8GTFRIVOG7KG9IQXA","GSON1112130330")</f>
        <v>#NAME?</v>
      </c>
      <c r="N1776" s="23" t="e">
        <f ca="1">[1]!BexGetData("DP_1","003N8EMH8GTFRIVOG7KG9IX8U","GSON1112130330")</f>
        <v>#NAME?</v>
      </c>
      <c r="O1776" s="28" t="e">
        <f ca="1">[1]!BexGetData("DP_1","003N8EMH8GTFRIVOG7KG9J3KE","GSON1112130330")</f>
        <v>#NAME?</v>
      </c>
      <c r="P1776" s="23" t="e">
        <f ca="1">[1]!BexGetData("DP_1","003N8EMH8GTFRIVOG7KG9J9VY","GSON1112130330")</f>
        <v>#NAME?</v>
      </c>
      <c r="Q1776" s="24" t="e">
        <f ca="1">[1]!BexGetData("DP_1","00O2TNJGODT0G5Z4TTKYMM5MT","GSON1112130330")</f>
        <v>#NAME?</v>
      </c>
      <c r="R1776" s="24" t="e">
        <f ca="1">[1]!BexGetData("DP_1","00O2TNJGODT0G5Z4TTKYMMBYD","GSON1112130330")</f>
        <v>#NAME?</v>
      </c>
      <c r="S1776" s="24" t="e">
        <f ca="1">[1]!BexGetData("DP_1","00O2TNJGODT0G5Z4TTKYMMI9X","GSON1112130330")</f>
        <v>#NAME?</v>
      </c>
      <c r="T1776" s="24" t="e">
        <f ca="1">[1]!BexGetData("DP_1","00O2TNJGODT0G5Z4TTKYMMOLH","GSON1112130330")</f>
        <v>#NAME?</v>
      </c>
      <c r="U1776" s="24" t="e">
        <f ca="1">[1]!BexGetData("DP_1","00O2TNJGODT0G5Z4TTKYMMUX1","GSON1112130330")</f>
        <v>#NAME?</v>
      </c>
      <c r="V1776" s="24" t="e">
        <f ca="1">[1]!BexGetData("DP_1","00O2TNJGODT0G5Z4TTKYMN18L","GSON1112130330")</f>
        <v>#NAME?</v>
      </c>
      <c r="W1776" s="24" t="e">
        <f ca="1">[1]!BexGetData("DP_1","00O2TNJGODT0G5Z4TTKYMN7K5","GSON1112130330")</f>
        <v>#NAME?</v>
      </c>
    </row>
    <row r="1777" spans="1:23" x14ac:dyDescent="0.2">
      <c r="A1777" s="36" t="s">
        <v>4612</v>
      </c>
      <c r="B1777" s="27" t="s">
        <v>4613</v>
      </c>
      <c r="C1777" s="23" t="e">
        <f ca="1">[1]!BexGetData("DP_1","003N8EMH8GTFRCSWKMPXRR8GU","GSON1112130331")</f>
        <v>#NAME?</v>
      </c>
      <c r="D1777" s="23" t="e">
        <f ca="1">[1]!BexGetData("DP_1","003N8EMH8GTFRCSWKMPXRRESE","GSON1112130331")</f>
        <v>#NAME?</v>
      </c>
      <c r="E1777" s="28" t="e">
        <f ca="1">[1]!BexGetData("DP_1","003N8EMH8GTFRCSWKMPXRRL3Y","GSON1112130331")</f>
        <v>#NAME?</v>
      </c>
      <c r="F1777" s="24" t="e">
        <f ca="1">[1]!BexGetData("DP_1","003N8EMH8GTFRCSWKMPXRRRFI","GSON1112130331")</f>
        <v>#NAME?</v>
      </c>
      <c r="G1777" s="24" t="e">
        <f ca="1">[1]!BexGetData("DP_1","003N8EMH8GTFRCSWKMPXRRXR2","GSON1112130331")</f>
        <v>#NAME?</v>
      </c>
      <c r="H1777" s="24" t="e">
        <f ca="1">[1]!BexGetData("DP_1","003N8EMH8GTFRCSWKMPXRS42M","GSON1112130331")</f>
        <v>#NAME?</v>
      </c>
      <c r="I1777" s="24" t="e">
        <f ca="1">[1]!BexGetData("DP_1","003N8EMH8GTFRCSWKMPXRSAE6","GSON1112130331")</f>
        <v>#NAME?</v>
      </c>
      <c r="J1777" s="24" t="e">
        <f ca="1">[1]!BexGetData("DP_1","003N8EMH8GTFRCSWKMPXRSGPQ","GSON1112130331")</f>
        <v>#NAME?</v>
      </c>
      <c r="K1777" s="28" t="e">
        <f ca="1">[1]!BexGetData("DP_1","003N8EMH8GTFRIVNUPY288VJH","GSON1112130331")</f>
        <v>#NAME?</v>
      </c>
      <c r="L1777" s="28" t="e">
        <f ca="1">[1]!BexGetData("DP_1","003N8EMH8GTFRIVNUPY2891V1","GSON1112130331")</f>
        <v>#NAME?</v>
      </c>
      <c r="M1777" s="28" t="e">
        <f ca="1">[1]!BexGetData("DP_1","003N8EMH8GTFRIVOG7KG9IQXA","GSON1112130331")</f>
        <v>#NAME?</v>
      </c>
      <c r="N1777" s="28" t="e">
        <f ca="1">[1]!BexGetData("DP_1","003N8EMH8GTFRIVOG7KG9IX8U","GSON1112130331")</f>
        <v>#NAME?</v>
      </c>
      <c r="O1777" s="28" t="e">
        <f ca="1">[1]!BexGetData("DP_1","003N8EMH8GTFRIVOG7KG9J3KE","GSON1112130331")</f>
        <v>#NAME?</v>
      </c>
      <c r="P1777" s="28" t="e">
        <f ca="1">[1]!BexGetData("DP_1","003N8EMH8GTFRIVOG7KG9J9VY","GSON1112130331")</f>
        <v>#NAME?</v>
      </c>
      <c r="Q1777" s="24" t="e">
        <f ca="1">[1]!BexGetData("DP_1","00O2TNJGODT0G5Z4TTKYMM5MT","GSON1112130331")</f>
        <v>#NAME?</v>
      </c>
      <c r="R1777" s="24" t="e">
        <f ca="1">[1]!BexGetData("DP_1","00O2TNJGODT0G5Z4TTKYMMBYD","GSON1112130331")</f>
        <v>#NAME?</v>
      </c>
      <c r="S1777" s="24" t="e">
        <f ca="1">[1]!BexGetData("DP_1","00O2TNJGODT0G5Z4TTKYMMI9X","GSON1112130331")</f>
        <v>#NAME?</v>
      </c>
      <c r="T1777" s="24" t="e">
        <f ca="1">[1]!BexGetData("DP_1","00O2TNJGODT0G5Z4TTKYMMOLH","GSON1112130331")</f>
        <v>#NAME?</v>
      </c>
      <c r="U1777" s="24" t="e">
        <f ca="1">[1]!BexGetData("DP_1","00O2TNJGODT0G5Z4TTKYMMUX1","GSON1112130331")</f>
        <v>#NAME?</v>
      </c>
      <c r="V1777" s="24" t="e">
        <f ca="1">[1]!BexGetData("DP_1","00O2TNJGODT0G5Z4TTKYMN18L","GSON1112130331")</f>
        <v>#NAME?</v>
      </c>
      <c r="W1777" s="24" t="e">
        <f ca="1">[1]!BexGetData("DP_1","00O2TNJGODT0G5Z4TTKYMN7K5","GSON1112130331")</f>
        <v>#NAME?</v>
      </c>
    </row>
    <row r="1778" spans="1:23" x14ac:dyDescent="0.2">
      <c r="A1778" s="36" t="s">
        <v>4614</v>
      </c>
      <c r="B1778" s="27" t="s">
        <v>4615</v>
      </c>
      <c r="C1778" s="23" t="e">
        <f ca="1">[1]!BexGetData("DP_1","003N8EMH8GTFRCSWKMPXRR8GU","GSON1112130335")</f>
        <v>#NAME?</v>
      </c>
      <c r="D1778" s="23" t="e">
        <f ca="1">[1]!BexGetData("DP_1","003N8EMH8GTFRCSWKMPXRRESE","GSON1112130335")</f>
        <v>#NAME?</v>
      </c>
      <c r="E1778" s="28" t="e">
        <f ca="1">[1]!BexGetData("DP_1","003N8EMH8GTFRCSWKMPXRRL3Y","GSON1112130335")</f>
        <v>#NAME?</v>
      </c>
      <c r="F1778" s="24" t="e">
        <f ca="1">[1]!BexGetData("DP_1","003N8EMH8GTFRCSWKMPXRRRFI","GSON1112130335")</f>
        <v>#NAME?</v>
      </c>
      <c r="G1778" s="24" t="e">
        <f ca="1">[1]!BexGetData("DP_1","003N8EMH8GTFRCSWKMPXRRXR2","GSON1112130335")</f>
        <v>#NAME?</v>
      </c>
      <c r="H1778" s="24" t="e">
        <f ca="1">[1]!BexGetData("DP_1","003N8EMH8GTFRCSWKMPXRS42M","GSON1112130335")</f>
        <v>#NAME?</v>
      </c>
      <c r="I1778" s="24" t="e">
        <f ca="1">[1]!BexGetData("DP_1","003N8EMH8GTFRCSWKMPXRSAE6","GSON1112130335")</f>
        <v>#NAME?</v>
      </c>
      <c r="J1778" s="24" t="e">
        <f ca="1">[1]!BexGetData("DP_1","003N8EMH8GTFRCSWKMPXRSGPQ","GSON1112130335")</f>
        <v>#NAME?</v>
      </c>
      <c r="K1778" s="28" t="e">
        <f ca="1">[1]!BexGetData("DP_1","003N8EMH8GTFRIVNUPY288VJH","GSON1112130335")</f>
        <v>#NAME?</v>
      </c>
      <c r="L1778" s="28" t="e">
        <f ca="1">[1]!BexGetData("DP_1","003N8EMH8GTFRIVNUPY2891V1","GSON1112130335")</f>
        <v>#NAME?</v>
      </c>
      <c r="M1778" s="28" t="e">
        <f ca="1">[1]!BexGetData("DP_1","003N8EMH8GTFRIVOG7KG9IQXA","GSON1112130335")</f>
        <v>#NAME?</v>
      </c>
      <c r="N1778" s="28" t="e">
        <f ca="1">[1]!BexGetData("DP_1","003N8EMH8GTFRIVOG7KG9IX8U","GSON1112130335")</f>
        <v>#NAME?</v>
      </c>
      <c r="O1778" s="28" t="e">
        <f ca="1">[1]!BexGetData("DP_1","003N8EMH8GTFRIVOG7KG9J3KE","GSON1112130335")</f>
        <v>#NAME?</v>
      </c>
      <c r="P1778" s="28" t="e">
        <f ca="1">[1]!BexGetData("DP_1","003N8EMH8GTFRIVOG7KG9J9VY","GSON1112130335")</f>
        <v>#NAME?</v>
      </c>
      <c r="Q1778" s="24" t="e">
        <f ca="1">[1]!BexGetData("DP_1","00O2TNJGODT0G5Z4TTKYMM5MT","GSON1112130335")</f>
        <v>#NAME?</v>
      </c>
      <c r="R1778" s="24" t="e">
        <f ca="1">[1]!BexGetData("DP_1","00O2TNJGODT0G5Z4TTKYMMBYD","GSON1112130335")</f>
        <v>#NAME?</v>
      </c>
      <c r="S1778" s="24" t="e">
        <f ca="1">[1]!BexGetData("DP_1","00O2TNJGODT0G5Z4TTKYMMI9X","GSON1112130335")</f>
        <v>#NAME?</v>
      </c>
      <c r="T1778" s="24" t="e">
        <f ca="1">[1]!BexGetData("DP_1","00O2TNJGODT0G5Z4TTKYMMOLH","GSON1112130335")</f>
        <v>#NAME?</v>
      </c>
      <c r="U1778" s="24" t="e">
        <f ca="1">[1]!BexGetData("DP_1","00O2TNJGODT0G5Z4TTKYMMUX1","GSON1112130335")</f>
        <v>#NAME?</v>
      </c>
      <c r="V1778" s="24" t="e">
        <f ca="1">[1]!BexGetData("DP_1","00O2TNJGODT0G5Z4TTKYMN18L","GSON1112130335")</f>
        <v>#NAME?</v>
      </c>
      <c r="W1778" s="24" t="e">
        <f ca="1">[1]!BexGetData("DP_1","00O2TNJGODT0G5Z4TTKYMN7K5","GSON1112130335")</f>
        <v>#NAME?</v>
      </c>
    </row>
    <row r="1779" spans="1:23" x14ac:dyDescent="0.2">
      <c r="A1779" s="36" t="s">
        <v>4616</v>
      </c>
      <c r="B1779" s="27" t="s">
        <v>4617</v>
      </c>
      <c r="C1779" s="23" t="e">
        <f ca="1">[1]!BexGetData("DP_1","003N8EMH8GTFRCSWKMPXRR8GU","GSON1112130340")</f>
        <v>#NAME?</v>
      </c>
      <c r="D1779" s="23" t="e">
        <f ca="1">[1]!BexGetData("DP_1","003N8EMH8GTFRCSWKMPXRRESE","GSON1112130340")</f>
        <v>#NAME?</v>
      </c>
      <c r="E1779" s="23" t="e">
        <f ca="1">[1]!BexGetData("DP_1","003N8EMH8GTFRCSWKMPXRRL3Y","GSON1112130340")</f>
        <v>#NAME?</v>
      </c>
      <c r="F1779" s="24" t="e">
        <f ca="1">[1]!BexGetData("DP_1","003N8EMH8GTFRCSWKMPXRRRFI","GSON1112130340")</f>
        <v>#NAME?</v>
      </c>
      <c r="G1779" s="24" t="e">
        <f ca="1">[1]!BexGetData("DP_1","003N8EMH8GTFRCSWKMPXRRXR2","GSON1112130340")</f>
        <v>#NAME?</v>
      </c>
      <c r="H1779" s="24" t="e">
        <f ca="1">[1]!BexGetData("DP_1","003N8EMH8GTFRCSWKMPXRS42M","GSON1112130340")</f>
        <v>#NAME?</v>
      </c>
      <c r="I1779" s="24" t="e">
        <f ca="1">[1]!BexGetData("DP_1","003N8EMH8GTFRCSWKMPXRSAE6","GSON1112130340")</f>
        <v>#NAME?</v>
      </c>
      <c r="J1779" s="24" t="e">
        <f ca="1">[1]!BexGetData("DP_1","003N8EMH8GTFRCSWKMPXRSGPQ","GSON1112130340")</f>
        <v>#NAME?</v>
      </c>
      <c r="K1779" s="23" t="e">
        <f ca="1">[1]!BexGetData("DP_1","003N8EMH8GTFRIVNUPY288VJH","GSON1112130340")</f>
        <v>#NAME?</v>
      </c>
      <c r="L1779" s="23" t="e">
        <f ca="1">[1]!BexGetData("DP_1","003N8EMH8GTFRIVNUPY2891V1","GSON1112130340")</f>
        <v>#NAME?</v>
      </c>
      <c r="M1779" s="28" t="e">
        <f ca="1">[1]!BexGetData("DP_1","003N8EMH8GTFRIVOG7KG9IQXA","GSON1112130340")</f>
        <v>#NAME?</v>
      </c>
      <c r="N1779" s="23" t="e">
        <f ca="1">[1]!BexGetData("DP_1","003N8EMH8GTFRIVOG7KG9IX8U","GSON1112130340")</f>
        <v>#NAME?</v>
      </c>
      <c r="O1779" s="28" t="e">
        <f ca="1">[1]!BexGetData("DP_1","003N8EMH8GTFRIVOG7KG9J3KE","GSON1112130340")</f>
        <v>#NAME?</v>
      </c>
      <c r="P1779" s="23" t="e">
        <f ca="1">[1]!BexGetData("DP_1","003N8EMH8GTFRIVOG7KG9J9VY","GSON1112130340")</f>
        <v>#NAME?</v>
      </c>
      <c r="Q1779" s="24" t="e">
        <f ca="1">[1]!BexGetData("DP_1","00O2TNJGODT0G5Z4TTKYMM5MT","GSON1112130340")</f>
        <v>#NAME?</v>
      </c>
      <c r="R1779" s="24" t="e">
        <f ca="1">[1]!BexGetData("DP_1","00O2TNJGODT0G5Z4TTKYMMBYD","GSON1112130340")</f>
        <v>#NAME?</v>
      </c>
      <c r="S1779" s="24" t="e">
        <f ca="1">[1]!BexGetData("DP_1","00O2TNJGODT0G5Z4TTKYMMI9X","GSON1112130340")</f>
        <v>#NAME?</v>
      </c>
      <c r="T1779" s="24" t="e">
        <f ca="1">[1]!BexGetData("DP_1","00O2TNJGODT0G5Z4TTKYMMOLH","GSON1112130340")</f>
        <v>#NAME?</v>
      </c>
      <c r="U1779" s="24" t="e">
        <f ca="1">[1]!BexGetData("DP_1","00O2TNJGODT0G5Z4TTKYMMUX1","GSON1112130340")</f>
        <v>#NAME?</v>
      </c>
      <c r="V1779" s="24" t="e">
        <f ca="1">[1]!BexGetData("DP_1","00O2TNJGODT0G5Z4TTKYMN18L","GSON1112130340")</f>
        <v>#NAME?</v>
      </c>
      <c r="W1779" s="24" t="e">
        <f ca="1">[1]!BexGetData("DP_1","00O2TNJGODT0G5Z4TTKYMN7K5","GSON1112130340")</f>
        <v>#NAME?</v>
      </c>
    </row>
    <row r="1780" spans="1:23" x14ac:dyDescent="0.2">
      <c r="A1780" s="36" t="s">
        <v>4618</v>
      </c>
      <c r="B1780" s="27" t="s">
        <v>4619</v>
      </c>
      <c r="C1780" s="23" t="e">
        <f ca="1">[1]!BexGetData("DP_1","003N8EMH8GTFRCSWKMPXRR8GU","GSON1112130341")</f>
        <v>#NAME?</v>
      </c>
      <c r="D1780" s="23" t="e">
        <f ca="1">[1]!BexGetData("DP_1","003N8EMH8GTFRCSWKMPXRRESE","GSON1112130341")</f>
        <v>#NAME?</v>
      </c>
      <c r="E1780" s="28" t="e">
        <f ca="1">[1]!BexGetData("DP_1","003N8EMH8GTFRCSWKMPXRRL3Y","GSON1112130341")</f>
        <v>#NAME?</v>
      </c>
      <c r="F1780" s="24" t="e">
        <f ca="1">[1]!BexGetData("DP_1","003N8EMH8GTFRCSWKMPXRRRFI","GSON1112130341")</f>
        <v>#NAME?</v>
      </c>
      <c r="G1780" s="24" t="e">
        <f ca="1">[1]!BexGetData("DP_1","003N8EMH8GTFRCSWKMPXRRXR2","GSON1112130341")</f>
        <v>#NAME?</v>
      </c>
      <c r="H1780" s="24" t="e">
        <f ca="1">[1]!BexGetData("DP_1","003N8EMH8GTFRCSWKMPXRS42M","GSON1112130341")</f>
        <v>#NAME?</v>
      </c>
      <c r="I1780" s="24" t="e">
        <f ca="1">[1]!BexGetData("DP_1","003N8EMH8GTFRCSWKMPXRSAE6","GSON1112130341")</f>
        <v>#NAME?</v>
      </c>
      <c r="J1780" s="24" t="e">
        <f ca="1">[1]!BexGetData("DP_1","003N8EMH8GTFRCSWKMPXRSGPQ","GSON1112130341")</f>
        <v>#NAME?</v>
      </c>
      <c r="K1780" s="28" t="e">
        <f ca="1">[1]!BexGetData("DP_1","003N8EMH8GTFRIVNUPY288VJH","GSON1112130341")</f>
        <v>#NAME?</v>
      </c>
      <c r="L1780" s="28" t="e">
        <f ca="1">[1]!BexGetData("DP_1","003N8EMH8GTFRIVNUPY2891V1","GSON1112130341")</f>
        <v>#NAME?</v>
      </c>
      <c r="M1780" s="28" t="e">
        <f ca="1">[1]!BexGetData("DP_1","003N8EMH8GTFRIVOG7KG9IQXA","GSON1112130341")</f>
        <v>#NAME?</v>
      </c>
      <c r="N1780" s="28" t="e">
        <f ca="1">[1]!BexGetData("DP_1","003N8EMH8GTFRIVOG7KG9IX8U","GSON1112130341")</f>
        <v>#NAME?</v>
      </c>
      <c r="O1780" s="28" t="e">
        <f ca="1">[1]!BexGetData("DP_1","003N8EMH8GTFRIVOG7KG9J3KE","GSON1112130341")</f>
        <v>#NAME?</v>
      </c>
      <c r="P1780" s="28" t="e">
        <f ca="1">[1]!BexGetData("DP_1","003N8EMH8GTFRIVOG7KG9J9VY","GSON1112130341")</f>
        <v>#NAME?</v>
      </c>
      <c r="Q1780" s="24" t="e">
        <f ca="1">[1]!BexGetData("DP_1","00O2TNJGODT0G5Z4TTKYMM5MT","GSON1112130341")</f>
        <v>#NAME?</v>
      </c>
      <c r="R1780" s="24" t="e">
        <f ca="1">[1]!BexGetData("DP_1","00O2TNJGODT0G5Z4TTKYMMBYD","GSON1112130341")</f>
        <v>#NAME?</v>
      </c>
      <c r="S1780" s="24" t="e">
        <f ca="1">[1]!BexGetData("DP_1","00O2TNJGODT0G5Z4TTKYMMI9X","GSON1112130341")</f>
        <v>#NAME?</v>
      </c>
      <c r="T1780" s="24" t="e">
        <f ca="1">[1]!BexGetData("DP_1","00O2TNJGODT0G5Z4TTKYMMOLH","GSON1112130341")</f>
        <v>#NAME?</v>
      </c>
      <c r="U1780" s="24" t="e">
        <f ca="1">[1]!BexGetData("DP_1","00O2TNJGODT0G5Z4TTKYMMUX1","GSON1112130341")</f>
        <v>#NAME?</v>
      </c>
      <c r="V1780" s="24" t="e">
        <f ca="1">[1]!BexGetData("DP_1","00O2TNJGODT0G5Z4TTKYMN18L","GSON1112130341")</f>
        <v>#NAME?</v>
      </c>
      <c r="W1780" s="24" t="e">
        <f ca="1">[1]!BexGetData("DP_1","00O2TNJGODT0G5Z4TTKYMN7K5","GSON1112130341")</f>
        <v>#NAME?</v>
      </c>
    </row>
    <row r="1781" spans="1:23" x14ac:dyDescent="0.2">
      <c r="A1781" s="36" t="s">
        <v>4620</v>
      </c>
      <c r="B1781" s="27" t="s">
        <v>4621</v>
      </c>
      <c r="C1781" s="28" t="e">
        <f ca="1">[1]!BexGetData("DP_1","003N8EMH8GTFRCSWKMPXRR8GU","GSON1112130342")</f>
        <v>#NAME?</v>
      </c>
      <c r="D1781" s="23" t="e">
        <f ca="1">[1]!BexGetData("DP_1","003N8EMH8GTFRCSWKMPXRRESE","GSON1112130342")</f>
        <v>#NAME?</v>
      </c>
      <c r="E1781" s="23" t="e">
        <f ca="1">[1]!BexGetData("DP_1","003N8EMH8GTFRCSWKMPXRRL3Y","GSON1112130342")</f>
        <v>#NAME?</v>
      </c>
      <c r="F1781" s="24" t="e">
        <f ca="1">[1]!BexGetData("DP_1","003N8EMH8GTFRCSWKMPXRRRFI","GSON1112130342")</f>
        <v>#NAME?</v>
      </c>
      <c r="G1781" s="24" t="e">
        <f ca="1">[1]!BexGetData("DP_1","003N8EMH8GTFRCSWKMPXRRXR2","GSON1112130342")</f>
        <v>#NAME?</v>
      </c>
      <c r="H1781" s="24" t="e">
        <f ca="1">[1]!BexGetData("DP_1","003N8EMH8GTFRCSWKMPXRS42M","GSON1112130342")</f>
        <v>#NAME?</v>
      </c>
      <c r="I1781" s="24" t="e">
        <f ca="1">[1]!BexGetData("DP_1","003N8EMH8GTFRCSWKMPXRSAE6","GSON1112130342")</f>
        <v>#NAME?</v>
      </c>
      <c r="J1781" s="24" t="e">
        <f ca="1">[1]!BexGetData("DP_1","003N8EMH8GTFRCSWKMPXRSGPQ","GSON1112130342")</f>
        <v>#NAME?</v>
      </c>
      <c r="K1781" s="23" t="e">
        <f ca="1">[1]!BexGetData("DP_1","003N8EMH8GTFRIVNUPY288VJH","GSON1112130342")</f>
        <v>#NAME?</v>
      </c>
      <c r="L1781" s="23" t="e">
        <f ca="1">[1]!BexGetData("DP_1","003N8EMH8GTFRIVNUPY2891V1","GSON1112130342")</f>
        <v>#NAME?</v>
      </c>
      <c r="M1781" s="23" t="e">
        <f ca="1">[1]!BexGetData("DP_1","003N8EMH8GTFRIVOG7KG9IQXA","GSON1112130342")</f>
        <v>#NAME?</v>
      </c>
      <c r="N1781" s="28" t="e">
        <f ca="1">[1]!BexGetData("DP_1","003N8EMH8GTFRIVOG7KG9IX8U","GSON1112130342")</f>
        <v>#NAME?</v>
      </c>
      <c r="O1781" s="23" t="e">
        <f ca="1">[1]!BexGetData("DP_1","003N8EMH8GTFRIVOG7KG9J3KE","GSON1112130342")</f>
        <v>#NAME?</v>
      </c>
      <c r="P1781" s="28" t="e">
        <f ca="1">[1]!BexGetData("DP_1","003N8EMH8GTFRIVOG7KG9J9VY","GSON1112130342")</f>
        <v>#NAME?</v>
      </c>
      <c r="Q1781" s="24" t="e">
        <f ca="1">[1]!BexGetData("DP_1","00O2TNJGODT0G5Z4TTKYMM5MT","GSON1112130342")</f>
        <v>#NAME?</v>
      </c>
      <c r="R1781" s="24" t="e">
        <f ca="1">[1]!BexGetData("DP_1","00O2TNJGODT0G5Z4TTKYMMBYD","GSON1112130342")</f>
        <v>#NAME?</v>
      </c>
      <c r="S1781" s="24" t="e">
        <f ca="1">[1]!BexGetData("DP_1","00O2TNJGODT0G5Z4TTKYMMI9X","GSON1112130342")</f>
        <v>#NAME?</v>
      </c>
      <c r="T1781" s="24" t="e">
        <f ca="1">[1]!BexGetData("DP_1","00O2TNJGODT0G5Z4TTKYMMOLH","GSON1112130342")</f>
        <v>#NAME?</v>
      </c>
      <c r="U1781" s="24" t="e">
        <f ca="1">[1]!BexGetData("DP_1","00O2TNJGODT0G5Z4TTKYMMUX1","GSON1112130342")</f>
        <v>#NAME?</v>
      </c>
      <c r="V1781" s="24" t="e">
        <f ca="1">[1]!BexGetData("DP_1","00O2TNJGODT0G5Z4TTKYMN18L","GSON1112130342")</f>
        <v>#NAME?</v>
      </c>
      <c r="W1781" s="24" t="e">
        <f ca="1">[1]!BexGetData("DP_1","00O2TNJGODT0G5Z4TTKYMN7K5","GSON1112130342")</f>
        <v>#NAME?</v>
      </c>
    </row>
    <row r="1782" spans="1:23" x14ac:dyDescent="0.2">
      <c r="A1782" s="36" t="s">
        <v>4622</v>
      </c>
      <c r="B1782" s="27" t="s">
        <v>4623</v>
      </c>
      <c r="C1782" s="23" t="e">
        <f ca="1">[1]!BexGetData("DP_1","003N8EMH8GTFRCSWKMPXRR8GU","GSON1112130343")</f>
        <v>#NAME?</v>
      </c>
      <c r="D1782" s="23" t="e">
        <f ca="1">[1]!BexGetData("DP_1","003N8EMH8GTFRCSWKMPXRRESE","GSON1112130343")</f>
        <v>#NAME?</v>
      </c>
      <c r="E1782" s="23" t="e">
        <f ca="1">[1]!BexGetData("DP_1","003N8EMH8GTFRCSWKMPXRRL3Y","GSON1112130343")</f>
        <v>#NAME?</v>
      </c>
      <c r="F1782" s="24" t="e">
        <f ca="1">[1]!BexGetData("DP_1","003N8EMH8GTFRCSWKMPXRRRFI","GSON1112130343")</f>
        <v>#NAME?</v>
      </c>
      <c r="G1782" s="24" t="e">
        <f ca="1">[1]!BexGetData("DP_1","003N8EMH8GTFRCSWKMPXRRXR2","GSON1112130343")</f>
        <v>#NAME?</v>
      </c>
      <c r="H1782" s="24" t="e">
        <f ca="1">[1]!BexGetData("DP_1","003N8EMH8GTFRCSWKMPXRS42M","GSON1112130343")</f>
        <v>#NAME?</v>
      </c>
      <c r="I1782" s="24" t="e">
        <f ca="1">[1]!BexGetData("DP_1","003N8EMH8GTFRCSWKMPXRSAE6","GSON1112130343")</f>
        <v>#NAME?</v>
      </c>
      <c r="J1782" s="24" t="e">
        <f ca="1">[1]!BexGetData("DP_1","003N8EMH8GTFRCSWKMPXRSGPQ","GSON1112130343")</f>
        <v>#NAME?</v>
      </c>
      <c r="K1782" s="23" t="e">
        <f ca="1">[1]!BexGetData("DP_1","003N8EMH8GTFRIVNUPY288VJH","GSON1112130343")</f>
        <v>#NAME?</v>
      </c>
      <c r="L1782" s="23" t="e">
        <f ca="1">[1]!BexGetData("DP_1","003N8EMH8GTFRIVNUPY2891V1","GSON1112130343")</f>
        <v>#NAME?</v>
      </c>
      <c r="M1782" s="23" t="e">
        <f ca="1">[1]!BexGetData("DP_1","003N8EMH8GTFRIVOG7KG9IQXA","GSON1112130343")</f>
        <v>#NAME?</v>
      </c>
      <c r="N1782" s="28" t="e">
        <f ca="1">[1]!BexGetData("DP_1","003N8EMH8GTFRIVOG7KG9IX8U","GSON1112130343")</f>
        <v>#NAME?</v>
      </c>
      <c r="O1782" s="23" t="e">
        <f ca="1">[1]!BexGetData("DP_1","003N8EMH8GTFRIVOG7KG9J3KE","GSON1112130343")</f>
        <v>#NAME?</v>
      </c>
      <c r="P1782" s="28" t="e">
        <f ca="1">[1]!BexGetData("DP_1","003N8EMH8GTFRIVOG7KG9J9VY","GSON1112130343")</f>
        <v>#NAME?</v>
      </c>
      <c r="Q1782" s="24" t="e">
        <f ca="1">[1]!BexGetData("DP_1","00O2TNJGODT0G5Z4TTKYMM5MT","GSON1112130343")</f>
        <v>#NAME?</v>
      </c>
      <c r="R1782" s="24" t="e">
        <f ca="1">[1]!BexGetData("DP_1","00O2TNJGODT0G5Z4TTKYMMBYD","GSON1112130343")</f>
        <v>#NAME?</v>
      </c>
      <c r="S1782" s="24" t="e">
        <f ca="1">[1]!BexGetData("DP_1","00O2TNJGODT0G5Z4TTKYMMI9X","GSON1112130343")</f>
        <v>#NAME?</v>
      </c>
      <c r="T1782" s="24" t="e">
        <f ca="1">[1]!BexGetData("DP_1","00O2TNJGODT0G5Z4TTKYMMOLH","GSON1112130343")</f>
        <v>#NAME?</v>
      </c>
      <c r="U1782" s="24" t="e">
        <f ca="1">[1]!BexGetData("DP_1","00O2TNJGODT0G5Z4TTKYMMUX1","GSON1112130343")</f>
        <v>#NAME?</v>
      </c>
      <c r="V1782" s="24" t="e">
        <f ca="1">[1]!BexGetData("DP_1","00O2TNJGODT0G5Z4TTKYMN18L","GSON1112130343")</f>
        <v>#NAME?</v>
      </c>
      <c r="W1782" s="24" t="e">
        <f ca="1">[1]!BexGetData("DP_1","00O2TNJGODT0G5Z4TTKYMN7K5","GSON1112130343")</f>
        <v>#NAME?</v>
      </c>
    </row>
    <row r="1783" spans="1:23" x14ac:dyDescent="0.2">
      <c r="A1783" s="36" t="s">
        <v>4624</v>
      </c>
      <c r="B1783" s="27" t="s">
        <v>4625</v>
      </c>
      <c r="C1783" s="23" t="e">
        <f ca="1">[1]!BexGetData("DP_1","003N8EMH8GTFRCSWKMPXRR8GU","GSON1112130345")</f>
        <v>#NAME?</v>
      </c>
      <c r="D1783" s="23" t="e">
        <f ca="1">[1]!BexGetData("DP_1","003N8EMH8GTFRCSWKMPXRRESE","GSON1112130345")</f>
        <v>#NAME?</v>
      </c>
      <c r="E1783" s="28" t="e">
        <f ca="1">[1]!BexGetData("DP_1","003N8EMH8GTFRCSWKMPXRRL3Y","GSON1112130345")</f>
        <v>#NAME?</v>
      </c>
      <c r="F1783" s="24" t="e">
        <f ca="1">[1]!BexGetData("DP_1","003N8EMH8GTFRCSWKMPXRRRFI","GSON1112130345")</f>
        <v>#NAME?</v>
      </c>
      <c r="G1783" s="24" t="e">
        <f ca="1">[1]!BexGetData("DP_1","003N8EMH8GTFRCSWKMPXRRXR2","GSON1112130345")</f>
        <v>#NAME?</v>
      </c>
      <c r="H1783" s="24" t="e">
        <f ca="1">[1]!BexGetData("DP_1","003N8EMH8GTFRCSWKMPXRS42M","GSON1112130345")</f>
        <v>#NAME?</v>
      </c>
      <c r="I1783" s="24" t="e">
        <f ca="1">[1]!BexGetData("DP_1","003N8EMH8GTFRCSWKMPXRSAE6","GSON1112130345")</f>
        <v>#NAME?</v>
      </c>
      <c r="J1783" s="24" t="e">
        <f ca="1">[1]!BexGetData("DP_1","003N8EMH8GTFRCSWKMPXRSGPQ","GSON1112130345")</f>
        <v>#NAME?</v>
      </c>
      <c r="K1783" s="28" t="e">
        <f ca="1">[1]!BexGetData("DP_1","003N8EMH8GTFRIVNUPY288VJH","GSON1112130345")</f>
        <v>#NAME?</v>
      </c>
      <c r="L1783" s="28" t="e">
        <f ca="1">[1]!BexGetData("DP_1","003N8EMH8GTFRIVNUPY2891V1","GSON1112130345")</f>
        <v>#NAME?</v>
      </c>
      <c r="M1783" s="28" t="e">
        <f ca="1">[1]!BexGetData("DP_1","003N8EMH8GTFRIVOG7KG9IQXA","GSON1112130345")</f>
        <v>#NAME?</v>
      </c>
      <c r="N1783" s="28" t="e">
        <f ca="1">[1]!BexGetData("DP_1","003N8EMH8GTFRIVOG7KG9IX8U","GSON1112130345")</f>
        <v>#NAME?</v>
      </c>
      <c r="O1783" s="28" t="e">
        <f ca="1">[1]!BexGetData("DP_1","003N8EMH8GTFRIVOG7KG9J3KE","GSON1112130345")</f>
        <v>#NAME?</v>
      </c>
      <c r="P1783" s="28" t="e">
        <f ca="1">[1]!BexGetData("DP_1","003N8EMH8GTFRIVOG7KG9J9VY","GSON1112130345")</f>
        <v>#NAME?</v>
      </c>
      <c r="Q1783" s="24" t="e">
        <f ca="1">[1]!BexGetData("DP_1","00O2TNJGODT0G5Z4TTKYMM5MT","GSON1112130345")</f>
        <v>#NAME?</v>
      </c>
      <c r="R1783" s="24" t="e">
        <f ca="1">[1]!BexGetData("DP_1","00O2TNJGODT0G5Z4TTKYMMBYD","GSON1112130345")</f>
        <v>#NAME?</v>
      </c>
      <c r="S1783" s="24" t="e">
        <f ca="1">[1]!BexGetData("DP_1","00O2TNJGODT0G5Z4TTKYMMI9X","GSON1112130345")</f>
        <v>#NAME?</v>
      </c>
      <c r="T1783" s="24" t="e">
        <f ca="1">[1]!BexGetData("DP_1","00O2TNJGODT0G5Z4TTKYMMOLH","GSON1112130345")</f>
        <v>#NAME?</v>
      </c>
      <c r="U1783" s="24" t="e">
        <f ca="1">[1]!BexGetData("DP_1","00O2TNJGODT0G5Z4TTKYMMUX1","GSON1112130345")</f>
        <v>#NAME?</v>
      </c>
      <c r="V1783" s="24" t="e">
        <f ca="1">[1]!BexGetData("DP_1","00O2TNJGODT0G5Z4TTKYMN18L","GSON1112130345")</f>
        <v>#NAME?</v>
      </c>
      <c r="W1783" s="24" t="e">
        <f ca="1">[1]!BexGetData("DP_1","00O2TNJGODT0G5Z4TTKYMN7K5","GSON1112130345")</f>
        <v>#NAME?</v>
      </c>
    </row>
    <row r="1784" spans="1:23" x14ac:dyDescent="0.2">
      <c r="A1784" s="36" t="s">
        <v>4626</v>
      </c>
      <c r="B1784" s="27" t="s">
        <v>4627</v>
      </c>
      <c r="C1784" s="23" t="e">
        <f ca="1">[1]!BexGetData("DP_1","003N8EMH8GTFRCSWKMPXRR8GU","GSON1112130350")</f>
        <v>#NAME?</v>
      </c>
      <c r="D1784" s="23" t="e">
        <f ca="1">[1]!BexGetData("DP_1","003N8EMH8GTFRCSWKMPXRRESE","GSON1112130350")</f>
        <v>#NAME?</v>
      </c>
      <c r="E1784" s="23" t="e">
        <f ca="1">[1]!BexGetData("DP_1","003N8EMH8GTFRCSWKMPXRRL3Y","GSON1112130350")</f>
        <v>#NAME?</v>
      </c>
      <c r="F1784" s="24" t="e">
        <f ca="1">[1]!BexGetData("DP_1","003N8EMH8GTFRCSWKMPXRRRFI","GSON1112130350")</f>
        <v>#NAME?</v>
      </c>
      <c r="G1784" s="24" t="e">
        <f ca="1">[1]!BexGetData("DP_1","003N8EMH8GTFRCSWKMPXRRXR2","GSON1112130350")</f>
        <v>#NAME?</v>
      </c>
      <c r="H1784" s="24" t="e">
        <f ca="1">[1]!BexGetData("DP_1","003N8EMH8GTFRCSWKMPXRS42M","GSON1112130350")</f>
        <v>#NAME?</v>
      </c>
      <c r="I1784" s="24" t="e">
        <f ca="1">[1]!BexGetData("DP_1","003N8EMH8GTFRCSWKMPXRSAE6","GSON1112130350")</f>
        <v>#NAME?</v>
      </c>
      <c r="J1784" s="24" t="e">
        <f ca="1">[1]!BexGetData("DP_1","003N8EMH8GTFRCSWKMPXRSGPQ","GSON1112130350")</f>
        <v>#NAME?</v>
      </c>
      <c r="K1784" s="23" t="e">
        <f ca="1">[1]!BexGetData("DP_1","003N8EMH8GTFRIVNUPY288VJH","GSON1112130350")</f>
        <v>#NAME?</v>
      </c>
      <c r="L1784" s="23" t="e">
        <f ca="1">[1]!BexGetData("DP_1","003N8EMH8GTFRIVNUPY2891V1","GSON1112130350")</f>
        <v>#NAME?</v>
      </c>
      <c r="M1784" s="28" t="e">
        <f ca="1">[1]!BexGetData("DP_1","003N8EMH8GTFRIVOG7KG9IQXA","GSON1112130350")</f>
        <v>#NAME?</v>
      </c>
      <c r="N1784" s="23" t="e">
        <f ca="1">[1]!BexGetData("DP_1","003N8EMH8GTFRIVOG7KG9IX8U","GSON1112130350")</f>
        <v>#NAME?</v>
      </c>
      <c r="O1784" s="28" t="e">
        <f ca="1">[1]!BexGetData("DP_1","003N8EMH8GTFRIVOG7KG9J3KE","GSON1112130350")</f>
        <v>#NAME?</v>
      </c>
      <c r="P1784" s="23" t="e">
        <f ca="1">[1]!BexGetData("DP_1","003N8EMH8GTFRIVOG7KG9J9VY","GSON1112130350")</f>
        <v>#NAME?</v>
      </c>
      <c r="Q1784" s="24" t="e">
        <f ca="1">[1]!BexGetData("DP_1","00O2TNJGODT0G5Z4TTKYMM5MT","GSON1112130350")</f>
        <v>#NAME?</v>
      </c>
      <c r="R1784" s="24" t="e">
        <f ca="1">[1]!BexGetData("DP_1","00O2TNJGODT0G5Z4TTKYMMBYD","GSON1112130350")</f>
        <v>#NAME?</v>
      </c>
      <c r="S1784" s="24" t="e">
        <f ca="1">[1]!BexGetData("DP_1","00O2TNJGODT0G5Z4TTKYMMI9X","GSON1112130350")</f>
        <v>#NAME?</v>
      </c>
      <c r="T1784" s="24" t="e">
        <f ca="1">[1]!BexGetData("DP_1","00O2TNJGODT0G5Z4TTKYMMOLH","GSON1112130350")</f>
        <v>#NAME?</v>
      </c>
      <c r="U1784" s="24" t="e">
        <f ca="1">[1]!BexGetData("DP_1","00O2TNJGODT0G5Z4TTKYMMUX1","GSON1112130350")</f>
        <v>#NAME?</v>
      </c>
      <c r="V1784" s="24" t="e">
        <f ca="1">[1]!BexGetData("DP_1","00O2TNJGODT0G5Z4TTKYMN18L","GSON1112130350")</f>
        <v>#NAME?</v>
      </c>
      <c r="W1784" s="24" t="e">
        <f ca="1">[1]!BexGetData("DP_1","00O2TNJGODT0G5Z4TTKYMN7K5","GSON1112130350")</f>
        <v>#NAME?</v>
      </c>
    </row>
    <row r="1785" spans="1:23" x14ac:dyDescent="0.2">
      <c r="A1785" s="36" t="s">
        <v>4628</v>
      </c>
      <c r="B1785" s="27" t="s">
        <v>4629</v>
      </c>
      <c r="C1785" s="23" t="e">
        <f ca="1">[1]!BexGetData("DP_1","003N8EMH8GTFRCSWKMPXRR8GU","GSON1112130351")</f>
        <v>#NAME?</v>
      </c>
      <c r="D1785" s="23" t="e">
        <f ca="1">[1]!BexGetData("DP_1","003N8EMH8GTFRCSWKMPXRRESE","GSON1112130351")</f>
        <v>#NAME?</v>
      </c>
      <c r="E1785" s="28" t="e">
        <f ca="1">[1]!BexGetData("DP_1","003N8EMH8GTFRCSWKMPXRRL3Y","GSON1112130351")</f>
        <v>#NAME?</v>
      </c>
      <c r="F1785" s="24" t="e">
        <f ca="1">[1]!BexGetData("DP_1","003N8EMH8GTFRCSWKMPXRRRFI","GSON1112130351")</f>
        <v>#NAME?</v>
      </c>
      <c r="G1785" s="24" t="e">
        <f ca="1">[1]!BexGetData("DP_1","003N8EMH8GTFRCSWKMPXRRXR2","GSON1112130351")</f>
        <v>#NAME?</v>
      </c>
      <c r="H1785" s="24" t="e">
        <f ca="1">[1]!BexGetData("DP_1","003N8EMH8GTFRCSWKMPXRS42M","GSON1112130351")</f>
        <v>#NAME?</v>
      </c>
      <c r="I1785" s="24" t="e">
        <f ca="1">[1]!BexGetData("DP_1","003N8EMH8GTFRCSWKMPXRSAE6","GSON1112130351")</f>
        <v>#NAME?</v>
      </c>
      <c r="J1785" s="24" t="e">
        <f ca="1">[1]!BexGetData("DP_1","003N8EMH8GTFRCSWKMPXRSGPQ","GSON1112130351")</f>
        <v>#NAME?</v>
      </c>
      <c r="K1785" s="28" t="e">
        <f ca="1">[1]!BexGetData("DP_1","003N8EMH8GTFRIVNUPY288VJH","GSON1112130351")</f>
        <v>#NAME?</v>
      </c>
      <c r="L1785" s="28" t="e">
        <f ca="1">[1]!BexGetData("DP_1","003N8EMH8GTFRIVNUPY2891V1","GSON1112130351")</f>
        <v>#NAME?</v>
      </c>
      <c r="M1785" s="28" t="e">
        <f ca="1">[1]!BexGetData("DP_1","003N8EMH8GTFRIVOG7KG9IQXA","GSON1112130351")</f>
        <v>#NAME?</v>
      </c>
      <c r="N1785" s="28" t="e">
        <f ca="1">[1]!BexGetData("DP_1","003N8EMH8GTFRIVOG7KG9IX8U","GSON1112130351")</f>
        <v>#NAME?</v>
      </c>
      <c r="O1785" s="28" t="e">
        <f ca="1">[1]!BexGetData("DP_1","003N8EMH8GTFRIVOG7KG9J3KE","GSON1112130351")</f>
        <v>#NAME?</v>
      </c>
      <c r="P1785" s="28" t="e">
        <f ca="1">[1]!BexGetData("DP_1","003N8EMH8GTFRIVOG7KG9J9VY","GSON1112130351")</f>
        <v>#NAME?</v>
      </c>
      <c r="Q1785" s="24" t="e">
        <f ca="1">[1]!BexGetData("DP_1","00O2TNJGODT0G5Z4TTKYMM5MT","GSON1112130351")</f>
        <v>#NAME?</v>
      </c>
      <c r="R1785" s="24" t="e">
        <f ca="1">[1]!BexGetData("DP_1","00O2TNJGODT0G5Z4TTKYMMBYD","GSON1112130351")</f>
        <v>#NAME?</v>
      </c>
      <c r="S1785" s="24" t="e">
        <f ca="1">[1]!BexGetData("DP_1","00O2TNJGODT0G5Z4TTKYMMI9X","GSON1112130351")</f>
        <v>#NAME?</v>
      </c>
      <c r="T1785" s="24" t="e">
        <f ca="1">[1]!BexGetData("DP_1","00O2TNJGODT0G5Z4TTKYMMOLH","GSON1112130351")</f>
        <v>#NAME?</v>
      </c>
      <c r="U1785" s="24" t="e">
        <f ca="1">[1]!BexGetData("DP_1","00O2TNJGODT0G5Z4TTKYMMUX1","GSON1112130351")</f>
        <v>#NAME?</v>
      </c>
      <c r="V1785" s="24" t="e">
        <f ca="1">[1]!BexGetData("DP_1","00O2TNJGODT0G5Z4TTKYMN18L","GSON1112130351")</f>
        <v>#NAME?</v>
      </c>
      <c r="W1785" s="24" t="e">
        <f ca="1">[1]!BexGetData("DP_1","00O2TNJGODT0G5Z4TTKYMN7K5","GSON1112130351")</f>
        <v>#NAME?</v>
      </c>
    </row>
    <row r="1786" spans="1:23" x14ac:dyDescent="0.2">
      <c r="A1786" s="36" t="s">
        <v>4630</v>
      </c>
      <c r="B1786" s="27" t="s">
        <v>4631</v>
      </c>
      <c r="C1786" s="23" t="e">
        <f ca="1">[1]!BexGetData("DP_1","003N8EMH8GTFRCSWKMPXRR8GU","GSON1112130353")</f>
        <v>#NAME?</v>
      </c>
      <c r="D1786" s="23" t="e">
        <f ca="1">[1]!BexGetData("DP_1","003N8EMH8GTFRCSWKMPXRRESE","GSON1112130353")</f>
        <v>#NAME?</v>
      </c>
      <c r="E1786" s="23" t="e">
        <f ca="1">[1]!BexGetData("DP_1","003N8EMH8GTFRCSWKMPXRRL3Y","GSON1112130353")</f>
        <v>#NAME?</v>
      </c>
      <c r="F1786" s="24" t="e">
        <f ca="1">[1]!BexGetData("DP_1","003N8EMH8GTFRCSWKMPXRRRFI","GSON1112130353")</f>
        <v>#NAME?</v>
      </c>
      <c r="G1786" s="24" t="e">
        <f ca="1">[1]!BexGetData("DP_1","003N8EMH8GTFRCSWKMPXRRXR2","GSON1112130353")</f>
        <v>#NAME?</v>
      </c>
      <c r="H1786" s="24" t="e">
        <f ca="1">[1]!BexGetData("DP_1","003N8EMH8GTFRCSWKMPXRS42M","GSON1112130353")</f>
        <v>#NAME?</v>
      </c>
      <c r="I1786" s="24" t="e">
        <f ca="1">[1]!BexGetData("DP_1","003N8EMH8GTFRCSWKMPXRSAE6","GSON1112130353")</f>
        <v>#NAME?</v>
      </c>
      <c r="J1786" s="24" t="e">
        <f ca="1">[1]!BexGetData("DP_1","003N8EMH8GTFRCSWKMPXRSGPQ","GSON1112130353")</f>
        <v>#NAME?</v>
      </c>
      <c r="K1786" s="23" t="e">
        <f ca="1">[1]!BexGetData("DP_1","003N8EMH8GTFRIVNUPY288VJH","GSON1112130353")</f>
        <v>#NAME?</v>
      </c>
      <c r="L1786" s="23" t="e">
        <f ca="1">[1]!BexGetData("DP_1","003N8EMH8GTFRIVNUPY2891V1","GSON1112130353")</f>
        <v>#NAME?</v>
      </c>
      <c r="M1786" s="23" t="e">
        <f ca="1">[1]!BexGetData("DP_1","003N8EMH8GTFRIVOG7KG9IQXA","GSON1112130353")</f>
        <v>#NAME?</v>
      </c>
      <c r="N1786" s="28" t="e">
        <f ca="1">[1]!BexGetData("DP_1","003N8EMH8GTFRIVOG7KG9IX8U","GSON1112130353")</f>
        <v>#NAME?</v>
      </c>
      <c r="O1786" s="23" t="e">
        <f ca="1">[1]!BexGetData("DP_1","003N8EMH8GTFRIVOG7KG9J3KE","GSON1112130353")</f>
        <v>#NAME?</v>
      </c>
      <c r="P1786" s="28" t="e">
        <f ca="1">[1]!BexGetData("DP_1","003N8EMH8GTFRIVOG7KG9J9VY","GSON1112130353")</f>
        <v>#NAME?</v>
      </c>
      <c r="Q1786" s="24" t="e">
        <f ca="1">[1]!BexGetData("DP_1","00O2TNJGODT0G5Z4TTKYMM5MT","GSON1112130353")</f>
        <v>#NAME?</v>
      </c>
      <c r="R1786" s="24" t="e">
        <f ca="1">[1]!BexGetData("DP_1","00O2TNJGODT0G5Z4TTKYMMBYD","GSON1112130353")</f>
        <v>#NAME?</v>
      </c>
      <c r="S1786" s="24" t="e">
        <f ca="1">[1]!BexGetData("DP_1","00O2TNJGODT0G5Z4TTKYMMI9X","GSON1112130353")</f>
        <v>#NAME?</v>
      </c>
      <c r="T1786" s="24" t="e">
        <f ca="1">[1]!BexGetData("DP_1","00O2TNJGODT0G5Z4TTKYMMOLH","GSON1112130353")</f>
        <v>#NAME?</v>
      </c>
      <c r="U1786" s="24" t="e">
        <f ca="1">[1]!BexGetData("DP_1","00O2TNJGODT0G5Z4TTKYMMUX1","GSON1112130353")</f>
        <v>#NAME?</v>
      </c>
      <c r="V1786" s="24" t="e">
        <f ca="1">[1]!BexGetData("DP_1","00O2TNJGODT0G5Z4TTKYMN18L","GSON1112130353")</f>
        <v>#NAME?</v>
      </c>
      <c r="W1786" s="24" t="e">
        <f ca="1">[1]!BexGetData("DP_1","00O2TNJGODT0G5Z4TTKYMN7K5","GSON1112130353")</f>
        <v>#NAME?</v>
      </c>
    </row>
    <row r="1787" spans="1:23" x14ac:dyDescent="0.2">
      <c r="A1787" s="36" t="s">
        <v>4632</v>
      </c>
      <c r="B1787" s="27" t="s">
        <v>4633</v>
      </c>
      <c r="C1787" s="23" t="e">
        <f ca="1">[1]!BexGetData("DP_1","003N8EMH8GTFRCSWKMPXRR8GU","GSON1112130355")</f>
        <v>#NAME?</v>
      </c>
      <c r="D1787" s="23" t="e">
        <f ca="1">[1]!BexGetData("DP_1","003N8EMH8GTFRCSWKMPXRRESE","GSON1112130355")</f>
        <v>#NAME?</v>
      </c>
      <c r="E1787" s="28" t="e">
        <f ca="1">[1]!BexGetData("DP_1","003N8EMH8GTFRCSWKMPXRRL3Y","GSON1112130355")</f>
        <v>#NAME?</v>
      </c>
      <c r="F1787" s="24" t="e">
        <f ca="1">[1]!BexGetData("DP_1","003N8EMH8GTFRCSWKMPXRRRFI","GSON1112130355")</f>
        <v>#NAME?</v>
      </c>
      <c r="G1787" s="24" t="e">
        <f ca="1">[1]!BexGetData("DP_1","003N8EMH8GTFRCSWKMPXRRXR2","GSON1112130355")</f>
        <v>#NAME?</v>
      </c>
      <c r="H1787" s="24" t="e">
        <f ca="1">[1]!BexGetData("DP_1","003N8EMH8GTFRCSWKMPXRS42M","GSON1112130355")</f>
        <v>#NAME?</v>
      </c>
      <c r="I1787" s="24" t="e">
        <f ca="1">[1]!BexGetData("DP_1","003N8EMH8GTFRCSWKMPXRSAE6","GSON1112130355")</f>
        <v>#NAME?</v>
      </c>
      <c r="J1787" s="24" t="e">
        <f ca="1">[1]!BexGetData("DP_1","003N8EMH8GTFRCSWKMPXRSGPQ","GSON1112130355")</f>
        <v>#NAME?</v>
      </c>
      <c r="K1787" s="28" t="e">
        <f ca="1">[1]!BexGetData("DP_1","003N8EMH8GTFRIVNUPY288VJH","GSON1112130355")</f>
        <v>#NAME?</v>
      </c>
      <c r="L1787" s="28" t="e">
        <f ca="1">[1]!BexGetData("DP_1","003N8EMH8GTFRIVNUPY2891V1","GSON1112130355")</f>
        <v>#NAME?</v>
      </c>
      <c r="M1787" s="28" t="e">
        <f ca="1">[1]!BexGetData("DP_1","003N8EMH8GTFRIVOG7KG9IQXA","GSON1112130355")</f>
        <v>#NAME?</v>
      </c>
      <c r="N1787" s="28" t="e">
        <f ca="1">[1]!BexGetData("DP_1","003N8EMH8GTFRIVOG7KG9IX8U","GSON1112130355")</f>
        <v>#NAME?</v>
      </c>
      <c r="O1787" s="28" t="e">
        <f ca="1">[1]!BexGetData("DP_1","003N8EMH8GTFRIVOG7KG9J3KE","GSON1112130355")</f>
        <v>#NAME?</v>
      </c>
      <c r="P1787" s="28" t="e">
        <f ca="1">[1]!BexGetData("DP_1","003N8EMH8GTFRIVOG7KG9J9VY","GSON1112130355")</f>
        <v>#NAME?</v>
      </c>
      <c r="Q1787" s="24" t="e">
        <f ca="1">[1]!BexGetData("DP_1","00O2TNJGODT0G5Z4TTKYMM5MT","GSON1112130355")</f>
        <v>#NAME?</v>
      </c>
      <c r="R1787" s="24" t="e">
        <f ca="1">[1]!BexGetData("DP_1","00O2TNJGODT0G5Z4TTKYMMBYD","GSON1112130355")</f>
        <v>#NAME?</v>
      </c>
      <c r="S1787" s="24" t="e">
        <f ca="1">[1]!BexGetData("DP_1","00O2TNJGODT0G5Z4TTKYMMI9X","GSON1112130355")</f>
        <v>#NAME?</v>
      </c>
      <c r="T1787" s="24" t="e">
        <f ca="1">[1]!BexGetData("DP_1","00O2TNJGODT0G5Z4TTKYMMOLH","GSON1112130355")</f>
        <v>#NAME?</v>
      </c>
      <c r="U1787" s="24" t="e">
        <f ca="1">[1]!BexGetData("DP_1","00O2TNJGODT0G5Z4TTKYMMUX1","GSON1112130355")</f>
        <v>#NAME?</v>
      </c>
      <c r="V1787" s="24" t="e">
        <f ca="1">[1]!BexGetData("DP_1","00O2TNJGODT0G5Z4TTKYMN18L","GSON1112130355")</f>
        <v>#NAME?</v>
      </c>
      <c r="W1787" s="24" t="e">
        <f ca="1">[1]!BexGetData("DP_1","00O2TNJGODT0G5Z4TTKYMN7K5","GSON1112130355")</f>
        <v>#NAME?</v>
      </c>
    </row>
    <row r="1788" spans="1:23" x14ac:dyDescent="0.2">
      <c r="A1788" s="36" t="s">
        <v>4634</v>
      </c>
      <c r="B1788" s="27" t="s">
        <v>4635</v>
      </c>
      <c r="C1788" s="23" t="e">
        <f ca="1">[1]!BexGetData("DP_1","003N8EMH8GTFRCSWKMPXRR8GU","GSON1112140010")</f>
        <v>#NAME?</v>
      </c>
      <c r="D1788" s="23" t="e">
        <f ca="1">[1]!BexGetData("DP_1","003N8EMH8GTFRCSWKMPXRRESE","GSON1112140010")</f>
        <v>#NAME?</v>
      </c>
      <c r="E1788" s="23" t="e">
        <f ca="1">[1]!BexGetData("DP_1","003N8EMH8GTFRCSWKMPXRRL3Y","GSON1112140010")</f>
        <v>#NAME?</v>
      </c>
      <c r="F1788" s="23" t="e">
        <f ca="1">[1]!BexGetData("DP_1","003N8EMH8GTFRCSWKMPXRRRFI","GSON1112140010")</f>
        <v>#NAME?</v>
      </c>
      <c r="G1788" s="23" t="e">
        <f ca="1">[1]!BexGetData("DP_1","003N8EMH8GTFRCSWKMPXRRXR2","GSON1112140010")</f>
        <v>#NAME?</v>
      </c>
      <c r="H1788" s="23" t="e">
        <f ca="1">[1]!BexGetData("DP_1","003N8EMH8GTFRCSWKMPXRS42M","GSON1112140010")</f>
        <v>#NAME?</v>
      </c>
      <c r="I1788" s="23" t="e">
        <f ca="1">[1]!BexGetData("DP_1","003N8EMH8GTFRCSWKMPXRSAE6","GSON1112140010")</f>
        <v>#NAME?</v>
      </c>
      <c r="J1788" s="23" t="e">
        <f ca="1">[1]!BexGetData("DP_1","003N8EMH8GTFRCSWKMPXRSGPQ","GSON1112140010")</f>
        <v>#NAME?</v>
      </c>
      <c r="K1788" s="23" t="e">
        <f ca="1">[1]!BexGetData("DP_1","003N8EMH8GTFRIVNUPY288VJH","GSON1112140010")</f>
        <v>#NAME?</v>
      </c>
      <c r="L1788" s="23" t="e">
        <f ca="1">[1]!BexGetData("DP_1","003N8EMH8GTFRIVNUPY2891V1","GSON1112140010")</f>
        <v>#NAME?</v>
      </c>
      <c r="M1788" s="23" t="e">
        <f ca="1">[1]!BexGetData("DP_1","003N8EMH8GTFRIVOG7KG9IQXA","GSON1112140010")</f>
        <v>#NAME?</v>
      </c>
      <c r="N1788" s="28" t="e">
        <f ca="1">[1]!BexGetData("DP_1","003N8EMH8GTFRIVOG7KG9IX8U","GSON1112140010")</f>
        <v>#NAME?</v>
      </c>
      <c r="O1788" s="23" t="e">
        <f ca="1">[1]!BexGetData("DP_1","003N8EMH8GTFRIVOG7KG9J3KE","GSON1112140010")</f>
        <v>#NAME?</v>
      </c>
      <c r="P1788" s="28" t="e">
        <f ca="1">[1]!BexGetData("DP_1","003N8EMH8GTFRIVOG7KG9J9VY","GSON1112140010")</f>
        <v>#NAME?</v>
      </c>
      <c r="Q1788" s="23" t="e">
        <f ca="1">[1]!BexGetData("DP_1","00O2TNJGODT0G5Z4TTKYMM5MT","GSON1112140010")</f>
        <v>#NAME?</v>
      </c>
      <c r="R1788" s="23" t="e">
        <f ca="1">[1]!BexGetData("DP_1","00O2TNJGODT0G5Z4TTKYMMBYD","GSON1112140010")</f>
        <v>#NAME?</v>
      </c>
      <c r="S1788" s="23" t="e">
        <f ca="1">[1]!BexGetData("DP_1","00O2TNJGODT0G5Z4TTKYMMI9X","GSON1112140010")</f>
        <v>#NAME?</v>
      </c>
      <c r="T1788" s="28" t="e">
        <f ca="1">[1]!BexGetData("DP_1","00O2TNJGODT0G5Z4TTKYMMOLH","GSON1112140010")</f>
        <v>#NAME?</v>
      </c>
      <c r="U1788" s="23" t="e">
        <f ca="1">[1]!BexGetData("DP_1","00O2TNJGODT0G5Z4TTKYMMUX1","GSON1112140010")</f>
        <v>#NAME?</v>
      </c>
      <c r="V1788" s="28" t="e">
        <f ca="1">[1]!BexGetData("DP_1","00O2TNJGODT0G5Z4TTKYMN18L","GSON1112140010")</f>
        <v>#NAME?</v>
      </c>
      <c r="W1788" s="23" t="e">
        <f ca="1">[1]!BexGetData("DP_1","00O2TNJGODT0G5Z4TTKYMN7K5","GSON1112140010")</f>
        <v>#NAME?</v>
      </c>
    </row>
    <row r="1789" spans="1:23" x14ac:dyDescent="0.2">
      <c r="A1789" s="36" t="s">
        <v>4636</v>
      </c>
      <c r="B1789" s="27" t="s">
        <v>4637</v>
      </c>
      <c r="C1789" s="23" t="e">
        <f ca="1">[1]!BexGetData("DP_1","003N8EMH8GTFRCSWKMPXRR8GU","GSON1112140011")</f>
        <v>#NAME?</v>
      </c>
      <c r="D1789" s="23" t="e">
        <f ca="1">[1]!BexGetData("DP_1","003N8EMH8GTFRCSWKMPXRRESE","GSON1112140011")</f>
        <v>#NAME?</v>
      </c>
      <c r="E1789" s="23" t="e">
        <f ca="1">[1]!BexGetData("DP_1","003N8EMH8GTFRCSWKMPXRRL3Y","GSON1112140011")</f>
        <v>#NAME?</v>
      </c>
      <c r="F1789" s="23" t="e">
        <f ca="1">[1]!BexGetData("DP_1","003N8EMH8GTFRCSWKMPXRRRFI","GSON1112140011")</f>
        <v>#NAME?</v>
      </c>
      <c r="G1789" s="23" t="e">
        <f ca="1">[1]!BexGetData("DP_1","003N8EMH8GTFRCSWKMPXRRXR2","GSON1112140011")</f>
        <v>#NAME?</v>
      </c>
      <c r="H1789" s="23" t="e">
        <f ca="1">[1]!BexGetData("DP_1","003N8EMH8GTFRCSWKMPXRS42M","GSON1112140011")</f>
        <v>#NAME?</v>
      </c>
      <c r="I1789" s="23" t="e">
        <f ca="1">[1]!BexGetData("DP_1","003N8EMH8GTFRCSWKMPXRSAE6","GSON1112140011")</f>
        <v>#NAME?</v>
      </c>
      <c r="J1789" s="24" t="e">
        <f ca="1">[1]!BexGetData("DP_1","003N8EMH8GTFRCSWKMPXRSGPQ","GSON1112140011")</f>
        <v>#NAME?</v>
      </c>
      <c r="K1789" s="23" t="e">
        <f ca="1">[1]!BexGetData("DP_1","003N8EMH8GTFRIVNUPY288VJH","GSON1112140011")</f>
        <v>#NAME?</v>
      </c>
      <c r="L1789" s="23" t="e">
        <f ca="1">[1]!BexGetData("DP_1","003N8EMH8GTFRIVNUPY2891V1","GSON1112140011")</f>
        <v>#NAME?</v>
      </c>
      <c r="M1789" s="28" t="e">
        <f ca="1">[1]!BexGetData("DP_1","003N8EMH8GTFRIVOG7KG9IQXA","GSON1112140011")</f>
        <v>#NAME?</v>
      </c>
      <c r="N1789" s="23" t="e">
        <f ca="1">[1]!BexGetData("DP_1","003N8EMH8GTFRIVOG7KG9IX8U","GSON1112140011")</f>
        <v>#NAME?</v>
      </c>
      <c r="O1789" s="28" t="e">
        <f ca="1">[1]!BexGetData("DP_1","003N8EMH8GTFRIVOG7KG9J3KE","GSON1112140011")</f>
        <v>#NAME?</v>
      </c>
      <c r="P1789" s="23" t="e">
        <f ca="1">[1]!BexGetData("DP_1","003N8EMH8GTFRIVOG7KG9J9VY","GSON1112140011")</f>
        <v>#NAME?</v>
      </c>
      <c r="Q1789" s="24" t="e">
        <f ca="1">[1]!BexGetData("DP_1","00O2TNJGODT0G5Z4TTKYMM5MT","GSON1112140011")</f>
        <v>#NAME?</v>
      </c>
      <c r="R1789" s="23" t="e">
        <f ca="1">[1]!BexGetData("DP_1","00O2TNJGODT0G5Z4TTKYMMBYD","GSON1112140011")</f>
        <v>#NAME?</v>
      </c>
      <c r="S1789" s="23" t="e">
        <f ca="1">[1]!BexGetData("DP_1","00O2TNJGODT0G5Z4TTKYMMI9X","GSON1112140011")</f>
        <v>#NAME?</v>
      </c>
      <c r="T1789" s="23" t="e">
        <f ca="1">[1]!BexGetData("DP_1","00O2TNJGODT0G5Z4TTKYMMOLH","GSON1112140011")</f>
        <v>#NAME?</v>
      </c>
      <c r="U1789" s="28" t="e">
        <f ca="1">[1]!BexGetData("DP_1","00O2TNJGODT0G5Z4TTKYMMUX1","GSON1112140011")</f>
        <v>#NAME?</v>
      </c>
      <c r="V1789" s="23" t="e">
        <f ca="1">[1]!BexGetData("DP_1","00O2TNJGODT0G5Z4TTKYMN18L","GSON1112140011")</f>
        <v>#NAME?</v>
      </c>
      <c r="W1789" s="28" t="e">
        <f ca="1">[1]!BexGetData("DP_1","00O2TNJGODT0G5Z4TTKYMN7K5","GSON1112140011")</f>
        <v>#NAME?</v>
      </c>
    </row>
    <row r="1790" spans="1:23" x14ac:dyDescent="0.2">
      <c r="A1790" s="36" t="s">
        <v>1149</v>
      </c>
      <c r="B1790" s="27" t="s">
        <v>1150</v>
      </c>
      <c r="C1790" s="23" t="e">
        <f ca="1">[1]!BexGetData("DP_1","003N8EMH8GTFRCSWKMPXRR8GU","GSON1112140013")</f>
        <v>#NAME?</v>
      </c>
      <c r="D1790" s="23" t="e">
        <f ca="1">[1]!BexGetData("DP_1","003N8EMH8GTFRCSWKMPXRRESE","GSON1112140013")</f>
        <v>#NAME?</v>
      </c>
      <c r="E1790" s="23" t="e">
        <f ca="1">[1]!BexGetData("DP_1","003N8EMH8GTFRCSWKMPXRRL3Y","GSON1112140013")</f>
        <v>#NAME?</v>
      </c>
      <c r="F1790" s="28" t="e">
        <f ca="1">[1]!BexGetData("DP_1","003N8EMH8GTFRCSWKMPXRRRFI","GSON1112140013")</f>
        <v>#NAME?</v>
      </c>
      <c r="G1790" s="23" t="e">
        <f ca="1">[1]!BexGetData("DP_1","003N8EMH8GTFRCSWKMPXRRXR2","GSON1112140013")</f>
        <v>#NAME?</v>
      </c>
      <c r="H1790" s="23" t="e">
        <f ca="1">[1]!BexGetData("DP_1","003N8EMH8GTFRCSWKMPXRS42M","GSON1112140013")</f>
        <v>#NAME?</v>
      </c>
      <c r="I1790" s="28" t="e">
        <f ca="1">[1]!BexGetData("DP_1","003N8EMH8GTFRCSWKMPXRSAE6","GSON1112140013")</f>
        <v>#NAME?</v>
      </c>
      <c r="J1790" s="24" t="e">
        <f ca="1">[1]!BexGetData("DP_1","003N8EMH8GTFRCSWKMPXRSGPQ","GSON1112140013")</f>
        <v>#NAME?</v>
      </c>
      <c r="K1790" s="23" t="e">
        <f ca="1">[1]!BexGetData("DP_1","003N8EMH8GTFRIVNUPY288VJH","GSON1112140013")</f>
        <v>#NAME?</v>
      </c>
      <c r="L1790" s="23" t="e">
        <f ca="1">[1]!BexGetData("DP_1","003N8EMH8GTFRIVNUPY2891V1","GSON1112140013")</f>
        <v>#NAME?</v>
      </c>
      <c r="M1790" s="23" t="e">
        <f ca="1">[1]!BexGetData("DP_1","003N8EMH8GTFRIVOG7KG9IQXA","GSON1112140013")</f>
        <v>#NAME?</v>
      </c>
      <c r="N1790" s="28" t="e">
        <f ca="1">[1]!BexGetData("DP_1","003N8EMH8GTFRIVOG7KG9IX8U","GSON1112140013")</f>
        <v>#NAME?</v>
      </c>
      <c r="O1790" s="23" t="e">
        <f ca="1">[1]!BexGetData("DP_1","003N8EMH8GTFRIVOG7KG9J3KE","GSON1112140013")</f>
        <v>#NAME?</v>
      </c>
      <c r="P1790" s="28" t="e">
        <f ca="1">[1]!BexGetData("DP_1","003N8EMH8GTFRIVOG7KG9J9VY","GSON1112140013")</f>
        <v>#NAME?</v>
      </c>
      <c r="Q1790" s="24" t="e">
        <f ca="1">[1]!BexGetData("DP_1","00O2TNJGODT0G5Z4TTKYMM5MT","GSON1112140013")</f>
        <v>#NAME?</v>
      </c>
      <c r="R1790" s="28" t="e">
        <f ca="1">[1]!BexGetData("DP_1","00O2TNJGODT0G5Z4TTKYMMBYD","GSON1112140013")</f>
        <v>#NAME?</v>
      </c>
      <c r="S1790" s="28" t="e">
        <f ca="1">[1]!BexGetData("DP_1","00O2TNJGODT0G5Z4TTKYMMI9X","GSON1112140013")</f>
        <v>#NAME?</v>
      </c>
      <c r="T1790" s="28" t="e">
        <f ca="1">[1]!BexGetData("DP_1","00O2TNJGODT0G5Z4TTKYMMOLH","GSON1112140013")</f>
        <v>#NAME?</v>
      </c>
      <c r="U1790" s="28" t="e">
        <f ca="1">[1]!BexGetData("DP_1","00O2TNJGODT0G5Z4TTKYMMUX1","GSON1112140013")</f>
        <v>#NAME?</v>
      </c>
      <c r="V1790" s="28" t="e">
        <f ca="1">[1]!BexGetData("DP_1","00O2TNJGODT0G5Z4TTKYMN18L","GSON1112140013")</f>
        <v>#NAME?</v>
      </c>
      <c r="W1790" s="28" t="e">
        <f ca="1">[1]!BexGetData("DP_1","00O2TNJGODT0G5Z4TTKYMN7K5","GSON1112140013")</f>
        <v>#NAME?</v>
      </c>
    </row>
    <row r="1791" spans="1:23" x14ac:dyDescent="0.2">
      <c r="A1791" s="36" t="s">
        <v>4638</v>
      </c>
      <c r="B1791" s="27" t="s">
        <v>4639</v>
      </c>
      <c r="C1791" s="23" t="e">
        <f ca="1">[1]!BexGetData("DP_1","003N8EMH8GTFRCSWKMPXRR8GU","GSON1112140014")</f>
        <v>#NAME?</v>
      </c>
      <c r="D1791" s="23" t="e">
        <f ca="1">[1]!BexGetData("DP_1","003N8EMH8GTFRCSWKMPXRRESE","GSON1112140014")</f>
        <v>#NAME?</v>
      </c>
      <c r="E1791" s="28" t="e">
        <f ca="1">[1]!BexGetData("DP_1","003N8EMH8GTFRCSWKMPXRRL3Y","GSON1112140014")</f>
        <v>#NAME?</v>
      </c>
      <c r="F1791" s="28" t="e">
        <f ca="1">[1]!BexGetData("DP_1","003N8EMH8GTFRCSWKMPXRRRFI","GSON1112140014")</f>
        <v>#NAME?</v>
      </c>
      <c r="G1791" s="23" t="e">
        <f ca="1">[1]!BexGetData("DP_1","003N8EMH8GTFRCSWKMPXRRXR2","GSON1112140014")</f>
        <v>#NAME?</v>
      </c>
      <c r="H1791" s="23" t="e">
        <f ca="1">[1]!BexGetData("DP_1","003N8EMH8GTFRCSWKMPXRS42M","GSON1112140014")</f>
        <v>#NAME?</v>
      </c>
      <c r="I1791" s="28" t="e">
        <f ca="1">[1]!BexGetData("DP_1","003N8EMH8GTFRCSWKMPXRSAE6","GSON1112140014")</f>
        <v>#NAME?</v>
      </c>
      <c r="J1791" s="24" t="e">
        <f ca="1">[1]!BexGetData("DP_1","003N8EMH8GTFRCSWKMPXRSGPQ","GSON1112140014")</f>
        <v>#NAME?</v>
      </c>
      <c r="K1791" s="28" t="e">
        <f ca="1">[1]!BexGetData("DP_1","003N8EMH8GTFRIVNUPY288VJH","GSON1112140014")</f>
        <v>#NAME?</v>
      </c>
      <c r="L1791" s="28" t="e">
        <f ca="1">[1]!BexGetData("DP_1","003N8EMH8GTFRIVNUPY2891V1","GSON1112140014")</f>
        <v>#NAME?</v>
      </c>
      <c r="M1791" s="28" t="e">
        <f ca="1">[1]!BexGetData("DP_1","003N8EMH8GTFRIVOG7KG9IQXA","GSON1112140014")</f>
        <v>#NAME?</v>
      </c>
      <c r="N1791" s="28" t="e">
        <f ca="1">[1]!BexGetData("DP_1","003N8EMH8GTFRIVOG7KG9IX8U","GSON1112140014")</f>
        <v>#NAME?</v>
      </c>
      <c r="O1791" s="28" t="e">
        <f ca="1">[1]!BexGetData("DP_1","003N8EMH8GTFRIVOG7KG9J3KE","GSON1112140014")</f>
        <v>#NAME?</v>
      </c>
      <c r="P1791" s="28" t="e">
        <f ca="1">[1]!BexGetData("DP_1","003N8EMH8GTFRIVOG7KG9J9VY","GSON1112140014")</f>
        <v>#NAME?</v>
      </c>
      <c r="Q1791" s="24" t="e">
        <f ca="1">[1]!BexGetData("DP_1","00O2TNJGODT0G5Z4TTKYMM5MT","GSON1112140014")</f>
        <v>#NAME?</v>
      </c>
      <c r="R1791" s="28" t="e">
        <f ca="1">[1]!BexGetData("DP_1","00O2TNJGODT0G5Z4TTKYMMBYD","GSON1112140014")</f>
        <v>#NAME?</v>
      </c>
      <c r="S1791" s="28" t="e">
        <f ca="1">[1]!BexGetData("DP_1","00O2TNJGODT0G5Z4TTKYMMI9X","GSON1112140014")</f>
        <v>#NAME?</v>
      </c>
      <c r="T1791" s="28" t="e">
        <f ca="1">[1]!BexGetData("DP_1","00O2TNJGODT0G5Z4TTKYMMOLH","GSON1112140014")</f>
        <v>#NAME?</v>
      </c>
      <c r="U1791" s="28" t="e">
        <f ca="1">[1]!BexGetData("DP_1","00O2TNJGODT0G5Z4TTKYMMUX1","GSON1112140014")</f>
        <v>#NAME?</v>
      </c>
      <c r="V1791" s="28" t="e">
        <f ca="1">[1]!BexGetData("DP_1","00O2TNJGODT0G5Z4TTKYMN18L","GSON1112140014")</f>
        <v>#NAME?</v>
      </c>
      <c r="W1791" s="28" t="e">
        <f ca="1">[1]!BexGetData("DP_1","00O2TNJGODT0G5Z4TTKYMN7K5","GSON1112140014")</f>
        <v>#NAME?</v>
      </c>
    </row>
    <row r="1792" spans="1:23" x14ac:dyDescent="0.2">
      <c r="A1792" s="36" t="s">
        <v>4640</v>
      </c>
      <c r="B1792" s="27" t="s">
        <v>4641</v>
      </c>
      <c r="C1792" s="23" t="e">
        <f ca="1">[1]!BexGetData("DP_1","003N8EMH8GTFRCSWKMPXRR8GU","GSON1112140015")</f>
        <v>#NAME?</v>
      </c>
      <c r="D1792" s="23" t="e">
        <f ca="1">[1]!BexGetData("DP_1","003N8EMH8GTFRCSWKMPXRRESE","GSON1112140015")</f>
        <v>#NAME?</v>
      </c>
      <c r="E1792" s="28" t="e">
        <f ca="1">[1]!BexGetData("DP_1","003N8EMH8GTFRCSWKMPXRRL3Y","GSON1112140015")</f>
        <v>#NAME?</v>
      </c>
      <c r="F1792" s="28" t="e">
        <f ca="1">[1]!BexGetData("DP_1","003N8EMH8GTFRCSWKMPXRRRFI","GSON1112140015")</f>
        <v>#NAME?</v>
      </c>
      <c r="G1792" s="23" t="e">
        <f ca="1">[1]!BexGetData("DP_1","003N8EMH8GTFRCSWKMPXRRXR2","GSON1112140015")</f>
        <v>#NAME?</v>
      </c>
      <c r="H1792" s="23" t="e">
        <f ca="1">[1]!BexGetData("DP_1","003N8EMH8GTFRCSWKMPXRS42M","GSON1112140015")</f>
        <v>#NAME?</v>
      </c>
      <c r="I1792" s="28" t="e">
        <f ca="1">[1]!BexGetData("DP_1","003N8EMH8GTFRCSWKMPXRSAE6","GSON1112140015")</f>
        <v>#NAME?</v>
      </c>
      <c r="J1792" s="24" t="e">
        <f ca="1">[1]!BexGetData("DP_1","003N8EMH8GTFRCSWKMPXRSGPQ","GSON1112140015")</f>
        <v>#NAME?</v>
      </c>
      <c r="K1792" s="28" t="e">
        <f ca="1">[1]!BexGetData("DP_1","003N8EMH8GTFRIVNUPY288VJH","GSON1112140015")</f>
        <v>#NAME?</v>
      </c>
      <c r="L1792" s="28" t="e">
        <f ca="1">[1]!BexGetData("DP_1","003N8EMH8GTFRIVNUPY2891V1","GSON1112140015")</f>
        <v>#NAME?</v>
      </c>
      <c r="M1792" s="28" t="e">
        <f ca="1">[1]!BexGetData("DP_1","003N8EMH8GTFRIVOG7KG9IQXA","GSON1112140015")</f>
        <v>#NAME?</v>
      </c>
      <c r="N1792" s="28" t="e">
        <f ca="1">[1]!BexGetData("DP_1","003N8EMH8GTFRIVOG7KG9IX8U","GSON1112140015")</f>
        <v>#NAME?</v>
      </c>
      <c r="O1792" s="28" t="e">
        <f ca="1">[1]!BexGetData("DP_1","003N8EMH8GTFRIVOG7KG9J3KE","GSON1112140015")</f>
        <v>#NAME?</v>
      </c>
      <c r="P1792" s="28" t="e">
        <f ca="1">[1]!BexGetData("DP_1","003N8EMH8GTFRIVOG7KG9J9VY","GSON1112140015")</f>
        <v>#NAME?</v>
      </c>
      <c r="Q1792" s="24" t="e">
        <f ca="1">[1]!BexGetData("DP_1","00O2TNJGODT0G5Z4TTKYMM5MT","GSON1112140015")</f>
        <v>#NAME?</v>
      </c>
      <c r="R1792" s="28" t="e">
        <f ca="1">[1]!BexGetData("DP_1","00O2TNJGODT0G5Z4TTKYMMBYD","GSON1112140015")</f>
        <v>#NAME?</v>
      </c>
      <c r="S1792" s="28" t="e">
        <f ca="1">[1]!BexGetData("DP_1","00O2TNJGODT0G5Z4TTKYMMI9X","GSON1112140015")</f>
        <v>#NAME?</v>
      </c>
      <c r="T1792" s="28" t="e">
        <f ca="1">[1]!BexGetData("DP_1","00O2TNJGODT0G5Z4TTKYMMOLH","GSON1112140015")</f>
        <v>#NAME?</v>
      </c>
      <c r="U1792" s="28" t="e">
        <f ca="1">[1]!BexGetData("DP_1","00O2TNJGODT0G5Z4TTKYMMUX1","GSON1112140015")</f>
        <v>#NAME?</v>
      </c>
      <c r="V1792" s="28" t="e">
        <f ca="1">[1]!BexGetData("DP_1","00O2TNJGODT0G5Z4TTKYMN18L","GSON1112140015")</f>
        <v>#NAME?</v>
      </c>
      <c r="W1792" s="28" t="e">
        <f ca="1">[1]!BexGetData("DP_1","00O2TNJGODT0G5Z4TTKYMN7K5","GSON1112140015")</f>
        <v>#NAME?</v>
      </c>
    </row>
    <row r="1793" spans="1:23" x14ac:dyDescent="0.2">
      <c r="A1793" s="36" t="s">
        <v>4642</v>
      </c>
      <c r="B1793" s="27" t="s">
        <v>4643</v>
      </c>
      <c r="C1793" s="23" t="e">
        <f ca="1">[1]!BexGetData("DP_1","003N8EMH8GTFRCSWKMPXRR8GU","GSON1112140021")</f>
        <v>#NAME?</v>
      </c>
      <c r="D1793" s="23" t="e">
        <f ca="1">[1]!BexGetData("DP_1","003N8EMH8GTFRCSWKMPXRRESE","GSON1112140021")</f>
        <v>#NAME?</v>
      </c>
      <c r="E1793" s="28" t="e">
        <f ca="1">[1]!BexGetData("DP_1","003N8EMH8GTFRCSWKMPXRRL3Y","GSON1112140021")</f>
        <v>#NAME?</v>
      </c>
      <c r="F1793" s="24" t="e">
        <f ca="1">[1]!BexGetData("DP_1","003N8EMH8GTFRCSWKMPXRRRFI","GSON1112140021")</f>
        <v>#NAME?</v>
      </c>
      <c r="G1793" s="24" t="e">
        <f ca="1">[1]!BexGetData("DP_1","003N8EMH8GTFRCSWKMPXRRXR2","GSON1112140021")</f>
        <v>#NAME?</v>
      </c>
      <c r="H1793" s="24" t="e">
        <f ca="1">[1]!BexGetData("DP_1","003N8EMH8GTFRCSWKMPXRS42M","GSON1112140021")</f>
        <v>#NAME?</v>
      </c>
      <c r="I1793" s="24" t="e">
        <f ca="1">[1]!BexGetData("DP_1","003N8EMH8GTFRCSWKMPXRSAE6","GSON1112140021")</f>
        <v>#NAME?</v>
      </c>
      <c r="J1793" s="24" t="e">
        <f ca="1">[1]!BexGetData("DP_1","003N8EMH8GTFRCSWKMPXRSGPQ","GSON1112140021")</f>
        <v>#NAME?</v>
      </c>
      <c r="K1793" s="28" t="e">
        <f ca="1">[1]!BexGetData("DP_1","003N8EMH8GTFRIVNUPY288VJH","GSON1112140021")</f>
        <v>#NAME?</v>
      </c>
      <c r="L1793" s="28" t="e">
        <f ca="1">[1]!BexGetData("DP_1","003N8EMH8GTFRIVNUPY2891V1","GSON1112140021")</f>
        <v>#NAME?</v>
      </c>
      <c r="M1793" s="28" t="e">
        <f ca="1">[1]!BexGetData("DP_1","003N8EMH8GTFRIVOG7KG9IQXA","GSON1112140021")</f>
        <v>#NAME?</v>
      </c>
      <c r="N1793" s="28" t="e">
        <f ca="1">[1]!BexGetData("DP_1","003N8EMH8GTFRIVOG7KG9IX8U","GSON1112140021")</f>
        <v>#NAME?</v>
      </c>
      <c r="O1793" s="28" t="e">
        <f ca="1">[1]!BexGetData("DP_1","003N8EMH8GTFRIVOG7KG9J3KE","GSON1112140021")</f>
        <v>#NAME?</v>
      </c>
      <c r="P1793" s="28" t="e">
        <f ca="1">[1]!BexGetData("DP_1","003N8EMH8GTFRIVOG7KG9J9VY","GSON1112140021")</f>
        <v>#NAME?</v>
      </c>
      <c r="Q1793" s="24" t="e">
        <f ca="1">[1]!BexGetData("DP_1","00O2TNJGODT0G5Z4TTKYMM5MT","GSON1112140021")</f>
        <v>#NAME?</v>
      </c>
      <c r="R1793" s="24" t="e">
        <f ca="1">[1]!BexGetData("DP_1","00O2TNJGODT0G5Z4TTKYMMBYD","GSON1112140021")</f>
        <v>#NAME?</v>
      </c>
      <c r="S1793" s="24" t="e">
        <f ca="1">[1]!BexGetData("DP_1","00O2TNJGODT0G5Z4TTKYMMI9X","GSON1112140021")</f>
        <v>#NAME?</v>
      </c>
      <c r="T1793" s="24" t="e">
        <f ca="1">[1]!BexGetData("DP_1","00O2TNJGODT0G5Z4TTKYMMOLH","GSON1112140021")</f>
        <v>#NAME?</v>
      </c>
      <c r="U1793" s="24" t="e">
        <f ca="1">[1]!BexGetData("DP_1","00O2TNJGODT0G5Z4TTKYMMUX1","GSON1112140021")</f>
        <v>#NAME?</v>
      </c>
      <c r="V1793" s="24" t="e">
        <f ca="1">[1]!BexGetData("DP_1","00O2TNJGODT0G5Z4TTKYMN18L","GSON1112140021")</f>
        <v>#NAME?</v>
      </c>
      <c r="W1793" s="24" t="e">
        <f ca="1">[1]!BexGetData("DP_1","00O2TNJGODT0G5Z4TTKYMN7K5","GSON1112140021")</f>
        <v>#NAME?</v>
      </c>
    </row>
    <row r="1794" spans="1:23" x14ac:dyDescent="0.2">
      <c r="A1794" s="36" t="s">
        <v>4644</v>
      </c>
      <c r="B1794" s="27" t="s">
        <v>4645</v>
      </c>
      <c r="C1794" s="23" t="e">
        <f ca="1">[1]!BexGetData("DP_1","003N8EMH8GTFRCSWKMPXRR8GU","GSON1112140023")</f>
        <v>#NAME?</v>
      </c>
      <c r="D1794" s="23" t="e">
        <f ca="1">[1]!BexGetData("DP_1","003N8EMH8GTFRCSWKMPXRRESE","GSON1112140023")</f>
        <v>#NAME?</v>
      </c>
      <c r="E1794" s="28" t="e">
        <f ca="1">[1]!BexGetData("DP_1","003N8EMH8GTFRCSWKMPXRRL3Y","GSON1112140023")</f>
        <v>#NAME?</v>
      </c>
      <c r="F1794" s="24" t="e">
        <f ca="1">[1]!BexGetData("DP_1","003N8EMH8GTFRCSWKMPXRRRFI","GSON1112140023")</f>
        <v>#NAME?</v>
      </c>
      <c r="G1794" s="24" t="e">
        <f ca="1">[1]!BexGetData("DP_1","003N8EMH8GTFRCSWKMPXRRXR2","GSON1112140023")</f>
        <v>#NAME?</v>
      </c>
      <c r="H1794" s="24" t="e">
        <f ca="1">[1]!BexGetData("DP_1","003N8EMH8GTFRCSWKMPXRS42M","GSON1112140023")</f>
        <v>#NAME?</v>
      </c>
      <c r="I1794" s="24" t="e">
        <f ca="1">[1]!BexGetData("DP_1","003N8EMH8GTFRCSWKMPXRSAE6","GSON1112140023")</f>
        <v>#NAME?</v>
      </c>
      <c r="J1794" s="24" t="e">
        <f ca="1">[1]!BexGetData("DP_1","003N8EMH8GTFRCSWKMPXRSGPQ","GSON1112140023")</f>
        <v>#NAME?</v>
      </c>
      <c r="K1794" s="28" t="e">
        <f ca="1">[1]!BexGetData("DP_1","003N8EMH8GTFRIVNUPY288VJH","GSON1112140023")</f>
        <v>#NAME?</v>
      </c>
      <c r="L1794" s="28" t="e">
        <f ca="1">[1]!BexGetData("DP_1","003N8EMH8GTFRIVNUPY2891V1","GSON1112140023")</f>
        <v>#NAME?</v>
      </c>
      <c r="M1794" s="28" t="e">
        <f ca="1">[1]!BexGetData("DP_1","003N8EMH8GTFRIVOG7KG9IQXA","GSON1112140023")</f>
        <v>#NAME?</v>
      </c>
      <c r="N1794" s="28" t="e">
        <f ca="1">[1]!BexGetData("DP_1","003N8EMH8GTFRIVOG7KG9IX8U","GSON1112140023")</f>
        <v>#NAME?</v>
      </c>
      <c r="O1794" s="28" t="e">
        <f ca="1">[1]!BexGetData("DP_1","003N8EMH8GTFRIVOG7KG9J3KE","GSON1112140023")</f>
        <v>#NAME?</v>
      </c>
      <c r="P1794" s="28" t="e">
        <f ca="1">[1]!BexGetData("DP_1","003N8EMH8GTFRIVOG7KG9J9VY","GSON1112140023")</f>
        <v>#NAME?</v>
      </c>
      <c r="Q1794" s="24" t="e">
        <f ca="1">[1]!BexGetData("DP_1","00O2TNJGODT0G5Z4TTKYMM5MT","GSON1112140023")</f>
        <v>#NAME?</v>
      </c>
      <c r="R1794" s="24" t="e">
        <f ca="1">[1]!BexGetData("DP_1","00O2TNJGODT0G5Z4TTKYMMBYD","GSON1112140023")</f>
        <v>#NAME?</v>
      </c>
      <c r="S1794" s="24" t="e">
        <f ca="1">[1]!BexGetData("DP_1","00O2TNJGODT0G5Z4TTKYMMI9X","GSON1112140023")</f>
        <v>#NAME?</v>
      </c>
      <c r="T1794" s="24" t="e">
        <f ca="1">[1]!BexGetData("DP_1","00O2TNJGODT0G5Z4TTKYMMOLH","GSON1112140023")</f>
        <v>#NAME?</v>
      </c>
      <c r="U1794" s="24" t="e">
        <f ca="1">[1]!BexGetData("DP_1","00O2TNJGODT0G5Z4TTKYMMUX1","GSON1112140023")</f>
        <v>#NAME?</v>
      </c>
      <c r="V1794" s="24" t="e">
        <f ca="1">[1]!BexGetData("DP_1","00O2TNJGODT0G5Z4TTKYMN18L","GSON1112140023")</f>
        <v>#NAME?</v>
      </c>
      <c r="W1794" s="24" t="e">
        <f ca="1">[1]!BexGetData("DP_1","00O2TNJGODT0G5Z4TTKYMN7K5","GSON1112140023")</f>
        <v>#NAME?</v>
      </c>
    </row>
    <row r="1795" spans="1:23" x14ac:dyDescent="0.2">
      <c r="A1795" s="36" t="s">
        <v>1151</v>
      </c>
      <c r="B1795" s="27" t="s">
        <v>1152</v>
      </c>
      <c r="C1795" s="23" t="e">
        <f ca="1">[1]!BexGetData("DP_1","003N8EMH8GTFRCSWKMPXRR8GU","GSON1112150030")</f>
        <v>#NAME?</v>
      </c>
      <c r="D1795" s="23" t="e">
        <f ca="1">[1]!BexGetData("DP_1","003N8EMH8GTFRCSWKMPXRRESE","GSON1112150030")</f>
        <v>#NAME?</v>
      </c>
      <c r="E1795" s="23" t="e">
        <f ca="1">[1]!BexGetData("DP_1","003N8EMH8GTFRCSWKMPXRRL3Y","GSON1112150030")</f>
        <v>#NAME?</v>
      </c>
      <c r="F1795" s="23" t="e">
        <f ca="1">[1]!BexGetData("DP_1","003N8EMH8GTFRCSWKMPXRRRFI","GSON1112150030")</f>
        <v>#NAME?</v>
      </c>
      <c r="G1795" s="23" t="e">
        <f ca="1">[1]!BexGetData("DP_1","003N8EMH8GTFRCSWKMPXRRXR2","GSON1112150030")</f>
        <v>#NAME?</v>
      </c>
      <c r="H1795" s="23" t="e">
        <f ca="1">[1]!BexGetData("DP_1","003N8EMH8GTFRCSWKMPXRS42M","GSON1112150030")</f>
        <v>#NAME?</v>
      </c>
      <c r="I1795" s="23" t="e">
        <f ca="1">[1]!BexGetData("DP_1","003N8EMH8GTFRCSWKMPXRSAE6","GSON1112150030")</f>
        <v>#NAME?</v>
      </c>
      <c r="J1795" s="23" t="e">
        <f ca="1">[1]!BexGetData("DP_1","003N8EMH8GTFRCSWKMPXRSGPQ","GSON1112150030")</f>
        <v>#NAME?</v>
      </c>
      <c r="K1795" s="23" t="e">
        <f ca="1">[1]!BexGetData("DP_1","003N8EMH8GTFRIVNUPY288VJH","GSON1112150030")</f>
        <v>#NAME?</v>
      </c>
      <c r="L1795" s="23" t="e">
        <f ca="1">[1]!BexGetData("DP_1","003N8EMH8GTFRIVNUPY2891V1","GSON1112150030")</f>
        <v>#NAME?</v>
      </c>
      <c r="M1795" s="28" t="e">
        <f ca="1">[1]!BexGetData("DP_1","003N8EMH8GTFRIVOG7KG9IQXA","GSON1112150030")</f>
        <v>#NAME?</v>
      </c>
      <c r="N1795" s="23" t="e">
        <f ca="1">[1]!BexGetData("DP_1","003N8EMH8GTFRIVOG7KG9IX8U","GSON1112150030")</f>
        <v>#NAME?</v>
      </c>
      <c r="O1795" s="28" t="e">
        <f ca="1">[1]!BexGetData("DP_1","003N8EMH8GTFRIVOG7KG9J3KE","GSON1112150030")</f>
        <v>#NAME?</v>
      </c>
      <c r="P1795" s="23" t="e">
        <f ca="1">[1]!BexGetData("DP_1","003N8EMH8GTFRIVOG7KG9J9VY","GSON1112150030")</f>
        <v>#NAME?</v>
      </c>
      <c r="Q1795" s="23" t="e">
        <f ca="1">[1]!BexGetData("DP_1","00O2TNJGODT0G5Z4TTKYMM5MT","GSON1112150030")</f>
        <v>#NAME?</v>
      </c>
      <c r="R1795" s="23" t="e">
        <f ca="1">[1]!BexGetData("DP_1","00O2TNJGODT0G5Z4TTKYMMBYD","GSON1112150030")</f>
        <v>#NAME?</v>
      </c>
      <c r="S1795" s="23" t="e">
        <f ca="1">[1]!BexGetData("DP_1","00O2TNJGODT0G5Z4TTKYMMI9X","GSON1112150030")</f>
        <v>#NAME?</v>
      </c>
      <c r="T1795" s="23" t="e">
        <f ca="1">[1]!BexGetData("DP_1","00O2TNJGODT0G5Z4TTKYMMOLH","GSON1112150030")</f>
        <v>#NAME?</v>
      </c>
      <c r="U1795" s="28" t="e">
        <f ca="1">[1]!BexGetData("DP_1","00O2TNJGODT0G5Z4TTKYMMUX1","GSON1112150030")</f>
        <v>#NAME?</v>
      </c>
      <c r="V1795" s="23" t="e">
        <f ca="1">[1]!BexGetData("DP_1","00O2TNJGODT0G5Z4TTKYMN18L","GSON1112150030")</f>
        <v>#NAME?</v>
      </c>
      <c r="W1795" s="28" t="e">
        <f ca="1">[1]!BexGetData("DP_1","00O2TNJGODT0G5Z4TTKYMN7K5","GSON1112150030")</f>
        <v>#NAME?</v>
      </c>
    </row>
    <row r="1796" spans="1:23" x14ac:dyDescent="0.2">
      <c r="A1796" s="36" t="s">
        <v>1153</v>
      </c>
      <c r="B1796" s="27" t="s">
        <v>1154</v>
      </c>
      <c r="C1796" s="23" t="e">
        <f ca="1">[1]!BexGetData("DP_1","003N8EMH8GTFRCSWKMPXRR8GU","GSON1112150031")</f>
        <v>#NAME?</v>
      </c>
      <c r="D1796" s="23" t="e">
        <f ca="1">[1]!BexGetData("DP_1","003N8EMH8GTFRCSWKMPXRRESE","GSON1112150031")</f>
        <v>#NAME?</v>
      </c>
      <c r="E1796" s="23" t="e">
        <f ca="1">[1]!BexGetData("DP_1","003N8EMH8GTFRCSWKMPXRRL3Y","GSON1112150031")</f>
        <v>#NAME?</v>
      </c>
      <c r="F1796" s="28" t="e">
        <f ca="1">[1]!BexGetData("DP_1","003N8EMH8GTFRCSWKMPXRRRFI","GSON1112150031")</f>
        <v>#NAME?</v>
      </c>
      <c r="G1796" s="23" t="e">
        <f ca="1">[1]!BexGetData("DP_1","003N8EMH8GTFRCSWKMPXRRXR2","GSON1112150031")</f>
        <v>#NAME?</v>
      </c>
      <c r="H1796" s="23" t="e">
        <f ca="1">[1]!BexGetData("DP_1","003N8EMH8GTFRCSWKMPXRS42M","GSON1112150031")</f>
        <v>#NAME?</v>
      </c>
      <c r="I1796" s="28" t="e">
        <f ca="1">[1]!BexGetData("DP_1","003N8EMH8GTFRCSWKMPXRSAE6","GSON1112150031")</f>
        <v>#NAME?</v>
      </c>
      <c r="J1796" s="24" t="e">
        <f ca="1">[1]!BexGetData("DP_1","003N8EMH8GTFRCSWKMPXRSGPQ","GSON1112150031")</f>
        <v>#NAME?</v>
      </c>
      <c r="K1796" s="23" t="e">
        <f ca="1">[1]!BexGetData("DP_1","003N8EMH8GTFRIVNUPY288VJH","GSON1112150031")</f>
        <v>#NAME?</v>
      </c>
      <c r="L1796" s="23" t="e">
        <f ca="1">[1]!BexGetData("DP_1","003N8EMH8GTFRIVNUPY2891V1","GSON1112150031")</f>
        <v>#NAME?</v>
      </c>
      <c r="M1796" s="23" t="e">
        <f ca="1">[1]!BexGetData("DP_1","003N8EMH8GTFRIVOG7KG9IQXA","GSON1112150031")</f>
        <v>#NAME?</v>
      </c>
      <c r="N1796" s="28" t="e">
        <f ca="1">[1]!BexGetData("DP_1","003N8EMH8GTFRIVOG7KG9IX8U","GSON1112150031")</f>
        <v>#NAME?</v>
      </c>
      <c r="O1796" s="23" t="e">
        <f ca="1">[1]!BexGetData("DP_1","003N8EMH8GTFRIVOG7KG9J3KE","GSON1112150031")</f>
        <v>#NAME?</v>
      </c>
      <c r="P1796" s="28" t="e">
        <f ca="1">[1]!BexGetData("DP_1","003N8EMH8GTFRIVOG7KG9J9VY","GSON1112150031")</f>
        <v>#NAME?</v>
      </c>
      <c r="Q1796" s="24" t="e">
        <f ca="1">[1]!BexGetData("DP_1","00O2TNJGODT0G5Z4TTKYMM5MT","GSON1112150031")</f>
        <v>#NAME?</v>
      </c>
      <c r="R1796" s="28" t="e">
        <f ca="1">[1]!BexGetData("DP_1","00O2TNJGODT0G5Z4TTKYMMBYD","GSON1112150031")</f>
        <v>#NAME?</v>
      </c>
      <c r="S1796" s="28" t="e">
        <f ca="1">[1]!BexGetData("DP_1","00O2TNJGODT0G5Z4TTKYMMI9X","GSON1112150031")</f>
        <v>#NAME?</v>
      </c>
      <c r="T1796" s="28" t="e">
        <f ca="1">[1]!BexGetData("DP_1","00O2TNJGODT0G5Z4TTKYMMOLH","GSON1112150031")</f>
        <v>#NAME?</v>
      </c>
      <c r="U1796" s="28" t="e">
        <f ca="1">[1]!BexGetData("DP_1","00O2TNJGODT0G5Z4TTKYMMUX1","GSON1112150031")</f>
        <v>#NAME?</v>
      </c>
      <c r="V1796" s="28" t="e">
        <f ca="1">[1]!BexGetData("DP_1","00O2TNJGODT0G5Z4TTKYMN18L","GSON1112150031")</f>
        <v>#NAME?</v>
      </c>
      <c r="W1796" s="28" t="e">
        <f ca="1">[1]!BexGetData("DP_1","00O2TNJGODT0G5Z4TTKYMN7K5","GSON1112150031")</f>
        <v>#NAME?</v>
      </c>
    </row>
    <row r="1797" spans="1:23" x14ac:dyDescent="0.2">
      <c r="A1797" s="36" t="s">
        <v>1155</v>
      </c>
      <c r="B1797" s="27" t="s">
        <v>1156</v>
      </c>
      <c r="C1797" s="23" t="e">
        <f ca="1">[1]!BexGetData("DP_1","003N8EMH8GTFRCSWKMPXRR8GU","GSON1112150033")</f>
        <v>#NAME?</v>
      </c>
      <c r="D1797" s="23" t="e">
        <f ca="1">[1]!BexGetData("DP_1","003N8EMH8GTFRCSWKMPXRRESE","GSON1112150033")</f>
        <v>#NAME?</v>
      </c>
      <c r="E1797" s="23" t="e">
        <f ca="1">[1]!BexGetData("DP_1","003N8EMH8GTFRCSWKMPXRRL3Y","GSON1112150033")</f>
        <v>#NAME?</v>
      </c>
      <c r="F1797" s="28" t="e">
        <f ca="1">[1]!BexGetData("DP_1","003N8EMH8GTFRCSWKMPXRRRFI","GSON1112150033")</f>
        <v>#NAME?</v>
      </c>
      <c r="G1797" s="23" t="e">
        <f ca="1">[1]!BexGetData("DP_1","003N8EMH8GTFRCSWKMPXRRXR2","GSON1112150033")</f>
        <v>#NAME?</v>
      </c>
      <c r="H1797" s="23" t="e">
        <f ca="1">[1]!BexGetData("DP_1","003N8EMH8GTFRCSWKMPXRS42M","GSON1112150033")</f>
        <v>#NAME?</v>
      </c>
      <c r="I1797" s="28" t="e">
        <f ca="1">[1]!BexGetData("DP_1","003N8EMH8GTFRCSWKMPXRSAE6","GSON1112150033")</f>
        <v>#NAME?</v>
      </c>
      <c r="J1797" s="24" t="e">
        <f ca="1">[1]!BexGetData("DP_1","003N8EMH8GTFRCSWKMPXRSGPQ","GSON1112150033")</f>
        <v>#NAME?</v>
      </c>
      <c r="K1797" s="23" t="e">
        <f ca="1">[1]!BexGetData("DP_1","003N8EMH8GTFRIVNUPY288VJH","GSON1112150033")</f>
        <v>#NAME?</v>
      </c>
      <c r="L1797" s="23" t="e">
        <f ca="1">[1]!BexGetData("DP_1","003N8EMH8GTFRIVNUPY2891V1","GSON1112150033")</f>
        <v>#NAME?</v>
      </c>
      <c r="M1797" s="28" t="e">
        <f ca="1">[1]!BexGetData("DP_1","003N8EMH8GTFRIVOG7KG9IQXA","GSON1112150033")</f>
        <v>#NAME?</v>
      </c>
      <c r="N1797" s="23" t="e">
        <f ca="1">[1]!BexGetData("DP_1","003N8EMH8GTFRIVOG7KG9IX8U","GSON1112150033")</f>
        <v>#NAME?</v>
      </c>
      <c r="O1797" s="28" t="e">
        <f ca="1">[1]!BexGetData("DP_1","003N8EMH8GTFRIVOG7KG9J3KE","GSON1112150033")</f>
        <v>#NAME?</v>
      </c>
      <c r="P1797" s="23" t="e">
        <f ca="1">[1]!BexGetData("DP_1","003N8EMH8GTFRIVOG7KG9J9VY","GSON1112150033")</f>
        <v>#NAME?</v>
      </c>
      <c r="Q1797" s="24" t="e">
        <f ca="1">[1]!BexGetData("DP_1","00O2TNJGODT0G5Z4TTKYMM5MT","GSON1112150033")</f>
        <v>#NAME?</v>
      </c>
      <c r="R1797" s="28" t="e">
        <f ca="1">[1]!BexGetData("DP_1","00O2TNJGODT0G5Z4TTKYMMBYD","GSON1112150033")</f>
        <v>#NAME?</v>
      </c>
      <c r="S1797" s="28" t="e">
        <f ca="1">[1]!BexGetData("DP_1","00O2TNJGODT0G5Z4TTKYMMI9X","GSON1112150033")</f>
        <v>#NAME?</v>
      </c>
      <c r="T1797" s="28" t="e">
        <f ca="1">[1]!BexGetData("DP_1","00O2TNJGODT0G5Z4TTKYMMOLH","GSON1112150033")</f>
        <v>#NAME?</v>
      </c>
      <c r="U1797" s="28" t="e">
        <f ca="1">[1]!BexGetData("DP_1","00O2TNJGODT0G5Z4TTKYMMUX1","GSON1112150033")</f>
        <v>#NAME?</v>
      </c>
      <c r="V1797" s="28" t="e">
        <f ca="1">[1]!BexGetData("DP_1","00O2TNJGODT0G5Z4TTKYMN18L","GSON1112150033")</f>
        <v>#NAME?</v>
      </c>
      <c r="W1797" s="28" t="e">
        <f ca="1">[1]!BexGetData("DP_1","00O2TNJGODT0G5Z4TTKYMN7K5","GSON1112150033")</f>
        <v>#NAME?</v>
      </c>
    </row>
    <row r="1798" spans="1:23" x14ac:dyDescent="0.2">
      <c r="A1798" s="36" t="s">
        <v>4646</v>
      </c>
      <c r="B1798" s="27" t="s">
        <v>4647</v>
      </c>
      <c r="C1798" s="23" t="e">
        <f ca="1">[1]!BexGetData("DP_1","003N8EMH8GTFRCSWKMPXRR8GU","GSON1112150034")</f>
        <v>#NAME?</v>
      </c>
      <c r="D1798" s="23" t="e">
        <f ca="1">[1]!BexGetData("DP_1","003N8EMH8GTFRCSWKMPXRRESE","GSON1112150034")</f>
        <v>#NAME?</v>
      </c>
      <c r="E1798" s="28" t="e">
        <f ca="1">[1]!BexGetData("DP_1","003N8EMH8GTFRCSWKMPXRRL3Y","GSON1112150034")</f>
        <v>#NAME?</v>
      </c>
      <c r="F1798" s="28" t="e">
        <f ca="1">[1]!BexGetData("DP_1","003N8EMH8GTFRCSWKMPXRRRFI","GSON1112150034")</f>
        <v>#NAME?</v>
      </c>
      <c r="G1798" s="23" t="e">
        <f ca="1">[1]!BexGetData("DP_1","003N8EMH8GTFRCSWKMPXRRXR2","GSON1112150034")</f>
        <v>#NAME?</v>
      </c>
      <c r="H1798" s="23" t="e">
        <f ca="1">[1]!BexGetData("DP_1","003N8EMH8GTFRCSWKMPXRS42M","GSON1112150034")</f>
        <v>#NAME?</v>
      </c>
      <c r="I1798" s="28" t="e">
        <f ca="1">[1]!BexGetData("DP_1","003N8EMH8GTFRCSWKMPXRSAE6","GSON1112150034")</f>
        <v>#NAME?</v>
      </c>
      <c r="J1798" s="24" t="e">
        <f ca="1">[1]!BexGetData("DP_1","003N8EMH8GTFRCSWKMPXRSGPQ","GSON1112150034")</f>
        <v>#NAME?</v>
      </c>
      <c r="K1798" s="28" t="e">
        <f ca="1">[1]!BexGetData("DP_1","003N8EMH8GTFRIVNUPY288VJH","GSON1112150034")</f>
        <v>#NAME?</v>
      </c>
      <c r="L1798" s="28" t="e">
        <f ca="1">[1]!BexGetData("DP_1","003N8EMH8GTFRIVNUPY2891V1","GSON1112150034")</f>
        <v>#NAME?</v>
      </c>
      <c r="M1798" s="28" t="e">
        <f ca="1">[1]!BexGetData("DP_1","003N8EMH8GTFRIVOG7KG9IQXA","GSON1112150034")</f>
        <v>#NAME?</v>
      </c>
      <c r="N1798" s="28" t="e">
        <f ca="1">[1]!BexGetData("DP_1","003N8EMH8GTFRIVOG7KG9IX8U","GSON1112150034")</f>
        <v>#NAME?</v>
      </c>
      <c r="O1798" s="28" t="e">
        <f ca="1">[1]!BexGetData("DP_1","003N8EMH8GTFRIVOG7KG9J3KE","GSON1112150034")</f>
        <v>#NAME?</v>
      </c>
      <c r="P1798" s="28" t="e">
        <f ca="1">[1]!BexGetData("DP_1","003N8EMH8GTFRIVOG7KG9J9VY","GSON1112150034")</f>
        <v>#NAME?</v>
      </c>
      <c r="Q1798" s="24" t="e">
        <f ca="1">[1]!BexGetData("DP_1","00O2TNJGODT0G5Z4TTKYMM5MT","GSON1112150034")</f>
        <v>#NAME?</v>
      </c>
      <c r="R1798" s="28" t="e">
        <f ca="1">[1]!BexGetData("DP_1","00O2TNJGODT0G5Z4TTKYMMBYD","GSON1112150034")</f>
        <v>#NAME?</v>
      </c>
      <c r="S1798" s="28" t="e">
        <f ca="1">[1]!BexGetData("DP_1","00O2TNJGODT0G5Z4TTKYMMI9X","GSON1112150034")</f>
        <v>#NAME?</v>
      </c>
      <c r="T1798" s="28" t="e">
        <f ca="1">[1]!BexGetData("DP_1","00O2TNJGODT0G5Z4TTKYMMOLH","GSON1112150034")</f>
        <v>#NAME?</v>
      </c>
      <c r="U1798" s="28" t="e">
        <f ca="1">[1]!BexGetData("DP_1","00O2TNJGODT0G5Z4TTKYMMUX1","GSON1112150034")</f>
        <v>#NAME?</v>
      </c>
      <c r="V1798" s="28" t="e">
        <f ca="1">[1]!BexGetData("DP_1","00O2TNJGODT0G5Z4TTKYMN18L","GSON1112150034")</f>
        <v>#NAME?</v>
      </c>
      <c r="W1798" s="28" t="e">
        <f ca="1">[1]!BexGetData("DP_1","00O2TNJGODT0G5Z4TTKYMN7K5","GSON1112150034")</f>
        <v>#NAME?</v>
      </c>
    </row>
    <row r="1799" spans="1:23" x14ac:dyDescent="0.2">
      <c r="A1799" s="36" t="s">
        <v>4648</v>
      </c>
      <c r="B1799" s="27" t="s">
        <v>4649</v>
      </c>
      <c r="C1799" s="23" t="e">
        <f ca="1">[1]!BexGetData("DP_1","003N8EMH8GTFRCSWKMPXRR8GU","GSON1112150035")</f>
        <v>#NAME?</v>
      </c>
      <c r="D1799" s="23" t="e">
        <f ca="1">[1]!BexGetData("DP_1","003N8EMH8GTFRCSWKMPXRRESE","GSON1112150035")</f>
        <v>#NAME?</v>
      </c>
      <c r="E1799" s="28" t="e">
        <f ca="1">[1]!BexGetData("DP_1","003N8EMH8GTFRCSWKMPXRRL3Y","GSON1112150035")</f>
        <v>#NAME?</v>
      </c>
      <c r="F1799" s="24" t="e">
        <f ca="1">[1]!BexGetData("DP_1","003N8EMH8GTFRCSWKMPXRRRFI","GSON1112150035")</f>
        <v>#NAME?</v>
      </c>
      <c r="G1799" s="24" t="e">
        <f ca="1">[1]!BexGetData("DP_1","003N8EMH8GTFRCSWKMPXRRXR2","GSON1112150035")</f>
        <v>#NAME?</v>
      </c>
      <c r="H1799" s="24" t="e">
        <f ca="1">[1]!BexGetData("DP_1","003N8EMH8GTFRCSWKMPXRS42M","GSON1112150035")</f>
        <v>#NAME?</v>
      </c>
      <c r="I1799" s="24" t="e">
        <f ca="1">[1]!BexGetData("DP_1","003N8EMH8GTFRCSWKMPXRSAE6","GSON1112150035")</f>
        <v>#NAME?</v>
      </c>
      <c r="J1799" s="24" t="e">
        <f ca="1">[1]!BexGetData("DP_1","003N8EMH8GTFRCSWKMPXRSGPQ","GSON1112150035")</f>
        <v>#NAME?</v>
      </c>
      <c r="K1799" s="28" t="e">
        <f ca="1">[1]!BexGetData("DP_1","003N8EMH8GTFRIVNUPY288VJH","GSON1112150035")</f>
        <v>#NAME?</v>
      </c>
      <c r="L1799" s="28" t="e">
        <f ca="1">[1]!BexGetData("DP_1","003N8EMH8GTFRIVNUPY2891V1","GSON1112150035")</f>
        <v>#NAME?</v>
      </c>
      <c r="M1799" s="28" t="e">
        <f ca="1">[1]!BexGetData("DP_1","003N8EMH8GTFRIVOG7KG9IQXA","GSON1112150035")</f>
        <v>#NAME?</v>
      </c>
      <c r="N1799" s="28" t="e">
        <f ca="1">[1]!BexGetData("DP_1","003N8EMH8GTFRIVOG7KG9IX8U","GSON1112150035")</f>
        <v>#NAME?</v>
      </c>
      <c r="O1799" s="28" t="e">
        <f ca="1">[1]!BexGetData("DP_1","003N8EMH8GTFRIVOG7KG9J3KE","GSON1112150035")</f>
        <v>#NAME?</v>
      </c>
      <c r="P1799" s="28" t="e">
        <f ca="1">[1]!BexGetData("DP_1","003N8EMH8GTFRIVOG7KG9J9VY","GSON1112150035")</f>
        <v>#NAME?</v>
      </c>
      <c r="Q1799" s="24" t="e">
        <f ca="1">[1]!BexGetData("DP_1","00O2TNJGODT0G5Z4TTKYMM5MT","GSON1112150035")</f>
        <v>#NAME?</v>
      </c>
      <c r="R1799" s="24" t="e">
        <f ca="1">[1]!BexGetData("DP_1","00O2TNJGODT0G5Z4TTKYMMBYD","GSON1112150035")</f>
        <v>#NAME?</v>
      </c>
      <c r="S1799" s="24" t="e">
        <f ca="1">[1]!BexGetData("DP_1","00O2TNJGODT0G5Z4TTKYMMI9X","GSON1112150035")</f>
        <v>#NAME?</v>
      </c>
      <c r="T1799" s="24" t="e">
        <f ca="1">[1]!BexGetData("DP_1","00O2TNJGODT0G5Z4TTKYMMOLH","GSON1112150035")</f>
        <v>#NAME?</v>
      </c>
      <c r="U1799" s="24" t="e">
        <f ca="1">[1]!BexGetData("DP_1","00O2TNJGODT0G5Z4TTKYMMUX1","GSON1112150035")</f>
        <v>#NAME?</v>
      </c>
      <c r="V1799" s="24" t="e">
        <f ca="1">[1]!BexGetData("DP_1","00O2TNJGODT0G5Z4TTKYMN18L","GSON1112150035")</f>
        <v>#NAME?</v>
      </c>
      <c r="W1799" s="24" t="e">
        <f ca="1">[1]!BexGetData("DP_1","00O2TNJGODT0G5Z4TTKYMN7K5","GSON1112150035")</f>
        <v>#NAME?</v>
      </c>
    </row>
    <row r="1800" spans="1:23" x14ac:dyDescent="0.2">
      <c r="A1800" s="36" t="s">
        <v>1703</v>
      </c>
      <c r="B1800" s="27" t="s">
        <v>1704</v>
      </c>
      <c r="C1800" s="23" t="e">
        <f ca="1">[1]!BexGetData("DP_1","003N8EMH8GTFRCSWKMPXRR8GU","GSON1112150040")</f>
        <v>#NAME?</v>
      </c>
      <c r="D1800" s="28" t="e">
        <f ca="1">[1]!BexGetData("DP_1","003N8EMH8GTFRCSWKMPXRRESE","GSON1112150040")</f>
        <v>#NAME?</v>
      </c>
      <c r="E1800" s="23" t="e">
        <f ca="1">[1]!BexGetData("DP_1","003N8EMH8GTFRCSWKMPXRRL3Y","GSON1112150040")</f>
        <v>#NAME?</v>
      </c>
      <c r="F1800" s="23" t="e">
        <f ca="1">[1]!BexGetData("DP_1","003N8EMH8GTFRCSWKMPXRRRFI","GSON1112150040")</f>
        <v>#NAME?</v>
      </c>
      <c r="G1800" s="23" t="e">
        <f ca="1">[1]!BexGetData("DP_1","003N8EMH8GTFRCSWKMPXRRXR2","GSON1112150040")</f>
        <v>#NAME?</v>
      </c>
      <c r="H1800" s="23" t="e">
        <f ca="1">[1]!BexGetData("DP_1","003N8EMH8GTFRCSWKMPXRS42M","GSON1112150040")</f>
        <v>#NAME?</v>
      </c>
      <c r="I1800" s="23" t="e">
        <f ca="1">[1]!BexGetData("DP_1","003N8EMH8GTFRCSWKMPXRSAE6","GSON1112150040")</f>
        <v>#NAME?</v>
      </c>
      <c r="J1800" s="23" t="e">
        <f ca="1">[1]!BexGetData("DP_1","003N8EMH8GTFRCSWKMPXRSGPQ","GSON1112150040")</f>
        <v>#NAME?</v>
      </c>
      <c r="K1800" s="23" t="e">
        <f ca="1">[1]!BexGetData("DP_1","003N8EMH8GTFRIVNUPY288VJH","GSON1112150040")</f>
        <v>#NAME?</v>
      </c>
      <c r="L1800" s="23" t="e">
        <f ca="1">[1]!BexGetData("DP_1","003N8EMH8GTFRIVNUPY2891V1","GSON1112150040")</f>
        <v>#NAME?</v>
      </c>
      <c r="M1800" s="28" t="e">
        <f ca="1">[1]!BexGetData("DP_1","003N8EMH8GTFRIVOG7KG9IQXA","GSON1112150040")</f>
        <v>#NAME?</v>
      </c>
      <c r="N1800" s="23" t="e">
        <f ca="1">[1]!BexGetData("DP_1","003N8EMH8GTFRIVOG7KG9IX8U","GSON1112150040")</f>
        <v>#NAME?</v>
      </c>
      <c r="O1800" s="28" t="e">
        <f ca="1">[1]!BexGetData("DP_1","003N8EMH8GTFRIVOG7KG9J3KE","GSON1112150040")</f>
        <v>#NAME?</v>
      </c>
      <c r="P1800" s="23" t="e">
        <f ca="1">[1]!BexGetData("DP_1","003N8EMH8GTFRIVOG7KG9J9VY","GSON1112150040")</f>
        <v>#NAME?</v>
      </c>
      <c r="Q1800" s="23" t="e">
        <f ca="1">[1]!BexGetData("DP_1","00O2TNJGODT0G5Z4TTKYMM5MT","GSON1112150040")</f>
        <v>#NAME?</v>
      </c>
      <c r="R1800" s="23" t="e">
        <f ca="1">[1]!BexGetData("DP_1","00O2TNJGODT0G5Z4TTKYMMBYD","GSON1112150040")</f>
        <v>#NAME?</v>
      </c>
      <c r="S1800" s="23" t="e">
        <f ca="1">[1]!BexGetData("DP_1","00O2TNJGODT0G5Z4TTKYMMI9X","GSON1112150040")</f>
        <v>#NAME?</v>
      </c>
      <c r="T1800" s="23" t="e">
        <f ca="1">[1]!BexGetData("DP_1","00O2TNJGODT0G5Z4TTKYMMOLH","GSON1112150040")</f>
        <v>#NAME?</v>
      </c>
      <c r="U1800" s="28" t="e">
        <f ca="1">[1]!BexGetData("DP_1","00O2TNJGODT0G5Z4TTKYMMUX1","GSON1112150040")</f>
        <v>#NAME?</v>
      </c>
      <c r="V1800" s="23" t="e">
        <f ca="1">[1]!BexGetData("DP_1","00O2TNJGODT0G5Z4TTKYMN18L","GSON1112150040")</f>
        <v>#NAME?</v>
      </c>
      <c r="W1800" s="28" t="e">
        <f ca="1">[1]!BexGetData("DP_1","00O2TNJGODT0G5Z4TTKYMN7K5","GSON1112150040")</f>
        <v>#NAME?</v>
      </c>
    </row>
    <row r="1801" spans="1:23" x14ac:dyDescent="0.2">
      <c r="A1801" s="36" t="s">
        <v>4650</v>
      </c>
      <c r="B1801" s="27" t="s">
        <v>1705</v>
      </c>
      <c r="C1801" s="23" t="e">
        <f ca="1">[1]!BexGetData("DP_1","003N8EMH8GTFRCSWKMPXRR8GU","GSON1112150044")</f>
        <v>#NAME?</v>
      </c>
      <c r="D1801" s="23" t="e">
        <f ca="1">[1]!BexGetData("DP_1","003N8EMH8GTFRCSWKMPXRRESE","GSON1112150044")</f>
        <v>#NAME?</v>
      </c>
      <c r="E1801" s="28" t="e">
        <f ca="1">[1]!BexGetData("DP_1","003N8EMH8GTFRCSWKMPXRRL3Y","GSON1112150044")</f>
        <v>#NAME?</v>
      </c>
      <c r="F1801" s="28" t="e">
        <f ca="1">[1]!BexGetData("DP_1","003N8EMH8GTFRCSWKMPXRRRFI","GSON1112150044")</f>
        <v>#NAME?</v>
      </c>
      <c r="G1801" s="23" t="e">
        <f ca="1">[1]!BexGetData("DP_1","003N8EMH8GTFRCSWKMPXRRXR2","GSON1112150044")</f>
        <v>#NAME?</v>
      </c>
      <c r="H1801" s="23" t="e">
        <f ca="1">[1]!BexGetData("DP_1","003N8EMH8GTFRCSWKMPXRS42M","GSON1112150044")</f>
        <v>#NAME?</v>
      </c>
      <c r="I1801" s="28" t="e">
        <f ca="1">[1]!BexGetData("DP_1","003N8EMH8GTFRCSWKMPXRSAE6","GSON1112150044")</f>
        <v>#NAME?</v>
      </c>
      <c r="J1801" s="24" t="e">
        <f ca="1">[1]!BexGetData("DP_1","003N8EMH8GTFRCSWKMPXRSGPQ","GSON1112150044")</f>
        <v>#NAME?</v>
      </c>
      <c r="K1801" s="28" t="e">
        <f ca="1">[1]!BexGetData("DP_1","003N8EMH8GTFRIVNUPY288VJH","GSON1112150044")</f>
        <v>#NAME?</v>
      </c>
      <c r="L1801" s="28" t="e">
        <f ca="1">[1]!BexGetData("DP_1","003N8EMH8GTFRIVNUPY2891V1","GSON1112150044")</f>
        <v>#NAME?</v>
      </c>
      <c r="M1801" s="28" t="e">
        <f ca="1">[1]!BexGetData("DP_1","003N8EMH8GTFRIVOG7KG9IQXA","GSON1112150044")</f>
        <v>#NAME?</v>
      </c>
      <c r="N1801" s="28" t="e">
        <f ca="1">[1]!BexGetData("DP_1","003N8EMH8GTFRIVOG7KG9IX8U","GSON1112150044")</f>
        <v>#NAME?</v>
      </c>
      <c r="O1801" s="28" t="e">
        <f ca="1">[1]!BexGetData("DP_1","003N8EMH8GTFRIVOG7KG9J3KE","GSON1112150044")</f>
        <v>#NAME?</v>
      </c>
      <c r="P1801" s="28" t="e">
        <f ca="1">[1]!BexGetData("DP_1","003N8EMH8GTFRIVOG7KG9J9VY","GSON1112150044")</f>
        <v>#NAME?</v>
      </c>
      <c r="Q1801" s="24" t="e">
        <f ca="1">[1]!BexGetData("DP_1","00O2TNJGODT0G5Z4TTKYMM5MT","GSON1112150044")</f>
        <v>#NAME?</v>
      </c>
      <c r="R1801" s="28" t="e">
        <f ca="1">[1]!BexGetData("DP_1","00O2TNJGODT0G5Z4TTKYMMBYD","GSON1112150044")</f>
        <v>#NAME?</v>
      </c>
      <c r="S1801" s="28" t="e">
        <f ca="1">[1]!BexGetData("DP_1","00O2TNJGODT0G5Z4TTKYMMI9X","GSON1112150044")</f>
        <v>#NAME?</v>
      </c>
      <c r="T1801" s="28" t="e">
        <f ca="1">[1]!BexGetData("DP_1","00O2TNJGODT0G5Z4TTKYMMOLH","GSON1112150044")</f>
        <v>#NAME?</v>
      </c>
      <c r="U1801" s="28" t="e">
        <f ca="1">[1]!BexGetData("DP_1","00O2TNJGODT0G5Z4TTKYMMUX1","GSON1112150044")</f>
        <v>#NAME?</v>
      </c>
      <c r="V1801" s="28" t="e">
        <f ca="1">[1]!BexGetData("DP_1","00O2TNJGODT0G5Z4TTKYMN18L","GSON1112150044")</f>
        <v>#NAME?</v>
      </c>
      <c r="W1801" s="28" t="e">
        <f ca="1">[1]!BexGetData("DP_1","00O2TNJGODT0G5Z4TTKYMN7K5","GSON1112150044")</f>
        <v>#NAME?</v>
      </c>
    </row>
    <row r="1802" spans="1:23" x14ac:dyDescent="0.2">
      <c r="A1802" s="36" t="s">
        <v>1706</v>
      </c>
      <c r="B1802" s="27" t="s">
        <v>1707</v>
      </c>
      <c r="C1802" s="23" t="e">
        <f ca="1">[1]!BexGetData("DP_1","003N8EMH8GTFRCSWKMPXRR8GU","GSON1112150045")</f>
        <v>#NAME?</v>
      </c>
      <c r="D1802" s="23" t="e">
        <f ca="1">[1]!BexGetData("DP_1","003N8EMH8GTFRCSWKMPXRRESE","GSON1112150045")</f>
        <v>#NAME?</v>
      </c>
      <c r="E1802" s="28" t="e">
        <f ca="1">[1]!BexGetData("DP_1","003N8EMH8GTFRCSWKMPXRRL3Y","GSON1112150045")</f>
        <v>#NAME?</v>
      </c>
      <c r="F1802" s="28" t="e">
        <f ca="1">[1]!BexGetData("DP_1","003N8EMH8GTFRCSWKMPXRRRFI","GSON1112150045")</f>
        <v>#NAME?</v>
      </c>
      <c r="G1802" s="23" t="e">
        <f ca="1">[1]!BexGetData("DP_1","003N8EMH8GTFRCSWKMPXRRXR2","GSON1112150045")</f>
        <v>#NAME?</v>
      </c>
      <c r="H1802" s="23" t="e">
        <f ca="1">[1]!BexGetData("DP_1","003N8EMH8GTFRCSWKMPXRS42M","GSON1112150045")</f>
        <v>#NAME?</v>
      </c>
      <c r="I1802" s="28" t="e">
        <f ca="1">[1]!BexGetData("DP_1","003N8EMH8GTFRCSWKMPXRSAE6","GSON1112150045")</f>
        <v>#NAME?</v>
      </c>
      <c r="J1802" s="24" t="e">
        <f ca="1">[1]!BexGetData("DP_1","003N8EMH8GTFRCSWKMPXRSGPQ","GSON1112150045")</f>
        <v>#NAME?</v>
      </c>
      <c r="K1802" s="28" t="e">
        <f ca="1">[1]!BexGetData("DP_1","003N8EMH8GTFRIVNUPY288VJH","GSON1112150045")</f>
        <v>#NAME?</v>
      </c>
      <c r="L1802" s="28" t="e">
        <f ca="1">[1]!BexGetData("DP_1","003N8EMH8GTFRIVNUPY2891V1","GSON1112150045")</f>
        <v>#NAME?</v>
      </c>
      <c r="M1802" s="28" t="e">
        <f ca="1">[1]!BexGetData("DP_1","003N8EMH8GTFRIVOG7KG9IQXA","GSON1112150045")</f>
        <v>#NAME?</v>
      </c>
      <c r="N1802" s="28" t="e">
        <f ca="1">[1]!BexGetData("DP_1","003N8EMH8GTFRIVOG7KG9IX8U","GSON1112150045")</f>
        <v>#NAME?</v>
      </c>
      <c r="O1802" s="28" t="e">
        <f ca="1">[1]!BexGetData("DP_1","003N8EMH8GTFRIVOG7KG9J3KE","GSON1112150045")</f>
        <v>#NAME?</v>
      </c>
      <c r="P1802" s="28" t="e">
        <f ca="1">[1]!BexGetData("DP_1","003N8EMH8GTFRIVOG7KG9J9VY","GSON1112150045")</f>
        <v>#NAME?</v>
      </c>
      <c r="Q1802" s="24" t="e">
        <f ca="1">[1]!BexGetData("DP_1","00O2TNJGODT0G5Z4TTKYMM5MT","GSON1112150045")</f>
        <v>#NAME?</v>
      </c>
      <c r="R1802" s="28" t="e">
        <f ca="1">[1]!BexGetData("DP_1","00O2TNJGODT0G5Z4TTKYMMBYD","GSON1112150045")</f>
        <v>#NAME?</v>
      </c>
      <c r="S1802" s="28" t="e">
        <f ca="1">[1]!BexGetData("DP_1","00O2TNJGODT0G5Z4TTKYMMI9X","GSON1112150045")</f>
        <v>#NAME?</v>
      </c>
      <c r="T1802" s="28" t="e">
        <f ca="1">[1]!BexGetData("DP_1","00O2TNJGODT0G5Z4TTKYMMOLH","GSON1112150045")</f>
        <v>#NAME?</v>
      </c>
      <c r="U1802" s="28" t="e">
        <f ca="1">[1]!BexGetData("DP_1","00O2TNJGODT0G5Z4TTKYMMUX1","GSON1112150045")</f>
        <v>#NAME?</v>
      </c>
      <c r="V1802" s="28" t="e">
        <f ca="1">[1]!BexGetData("DP_1","00O2TNJGODT0G5Z4TTKYMN18L","GSON1112150045")</f>
        <v>#NAME?</v>
      </c>
      <c r="W1802" s="28" t="e">
        <f ca="1">[1]!BexGetData("DP_1","00O2TNJGODT0G5Z4TTKYMN7K5","GSON1112150045")</f>
        <v>#NAME?</v>
      </c>
    </row>
    <row r="1803" spans="1:23" x14ac:dyDescent="0.2">
      <c r="A1803" s="36" t="s">
        <v>4651</v>
      </c>
      <c r="B1803" s="27" t="s">
        <v>4652</v>
      </c>
      <c r="C1803" s="28" t="e">
        <f ca="1">[1]!BexGetData("DP_1","003N8EMH8GTFRCSWKMPXRR8GU","GSON1112150050")</f>
        <v>#NAME?</v>
      </c>
      <c r="D1803" s="28" t="e">
        <f ca="1">[1]!BexGetData("DP_1","003N8EMH8GTFRCSWKMPXRRESE","GSON1112150050")</f>
        <v>#NAME?</v>
      </c>
      <c r="E1803" s="28" t="e">
        <f ca="1">[1]!BexGetData("DP_1","003N8EMH8GTFRCSWKMPXRRL3Y","GSON1112150050")</f>
        <v>#NAME?</v>
      </c>
      <c r="F1803" s="28" t="e">
        <f ca="1">[1]!BexGetData("DP_1","003N8EMH8GTFRCSWKMPXRRRFI","GSON1112150050")</f>
        <v>#NAME?</v>
      </c>
      <c r="G1803" s="28" t="e">
        <f ca="1">[1]!BexGetData("DP_1","003N8EMH8GTFRCSWKMPXRRXR2","GSON1112150050")</f>
        <v>#NAME?</v>
      </c>
      <c r="H1803" s="23" t="e">
        <f ca="1">[1]!BexGetData("DP_1","003N8EMH8GTFRCSWKMPXRS42M","GSON1112150050")</f>
        <v>#NAME?</v>
      </c>
      <c r="I1803" s="28" t="e">
        <f ca="1">[1]!BexGetData("DP_1","003N8EMH8GTFRCSWKMPXRSAE6","GSON1112150050")</f>
        <v>#NAME?</v>
      </c>
      <c r="J1803" s="23" t="e">
        <f ca="1">[1]!BexGetData("DP_1","003N8EMH8GTFRCSWKMPXRSGPQ","GSON1112150050")</f>
        <v>#NAME?</v>
      </c>
      <c r="K1803" s="28" t="e">
        <f ca="1">[1]!BexGetData("DP_1","003N8EMH8GTFRIVNUPY288VJH","GSON1112150050")</f>
        <v>#NAME?</v>
      </c>
      <c r="L1803" s="28" t="e">
        <f ca="1">[1]!BexGetData("DP_1","003N8EMH8GTFRIVNUPY2891V1","GSON1112150050")</f>
        <v>#NAME?</v>
      </c>
      <c r="M1803" s="28" t="e">
        <f ca="1">[1]!BexGetData("DP_1","003N8EMH8GTFRIVOG7KG9IQXA","GSON1112150050")</f>
        <v>#NAME?</v>
      </c>
      <c r="N1803" s="28" t="e">
        <f ca="1">[1]!BexGetData("DP_1","003N8EMH8GTFRIVOG7KG9IX8U","GSON1112150050")</f>
        <v>#NAME?</v>
      </c>
      <c r="O1803" s="28" t="e">
        <f ca="1">[1]!BexGetData("DP_1","003N8EMH8GTFRIVOG7KG9J3KE","GSON1112150050")</f>
        <v>#NAME?</v>
      </c>
      <c r="P1803" s="28" t="e">
        <f ca="1">[1]!BexGetData("DP_1","003N8EMH8GTFRIVOG7KG9J9VY","GSON1112150050")</f>
        <v>#NAME?</v>
      </c>
      <c r="Q1803" s="23" t="e">
        <f ca="1">[1]!BexGetData("DP_1","00O2TNJGODT0G5Z4TTKYMM5MT","GSON1112150050")</f>
        <v>#NAME?</v>
      </c>
      <c r="R1803" s="23" t="e">
        <f ca="1">[1]!BexGetData("DP_1","00O2TNJGODT0G5Z4TTKYMMBYD","GSON1112150050")</f>
        <v>#NAME?</v>
      </c>
      <c r="S1803" s="23" t="e">
        <f ca="1">[1]!BexGetData("DP_1","00O2TNJGODT0G5Z4TTKYMMI9X","GSON1112150050")</f>
        <v>#NAME?</v>
      </c>
      <c r="T1803" s="23" t="e">
        <f ca="1">[1]!BexGetData("DP_1","00O2TNJGODT0G5Z4TTKYMMOLH","GSON1112150050")</f>
        <v>#NAME?</v>
      </c>
      <c r="U1803" s="28" t="e">
        <f ca="1">[1]!BexGetData("DP_1","00O2TNJGODT0G5Z4TTKYMMUX1","GSON1112150050")</f>
        <v>#NAME?</v>
      </c>
      <c r="V1803" s="23" t="e">
        <f ca="1">[1]!BexGetData("DP_1","00O2TNJGODT0G5Z4TTKYMN18L","GSON1112150050")</f>
        <v>#NAME?</v>
      </c>
      <c r="W1803" s="28" t="e">
        <f ca="1">[1]!BexGetData("DP_1","00O2TNJGODT0G5Z4TTKYMN7K5","GSON1112150050")</f>
        <v>#NAME?</v>
      </c>
    </row>
    <row r="1804" spans="1:23" x14ac:dyDescent="0.2">
      <c r="A1804" s="36" t="s">
        <v>1157</v>
      </c>
      <c r="B1804" s="27" t="s">
        <v>1158</v>
      </c>
      <c r="C1804" s="28" t="e">
        <f ca="1">[1]!BexGetData("DP_1","003N8EMH8GTFRCSWKMPXRR8GU","GSON1112150051")</f>
        <v>#NAME?</v>
      </c>
      <c r="D1804" s="28" t="e">
        <f ca="1">[1]!BexGetData("DP_1","003N8EMH8GTFRCSWKMPXRRESE","GSON1112150051")</f>
        <v>#NAME?</v>
      </c>
      <c r="E1804" s="28" t="e">
        <f ca="1">[1]!BexGetData("DP_1","003N8EMH8GTFRCSWKMPXRRL3Y","GSON1112150051")</f>
        <v>#NAME?</v>
      </c>
      <c r="F1804" s="28" t="e">
        <f ca="1">[1]!BexGetData("DP_1","003N8EMH8GTFRCSWKMPXRRRFI","GSON1112150051")</f>
        <v>#NAME?</v>
      </c>
      <c r="G1804" s="23" t="e">
        <f ca="1">[1]!BexGetData("DP_1","003N8EMH8GTFRCSWKMPXRRXR2","GSON1112150051")</f>
        <v>#NAME?</v>
      </c>
      <c r="H1804" s="23" t="e">
        <f ca="1">[1]!BexGetData("DP_1","003N8EMH8GTFRCSWKMPXRS42M","GSON1112150051")</f>
        <v>#NAME?</v>
      </c>
      <c r="I1804" s="28" t="e">
        <f ca="1">[1]!BexGetData("DP_1","003N8EMH8GTFRCSWKMPXRSAE6","GSON1112150051")</f>
        <v>#NAME?</v>
      </c>
      <c r="J1804" s="24" t="e">
        <f ca="1">[1]!BexGetData("DP_1","003N8EMH8GTFRCSWKMPXRSGPQ","GSON1112150051")</f>
        <v>#NAME?</v>
      </c>
      <c r="K1804" s="28" t="e">
        <f ca="1">[1]!BexGetData("DP_1","003N8EMH8GTFRIVNUPY288VJH","GSON1112150051")</f>
        <v>#NAME?</v>
      </c>
      <c r="L1804" s="28" t="e">
        <f ca="1">[1]!BexGetData("DP_1","003N8EMH8GTFRIVNUPY2891V1","GSON1112150051")</f>
        <v>#NAME?</v>
      </c>
      <c r="M1804" s="28" t="e">
        <f ca="1">[1]!BexGetData("DP_1","003N8EMH8GTFRIVOG7KG9IQXA","GSON1112150051")</f>
        <v>#NAME?</v>
      </c>
      <c r="N1804" s="28" t="e">
        <f ca="1">[1]!BexGetData("DP_1","003N8EMH8GTFRIVOG7KG9IX8U","GSON1112150051")</f>
        <v>#NAME?</v>
      </c>
      <c r="O1804" s="28" t="e">
        <f ca="1">[1]!BexGetData("DP_1","003N8EMH8GTFRIVOG7KG9J3KE","GSON1112150051")</f>
        <v>#NAME?</v>
      </c>
      <c r="P1804" s="28" t="e">
        <f ca="1">[1]!BexGetData("DP_1","003N8EMH8GTFRIVOG7KG9J9VY","GSON1112150051")</f>
        <v>#NAME?</v>
      </c>
      <c r="Q1804" s="24" t="e">
        <f ca="1">[1]!BexGetData("DP_1","00O2TNJGODT0G5Z4TTKYMM5MT","GSON1112150051")</f>
        <v>#NAME?</v>
      </c>
      <c r="R1804" s="28" t="e">
        <f ca="1">[1]!BexGetData("DP_1","00O2TNJGODT0G5Z4TTKYMMBYD","GSON1112150051")</f>
        <v>#NAME?</v>
      </c>
      <c r="S1804" s="28" t="e">
        <f ca="1">[1]!BexGetData("DP_1","00O2TNJGODT0G5Z4TTKYMMI9X","GSON1112150051")</f>
        <v>#NAME?</v>
      </c>
      <c r="T1804" s="28" t="e">
        <f ca="1">[1]!BexGetData("DP_1","00O2TNJGODT0G5Z4TTKYMMOLH","GSON1112150051")</f>
        <v>#NAME?</v>
      </c>
      <c r="U1804" s="28" t="e">
        <f ca="1">[1]!BexGetData("DP_1","00O2TNJGODT0G5Z4TTKYMMUX1","GSON1112150051")</f>
        <v>#NAME?</v>
      </c>
      <c r="V1804" s="28" t="e">
        <f ca="1">[1]!BexGetData("DP_1","00O2TNJGODT0G5Z4TTKYMN18L","GSON1112150051")</f>
        <v>#NAME?</v>
      </c>
      <c r="W1804" s="28" t="e">
        <f ca="1">[1]!BexGetData("DP_1","00O2TNJGODT0G5Z4TTKYMN7K5","GSON1112150051")</f>
        <v>#NAME?</v>
      </c>
    </row>
    <row r="1805" spans="1:23" x14ac:dyDescent="0.2">
      <c r="A1805" s="36" t="s">
        <v>4653</v>
      </c>
      <c r="B1805" s="27" t="s">
        <v>4654</v>
      </c>
      <c r="C1805" s="24" t="e">
        <f ca="1">[1]!BexGetData("DP_1","003N8EMH8GTFRCSWKMPXRR8GU","GSON1112150054")</f>
        <v>#NAME?</v>
      </c>
      <c r="D1805" s="24" t="e">
        <f ca="1">[1]!BexGetData("DP_1","003N8EMH8GTFRCSWKMPXRRESE","GSON1112150054")</f>
        <v>#NAME?</v>
      </c>
      <c r="E1805" s="24" t="e">
        <f ca="1">[1]!BexGetData("DP_1","003N8EMH8GTFRCSWKMPXRRL3Y","GSON1112150054")</f>
        <v>#NAME?</v>
      </c>
      <c r="F1805" s="28" t="e">
        <f ca="1">[1]!BexGetData("DP_1","003N8EMH8GTFRCSWKMPXRRRFI","GSON1112150054")</f>
        <v>#NAME?</v>
      </c>
      <c r="G1805" s="23" t="e">
        <f ca="1">[1]!BexGetData("DP_1","003N8EMH8GTFRCSWKMPXRRXR2","GSON1112150054")</f>
        <v>#NAME?</v>
      </c>
      <c r="H1805" s="23" t="e">
        <f ca="1">[1]!BexGetData("DP_1","003N8EMH8GTFRCSWKMPXRS42M","GSON1112150054")</f>
        <v>#NAME?</v>
      </c>
      <c r="I1805" s="28" t="e">
        <f ca="1">[1]!BexGetData("DP_1","003N8EMH8GTFRCSWKMPXRSAE6","GSON1112150054")</f>
        <v>#NAME?</v>
      </c>
      <c r="J1805" s="24" t="e">
        <f ca="1">[1]!BexGetData("DP_1","003N8EMH8GTFRCSWKMPXRSGPQ","GSON1112150054")</f>
        <v>#NAME?</v>
      </c>
      <c r="K1805" s="28" t="e">
        <f ca="1">[1]!BexGetData("DP_1","003N8EMH8GTFRIVNUPY288VJH","GSON1112150054")</f>
        <v>#NAME?</v>
      </c>
      <c r="L1805" s="28" t="e">
        <f ca="1">[1]!BexGetData("DP_1","003N8EMH8GTFRIVNUPY2891V1","GSON1112150054")</f>
        <v>#NAME?</v>
      </c>
      <c r="M1805" s="28" t="e">
        <f ca="1">[1]!BexGetData("DP_1","003N8EMH8GTFRIVOG7KG9IQXA","GSON1112150054")</f>
        <v>#NAME?</v>
      </c>
      <c r="N1805" s="28" t="e">
        <f ca="1">[1]!BexGetData("DP_1","003N8EMH8GTFRIVOG7KG9IX8U","GSON1112150054")</f>
        <v>#NAME?</v>
      </c>
      <c r="O1805" s="28" t="e">
        <f ca="1">[1]!BexGetData("DP_1","003N8EMH8GTFRIVOG7KG9J3KE","GSON1112150054")</f>
        <v>#NAME?</v>
      </c>
      <c r="P1805" s="28" t="e">
        <f ca="1">[1]!BexGetData("DP_1","003N8EMH8GTFRIVOG7KG9J9VY","GSON1112150054")</f>
        <v>#NAME?</v>
      </c>
      <c r="Q1805" s="24" t="e">
        <f ca="1">[1]!BexGetData("DP_1","00O2TNJGODT0G5Z4TTKYMM5MT","GSON1112150054")</f>
        <v>#NAME?</v>
      </c>
      <c r="R1805" s="28" t="e">
        <f ca="1">[1]!BexGetData("DP_1","00O2TNJGODT0G5Z4TTKYMMBYD","GSON1112150054")</f>
        <v>#NAME?</v>
      </c>
      <c r="S1805" s="28" t="e">
        <f ca="1">[1]!BexGetData("DP_1","00O2TNJGODT0G5Z4TTKYMMI9X","GSON1112150054")</f>
        <v>#NAME?</v>
      </c>
      <c r="T1805" s="28" t="e">
        <f ca="1">[1]!BexGetData("DP_1","00O2TNJGODT0G5Z4TTKYMMOLH","GSON1112150054")</f>
        <v>#NAME?</v>
      </c>
      <c r="U1805" s="28" t="e">
        <f ca="1">[1]!BexGetData("DP_1","00O2TNJGODT0G5Z4TTKYMMUX1","GSON1112150054")</f>
        <v>#NAME?</v>
      </c>
      <c r="V1805" s="28" t="e">
        <f ca="1">[1]!BexGetData("DP_1","00O2TNJGODT0G5Z4TTKYMN18L","GSON1112150054")</f>
        <v>#NAME?</v>
      </c>
      <c r="W1805" s="28" t="e">
        <f ca="1">[1]!BexGetData("DP_1","00O2TNJGODT0G5Z4TTKYMN7K5","GSON1112150054")</f>
        <v>#NAME?</v>
      </c>
    </row>
    <row r="1806" spans="1:23" x14ac:dyDescent="0.2">
      <c r="A1806" s="36" t="s">
        <v>4655</v>
      </c>
      <c r="B1806" s="27" t="s">
        <v>4656</v>
      </c>
      <c r="C1806" s="23" t="e">
        <f ca="1">[1]!BexGetData("DP_1","003N8EMH8GTFRCSWKMPXRR8GU","GSON1112150060")</f>
        <v>#NAME?</v>
      </c>
      <c r="D1806" s="23" t="e">
        <f ca="1">[1]!BexGetData("DP_1","003N8EMH8GTFRCSWKMPXRRESE","GSON1112150060")</f>
        <v>#NAME?</v>
      </c>
      <c r="E1806" s="23" t="e">
        <f ca="1">[1]!BexGetData("DP_1","003N8EMH8GTFRCSWKMPXRRL3Y","GSON1112150060")</f>
        <v>#NAME?</v>
      </c>
      <c r="F1806" s="23" t="e">
        <f ca="1">[1]!BexGetData("DP_1","003N8EMH8GTFRCSWKMPXRRRFI","GSON1112150060")</f>
        <v>#NAME?</v>
      </c>
      <c r="G1806" s="23" t="e">
        <f ca="1">[1]!BexGetData("DP_1","003N8EMH8GTFRCSWKMPXRRXR2","GSON1112150060")</f>
        <v>#NAME?</v>
      </c>
      <c r="H1806" s="23" t="e">
        <f ca="1">[1]!BexGetData("DP_1","003N8EMH8GTFRCSWKMPXRS42M","GSON1112150060")</f>
        <v>#NAME?</v>
      </c>
      <c r="I1806" s="23" t="e">
        <f ca="1">[1]!BexGetData("DP_1","003N8EMH8GTFRCSWKMPXRSAE6","GSON1112150060")</f>
        <v>#NAME?</v>
      </c>
      <c r="J1806" s="23" t="e">
        <f ca="1">[1]!BexGetData("DP_1","003N8EMH8GTFRCSWKMPXRSGPQ","GSON1112150060")</f>
        <v>#NAME?</v>
      </c>
      <c r="K1806" s="23" t="e">
        <f ca="1">[1]!BexGetData("DP_1","003N8EMH8GTFRIVNUPY288VJH","GSON1112150060")</f>
        <v>#NAME?</v>
      </c>
      <c r="L1806" s="23" t="e">
        <f ca="1">[1]!BexGetData("DP_1","003N8EMH8GTFRIVNUPY2891V1","GSON1112150060")</f>
        <v>#NAME?</v>
      </c>
      <c r="M1806" s="28" t="e">
        <f ca="1">[1]!BexGetData("DP_1","003N8EMH8GTFRIVOG7KG9IQXA","GSON1112150060")</f>
        <v>#NAME?</v>
      </c>
      <c r="N1806" s="23" t="e">
        <f ca="1">[1]!BexGetData("DP_1","003N8EMH8GTFRIVOG7KG9IX8U","GSON1112150060")</f>
        <v>#NAME?</v>
      </c>
      <c r="O1806" s="28" t="e">
        <f ca="1">[1]!BexGetData("DP_1","003N8EMH8GTFRIVOG7KG9J3KE","GSON1112150060")</f>
        <v>#NAME?</v>
      </c>
      <c r="P1806" s="23" t="e">
        <f ca="1">[1]!BexGetData("DP_1","003N8EMH8GTFRIVOG7KG9J9VY","GSON1112150060")</f>
        <v>#NAME?</v>
      </c>
      <c r="Q1806" s="23" t="e">
        <f ca="1">[1]!BexGetData("DP_1","00O2TNJGODT0G5Z4TTKYMM5MT","GSON1112150060")</f>
        <v>#NAME?</v>
      </c>
      <c r="R1806" s="23" t="e">
        <f ca="1">[1]!BexGetData("DP_1","00O2TNJGODT0G5Z4TTKYMMBYD","GSON1112150060")</f>
        <v>#NAME?</v>
      </c>
      <c r="S1806" s="23" t="e">
        <f ca="1">[1]!BexGetData("DP_1","00O2TNJGODT0G5Z4TTKYMMI9X","GSON1112150060")</f>
        <v>#NAME?</v>
      </c>
      <c r="T1806" s="23" t="e">
        <f ca="1">[1]!BexGetData("DP_1","00O2TNJGODT0G5Z4TTKYMMOLH","GSON1112150060")</f>
        <v>#NAME?</v>
      </c>
      <c r="U1806" s="28" t="e">
        <f ca="1">[1]!BexGetData("DP_1","00O2TNJGODT0G5Z4TTKYMMUX1","GSON1112150060")</f>
        <v>#NAME?</v>
      </c>
      <c r="V1806" s="23" t="e">
        <f ca="1">[1]!BexGetData("DP_1","00O2TNJGODT0G5Z4TTKYMN18L","GSON1112150060")</f>
        <v>#NAME?</v>
      </c>
      <c r="W1806" s="28" t="e">
        <f ca="1">[1]!BexGetData("DP_1","00O2TNJGODT0G5Z4TTKYMN7K5","GSON1112150060")</f>
        <v>#NAME?</v>
      </c>
    </row>
    <row r="1807" spans="1:23" x14ac:dyDescent="0.2">
      <c r="A1807" s="36" t="s">
        <v>4657</v>
      </c>
      <c r="B1807" s="27" t="s">
        <v>4658</v>
      </c>
      <c r="C1807" s="23" t="e">
        <f ca="1">[1]!BexGetData("DP_1","003N8EMH8GTFRCSWKMPXRR8GU","GSON1112150061")</f>
        <v>#NAME?</v>
      </c>
      <c r="D1807" s="23" t="e">
        <f ca="1">[1]!BexGetData("DP_1","003N8EMH8GTFRCSWKMPXRRESE","GSON1112150061")</f>
        <v>#NAME?</v>
      </c>
      <c r="E1807" s="28" t="e">
        <f ca="1">[1]!BexGetData("DP_1","003N8EMH8GTFRCSWKMPXRRL3Y","GSON1112150061")</f>
        <v>#NAME?</v>
      </c>
      <c r="F1807" s="28" t="e">
        <f ca="1">[1]!BexGetData("DP_1","003N8EMH8GTFRCSWKMPXRRRFI","GSON1112150061")</f>
        <v>#NAME?</v>
      </c>
      <c r="G1807" s="23" t="e">
        <f ca="1">[1]!BexGetData("DP_1","003N8EMH8GTFRCSWKMPXRRXR2","GSON1112150061")</f>
        <v>#NAME?</v>
      </c>
      <c r="H1807" s="23" t="e">
        <f ca="1">[1]!BexGetData("DP_1","003N8EMH8GTFRCSWKMPXRS42M","GSON1112150061")</f>
        <v>#NAME?</v>
      </c>
      <c r="I1807" s="28" t="e">
        <f ca="1">[1]!BexGetData("DP_1","003N8EMH8GTFRCSWKMPXRSAE6","GSON1112150061")</f>
        <v>#NAME?</v>
      </c>
      <c r="J1807" s="24" t="e">
        <f ca="1">[1]!BexGetData("DP_1","003N8EMH8GTFRCSWKMPXRSGPQ","GSON1112150061")</f>
        <v>#NAME?</v>
      </c>
      <c r="K1807" s="28" t="e">
        <f ca="1">[1]!BexGetData("DP_1","003N8EMH8GTFRIVNUPY288VJH","GSON1112150061")</f>
        <v>#NAME?</v>
      </c>
      <c r="L1807" s="28" t="e">
        <f ca="1">[1]!BexGetData("DP_1","003N8EMH8GTFRIVNUPY2891V1","GSON1112150061")</f>
        <v>#NAME?</v>
      </c>
      <c r="M1807" s="28" t="e">
        <f ca="1">[1]!BexGetData("DP_1","003N8EMH8GTFRIVOG7KG9IQXA","GSON1112150061")</f>
        <v>#NAME?</v>
      </c>
      <c r="N1807" s="28" t="e">
        <f ca="1">[1]!BexGetData("DP_1","003N8EMH8GTFRIVOG7KG9IX8U","GSON1112150061")</f>
        <v>#NAME?</v>
      </c>
      <c r="O1807" s="28" t="e">
        <f ca="1">[1]!BexGetData("DP_1","003N8EMH8GTFRIVOG7KG9J3KE","GSON1112150061")</f>
        <v>#NAME?</v>
      </c>
      <c r="P1807" s="28" t="e">
        <f ca="1">[1]!BexGetData("DP_1","003N8EMH8GTFRIVOG7KG9J9VY","GSON1112150061")</f>
        <v>#NAME?</v>
      </c>
      <c r="Q1807" s="24" t="e">
        <f ca="1">[1]!BexGetData("DP_1","00O2TNJGODT0G5Z4TTKYMM5MT","GSON1112150061")</f>
        <v>#NAME?</v>
      </c>
      <c r="R1807" s="28" t="e">
        <f ca="1">[1]!BexGetData("DP_1","00O2TNJGODT0G5Z4TTKYMMBYD","GSON1112150061")</f>
        <v>#NAME?</v>
      </c>
      <c r="S1807" s="28" t="e">
        <f ca="1">[1]!BexGetData("DP_1","00O2TNJGODT0G5Z4TTKYMMI9X","GSON1112150061")</f>
        <v>#NAME?</v>
      </c>
      <c r="T1807" s="28" t="e">
        <f ca="1">[1]!BexGetData("DP_1","00O2TNJGODT0G5Z4TTKYMMOLH","GSON1112150061")</f>
        <v>#NAME?</v>
      </c>
      <c r="U1807" s="28" t="e">
        <f ca="1">[1]!BexGetData("DP_1","00O2TNJGODT0G5Z4TTKYMMUX1","GSON1112150061")</f>
        <v>#NAME?</v>
      </c>
      <c r="V1807" s="28" t="e">
        <f ca="1">[1]!BexGetData("DP_1","00O2TNJGODT0G5Z4TTKYMN18L","GSON1112150061")</f>
        <v>#NAME?</v>
      </c>
      <c r="W1807" s="28" t="e">
        <f ca="1">[1]!BexGetData("DP_1","00O2TNJGODT0G5Z4TTKYMN7K5","GSON1112150061")</f>
        <v>#NAME?</v>
      </c>
    </row>
    <row r="1808" spans="1:23" x14ac:dyDescent="0.2">
      <c r="A1808" s="36" t="s">
        <v>4659</v>
      </c>
      <c r="B1808" s="27" t="s">
        <v>4660</v>
      </c>
      <c r="C1808" s="23" t="e">
        <f ca="1">[1]!BexGetData("DP_1","003N8EMH8GTFRCSWKMPXRR8GU","GSON1112150063")</f>
        <v>#NAME?</v>
      </c>
      <c r="D1808" s="23" t="e">
        <f ca="1">[1]!BexGetData("DP_1","003N8EMH8GTFRCSWKMPXRRESE","GSON1112150063")</f>
        <v>#NAME?</v>
      </c>
      <c r="E1808" s="28" t="e">
        <f ca="1">[1]!BexGetData("DP_1","003N8EMH8GTFRCSWKMPXRRL3Y","GSON1112150063")</f>
        <v>#NAME?</v>
      </c>
      <c r="F1808" s="28" t="e">
        <f ca="1">[1]!BexGetData("DP_1","003N8EMH8GTFRCSWKMPXRRRFI","GSON1112150063")</f>
        <v>#NAME?</v>
      </c>
      <c r="G1808" s="23" t="e">
        <f ca="1">[1]!BexGetData("DP_1","003N8EMH8GTFRCSWKMPXRRXR2","GSON1112150063")</f>
        <v>#NAME?</v>
      </c>
      <c r="H1808" s="23" t="e">
        <f ca="1">[1]!BexGetData("DP_1","003N8EMH8GTFRCSWKMPXRS42M","GSON1112150063")</f>
        <v>#NAME?</v>
      </c>
      <c r="I1808" s="28" t="e">
        <f ca="1">[1]!BexGetData("DP_1","003N8EMH8GTFRCSWKMPXRSAE6","GSON1112150063")</f>
        <v>#NAME?</v>
      </c>
      <c r="J1808" s="24" t="e">
        <f ca="1">[1]!BexGetData("DP_1","003N8EMH8GTFRCSWKMPXRSGPQ","GSON1112150063")</f>
        <v>#NAME?</v>
      </c>
      <c r="K1808" s="28" t="e">
        <f ca="1">[1]!BexGetData("DP_1","003N8EMH8GTFRIVNUPY288VJH","GSON1112150063")</f>
        <v>#NAME?</v>
      </c>
      <c r="L1808" s="28" t="e">
        <f ca="1">[1]!BexGetData("DP_1","003N8EMH8GTFRIVNUPY2891V1","GSON1112150063")</f>
        <v>#NAME?</v>
      </c>
      <c r="M1808" s="28" t="e">
        <f ca="1">[1]!BexGetData("DP_1","003N8EMH8GTFRIVOG7KG9IQXA","GSON1112150063")</f>
        <v>#NAME?</v>
      </c>
      <c r="N1808" s="28" t="e">
        <f ca="1">[1]!BexGetData("DP_1","003N8EMH8GTFRIVOG7KG9IX8U","GSON1112150063")</f>
        <v>#NAME?</v>
      </c>
      <c r="O1808" s="28" t="e">
        <f ca="1">[1]!BexGetData("DP_1","003N8EMH8GTFRIVOG7KG9J3KE","GSON1112150063")</f>
        <v>#NAME?</v>
      </c>
      <c r="P1808" s="28" t="e">
        <f ca="1">[1]!BexGetData("DP_1","003N8EMH8GTFRIVOG7KG9J9VY","GSON1112150063")</f>
        <v>#NAME?</v>
      </c>
      <c r="Q1808" s="24" t="e">
        <f ca="1">[1]!BexGetData("DP_1","00O2TNJGODT0G5Z4TTKYMM5MT","GSON1112150063")</f>
        <v>#NAME?</v>
      </c>
      <c r="R1808" s="28" t="e">
        <f ca="1">[1]!BexGetData("DP_1","00O2TNJGODT0G5Z4TTKYMMBYD","GSON1112150063")</f>
        <v>#NAME?</v>
      </c>
      <c r="S1808" s="28" t="e">
        <f ca="1">[1]!BexGetData("DP_1","00O2TNJGODT0G5Z4TTKYMMI9X","GSON1112150063")</f>
        <v>#NAME?</v>
      </c>
      <c r="T1808" s="28" t="e">
        <f ca="1">[1]!BexGetData("DP_1","00O2TNJGODT0G5Z4TTKYMMOLH","GSON1112150063")</f>
        <v>#NAME?</v>
      </c>
      <c r="U1808" s="28" t="e">
        <f ca="1">[1]!BexGetData("DP_1","00O2TNJGODT0G5Z4TTKYMMUX1","GSON1112150063")</f>
        <v>#NAME?</v>
      </c>
      <c r="V1808" s="28" t="e">
        <f ca="1">[1]!BexGetData("DP_1","00O2TNJGODT0G5Z4TTKYMN18L","GSON1112150063")</f>
        <v>#NAME?</v>
      </c>
      <c r="W1808" s="28" t="e">
        <f ca="1">[1]!BexGetData("DP_1","00O2TNJGODT0G5Z4TTKYMN7K5","GSON1112150063")</f>
        <v>#NAME?</v>
      </c>
    </row>
    <row r="1809" spans="1:23" x14ac:dyDescent="0.2">
      <c r="A1809" s="36" t="s">
        <v>4661</v>
      </c>
      <c r="B1809" s="27" t="s">
        <v>4662</v>
      </c>
      <c r="C1809" s="23" t="e">
        <f ca="1">[1]!BexGetData("DP_1","003N8EMH8GTFRCSWKMPXRR8GU","GSON1112150065")</f>
        <v>#NAME?</v>
      </c>
      <c r="D1809" s="23" t="e">
        <f ca="1">[1]!BexGetData("DP_1","003N8EMH8GTFRCSWKMPXRRESE","GSON1112150065")</f>
        <v>#NAME?</v>
      </c>
      <c r="E1809" s="28" t="e">
        <f ca="1">[1]!BexGetData("DP_1","003N8EMH8GTFRCSWKMPXRRL3Y","GSON1112150065")</f>
        <v>#NAME?</v>
      </c>
      <c r="F1809" s="28" t="e">
        <f ca="1">[1]!BexGetData("DP_1","003N8EMH8GTFRCSWKMPXRRRFI","GSON1112150065")</f>
        <v>#NAME?</v>
      </c>
      <c r="G1809" s="23" t="e">
        <f ca="1">[1]!BexGetData("DP_1","003N8EMH8GTFRCSWKMPXRRXR2","GSON1112150065")</f>
        <v>#NAME?</v>
      </c>
      <c r="H1809" s="23" t="e">
        <f ca="1">[1]!BexGetData("DP_1","003N8EMH8GTFRCSWKMPXRS42M","GSON1112150065")</f>
        <v>#NAME?</v>
      </c>
      <c r="I1809" s="28" t="e">
        <f ca="1">[1]!BexGetData("DP_1","003N8EMH8GTFRCSWKMPXRSAE6","GSON1112150065")</f>
        <v>#NAME?</v>
      </c>
      <c r="J1809" s="24" t="e">
        <f ca="1">[1]!BexGetData("DP_1","003N8EMH8GTFRCSWKMPXRSGPQ","GSON1112150065")</f>
        <v>#NAME?</v>
      </c>
      <c r="K1809" s="28" t="e">
        <f ca="1">[1]!BexGetData("DP_1","003N8EMH8GTFRIVNUPY288VJH","GSON1112150065")</f>
        <v>#NAME?</v>
      </c>
      <c r="L1809" s="28" t="e">
        <f ca="1">[1]!BexGetData("DP_1","003N8EMH8GTFRIVNUPY2891V1","GSON1112150065")</f>
        <v>#NAME?</v>
      </c>
      <c r="M1809" s="28" t="e">
        <f ca="1">[1]!BexGetData("DP_1","003N8EMH8GTFRIVOG7KG9IQXA","GSON1112150065")</f>
        <v>#NAME?</v>
      </c>
      <c r="N1809" s="28" t="e">
        <f ca="1">[1]!BexGetData("DP_1","003N8EMH8GTFRIVOG7KG9IX8U","GSON1112150065")</f>
        <v>#NAME?</v>
      </c>
      <c r="O1809" s="28" t="e">
        <f ca="1">[1]!BexGetData("DP_1","003N8EMH8GTFRIVOG7KG9J3KE","GSON1112150065")</f>
        <v>#NAME?</v>
      </c>
      <c r="P1809" s="28" t="e">
        <f ca="1">[1]!BexGetData("DP_1","003N8EMH8GTFRIVOG7KG9J9VY","GSON1112150065")</f>
        <v>#NAME?</v>
      </c>
      <c r="Q1809" s="24" t="e">
        <f ca="1">[1]!BexGetData("DP_1","00O2TNJGODT0G5Z4TTKYMM5MT","GSON1112150065")</f>
        <v>#NAME?</v>
      </c>
      <c r="R1809" s="28" t="e">
        <f ca="1">[1]!BexGetData("DP_1","00O2TNJGODT0G5Z4TTKYMMBYD","GSON1112150065")</f>
        <v>#NAME?</v>
      </c>
      <c r="S1809" s="28" t="e">
        <f ca="1">[1]!BexGetData("DP_1","00O2TNJGODT0G5Z4TTKYMMI9X","GSON1112150065")</f>
        <v>#NAME?</v>
      </c>
      <c r="T1809" s="28" t="e">
        <f ca="1">[1]!BexGetData("DP_1","00O2TNJGODT0G5Z4TTKYMMOLH","GSON1112150065")</f>
        <v>#NAME?</v>
      </c>
      <c r="U1809" s="28" t="e">
        <f ca="1">[1]!BexGetData("DP_1","00O2TNJGODT0G5Z4TTKYMMUX1","GSON1112150065")</f>
        <v>#NAME?</v>
      </c>
      <c r="V1809" s="28" t="e">
        <f ca="1">[1]!BexGetData("DP_1","00O2TNJGODT0G5Z4TTKYMN18L","GSON1112150065")</f>
        <v>#NAME?</v>
      </c>
      <c r="W1809" s="28" t="e">
        <f ca="1">[1]!BexGetData("DP_1","00O2TNJGODT0G5Z4TTKYMN7K5","GSON1112150065")</f>
        <v>#NAME?</v>
      </c>
    </row>
    <row r="1810" spans="1:23" x14ac:dyDescent="0.2">
      <c r="A1810" s="36" t="s">
        <v>4663</v>
      </c>
      <c r="B1810" s="27" t="s">
        <v>4664</v>
      </c>
      <c r="C1810" s="23" t="e">
        <f ca="1">[1]!BexGetData("DP_1","003N8EMH8GTFRCSWKMPXRR8GU","GSON1112150070")</f>
        <v>#NAME?</v>
      </c>
      <c r="D1810" s="23" t="e">
        <f ca="1">[1]!BexGetData("DP_1","003N8EMH8GTFRCSWKMPXRRESE","GSON1112150070")</f>
        <v>#NAME?</v>
      </c>
      <c r="E1810" s="23" t="e">
        <f ca="1">[1]!BexGetData("DP_1","003N8EMH8GTFRCSWKMPXRRL3Y","GSON1112150070")</f>
        <v>#NAME?</v>
      </c>
      <c r="F1810" s="23" t="e">
        <f ca="1">[1]!BexGetData("DP_1","003N8EMH8GTFRCSWKMPXRRRFI","GSON1112150070")</f>
        <v>#NAME?</v>
      </c>
      <c r="G1810" s="23" t="e">
        <f ca="1">[1]!BexGetData("DP_1","003N8EMH8GTFRCSWKMPXRRXR2","GSON1112150070")</f>
        <v>#NAME?</v>
      </c>
      <c r="H1810" s="23" t="e">
        <f ca="1">[1]!BexGetData("DP_1","003N8EMH8GTFRCSWKMPXRS42M","GSON1112150070")</f>
        <v>#NAME?</v>
      </c>
      <c r="I1810" s="23" t="e">
        <f ca="1">[1]!BexGetData("DP_1","003N8EMH8GTFRCSWKMPXRSAE6","GSON1112150070")</f>
        <v>#NAME?</v>
      </c>
      <c r="J1810" s="23" t="e">
        <f ca="1">[1]!BexGetData("DP_1","003N8EMH8GTFRCSWKMPXRSGPQ","GSON1112150070")</f>
        <v>#NAME?</v>
      </c>
      <c r="K1810" s="23" t="e">
        <f ca="1">[1]!BexGetData("DP_1","003N8EMH8GTFRIVNUPY288VJH","GSON1112150070")</f>
        <v>#NAME?</v>
      </c>
      <c r="L1810" s="23" t="e">
        <f ca="1">[1]!BexGetData("DP_1","003N8EMH8GTFRIVNUPY2891V1","GSON1112150070")</f>
        <v>#NAME?</v>
      </c>
      <c r="M1810" s="28" t="e">
        <f ca="1">[1]!BexGetData("DP_1","003N8EMH8GTFRIVOG7KG9IQXA","GSON1112150070")</f>
        <v>#NAME?</v>
      </c>
      <c r="N1810" s="23" t="e">
        <f ca="1">[1]!BexGetData("DP_1","003N8EMH8GTFRIVOG7KG9IX8U","GSON1112150070")</f>
        <v>#NAME?</v>
      </c>
      <c r="O1810" s="28" t="e">
        <f ca="1">[1]!BexGetData("DP_1","003N8EMH8GTFRIVOG7KG9J3KE","GSON1112150070")</f>
        <v>#NAME?</v>
      </c>
      <c r="P1810" s="23" t="e">
        <f ca="1">[1]!BexGetData("DP_1","003N8EMH8GTFRIVOG7KG9J9VY","GSON1112150070")</f>
        <v>#NAME?</v>
      </c>
      <c r="Q1810" s="23" t="e">
        <f ca="1">[1]!BexGetData("DP_1","00O2TNJGODT0G5Z4TTKYMM5MT","GSON1112150070")</f>
        <v>#NAME?</v>
      </c>
      <c r="R1810" s="23" t="e">
        <f ca="1">[1]!BexGetData("DP_1","00O2TNJGODT0G5Z4TTKYMMBYD","GSON1112150070")</f>
        <v>#NAME?</v>
      </c>
      <c r="S1810" s="23" t="e">
        <f ca="1">[1]!BexGetData("DP_1","00O2TNJGODT0G5Z4TTKYMMI9X","GSON1112150070")</f>
        <v>#NAME?</v>
      </c>
      <c r="T1810" s="23" t="e">
        <f ca="1">[1]!BexGetData("DP_1","00O2TNJGODT0G5Z4TTKYMMOLH","GSON1112150070")</f>
        <v>#NAME?</v>
      </c>
      <c r="U1810" s="28" t="e">
        <f ca="1">[1]!BexGetData("DP_1","00O2TNJGODT0G5Z4TTKYMMUX1","GSON1112150070")</f>
        <v>#NAME?</v>
      </c>
      <c r="V1810" s="23" t="e">
        <f ca="1">[1]!BexGetData("DP_1","00O2TNJGODT0G5Z4TTKYMN18L","GSON1112150070")</f>
        <v>#NAME?</v>
      </c>
      <c r="W1810" s="28" t="e">
        <f ca="1">[1]!BexGetData("DP_1","00O2TNJGODT0G5Z4TTKYMN7K5","GSON1112150070")</f>
        <v>#NAME?</v>
      </c>
    </row>
    <row r="1811" spans="1:23" x14ac:dyDescent="0.2">
      <c r="A1811" s="36" t="s">
        <v>4665</v>
      </c>
      <c r="B1811" s="27" t="s">
        <v>4666</v>
      </c>
      <c r="C1811" s="28" t="e">
        <f ca="1">[1]!BexGetData("DP_1","003N8EMH8GTFRCSWKMPXRR8GU","GSON1112150071")</f>
        <v>#NAME?</v>
      </c>
      <c r="D1811" s="28" t="e">
        <f ca="1">[1]!BexGetData("DP_1","003N8EMH8GTFRCSWKMPXRRESE","GSON1112150071")</f>
        <v>#NAME?</v>
      </c>
      <c r="E1811" s="28" t="e">
        <f ca="1">[1]!BexGetData("DP_1","003N8EMH8GTFRCSWKMPXRRL3Y","GSON1112150071")</f>
        <v>#NAME?</v>
      </c>
      <c r="F1811" s="28" t="e">
        <f ca="1">[1]!BexGetData("DP_1","003N8EMH8GTFRCSWKMPXRRRFI","GSON1112150071")</f>
        <v>#NAME?</v>
      </c>
      <c r="G1811" s="23" t="e">
        <f ca="1">[1]!BexGetData("DP_1","003N8EMH8GTFRCSWKMPXRRXR2","GSON1112150071")</f>
        <v>#NAME?</v>
      </c>
      <c r="H1811" s="23" t="e">
        <f ca="1">[1]!BexGetData("DP_1","003N8EMH8GTFRCSWKMPXRS42M","GSON1112150071")</f>
        <v>#NAME?</v>
      </c>
      <c r="I1811" s="28" t="e">
        <f ca="1">[1]!BexGetData("DP_1","003N8EMH8GTFRCSWKMPXRSAE6","GSON1112150071")</f>
        <v>#NAME?</v>
      </c>
      <c r="J1811" s="24" t="e">
        <f ca="1">[1]!BexGetData("DP_1","003N8EMH8GTFRCSWKMPXRSGPQ","GSON1112150071")</f>
        <v>#NAME?</v>
      </c>
      <c r="K1811" s="28" t="e">
        <f ca="1">[1]!BexGetData("DP_1","003N8EMH8GTFRIVNUPY288VJH","GSON1112150071")</f>
        <v>#NAME?</v>
      </c>
      <c r="L1811" s="28" t="e">
        <f ca="1">[1]!BexGetData("DP_1","003N8EMH8GTFRIVNUPY2891V1","GSON1112150071")</f>
        <v>#NAME?</v>
      </c>
      <c r="M1811" s="28" t="e">
        <f ca="1">[1]!BexGetData("DP_1","003N8EMH8GTFRIVOG7KG9IQXA","GSON1112150071")</f>
        <v>#NAME?</v>
      </c>
      <c r="N1811" s="28" t="e">
        <f ca="1">[1]!BexGetData("DP_1","003N8EMH8GTFRIVOG7KG9IX8U","GSON1112150071")</f>
        <v>#NAME?</v>
      </c>
      <c r="O1811" s="28" t="e">
        <f ca="1">[1]!BexGetData("DP_1","003N8EMH8GTFRIVOG7KG9J3KE","GSON1112150071")</f>
        <v>#NAME?</v>
      </c>
      <c r="P1811" s="28" t="e">
        <f ca="1">[1]!BexGetData("DP_1","003N8EMH8GTFRIVOG7KG9J9VY","GSON1112150071")</f>
        <v>#NAME?</v>
      </c>
      <c r="Q1811" s="24" t="e">
        <f ca="1">[1]!BexGetData("DP_1","00O2TNJGODT0G5Z4TTKYMM5MT","GSON1112150071")</f>
        <v>#NAME?</v>
      </c>
      <c r="R1811" s="28" t="e">
        <f ca="1">[1]!BexGetData("DP_1","00O2TNJGODT0G5Z4TTKYMMBYD","GSON1112150071")</f>
        <v>#NAME?</v>
      </c>
      <c r="S1811" s="28" t="e">
        <f ca="1">[1]!BexGetData("DP_1","00O2TNJGODT0G5Z4TTKYMMI9X","GSON1112150071")</f>
        <v>#NAME?</v>
      </c>
      <c r="T1811" s="28" t="e">
        <f ca="1">[1]!BexGetData("DP_1","00O2TNJGODT0G5Z4TTKYMMOLH","GSON1112150071")</f>
        <v>#NAME?</v>
      </c>
      <c r="U1811" s="28" t="e">
        <f ca="1">[1]!BexGetData("DP_1","00O2TNJGODT0G5Z4TTKYMMUX1","GSON1112150071")</f>
        <v>#NAME?</v>
      </c>
      <c r="V1811" s="28" t="e">
        <f ca="1">[1]!BexGetData("DP_1","00O2TNJGODT0G5Z4TTKYMN18L","GSON1112150071")</f>
        <v>#NAME?</v>
      </c>
      <c r="W1811" s="28" t="e">
        <f ca="1">[1]!BexGetData("DP_1","00O2TNJGODT0G5Z4TTKYMN7K5","GSON1112150071")</f>
        <v>#NAME?</v>
      </c>
    </row>
    <row r="1812" spans="1:23" x14ac:dyDescent="0.2">
      <c r="A1812" s="36" t="s">
        <v>4667</v>
      </c>
      <c r="B1812" s="27" t="s">
        <v>4668</v>
      </c>
      <c r="C1812" s="24" t="e">
        <f ca="1">[1]!BexGetData("DP_1","003N8EMH8GTFRCSWKMPXRR8GU","GSON1112150074")</f>
        <v>#NAME?</v>
      </c>
      <c r="D1812" s="24" t="e">
        <f ca="1">[1]!BexGetData("DP_1","003N8EMH8GTFRCSWKMPXRRESE","GSON1112150074")</f>
        <v>#NAME?</v>
      </c>
      <c r="E1812" s="24" t="e">
        <f ca="1">[1]!BexGetData("DP_1","003N8EMH8GTFRCSWKMPXRRL3Y","GSON1112150074")</f>
        <v>#NAME?</v>
      </c>
      <c r="F1812" s="28" t="e">
        <f ca="1">[1]!BexGetData("DP_1","003N8EMH8GTFRCSWKMPXRRRFI","GSON1112150074")</f>
        <v>#NAME?</v>
      </c>
      <c r="G1812" s="23" t="e">
        <f ca="1">[1]!BexGetData("DP_1","003N8EMH8GTFRCSWKMPXRRXR2","GSON1112150074")</f>
        <v>#NAME?</v>
      </c>
      <c r="H1812" s="23" t="e">
        <f ca="1">[1]!BexGetData("DP_1","003N8EMH8GTFRCSWKMPXRS42M","GSON1112150074")</f>
        <v>#NAME?</v>
      </c>
      <c r="I1812" s="28" t="e">
        <f ca="1">[1]!BexGetData("DP_1","003N8EMH8GTFRCSWKMPXRSAE6","GSON1112150074")</f>
        <v>#NAME?</v>
      </c>
      <c r="J1812" s="24" t="e">
        <f ca="1">[1]!BexGetData("DP_1","003N8EMH8GTFRCSWKMPXRSGPQ","GSON1112150074")</f>
        <v>#NAME?</v>
      </c>
      <c r="K1812" s="28" t="e">
        <f ca="1">[1]!BexGetData("DP_1","003N8EMH8GTFRIVNUPY288VJH","GSON1112150074")</f>
        <v>#NAME?</v>
      </c>
      <c r="L1812" s="28" t="e">
        <f ca="1">[1]!BexGetData("DP_1","003N8EMH8GTFRIVNUPY2891V1","GSON1112150074")</f>
        <v>#NAME?</v>
      </c>
      <c r="M1812" s="28" t="e">
        <f ca="1">[1]!BexGetData("DP_1","003N8EMH8GTFRIVOG7KG9IQXA","GSON1112150074")</f>
        <v>#NAME?</v>
      </c>
      <c r="N1812" s="28" t="e">
        <f ca="1">[1]!BexGetData("DP_1","003N8EMH8GTFRIVOG7KG9IX8U","GSON1112150074")</f>
        <v>#NAME?</v>
      </c>
      <c r="O1812" s="28" t="e">
        <f ca="1">[1]!BexGetData("DP_1","003N8EMH8GTFRIVOG7KG9J3KE","GSON1112150074")</f>
        <v>#NAME?</v>
      </c>
      <c r="P1812" s="28" t="e">
        <f ca="1">[1]!BexGetData("DP_1","003N8EMH8GTFRIVOG7KG9J9VY","GSON1112150074")</f>
        <v>#NAME?</v>
      </c>
      <c r="Q1812" s="24" t="e">
        <f ca="1">[1]!BexGetData("DP_1","00O2TNJGODT0G5Z4TTKYMM5MT","GSON1112150074")</f>
        <v>#NAME?</v>
      </c>
      <c r="R1812" s="28" t="e">
        <f ca="1">[1]!BexGetData("DP_1","00O2TNJGODT0G5Z4TTKYMMBYD","GSON1112150074")</f>
        <v>#NAME?</v>
      </c>
      <c r="S1812" s="28" t="e">
        <f ca="1">[1]!BexGetData("DP_1","00O2TNJGODT0G5Z4TTKYMMI9X","GSON1112150074")</f>
        <v>#NAME?</v>
      </c>
      <c r="T1812" s="28" t="e">
        <f ca="1">[1]!BexGetData("DP_1","00O2TNJGODT0G5Z4TTKYMMOLH","GSON1112150074")</f>
        <v>#NAME?</v>
      </c>
      <c r="U1812" s="28" t="e">
        <f ca="1">[1]!BexGetData("DP_1","00O2TNJGODT0G5Z4TTKYMMUX1","GSON1112150074")</f>
        <v>#NAME?</v>
      </c>
      <c r="V1812" s="28" t="e">
        <f ca="1">[1]!BexGetData("DP_1","00O2TNJGODT0G5Z4TTKYMN18L","GSON1112150074")</f>
        <v>#NAME?</v>
      </c>
      <c r="W1812" s="28" t="e">
        <f ca="1">[1]!BexGetData("DP_1","00O2TNJGODT0G5Z4TTKYMN7K5","GSON1112150074")</f>
        <v>#NAME?</v>
      </c>
    </row>
    <row r="1813" spans="1:23" x14ac:dyDescent="0.2">
      <c r="A1813" s="36" t="s">
        <v>4669</v>
      </c>
      <c r="B1813" s="27" t="s">
        <v>4670</v>
      </c>
      <c r="C1813" s="23" t="e">
        <f ca="1">[1]!BexGetData("DP_1","003N8EMH8GTFRCSWKMPXRR8GU","GSON1112150075")</f>
        <v>#NAME?</v>
      </c>
      <c r="D1813" s="23" t="e">
        <f ca="1">[1]!BexGetData("DP_1","003N8EMH8GTFRCSWKMPXRRESE","GSON1112150075")</f>
        <v>#NAME?</v>
      </c>
      <c r="E1813" s="28" t="e">
        <f ca="1">[1]!BexGetData("DP_1","003N8EMH8GTFRCSWKMPXRRL3Y","GSON1112150075")</f>
        <v>#NAME?</v>
      </c>
      <c r="F1813" s="28" t="e">
        <f ca="1">[1]!BexGetData("DP_1","003N8EMH8GTFRCSWKMPXRRRFI","GSON1112150075")</f>
        <v>#NAME?</v>
      </c>
      <c r="G1813" s="23" t="e">
        <f ca="1">[1]!BexGetData("DP_1","003N8EMH8GTFRCSWKMPXRRXR2","GSON1112150075")</f>
        <v>#NAME?</v>
      </c>
      <c r="H1813" s="23" t="e">
        <f ca="1">[1]!BexGetData("DP_1","003N8EMH8GTFRCSWKMPXRS42M","GSON1112150075")</f>
        <v>#NAME?</v>
      </c>
      <c r="I1813" s="28" t="e">
        <f ca="1">[1]!BexGetData("DP_1","003N8EMH8GTFRCSWKMPXRSAE6","GSON1112150075")</f>
        <v>#NAME?</v>
      </c>
      <c r="J1813" s="24" t="e">
        <f ca="1">[1]!BexGetData("DP_1","003N8EMH8GTFRCSWKMPXRSGPQ","GSON1112150075")</f>
        <v>#NAME?</v>
      </c>
      <c r="K1813" s="28" t="e">
        <f ca="1">[1]!BexGetData("DP_1","003N8EMH8GTFRIVNUPY288VJH","GSON1112150075")</f>
        <v>#NAME?</v>
      </c>
      <c r="L1813" s="28" t="e">
        <f ca="1">[1]!BexGetData("DP_1","003N8EMH8GTFRIVNUPY2891V1","GSON1112150075")</f>
        <v>#NAME?</v>
      </c>
      <c r="M1813" s="28" t="e">
        <f ca="1">[1]!BexGetData("DP_1","003N8EMH8GTFRIVOG7KG9IQXA","GSON1112150075")</f>
        <v>#NAME?</v>
      </c>
      <c r="N1813" s="28" t="e">
        <f ca="1">[1]!BexGetData("DP_1","003N8EMH8GTFRIVOG7KG9IX8U","GSON1112150075")</f>
        <v>#NAME?</v>
      </c>
      <c r="O1813" s="28" t="e">
        <f ca="1">[1]!BexGetData("DP_1","003N8EMH8GTFRIVOG7KG9J3KE","GSON1112150075")</f>
        <v>#NAME?</v>
      </c>
      <c r="P1813" s="28" t="e">
        <f ca="1">[1]!BexGetData("DP_1","003N8EMH8GTFRIVOG7KG9J9VY","GSON1112150075")</f>
        <v>#NAME?</v>
      </c>
      <c r="Q1813" s="24" t="e">
        <f ca="1">[1]!BexGetData("DP_1","00O2TNJGODT0G5Z4TTKYMM5MT","GSON1112150075")</f>
        <v>#NAME?</v>
      </c>
      <c r="R1813" s="28" t="e">
        <f ca="1">[1]!BexGetData("DP_1","00O2TNJGODT0G5Z4TTKYMMBYD","GSON1112150075")</f>
        <v>#NAME?</v>
      </c>
      <c r="S1813" s="28" t="e">
        <f ca="1">[1]!BexGetData("DP_1","00O2TNJGODT0G5Z4TTKYMMI9X","GSON1112150075")</f>
        <v>#NAME?</v>
      </c>
      <c r="T1813" s="28" t="e">
        <f ca="1">[1]!BexGetData("DP_1","00O2TNJGODT0G5Z4TTKYMMOLH","GSON1112150075")</f>
        <v>#NAME?</v>
      </c>
      <c r="U1813" s="28" t="e">
        <f ca="1">[1]!BexGetData("DP_1","00O2TNJGODT0G5Z4TTKYMMUX1","GSON1112150075")</f>
        <v>#NAME?</v>
      </c>
      <c r="V1813" s="28" t="e">
        <f ca="1">[1]!BexGetData("DP_1","00O2TNJGODT0G5Z4TTKYMN18L","GSON1112150075")</f>
        <v>#NAME?</v>
      </c>
      <c r="W1813" s="28" t="e">
        <f ca="1">[1]!BexGetData("DP_1","00O2TNJGODT0G5Z4TTKYMN7K5","GSON1112150075")</f>
        <v>#NAME?</v>
      </c>
    </row>
    <row r="1814" spans="1:23" x14ac:dyDescent="0.2">
      <c r="A1814" s="36" t="s">
        <v>4671</v>
      </c>
      <c r="B1814" s="27" t="s">
        <v>4672</v>
      </c>
      <c r="C1814" s="23" t="e">
        <f ca="1">[1]!BexGetData("DP_1","003N8EMH8GTFRCSWKMPXRR8GU","GSON1112150080")</f>
        <v>#NAME?</v>
      </c>
      <c r="D1814" s="28" t="e">
        <f ca="1">[1]!BexGetData("DP_1","003N8EMH8GTFRCSWKMPXRRESE","GSON1112150080")</f>
        <v>#NAME?</v>
      </c>
      <c r="E1814" s="23" t="e">
        <f ca="1">[1]!BexGetData("DP_1","003N8EMH8GTFRCSWKMPXRRL3Y","GSON1112150080")</f>
        <v>#NAME?</v>
      </c>
      <c r="F1814" s="23" t="e">
        <f ca="1">[1]!BexGetData("DP_1","003N8EMH8GTFRCSWKMPXRRRFI","GSON1112150080")</f>
        <v>#NAME?</v>
      </c>
      <c r="G1814" s="23" t="e">
        <f ca="1">[1]!BexGetData("DP_1","003N8EMH8GTFRCSWKMPXRRXR2","GSON1112150080")</f>
        <v>#NAME?</v>
      </c>
      <c r="H1814" s="23" t="e">
        <f ca="1">[1]!BexGetData("DP_1","003N8EMH8GTFRCSWKMPXRS42M","GSON1112150080")</f>
        <v>#NAME?</v>
      </c>
      <c r="I1814" s="23" t="e">
        <f ca="1">[1]!BexGetData("DP_1","003N8EMH8GTFRCSWKMPXRSAE6","GSON1112150080")</f>
        <v>#NAME?</v>
      </c>
      <c r="J1814" s="23" t="e">
        <f ca="1">[1]!BexGetData("DP_1","003N8EMH8GTFRCSWKMPXRSGPQ","GSON1112150080")</f>
        <v>#NAME?</v>
      </c>
      <c r="K1814" s="23" t="e">
        <f ca="1">[1]!BexGetData("DP_1","003N8EMH8GTFRIVNUPY288VJH","GSON1112150080")</f>
        <v>#NAME?</v>
      </c>
      <c r="L1814" s="23" t="e">
        <f ca="1">[1]!BexGetData("DP_1","003N8EMH8GTFRIVNUPY2891V1","GSON1112150080")</f>
        <v>#NAME?</v>
      </c>
      <c r="M1814" s="28" t="e">
        <f ca="1">[1]!BexGetData("DP_1","003N8EMH8GTFRIVOG7KG9IQXA","GSON1112150080")</f>
        <v>#NAME?</v>
      </c>
      <c r="N1814" s="23" t="e">
        <f ca="1">[1]!BexGetData("DP_1","003N8EMH8GTFRIVOG7KG9IX8U","GSON1112150080")</f>
        <v>#NAME?</v>
      </c>
      <c r="O1814" s="28" t="e">
        <f ca="1">[1]!BexGetData("DP_1","003N8EMH8GTFRIVOG7KG9J3KE","GSON1112150080")</f>
        <v>#NAME?</v>
      </c>
      <c r="P1814" s="23" t="e">
        <f ca="1">[1]!BexGetData("DP_1","003N8EMH8GTFRIVOG7KG9J9VY","GSON1112150080")</f>
        <v>#NAME?</v>
      </c>
      <c r="Q1814" s="23" t="e">
        <f ca="1">[1]!BexGetData("DP_1","00O2TNJGODT0G5Z4TTKYMM5MT","GSON1112150080")</f>
        <v>#NAME?</v>
      </c>
      <c r="R1814" s="23" t="e">
        <f ca="1">[1]!BexGetData("DP_1","00O2TNJGODT0G5Z4TTKYMMBYD","GSON1112150080")</f>
        <v>#NAME?</v>
      </c>
      <c r="S1814" s="23" t="e">
        <f ca="1">[1]!BexGetData("DP_1","00O2TNJGODT0G5Z4TTKYMMI9X","GSON1112150080")</f>
        <v>#NAME?</v>
      </c>
      <c r="T1814" s="23" t="e">
        <f ca="1">[1]!BexGetData("DP_1","00O2TNJGODT0G5Z4TTKYMMOLH","GSON1112150080")</f>
        <v>#NAME?</v>
      </c>
      <c r="U1814" s="28" t="e">
        <f ca="1">[1]!BexGetData("DP_1","00O2TNJGODT0G5Z4TTKYMMUX1","GSON1112150080")</f>
        <v>#NAME?</v>
      </c>
      <c r="V1814" s="23" t="e">
        <f ca="1">[1]!BexGetData("DP_1","00O2TNJGODT0G5Z4TTKYMN18L","GSON1112150080")</f>
        <v>#NAME?</v>
      </c>
      <c r="W1814" s="28" t="e">
        <f ca="1">[1]!BexGetData("DP_1","00O2TNJGODT0G5Z4TTKYMN7K5","GSON1112150080")</f>
        <v>#NAME?</v>
      </c>
    </row>
    <row r="1815" spans="1:23" x14ac:dyDescent="0.2">
      <c r="A1815" s="36" t="s">
        <v>4673</v>
      </c>
      <c r="B1815" s="27" t="s">
        <v>4674</v>
      </c>
      <c r="C1815" s="24" t="e">
        <f ca="1">[1]!BexGetData("DP_1","003N8EMH8GTFRCSWKMPXRR8GU","GSON1112150084")</f>
        <v>#NAME?</v>
      </c>
      <c r="D1815" s="24" t="e">
        <f ca="1">[1]!BexGetData("DP_1","003N8EMH8GTFRCSWKMPXRRESE","GSON1112150084")</f>
        <v>#NAME?</v>
      </c>
      <c r="E1815" s="24" t="e">
        <f ca="1">[1]!BexGetData("DP_1","003N8EMH8GTFRCSWKMPXRRL3Y","GSON1112150084")</f>
        <v>#NAME?</v>
      </c>
      <c r="F1815" s="28" t="e">
        <f ca="1">[1]!BexGetData("DP_1","003N8EMH8GTFRCSWKMPXRRRFI","GSON1112150084")</f>
        <v>#NAME?</v>
      </c>
      <c r="G1815" s="23" t="e">
        <f ca="1">[1]!BexGetData("DP_1","003N8EMH8GTFRCSWKMPXRRXR2","GSON1112150084")</f>
        <v>#NAME?</v>
      </c>
      <c r="H1815" s="23" t="e">
        <f ca="1">[1]!BexGetData("DP_1","003N8EMH8GTFRCSWKMPXRS42M","GSON1112150084")</f>
        <v>#NAME?</v>
      </c>
      <c r="I1815" s="28" t="e">
        <f ca="1">[1]!BexGetData("DP_1","003N8EMH8GTFRCSWKMPXRSAE6","GSON1112150084")</f>
        <v>#NAME?</v>
      </c>
      <c r="J1815" s="24" t="e">
        <f ca="1">[1]!BexGetData("DP_1","003N8EMH8GTFRCSWKMPXRSGPQ","GSON1112150084")</f>
        <v>#NAME?</v>
      </c>
      <c r="K1815" s="28" t="e">
        <f ca="1">[1]!BexGetData("DP_1","003N8EMH8GTFRIVNUPY288VJH","GSON1112150084")</f>
        <v>#NAME?</v>
      </c>
      <c r="L1815" s="28" t="e">
        <f ca="1">[1]!BexGetData("DP_1","003N8EMH8GTFRIVNUPY2891V1","GSON1112150084")</f>
        <v>#NAME?</v>
      </c>
      <c r="M1815" s="28" t="e">
        <f ca="1">[1]!BexGetData("DP_1","003N8EMH8GTFRIVOG7KG9IQXA","GSON1112150084")</f>
        <v>#NAME?</v>
      </c>
      <c r="N1815" s="28" t="e">
        <f ca="1">[1]!BexGetData("DP_1","003N8EMH8GTFRIVOG7KG9IX8U","GSON1112150084")</f>
        <v>#NAME?</v>
      </c>
      <c r="O1815" s="28" t="e">
        <f ca="1">[1]!BexGetData("DP_1","003N8EMH8GTFRIVOG7KG9J3KE","GSON1112150084")</f>
        <v>#NAME?</v>
      </c>
      <c r="P1815" s="28" t="e">
        <f ca="1">[1]!BexGetData("DP_1","003N8EMH8GTFRIVOG7KG9J9VY","GSON1112150084")</f>
        <v>#NAME?</v>
      </c>
      <c r="Q1815" s="24" t="e">
        <f ca="1">[1]!BexGetData("DP_1","00O2TNJGODT0G5Z4TTKYMM5MT","GSON1112150084")</f>
        <v>#NAME?</v>
      </c>
      <c r="R1815" s="28" t="e">
        <f ca="1">[1]!BexGetData("DP_1","00O2TNJGODT0G5Z4TTKYMMBYD","GSON1112150084")</f>
        <v>#NAME?</v>
      </c>
      <c r="S1815" s="28" t="e">
        <f ca="1">[1]!BexGetData("DP_1","00O2TNJGODT0G5Z4TTKYMMI9X","GSON1112150084")</f>
        <v>#NAME?</v>
      </c>
      <c r="T1815" s="28" t="e">
        <f ca="1">[1]!BexGetData("DP_1","00O2TNJGODT0G5Z4TTKYMMOLH","GSON1112150084")</f>
        <v>#NAME?</v>
      </c>
      <c r="U1815" s="28" t="e">
        <f ca="1">[1]!BexGetData("DP_1","00O2TNJGODT0G5Z4TTKYMMUX1","GSON1112150084")</f>
        <v>#NAME?</v>
      </c>
      <c r="V1815" s="28" t="e">
        <f ca="1">[1]!BexGetData("DP_1","00O2TNJGODT0G5Z4TTKYMN18L","GSON1112150084")</f>
        <v>#NAME?</v>
      </c>
      <c r="W1815" s="28" t="e">
        <f ca="1">[1]!BexGetData("DP_1","00O2TNJGODT0G5Z4TTKYMN7K5","GSON1112150084")</f>
        <v>#NAME?</v>
      </c>
    </row>
    <row r="1816" spans="1:23" x14ac:dyDescent="0.2">
      <c r="A1816" s="36" t="s">
        <v>4675</v>
      </c>
      <c r="B1816" s="27" t="s">
        <v>4676</v>
      </c>
      <c r="C1816" s="23" t="e">
        <f ca="1">[1]!BexGetData("DP_1","003N8EMH8GTFRCSWKMPXRR8GU","GSON1112150085")</f>
        <v>#NAME?</v>
      </c>
      <c r="D1816" s="23" t="e">
        <f ca="1">[1]!BexGetData("DP_1","003N8EMH8GTFRCSWKMPXRRESE","GSON1112150085")</f>
        <v>#NAME?</v>
      </c>
      <c r="E1816" s="28" t="e">
        <f ca="1">[1]!BexGetData("DP_1","003N8EMH8GTFRCSWKMPXRRL3Y","GSON1112150085")</f>
        <v>#NAME?</v>
      </c>
      <c r="F1816" s="28" t="e">
        <f ca="1">[1]!BexGetData("DP_1","003N8EMH8GTFRCSWKMPXRRRFI","GSON1112150085")</f>
        <v>#NAME?</v>
      </c>
      <c r="G1816" s="23" t="e">
        <f ca="1">[1]!BexGetData("DP_1","003N8EMH8GTFRCSWKMPXRRXR2","GSON1112150085")</f>
        <v>#NAME?</v>
      </c>
      <c r="H1816" s="23" t="e">
        <f ca="1">[1]!BexGetData("DP_1","003N8EMH8GTFRCSWKMPXRS42M","GSON1112150085")</f>
        <v>#NAME?</v>
      </c>
      <c r="I1816" s="28" t="e">
        <f ca="1">[1]!BexGetData("DP_1","003N8EMH8GTFRCSWKMPXRSAE6","GSON1112150085")</f>
        <v>#NAME?</v>
      </c>
      <c r="J1816" s="24" t="e">
        <f ca="1">[1]!BexGetData("DP_1","003N8EMH8GTFRCSWKMPXRSGPQ","GSON1112150085")</f>
        <v>#NAME?</v>
      </c>
      <c r="K1816" s="28" t="e">
        <f ca="1">[1]!BexGetData("DP_1","003N8EMH8GTFRIVNUPY288VJH","GSON1112150085")</f>
        <v>#NAME?</v>
      </c>
      <c r="L1816" s="28" t="e">
        <f ca="1">[1]!BexGetData("DP_1","003N8EMH8GTFRIVNUPY2891V1","GSON1112150085")</f>
        <v>#NAME?</v>
      </c>
      <c r="M1816" s="28" t="e">
        <f ca="1">[1]!BexGetData("DP_1","003N8EMH8GTFRIVOG7KG9IQXA","GSON1112150085")</f>
        <v>#NAME?</v>
      </c>
      <c r="N1816" s="28" t="e">
        <f ca="1">[1]!BexGetData("DP_1","003N8EMH8GTFRIVOG7KG9IX8U","GSON1112150085")</f>
        <v>#NAME?</v>
      </c>
      <c r="O1816" s="28" t="e">
        <f ca="1">[1]!BexGetData("DP_1","003N8EMH8GTFRIVOG7KG9J3KE","GSON1112150085")</f>
        <v>#NAME?</v>
      </c>
      <c r="P1816" s="28" t="e">
        <f ca="1">[1]!BexGetData("DP_1","003N8EMH8GTFRIVOG7KG9J9VY","GSON1112150085")</f>
        <v>#NAME?</v>
      </c>
      <c r="Q1816" s="24" t="e">
        <f ca="1">[1]!BexGetData("DP_1","00O2TNJGODT0G5Z4TTKYMM5MT","GSON1112150085")</f>
        <v>#NAME?</v>
      </c>
      <c r="R1816" s="28" t="e">
        <f ca="1">[1]!BexGetData("DP_1","00O2TNJGODT0G5Z4TTKYMMBYD","GSON1112150085")</f>
        <v>#NAME?</v>
      </c>
      <c r="S1816" s="28" t="e">
        <f ca="1">[1]!BexGetData("DP_1","00O2TNJGODT0G5Z4TTKYMMI9X","GSON1112150085")</f>
        <v>#NAME?</v>
      </c>
      <c r="T1816" s="28" t="e">
        <f ca="1">[1]!BexGetData("DP_1","00O2TNJGODT0G5Z4TTKYMMOLH","GSON1112150085")</f>
        <v>#NAME?</v>
      </c>
      <c r="U1816" s="28" t="e">
        <f ca="1">[1]!BexGetData("DP_1","00O2TNJGODT0G5Z4TTKYMMUX1","GSON1112150085")</f>
        <v>#NAME?</v>
      </c>
      <c r="V1816" s="28" t="e">
        <f ca="1">[1]!BexGetData("DP_1","00O2TNJGODT0G5Z4TTKYMN18L","GSON1112150085")</f>
        <v>#NAME?</v>
      </c>
      <c r="W1816" s="28" t="e">
        <f ca="1">[1]!BexGetData("DP_1","00O2TNJGODT0G5Z4TTKYMN7K5","GSON1112150085")</f>
        <v>#NAME?</v>
      </c>
    </row>
    <row r="1817" spans="1:23" x14ac:dyDescent="0.2">
      <c r="A1817" s="36" t="s">
        <v>4677</v>
      </c>
      <c r="B1817" s="27" t="s">
        <v>4678</v>
      </c>
      <c r="C1817" s="23" t="e">
        <f ca="1">[1]!BexGetData("DP_1","003N8EMH8GTFRCSWKMPXRR8GU","GSON1112150090")</f>
        <v>#NAME?</v>
      </c>
      <c r="D1817" s="23" t="e">
        <f ca="1">[1]!BexGetData("DP_1","003N8EMH8GTFRCSWKMPXRRESE","GSON1112150090")</f>
        <v>#NAME?</v>
      </c>
      <c r="E1817" s="23" t="e">
        <f ca="1">[1]!BexGetData("DP_1","003N8EMH8GTFRCSWKMPXRRL3Y","GSON1112150090")</f>
        <v>#NAME?</v>
      </c>
      <c r="F1817" s="23" t="e">
        <f ca="1">[1]!BexGetData("DP_1","003N8EMH8GTFRCSWKMPXRRRFI","GSON1112150090")</f>
        <v>#NAME?</v>
      </c>
      <c r="G1817" s="23" t="e">
        <f ca="1">[1]!BexGetData("DP_1","003N8EMH8GTFRCSWKMPXRRXR2","GSON1112150090")</f>
        <v>#NAME?</v>
      </c>
      <c r="H1817" s="23" t="e">
        <f ca="1">[1]!BexGetData("DP_1","003N8EMH8GTFRCSWKMPXRS42M","GSON1112150090")</f>
        <v>#NAME?</v>
      </c>
      <c r="I1817" s="23" t="e">
        <f ca="1">[1]!BexGetData("DP_1","003N8EMH8GTFRCSWKMPXRSAE6","GSON1112150090")</f>
        <v>#NAME?</v>
      </c>
      <c r="J1817" s="23" t="e">
        <f ca="1">[1]!BexGetData("DP_1","003N8EMH8GTFRCSWKMPXRSGPQ","GSON1112150090")</f>
        <v>#NAME?</v>
      </c>
      <c r="K1817" s="23" t="e">
        <f ca="1">[1]!BexGetData("DP_1","003N8EMH8GTFRIVNUPY288VJH","GSON1112150090")</f>
        <v>#NAME?</v>
      </c>
      <c r="L1817" s="23" t="e">
        <f ca="1">[1]!BexGetData("DP_1","003N8EMH8GTFRIVNUPY2891V1","GSON1112150090")</f>
        <v>#NAME?</v>
      </c>
      <c r="M1817" s="23" t="e">
        <f ca="1">[1]!BexGetData("DP_1","003N8EMH8GTFRIVOG7KG9IQXA","GSON1112150090")</f>
        <v>#NAME?</v>
      </c>
      <c r="N1817" s="28" t="e">
        <f ca="1">[1]!BexGetData("DP_1","003N8EMH8GTFRIVOG7KG9IX8U","GSON1112150090")</f>
        <v>#NAME?</v>
      </c>
      <c r="O1817" s="23" t="e">
        <f ca="1">[1]!BexGetData("DP_1","003N8EMH8GTFRIVOG7KG9J3KE","GSON1112150090")</f>
        <v>#NAME?</v>
      </c>
      <c r="P1817" s="28" t="e">
        <f ca="1">[1]!BexGetData("DP_1","003N8EMH8GTFRIVOG7KG9J9VY","GSON1112150090")</f>
        <v>#NAME?</v>
      </c>
      <c r="Q1817" s="23" t="e">
        <f ca="1">[1]!BexGetData("DP_1","00O2TNJGODT0G5Z4TTKYMM5MT","GSON1112150090")</f>
        <v>#NAME?</v>
      </c>
      <c r="R1817" s="23" t="e">
        <f ca="1">[1]!BexGetData("DP_1","00O2TNJGODT0G5Z4TTKYMMBYD","GSON1112150090")</f>
        <v>#NAME?</v>
      </c>
      <c r="S1817" s="23" t="e">
        <f ca="1">[1]!BexGetData("DP_1","00O2TNJGODT0G5Z4TTKYMMI9X","GSON1112150090")</f>
        <v>#NAME?</v>
      </c>
      <c r="T1817" s="23" t="e">
        <f ca="1">[1]!BexGetData("DP_1","00O2TNJGODT0G5Z4TTKYMMOLH","GSON1112150090")</f>
        <v>#NAME?</v>
      </c>
      <c r="U1817" s="28" t="e">
        <f ca="1">[1]!BexGetData("DP_1","00O2TNJGODT0G5Z4TTKYMMUX1","GSON1112150090")</f>
        <v>#NAME?</v>
      </c>
      <c r="V1817" s="23" t="e">
        <f ca="1">[1]!BexGetData("DP_1","00O2TNJGODT0G5Z4TTKYMN18L","GSON1112150090")</f>
        <v>#NAME?</v>
      </c>
      <c r="W1817" s="28" t="e">
        <f ca="1">[1]!BexGetData("DP_1","00O2TNJGODT0G5Z4TTKYMN7K5","GSON1112150090")</f>
        <v>#NAME?</v>
      </c>
    </row>
    <row r="1818" spans="1:23" x14ac:dyDescent="0.2">
      <c r="A1818" s="36" t="s">
        <v>4679</v>
      </c>
      <c r="B1818" s="27" t="s">
        <v>4680</v>
      </c>
      <c r="C1818" s="23" t="e">
        <f ca="1">[1]!BexGetData("DP_1","003N8EMH8GTFRCSWKMPXRR8GU","GSON1112150091")</f>
        <v>#NAME?</v>
      </c>
      <c r="D1818" s="23" t="e">
        <f ca="1">[1]!BexGetData("DP_1","003N8EMH8GTFRCSWKMPXRRESE","GSON1112150091")</f>
        <v>#NAME?</v>
      </c>
      <c r="E1818" s="28" t="e">
        <f ca="1">[1]!BexGetData("DP_1","003N8EMH8GTFRCSWKMPXRRL3Y","GSON1112150091")</f>
        <v>#NAME?</v>
      </c>
      <c r="F1818" s="24" t="e">
        <f ca="1">[1]!BexGetData("DP_1","003N8EMH8GTFRCSWKMPXRRRFI","GSON1112150091")</f>
        <v>#NAME?</v>
      </c>
      <c r="G1818" s="24" t="e">
        <f ca="1">[1]!BexGetData("DP_1","003N8EMH8GTFRCSWKMPXRRXR2","GSON1112150091")</f>
        <v>#NAME?</v>
      </c>
      <c r="H1818" s="24" t="e">
        <f ca="1">[1]!BexGetData("DP_1","003N8EMH8GTFRCSWKMPXRS42M","GSON1112150091")</f>
        <v>#NAME?</v>
      </c>
      <c r="I1818" s="24" t="e">
        <f ca="1">[1]!BexGetData("DP_1","003N8EMH8GTFRCSWKMPXRSAE6","GSON1112150091")</f>
        <v>#NAME?</v>
      </c>
      <c r="J1818" s="24" t="e">
        <f ca="1">[1]!BexGetData("DP_1","003N8EMH8GTFRCSWKMPXRSGPQ","GSON1112150091")</f>
        <v>#NAME?</v>
      </c>
      <c r="K1818" s="28" t="e">
        <f ca="1">[1]!BexGetData("DP_1","003N8EMH8GTFRIVNUPY288VJH","GSON1112150091")</f>
        <v>#NAME?</v>
      </c>
      <c r="L1818" s="28" t="e">
        <f ca="1">[1]!BexGetData("DP_1","003N8EMH8GTFRIVNUPY2891V1","GSON1112150091")</f>
        <v>#NAME?</v>
      </c>
      <c r="M1818" s="28" t="e">
        <f ca="1">[1]!BexGetData("DP_1","003N8EMH8GTFRIVOG7KG9IQXA","GSON1112150091")</f>
        <v>#NAME?</v>
      </c>
      <c r="N1818" s="28" t="e">
        <f ca="1">[1]!BexGetData("DP_1","003N8EMH8GTFRIVOG7KG9IX8U","GSON1112150091")</f>
        <v>#NAME?</v>
      </c>
      <c r="O1818" s="28" t="e">
        <f ca="1">[1]!BexGetData("DP_1","003N8EMH8GTFRIVOG7KG9J3KE","GSON1112150091")</f>
        <v>#NAME?</v>
      </c>
      <c r="P1818" s="28" t="e">
        <f ca="1">[1]!BexGetData("DP_1","003N8EMH8GTFRIVOG7KG9J9VY","GSON1112150091")</f>
        <v>#NAME?</v>
      </c>
      <c r="Q1818" s="24" t="e">
        <f ca="1">[1]!BexGetData("DP_1","00O2TNJGODT0G5Z4TTKYMM5MT","GSON1112150091")</f>
        <v>#NAME?</v>
      </c>
      <c r="R1818" s="24" t="e">
        <f ca="1">[1]!BexGetData("DP_1","00O2TNJGODT0G5Z4TTKYMMBYD","GSON1112150091")</f>
        <v>#NAME?</v>
      </c>
      <c r="S1818" s="24" t="e">
        <f ca="1">[1]!BexGetData("DP_1","00O2TNJGODT0G5Z4TTKYMMI9X","GSON1112150091")</f>
        <v>#NAME?</v>
      </c>
      <c r="T1818" s="24" t="e">
        <f ca="1">[1]!BexGetData("DP_1","00O2TNJGODT0G5Z4TTKYMMOLH","GSON1112150091")</f>
        <v>#NAME?</v>
      </c>
      <c r="U1818" s="24" t="e">
        <f ca="1">[1]!BexGetData("DP_1","00O2TNJGODT0G5Z4TTKYMMUX1","GSON1112150091")</f>
        <v>#NAME?</v>
      </c>
      <c r="V1818" s="24" t="e">
        <f ca="1">[1]!BexGetData("DP_1","00O2TNJGODT0G5Z4TTKYMN18L","GSON1112150091")</f>
        <v>#NAME?</v>
      </c>
      <c r="W1818" s="24" t="e">
        <f ca="1">[1]!BexGetData("DP_1","00O2TNJGODT0G5Z4TTKYMN7K5","GSON1112150091")</f>
        <v>#NAME?</v>
      </c>
    </row>
    <row r="1819" spans="1:23" x14ac:dyDescent="0.2">
      <c r="A1819" s="36" t="s">
        <v>4681</v>
      </c>
      <c r="B1819" s="27" t="s">
        <v>4682</v>
      </c>
      <c r="C1819" s="23" t="e">
        <f ca="1">[1]!BexGetData("DP_1","003N8EMH8GTFRCSWKMPXRR8GU","GSON1112150093")</f>
        <v>#NAME?</v>
      </c>
      <c r="D1819" s="23" t="e">
        <f ca="1">[1]!BexGetData("DP_1","003N8EMH8GTFRCSWKMPXRRESE","GSON1112150093")</f>
        <v>#NAME?</v>
      </c>
      <c r="E1819" s="28" t="e">
        <f ca="1">[1]!BexGetData("DP_1","003N8EMH8GTFRCSWKMPXRRL3Y","GSON1112150093")</f>
        <v>#NAME?</v>
      </c>
      <c r="F1819" s="24" t="e">
        <f ca="1">[1]!BexGetData("DP_1","003N8EMH8GTFRCSWKMPXRRRFI","GSON1112150093")</f>
        <v>#NAME?</v>
      </c>
      <c r="G1819" s="24" t="e">
        <f ca="1">[1]!BexGetData("DP_1","003N8EMH8GTFRCSWKMPXRRXR2","GSON1112150093")</f>
        <v>#NAME?</v>
      </c>
      <c r="H1819" s="24" t="e">
        <f ca="1">[1]!BexGetData("DP_1","003N8EMH8GTFRCSWKMPXRS42M","GSON1112150093")</f>
        <v>#NAME?</v>
      </c>
      <c r="I1819" s="24" t="e">
        <f ca="1">[1]!BexGetData("DP_1","003N8EMH8GTFRCSWKMPXRSAE6","GSON1112150093")</f>
        <v>#NAME?</v>
      </c>
      <c r="J1819" s="24" t="e">
        <f ca="1">[1]!BexGetData("DP_1","003N8EMH8GTFRCSWKMPXRSGPQ","GSON1112150093")</f>
        <v>#NAME?</v>
      </c>
      <c r="K1819" s="28" t="e">
        <f ca="1">[1]!BexGetData("DP_1","003N8EMH8GTFRIVNUPY288VJH","GSON1112150093")</f>
        <v>#NAME?</v>
      </c>
      <c r="L1819" s="28" t="e">
        <f ca="1">[1]!BexGetData("DP_1","003N8EMH8GTFRIVNUPY2891V1","GSON1112150093")</f>
        <v>#NAME?</v>
      </c>
      <c r="M1819" s="28" t="e">
        <f ca="1">[1]!BexGetData("DP_1","003N8EMH8GTFRIVOG7KG9IQXA","GSON1112150093")</f>
        <v>#NAME?</v>
      </c>
      <c r="N1819" s="28" t="e">
        <f ca="1">[1]!BexGetData("DP_1","003N8EMH8GTFRIVOG7KG9IX8U","GSON1112150093")</f>
        <v>#NAME?</v>
      </c>
      <c r="O1819" s="28" t="e">
        <f ca="1">[1]!BexGetData("DP_1","003N8EMH8GTFRIVOG7KG9J3KE","GSON1112150093")</f>
        <v>#NAME?</v>
      </c>
      <c r="P1819" s="28" t="e">
        <f ca="1">[1]!BexGetData("DP_1","003N8EMH8GTFRIVOG7KG9J9VY","GSON1112150093")</f>
        <v>#NAME?</v>
      </c>
      <c r="Q1819" s="24" t="e">
        <f ca="1">[1]!BexGetData("DP_1","00O2TNJGODT0G5Z4TTKYMM5MT","GSON1112150093")</f>
        <v>#NAME?</v>
      </c>
      <c r="R1819" s="24" t="e">
        <f ca="1">[1]!BexGetData("DP_1","00O2TNJGODT0G5Z4TTKYMMBYD","GSON1112150093")</f>
        <v>#NAME?</v>
      </c>
      <c r="S1819" s="24" t="e">
        <f ca="1">[1]!BexGetData("DP_1","00O2TNJGODT0G5Z4TTKYMMI9X","GSON1112150093")</f>
        <v>#NAME?</v>
      </c>
      <c r="T1819" s="24" t="e">
        <f ca="1">[1]!BexGetData("DP_1","00O2TNJGODT0G5Z4TTKYMMOLH","GSON1112150093")</f>
        <v>#NAME?</v>
      </c>
      <c r="U1819" s="24" t="e">
        <f ca="1">[1]!BexGetData("DP_1","00O2TNJGODT0G5Z4TTKYMMUX1","GSON1112150093")</f>
        <v>#NAME?</v>
      </c>
      <c r="V1819" s="24" t="e">
        <f ca="1">[1]!BexGetData("DP_1","00O2TNJGODT0G5Z4TTKYMN18L","GSON1112150093")</f>
        <v>#NAME?</v>
      </c>
      <c r="W1819" s="24" t="e">
        <f ca="1">[1]!BexGetData("DP_1","00O2TNJGODT0G5Z4TTKYMN7K5","GSON1112150093")</f>
        <v>#NAME?</v>
      </c>
    </row>
    <row r="1820" spans="1:23" x14ac:dyDescent="0.2">
      <c r="A1820" s="36" t="s">
        <v>4683</v>
      </c>
      <c r="B1820" s="27" t="s">
        <v>4684</v>
      </c>
      <c r="C1820" s="24" t="e">
        <f ca="1">[1]!BexGetData("DP_1","003N8EMH8GTFRCSWKMPXRR8GU","GSON1112150094")</f>
        <v>#NAME?</v>
      </c>
      <c r="D1820" s="24" t="e">
        <f ca="1">[1]!BexGetData("DP_1","003N8EMH8GTFRCSWKMPXRRESE","GSON1112150094")</f>
        <v>#NAME?</v>
      </c>
      <c r="E1820" s="24" t="e">
        <f ca="1">[1]!BexGetData("DP_1","003N8EMH8GTFRCSWKMPXRRL3Y","GSON1112150094")</f>
        <v>#NAME?</v>
      </c>
      <c r="F1820" s="28" t="e">
        <f ca="1">[1]!BexGetData("DP_1","003N8EMH8GTFRCSWKMPXRRRFI","GSON1112150094")</f>
        <v>#NAME?</v>
      </c>
      <c r="G1820" s="23" t="e">
        <f ca="1">[1]!BexGetData("DP_1","003N8EMH8GTFRCSWKMPXRRXR2","GSON1112150094")</f>
        <v>#NAME?</v>
      </c>
      <c r="H1820" s="23" t="e">
        <f ca="1">[1]!BexGetData("DP_1","003N8EMH8GTFRCSWKMPXRS42M","GSON1112150094")</f>
        <v>#NAME?</v>
      </c>
      <c r="I1820" s="28" t="e">
        <f ca="1">[1]!BexGetData("DP_1","003N8EMH8GTFRCSWKMPXRSAE6","GSON1112150094")</f>
        <v>#NAME?</v>
      </c>
      <c r="J1820" s="24" t="e">
        <f ca="1">[1]!BexGetData("DP_1","003N8EMH8GTFRCSWKMPXRSGPQ","GSON1112150094")</f>
        <v>#NAME?</v>
      </c>
      <c r="K1820" s="28" t="e">
        <f ca="1">[1]!BexGetData("DP_1","003N8EMH8GTFRIVNUPY288VJH","GSON1112150094")</f>
        <v>#NAME?</v>
      </c>
      <c r="L1820" s="28" t="e">
        <f ca="1">[1]!BexGetData("DP_1","003N8EMH8GTFRIVNUPY2891V1","GSON1112150094")</f>
        <v>#NAME?</v>
      </c>
      <c r="M1820" s="28" t="e">
        <f ca="1">[1]!BexGetData("DP_1","003N8EMH8GTFRIVOG7KG9IQXA","GSON1112150094")</f>
        <v>#NAME?</v>
      </c>
      <c r="N1820" s="28" t="e">
        <f ca="1">[1]!BexGetData("DP_1","003N8EMH8GTFRIVOG7KG9IX8U","GSON1112150094")</f>
        <v>#NAME?</v>
      </c>
      <c r="O1820" s="28" t="e">
        <f ca="1">[1]!BexGetData("DP_1","003N8EMH8GTFRIVOG7KG9J3KE","GSON1112150094")</f>
        <v>#NAME?</v>
      </c>
      <c r="P1820" s="28" t="e">
        <f ca="1">[1]!BexGetData("DP_1","003N8EMH8GTFRIVOG7KG9J9VY","GSON1112150094")</f>
        <v>#NAME?</v>
      </c>
      <c r="Q1820" s="24" t="e">
        <f ca="1">[1]!BexGetData("DP_1","00O2TNJGODT0G5Z4TTKYMM5MT","GSON1112150094")</f>
        <v>#NAME?</v>
      </c>
      <c r="R1820" s="28" t="e">
        <f ca="1">[1]!BexGetData("DP_1","00O2TNJGODT0G5Z4TTKYMMBYD","GSON1112150094")</f>
        <v>#NAME?</v>
      </c>
      <c r="S1820" s="28" t="e">
        <f ca="1">[1]!BexGetData("DP_1","00O2TNJGODT0G5Z4TTKYMMI9X","GSON1112150094")</f>
        <v>#NAME?</v>
      </c>
      <c r="T1820" s="28" t="e">
        <f ca="1">[1]!BexGetData("DP_1","00O2TNJGODT0G5Z4TTKYMMOLH","GSON1112150094")</f>
        <v>#NAME?</v>
      </c>
      <c r="U1820" s="28" t="e">
        <f ca="1">[1]!BexGetData("DP_1","00O2TNJGODT0G5Z4TTKYMMUX1","GSON1112150094")</f>
        <v>#NAME?</v>
      </c>
      <c r="V1820" s="28" t="e">
        <f ca="1">[1]!BexGetData("DP_1","00O2TNJGODT0G5Z4TTKYMN18L","GSON1112150094")</f>
        <v>#NAME?</v>
      </c>
      <c r="W1820" s="28" t="e">
        <f ca="1">[1]!BexGetData("DP_1","00O2TNJGODT0G5Z4TTKYMN7K5","GSON1112150094")</f>
        <v>#NAME?</v>
      </c>
    </row>
    <row r="1821" spans="1:23" x14ac:dyDescent="0.2">
      <c r="A1821" s="36" t="s">
        <v>4685</v>
      </c>
      <c r="B1821" s="27" t="s">
        <v>4686</v>
      </c>
      <c r="C1821" s="23" t="e">
        <f ca="1">[1]!BexGetData("DP_1","003N8EMH8GTFRCSWKMPXRR8GU","GSON1112150095")</f>
        <v>#NAME?</v>
      </c>
      <c r="D1821" s="23" t="e">
        <f ca="1">[1]!BexGetData("DP_1","003N8EMH8GTFRCSWKMPXRRESE","GSON1112150095")</f>
        <v>#NAME?</v>
      </c>
      <c r="E1821" s="28" t="e">
        <f ca="1">[1]!BexGetData("DP_1","003N8EMH8GTFRCSWKMPXRRL3Y","GSON1112150095")</f>
        <v>#NAME?</v>
      </c>
      <c r="F1821" s="28" t="e">
        <f ca="1">[1]!BexGetData("DP_1","003N8EMH8GTFRCSWKMPXRRRFI","GSON1112150095")</f>
        <v>#NAME?</v>
      </c>
      <c r="G1821" s="23" t="e">
        <f ca="1">[1]!BexGetData("DP_1","003N8EMH8GTFRCSWKMPXRRXR2","GSON1112150095")</f>
        <v>#NAME?</v>
      </c>
      <c r="H1821" s="23" t="e">
        <f ca="1">[1]!BexGetData("DP_1","003N8EMH8GTFRCSWKMPXRS42M","GSON1112150095")</f>
        <v>#NAME?</v>
      </c>
      <c r="I1821" s="28" t="e">
        <f ca="1">[1]!BexGetData("DP_1","003N8EMH8GTFRCSWKMPXRSAE6","GSON1112150095")</f>
        <v>#NAME?</v>
      </c>
      <c r="J1821" s="24" t="e">
        <f ca="1">[1]!BexGetData("DP_1","003N8EMH8GTFRCSWKMPXRSGPQ","GSON1112150095")</f>
        <v>#NAME?</v>
      </c>
      <c r="K1821" s="28" t="e">
        <f ca="1">[1]!BexGetData("DP_1","003N8EMH8GTFRIVNUPY288VJH","GSON1112150095")</f>
        <v>#NAME?</v>
      </c>
      <c r="L1821" s="28" t="e">
        <f ca="1">[1]!BexGetData("DP_1","003N8EMH8GTFRIVNUPY2891V1","GSON1112150095")</f>
        <v>#NAME?</v>
      </c>
      <c r="M1821" s="28" t="e">
        <f ca="1">[1]!BexGetData("DP_1","003N8EMH8GTFRIVOG7KG9IQXA","GSON1112150095")</f>
        <v>#NAME?</v>
      </c>
      <c r="N1821" s="28" t="e">
        <f ca="1">[1]!BexGetData("DP_1","003N8EMH8GTFRIVOG7KG9IX8U","GSON1112150095")</f>
        <v>#NAME?</v>
      </c>
      <c r="O1821" s="28" t="e">
        <f ca="1">[1]!BexGetData("DP_1","003N8EMH8GTFRIVOG7KG9J3KE","GSON1112150095")</f>
        <v>#NAME?</v>
      </c>
      <c r="P1821" s="28" t="e">
        <f ca="1">[1]!BexGetData("DP_1","003N8EMH8GTFRIVOG7KG9J9VY","GSON1112150095")</f>
        <v>#NAME?</v>
      </c>
      <c r="Q1821" s="24" t="e">
        <f ca="1">[1]!BexGetData("DP_1","00O2TNJGODT0G5Z4TTKYMM5MT","GSON1112150095")</f>
        <v>#NAME?</v>
      </c>
      <c r="R1821" s="28" t="e">
        <f ca="1">[1]!BexGetData("DP_1","00O2TNJGODT0G5Z4TTKYMMBYD","GSON1112150095")</f>
        <v>#NAME?</v>
      </c>
      <c r="S1821" s="28" t="e">
        <f ca="1">[1]!BexGetData("DP_1","00O2TNJGODT0G5Z4TTKYMMI9X","GSON1112150095")</f>
        <v>#NAME?</v>
      </c>
      <c r="T1821" s="28" t="e">
        <f ca="1">[1]!BexGetData("DP_1","00O2TNJGODT0G5Z4TTKYMMOLH","GSON1112150095")</f>
        <v>#NAME?</v>
      </c>
      <c r="U1821" s="28" t="e">
        <f ca="1">[1]!BexGetData("DP_1","00O2TNJGODT0G5Z4TTKYMMUX1","GSON1112150095")</f>
        <v>#NAME?</v>
      </c>
      <c r="V1821" s="28" t="e">
        <f ca="1">[1]!BexGetData("DP_1","00O2TNJGODT0G5Z4TTKYMN18L","GSON1112150095")</f>
        <v>#NAME?</v>
      </c>
      <c r="W1821" s="28" t="e">
        <f ca="1">[1]!BexGetData("DP_1","00O2TNJGODT0G5Z4TTKYMN7K5","GSON1112150095")</f>
        <v>#NAME?</v>
      </c>
    </row>
    <row r="1822" spans="1:23" x14ac:dyDescent="0.2">
      <c r="A1822" s="36" t="s">
        <v>4687</v>
      </c>
      <c r="B1822" s="27" t="s">
        <v>4688</v>
      </c>
      <c r="C1822" s="23" t="e">
        <f ca="1">[1]!BexGetData("DP_1","003N8EMH8GTFRCSWKMPXRR8GU","GSON1112150101")</f>
        <v>#NAME?</v>
      </c>
      <c r="D1822" s="23" t="e">
        <f ca="1">[1]!BexGetData("DP_1","003N8EMH8GTFRCSWKMPXRRESE","GSON1112150101")</f>
        <v>#NAME?</v>
      </c>
      <c r="E1822" s="28" t="e">
        <f ca="1">[1]!BexGetData("DP_1","003N8EMH8GTFRCSWKMPXRRL3Y","GSON1112150101")</f>
        <v>#NAME?</v>
      </c>
      <c r="F1822" s="28" t="e">
        <f ca="1">[1]!BexGetData("DP_1","003N8EMH8GTFRCSWKMPXRRRFI","GSON1112150101")</f>
        <v>#NAME?</v>
      </c>
      <c r="G1822" s="23" t="e">
        <f ca="1">[1]!BexGetData("DP_1","003N8EMH8GTFRCSWKMPXRRXR2","GSON1112150101")</f>
        <v>#NAME?</v>
      </c>
      <c r="H1822" s="23" t="e">
        <f ca="1">[1]!BexGetData("DP_1","003N8EMH8GTFRCSWKMPXRS42M","GSON1112150101")</f>
        <v>#NAME?</v>
      </c>
      <c r="I1822" s="28" t="e">
        <f ca="1">[1]!BexGetData("DP_1","003N8EMH8GTFRCSWKMPXRSAE6","GSON1112150101")</f>
        <v>#NAME?</v>
      </c>
      <c r="J1822" s="24" t="e">
        <f ca="1">[1]!BexGetData("DP_1","003N8EMH8GTFRCSWKMPXRSGPQ","GSON1112150101")</f>
        <v>#NAME?</v>
      </c>
      <c r="K1822" s="28" t="e">
        <f ca="1">[1]!BexGetData("DP_1","003N8EMH8GTFRIVNUPY288VJH","GSON1112150101")</f>
        <v>#NAME?</v>
      </c>
      <c r="L1822" s="28" t="e">
        <f ca="1">[1]!BexGetData("DP_1","003N8EMH8GTFRIVNUPY2891V1","GSON1112150101")</f>
        <v>#NAME?</v>
      </c>
      <c r="M1822" s="28" t="e">
        <f ca="1">[1]!BexGetData("DP_1","003N8EMH8GTFRIVOG7KG9IQXA","GSON1112150101")</f>
        <v>#NAME?</v>
      </c>
      <c r="N1822" s="28" t="e">
        <f ca="1">[1]!BexGetData("DP_1","003N8EMH8GTFRIVOG7KG9IX8U","GSON1112150101")</f>
        <v>#NAME?</v>
      </c>
      <c r="O1822" s="28" t="e">
        <f ca="1">[1]!BexGetData("DP_1","003N8EMH8GTFRIVOG7KG9J3KE","GSON1112150101")</f>
        <v>#NAME?</v>
      </c>
      <c r="P1822" s="28" t="e">
        <f ca="1">[1]!BexGetData("DP_1","003N8EMH8GTFRIVOG7KG9J9VY","GSON1112150101")</f>
        <v>#NAME?</v>
      </c>
      <c r="Q1822" s="24" t="e">
        <f ca="1">[1]!BexGetData("DP_1","00O2TNJGODT0G5Z4TTKYMM5MT","GSON1112150101")</f>
        <v>#NAME?</v>
      </c>
      <c r="R1822" s="28" t="e">
        <f ca="1">[1]!BexGetData("DP_1","00O2TNJGODT0G5Z4TTKYMMBYD","GSON1112150101")</f>
        <v>#NAME?</v>
      </c>
      <c r="S1822" s="28" t="e">
        <f ca="1">[1]!BexGetData("DP_1","00O2TNJGODT0G5Z4TTKYMMI9X","GSON1112150101")</f>
        <v>#NAME?</v>
      </c>
      <c r="T1822" s="28" t="e">
        <f ca="1">[1]!BexGetData("DP_1","00O2TNJGODT0G5Z4TTKYMMOLH","GSON1112150101")</f>
        <v>#NAME?</v>
      </c>
      <c r="U1822" s="28" t="e">
        <f ca="1">[1]!BexGetData("DP_1","00O2TNJGODT0G5Z4TTKYMMUX1","GSON1112150101")</f>
        <v>#NAME?</v>
      </c>
      <c r="V1822" s="28" t="e">
        <f ca="1">[1]!BexGetData("DP_1","00O2TNJGODT0G5Z4TTKYMN18L","GSON1112150101")</f>
        <v>#NAME?</v>
      </c>
      <c r="W1822" s="28" t="e">
        <f ca="1">[1]!BexGetData("DP_1","00O2TNJGODT0G5Z4TTKYMN7K5","GSON1112150101")</f>
        <v>#NAME?</v>
      </c>
    </row>
    <row r="1823" spans="1:23" x14ac:dyDescent="0.2">
      <c r="A1823" s="36" t="s">
        <v>4689</v>
      </c>
      <c r="B1823" s="27" t="s">
        <v>4690</v>
      </c>
      <c r="C1823" s="23" t="e">
        <f ca="1">[1]!BexGetData("DP_1","003N8EMH8GTFRCSWKMPXRR8GU","GSON1112150110")</f>
        <v>#NAME?</v>
      </c>
      <c r="D1823" s="28" t="e">
        <f ca="1">[1]!BexGetData("DP_1","003N8EMH8GTFRCSWKMPXRRESE","GSON1112150110")</f>
        <v>#NAME?</v>
      </c>
      <c r="E1823" s="23" t="e">
        <f ca="1">[1]!BexGetData("DP_1","003N8EMH8GTFRCSWKMPXRRL3Y","GSON1112150110")</f>
        <v>#NAME?</v>
      </c>
      <c r="F1823" s="23" t="e">
        <f ca="1">[1]!BexGetData("DP_1","003N8EMH8GTFRCSWKMPXRRRFI","GSON1112150110")</f>
        <v>#NAME?</v>
      </c>
      <c r="G1823" s="23" t="e">
        <f ca="1">[1]!BexGetData("DP_1","003N8EMH8GTFRCSWKMPXRRXR2","GSON1112150110")</f>
        <v>#NAME?</v>
      </c>
      <c r="H1823" s="23" t="e">
        <f ca="1">[1]!BexGetData("DP_1","003N8EMH8GTFRCSWKMPXRS42M","GSON1112150110")</f>
        <v>#NAME?</v>
      </c>
      <c r="I1823" s="23" t="e">
        <f ca="1">[1]!BexGetData("DP_1","003N8EMH8GTFRCSWKMPXRSAE6","GSON1112150110")</f>
        <v>#NAME?</v>
      </c>
      <c r="J1823" s="23" t="e">
        <f ca="1">[1]!BexGetData("DP_1","003N8EMH8GTFRCSWKMPXRSGPQ","GSON1112150110")</f>
        <v>#NAME?</v>
      </c>
      <c r="K1823" s="23" t="e">
        <f ca="1">[1]!BexGetData("DP_1","003N8EMH8GTFRIVNUPY288VJH","GSON1112150110")</f>
        <v>#NAME?</v>
      </c>
      <c r="L1823" s="23" t="e">
        <f ca="1">[1]!BexGetData("DP_1","003N8EMH8GTFRIVNUPY2891V1","GSON1112150110")</f>
        <v>#NAME?</v>
      </c>
      <c r="M1823" s="28" t="e">
        <f ca="1">[1]!BexGetData("DP_1","003N8EMH8GTFRIVOG7KG9IQXA","GSON1112150110")</f>
        <v>#NAME?</v>
      </c>
      <c r="N1823" s="23" t="e">
        <f ca="1">[1]!BexGetData("DP_1","003N8EMH8GTFRIVOG7KG9IX8U","GSON1112150110")</f>
        <v>#NAME?</v>
      </c>
      <c r="O1823" s="28" t="e">
        <f ca="1">[1]!BexGetData("DP_1","003N8EMH8GTFRIVOG7KG9J3KE","GSON1112150110")</f>
        <v>#NAME?</v>
      </c>
      <c r="P1823" s="23" t="e">
        <f ca="1">[1]!BexGetData("DP_1","003N8EMH8GTFRIVOG7KG9J9VY","GSON1112150110")</f>
        <v>#NAME?</v>
      </c>
      <c r="Q1823" s="23" t="e">
        <f ca="1">[1]!BexGetData("DP_1","00O2TNJGODT0G5Z4TTKYMM5MT","GSON1112150110")</f>
        <v>#NAME?</v>
      </c>
      <c r="R1823" s="23" t="e">
        <f ca="1">[1]!BexGetData("DP_1","00O2TNJGODT0G5Z4TTKYMMBYD","GSON1112150110")</f>
        <v>#NAME?</v>
      </c>
      <c r="S1823" s="23" t="e">
        <f ca="1">[1]!BexGetData("DP_1","00O2TNJGODT0G5Z4TTKYMMI9X","GSON1112150110")</f>
        <v>#NAME?</v>
      </c>
      <c r="T1823" s="23" t="e">
        <f ca="1">[1]!BexGetData("DP_1","00O2TNJGODT0G5Z4TTKYMMOLH","GSON1112150110")</f>
        <v>#NAME?</v>
      </c>
      <c r="U1823" s="28" t="e">
        <f ca="1">[1]!BexGetData("DP_1","00O2TNJGODT0G5Z4TTKYMMUX1","GSON1112150110")</f>
        <v>#NAME?</v>
      </c>
      <c r="V1823" s="23" t="e">
        <f ca="1">[1]!BexGetData("DP_1","00O2TNJGODT0G5Z4TTKYMN18L","GSON1112150110")</f>
        <v>#NAME?</v>
      </c>
      <c r="W1823" s="28" t="e">
        <f ca="1">[1]!BexGetData("DP_1","00O2TNJGODT0G5Z4TTKYMN7K5","GSON1112150110")</f>
        <v>#NAME?</v>
      </c>
    </row>
    <row r="1824" spans="1:23" x14ac:dyDescent="0.2">
      <c r="A1824" s="36" t="s">
        <v>4691</v>
      </c>
      <c r="B1824" s="27" t="s">
        <v>4692</v>
      </c>
      <c r="C1824" s="24" t="e">
        <f ca="1">[1]!BexGetData("DP_1","003N8EMH8GTFRCSWKMPXRR8GU","GSON1112150111")</f>
        <v>#NAME?</v>
      </c>
      <c r="D1824" s="24" t="e">
        <f ca="1">[1]!BexGetData("DP_1","003N8EMH8GTFRCSWKMPXRRESE","GSON1112150111")</f>
        <v>#NAME?</v>
      </c>
      <c r="E1824" s="24" t="e">
        <f ca="1">[1]!BexGetData("DP_1","003N8EMH8GTFRCSWKMPXRRL3Y","GSON1112150111")</f>
        <v>#NAME?</v>
      </c>
      <c r="F1824" s="28" t="e">
        <f ca="1">[1]!BexGetData("DP_1","003N8EMH8GTFRCSWKMPXRRRFI","GSON1112150111")</f>
        <v>#NAME?</v>
      </c>
      <c r="G1824" s="23" t="e">
        <f ca="1">[1]!BexGetData("DP_1","003N8EMH8GTFRCSWKMPXRRXR2","GSON1112150111")</f>
        <v>#NAME?</v>
      </c>
      <c r="H1824" s="23" t="e">
        <f ca="1">[1]!BexGetData("DP_1","003N8EMH8GTFRCSWKMPXRS42M","GSON1112150111")</f>
        <v>#NAME?</v>
      </c>
      <c r="I1824" s="28" t="e">
        <f ca="1">[1]!BexGetData("DP_1","003N8EMH8GTFRCSWKMPXRSAE6","GSON1112150111")</f>
        <v>#NAME?</v>
      </c>
      <c r="J1824" s="24" t="e">
        <f ca="1">[1]!BexGetData("DP_1","003N8EMH8GTFRCSWKMPXRSGPQ","GSON1112150111")</f>
        <v>#NAME?</v>
      </c>
      <c r="K1824" s="28" t="e">
        <f ca="1">[1]!BexGetData("DP_1","003N8EMH8GTFRIVNUPY288VJH","GSON1112150111")</f>
        <v>#NAME?</v>
      </c>
      <c r="L1824" s="28" t="e">
        <f ca="1">[1]!BexGetData("DP_1","003N8EMH8GTFRIVNUPY2891V1","GSON1112150111")</f>
        <v>#NAME?</v>
      </c>
      <c r="M1824" s="28" t="e">
        <f ca="1">[1]!BexGetData("DP_1","003N8EMH8GTFRIVOG7KG9IQXA","GSON1112150111")</f>
        <v>#NAME?</v>
      </c>
      <c r="N1824" s="28" t="e">
        <f ca="1">[1]!BexGetData("DP_1","003N8EMH8GTFRIVOG7KG9IX8U","GSON1112150111")</f>
        <v>#NAME?</v>
      </c>
      <c r="O1824" s="28" t="e">
        <f ca="1">[1]!BexGetData("DP_1","003N8EMH8GTFRIVOG7KG9J3KE","GSON1112150111")</f>
        <v>#NAME?</v>
      </c>
      <c r="P1824" s="28" t="e">
        <f ca="1">[1]!BexGetData("DP_1","003N8EMH8GTFRIVOG7KG9J9VY","GSON1112150111")</f>
        <v>#NAME?</v>
      </c>
      <c r="Q1824" s="24" t="e">
        <f ca="1">[1]!BexGetData("DP_1","00O2TNJGODT0G5Z4TTKYMM5MT","GSON1112150111")</f>
        <v>#NAME?</v>
      </c>
      <c r="R1824" s="28" t="e">
        <f ca="1">[1]!BexGetData("DP_1","00O2TNJGODT0G5Z4TTKYMMBYD","GSON1112150111")</f>
        <v>#NAME?</v>
      </c>
      <c r="S1824" s="28" t="e">
        <f ca="1">[1]!BexGetData("DP_1","00O2TNJGODT0G5Z4TTKYMMI9X","GSON1112150111")</f>
        <v>#NAME?</v>
      </c>
      <c r="T1824" s="28" t="e">
        <f ca="1">[1]!BexGetData("DP_1","00O2TNJGODT0G5Z4TTKYMMOLH","GSON1112150111")</f>
        <v>#NAME?</v>
      </c>
      <c r="U1824" s="28" t="e">
        <f ca="1">[1]!BexGetData("DP_1","00O2TNJGODT0G5Z4TTKYMMUX1","GSON1112150111")</f>
        <v>#NAME?</v>
      </c>
      <c r="V1824" s="28" t="e">
        <f ca="1">[1]!BexGetData("DP_1","00O2TNJGODT0G5Z4TTKYMN18L","GSON1112150111")</f>
        <v>#NAME?</v>
      </c>
      <c r="W1824" s="28" t="e">
        <f ca="1">[1]!BexGetData("DP_1","00O2TNJGODT0G5Z4TTKYMN7K5","GSON1112150111")</f>
        <v>#NAME?</v>
      </c>
    </row>
    <row r="1825" spans="1:23" x14ac:dyDescent="0.2">
      <c r="A1825" s="36" t="s">
        <v>4693</v>
      </c>
      <c r="B1825" s="27" t="s">
        <v>4694</v>
      </c>
      <c r="C1825" s="24" t="e">
        <f ca="1">[1]!BexGetData("DP_1","003N8EMH8GTFRCSWKMPXRR8GU","GSON1112150113")</f>
        <v>#NAME?</v>
      </c>
      <c r="D1825" s="24" t="e">
        <f ca="1">[1]!BexGetData("DP_1","003N8EMH8GTFRCSWKMPXRRESE","GSON1112150113")</f>
        <v>#NAME?</v>
      </c>
      <c r="E1825" s="24" t="e">
        <f ca="1">[1]!BexGetData("DP_1","003N8EMH8GTFRCSWKMPXRRL3Y","GSON1112150113")</f>
        <v>#NAME?</v>
      </c>
      <c r="F1825" s="28" t="e">
        <f ca="1">[1]!BexGetData("DP_1","003N8EMH8GTFRCSWKMPXRRRFI","GSON1112150113")</f>
        <v>#NAME?</v>
      </c>
      <c r="G1825" s="23" t="e">
        <f ca="1">[1]!BexGetData("DP_1","003N8EMH8GTFRCSWKMPXRRXR2","GSON1112150113")</f>
        <v>#NAME?</v>
      </c>
      <c r="H1825" s="23" t="e">
        <f ca="1">[1]!BexGetData("DP_1","003N8EMH8GTFRCSWKMPXRS42M","GSON1112150113")</f>
        <v>#NAME?</v>
      </c>
      <c r="I1825" s="28" t="e">
        <f ca="1">[1]!BexGetData("DP_1","003N8EMH8GTFRCSWKMPXRSAE6","GSON1112150113")</f>
        <v>#NAME?</v>
      </c>
      <c r="J1825" s="24" t="e">
        <f ca="1">[1]!BexGetData("DP_1","003N8EMH8GTFRCSWKMPXRSGPQ","GSON1112150113")</f>
        <v>#NAME?</v>
      </c>
      <c r="K1825" s="28" t="e">
        <f ca="1">[1]!BexGetData("DP_1","003N8EMH8GTFRIVNUPY288VJH","GSON1112150113")</f>
        <v>#NAME?</v>
      </c>
      <c r="L1825" s="28" t="e">
        <f ca="1">[1]!BexGetData("DP_1","003N8EMH8GTFRIVNUPY2891V1","GSON1112150113")</f>
        <v>#NAME?</v>
      </c>
      <c r="M1825" s="28" t="e">
        <f ca="1">[1]!BexGetData("DP_1","003N8EMH8GTFRIVOG7KG9IQXA","GSON1112150113")</f>
        <v>#NAME?</v>
      </c>
      <c r="N1825" s="28" t="e">
        <f ca="1">[1]!BexGetData("DP_1","003N8EMH8GTFRIVOG7KG9IX8U","GSON1112150113")</f>
        <v>#NAME?</v>
      </c>
      <c r="O1825" s="28" t="e">
        <f ca="1">[1]!BexGetData("DP_1","003N8EMH8GTFRIVOG7KG9J3KE","GSON1112150113")</f>
        <v>#NAME?</v>
      </c>
      <c r="P1825" s="28" t="e">
        <f ca="1">[1]!BexGetData("DP_1","003N8EMH8GTFRIVOG7KG9J9VY","GSON1112150113")</f>
        <v>#NAME?</v>
      </c>
      <c r="Q1825" s="24" t="e">
        <f ca="1">[1]!BexGetData("DP_1","00O2TNJGODT0G5Z4TTKYMM5MT","GSON1112150113")</f>
        <v>#NAME?</v>
      </c>
      <c r="R1825" s="28" t="e">
        <f ca="1">[1]!BexGetData("DP_1","00O2TNJGODT0G5Z4TTKYMMBYD","GSON1112150113")</f>
        <v>#NAME?</v>
      </c>
      <c r="S1825" s="28" t="e">
        <f ca="1">[1]!BexGetData("DP_1","00O2TNJGODT0G5Z4TTKYMMI9X","GSON1112150113")</f>
        <v>#NAME?</v>
      </c>
      <c r="T1825" s="28" t="e">
        <f ca="1">[1]!BexGetData("DP_1","00O2TNJGODT0G5Z4TTKYMMOLH","GSON1112150113")</f>
        <v>#NAME?</v>
      </c>
      <c r="U1825" s="28" t="e">
        <f ca="1">[1]!BexGetData("DP_1","00O2TNJGODT0G5Z4TTKYMMUX1","GSON1112150113")</f>
        <v>#NAME?</v>
      </c>
      <c r="V1825" s="28" t="e">
        <f ca="1">[1]!BexGetData("DP_1","00O2TNJGODT0G5Z4TTKYMN18L","GSON1112150113")</f>
        <v>#NAME?</v>
      </c>
      <c r="W1825" s="28" t="e">
        <f ca="1">[1]!BexGetData("DP_1","00O2TNJGODT0G5Z4TTKYMN7K5","GSON1112150113")</f>
        <v>#NAME?</v>
      </c>
    </row>
    <row r="1826" spans="1:23" x14ac:dyDescent="0.2">
      <c r="A1826" s="36" t="s">
        <v>4695</v>
      </c>
      <c r="B1826" s="27" t="s">
        <v>4696</v>
      </c>
      <c r="C1826" s="24" t="e">
        <f ca="1">[1]!BexGetData("DP_1","003N8EMH8GTFRCSWKMPXRR8GU","GSON1112150114")</f>
        <v>#NAME?</v>
      </c>
      <c r="D1826" s="24" t="e">
        <f ca="1">[1]!BexGetData("DP_1","003N8EMH8GTFRCSWKMPXRRESE","GSON1112150114")</f>
        <v>#NAME?</v>
      </c>
      <c r="E1826" s="24" t="e">
        <f ca="1">[1]!BexGetData("DP_1","003N8EMH8GTFRCSWKMPXRRL3Y","GSON1112150114")</f>
        <v>#NAME?</v>
      </c>
      <c r="F1826" s="28" t="e">
        <f ca="1">[1]!BexGetData("DP_1","003N8EMH8GTFRCSWKMPXRRRFI","GSON1112150114")</f>
        <v>#NAME?</v>
      </c>
      <c r="G1826" s="23" t="e">
        <f ca="1">[1]!BexGetData("DP_1","003N8EMH8GTFRCSWKMPXRRXR2","GSON1112150114")</f>
        <v>#NAME?</v>
      </c>
      <c r="H1826" s="23" t="e">
        <f ca="1">[1]!BexGetData("DP_1","003N8EMH8GTFRCSWKMPXRS42M","GSON1112150114")</f>
        <v>#NAME?</v>
      </c>
      <c r="I1826" s="28" t="e">
        <f ca="1">[1]!BexGetData("DP_1","003N8EMH8GTFRCSWKMPXRSAE6","GSON1112150114")</f>
        <v>#NAME?</v>
      </c>
      <c r="J1826" s="24" t="e">
        <f ca="1">[1]!BexGetData("DP_1","003N8EMH8GTFRCSWKMPXRSGPQ","GSON1112150114")</f>
        <v>#NAME?</v>
      </c>
      <c r="K1826" s="28" t="e">
        <f ca="1">[1]!BexGetData("DP_1","003N8EMH8GTFRIVNUPY288VJH","GSON1112150114")</f>
        <v>#NAME?</v>
      </c>
      <c r="L1826" s="28" t="e">
        <f ca="1">[1]!BexGetData("DP_1","003N8EMH8GTFRIVNUPY2891V1","GSON1112150114")</f>
        <v>#NAME?</v>
      </c>
      <c r="M1826" s="28" t="e">
        <f ca="1">[1]!BexGetData("DP_1","003N8EMH8GTFRIVOG7KG9IQXA","GSON1112150114")</f>
        <v>#NAME?</v>
      </c>
      <c r="N1826" s="28" t="e">
        <f ca="1">[1]!BexGetData("DP_1","003N8EMH8GTFRIVOG7KG9IX8U","GSON1112150114")</f>
        <v>#NAME?</v>
      </c>
      <c r="O1826" s="28" t="e">
        <f ca="1">[1]!BexGetData("DP_1","003N8EMH8GTFRIVOG7KG9J3KE","GSON1112150114")</f>
        <v>#NAME?</v>
      </c>
      <c r="P1826" s="28" t="e">
        <f ca="1">[1]!BexGetData("DP_1","003N8EMH8GTFRIVOG7KG9J9VY","GSON1112150114")</f>
        <v>#NAME?</v>
      </c>
      <c r="Q1826" s="24" t="e">
        <f ca="1">[1]!BexGetData("DP_1","00O2TNJGODT0G5Z4TTKYMM5MT","GSON1112150114")</f>
        <v>#NAME?</v>
      </c>
      <c r="R1826" s="28" t="e">
        <f ca="1">[1]!BexGetData("DP_1","00O2TNJGODT0G5Z4TTKYMMBYD","GSON1112150114")</f>
        <v>#NAME?</v>
      </c>
      <c r="S1826" s="28" t="e">
        <f ca="1">[1]!BexGetData("DP_1","00O2TNJGODT0G5Z4TTKYMMI9X","GSON1112150114")</f>
        <v>#NAME?</v>
      </c>
      <c r="T1826" s="28" t="e">
        <f ca="1">[1]!BexGetData("DP_1","00O2TNJGODT0G5Z4TTKYMMOLH","GSON1112150114")</f>
        <v>#NAME?</v>
      </c>
      <c r="U1826" s="28" t="e">
        <f ca="1">[1]!BexGetData("DP_1","00O2TNJGODT0G5Z4TTKYMMUX1","GSON1112150114")</f>
        <v>#NAME?</v>
      </c>
      <c r="V1826" s="28" t="e">
        <f ca="1">[1]!BexGetData("DP_1","00O2TNJGODT0G5Z4TTKYMN18L","GSON1112150114")</f>
        <v>#NAME?</v>
      </c>
      <c r="W1826" s="28" t="e">
        <f ca="1">[1]!BexGetData("DP_1","00O2TNJGODT0G5Z4TTKYMN7K5","GSON1112150114")</f>
        <v>#NAME?</v>
      </c>
    </row>
    <row r="1827" spans="1:23" x14ac:dyDescent="0.2">
      <c r="A1827" s="36" t="s">
        <v>4697</v>
      </c>
      <c r="B1827" s="27" t="s">
        <v>4698</v>
      </c>
      <c r="C1827" s="23" t="e">
        <f ca="1">[1]!BexGetData("DP_1","003N8EMH8GTFRCSWKMPXRR8GU","GSON1112150115")</f>
        <v>#NAME?</v>
      </c>
      <c r="D1827" s="23" t="e">
        <f ca="1">[1]!BexGetData("DP_1","003N8EMH8GTFRCSWKMPXRRESE","GSON1112150115")</f>
        <v>#NAME?</v>
      </c>
      <c r="E1827" s="28" t="e">
        <f ca="1">[1]!BexGetData("DP_1","003N8EMH8GTFRCSWKMPXRRL3Y","GSON1112150115")</f>
        <v>#NAME?</v>
      </c>
      <c r="F1827" s="28" t="e">
        <f ca="1">[1]!BexGetData("DP_1","003N8EMH8GTFRCSWKMPXRRRFI","GSON1112150115")</f>
        <v>#NAME?</v>
      </c>
      <c r="G1827" s="23" t="e">
        <f ca="1">[1]!BexGetData("DP_1","003N8EMH8GTFRCSWKMPXRRXR2","GSON1112150115")</f>
        <v>#NAME?</v>
      </c>
      <c r="H1827" s="23" t="e">
        <f ca="1">[1]!BexGetData("DP_1","003N8EMH8GTFRCSWKMPXRS42M","GSON1112150115")</f>
        <v>#NAME?</v>
      </c>
      <c r="I1827" s="28" t="e">
        <f ca="1">[1]!BexGetData("DP_1","003N8EMH8GTFRCSWKMPXRSAE6","GSON1112150115")</f>
        <v>#NAME?</v>
      </c>
      <c r="J1827" s="24" t="e">
        <f ca="1">[1]!BexGetData("DP_1","003N8EMH8GTFRCSWKMPXRSGPQ","GSON1112150115")</f>
        <v>#NAME?</v>
      </c>
      <c r="K1827" s="28" t="e">
        <f ca="1">[1]!BexGetData("DP_1","003N8EMH8GTFRIVNUPY288VJH","GSON1112150115")</f>
        <v>#NAME?</v>
      </c>
      <c r="L1827" s="28" t="e">
        <f ca="1">[1]!BexGetData("DP_1","003N8EMH8GTFRIVNUPY2891V1","GSON1112150115")</f>
        <v>#NAME?</v>
      </c>
      <c r="M1827" s="28" t="e">
        <f ca="1">[1]!BexGetData("DP_1","003N8EMH8GTFRIVOG7KG9IQXA","GSON1112150115")</f>
        <v>#NAME?</v>
      </c>
      <c r="N1827" s="28" t="e">
        <f ca="1">[1]!BexGetData("DP_1","003N8EMH8GTFRIVOG7KG9IX8U","GSON1112150115")</f>
        <v>#NAME?</v>
      </c>
      <c r="O1827" s="28" t="e">
        <f ca="1">[1]!BexGetData("DP_1","003N8EMH8GTFRIVOG7KG9J3KE","GSON1112150115")</f>
        <v>#NAME?</v>
      </c>
      <c r="P1827" s="28" t="e">
        <f ca="1">[1]!BexGetData("DP_1","003N8EMH8GTFRIVOG7KG9J9VY","GSON1112150115")</f>
        <v>#NAME?</v>
      </c>
      <c r="Q1827" s="24" t="e">
        <f ca="1">[1]!BexGetData("DP_1","00O2TNJGODT0G5Z4TTKYMM5MT","GSON1112150115")</f>
        <v>#NAME?</v>
      </c>
      <c r="R1827" s="28" t="e">
        <f ca="1">[1]!BexGetData("DP_1","00O2TNJGODT0G5Z4TTKYMMBYD","GSON1112150115")</f>
        <v>#NAME?</v>
      </c>
      <c r="S1827" s="28" t="e">
        <f ca="1">[1]!BexGetData("DP_1","00O2TNJGODT0G5Z4TTKYMMI9X","GSON1112150115")</f>
        <v>#NAME?</v>
      </c>
      <c r="T1827" s="28" t="e">
        <f ca="1">[1]!BexGetData("DP_1","00O2TNJGODT0G5Z4TTKYMMOLH","GSON1112150115")</f>
        <v>#NAME?</v>
      </c>
      <c r="U1827" s="28" t="e">
        <f ca="1">[1]!BexGetData("DP_1","00O2TNJGODT0G5Z4TTKYMMUX1","GSON1112150115")</f>
        <v>#NAME?</v>
      </c>
      <c r="V1827" s="28" t="e">
        <f ca="1">[1]!BexGetData("DP_1","00O2TNJGODT0G5Z4TTKYMN18L","GSON1112150115")</f>
        <v>#NAME?</v>
      </c>
      <c r="W1827" s="28" t="e">
        <f ca="1">[1]!BexGetData("DP_1","00O2TNJGODT0G5Z4TTKYMN7K5","GSON1112150115")</f>
        <v>#NAME?</v>
      </c>
    </row>
    <row r="1828" spans="1:23" x14ac:dyDescent="0.2">
      <c r="A1828" s="36" t="s">
        <v>4699</v>
      </c>
      <c r="B1828" s="27" t="s">
        <v>4700</v>
      </c>
      <c r="C1828" s="28" t="e">
        <f ca="1">[1]!BexGetData("DP_1","003N8EMH8GTFRCSWKMPXRR8GU","GSON1112150120")</f>
        <v>#NAME?</v>
      </c>
      <c r="D1828" s="28" t="e">
        <f ca="1">[1]!BexGetData("DP_1","003N8EMH8GTFRCSWKMPXRRESE","GSON1112150120")</f>
        <v>#NAME?</v>
      </c>
      <c r="E1828" s="23" t="e">
        <f ca="1">[1]!BexGetData("DP_1","003N8EMH8GTFRCSWKMPXRRL3Y","GSON1112150120")</f>
        <v>#NAME?</v>
      </c>
      <c r="F1828" s="23" t="e">
        <f ca="1">[1]!BexGetData("DP_1","003N8EMH8GTFRCSWKMPXRRRFI","GSON1112150120")</f>
        <v>#NAME?</v>
      </c>
      <c r="G1828" s="28" t="e">
        <f ca="1">[1]!BexGetData("DP_1","003N8EMH8GTFRCSWKMPXRRXR2","GSON1112150120")</f>
        <v>#NAME?</v>
      </c>
      <c r="H1828" s="23" t="e">
        <f ca="1">[1]!BexGetData("DP_1","003N8EMH8GTFRCSWKMPXRS42M","GSON1112150120")</f>
        <v>#NAME?</v>
      </c>
      <c r="I1828" s="23" t="e">
        <f ca="1">[1]!BexGetData("DP_1","003N8EMH8GTFRCSWKMPXRSAE6","GSON1112150120")</f>
        <v>#NAME?</v>
      </c>
      <c r="J1828" s="23" t="e">
        <f ca="1">[1]!BexGetData("DP_1","003N8EMH8GTFRCSWKMPXRSGPQ","GSON1112150120")</f>
        <v>#NAME?</v>
      </c>
      <c r="K1828" s="28" t="e">
        <f ca="1">[1]!BexGetData("DP_1","003N8EMH8GTFRIVNUPY288VJH","GSON1112150120")</f>
        <v>#NAME?</v>
      </c>
      <c r="L1828" s="28" t="e">
        <f ca="1">[1]!BexGetData("DP_1","003N8EMH8GTFRIVNUPY2891V1","GSON1112150120")</f>
        <v>#NAME?</v>
      </c>
      <c r="M1828" s="28" t="e">
        <f ca="1">[1]!BexGetData("DP_1","003N8EMH8GTFRIVOG7KG9IQXA","GSON1112150120")</f>
        <v>#NAME?</v>
      </c>
      <c r="N1828" s="28" t="e">
        <f ca="1">[1]!BexGetData("DP_1","003N8EMH8GTFRIVOG7KG9IX8U","GSON1112150120")</f>
        <v>#NAME?</v>
      </c>
      <c r="O1828" s="28" t="e">
        <f ca="1">[1]!BexGetData("DP_1","003N8EMH8GTFRIVOG7KG9J3KE","GSON1112150120")</f>
        <v>#NAME?</v>
      </c>
      <c r="P1828" s="28" t="e">
        <f ca="1">[1]!BexGetData("DP_1","003N8EMH8GTFRIVOG7KG9J9VY","GSON1112150120")</f>
        <v>#NAME?</v>
      </c>
      <c r="Q1828" s="23" t="e">
        <f ca="1">[1]!BexGetData("DP_1","00O2TNJGODT0G5Z4TTKYMM5MT","GSON1112150120")</f>
        <v>#NAME?</v>
      </c>
      <c r="R1828" s="23" t="e">
        <f ca="1">[1]!BexGetData("DP_1","00O2TNJGODT0G5Z4TTKYMMBYD","GSON1112150120")</f>
        <v>#NAME?</v>
      </c>
      <c r="S1828" s="23" t="e">
        <f ca="1">[1]!BexGetData("DP_1","00O2TNJGODT0G5Z4TTKYMMI9X","GSON1112150120")</f>
        <v>#NAME?</v>
      </c>
      <c r="T1828" s="23" t="e">
        <f ca="1">[1]!BexGetData("DP_1","00O2TNJGODT0G5Z4TTKYMMOLH","GSON1112150120")</f>
        <v>#NAME?</v>
      </c>
      <c r="U1828" s="28" t="e">
        <f ca="1">[1]!BexGetData("DP_1","00O2TNJGODT0G5Z4TTKYMMUX1","GSON1112150120")</f>
        <v>#NAME?</v>
      </c>
      <c r="V1828" s="23" t="e">
        <f ca="1">[1]!BexGetData("DP_1","00O2TNJGODT0G5Z4TTKYMN18L","GSON1112150120")</f>
        <v>#NAME?</v>
      </c>
      <c r="W1828" s="28" t="e">
        <f ca="1">[1]!BexGetData("DP_1","00O2TNJGODT0G5Z4TTKYMN7K5","GSON1112150120")</f>
        <v>#NAME?</v>
      </c>
    </row>
    <row r="1829" spans="1:23" x14ac:dyDescent="0.2">
      <c r="A1829" s="36" t="s">
        <v>4701</v>
      </c>
      <c r="B1829" s="27" t="s">
        <v>4702</v>
      </c>
      <c r="C1829" s="24" t="e">
        <f ca="1">[1]!BexGetData("DP_1","003N8EMH8GTFRCSWKMPXRR8GU","GSON1112150124")</f>
        <v>#NAME?</v>
      </c>
      <c r="D1829" s="24" t="e">
        <f ca="1">[1]!BexGetData("DP_1","003N8EMH8GTFRCSWKMPXRRESE","GSON1112150124")</f>
        <v>#NAME?</v>
      </c>
      <c r="E1829" s="24" t="e">
        <f ca="1">[1]!BexGetData("DP_1","003N8EMH8GTFRCSWKMPXRRL3Y","GSON1112150124")</f>
        <v>#NAME?</v>
      </c>
      <c r="F1829" s="28" t="e">
        <f ca="1">[1]!BexGetData("DP_1","003N8EMH8GTFRCSWKMPXRRRFI","GSON1112150124")</f>
        <v>#NAME?</v>
      </c>
      <c r="G1829" s="23" t="e">
        <f ca="1">[1]!BexGetData("DP_1","003N8EMH8GTFRCSWKMPXRRXR2","GSON1112150124")</f>
        <v>#NAME?</v>
      </c>
      <c r="H1829" s="23" t="e">
        <f ca="1">[1]!BexGetData("DP_1","003N8EMH8GTFRCSWKMPXRS42M","GSON1112150124")</f>
        <v>#NAME?</v>
      </c>
      <c r="I1829" s="28" t="e">
        <f ca="1">[1]!BexGetData("DP_1","003N8EMH8GTFRCSWKMPXRSAE6","GSON1112150124")</f>
        <v>#NAME?</v>
      </c>
      <c r="J1829" s="24" t="e">
        <f ca="1">[1]!BexGetData("DP_1","003N8EMH8GTFRCSWKMPXRSGPQ","GSON1112150124")</f>
        <v>#NAME?</v>
      </c>
      <c r="K1829" s="28" t="e">
        <f ca="1">[1]!BexGetData("DP_1","003N8EMH8GTFRIVNUPY288VJH","GSON1112150124")</f>
        <v>#NAME?</v>
      </c>
      <c r="L1829" s="28" t="e">
        <f ca="1">[1]!BexGetData("DP_1","003N8EMH8GTFRIVNUPY2891V1","GSON1112150124")</f>
        <v>#NAME?</v>
      </c>
      <c r="M1829" s="28" t="e">
        <f ca="1">[1]!BexGetData("DP_1","003N8EMH8GTFRIVOG7KG9IQXA","GSON1112150124")</f>
        <v>#NAME?</v>
      </c>
      <c r="N1829" s="28" t="e">
        <f ca="1">[1]!BexGetData("DP_1","003N8EMH8GTFRIVOG7KG9IX8U","GSON1112150124")</f>
        <v>#NAME?</v>
      </c>
      <c r="O1829" s="28" t="e">
        <f ca="1">[1]!BexGetData("DP_1","003N8EMH8GTFRIVOG7KG9J3KE","GSON1112150124")</f>
        <v>#NAME?</v>
      </c>
      <c r="P1829" s="28" t="e">
        <f ca="1">[1]!BexGetData("DP_1","003N8EMH8GTFRIVOG7KG9J9VY","GSON1112150124")</f>
        <v>#NAME?</v>
      </c>
      <c r="Q1829" s="24" t="e">
        <f ca="1">[1]!BexGetData("DP_1","00O2TNJGODT0G5Z4TTKYMM5MT","GSON1112150124")</f>
        <v>#NAME?</v>
      </c>
      <c r="R1829" s="28" t="e">
        <f ca="1">[1]!BexGetData("DP_1","00O2TNJGODT0G5Z4TTKYMMBYD","GSON1112150124")</f>
        <v>#NAME?</v>
      </c>
      <c r="S1829" s="28" t="e">
        <f ca="1">[1]!BexGetData("DP_1","00O2TNJGODT0G5Z4TTKYMMI9X","GSON1112150124")</f>
        <v>#NAME?</v>
      </c>
      <c r="T1829" s="28" t="e">
        <f ca="1">[1]!BexGetData("DP_1","00O2TNJGODT0G5Z4TTKYMMOLH","GSON1112150124")</f>
        <v>#NAME?</v>
      </c>
      <c r="U1829" s="28" t="e">
        <f ca="1">[1]!BexGetData("DP_1","00O2TNJGODT0G5Z4TTKYMMUX1","GSON1112150124")</f>
        <v>#NAME?</v>
      </c>
      <c r="V1829" s="28" t="e">
        <f ca="1">[1]!BexGetData("DP_1","00O2TNJGODT0G5Z4TTKYMN18L","GSON1112150124")</f>
        <v>#NAME?</v>
      </c>
      <c r="W1829" s="28" t="e">
        <f ca="1">[1]!BexGetData("DP_1","00O2TNJGODT0G5Z4TTKYMN7K5","GSON1112150124")</f>
        <v>#NAME?</v>
      </c>
    </row>
    <row r="1830" spans="1:23" x14ac:dyDescent="0.2">
      <c r="A1830" s="36" t="s">
        <v>4703</v>
      </c>
      <c r="B1830" s="27" t="s">
        <v>4704</v>
      </c>
      <c r="C1830" s="28" t="e">
        <f ca="1">[1]!BexGetData("DP_1","003N8EMH8GTFRCSWKMPXRR8GU","GSON1112150125")</f>
        <v>#NAME?</v>
      </c>
      <c r="D1830" s="28" t="e">
        <f ca="1">[1]!BexGetData("DP_1","003N8EMH8GTFRCSWKMPXRRESE","GSON1112150125")</f>
        <v>#NAME?</v>
      </c>
      <c r="E1830" s="28" t="e">
        <f ca="1">[1]!BexGetData("DP_1","003N8EMH8GTFRCSWKMPXRRL3Y","GSON1112150125")</f>
        <v>#NAME?</v>
      </c>
      <c r="F1830" s="28" t="e">
        <f ca="1">[1]!BexGetData("DP_1","003N8EMH8GTFRCSWKMPXRRRFI","GSON1112150125")</f>
        <v>#NAME?</v>
      </c>
      <c r="G1830" s="23" t="e">
        <f ca="1">[1]!BexGetData("DP_1","003N8EMH8GTFRCSWKMPXRRXR2","GSON1112150125")</f>
        <v>#NAME?</v>
      </c>
      <c r="H1830" s="23" t="e">
        <f ca="1">[1]!BexGetData("DP_1","003N8EMH8GTFRCSWKMPXRS42M","GSON1112150125")</f>
        <v>#NAME?</v>
      </c>
      <c r="I1830" s="28" t="e">
        <f ca="1">[1]!BexGetData("DP_1","003N8EMH8GTFRCSWKMPXRSAE6","GSON1112150125")</f>
        <v>#NAME?</v>
      </c>
      <c r="J1830" s="24" t="e">
        <f ca="1">[1]!BexGetData("DP_1","003N8EMH8GTFRCSWKMPXRSGPQ","GSON1112150125")</f>
        <v>#NAME?</v>
      </c>
      <c r="K1830" s="28" t="e">
        <f ca="1">[1]!BexGetData("DP_1","003N8EMH8GTFRIVNUPY288VJH","GSON1112150125")</f>
        <v>#NAME?</v>
      </c>
      <c r="L1830" s="28" t="e">
        <f ca="1">[1]!BexGetData("DP_1","003N8EMH8GTFRIVNUPY2891V1","GSON1112150125")</f>
        <v>#NAME?</v>
      </c>
      <c r="M1830" s="28" t="e">
        <f ca="1">[1]!BexGetData("DP_1","003N8EMH8GTFRIVOG7KG9IQXA","GSON1112150125")</f>
        <v>#NAME?</v>
      </c>
      <c r="N1830" s="28" t="e">
        <f ca="1">[1]!BexGetData("DP_1","003N8EMH8GTFRIVOG7KG9IX8U","GSON1112150125")</f>
        <v>#NAME?</v>
      </c>
      <c r="O1830" s="28" t="e">
        <f ca="1">[1]!BexGetData("DP_1","003N8EMH8GTFRIVOG7KG9J3KE","GSON1112150125")</f>
        <v>#NAME?</v>
      </c>
      <c r="P1830" s="28" t="e">
        <f ca="1">[1]!BexGetData("DP_1","003N8EMH8GTFRIVOG7KG9J9VY","GSON1112150125")</f>
        <v>#NAME?</v>
      </c>
      <c r="Q1830" s="24" t="e">
        <f ca="1">[1]!BexGetData("DP_1","00O2TNJGODT0G5Z4TTKYMM5MT","GSON1112150125")</f>
        <v>#NAME?</v>
      </c>
      <c r="R1830" s="28" t="e">
        <f ca="1">[1]!BexGetData("DP_1","00O2TNJGODT0G5Z4TTKYMMBYD","GSON1112150125")</f>
        <v>#NAME?</v>
      </c>
      <c r="S1830" s="28" t="e">
        <f ca="1">[1]!BexGetData("DP_1","00O2TNJGODT0G5Z4TTKYMMI9X","GSON1112150125")</f>
        <v>#NAME?</v>
      </c>
      <c r="T1830" s="28" t="e">
        <f ca="1">[1]!BexGetData("DP_1","00O2TNJGODT0G5Z4TTKYMMOLH","GSON1112150125")</f>
        <v>#NAME?</v>
      </c>
      <c r="U1830" s="28" t="e">
        <f ca="1">[1]!BexGetData("DP_1","00O2TNJGODT0G5Z4TTKYMMUX1","GSON1112150125")</f>
        <v>#NAME?</v>
      </c>
      <c r="V1830" s="28" t="e">
        <f ca="1">[1]!BexGetData("DP_1","00O2TNJGODT0G5Z4TTKYMN18L","GSON1112150125")</f>
        <v>#NAME?</v>
      </c>
      <c r="W1830" s="28" t="e">
        <f ca="1">[1]!BexGetData("DP_1","00O2TNJGODT0G5Z4TTKYMN7K5","GSON1112150125")</f>
        <v>#NAME?</v>
      </c>
    </row>
    <row r="1831" spans="1:23" x14ac:dyDescent="0.2">
      <c r="A1831" s="36" t="s">
        <v>4705</v>
      </c>
      <c r="B1831" s="27" t="s">
        <v>4706</v>
      </c>
      <c r="C1831" s="23" t="e">
        <f ca="1">[1]!BexGetData("DP_1","003N8EMH8GTFRCSWKMPXRR8GU","GSON1112150130")</f>
        <v>#NAME?</v>
      </c>
      <c r="D1831" s="28" t="e">
        <f ca="1">[1]!BexGetData("DP_1","003N8EMH8GTFRCSWKMPXRRESE","GSON1112150130")</f>
        <v>#NAME?</v>
      </c>
      <c r="E1831" s="23" t="e">
        <f ca="1">[1]!BexGetData("DP_1","003N8EMH8GTFRCSWKMPXRRL3Y","GSON1112150130")</f>
        <v>#NAME?</v>
      </c>
      <c r="F1831" s="23" t="e">
        <f ca="1">[1]!BexGetData("DP_1","003N8EMH8GTFRCSWKMPXRRRFI","GSON1112150130")</f>
        <v>#NAME?</v>
      </c>
      <c r="G1831" s="23" t="e">
        <f ca="1">[1]!BexGetData("DP_1","003N8EMH8GTFRCSWKMPXRRXR2","GSON1112150130")</f>
        <v>#NAME?</v>
      </c>
      <c r="H1831" s="23" t="e">
        <f ca="1">[1]!BexGetData("DP_1","003N8EMH8GTFRCSWKMPXRS42M","GSON1112150130")</f>
        <v>#NAME?</v>
      </c>
      <c r="I1831" s="23" t="e">
        <f ca="1">[1]!BexGetData("DP_1","003N8EMH8GTFRCSWKMPXRSAE6","GSON1112150130")</f>
        <v>#NAME?</v>
      </c>
      <c r="J1831" s="23" t="e">
        <f ca="1">[1]!BexGetData("DP_1","003N8EMH8GTFRCSWKMPXRSGPQ","GSON1112150130")</f>
        <v>#NAME?</v>
      </c>
      <c r="K1831" s="23" t="e">
        <f ca="1">[1]!BexGetData("DP_1","003N8EMH8GTFRIVNUPY288VJH","GSON1112150130")</f>
        <v>#NAME?</v>
      </c>
      <c r="L1831" s="23" t="e">
        <f ca="1">[1]!BexGetData("DP_1","003N8EMH8GTFRIVNUPY2891V1","GSON1112150130")</f>
        <v>#NAME?</v>
      </c>
      <c r="M1831" s="28" t="e">
        <f ca="1">[1]!BexGetData("DP_1","003N8EMH8GTFRIVOG7KG9IQXA","GSON1112150130")</f>
        <v>#NAME?</v>
      </c>
      <c r="N1831" s="23" t="e">
        <f ca="1">[1]!BexGetData("DP_1","003N8EMH8GTFRIVOG7KG9IX8U","GSON1112150130")</f>
        <v>#NAME?</v>
      </c>
      <c r="O1831" s="28" t="e">
        <f ca="1">[1]!BexGetData("DP_1","003N8EMH8GTFRIVOG7KG9J3KE","GSON1112150130")</f>
        <v>#NAME?</v>
      </c>
      <c r="P1831" s="23" t="e">
        <f ca="1">[1]!BexGetData("DP_1","003N8EMH8GTFRIVOG7KG9J9VY","GSON1112150130")</f>
        <v>#NAME?</v>
      </c>
      <c r="Q1831" s="23" t="e">
        <f ca="1">[1]!BexGetData("DP_1","00O2TNJGODT0G5Z4TTKYMM5MT","GSON1112150130")</f>
        <v>#NAME?</v>
      </c>
      <c r="R1831" s="23" t="e">
        <f ca="1">[1]!BexGetData("DP_1","00O2TNJGODT0G5Z4TTKYMMBYD","GSON1112150130")</f>
        <v>#NAME?</v>
      </c>
      <c r="S1831" s="23" t="e">
        <f ca="1">[1]!BexGetData("DP_1","00O2TNJGODT0G5Z4TTKYMMI9X","GSON1112150130")</f>
        <v>#NAME?</v>
      </c>
      <c r="T1831" s="23" t="e">
        <f ca="1">[1]!BexGetData("DP_1","00O2TNJGODT0G5Z4TTKYMMOLH","GSON1112150130")</f>
        <v>#NAME?</v>
      </c>
      <c r="U1831" s="28" t="e">
        <f ca="1">[1]!BexGetData("DP_1","00O2TNJGODT0G5Z4TTKYMMUX1","GSON1112150130")</f>
        <v>#NAME?</v>
      </c>
      <c r="V1831" s="23" t="e">
        <f ca="1">[1]!BexGetData("DP_1","00O2TNJGODT0G5Z4TTKYMN18L","GSON1112150130")</f>
        <v>#NAME?</v>
      </c>
      <c r="W1831" s="28" t="e">
        <f ca="1">[1]!BexGetData("DP_1","00O2TNJGODT0G5Z4TTKYMN7K5","GSON1112150130")</f>
        <v>#NAME?</v>
      </c>
    </row>
    <row r="1832" spans="1:23" x14ac:dyDescent="0.2">
      <c r="A1832" s="36" t="s">
        <v>4707</v>
      </c>
      <c r="B1832" s="27" t="s">
        <v>4708</v>
      </c>
      <c r="C1832" s="24" t="e">
        <f ca="1">[1]!BexGetData("DP_1","003N8EMH8GTFRCSWKMPXRR8GU","GSON1112150134")</f>
        <v>#NAME?</v>
      </c>
      <c r="D1832" s="24" t="e">
        <f ca="1">[1]!BexGetData("DP_1","003N8EMH8GTFRCSWKMPXRRESE","GSON1112150134")</f>
        <v>#NAME?</v>
      </c>
      <c r="E1832" s="24" t="e">
        <f ca="1">[1]!BexGetData("DP_1","003N8EMH8GTFRCSWKMPXRRL3Y","GSON1112150134")</f>
        <v>#NAME?</v>
      </c>
      <c r="F1832" s="28" t="e">
        <f ca="1">[1]!BexGetData("DP_1","003N8EMH8GTFRCSWKMPXRRRFI","GSON1112150134")</f>
        <v>#NAME?</v>
      </c>
      <c r="G1832" s="23" t="e">
        <f ca="1">[1]!BexGetData("DP_1","003N8EMH8GTFRCSWKMPXRRXR2","GSON1112150134")</f>
        <v>#NAME?</v>
      </c>
      <c r="H1832" s="23" t="e">
        <f ca="1">[1]!BexGetData("DP_1","003N8EMH8GTFRCSWKMPXRS42M","GSON1112150134")</f>
        <v>#NAME?</v>
      </c>
      <c r="I1832" s="28" t="e">
        <f ca="1">[1]!BexGetData("DP_1","003N8EMH8GTFRCSWKMPXRSAE6","GSON1112150134")</f>
        <v>#NAME?</v>
      </c>
      <c r="J1832" s="24" t="e">
        <f ca="1">[1]!BexGetData("DP_1","003N8EMH8GTFRCSWKMPXRSGPQ","GSON1112150134")</f>
        <v>#NAME?</v>
      </c>
      <c r="K1832" s="28" t="e">
        <f ca="1">[1]!BexGetData("DP_1","003N8EMH8GTFRIVNUPY288VJH","GSON1112150134")</f>
        <v>#NAME?</v>
      </c>
      <c r="L1832" s="28" t="e">
        <f ca="1">[1]!BexGetData("DP_1","003N8EMH8GTFRIVNUPY2891V1","GSON1112150134")</f>
        <v>#NAME?</v>
      </c>
      <c r="M1832" s="28" t="e">
        <f ca="1">[1]!BexGetData("DP_1","003N8EMH8GTFRIVOG7KG9IQXA","GSON1112150134")</f>
        <v>#NAME?</v>
      </c>
      <c r="N1832" s="28" t="e">
        <f ca="1">[1]!BexGetData("DP_1","003N8EMH8GTFRIVOG7KG9IX8U","GSON1112150134")</f>
        <v>#NAME?</v>
      </c>
      <c r="O1832" s="28" t="e">
        <f ca="1">[1]!BexGetData("DP_1","003N8EMH8GTFRIVOG7KG9J3KE","GSON1112150134")</f>
        <v>#NAME?</v>
      </c>
      <c r="P1832" s="28" t="e">
        <f ca="1">[1]!BexGetData("DP_1","003N8EMH8GTFRIVOG7KG9J9VY","GSON1112150134")</f>
        <v>#NAME?</v>
      </c>
      <c r="Q1832" s="24" t="e">
        <f ca="1">[1]!BexGetData("DP_1","00O2TNJGODT0G5Z4TTKYMM5MT","GSON1112150134")</f>
        <v>#NAME?</v>
      </c>
      <c r="R1832" s="28" t="e">
        <f ca="1">[1]!BexGetData("DP_1","00O2TNJGODT0G5Z4TTKYMMBYD","GSON1112150134")</f>
        <v>#NAME?</v>
      </c>
      <c r="S1832" s="28" t="e">
        <f ca="1">[1]!BexGetData("DP_1","00O2TNJGODT0G5Z4TTKYMMI9X","GSON1112150134")</f>
        <v>#NAME?</v>
      </c>
      <c r="T1832" s="28" t="e">
        <f ca="1">[1]!BexGetData("DP_1","00O2TNJGODT0G5Z4TTKYMMOLH","GSON1112150134")</f>
        <v>#NAME?</v>
      </c>
      <c r="U1832" s="28" t="e">
        <f ca="1">[1]!BexGetData("DP_1","00O2TNJGODT0G5Z4TTKYMMUX1","GSON1112150134")</f>
        <v>#NAME?</v>
      </c>
      <c r="V1832" s="28" t="e">
        <f ca="1">[1]!BexGetData("DP_1","00O2TNJGODT0G5Z4TTKYMN18L","GSON1112150134")</f>
        <v>#NAME?</v>
      </c>
      <c r="W1832" s="28" t="e">
        <f ca="1">[1]!BexGetData("DP_1","00O2TNJGODT0G5Z4TTKYMN7K5","GSON1112150134")</f>
        <v>#NAME?</v>
      </c>
    </row>
    <row r="1833" spans="1:23" x14ac:dyDescent="0.2">
      <c r="A1833" s="36" t="s">
        <v>4709</v>
      </c>
      <c r="B1833" s="27" t="s">
        <v>4710</v>
      </c>
      <c r="C1833" s="23" t="e">
        <f ca="1">[1]!BexGetData("DP_1","003N8EMH8GTFRCSWKMPXRR8GU","GSON1112150135")</f>
        <v>#NAME?</v>
      </c>
      <c r="D1833" s="23" t="e">
        <f ca="1">[1]!BexGetData("DP_1","003N8EMH8GTFRCSWKMPXRRESE","GSON1112150135")</f>
        <v>#NAME?</v>
      </c>
      <c r="E1833" s="28" t="e">
        <f ca="1">[1]!BexGetData("DP_1","003N8EMH8GTFRCSWKMPXRRL3Y","GSON1112150135")</f>
        <v>#NAME?</v>
      </c>
      <c r="F1833" s="28" t="e">
        <f ca="1">[1]!BexGetData("DP_1","003N8EMH8GTFRCSWKMPXRRRFI","GSON1112150135")</f>
        <v>#NAME?</v>
      </c>
      <c r="G1833" s="23" t="e">
        <f ca="1">[1]!BexGetData("DP_1","003N8EMH8GTFRCSWKMPXRRXR2","GSON1112150135")</f>
        <v>#NAME?</v>
      </c>
      <c r="H1833" s="23" t="e">
        <f ca="1">[1]!BexGetData("DP_1","003N8EMH8GTFRCSWKMPXRS42M","GSON1112150135")</f>
        <v>#NAME?</v>
      </c>
      <c r="I1833" s="28" t="e">
        <f ca="1">[1]!BexGetData("DP_1","003N8EMH8GTFRCSWKMPXRSAE6","GSON1112150135")</f>
        <v>#NAME?</v>
      </c>
      <c r="J1833" s="24" t="e">
        <f ca="1">[1]!BexGetData("DP_1","003N8EMH8GTFRCSWKMPXRSGPQ","GSON1112150135")</f>
        <v>#NAME?</v>
      </c>
      <c r="K1833" s="28" t="e">
        <f ca="1">[1]!BexGetData("DP_1","003N8EMH8GTFRIVNUPY288VJH","GSON1112150135")</f>
        <v>#NAME?</v>
      </c>
      <c r="L1833" s="28" t="e">
        <f ca="1">[1]!BexGetData("DP_1","003N8EMH8GTFRIVNUPY2891V1","GSON1112150135")</f>
        <v>#NAME?</v>
      </c>
      <c r="M1833" s="28" t="e">
        <f ca="1">[1]!BexGetData("DP_1","003N8EMH8GTFRIVOG7KG9IQXA","GSON1112150135")</f>
        <v>#NAME?</v>
      </c>
      <c r="N1833" s="28" t="e">
        <f ca="1">[1]!BexGetData("DP_1","003N8EMH8GTFRIVOG7KG9IX8U","GSON1112150135")</f>
        <v>#NAME?</v>
      </c>
      <c r="O1833" s="28" t="e">
        <f ca="1">[1]!BexGetData("DP_1","003N8EMH8GTFRIVOG7KG9J3KE","GSON1112150135")</f>
        <v>#NAME?</v>
      </c>
      <c r="P1833" s="28" t="e">
        <f ca="1">[1]!BexGetData("DP_1","003N8EMH8GTFRIVOG7KG9J9VY","GSON1112150135")</f>
        <v>#NAME?</v>
      </c>
      <c r="Q1833" s="24" t="e">
        <f ca="1">[1]!BexGetData("DP_1","00O2TNJGODT0G5Z4TTKYMM5MT","GSON1112150135")</f>
        <v>#NAME?</v>
      </c>
      <c r="R1833" s="28" t="e">
        <f ca="1">[1]!BexGetData("DP_1","00O2TNJGODT0G5Z4TTKYMMBYD","GSON1112150135")</f>
        <v>#NAME?</v>
      </c>
      <c r="S1833" s="28" t="e">
        <f ca="1">[1]!BexGetData("DP_1","00O2TNJGODT0G5Z4TTKYMMI9X","GSON1112150135")</f>
        <v>#NAME?</v>
      </c>
      <c r="T1833" s="28" t="e">
        <f ca="1">[1]!BexGetData("DP_1","00O2TNJGODT0G5Z4TTKYMMOLH","GSON1112150135")</f>
        <v>#NAME?</v>
      </c>
      <c r="U1833" s="28" t="e">
        <f ca="1">[1]!BexGetData("DP_1","00O2TNJGODT0G5Z4TTKYMMUX1","GSON1112150135")</f>
        <v>#NAME?</v>
      </c>
      <c r="V1833" s="28" t="e">
        <f ca="1">[1]!BexGetData("DP_1","00O2TNJGODT0G5Z4TTKYMN18L","GSON1112150135")</f>
        <v>#NAME?</v>
      </c>
      <c r="W1833" s="28" t="e">
        <f ca="1">[1]!BexGetData("DP_1","00O2TNJGODT0G5Z4TTKYMN7K5","GSON1112150135")</f>
        <v>#NAME?</v>
      </c>
    </row>
    <row r="1834" spans="1:23" x14ac:dyDescent="0.2">
      <c r="A1834" s="36" t="s">
        <v>4711</v>
      </c>
      <c r="B1834" s="27" t="s">
        <v>4712</v>
      </c>
      <c r="C1834" s="23" t="e">
        <f ca="1">[1]!BexGetData("DP_1","003N8EMH8GTFRCSWKMPXRR8GU","GSON1112150140")</f>
        <v>#NAME?</v>
      </c>
      <c r="D1834" s="28" t="e">
        <f ca="1">[1]!BexGetData("DP_1","003N8EMH8GTFRCSWKMPXRRESE","GSON1112150140")</f>
        <v>#NAME?</v>
      </c>
      <c r="E1834" s="23" t="e">
        <f ca="1">[1]!BexGetData("DP_1","003N8EMH8GTFRCSWKMPXRRL3Y","GSON1112150140")</f>
        <v>#NAME?</v>
      </c>
      <c r="F1834" s="23" t="e">
        <f ca="1">[1]!BexGetData("DP_1","003N8EMH8GTFRCSWKMPXRRRFI","GSON1112150140")</f>
        <v>#NAME?</v>
      </c>
      <c r="G1834" s="23" t="e">
        <f ca="1">[1]!BexGetData("DP_1","003N8EMH8GTFRCSWKMPXRRXR2","GSON1112150140")</f>
        <v>#NAME?</v>
      </c>
      <c r="H1834" s="23" t="e">
        <f ca="1">[1]!BexGetData("DP_1","003N8EMH8GTFRCSWKMPXRS42M","GSON1112150140")</f>
        <v>#NAME?</v>
      </c>
      <c r="I1834" s="23" t="e">
        <f ca="1">[1]!BexGetData("DP_1","003N8EMH8GTFRCSWKMPXRSAE6","GSON1112150140")</f>
        <v>#NAME?</v>
      </c>
      <c r="J1834" s="23" t="e">
        <f ca="1">[1]!BexGetData("DP_1","003N8EMH8GTFRCSWKMPXRSGPQ","GSON1112150140")</f>
        <v>#NAME?</v>
      </c>
      <c r="K1834" s="23" t="e">
        <f ca="1">[1]!BexGetData("DP_1","003N8EMH8GTFRIVNUPY288VJH","GSON1112150140")</f>
        <v>#NAME?</v>
      </c>
      <c r="L1834" s="23" t="e">
        <f ca="1">[1]!BexGetData("DP_1","003N8EMH8GTFRIVNUPY2891V1","GSON1112150140")</f>
        <v>#NAME?</v>
      </c>
      <c r="M1834" s="28" t="e">
        <f ca="1">[1]!BexGetData("DP_1","003N8EMH8GTFRIVOG7KG9IQXA","GSON1112150140")</f>
        <v>#NAME?</v>
      </c>
      <c r="N1834" s="23" t="e">
        <f ca="1">[1]!BexGetData("DP_1","003N8EMH8GTFRIVOG7KG9IX8U","GSON1112150140")</f>
        <v>#NAME?</v>
      </c>
      <c r="O1834" s="28" t="e">
        <f ca="1">[1]!BexGetData("DP_1","003N8EMH8GTFRIVOG7KG9J3KE","GSON1112150140")</f>
        <v>#NAME?</v>
      </c>
      <c r="P1834" s="23" t="e">
        <f ca="1">[1]!BexGetData("DP_1","003N8EMH8GTFRIVOG7KG9J9VY","GSON1112150140")</f>
        <v>#NAME?</v>
      </c>
      <c r="Q1834" s="23" t="e">
        <f ca="1">[1]!BexGetData("DP_1","00O2TNJGODT0G5Z4TTKYMM5MT","GSON1112150140")</f>
        <v>#NAME?</v>
      </c>
      <c r="R1834" s="23" t="e">
        <f ca="1">[1]!BexGetData("DP_1","00O2TNJGODT0G5Z4TTKYMMBYD","GSON1112150140")</f>
        <v>#NAME?</v>
      </c>
      <c r="S1834" s="23" t="e">
        <f ca="1">[1]!BexGetData("DP_1","00O2TNJGODT0G5Z4TTKYMMI9X","GSON1112150140")</f>
        <v>#NAME?</v>
      </c>
      <c r="T1834" s="23" t="e">
        <f ca="1">[1]!BexGetData("DP_1","00O2TNJGODT0G5Z4TTKYMMOLH","GSON1112150140")</f>
        <v>#NAME?</v>
      </c>
      <c r="U1834" s="28" t="e">
        <f ca="1">[1]!BexGetData("DP_1","00O2TNJGODT0G5Z4TTKYMMUX1","GSON1112150140")</f>
        <v>#NAME?</v>
      </c>
      <c r="V1834" s="23" t="e">
        <f ca="1">[1]!BexGetData("DP_1","00O2TNJGODT0G5Z4TTKYMN18L","GSON1112150140")</f>
        <v>#NAME?</v>
      </c>
      <c r="W1834" s="28" t="e">
        <f ca="1">[1]!BexGetData("DP_1","00O2TNJGODT0G5Z4TTKYMN7K5","GSON1112150140")</f>
        <v>#NAME?</v>
      </c>
    </row>
    <row r="1835" spans="1:23" x14ac:dyDescent="0.2">
      <c r="A1835" s="36" t="s">
        <v>4713</v>
      </c>
      <c r="B1835" s="27" t="s">
        <v>4714</v>
      </c>
      <c r="C1835" s="24" t="e">
        <f ca="1">[1]!BexGetData("DP_1","003N8EMH8GTFRCSWKMPXRR8GU","GSON1112150141")</f>
        <v>#NAME?</v>
      </c>
      <c r="D1835" s="24" t="e">
        <f ca="1">[1]!BexGetData("DP_1","003N8EMH8GTFRCSWKMPXRRESE","GSON1112150141")</f>
        <v>#NAME?</v>
      </c>
      <c r="E1835" s="24" t="e">
        <f ca="1">[1]!BexGetData("DP_1","003N8EMH8GTFRCSWKMPXRRL3Y","GSON1112150141")</f>
        <v>#NAME?</v>
      </c>
      <c r="F1835" s="28" t="e">
        <f ca="1">[1]!BexGetData("DP_1","003N8EMH8GTFRCSWKMPXRRRFI","GSON1112150141")</f>
        <v>#NAME?</v>
      </c>
      <c r="G1835" s="23" t="e">
        <f ca="1">[1]!BexGetData("DP_1","003N8EMH8GTFRCSWKMPXRRXR2","GSON1112150141")</f>
        <v>#NAME?</v>
      </c>
      <c r="H1835" s="23" t="e">
        <f ca="1">[1]!BexGetData("DP_1","003N8EMH8GTFRCSWKMPXRS42M","GSON1112150141")</f>
        <v>#NAME?</v>
      </c>
      <c r="I1835" s="28" t="e">
        <f ca="1">[1]!BexGetData("DP_1","003N8EMH8GTFRCSWKMPXRSAE6","GSON1112150141")</f>
        <v>#NAME?</v>
      </c>
      <c r="J1835" s="24" t="e">
        <f ca="1">[1]!BexGetData("DP_1","003N8EMH8GTFRCSWKMPXRSGPQ","GSON1112150141")</f>
        <v>#NAME?</v>
      </c>
      <c r="K1835" s="28" t="e">
        <f ca="1">[1]!BexGetData("DP_1","003N8EMH8GTFRIVNUPY288VJH","GSON1112150141")</f>
        <v>#NAME?</v>
      </c>
      <c r="L1835" s="28" t="e">
        <f ca="1">[1]!BexGetData("DP_1","003N8EMH8GTFRIVNUPY2891V1","GSON1112150141")</f>
        <v>#NAME?</v>
      </c>
      <c r="M1835" s="28" t="e">
        <f ca="1">[1]!BexGetData("DP_1","003N8EMH8GTFRIVOG7KG9IQXA","GSON1112150141")</f>
        <v>#NAME?</v>
      </c>
      <c r="N1835" s="28" t="e">
        <f ca="1">[1]!BexGetData("DP_1","003N8EMH8GTFRIVOG7KG9IX8U","GSON1112150141")</f>
        <v>#NAME?</v>
      </c>
      <c r="O1835" s="28" t="e">
        <f ca="1">[1]!BexGetData("DP_1","003N8EMH8GTFRIVOG7KG9J3KE","GSON1112150141")</f>
        <v>#NAME?</v>
      </c>
      <c r="P1835" s="28" t="e">
        <f ca="1">[1]!BexGetData("DP_1","003N8EMH8GTFRIVOG7KG9J9VY","GSON1112150141")</f>
        <v>#NAME?</v>
      </c>
      <c r="Q1835" s="24" t="e">
        <f ca="1">[1]!BexGetData("DP_1","00O2TNJGODT0G5Z4TTKYMM5MT","GSON1112150141")</f>
        <v>#NAME?</v>
      </c>
      <c r="R1835" s="28" t="e">
        <f ca="1">[1]!BexGetData("DP_1","00O2TNJGODT0G5Z4TTKYMMBYD","GSON1112150141")</f>
        <v>#NAME?</v>
      </c>
      <c r="S1835" s="28" t="e">
        <f ca="1">[1]!BexGetData("DP_1","00O2TNJGODT0G5Z4TTKYMMI9X","GSON1112150141")</f>
        <v>#NAME?</v>
      </c>
      <c r="T1835" s="28" t="e">
        <f ca="1">[1]!BexGetData("DP_1","00O2TNJGODT0G5Z4TTKYMMOLH","GSON1112150141")</f>
        <v>#NAME?</v>
      </c>
      <c r="U1835" s="28" t="e">
        <f ca="1">[1]!BexGetData("DP_1","00O2TNJGODT0G5Z4TTKYMMUX1","GSON1112150141")</f>
        <v>#NAME?</v>
      </c>
      <c r="V1835" s="28" t="e">
        <f ca="1">[1]!BexGetData("DP_1","00O2TNJGODT0G5Z4TTKYMN18L","GSON1112150141")</f>
        <v>#NAME?</v>
      </c>
      <c r="W1835" s="28" t="e">
        <f ca="1">[1]!BexGetData("DP_1","00O2TNJGODT0G5Z4TTKYMN7K5","GSON1112150141")</f>
        <v>#NAME?</v>
      </c>
    </row>
    <row r="1836" spans="1:23" x14ac:dyDescent="0.2">
      <c r="A1836" s="36" t="s">
        <v>4715</v>
      </c>
      <c r="B1836" s="27" t="s">
        <v>4716</v>
      </c>
      <c r="C1836" s="24" t="e">
        <f ca="1">[1]!BexGetData("DP_1","003N8EMH8GTFRCSWKMPXRR8GU","GSON1112150144")</f>
        <v>#NAME?</v>
      </c>
      <c r="D1836" s="24" t="e">
        <f ca="1">[1]!BexGetData("DP_1","003N8EMH8GTFRCSWKMPXRRESE","GSON1112150144")</f>
        <v>#NAME?</v>
      </c>
      <c r="E1836" s="24" t="e">
        <f ca="1">[1]!BexGetData("DP_1","003N8EMH8GTFRCSWKMPXRRL3Y","GSON1112150144")</f>
        <v>#NAME?</v>
      </c>
      <c r="F1836" s="28" t="e">
        <f ca="1">[1]!BexGetData("DP_1","003N8EMH8GTFRCSWKMPXRRRFI","GSON1112150144")</f>
        <v>#NAME?</v>
      </c>
      <c r="G1836" s="23" t="e">
        <f ca="1">[1]!BexGetData("DP_1","003N8EMH8GTFRCSWKMPXRRXR2","GSON1112150144")</f>
        <v>#NAME?</v>
      </c>
      <c r="H1836" s="23" t="e">
        <f ca="1">[1]!BexGetData("DP_1","003N8EMH8GTFRCSWKMPXRS42M","GSON1112150144")</f>
        <v>#NAME?</v>
      </c>
      <c r="I1836" s="28" t="e">
        <f ca="1">[1]!BexGetData("DP_1","003N8EMH8GTFRCSWKMPXRSAE6","GSON1112150144")</f>
        <v>#NAME?</v>
      </c>
      <c r="J1836" s="24" t="e">
        <f ca="1">[1]!BexGetData("DP_1","003N8EMH8GTFRCSWKMPXRSGPQ","GSON1112150144")</f>
        <v>#NAME?</v>
      </c>
      <c r="K1836" s="28" t="e">
        <f ca="1">[1]!BexGetData("DP_1","003N8EMH8GTFRIVNUPY288VJH","GSON1112150144")</f>
        <v>#NAME?</v>
      </c>
      <c r="L1836" s="28" t="e">
        <f ca="1">[1]!BexGetData("DP_1","003N8EMH8GTFRIVNUPY2891V1","GSON1112150144")</f>
        <v>#NAME?</v>
      </c>
      <c r="M1836" s="28" t="e">
        <f ca="1">[1]!BexGetData("DP_1","003N8EMH8GTFRIVOG7KG9IQXA","GSON1112150144")</f>
        <v>#NAME?</v>
      </c>
      <c r="N1836" s="28" t="e">
        <f ca="1">[1]!BexGetData("DP_1","003N8EMH8GTFRIVOG7KG9IX8U","GSON1112150144")</f>
        <v>#NAME?</v>
      </c>
      <c r="O1836" s="28" t="e">
        <f ca="1">[1]!BexGetData("DP_1","003N8EMH8GTFRIVOG7KG9J3KE","GSON1112150144")</f>
        <v>#NAME?</v>
      </c>
      <c r="P1836" s="28" t="e">
        <f ca="1">[1]!BexGetData("DP_1","003N8EMH8GTFRIVOG7KG9J9VY","GSON1112150144")</f>
        <v>#NAME?</v>
      </c>
      <c r="Q1836" s="24" t="e">
        <f ca="1">[1]!BexGetData("DP_1","00O2TNJGODT0G5Z4TTKYMM5MT","GSON1112150144")</f>
        <v>#NAME?</v>
      </c>
      <c r="R1836" s="28" t="e">
        <f ca="1">[1]!BexGetData("DP_1","00O2TNJGODT0G5Z4TTKYMMBYD","GSON1112150144")</f>
        <v>#NAME?</v>
      </c>
      <c r="S1836" s="28" t="e">
        <f ca="1">[1]!BexGetData("DP_1","00O2TNJGODT0G5Z4TTKYMMI9X","GSON1112150144")</f>
        <v>#NAME?</v>
      </c>
      <c r="T1836" s="28" t="e">
        <f ca="1">[1]!BexGetData("DP_1","00O2TNJGODT0G5Z4TTKYMMOLH","GSON1112150144")</f>
        <v>#NAME?</v>
      </c>
      <c r="U1836" s="28" t="e">
        <f ca="1">[1]!BexGetData("DP_1","00O2TNJGODT0G5Z4TTKYMMUX1","GSON1112150144")</f>
        <v>#NAME?</v>
      </c>
      <c r="V1836" s="28" t="e">
        <f ca="1">[1]!BexGetData("DP_1","00O2TNJGODT0G5Z4TTKYMN18L","GSON1112150144")</f>
        <v>#NAME?</v>
      </c>
      <c r="W1836" s="28" t="e">
        <f ca="1">[1]!BexGetData("DP_1","00O2TNJGODT0G5Z4TTKYMN7K5","GSON1112150144")</f>
        <v>#NAME?</v>
      </c>
    </row>
    <row r="1837" spans="1:23" x14ac:dyDescent="0.2">
      <c r="A1837" s="36" t="s">
        <v>4717</v>
      </c>
      <c r="B1837" s="27" t="s">
        <v>4718</v>
      </c>
      <c r="C1837" s="23" t="e">
        <f ca="1">[1]!BexGetData("DP_1","003N8EMH8GTFRCSWKMPXRR8GU","GSON1112150145")</f>
        <v>#NAME?</v>
      </c>
      <c r="D1837" s="23" t="e">
        <f ca="1">[1]!BexGetData("DP_1","003N8EMH8GTFRCSWKMPXRRESE","GSON1112150145")</f>
        <v>#NAME?</v>
      </c>
      <c r="E1837" s="28" t="e">
        <f ca="1">[1]!BexGetData("DP_1","003N8EMH8GTFRCSWKMPXRRL3Y","GSON1112150145")</f>
        <v>#NAME?</v>
      </c>
      <c r="F1837" s="28" t="e">
        <f ca="1">[1]!BexGetData("DP_1","003N8EMH8GTFRCSWKMPXRRRFI","GSON1112150145")</f>
        <v>#NAME?</v>
      </c>
      <c r="G1837" s="23" t="e">
        <f ca="1">[1]!BexGetData("DP_1","003N8EMH8GTFRCSWKMPXRRXR2","GSON1112150145")</f>
        <v>#NAME?</v>
      </c>
      <c r="H1837" s="23" t="e">
        <f ca="1">[1]!BexGetData("DP_1","003N8EMH8GTFRCSWKMPXRS42M","GSON1112150145")</f>
        <v>#NAME?</v>
      </c>
      <c r="I1837" s="28" t="e">
        <f ca="1">[1]!BexGetData("DP_1","003N8EMH8GTFRCSWKMPXRSAE6","GSON1112150145")</f>
        <v>#NAME?</v>
      </c>
      <c r="J1837" s="24" t="e">
        <f ca="1">[1]!BexGetData("DP_1","003N8EMH8GTFRCSWKMPXRSGPQ","GSON1112150145")</f>
        <v>#NAME?</v>
      </c>
      <c r="K1837" s="28" t="e">
        <f ca="1">[1]!BexGetData("DP_1","003N8EMH8GTFRIVNUPY288VJH","GSON1112150145")</f>
        <v>#NAME?</v>
      </c>
      <c r="L1837" s="28" t="e">
        <f ca="1">[1]!BexGetData("DP_1","003N8EMH8GTFRIVNUPY2891V1","GSON1112150145")</f>
        <v>#NAME?</v>
      </c>
      <c r="M1837" s="28" t="e">
        <f ca="1">[1]!BexGetData("DP_1","003N8EMH8GTFRIVOG7KG9IQXA","GSON1112150145")</f>
        <v>#NAME?</v>
      </c>
      <c r="N1837" s="28" t="e">
        <f ca="1">[1]!BexGetData("DP_1","003N8EMH8GTFRIVOG7KG9IX8U","GSON1112150145")</f>
        <v>#NAME?</v>
      </c>
      <c r="O1837" s="28" t="e">
        <f ca="1">[1]!BexGetData("DP_1","003N8EMH8GTFRIVOG7KG9J3KE","GSON1112150145")</f>
        <v>#NAME?</v>
      </c>
      <c r="P1837" s="28" t="e">
        <f ca="1">[1]!BexGetData("DP_1","003N8EMH8GTFRIVOG7KG9J9VY","GSON1112150145")</f>
        <v>#NAME?</v>
      </c>
      <c r="Q1837" s="24" t="e">
        <f ca="1">[1]!BexGetData("DP_1","00O2TNJGODT0G5Z4TTKYMM5MT","GSON1112150145")</f>
        <v>#NAME?</v>
      </c>
      <c r="R1837" s="28" t="e">
        <f ca="1">[1]!BexGetData("DP_1","00O2TNJGODT0G5Z4TTKYMMBYD","GSON1112150145")</f>
        <v>#NAME?</v>
      </c>
      <c r="S1837" s="28" t="e">
        <f ca="1">[1]!BexGetData("DP_1","00O2TNJGODT0G5Z4TTKYMMI9X","GSON1112150145")</f>
        <v>#NAME?</v>
      </c>
      <c r="T1837" s="28" t="e">
        <f ca="1">[1]!BexGetData("DP_1","00O2TNJGODT0G5Z4TTKYMMOLH","GSON1112150145")</f>
        <v>#NAME?</v>
      </c>
      <c r="U1837" s="28" t="e">
        <f ca="1">[1]!BexGetData("DP_1","00O2TNJGODT0G5Z4TTKYMMUX1","GSON1112150145")</f>
        <v>#NAME?</v>
      </c>
      <c r="V1837" s="28" t="e">
        <f ca="1">[1]!BexGetData("DP_1","00O2TNJGODT0G5Z4TTKYMN18L","GSON1112150145")</f>
        <v>#NAME?</v>
      </c>
      <c r="W1837" s="28" t="e">
        <f ca="1">[1]!BexGetData("DP_1","00O2TNJGODT0G5Z4TTKYMN7K5","GSON1112150145")</f>
        <v>#NAME?</v>
      </c>
    </row>
    <row r="1838" spans="1:23" x14ac:dyDescent="0.2">
      <c r="A1838" s="36" t="s">
        <v>4719</v>
      </c>
      <c r="B1838" s="27" t="s">
        <v>4720</v>
      </c>
      <c r="C1838" s="23" t="e">
        <f ca="1">[1]!BexGetData("DP_1","003N8EMH8GTFRCSWKMPXRR8GU","GSON1112150150")</f>
        <v>#NAME?</v>
      </c>
      <c r="D1838" s="23" t="e">
        <f ca="1">[1]!BexGetData("DP_1","003N8EMH8GTFRCSWKMPXRRESE","GSON1112150150")</f>
        <v>#NAME?</v>
      </c>
      <c r="E1838" s="28" t="e">
        <f ca="1">[1]!BexGetData("DP_1","003N8EMH8GTFRCSWKMPXRRL3Y","GSON1112150150")</f>
        <v>#NAME?</v>
      </c>
      <c r="F1838" s="23" t="e">
        <f ca="1">[1]!BexGetData("DP_1","003N8EMH8GTFRCSWKMPXRRRFI","GSON1112150150")</f>
        <v>#NAME?</v>
      </c>
      <c r="G1838" s="23" t="e">
        <f ca="1">[1]!BexGetData("DP_1","003N8EMH8GTFRCSWKMPXRRXR2","GSON1112150150")</f>
        <v>#NAME?</v>
      </c>
      <c r="H1838" s="23" t="e">
        <f ca="1">[1]!BexGetData("DP_1","003N8EMH8GTFRCSWKMPXRS42M","GSON1112150150")</f>
        <v>#NAME?</v>
      </c>
      <c r="I1838" s="23" t="e">
        <f ca="1">[1]!BexGetData("DP_1","003N8EMH8GTFRCSWKMPXRSAE6","GSON1112150150")</f>
        <v>#NAME?</v>
      </c>
      <c r="J1838" s="23" t="e">
        <f ca="1">[1]!BexGetData("DP_1","003N8EMH8GTFRCSWKMPXRSGPQ","GSON1112150150")</f>
        <v>#NAME?</v>
      </c>
      <c r="K1838" s="23" t="e">
        <f ca="1">[1]!BexGetData("DP_1","003N8EMH8GTFRIVNUPY288VJH","GSON1112150150")</f>
        <v>#NAME?</v>
      </c>
      <c r="L1838" s="23" t="e">
        <f ca="1">[1]!BexGetData("DP_1","003N8EMH8GTFRIVNUPY2891V1","GSON1112150150")</f>
        <v>#NAME?</v>
      </c>
      <c r="M1838" s="23" t="e">
        <f ca="1">[1]!BexGetData("DP_1","003N8EMH8GTFRIVOG7KG9IQXA","GSON1112150150")</f>
        <v>#NAME?</v>
      </c>
      <c r="N1838" s="28" t="e">
        <f ca="1">[1]!BexGetData("DP_1","003N8EMH8GTFRIVOG7KG9IX8U","GSON1112150150")</f>
        <v>#NAME?</v>
      </c>
      <c r="O1838" s="23" t="e">
        <f ca="1">[1]!BexGetData("DP_1","003N8EMH8GTFRIVOG7KG9J3KE","GSON1112150150")</f>
        <v>#NAME?</v>
      </c>
      <c r="P1838" s="28" t="e">
        <f ca="1">[1]!BexGetData("DP_1","003N8EMH8GTFRIVOG7KG9J9VY","GSON1112150150")</f>
        <v>#NAME?</v>
      </c>
      <c r="Q1838" s="23" t="e">
        <f ca="1">[1]!BexGetData("DP_1","00O2TNJGODT0G5Z4TTKYMM5MT","GSON1112150150")</f>
        <v>#NAME?</v>
      </c>
      <c r="R1838" s="23" t="e">
        <f ca="1">[1]!BexGetData("DP_1","00O2TNJGODT0G5Z4TTKYMMBYD","GSON1112150150")</f>
        <v>#NAME?</v>
      </c>
      <c r="S1838" s="23" t="e">
        <f ca="1">[1]!BexGetData("DP_1","00O2TNJGODT0G5Z4TTKYMMI9X","GSON1112150150")</f>
        <v>#NAME?</v>
      </c>
      <c r="T1838" s="23" t="e">
        <f ca="1">[1]!BexGetData("DP_1","00O2TNJGODT0G5Z4TTKYMMOLH","GSON1112150150")</f>
        <v>#NAME?</v>
      </c>
      <c r="U1838" s="28" t="e">
        <f ca="1">[1]!BexGetData("DP_1","00O2TNJGODT0G5Z4TTKYMMUX1","GSON1112150150")</f>
        <v>#NAME?</v>
      </c>
      <c r="V1838" s="23" t="e">
        <f ca="1">[1]!BexGetData("DP_1","00O2TNJGODT0G5Z4TTKYMN18L","GSON1112150150")</f>
        <v>#NAME?</v>
      </c>
      <c r="W1838" s="28" t="e">
        <f ca="1">[1]!BexGetData("DP_1","00O2TNJGODT0G5Z4TTKYMN7K5","GSON1112150150")</f>
        <v>#NAME?</v>
      </c>
    </row>
    <row r="1839" spans="1:23" x14ac:dyDescent="0.2">
      <c r="A1839" s="36" t="s">
        <v>4721</v>
      </c>
      <c r="B1839" s="27" t="s">
        <v>4722</v>
      </c>
      <c r="C1839" s="28" t="e">
        <f ca="1">[1]!BexGetData("DP_1","003N8EMH8GTFRCSWKMPXRR8GU","GSON1112150151")</f>
        <v>#NAME?</v>
      </c>
      <c r="D1839" s="28" t="e">
        <f ca="1">[1]!BexGetData("DP_1","003N8EMH8GTFRCSWKMPXRRESE","GSON1112150151")</f>
        <v>#NAME?</v>
      </c>
      <c r="E1839" s="28" t="e">
        <f ca="1">[1]!BexGetData("DP_1","003N8EMH8GTFRCSWKMPXRRL3Y","GSON1112150151")</f>
        <v>#NAME?</v>
      </c>
      <c r="F1839" s="28" t="e">
        <f ca="1">[1]!BexGetData("DP_1","003N8EMH8GTFRCSWKMPXRRRFI","GSON1112150151")</f>
        <v>#NAME?</v>
      </c>
      <c r="G1839" s="23" t="e">
        <f ca="1">[1]!BexGetData("DP_1","003N8EMH8GTFRCSWKMPXRRXR2","GSON1112150151")</f>
        <v>#NAME?</v>
      </c>
      <c r="H1839" s="23" t="e">
        <f ca="1">[1]!BexGetData("DP_1","003N8EMH8GTFRCSWKMPXRS42M","GSON1112150151")</f>
        <v>#NAME?</v>
      </c>
      <c r="I1839" s="28" t="e">
        <f ca="1">[1]!BexGetData("DP_1","003N8EMH8GTFRCSWKMPXRSAE6","GSON1112150151")</f>
        <v>#NAME?</v>
      </c>
      <c r="J1839" s="24" t="e">
        <f ca="1">[1]!BexGetData("DP_1","003N8EMH8GTFRCSWKMPXRSGPQ","GSON1112150151")</f>
        <v>#NAME?</v>
      </c>
      <c r="K1839" s="28" t="e">
        <f ca="1">[1]!BexGetData("DP_1","003N8EMH8GTFRIVNUPY288VJH","GSON1112150151")</f>
        <v>#NAME?</v>
      </c>
      <c r="L1839" s="28" t="e">
        <f ca="1">[1]!BexGetData("DP_1","003N8EMH8GTFRIVNUPY2891V1","GSON1112150151")</f>
        <v>#NAME?</v>
      </c>
      <c r="M1839" s="28" t="e">
        <f ca="1">[1]!BexGetData("DP_1","003N8EMH8GTFRIVOG7KG9IQXA","GSON1112150151")</f>
        <v>#NAME?</v>
      </c>
      <c r="N1839" s="28" t="e">
        <f ca="1">[1]!BexGetData("DP_1","003N8EMH8GTFRIVOG7KG9IX8U","GSON1112150151")</f>
        <v>#NAME?</v>
      </c>
      <c r="O1839" s="28" t="e">
        <f ca="1">[1]!BexGetData("DP_1","003N8EMH8GTFRIVOG7KG9J3KE","GSON1112150151")</f>
        <v>#NAME?</v>
      </c>
      <c r="P1839" s="28" t="e">
        <f ca="1">[1]!BexGetData("DP_1","003N8EMH8GTFRIVOG7KG9J9VY","GSON1112150151")</f>
        <v>#NAME?</v>
      </c>
      <c r="Q1839" s="24" t="e">
        <f ca="1">[1]!BexGetData("DP_1","00O2TNJGODT0G5Z4TTKYMM5MT","GSON1112150151")</f>
        <v>#NAME?</v>
      </c>
      <c r="R1839" s="28" t="e">
        <f ca="1">[1]!BexGetData("DP_1","00O2TNJGODT0G5Z4TTKYMMBYD","GSON1112150151")</f>
        <v>#NAME?</v>
      </c>
      <c r="S1839" s="28" t="e">
        <f ca="1">[1]!BexGetData("DP_1","00O2TNJGODT0G5Z4TTKYMMI9X","GSON1112150151")</f>
        <v>#NAME?</v>
      </c>
      <c r="T1839" s="28" t="e">
        <f ca="1">[1]!BexGetData("DP_1","00O2TNJGODT0G5Z4TTKYMMOLH","GSON1112150151")</f>
        <v>#NAME?</v>
      </c>
      <c r="U1839" s="28" t="e">
        <f ca="1">[1]!BexGetData("DP_1","00O2TNJGODT0G5Z4TTKYMMUX1","GSON1112150151")</f>
        <v>#NAME?</v>
      </c>
      <c r="V1839" s="28" t="e">
        <f ca="1">[1]!BexGetData("DP_1","00O2TNJGODT0G5Z4TTKYMN18L","GSON1112150151")</f>
        <v>#NAME?</v>
      </c>
      <c r="W1839" s="28" t="e">
        <f ca="1">[1]!BexGetData("DP_1","00O2TNJGODT0G5Z4TTKYMN7K5","GSON1112150151")</f>
        <v>#NAME?</v>
      </c>
    </row>
    <row r="1840" spans="1:23" x14ac:dyDescent="0.2">
      <c r="A1840" s="36" t="s">
        <v>4723</v>
      </c>
      <c r="B1840" s="27" t="s">
        <v>4724</v>
      </c>
      <c r="C1840" s="23" t="e">
        <f ca="1">[1]!BexGetData("DP_1","003N8EMH8GTFRCSWKMPXRR8GU","GSON1112150153")</f>
        <v>#NAME?</v>
      </c>
      <c r="D1840" s="23" t="e">
        <f ca="1">[1]!BexGetData("DP_1","003N8EMH8GTFRCSWKMPXRRESE","GSON1112150153")</f>
        <v>#NAME?</v>
      </c>
      <c r="E1840" s="28" t="e">
        <f ca="1">[1]!BexGetData("DP_1","003N8EMH8GTFRCSWKMPXRRL3Y","GSON1112150153")</f>
        <v>#NAME?</v>
      </c>
      <c r="F1840" s="24" t="e">
        <f ca="1">[1]!BexGetData("DP_1","003N8EMH8GTFRCSWKMPXRRRFI","GSON1112150153")</f>
        <v>#NAME?</v>
      </c>
      <c r="G1840" s="24" t="e">
        <f ca="1">[1]!BexGetData("DP_1","003N8EMH8GTFRCSWKMPXRRXR2","GSON1112150153")</f>
        <v>#NAME?</v>
      </c>
      <c r="H1840" s="24" t="e">
        <f ca="1">[1]!BexGetData("DP_1","003N8EMH8GTFRCSWKMPXRS42M","GSON1112150153")</f>
        <v>#NAME?</v>
      </c>
      <c r="I1840" s="24" t="e">
        <f ca="1">[1]!BexGetData("DP_1","003N8EMH8GTFRCSWKMPXRSAE6","GSON1112150153")</f>
        <v>#NAME?</v>
      </c>
      <c r="J1840" s="24" t="e">
        <f ca="1">[1]!BexGetData("DP_1","003N8EMH8GTFRCSWKMPXRSGPQ","GSON1112150153")</f>
        <v>#NAME?</v>
      </c>
      <c r="K1840" s="28" t="e">
        <f ca="1">[1]!BexGetData("DP_1","003N8EMH8GTFRIVNUPY288VJH","GSON1112150153")</f>
        <v>#NAME?</v>
      </c>
      <c r="L1840" s="28" t="e">
        <f ca="1">[1]!BexGetData("DP_1","003N8EMH8GTFRIVNUPY2891V1","GSON1112150153")</f>
        <v>#NAME?</v>
      </c>
      <c r="M1840" s="28" t="e">
        <f ca="1">[1]!BexGetData("DP_1","003N8EMH8GTFRIVOG7KG9IQXA","GSON1112150153")</f>
        <v>#NAME?</v>
      </c>
      <c r="N1840" s="28" t="e">
        <f ca="1">[1]!BexGetData("DP_1","003N8EMH8GTFRIVOG7KG9IX8U","GSON1112150153")</f>
        <v>#NAME?</v>
      </c>
      <c r="O1840" s="28" t="e">
        <f ca="1">[1]!BexGetData("DP_1","003N8EMH8GTFRIVOG7KG9J3KE","GSON1112150153")</f>
        <v>#NAME?</v>
      </c>
      <c r="P1840" s="28" t="e">
        <f ca="1">[1]!BexGetData("DP_1","003N8EMH8GTFRIVOG7KG9J9VY","GSON1112150153")</f>
        <v>#NAME?</v>
      </c>
      <c r="Q1840" s="24" t="e">
        <f ca="1">[1]!BexGetData("DP_1","00O2TNJGODT0G5Z4TTKYMM5MT","GSON1112150153")</f>
        <v>#NAME?</v>
      </c>
      <c r="R1840" s="24" t="e">
        <f ca="1">[1]!BexGetData("DP_1","00O2TNJGODT0G5Z4TTKYMMBYD","GSON1112150153")</f>
        <v>#NAME?</v>
      </c>
      <c r="S1840" s="24" t="e">
        <f ca="1">[1]!BexGetData("DP_1","00O2TNJGODT0G5Z4TTKYMMI9X","GSON1112150153")</f>
        <v>#NAME?</v>
      </c>
      <c r="T1840" s="24" t="e">
        <f ca="1">[1]!BexGetData("DP_1","00O2TNJGODT0G5Z4TTKYMMOLH","GSON1112150153")</f>
        <v>#NAME?</v>
      </c>
      <c r="U1840" s="24" t="e">
        <f ca="1">[1]!BexGetData("DP_1","00O2TNJGODT0G5Z4TTKYMMUX1","GSON1112150153")</f>
        <v>#NAME?</v>
      </c>
      <c r="V1840" s="24" t="e">
        <f ca="1">[1]!BexGetData("DP_1","00O2TNJGODT0G5Z4TTKYMN18L","GSON1112150153")</f>
        <v>#NAME?</v>
      </c>
      <c r="W1840" s="24" t="e">
        <f ca="1">[1]!BexGetData("DP_1","00O2TNJGODT0G5Z4TTKYMN7K5","GSON1112150153")</f>
        <v>#NAME?</v>
      </c>
    </row>
    <row r="1841" spans="1:23" x14ac:dyDescent="0.2">
      <c r="A1841" s="36" t="s">
        <v>4725</v>
      </c>
      <c r="B1841" s="27" t="s">
        <v>4726</v>
      </c>
      <c r="C1841" s="24" t="e">
        <f ca="1">[1]!BexGetData("DP_1","003N8EMH8GTFRCSWKMPXRR8GU","GSON1112150154")</f>
        <v>#NAME?</v>
      </c>
      <c r="D1841" s="24" t="e">
        <f ca="1">[1]!BexGetData("DP_1","003N8EMH8GTFRCSWKMPXRRESE","GSON1112150154")</f>
        <v>#NAME?</v>
      </c>
      <c r="E1841" s="24" t="e">
        <f ca="1">[1]!BexGetData("DP_1","003N8EMH8GTFRCSWKMPXRRL3Y","GSON1112150154")</f>
        <v>#NAME?</v>
      </c>
      <c r="F1841" s="28" t="e">
        <f ca="1">[1]!BexGetData("DP_1","003N8EMH8GTFRCSWKMPXRRRFI","GSON1112150154")</f>
        <v>#NAME?</v>
      </c>
      <c r="G1841" s="23" t="e">
        <f ca="1">[1]!BexGetData("DP_1","003N8EMH8GTFRCSWKMPXRRXR2","GSON1112150154")</f>
        <v>#NAME?</v>
      </c>
      <c r="H1841" s="23" t="e">
        <f ca="1">[1]!BexGetData("DP_1","003N8EMH8GTFRCSWKMPXRS42M","GSON1112150154")</f>
        <v>#NAME?</v>
      </c>
      <c r="I1841" s="28" t="e">
        <f ca="1">[1]!BexGetData("DP_1","003N8EMH8GTFRCSWKMPXRSAE6","GSON1112150154")</f>
        <v>#NAME?</v>
      </c>
      <c r="J1841" s="24" t="e">
        <f ca="1">[1]!BexGetData("DP_1","003N8EMH8GTFRCSWKMPXRSGPQ","GSON1112150154")</f>
        <v>#NAME?</v>
      </c>
      <c r="K1841" s="28" t="e">
        <f ca="1">[1]!BexGetData("DP_1","003N8EMH8GTFRIVNUPY288VJH","GSON1112150154")</f>
        <v>#NAME?</v>
      </c>
      <c r="L1841" s="28" t="e">
        <f ca="1">[1]!BexGetData("DP_1","003N8EMH8GTFRIVNUPY2891V1","GSON1112150154")</f>
        <v>#NAME?</v>
      </c>
      <c r="M1841" s="28" t="e">
        <f ca="1">[1]!BexGetData("DP_1","003N8EMH8GTFRIVOG7KG9IQXA","GSON1112150154")</f>
        <v>#NAME?</v>
      </c>
      <c r="N1841" s="28" t="e">
        <f ca="1">[1]!BexGetData("DP_1","003N8EMH8GTFRIVOG7KG9IX8U","GSON1112150154")</f>
        <v>#NAME?</v>
      </c>
      <c r="O1841" s="28" t="e">
        <f ca="1">[1]!BexGetData("DP_1","003N8EMH8GTFRIVOG7KG9J3KE","GSON1112150154")</f>
        <v>#NAME?</v>
      </c>
      <c r="P1841" s="28" t="e">
        <f ca="1">[1]!BexGetData("DP_1","003N8EMH8GTFRIVOG7KG9J9VY","GSON1112150154")</f>
        <v>#NAME?</v>
      </c>
      <c r="Q1841" s="24" t="e">
        <f ca="1">[1]!BexGetData("DP_1","00O2TNJGODT0G5Z4TTKYMM5MT","GSON1112150154")</f>
        <v>#NAME?</v>
      </c>
      <c r="R1841" s="28" t="e">
        <f ca="1">[1]!BexGetData("DP_1","00O2TNJGODT0G5Z4TTKYMMBYD","GSON1112150154")</f>
        <v>#NAME?</v>
      </c>
      <c r="S1841" s="28" t="e">
        <f ca="1">[1]!BexGetData("DP_1","00O2TNJGODT0G5Z4TTKYMMI9X","GSON1112150154")</f>
        <v>#NAME?</v>
      </c>
      <c r="T1841" s="28" t="e">
        <f ca="1">[1]!BexGetData("DP_1","00O2TNJGODT0G5Z4TTKYMMOLH","GSON1112150154")</f>
        <v>#NAME?</v>
      </c>
      <c r="U1841" s="28" t="e">
        <f ca="1">[1]!BexGetData("DP_1","00O2TNJGODT0G5Z4TTKYMMUX1","GSON1112150154")</f>
        <v>#NAME?</v>
      </c>
      <c r="V1841" s="28" t="e">
        <f ca="1">[1]!BexGetData("DP_1","00O2TNJGODT0G5Z4TTKYMN18L","GSON1112150154")</f>
        <v>#NAME?</v>
      </c>
      <c r="W1841" s="28" t="e">
        <f ca="1">[1]!BexGetData("DP_1","00O2TNJGODT0G5Z4TTKYMN7K5","GSON1112150154")</f>
        <v>#NAME?</v>
      </c>
    </row>
    <row r="1842" spans="1:23" x14ac:dyDescent="0.2">
      <c r="A1842" s="36" t="s">
        <v>4727</v>
      </c>
      <c r="B1842" s="27" t="s">
        <v>4728</v>
      </c>
      <c r="C1842" s="23" t="e">
        <f ca="1">[1]!BexGetData("DP_1","003N8EMH8GTFRCSWKMPXRR8GU","GSON1112150155")</f>
        <v>#NAME?</v>
      </c>
      <c r="D1842" s="23" t="e">
        <f ca="1">[1]!BexGetData("DP_1","003N8EMH8GTFRCSWKMPXRRESE","GSON1112150155")</f>
        <v>#NAME?</v>
      </c>
      <c r="E1842" s="28" t="e">
        <f ca="1">[1]!BexGetData("DP_1","003N8EMH8GTFRCSWKMPXRRL3Y","GSON1112150155")</f>
        <v>#NAME?</v>
      </c>
      <c r="F1842" s="28" t="e">
        <f ca="1">[1]!BexGetData("DP_1","003N8EMH8GTFRCSWKMPXRRRFI","GSON1112150155")</f>
        <v>#NAME?</v>
      </c>
      <c r="G1842" s="23" t="e">
        <f ca="1">[1]!BexGetData("DP_1","003N8EMH8GTFRCSWKMPXRRXR2","GSON1112150155")</f>
        <v>#NAME?</v>
      </c>
      <c r="H1842" s="23" t="e">
        <f ca="1">[1]!BexGetData("DP_1","003N8EMH8GTFRCSWKMPXRS42M","GSON1112150155")</f>
        <v>#NAME?</v>
      </c>
      <c r="I1842" s="28" t="e">
        <f ca="1">[1]!BexGetData("DP_1","003N8EMH8GTFRCSWKMPXRSAE6","GSON1112150155")</f>
        <v>#NAME?</v>
      </c>
      <c r="J1842" s="24" t="e">
        <f ca="1">[1]!BexGetData("DP_1","003N8EMH8GTFRCSWKMPXRSGPQ","GSON1112150155")</f>
        <v>#NAME?</v>
      </c>
      <c r="K1842" s="28" t="e">
        <f ca="1">[1]!BexGetData("DP_1","003N8EMH8GTFRIVNUPY288VJH","GSON1112150155")</f>
        <v>#NAME?</v>
      </c>
      <c r="L1842" s="28" t="e">
        <f ca="1">[1]!BexGetData("DP_1","003N8EMH8GTFRIVNUPY2891V1","GSON1112150155")</f>
        <v>#NAME?</v>
      </c>
      <c r="M1842" s="28" t="e">
        <f ca="1">[1]!BexGetData("DP_1","003N8EMH8GTFRIVOG7KG9IQXA","GSON1112150155")</f>
        <v>#NAME?</v>
      </c>
      <c r="N1842" s="28" t="e">
        <f ca="1">[1]!BexGetData("DP_1","003N8EMH8GTFRIVOG7KG9IX8U","GSON1112150155")</f>
        <v>#NAME?</v>
      </c>
      <c r="O1842" s="28" t="e">
        <f ca="1">[1]!BexGetData("DP_1","003N8EMH8GTFRIVOG7KG9J3KE","GSON1112150155")</f>
        <v>#NAME?</v>
      </c>
      <c r="P1842" s="28" t="e">
        <f ca="1">[1]!BexGetData("DP_1","003N8EMH8GTFRIVOG7KG9J9VY","GSON1112150155")</f>
        <v>#NAME?</v>
      </c>
      <c r="Q1842" s="24" t="e">
        <f ca="1">[1]!BexGetData("DP_1","00O2TNJGODT0G5Z4TTKYMM5MT","GSON1112150155")</f>
        <v>#NAME?</v>
      </c>
      <c r="R1842" s="28" t="e">
        <f ca="1">[1]!BexGetData("DP_1","00O2TNJGODT0G5Z4TTKYMMBYD","GSON1112150155")</f>
        <v>#NAME?</v>
      </c>
      <c r="S1842" s="28" t="e">
        <f ca="1">[1]!BexGetData("DP_1","00O2TNJGODT0G5Z4TTKYMMI9X","GSON1112150155")</f>
        <v>#NAME?</v>
      </c>
      <c r="T1842" s="28" t="e">
        <f ca="1">[1]!BexGetData("DP_1","00O2TNJGODT0G5Z4TTKYMMOLH","GSON1112150155")</f>
        <v>#NAME?</v>
      </c>
      <c r="U1842" s="28" t="e">
        <f ca="1">[1]!BexGetData("DP_1","00O2TNJGODT0G5Z4TTKYMMUX1","GSON1112150155")</f>
        <v>#NAME?</v>
      </c>
      <c r="V1842" s="28" t="e">
        <f ca="1">[1]!BexGetData("DP_1","00O2TNJGODT0G5Z4TTKYMN18L","GSON1112150155")</f>
        <v>#NAME?</v>
      </c>
      <c r="W1842" s="28" t="e">
        <f ca="1">[1]!BexGetData("DP_1","00O2TNJGODT0G5Z4TTKYMN7K5","GSON1112150155")</f>
        <v>#NAME?</v>
      </c>
    </row>
    <row r="1843" spans="1:23" x14ac:dyDescent="0.2">
      <c r="A1843" s="36" t="s">
        <v>4729</v>
      </c>
      <c r="B1843" s="27" t="s">
        <v>4730</v>
      </c>
      <c r="C1843" s="28" t="e">
        <f ca="1">[1]!BexGetData("DP_1","003N8EMH8GTFRCSWKMPXRR8GU","GSON1112150170")</f>
        <v>#NAME?</v>
      </c>
      <c r="D1843" s="28" t="e">
        <f ca="1">[1]!BexGetData("DP_1","003N8EMH8GTFRCSWKMPXRRESE","GSON1112150170")</f>
        <v>#NAME?</v>
      </c>
      <c r="E1843" s="28" t="e">
        <f ca="1">[1]!BexGetData("DP_1","003N8EMH8GTFRCSWKMPXRRL3Y","GSON1112150170")</f>
        <v>#NAME?</v>
      </c>
      <c r="F1843" s="28" t="e">
        <f ca="1">[1]!BexGetData("DP_1","003N8EMH8GTFRCSWKMPXRRRFI","GSON1112150170")</f>
        <v>#NAME?</v>
      </c>
      <c r="G1843" s="28" t="e">
        <f ca="1">[1]!BexGetData("DP_1","003N8EMH8GTFRCSWKMPXRRXR2","GSON1112150170")</f>
        <v>#NAME?</v>
      </c>
      <c r="H1843" s="23" t="e">
        <f ca="1">[1]!BexGetData("DP_1","003N8EMH8GTFRCSWKMPXRS42M","GSON1112150170")</f>
        <v>#NAME?</v>
      </c>
      <c r="I1843" s="28" t="e">
        <f ca="1">[1]!BexGetData("DP_1","003N8EMH8GTFRCSWKMPXRSAE6","GSON1112150170")</f>
        <v>#NAME?</v>
      </c>
      <c r="J1843" s="23" t="e">
        <f ca="1">[1]!BexGetData("DP_1","003N8EMH8GTFRCSWKMPXRSGPQ","GSON1112150170")</f>
        <v>#NAME?</v>
      </c>
      <c r="K1843" s="28" t="e">
        <f ca="1">[1]!BexGetData("DP_1","003N8EMH8GTFRIVNUPY288VJH","GSON1112150170")</f>
        <v>#NAME?</v>
      </c>
      <c r="L1843" s="28" t="e">
        <f ca="1">[1]!BexGetData("DP_1","003N8EMH8GTFRIVNUPY2891V1","GSON1112150170")</f>
        <v>#NAME?</v>
      </c>
      <c r="M1843" s="28" t="e">
        <f ca="1">[1]!BexGetData("DP_1","003N8EMH8GTFRIVOG7KG9IQXA","GSON1112150170")</f>
        <v>#NAME?</v>
      </c>
      <c r="N1843" s="28" t="e">
        <f ca="1">[1]!BexGetData("DP_1","003N8EMH8GTFRIVOG7KG9IX8U","GSON1112150170")</f>
        <v>#NAME?</v>
      </c>
      <c r="O1843" s="28" t="e">
        <f ca="1">[1]!BexGetData("DP_1","003N8EMH8GTFRIVOG7KG9J3KE","GSON1112150170")</f>
        <v>#NAME?</v>
      </c>
      <c r="P1843" s="28" t="e">
        <f ca="1">[1]!BexGetData("DP_1","003N8EMH8GTFRIVOG7KG9J9VY","GSON1112150170")</f>
        <v>#NAME?</v>
      </c>
      <c r="Q1843" s="23" t="e">
        <f ca="1">[1]!BexGetData("DP_1","00O2TNJGODT0G5Z4TTKYMM5MT","GSON1112150170")</f>
        <v>#NAME?</v>
      </c>
      <c r="R1843" s="23" t="e">
        <f ca="1">[1]!BexGetData("DP_1","00O2TNJGODT0G5Z4TTKYMMBYD","GSON1112150170")</f>
        <v>#NAME?</v>
      </c>
      <c r="S1843" s="23" t="e">
        <f ca="1">[1]!BexGetData("DP_1","00O2TNJGODT0G5Z4TTKYMMI9X","GSON1112150170")</f>
        <v>#NAME?</v>
      </c>
      <c r="T1843" s="23" t="e">
        <f ca="1">[1]!BexGetData("DP_1","00O2TNJGODT0G5Z4TTKYMMOLH","GSON1112150170")</f>
        <v>#NAME?</v>
      </c>
      <c r="U1843" s="28" t="e">
        <f ca="1">[1]!BexGetData("DP_1","00O2TNJGODT0G5Z4TTKYMMUX1","GSON1112150170")</f>
        <v>#NAME?</v>
      </c>
      <c r="V1843" s="23" t="e">
        <f ca="1">[1]!BexGetData("DP_1","00O2TNJGODT0G5Z4TTKYMN18L","GSON1112150170")</f>
        <v>#NAME?</v>
      </c>
      <c r="W1843" s="28" t="e">
        <f ca="1">[1]!BexGetData("DP_1","00O2TNJGODT0G5Z4TTKYMN7K5","GSON1112150170")</f>
        <v>#NAME?</v>
      </c>
    </row>
    <row r="1844" spans="1:23" x14ac:dyDescent="0.2">
      <c r="A1844" s="36" t="s">
        <v>4731</v>
      </c>
      <c r="B1844" s="27" t="s">
        <v>4732</v>
      </c>
      <c r="C1844" s="24" t="e">
        <f ca="1">[1]!BexGetData("DP_1","003N8EMH8GTFRCSWKMPXRR8GU","GSON1112150173")</f>
        <v>#NAME?</v>
      </c>
      <c r="D1844" s="24" t="e">
        <f ca="1">[1]!BexGetData("DP_1","003N8EMH8GTFRCSWKMPXRRESE","GSON1112150173")</f>
        <v>#NAME?</v>
      </c>
      <c r="E1844" s="24" t="e">
        <f ca="1">[1]!BexGetData("DP_1","003N8EMH8GTFRCSWKMPXRRL3Y","GSON1112150173")</f>
        <v>#NAME?</v>
      </c>
      <c r="F1844" s="28" t="e">
        <f ca="1">[1]!BexGetData("DP_1","003N8EMH8GTFRCSWKMPXRRRFI","GSON1112150173")</f>
        <v>#NAME?</v>
      </c>
      <c r="G1844" s="23" t="e">
        <f ca="1">[1]!BexGetData("DP_1","003N8EMH8GTFRCSWKMPXRRXR2","GSON1112150173")</f>
        <v>#NAME?</v>
      </c>
      <c r="H1844" s="23" t="e">
        <f ca="1">[1]!BexGetData("DP_1","003N8EMH8GTFRCSWKMPXRS42M","GSON1112150173")</f>
        <v>#NAME?</v>
      </c>
      <c r="I1844" s="28" t="e">
        <f ca="1">[1]!BexGetData("DP_1","003N8EMH8GTFRCSWKMPXRSAE6","GSON1112150173")</f>
        <v>#NAME?</v>
      </c>
      <c r="J1844" s="24" t="e">
        <f ca="1">[1]!BexGetData("DP_1","003N8EMH8GTFRCSWKMPXRSGPQ","GSON1112150173")</f>
        <v>#NAME?</v>
      </c>
      <c r="K1844" s="28" t="e">
        <f ca="1">[1]!BexGetData("DP_1","003N8EMH8GTFRIVNUPY288VJH","GSON1112150173")</f>
        <v>#NAME?</v>
      </c>
      <c r="L1844" s="28" t="e">
        <f ca="1">[1]!BexGetData("DP_1","003N8EMH8GTFRIVNUPY2891V1","GSON1112150173")</f>
        <v>#NAME?</v>
      </c>
      <c r="M1844" s="28" t="e">
        <f ca="1">[1]!BexGetData("DP_1","003N8EMH8GTFRIVOG7KG9IQXA","GSON1112150173")</f>
        <v>#NAME?</v>
      </c>
      <c r="N1844" s="28" t="e">
        <f ca="1">[1]!BexGetData("DP_1","003N8EMH8GTFRIVOG7KG9IX8U","GSON1112150173")</f>
        <v>#NAME?</v>
      </c>
      <c r="O1844" s="28" t="e">
        <f ca="1">[1]!BexGetData("DP_1","003N8EMH8GTFRIVOG7KG9J3KE","GSON1112150173")</f>
        <v>#NAME?</v>
      </c>
      <c r="P1844" s="28" t="e">
        <f ca="1">[1]!BexGetData("DP_1","003N8EMH8GTFRIVOG7KG9J9VY","GSON1112150173")</f>
        <v>#NAME?</v>
      </c>
      <c r="Q1844" s="24" t="e">
        <f ca="1">[1]!BexGetData("DP_1","00O2TNJGODT0G5Z4TTKYMM5MT","GSON1112150173")</f>
        <v>#NAME?</v>
      </c>
      <c r="R1844" s="28" t="e">
        <f ca="1">[1]!BexGetData("DP_1","00O2TNJGODT0G5Z4TTKYMMBYD","GSON1112150173")</f>
        <v>#NAME?</v>
      </c>
      <c r="S1844" s="28" t="e">
        <f ca="1">[1]!BexGetData("DP_1","00O2TNJGODT0G5Z4TTKYMMI9X","GSON1112150173")</f>
        <v>#NAME?</v>
      </c>
      <c r="T1844" s="28" t="e">
        <f ca="1">[1]!BexGetData("DP_1","00O2TNJGODT0G5Z4TTKYMMOLH","GSON1112150173")</f>
        <v>#NAME?</v>
      </c>
      <c r="U1844" s="28" t="e">
        <f ca="1">[1]!BexGetData("DP_1","00O2TNJGODT0G5Z4TTKYMMUX1","GSON1112150173")</f>
        <v>#NAME?</v>
      </c>
      <c r="V1844" s="28" t="e">
        <f ca="1">[1]!BexGetData("DP_1","00O2TNJGODT0G5Z4TTKYMN18L","GSON1112150173")</f>
        <v>#NAME?</v>
      </c>
      <c r="W1844" s="28" t="e">
        <f ca="1">[1]!BexGetData("DP_1","00O2TNJGODT0G5Z4TTKYMN7K5","GSON1112150173")</f>
        <v>#NAME?</v>
      </c>
    </row>
    <row r="1845" spans="1:23" x14ac:dyDescent="0.2">
      <c r="A1845" s="36" t="s">
        <v>4733</v>
      </c>
      <c r="B1845" s="27" t="s">
        <v>4734</v>
      </c>
      <c r="C1845" s="24" t="e">
        <f ca="1">[1]!BexGetData("DP_1","003N8EMH8GTFRCSWKMPXRR8GU","GSON1112150174")</f>
        <v>#NAME?</v>
      </c>
      <c r="D1845" s="24" t="e">
        <f ca="1">[1]!BexGetData("DP_1","003N8EMH8GTFRCSWKMPXRRESE","GSON1112150174")</f>
        <v>#NAME?</v>
      </c>
      <c r="E1845" s="24" t="e">
        <f ca="1">[1]!BexGetData("DP_1","003N8EMH8GTFRCSWKMPXRRL3Y","GSON1112150174")</f>
        <v>#NAME?</v>
      </c>
      <c r="F1845" s="28" t="e">
        <f ca="1">[1]!BexGetData("DP_1","003N8EMH8GTFRCSWKMPXRRRFI","GSON1112150174")</f>
        <v>#NAME?</v>
      </c>
      <c r="G1845" s="23" t="e">
        <f ca="1">[1]!BexGetData("DP_1","003N8EMH8GTFRCSWKMPXRRXR2","GSON1112150174")</f>
        <v>#NAME?</v>
      </c>
      <c r="H1845" s="23" t="e">
        <f ca="1">[1]!BexGetData("DP_1","003N8EMH8GTFRCSWKMPXRS42M","GSON1112150174")</f>
        <v>#NAME?</v>
      </c>
      <c r="I1845" s="28" t="e">
        <f ca="1">[1]!BexGetData("DP_1","003N8EMH8GTFRCSWKMPXRSAE6","GSON1112150174")</f>
        <v>#NAME?</v>
      </c>
      <c r="J1845" s="24" t="e">
        <f ca="1">[1]!BexGetData("DP_1","003N8EMH8GTFRCSWKMPXRSGPQ","GSON1112150174")</f>
        <v>#NAME?</v>
      </c>
      <c r="K1845" s="28" t="e">
        <f ca="1">[1]!BexGetData("DP_1","003N8EMH8GTFRIVNUPY288VJH","GSON1112150174")</f>
        <v>#NAME?</v>
      </c>
      <c r="L1845" s="28" t="e">
        <f ca="1">[1]!BexGetData("DP_1","003N8EMH8GTFRIVNUPY2891V1","GSON1112150174")</f>
        <v>#NAME?</v>
      </c>
      <c r="M1845" s="28" t="e">
        <f ca="1">[1]!BexGetData("DP_1","003N8EMH8GTFRIVOG7KG9IQXA","GSON1112150174")</f>
        <v>#NAME?</v>
      </c>
      <c r="N1845" s="28" t="e">
        <f ca="1">[1]!BexGetData("DP_1","003N8EMH8GTFRIVOG7KG9IX8U","GSON1112150174")</f>
        <v>#NAME?</v>
      </c>
      <c r="O1845" s="28" t="e">
        <f ca="1">[1]!BexGetData("DP_1","003N8EMH8GTFRIVOG7KG9J3KE","GSON1112150174")</f>
        <v>#NAME?</v>
      </c>
      <c r="P1845" s="28" t="e">
        <f ca="1">[1]!BexGetData("DP_1","003N8EMH8GTFRIVOG7KG9J9VY","GSON1112150174")</f>
        <v>#NAME?</v>
      </c>
      <c r="Q1845" s="24" t="e">
        <f ca="1">[1]!BexGetData("DP_1","00O2TNJGODT0G5Z4TTKYMM5MT","GSON1112150174")</f>
        <v>#NAME?</v>
      </c>
      <c r="R1845" s="28" t="e">
        <f ca="1">[1]!BexGetData("DP_1","00O2TNJGODT0G5Z4TTKYMMBYD","GSON1112150174")</f>
        <v>#NAME?</v>
      </c>
      <c r="S1845" s="28" t="e">
        <f ca="1">[1]!BexGetData("DP_1","00O2TNJGODT0G5Z4TTKYMMI9X","GSON1112150174")</f>
        <v>#NAME?</v>
      </c>
      <c r="T1845" s="28" t="e">
        <f ca="1">[1]!BexGetData("DP_1","00O2TNJGODT0G5Z4TTKYMMOLH","GSON1112150174")</f>
        <v>#NAME?</v>
      </c>
      <c r="U1845" s="28" t="e">
        <f ca="1">[1]!BexGetData("DP_1","00O2TNJGODT0G5Z4TTKYMMUX1","GSON1112150174")</f>
        <v>#NAME?</v>
      </c>
      <c r="V1845" s="28" t="e">
        <f ca="1">[1]!BexGetData("DP_1","00O2TNJGODT0G5Z4TTKYMN18L","GSON1112150174")</f>
        <v>#NAME?</v>
      </c>
      <c r="W1845" s="28" t="e">
        <f ca="1">[1]!BexGetData("DP_1","00O2TNJGODT0G5Z4TTKYMN7K5","GSON1112150174")</f>
        <v>#NAME?</v>
      </c>
    </row>
    <row r="1846" spans="1:23" x14ac:dyDescent="0.2">
      <c r="A1846" s="36" t="s">
        <v>4735</v>
      </c>
      <c r="B1846" s="27" t="s">
        <v>4736</v>
      </c>
      <c r="C1846" s="24" t="e">
        <f ca="1">[1]!BexGetData("DP_1","003N8EMH8GTFRCSWKMPXRR8GU","GSON1112150175")</f>
        <v>#NAME?</v>
      </c>
      <c r="D1846" s="24" t="e">
        <f ca="1">[1]!BexGetData("DP_1","003N8EMH8GTFRCSWKMPXRRESE","GSON1112150175")</f>
        <v>#NAME?</v>
      </c>
      <c r="E1846" s="24" t="e">
        <f ca="1">[1]!BexGetData("DP_1","003N8EMH8GTFRCSWKMPXRRL3Y","GSON1112150175")</f>
        <v>#NAME?</v>
      </c>
      <c r="F1846" s="28" t="e">
        <f ca="1">[1]!BexGetData("DP_1","003N8EMH8GTFRCSWKMPXRRRFI","GSON1112150175")</f>
        <v>#NAME?</v>
      </c>
      <c r="G1846" s="23" t="e">
        <f ca="1">[1]!BexGetData("DP_1","003N8EMH8GTFRCSWKMPXRRXR2","GSON1112150175")</f>
        <v>#NAME?</v>
      </c>
      <c r="H1846" s="23" t="e">
        <f ca="1">[1]!BexGetData("DP_1","003N8EMH8GTFRCSWKMPXRS42M","GSON1112150175")</f>
        <v>#NAME?</v>
      </c>
      <c r="I1846" s="28" t="e">
        <f ca="1">[1]!BexGetData("DP_1","003N8EMH8GTFRCSWKMPXRSAE6","GSON1112150175")</f>
        <v>#NAME?</v>
      </c>
      <c r="J1846" s="24" t="e">
        <f ca="1">[1]!BexGetData("DP_1","003N8EMH8GTFRCSWKMPXRSGPQ","GSON1112150175")</f>
        <v>#NAME?</v>
      </c>
      <c r="K1846" s="28" t="e">
        <f ca="1">[1]!BexGetData("DP_1","003N8EMH8GTFRIVNUPY288VJH","GSON1112150175")</f>
        <v>#NAME?</v>
      </c>
      <c r="L1846" s="28" t="e">
        <f ca="1">[1]!BexGetData("DP_1","003N8EMH8GTFRIVNUPY2891V1","GSON1112150175")</f>
        <v>#NAME?</v>
      </c>
      <c r="M1846" s="28" t="e">
        <f ca="1">[1]!BexGetData("DP_1","003N8EMH8GTFRIVOG7KG9IQXA","GSON1112150175")</f>
        <v>#NAME?</v>
      </c>
      <c r="N1846" s="28" t="e">
        <f ca="1">[1]!BexGetData("DP_1","003N8EMH8GTFRIVOG7KG9IX8U","GSON1112150175")</f>
        <v>#NAME?</v>
      </c>
      <c r="O1846" s="28" t="e">
        <f ca="1">[1]!BexGetData("DP_1","003N8EMH8GTFRIVOG7KG9J3KE","GSON1112150175")</f>
        <v>#NAME?</v>
      </c>
      <c r="P1846" s="28" t="e">
        <f ca="1">[1]!BexGetData("DP_1","003N8EMH8GTFRIVOG7KG9J9VY","GSON1112150175")</f>
        <v>#NAME?</v>
      </c>
      <c r="Q1846" s="24" t="e">
        <f ca="1">[1]!BexGetData("DP_1","00O2TNJGODT0G5Z4TTKYMM5MT","GSON1112150175")</f>
        <v>#NAME?</v>
      </c>
      <c r="R1846" s="28" t="e">
        <f ca="1">[1]!BexGetData("DP_1","00O2TNJGODT0G5Z4TTKYMMBYD","GSON1112150175")</f>
        <v>#NAME?</v>
      </c>
      <c r="S1846" s="28" t="e">
        <f ca="1">[1]!BexGetData("DP_1","00O2TNJGODT0G5Z4TTKYMMI9X","GSON1112150175")</f>
        <v>#NAME?</v>
      </c>
      <c r="T1846" s="28" t="e">
        <f ca="1">[1]!BexGetData("DP_1","00O2TNJGODT0G5Z4TTKYMMOLH","GSON1112150175")</f>
        <v>#NAME?</v>
      </c>
      <c r="U1846" s="28" t="e">
        <f ca="1">[1]!BexGetData("DP_1","00O2TNJGODT0G5Z4TTKYMMUX1","GSON1112150175")</f>
        <v>#NAME?</v>
      </c>
      <c r="V1846" s="28" t="e">
        <f ca="1">[1]!BexGetData("DP_1","00O2TNJGODT0G5Z4TTKYMN18L","GSON1112150175")</f>
        <v>#NAME?</v>
      </c>
      <c r="W1846" s="28" t="e">
        <f ca="1">[1]!BexGetData("DP_1","00O2TNJGODT0G5Z4TTKYMN7K5","GSON1112150175")</f>
        <v>#NAME?</v>
      </c>
    </row>
    <row r="1847" spans="1:23" x14ac:dyDescent="0.2">
      <c r="A1847" s="36" t="s">
        <v>4737</v>
      </c>
      <c r="B1847" s="27" t="s">
        <v>4738</v>
      </c>
      <c r="C1847" s="23" t="e">
        <f ca="1">[1]!BexGetData("DP_1","003N8EMH8GTFRCSWKMPXRR8GU","GSON1112150180")</f>
        <v>#NAME?</v>
      </c>
      <c r="D1847" s="28" t="e">
        <f ca="1">[1]!BexGetData("DP_1","003N8EMH8GTFRCSWKMPXRRESE","GSON1112150180")</f>
        <v>#NAME?</v>
      </c>
      <c r="E1847" s="23" t="e">
        <f ca="1">[1]!BexGetData("DP_1","003N8EMH8GTFRCSWKMPXRRL3Y","GSON1112150180")</f>
        <v>#NAME?</v>
      </c>
      <c r="F1847" s="23" t="e">
        <f ca="1">[1]!BexGetData("DP_1","003N8EMH8GTFRCSWKMPXRRRFI","GSON1112150180")</f>
        <v>#NAME?</v>
      </c>
      <c r="G1847" s="23" t="e">
        <f ca="1">[1]!BexGetData("DP_1","003N8EMH8GTFRCSWKMPXRRXR2","GSON1112150180")</f>
        <v>#NAME?</v>
      </c>
      <c r="H1847" s="23" t="e">
        <f ca="1">[1]!BexGetData("DP_1","003N8EMH8GTFRCSWKMPXRS42M","GSON1112150180")</f>
        <v>#NAME?</v>
      </c>
      <c r="I1847" s="23" t="e">
        <f ca="1">[1]!BexGetData("DP_1","003N8EMH8GTFRCSWKMPXRSAE6","GSON1112150180")</f>
        <v>#NAME?</v>
      </c>
      <c r="J1847" s="23" t="e">
        <f ca="1">[1]!BexGetData("DP_1","003N8EMH8GTFRCSWKMPXRSGPQ","GSON1112150180")</f>
        <v>#NAME?</v>
      </c>
      <c r="K1847" s="23" t="e">
        <f ca="1">[1]!BexGetData("DP_1","003N8EMH8GTFRIVNUPY288VJH","GSON1112150180")</f>
        <v>#NAME?</v>
      </c>
      <c r="L1847" s="23" t="e">
        <f ca="1">[1]!BexGetData("DP_1","003N8EMH8GTFRIVNUPY2891V1","GSON1112150180")</f>
        <v>#NAME?</v>
      </c>
      <c r="M1847" s="28" t="e">
        <f ca="1">[1]!BexGetData("DP_1","003N8EMH8GTFRIVOG7KG9IQXA","GSON1112150180")</f>
        <v>#NAME?</v>
      </c>
      <c r="N1847" s="23" t="e">
        <f ca="1">[1]!BexGetData("DP_1","003N8EMH8GTFRIVOG7KG9IX8U","GSON1112150180")</f>
        <v>#NAME?</v>
      </c>
      <c r="O1847" s="28" t="e">
        <f ca="1">[1]!BexGetData("DP_1","003N8EMH8GTFRIVOG7KG9J3KE","GSON1112150180")</f>
        <v>#NAME?</v>
      </c>
      <c r="P1847" s="23" t="e">
        <f ca="1">[1]!BexGetData("DP_1","003N8EMH8GTFRIVOG7KG9J9VY","GSON1112150180")</f>
        <v>#NAME?</v>
      </c>
      <c r="Q1847" s="23" t="e">
        <f ca="1">[1]!BexGetData("DP_1","00O2TNJGODT0G5Z4TTKYMM5MT","GSON1112150180")</f>
        <v>#NAME?</v>
      </c>
      <c r="R1847" s="23" t="e">
        <f ca="1">[1]!BexGetData("DP_1","00O2TNJGODT0G5Z4TTKYMMBYD","GSON1112150180")</f>
        <v>#NAME?</v>
      </c>
      <c r="S1847" s="23" t="e">
        <f ca="1">[1]!BexGetData("DP_1","00O2TNJGODT0G5Z4TTKYMMI9X","GSON1112150180")</f>
        <v>#NAME?</v>
      </c>
      <c r="T1847" s="23" t="e">
        <f ca="1">[1]!BexGetData("DP_1","00O2TNJGODT0G5Z4TTKYMMOLH","GSON1112150180")</f>
        <v>#NAME?</v>
      </c>
      <c r="U1847" s="28" t="e">
        <f ca="1">[1]!BexGetData("DP_1","00O2TNJGODT0G5Z4TTKYMMUX1","GSON1112150180")</f>
        <v>#NAME?</v>
      </c>
      <c r="V1847" s="23" t="e">
        <f ca="1">[1]!BexGetData("DP_1","00O2TNJGODT0G5Z4TTKYMN18L","GSON1112150180")</f>
        <v>#NAME?</v>
      </c>
      <c r="W1847" s="28" t="e">
        <f ca="1">[1]!BexGetData("DP_1","00O2TNJGODT0G5Z4TTKYMN7K5","GSON1112150180")</f>
        <v>#NAME?</v>
      </c>
    </row>
    <row r="1848" spans="1:23" x14ac:dyDescent="0.2">
      <c r="A1848" s="36" t="s">
        <v>4739</v>
      </c>
      <c r="B1848" s="27" t="s">
        <v>4740</v>
      </c>
      <c r="C1848" s="24" t="e">
        <f ca="1">[1]!BexGetData("DP_1","003N8EMH8GTFRCSWKMPXRR8GU","GSON1112150184")</f>
        <v>#NAME?</v>
      </c>
      <c r="D1848" s="24" t="e">
        <f ca="1">[1]!BexGetData("DP_1","003N8EMH8GTFRCSWKMPXRRESE","GSON1112150184")</f>
        <v>#NAME?</v>
      </c>
      <c r="E1848" s="24" t="e">
        <f ca="1">[1]!BexGetData("DP_1","003N8EMH8GTFRCSWKMPXRRL3Y","GSON1112150184")</f>
        <v>#NAME?</v>
      </c>
      <c r="F1848" s="28" t="e">
        <f ca="1">[1]!BexGetData("DP_1","003N8EMH8GTFRCSWKMPXRRRFI","GSON1112150184")</f>
        <v>#NAME?</v>
      </c>
      <c r="G1848" s="23" t="e">
        <f ca="1">[1]!BexGetData("DP_1","003N8EMH8GTFRCSWKMPXRRXR2","GSON1112150184")</f>
        <v>#NAME?</v>
      </c>
      <c r="H1848" s="23" t="e">
        <f ca="1">[1]!BexGetData("DP_1","003N8EMH8GTFRCSWKMPXRS42M","GSON1112150184")</f>
        <v>#NAME?</v>
      </c>
      <c r="I1848" s="28" t="e">
        <f ca="1">[1]!BexGetData("DP_1","003N8EMH8GTFRCSWKMPXRSAE6","GSON1112150184")</f>
        <v>#NAME?</v>
      </c>
      <c r="J1848" s="24" t="e">
        <f ca="1">[1]!BexGetData("DP_1","003N8EMH8GTFRCSWKMPXRSGPQ","GSON1112150184")</f>
        <v>#NAME?</v>
      </c>
      <c r="K1848" s="28" t="e">
        <f ca="1">[1]!BexGetData("DP_1","003N8EMH8GTFRIVNUPY288VJH","GSON1112150184")</f>
        <v>#NAME?</v>
      </c>
      <c r="L1848" s="28" t="e">
        <f ca="1">[1]!BexGetData("DP_1","003N8EMH8GTFRIVNUPY2891V1","GSON1112150184")</f>
        <v>#NAME?</v>
      </c>
      <c r="M1848" s="28" t="e">
        <f ca="1">[1]!BexGetData("DP_1","003N8EMH8GTFRIVOG7KG9IQXA","GSON1112150184")</f>
        <v>#NAME?</v>
      </c>
      <c r="N1848" s="28" t="e">
        <f ca="1">[1]!BexGetData("DP_1","003N8EMH8GTFRIVOG7KG9IX8U","GSON1112150184")</f>
        <v>#NAME?</v>
      </c>
      <c r="O1848" s="28" t="e">
        <f ca="1">[1]!BexGetData("DP_1","003N8EMH8GTFRIVOG7KG9J3KE","GSON1112150184")</f>
        <v>#NAME?</v>
      </c>
      <c r="P1848" s="28" t="e">
        <f ca="1">[1]!BexGetData("DP_1","003N8EMH8GTFRIVOG7KG9J9VY","GSON1112150184")</f>
        <v>#NAME?</v>
      </c>
      <c r="Q1848" s="24" t="e">
        <f ca="1">[1]!BexGetData("DP_1","00O2TNJGODT0G5Z4TTKYMM5MT","GSON1112150184")</f>
        <v>#NAME?</v>
      </c>
      <c r="R1848" s="28" t="e">
        <f ca="1">[1]!BexGetData("DP_1","00O2TNJGODT0G5Z4TTKYMMBYD","GSON1112150184")</f>
        <v>#NAME?</v>
      </c>
      <c r="S1848" s="28" t="e">
        <f ca="1">[1]!BexGetData("DP_1","00O2TNJGODT0G5Z4TTKYMMI9X","GSON1112150184")</f>
        <v>#NAME?</v>
      </c>
      <c r="T1848" s="28" t="e">
        <f ca="1">[1]!BexGetData("DP_1","00O2TNJGODT0G5Z4TTKYMMOLH","GSON1112150184")</f>
        <v>#NAME?</v>
      </c>
      <c r="U1848" s="28" t="e">
        <f ca="1">[1]!BexGetData("DP_1","00O2TNJGODT0G5Z4TTKYMMUX1","GSON1112150184")</f>
        <v>#NAME?</v>
      </c>
      <c r="V1848" s="28" t="e">
        <f ca="1">[1]!BexGetData("DP_1","00O2TNJGODT0G5Z4TTKYMN18L","GSON1112150184")</f>
        <v>#NAME?</v>
      </c>
      <c r="W1848" s="28" t="e">
        <f ca="1">[1]!BexGetData("DP_1","00O2TNJGODT0G5Z4TTKYMN7K5","GSON1112150184")</f>
        <v>#NAME?</v>
      </c>
    </row>
    <row r="1849" spans="1:23" x14ac:dyDescent="0.2">
      <c r="A1849" s="36" t="s">
        <v>4741</v>
      </c>
      <c r="B1849" s="27" t="s">
        <v>4742</v>
      </c>
      <c r="C1849" s="23" t="e">
        <f ca="1">[1]!BexGetData("DP_1","003N8EMH8GTFRCSWKMPXRR8GU","GSON1112150185")</f>
        <v>#NAME?</v>
      </c>
      <c r="D1849" s="23" t="e">
        <f ca="1">[1]!BexGetData("DP_1","003N8EMH8GTFRCSWKMPXRRESE","GSON1112150185")</f>
        <v>#NAME?</v>
      </c>
      <c r="E1849" s="28" t="e">
        <f ca="1">[1]!BexGetData("DP_1","003N8EMH8GTFRCSWKMPXRRL3Y","GSON1112150185")</f>
        <v>#NAME?</v>
      </c>
      <c r="F1849" s="28" t="e">
        <f ca="1">[1]!BexGetData("DP_1","003N8EMH8GTFRCSWKMPXRRRFI","GSON1112150185")</f>
        <v>#NAME?</v>
      </c>
      <c r="G1849" s="23" t="e">
        <f ca="1">[1]!BexGetData("DP_1","003N8EMH8GTFRCSWKMPXRRXR2","GSON1112150185")</f>
        <v>#NAME?</v>
      </c>
      <c r="H1849" s="23" t="e">
        <f ca="1">[1]!BexGetData("DP_1","003N8EMH8GTFRCSWKMPXRS42M","GSON1112150185")</f>
        <v>#NAME?</v>
      </c>
      <c r="I1849" s="28" t="e">
        <f ca="1">[1]!BexGetData("DP_1","003N8EMH8GTFRCSWKMPXRSAE6","GSON1112150185")</f>
        <v>#NAME?</v>
      </c>
      <c r="J1849" s="24" t="e">
        <f ca="1">[1]!BexGetData("DP_1","003N8EMH8GTFRCSWKMPXRSGPQ","GSON1112150185")</f>
        <v>#NAME?</v>
      </c>
      <c r="K1849" s="28" t="e">
        <f ca="1">[1]!BexGetData("DP_1","003N8EMH8GTFRIVNUPY288VJH","GSON1112150185")</f>
        <v>#NAME?</v>
      </c>
      <c r="L1849" s="28" t="e">
        <f ca="1">[1]!BexGetData("DP_1","003N8EMH8GTFRIVNUPY2891V1","GSON1112150185")</f>
        <v>#NAME?</v>
      </c>
      <c r="M1849" s="28" t="e">
        <f ca="1">[1]!BexGetData("DP_1","003N8EMH8GTFRIVOG7KG9IQXA","GSON1112150185")</f>
        <v>#NAME?</v>
      </c>
      <c r="N1849" s="28" t="e">
        <f ca="1">[1]!BexGetData("DP_1","003N8EMH8GTFRIVOG7KG9IX8U","GSON1112150185")</f>
        <v>#NAME?</v>
      </c>
      <c r="O1849" s="28" t="e">
        <f ca="1">[1]!BexGetData("DP_1","003N8EMH8GTFRIVOG7KG9J3KE","GSON1112150185")</f>
        <v>#NAME?</v>
      </c>
      <c r="P1849" s="28" t="e">
        <f ca="1">[1]!BexGetData("DP_1","003N8EMH8GTFRIVOG7KG9J9VY","GSON1112150185")</f>
        <v>#NAME?</v>
      </c>
      <c r="Q1849" s="24" t="e">
        <f ca="1">[1]!BexGetData("DP_1","00O2TNJGODT0G5Z4TTKYMM5MT","GSON1112150185")</f>
        <v>#NAME?</v>
      </c>
      <c r="R1849" s="28" t="e">
        <f ca="1">[1]!BexGetData("DP_1","00O2TNJGODT0G5Z4TTKYMMBYD","GSON1112150185")</f>
        <v>#NAME?</v>
      </c>
      <c r="S1849" s="28" t="e">
        <f ca="1">[1]!BexGetData("DP_1","00O2TNJGODT0G5Z4TTKYMMI9X","GSON1112150185")</f>
        <v>#NAME?</v>
      </c>
      <c r="T1849" s="28" t="e">
        <f ca="1">[1]!BexGetData("DP_1","00O2TNJGODT0G5Z4TTKYMMOLH","GSON1112150185")</f>
        <v>#NAME?</v>
      </c>
      <c r="U1849" s="28" t="e">
        <f ca="1">[1]!BexGetData("DP_1","00O2TNJGODT0G5Z4TTKYMMUX1","GSON1112150185")</f>
        <v>#NAME?</v>
      </c>
      <c r="V1849" s="28" t="e">
        <f ca="1">[1]!BexGetData("DP_1","00O2TNJGODT0G5Z4TTKYMN18L","GSON1112150185")</f>
        <v>#NAME?</v>
      </c>
      <c r="W1849" s="28" t="e">
        <f ca="1">[1]!BexGetData("DP_1","00O2TNJGODT0G5Z4TTKYMN7K5","GSON1112150185")</f>
        <v>#NAME?</v>
      </c>
    </row>
    <row r="1850" spans="1:23" x14ac:dyDescent="0.2">
      <c r="A1850" s="36" t="s">
        <v>4743</v>
      </c>
      <c r="B1850" s="27" t="s">
        <v>4744</v>
      </c>
      <c r="C1850" s="28" t="e">
        <f ca="1">[1]!BexGetData("DP_1","003N8EMH8GTFRCSWKMPXRR8GU","GSON1112150190")</f>
        <v>#NAME?</v>
      </c>
      <c r="D1850" s="28" t="e">
        <f ca="1">[1]!BexGetData("DP_1","003N8EMH8GTFRCSWKMPXRRESE","GSON1112150190")</f>
        <v>#NAME?</v>
      </c>
      <c r="E1850" s="23" t="e">
        <f ca="1">[1]!BexGetData("DP_1","003N8EMH8GTFRCSWKMPXRRL3Y","GSON1112150190")</f>
        <v>#NAME?</v>
      </c>
      <c r="F1850" s="23" t="e">
        <f ca="1">[1]!BexGetData("DP_1","003N8EMH8GTFRCSWKMPXRRRFI","GSON1112150190")</f>
        <v>#NAME?</v>
      </c>
      <c r="G1850" s="28" t="e">
        <f ca="1">[1]!BexGetData("DP_1","003N8EMH8GTFRCSWKMPXRRXR2","GSON1112150190")</f>
        <v>#NAME?</v>
      </c>
      <c r="H1850" s="23" t="e">
        <f ca="1">[1]!BexGetData("DP_1","003N8EMH8GTFRCSWKMPXRS42M","GSON1112150190")</f>
        <v>#NAME?</v>
      </c>
      <c r="I1850" s="23" t="e">
        <f ca="1">[1]!BexGetData("DP_1","003N8EMH8GTFRCSWKMPXRSAE6","GSON1112150190")</f>
        <v>#NAME?</v>
      </c>
      <c r="J1850" s="23" t="e">
        <f ca="1">[1]!BexGetData("DP_1","003N8EMH8GTFRCSWKMPXRSGPQ","GSON1112150190")</f>
        <v>#NAME?</v>
      </c>
      <c r="K1850" s="28" t="e">
        <f ca="1">[1]!BexGetData("DP_1","003N8EMH8GTFRIVNUPY288VJH","GSON1112150190")</f>
        <v>#NAME?</v>
      </c>
      <c r="L1850" s="28" t="e">
        <f ca="1">[1]!BexGetData("DP_1","003N8EMH8GTFRIVNUPY2891V1","GSON1112150190")</f>
        <v>#NAME?</v>
      </c>
      <c r="M1850" s="28" t="e">
        <f ca="1">[1]!BexGetData("DP_1","003N8EMH8GTFRIVOG7KG9IQXA","GSON1112150190")</f>
        <v>#NAME?</v>
      </c>
      <c r="N1850" s="28" t="e">
        <f ca="1">[1]!BexGetData("DP_1","003N8EMH8GTFRIVOG7KG9IX8U","GSON1112150190")</f>
        <v>#NAME?</v>
      </c>
      <c r="O1850" s="28" t="e">
        <f ca="1">[1]!BexGetData("DP_1","003N8EMH8GTFRIVOG7KG9J3KE","GSON1112150190")</f>
        <v>#NAME?</v>
      </c>
      <c r="P1850" s="28" t="e">
        <f ca="1">[1]!BexGetData("DP_1","003N8EMH8GTFRIVOG7KG9J9VY","GSON1112150190")</f>
        <v>#NAME?</v>
      </c>
      <c r="Q1850" s="23" t="e">
        <f ca="1">[1]!BexGetData("DP_1","00O2TNJGODT0G5Z4TTKYMM5MT","GSON1112150190")</f>
        <v>#NAME?</v>
      </c>
      <c r="R1850" s="23" t="e">
        <f ca="1">[1]!BexGetData("DP_1","00O2TNJGODT0G5Z4TTKYMMBYD","GSON1112150190")</f>
        <v>#NAME?</v>
      </c>
      <c r="S1850" s="23" t="e">
        <f ca="1">[1]!BexGetData("DP_1","00O2TNJGODT0G5Z4TTKYMMI9X","GSON1112150190")</f>
        <v>#NAME?</v>
      </c>
      <c r="T1850" s="23" t="e">
        <f ca="1">[1]!BexGetData("DP_1","00O2TNJGODT0G5Z4TTKYMMOLH","GSON1112150190")</f>
        <v>#NAME?</v>
      </c>
      <c r="U1850" s="28" t="e">
        <f ca="1">[1]!BexGetData("DP_1","00O2TNJGODT0G5Z4TTKYMMUX1","GSON1112150190")</f>
        <v>#NAME?</v>
      </c>
      <c r="V1850" s="23" t="e">
        <f ca="1">[1]!BexGetData("DP_1","00O2TNJGODT0G5Z4TTKYMN18L","GSON1112150190")</f>
        <v>#NAME?</v>
      </c>
      <c r="W1850" s="28" t="e">
        <f ca="1">[1]!BexGetData("DP_1","00O2TNJGODT0G5Z4TTKYMN7K5","GSON1112150190")</f>
        <v>#NAME?</v>
      </c>
    </row>
    <row r="1851" spans="1:23" x14ac:dyDescent="0.2">
      <c r="A1851" s="36" t="s">
        <v>4745</v>
      </c>
      <c r="B1851" s="27" t="s">
        <v>4746</v>
      </c>
      <c r="C1851" s="24" t="e">
        <f ca="1">[1]!BexGetData("DP_1","003N8EMH8GTFRCSWKMPXRR8GU","GSON1112150194")</f>
        <v>#NAME?</v>
      </c>
      <c r="D1851" s="24" t="e">
        <f ca="1">[1]!BexGetData("DP_1","003N8EMH8GTFRCSWKMPXRRESE","GSON1112150194")</f>
        <v>#NAME?</v>
      </c>
      <c r="E1851" s="24" t="e">
        <f ca="1">[1]!BexGetData("DP_1","003N8EMH8GTFRCSWKMPXRRL3Y","GSON1112150194")</f>
        <v>#NAME?</v>
      </c>
      <c r="F1851" s="28" t="e">
        <f ca="1">[1]!BexGetData("DP_1","003N8EMH8GTFRCSWKMPXRRRFI","GSON1112150194")</f>
        <v>#NAME?</v>
      </c>
      <c r="G1851" s="23" t="e">
        <f ca="1">[1]!BexGetData("DP_1","003N8EMH8GTFRCSWKMPXRRXR2","GSON1112150194")</f>
        <v>#NAME?</v>
      </c>
      <c r="H1851" s="23" t="e">
        <f ca="1">[1]!BexGetData("DP_1","003N8EMH8GTFRCSWKMPXRS42M","GSON1112150194")</f>
        <v>#NAME?</v>
      </c>
      <c r="I1851" s="28" t="e">
        <f ca="1">[1]!BexGetData("DP_1","003N8EMH8GTFRCSWKMPXRSAE6","GSON1112150194")</f>
        <v>#NAME?</v>
      </c>
      <c r="J1851" s="24" t="e">
        <f ca="1">[1]!BexGetData("DP_1","003N8EMH8GTFRCSWKMPXRSGPQ","GSON1112150194")</f>
        <v>#NAME?</v>
      </c>
      <c r="K1851" s="28" t="e">
        <f ca="1">[1]!BexGetData("DP_1","003N8EMH8GTFRIVNUPY288VJH","GSON1112150194")</f>
        <v>#NAME?</v>
      </c>
      <c r="L1851" s="28" t="e">
        <f ca="1">[1]!BexGetData("DP_1","003N8EMH8GTFRIVNUPY2891V1","GSON1112150194")</f>
        <v>#NAME?</v>
      </c>
      <c r="M1851" s="28" t="e">
        <f ca="1">[1]!BexGetData("DP_1","003N8EMH8GTFRIVOG7KG9IQXA","GSON1112150194")</f>
        <v>#NAME?</v>
      </c>
      <c r="N1851" s="28" t="e">
        <f ca="1">[1]!BexGetData("DP_1","003N8EMH8GTFRIVOG7KG9IX8U","GSON1112150194")</f>
        <v>#NAME?</v>
      </c>
      <c r="O1851" s="28" t="e">
        <f ca="1">[1]!BexGetData("DP_1","003N8EMH8GTFRIVOG7KG9J3KE","GSON1112150194")</f>
        <v>#NAME?</v>
      </c>
      <c r="P1851" s="28" t="e">
        <f ca="1">[1]!BexGetData("DP_1","003N8EMH8GTFRIVOG7KG9J9VY","GSON1112150194")</f>
        <v>#NAME?</v>
      </c>
      <c r="Q1851" s="24" t="e">
        <f ca="1">[1]!BexGetData("DP_1","00O2TNJGODT0G5Z4TTKYMM5MT","GSON1112150194")</f>
        <v>#NAME?</v>
      </c>
      <c r="R1851" s="28" t="e">
        <f ca="1">[1]!BexGetData("DP_1","00O2TNJGODT0G5Z4TTKYMMBYD","GSON1112150194")</f>
        <v>#NAME?</v>
      </c>
      <c r="S1851" s="28" t="e">
        <f ca="1">[1]!BexGetData("DP_1","00O2TNJGODT0G5Z4TTKYMMI9X","GSON1112150194")</f>
        <v>#NAME?</v>
      </c>
      <c r="T1851" s="28" t="e">
        <f ca="1">[1]!BexGetData("DP_1","00O2TNJGODT0G5Z4TTKYMMOLH","GSON1112150194")</f>
        <v>#NAME?</v>
      </c>
      <c r="U1851" s="28" t="e">
        <f ca="1">[1]!BexGetData("DP_1","00O2TNJGODT0G5Z4TTKYMMUX1","GSON1112150194")</f>
        <v>#NAME?</v>
      </c>
      <c r="V1851" s="28" t="e">
        <f ca="1">[1]!BexGetData("DP_1","00O2TNJGODT0G5Z4TTKYMN18L","GSON1112150194")</f>
        <v>#NAME?</v>
      </c>
      <c r="W1851" s="28" t="e">
        <f ca="1">[1]!BexGetData("DP_1","00O2TNJGODT0G5Z4TTKYMN7K5","GSON1112150194")</f>
        <v>#NAME?</v>
      </c>
    </row>
    <row r="1852" spans="1:23" x14ac:dyDescent="0.2">
      <c r="A1852" s="36" t="s">
        <v>4747</v>
      </c>
      <c r="B1852" s="27" t="s">
        <v>4748</v>
      </c>
      <c r="C1852" s="23" t="e">
        <f ca="1">[1]!BexGetData("DP_1","003N8EMH8GTFRCSWKMPXRR8GU","GSON1112150240")</f>
        <v>#NAME?</v>
      </c>
      <c r="D1852" s="28" t="e">
        <f ca="1">[1]!BexGetData("DP_1","003N8EMH8GTFRCSWKMPXRRESE","GSON1112150240")</f>
        <v>#NAME?</v>
      </c>
      <c r="E1852" s="23" t="e">
        <f ca="1">[1]!BexGetData("DP_1","003N8EMH8GTFRCSWKMPXRRL3Y","GSON1112150240")</f>
        <v>#NAME?</v>
      </c>
      <c r="F1852" s="23" t="e">
        <f ca="1">[1]!BexGetData("DP_1","003N8EMH8GTFRCSWKMPXRRRFI","GSON1112150240")</f>
        <v>#NAME?</v>
      </c>
      <c r="G1852" s="23" t="e">
        <f ca="1">[1]!BexGetData("DP_1","003N8EMH8GTFRCSWKMPXRRXR2","GSON1112150240")</f>
        <v>#NAME?</v>
      </c>
      <c r="H1852" s="23" t="e">
        <f ca="1">[1]!BexGetData("DP_1","003N8EMH8GTFRCSWKMPXRS42M","GSON1112150240")</f>
        <v>#NAME?</v>
      </c>
      <c r="I1852" s="23" t="e">
        <f ca="1">[1]!BexGetData("DP_1","003N8EMH8GTFRCSWKMPXRSAE6","GSON1112150240")</f>
        <v>#NAME?</v>
      </c>
      <c r="J1852" s="23" t="e">
        <f ca="1">[1]!BexGetData("DP_1","003N8EMH8GTFRCSWKMPXRSGPQ","GSON1112150240")</f>
        <v>#NAME?</v>
      </c>
      <c r="K1852" s="23" t="e">
        <f ca="1">[1]!BexGetData("DP_1","003N8EMH8GTFRIVNUPY288VJH","GSON1112150240")</f>
        <v>#NAME?</v>
      </c>
      <c r="L1852" s="23" t="e">
        <f ca="1">[1]!BexGetData("DP_1","003N8EMH8GTFRIVNUPY2891V1","GSON1112150240")</f>
        <v>#NAME?</v>
      </c>
      <c r="M1852" s="28" t="e">
        <f ca="1">[1]!BexGetData("DP_1","003N8EMH8GTFRIVOG7KG9IQXA","GSON1112150240")</f>
        <v>#NAME?</v>
      </c>
      <c r="N1852" s="23" t="e">
        <f ca="1">[1]!BexGetData("DP_1","003N8EMH8GTFRIVOG7KG9IX8U","GSON1112150240")</f>
        <v>#NAME?</v>
      </c>
      <c r="O1852" s="28" t="e">
        <f ca="1">[1]!BexGetData("DP_1","003N8EMH8GTFRIVOG7KG9J3KE","GSON1112150240")</f>
        <v>#NAME?</v>
      </c>
      <c r="P1852" s="23" t="e">
        <f ca="1">[1]!BexGetData("DP_1","003N8EMH8GTFRIVOG7KG9J9VY","GSON1112150240")</f>
        <v>#NAME?</v>
      </c>
      <c r="Q1852" s="23" t="e">
        <f ca="1">[1]!BexGetData("DP_1","00O2TNJGODT0G5Z4TTKYMM5MT","GSON1112150240")</f>
        <v>#NAME?</v>
      </c>
      <c r="R1852" s="23" t="e">
        <f ca="1">[1]!BexGetData("DP_1","00O2TNJGODT0G5Z4TTKYMMBYD","GSON1112150240")</f>
        <v>#NAME?</v>
      </c>
      <c r="S1852" s="23" t="e">
        <f ca="1">[1]!BexGetData("DP_1","00O2TNJGODT0G5Z4TTKYMMI9X","GSON1112150240")</f>
        <v>#NAME?</v>
      </c>
      <c r="T1852" s="23" t="e">
        <f ca="1">[1]!BexGetData("DP_1","00O2TNJGODT0G5Z4TTKYMMOLH","GSON1112150240")</f>
        <v>#NAME?</v>
      </c>
      <c r="U1852" s="28" t="e">
        <f ca="1">[1]!BexGetData("DP_1","00O2TNJGODT0G5Z4TTKYMMUX1","GSON1112150240")</f>
        <v>#NAME?</v>
      </c>
      <c r="V1852" s="23" t="e">
        <f ca="1">[1]!BexGetData("DP_1","00O2TNJGODT0G5Z4TTKYMN18L","GSON1112150240")</f>
        <v>#NAME?</v>
      </c>
      <c r="W1852" s="28" t="e">
        <f ca="1">[1]!BexGetData("DP_1","00O2TNJGODT0G5Z4TTKYMN7K5","GSON1112150240")</f>
        <v>#NAME?</v>
      </c>
    </row>
    <row r="1853" spans="1:23" x14ac:dyDescent="0.2">
      <c r="A1853" s="36" t="s">
        <v>4749</v>
      </c>
      <c r="B1853" s="27" t="s">
        <v>4750</v>
      </c>
      <c r="C1853" s="24" t="e">
        <f ca="1">[1]!BexGetData("DP_1","003N8EMH8GTFRCSWKMPXRR8GU","GSON1112150244")</f>
        <v>#NAME?</v>
      </c>
      <c r="D1853" s="24" t="e">
        <f ca="1">[1]!BexGetData("DP_1","003N8EMH8GTFRCSWKMPXRRESE","GSON1112150244")</f>
        <v>#NAME?</v>
      </c>
      <c r="E1853" s="24" t="e">
        <f ca="1">[1]!BexGetData("DP_1","003N8EMH8GTFRCSWKMPXRRL3Y","GSON1112150244")</f>
        <v>#NAME?</v>
      </c>
      <c r="F1853" s="28" t="e">
        <f ca="1">[1]!BexGetData("DP_1","003N8EMH8GTFRCSWKMPXRRRFI","GSON1112150244")</f>
        <v>#NAME?</v>
      </c>
      <c r="G1853" s="23" t="e">
        <f ca="1">[1]!BexGetData("DP_1","003N8EMH8GTFRCSWKMPXRRXR2","GSON1112150244")</f>
        <v>#NAME?</v>
      </c>
      <c r="H1853" s="23" t="e">
        <f ca="1">[1]!BexGetData("DP_1","003N8EMH8GTFRCSWKMPXRS42M","GSON1112150244")</f>
        <v>#NAME?</v>
      </c>
      <c r="I1853" s="28" t="e">
        <f ca="1">[1]!BexGetData("DP_1","003N8EMH8GTFRCSWKMPXRSAE6","GSON1112150244")</f>
        <v>#NAME?</v>
      </c>
      <c r="J1853" s="24" t="e">
        <f ca="1">[1]!BexGetData("DP_1","003N8EMH8GTFRCSWKMPXRSGPQ","GSON1112150244")</f>
        <v>#NAME?</v>
      </c>
      <c r="K1853" s="28" t="e">
        <f ca="1">[1]!BexGetData("DP_1","003N8EMH8GTFRIVNUPY288VJH","GSON1112150244")</f>
        <v>#NAME?</v>
      </c>
      <c r="L1853" s="28" t="e">
        <f ca="1">[1]!BexGetData("DP_1","003N8EMH8GTFRIVNUPY2891V1","GSON1112150244")</f>
        <v>#NAME?</v>
      </c>
      <c r="M1853" s="28" t="e">
        <f ca="1">[1]!BexGetData("DP_1","003N8EMH8GTFRIVOG7KG9IQXA","GSON1112150244")</f>
        <v>#NAME?</v>
      </c>
      <c r="N1853" s="28" t="e">
        <f ca="1">[1]!BexGetData("DP_1","003N8EMH8GTFRIVOG7KG9IX8U","GSON1112150244")</f>
        <v>#NAME?</v>
      </c>
      <c r="O1853" s="28" t="e">
        <f ca="1">[1]!BexGetData("DP_1","003N8EMH8GTFRIVOG7KG9J3KE","GSON1112150244")</f>
        <v>#NAME?</v>
      </c>
      <c r="P1853" s="28" t="e">
        <f ca="1">[1]!BexGetData("DP_1","003N8EMH8GTFRIVOG7KG9J9VY","GSON1112150244")</f>
        <v>#NAME?</v>
      </c>
      <c r="Q1853" s="24" t="e">
        <f ca="1">[1]!BexGetData("DP_1","00O2TNJGODT0G5Z4TTKYMM5MT","GSON1112150244")</f>
        <v>#NAME?</v>
      </c>
      <c r="R1853" s="28" t="e">
        <f ca="1">[1]!BexGetData("DP_1","00O2TNJGODT0G5Z4TTKYMMBYD","GSON1112150244")</f>
        <v>#NAME?</v>
      </c>
      <c r="S1853" s="28" t="e">
        <f ca="1">[1]!BexGetData("DP_1","00O2TNJGODT0G5Z4TTKYMMI9X","GSON1112150244")</f>
        <v>#NAME?</v>
      </c>
      <c r="T1853" s="28" t="e">
        <f ca="1">[1]!BexGetData("DP_1","00O2TNJGODT0G5Z4TTKYMMOLH","GSON1112150244")</f>
        <v>#NAME?</v>
      </c>
      <c r="U1853" s="28" t="e">
        <f ca="1">[1]!BexGetData("DP_1","00O2TNJGODT0G5Z4TTKYMMUX1","GSON1112150244")</f>
        <v>#NAME?</v>
      </c>
      <c r="V1853" s="28" t="e">
        <f ca="1">[1]!BexGetData("DP_1","00O2TNJGODT0G5Z4TTKYMN18L","GSON1112150244")</f>
        <v>#NAME?</v>
      </c>
      <c r="W1853" s="28" t="e">
        <f ca="1">[1]!BexGetData("DP_1","00O2TNJGODT0G5Z4TTKYMN7K5","GSON1112150244")</f>
        <v>#NAME?</v>
      </c>
    </row>
    <row r="1854" spans="1:23" x14ac:dyDescent="0.2">
      <c r="A1854" s="36" t="s">
        <v>4751</v>
      </c>
      <c r="B1854" s="27" t="s">
        <v>4752</v>
      </c>
      <c r="C1854" s="23" t="e">
        <f ca="1">[1]!BexGetData("DP_1","003N8EMH8GTFRCSWKMPXRR8GU","GSON1112150245")</f>
        <v>#NAME?</v>
      </c>
      <c r="D1854" s="23" t="e">
        <f ca="1">[1]!BexGetData("DP_1","003N8EMH8GTFRCSWKMPXRRESE","GSON1112150245")</f>
        <v>#NAME?</v>
      </c>
      <c r="E1854" s="28" t="e">
        <f ca="1">[1]!BexGetData("DP_1","003N8EMH8GTFRCSWKMPXRRL3Y","GSON1112150245")</f>
        <v>#NAME?</v>
      </c>
      <c r="F1854" s="28" t="e">
        <f ca="1">[1]!BexGetData("DP_1","003N8EMH8GTFRCSWKMPXRRRFI","GSON1112150245")</f>
        <v>#NAME?</v>
      </c>
      <c r="G1854" s="23" t="e">
        <f ca="1">[1]!BexGetData("DP_1","003N8EMH8GTFRCSWKMPXRRXR2","GSON1112150245")</f>
        <v>#NAME?</v>
      </c>
      <c r="H1854" s="23" t="e">
        <f ca="1">[1]!BexGetData("DP_1","003N8EMH8GTFRCSWKMPXRS42M","GSON1112150245")</f>
        <v>#NAME?</v>
      </c>
      <c r="I1854" s="28" t="e">
        <f ca="1">[1]!BexGetData("DP_1","003N8EMH8GTFRCSWKMPXRSAE6","GSON1112150245")</f>
        <v>#NAME?</v>
      </c>
      <c r="J1854" s="24" t="e">
        <f ca="1">[1]!BexGetData("DP_1","003N8EMH8GTFRCSWKMPXRSGPQ","GSON1112150245")</f>
        <v>#NAME?</v>
      </c>
      <c r="K1854" s="28" t="e">
        <f ca="1">[1]!BexGetData("DP_1","003N8EMH8GTFRIVNUPY288VJH","GSON1112150245")</f>
        <v>#NAME?</v>
      </c>
      <c r="L1854" s="28" t="e">
        <f ca="1">[1]!BexGetData("DP_1","003N8EMH8GTFRIVNUPY2891V1","GSON1112150245")</f>
        <v>#NAME?</v>
      </c>
      <c r="M1854" s="28" t="e">
        <f ca="1">[1]!BexGetData("DP_1","003N8EMH8GTFRIVOG7KG9IQXA","GSON1112150245")</f>
        <v>#NAME?</v>
      </c>
      <c r="N1854" s="28" t="e">
        <f ca="1">[1]!BexGetData("DP_1","003N8EMH8GTFRIVOG7KG9IX8U","GSON1112150245")</f>
        <v>#NAME?</v>
      </c>
      <c r="O1854" s="28" t="e">
        <f ca="1">[1]!BexGetData("DP_1","003N8EMH8GTFRIVOG7KG9J3KE","GSON1112150245")</f>
        <v>#NAME?</v>
      </c>
      <c r="P1854" s="28" t="e">
        <f ca="1">[1]!BexGetData("DP_1","003N8EMH8GTFRIVOG7KG9J9VY","GSON1112150245")</f>
        <v>#NAME?</v>
      </c>
      <c r="Q1854" s="24" t="e">
        <f ca="1">[1]!BexGetData("DP_1","00O2TNJGODT0G5Z4TTKYMM5MT","GSON1112150245")</f>
        <v>#NAME?</v>
      </c>
      <c r="R1854" s="28" t="e">
        <f ca="1">[1]!BexGetData("DP_1","00O2TNJGODT0G5Z4TTKYMMBYD","GSON1112150245")</f>
        <v>#NAME?</v>
      </c>
      <c r="S1854" s="28" t="e">
        <f ca="1">[1]!BexGetData("DP_1","00O2TNJGODT0G5Z4TTKYMMI9X","GSON1112150245")</f>
        <v>#NAME?</v>
      </c>
      <c r="T1854" s="28" t="e">
        <f ca="1">[1]!BexGetData("DP_1","00O2TNJGODT0G5Z4TTKYMMOLH","GSON1112150245")</f>
        <v>#NAME?</v>
      </c>
      <c r="U1854" s="28" t="e">
        <f ca="1">[1]!BexGetData("DP_1","00O2TNJGODT0G5Z4TTKYMMUX1","GSON1112150245")</f>
        <v>#NAME?</v>
      </c>
      <c r="V1854" s="28" t="e">
        <f ca="1">[1]!BexGetData("DP_1","00O2TNJGODT0G5Z4TTKYMN18L","GSON1112150245")</f>
        <v>#NAME?</v>
      </c>
      <c r="W1854" s="28" t="e">
        <f ca="1">[1]!BexGetData("DP_1","00O2TNJGODT0G5Z4TTKYMN7K5","GSON1112150245")</f>
        <v>#NAME?</v>
      </c>
    </row>
    <row r="1855" spans="1:23" x14ac:dyDescent="0.2">
      <c r="A1855" s="36" t="s">
        <v>4753</v>
      </c>
      <c r="B1855" s="27" t="s">
        <v>4754</v>
      </c>
      <c r="C1855" s="23" t="e">
        <f ca="1">[1]!BexGetData("DP_1","003N8EMH8GTFRCSWKMPXRR8GU","GSON1112150260")</f>
        <v>#NAME?</v>
      </c>
      <c r="D1855" s="28" t="e">
        <f ca="1">[1]!BexGetData("DP_1","003N8EMH8GTFRCSWKMPXRRESE","GSON1112150260")</f>
        <v>#NAME?</v>
      </c>
      <c r="E1855" s="23" t="e">
        <f ca="1">[1]!BexGetData("DP_1","003N8EMH8GTFRCSWKMPXRRL3Y","GSON1112150260")</f>
        <v>#NAME?</v>
      </c>
      <c r="F1855" s="23" t="e">
        <f ca="1">[1]!BexGetData("DP_1","003N8EMH8GTFRCSWKMPXRRRFI","GSON1112150260")</f>
        <v>#NAME?</v>
      </c>
      <c r="G1855" s="23" t="e">
        <f ca="1">[1]!BexGetData("DP_1","003N8EMH8GTFRCSWKMPXRRXR2","GSON1112150260")</f>
        <v>#NAME?</v>
      </c>
      <c r="H1855" s="23" t="e">
        <f ca="1">[1]!BexGetData("DP_1","003N8EMH8GTFRCSWKMPXRS42M","GSON1112150260")</f>
        <v>#NAME?</v>
      </c>
      <c r="I1855" s="23" t="e">
        <f ca="1">[1]!BexGetData("DP_1","003N8EMH8GTFRCSWKMPXRSAE6","GSON1112150260")</f>
        <v>#NAME?</v>
      </c>
      <c r="J1855" s="23" t="e">
        <f ca="1">[1]!BexGetData("DP_1","003N8EMH8GTFRCSWKMPXRSGPQ","GSON1112150260")</f>
        <v>#NAME?</v>
      </c>
      <c r="K1855" s="23" t="e">
        <f ca="1">[1]!BexGetData("DP_1","003N8EMH8GTFRIVNUPY288VJH","GSON1112150260")</f>
        <v>#NAME?</v>
      </c>
      <c r="L1855" s="23" t="e">
        <f ca="1">[1]!BexGetData("DP_1","003N8EMH8GTFRIVNUPY2891V1","GSON1112150260")</f>
        <v>#NAME?</v>
      </c>
      <c r="M1855" s="28" t="e">
        <f ca="1">[1]!BexGetData("DP_1","003N8EMH8GTFRIVOG7KG9IQXA","GSON1112150260")</f>
        <v>#NAME?</v>
      </c>
      <c r="N1855" s="23" t="e">
        <f ca="1">[1]!BexGetData("DP_1","003N8EMH8GTFRIVOG7KG9IX8U","GSON1112150260")</f>
        <v>#NAME?</v>
      </c>
      <c r="O1855" s="28" t="e">
        <f ca="1">[1]!BexGetData("DP_1","003N8EMH8GTFRIVOG7KG9J3KE","GSON1112150260")</f>
        <v>#NAME?</v>
      </c>
      <c r="P1855" s="23" t="e">
        <f ca="1">[1]!BexGetData("DP_1","003N8EMH8GTFRIVOG7KG9J9VY","GSON1112150260")</f>
        <v>#NAME?</v>
      </c>
      <c r="Q1855" s="23" t="e">
        <f ca="1">[1]!BexGetData("DP_1","00O2TNJGODT0G5Z4TTKYMM5MT","GSON1112150260")</f>
        <v>#NAME?</v>
      </c>
      <c r="R1855" s="23" t="e">
        <f ca="1">[1]!BexGetData("DP_1","00O2TNJGODT0G5Z4TTKYMMBYD","GSON1112150260")</f>
        <v>#NAME?</v>
      </c>
      <c r="S1855" s="23" t="e">
        <f ca="1">[1]!BexGetData("DP_1","00O2TNJGODT0G5Z4TTKYMMI9X","GSON1112150260")</f>
        <v>#NAME?</v>
      </c>
      <c r="T1855" s="23" t="e">
        <f ca="1">[1]!BexGetData("DP_1","00O2TNJGODT0G5Z4TTKYMMOLH","GSON1112150260")</f>
        <v>#NAME?</v>
      </c>
      <c r="U1855" s="28" t="e">
        <f ca="1">[1]!BexGetData("DP_1","00O2TNJGODT0G5Z4TTKYMMUX1","GSON1112150260")</f>
        <v>#NAME?</v>
      </c>
      <c r="V1855" s="23" t="e">
        <f ca="1">[1]!BexGetData("DP_1","00O2TNJGODT0G5Z4TTKYMN18L","GSON1112150260")</f>
        <v>#NAME?</v>
      </c>
      <c r="W1855" s="28" t="e">
        <f ca="1">[1]!BexGetData("DP_1","00O2TNJGODT0G5Z4TTKYMN7K5","GSON1112150260")</f>
        <v>#NAME?</v>
      </c>
    </row>
    <row r="1856" spans="1:23" x14ac:dyDescent="0.2">
      <c r="A1856" s="36" t="s">
        <v>4755</v>
      </c>
      <c r="B1856" s="27" t="s">
        <v>4756</v>
      </c>
      <c r="C1856" s="24" t="e">
        <f ca="1">[1]!BexGetData("DP_1","003N8EMH8GTFRCSWKMPXRR8GU","GSON1112150264")</f>
        <v>#NAME?</v>
      </c>
      <c r="D1856" s="24" t="e">
        <f ca="1">[1]!BexGetData("DP_1","003N8EMH8GTFRCSWKMPXRRESE","GSON1112150264")</f>
        <v>#NAME?</v>
      </c>
      <c r="E1856" s="24" t="e">
        <f ca="1">[1]!BexGetData("DP_1","003N8EMH8GTFRCSWKMPXRRL3Y","GSON1112150264")</f>
        <v>#NAME?</v>
      </c>
      <c r="F1856" s="28" t="e">
        <f ca="1">[1]!BexGetData("DP_1","003N8EMH8GTFRCSWKMPXRRRFI","GSON1112150264")</f>
        <v>#NAME?</v>
      </c>
      <c r="G1856" s="23" t="e">
        <f ca="1">[1]!BexGetData("DP_1","003N8EMH8GTFRCSWKMPXRRXR2","GSON1112150264")</f>
        <v>#NAME?</v>
      </c>
      <c r="H1856" s="23" t="e">
        <f ca="1">[1]!BexGetData("DP_1","003N8EMH8GTFRCSWKMPXRS42M","GSON1112150264")</f>
        <v>#NAME?</v>
      </c>
      <c r="I1856" s="28" t="e">
        <f ca="1">[1]!BexGetData("DP_1","003N8EMH8GTFRCSWKMPXRSAE6","GSON1112150264")</f>
        <v>#NAME?</v>
      </c>
      <c r="J1856" s="24" t="e">
        <f ca="1">[1]!BexGetData("DP_1","003N8EMH8GTFRCSWKMPXRSGPQ","GSON1112150264")</f>
        <v>#NAME?</v>
      </c>
      <c r="K1856" s="28" t="e">
        <f ca="1">[1]!BexGetData("DP_1","003N8EMH8GTFRIVNUPY288VJH","GSON1112150264")</f>
        <v>#NAME?</v>
      </c>
      <c r="L1856" s="28" t="e">
        <f ca="1">[1]!BexGetData("DP_1","003N8EMH8GTFRIVNUPY2891V1","GSON1112150264")</f>
        <v>#NAME?</v>
      </c>
      <c r="M1856" s="28" t="e">
        <f ca="1">[1]!BexGetData("DP_1","003N8EMH8GTFRIVOG7KG9IQXA","GSON1112150264")</f>
        <v>#NAME?</v>
      </c>
      <c r="N1856" s="28" t="e">
        <f ca="1">[1]!BexGetData("DP_1","003N8EMH8GTFRIVOG7KG9IX8U","GSON1112150264")</f>
        <v>#NAME?</v>
      </c>
      <c r="O1856" s="28" t="e">
        <f ca="1">[1]!BexGetData("DP_1","003N8EMH8GTFRIVOG7KG9J3KE","GSON1112150264")</f>
        <v>#NAME?</v>
      </c>
      <c r="P1856" s="28" t="e">
        <f ca="1">[1]!BexGetData("DP_1","003N8EMH8GTFRIVOG7KG9J9VY","GSON1112150264")</f>
        <v>#NAME?</v>
      </c>
      <c r="Q1856" s="24" t="e">
        <f ca="1">[1]!BexGetData("DP_1","00O2TNJGODT0G5Z4TTKYMM5MT","GSON1112150264")</f>
        <v>#NAME?</v>
      </c>
      <c r="R1856" s="28" t="e">
        <f ca="1">[1]!BexGetData("DP_1","00O2TNJGODT0G5Z4TTKYMMBYD","GSON1112150264")</f>
        <v>#NAME?</v>
      </c>
      <c r="S1856" s="28" t="e">
        <f ca="1">[1]!BexGetData("DP_1","00O2TNJGODT0G5Z4TTKYMMI9X","GSON1112150264")</f>
        <v>#NAME?</v>
      </c>
      <c r="T1856" s="28" t="e">
        <f ca="1">[1]!BexGetData("DP_1","00O2TNJGODT0G5Z4TTKYMMOLH","GSON1112150264")</f>
        <v>#NAME?</v>
      </c>
      <c r="U1856" s="28" t="e">
        <f ca="1">[1]!BexGetData("DP_1","00O2TNJGODT0G5Z4TTKYMMUX1","GSON1112150264")</f>
        <v>#NAME?</v>
      </c>
      <c r="V1856" s="28" t="e">
        <f ca="1">[1]!BexGetData("DP_1","00O2TNJGODT0G5Z4TTKYMN18L","GSON1112150264")</f>
        <v>#NAME?</v>
      </c>
      <c r="W1856" s="28" t="e">
        <f ca="1">[1]!BexGetData("DP_1","00O2TNJGODT0G5Z4TTKYMN7K5","GSON1112150264")</f>
        <v>#NAME?</v>
      </c>
    </row>
    <row r="1857" spans="1:23" x14ac:dyDescent="0.2">
      <c r="A1857" s="36" t="s">
        <v>4757</v>
      </c>
      <c r="B1857" s="27" t="s">
        <v>4758</v>
      </c>
      <c r="C1857" s="23" t="e">
        <f ca="1">[1]!BexGetData("DP_1","003N8EMH8GTFRCSWKMPXRR8GU","GSON1112150265")</f>
        <v>#NAME?</v>
      </c>
      <c r="D1857" s="23" t="e">
        <f ca="1">[1]!BexGetData("DP_1","003N8EMH8GTFRCSWKMPXRRESE","GSON1112150265")</f>
        <v>#NAME?</v>
      </c>
      <c r="E1857" s="28" t="e">
        <f ca="1">[1]!BexGetData("DP_1","003N8EMH8GTFRCSWKMPXRRL3Y","GSON1112150265")</f>
        <v>#NAME?</v>
      </c>
      <c r="F1857" s="28" t="e">
        <f ca="1">[1]!BexGetData("DP_1","003N8EMH8GTFRCSWKMPXRRRFI","GSON1112150265")</f>
        <v>#NAME?</v>
      </c>
      <c r="G1857" s="23" t="e">
        <f ca="1">[1]!BexGetData("DP_1","003N8EMH8GTFRCSWKMPXRRXR2","GSON1112150265")</f>
        <v>#NAME?</v>
      </c>
      <c r="H1857" s="23" t="e">
        <f ca="1">[1]!BexGetData("DP_1","003N8EMH8GTFRCSWKMPXRS42M","GSON1112150265")</f>
        <v>#NAME?</v>
      </c>
      <c r="I1857" s="28" t="e">
        <f ca="1">[1]!BexGetData("DP_1","003N8EMH8GTFRCSWKMPXRSAE6","GSON1112150265")</f>
        <v>#NAME?</v>
      </c>
      <c r="J1857" s="24" t="e">
        <f ca="1">[1]!BexGetData("DP_1","003N8EMH8GTFRCSWKMPXRSGPQ","GSON1112150265")</f>
        <v>#NAME?</v>
      </c>
      <c r="K1857" s="28" t="e">
        <f ca="1">[1]!BexGetData("DP_1","003N8EMH8GTFRIVNUPY288VJH","GSON1112150265")</f>
        <v>#NAME?</v>
      </c>
      <c r="L1857" s="28" t="e">
        <f ca="1">[1]!BexGetData("DP_1","003N8EMH8GTFRIVNUPY2891V1","GSON1112150265")</f>
        <v>#NAME?</v>
      </c>
      <c r="M1857" s="28" t="e">
        <f ca="1">[1]!BexGetData("DP_1","003N8EMH8GTFRIVOG7KG9IQXA","GSON1112150265")</f>
        <v>#NAME?</v>
      </c>
      <c r="N1857" s="28" t="e">
        <f ca="1">[1]!BexGetData("DP_1","003N8EMH8GTFRIVOG7KG9IX8U","GSON1112150265")</f>
        <v>#NAME?</v>
      </c>
      <c r="O1857" s="28" t="e">
        <f ca="1">[1]!BexGetData("DP_1","003N8EMH8GTFRIVOG7KG9J3KE","GSON1112150265")</f>
        <v>#NAME?</v>
      </c>
      <c r="P1857" s="28" t="e">
        <f ca="1">[1]!BexGetData("DP_1","003N8EMH8GTFRIVOG7KG9J9VY","GSON1112150265")</f>
        <v>#NAME?</v>
      </c>
      <c r="Q1857" s="24" t="e">
        <f ca="1">[1]!BexGetData("DP_1","00O2TNJGODT0G5Z4TTKYMM5MT","GSON1112150265")</f>
        <v>#NAME?</v>
      </c>
      <c r="R1857" s="28" t="e">
        <f ca="1">[1]!BexGetData("DP_1","00O2TNJGODT0G5Z4TTKYMMBYD","GSON1112150265")</f>
        <v>#NAME?</v>
      </c>
      <c r="S1857" s="28" t="e">
        <f ca="1">[1]!BexGetData("DP_1","00O2TNJGODT0G5Z4TTKYMMI9X","GSON1112150265")</f>
        <v>#NAME?</v>
      </c>
      <c r="T1857" s="28" t="e">
        <f ca="1">[1]!BexGetData("DP_1","00O2TNJGODT0G5Z4TTKYMMOLH","GSON1112150265")</f>
        <v>#NAME?</v>
      </c>
      <c r="U1857" s="28" t="e">
        <f ca="1">[1]!BexGetData("DP_1","00O2TNJGODT0G5Z4TTKYMMUX1","GSON1112150265")</f>
        <v>#NAME?</v>
      </c>
      <c r="V1857" s="28" t="e">
        <f ca="1">[1]!BexGetData("DP_1","00O2TNJGODT0G5Z4TTKYMN18L","GSON1112150265")</f>
        <v>#NAME?</v>
      </c>
      <c r="W1857" s="28" t="e">
        <f ca="1">[1]!BexGetData("DP_1","00O2TNJGODT0G5Z4TTKYMN7K5","GSON1112150265")</f>
        <v>#NAME?</v>
      </c>
    </row>
    <row r="1858" spans="1:23" x14ac:dyDescent="0.2">
      <c r="A1858" s="36" t="s">
        <v>4759</v>
      </c>
      <c r="B1858" s="27" t="s">
        <v>4760</v>
      </c>
      <c r="C1858" s="23" t="e">
        <f ca="1">[1]!BexGetData("DP_1","003N8EMH8GTFRCSWKMPXRR8GU","GSON1112150270")</f>
        <v>#NAME?</v>
      </c>
      <c r="D1858" s="28" t="e">
        <f ca="1">[1]!BexGetData("DP_1","003N8EMH8GTFRCSWKMPXRRESE","GSON1112150270")</f>
        <v>#NAME?</v>
      </c>
      <c r="E1858" s="23" t="e">
        <f ca="1">[1]!BexGetData("DP_1","003N8EMH8GTFRCSWKMPXRRL3Y","GSON1112150270")</f>
        <v>#NAME?</v>
      </c>
      <c r="F1858" s="23" t="e">
        <f ca="1">[1]!BexGetData("DP_1","003N8EMH8GTFRCSWKMPXRRRFI","GSON1112150270")</f>
        <v>#NAME?</v>
      </c>
      <c r="G1858" s="23" t="e">
        <f ca="1">[1]!BexGetData("DP_1","003N8EMH8GTFRCSWKMPXRRXR2","GSON1112150270")</f>
        <v>#NAME?</v>
      </c>
      <c r="H1858" s="23" t="e">
        <f ca="1">[1]!BexGetData("DP_1","003N8EMH8GTFRCSWKMPXRS42M","GSON1112150270")</f>
        <v>#NAME?</v>
      </c>
      <c r="I1858" s="23" t="e">
        <f ca="1">[1]!BexGetData("DP_1","003N8EMH8GTFRCSWKMPXRSAE6","GSON1112150270")</f>
        <v>#NAME?</v>
      </c>
      <c r="J1858" s="23" t="e">
        <f ca="1">[1]!BexGetData("DP_1","003N8EMH8GTFRCSWKMPXRSGPQ","GSON1112150270")</f>
        <v>#NAME?</v>
      </c>
      <c r="K1858" s="23" t="e">
        <f ca="1">[1]!BexGetData("DP_1","003N8EMH8GTFRIVNUPY288VJH","GSON1112150270")</f>
        <v>#NAME?</v>
      </c>
      <c r="L1858" s="23" t="e">
        <f ca="1">[1]!BexGetData("DP_1","003N8EMH8GTFRIVNUPY2891V1","GSON1112150270")</f>
        <v>#NAME?</v>
      </c>
      <c r="M1858" s="28" t="e">
        <f ca="1">[1]!BexGetData("DP_1","003N8EMH8GTFRIVOG7KG9IQXA","GSON1112150270")</f>
        <v>#NAME?</v>
      </c>
      <c r="N1858" s="23" t="e">
        <f ca="1">[1]!BexGetData("DP_1","003N8EMH8GTFRIVOG7KG9IX8U","GSON1112150270")</f>
        <v>#NAME?</v>
      </c>
      <c r="O1858" s="28" t="e">
        <f ca="1">[1]!BexGetData("DP_1","003N8EMH8GTFRIVOG7KG9J3KE","GSON1112150270")</f>
        <v>#NAME?</v>
      </c>
      <c r="P1858" s="23" t="e">
        <f ca="1">[1]!BexGetData("DP_1","003N8EMH8GTFRIVOG7KG9J9VY","GSON1112150270")</f>
        <v>#NAME?</v>
      </c>
      <c r="Q1858" s="23" t="e">
        <f ca="1">[1]!BexGetData("DP_1","00O2TNJGODT0G5Z4TTKYMM5MT","GSON1112150270")</f>
        <v>#NAME?</v>
      </c>
      <c r="R1858" s="23" t="e">
        <f ca="1">[1]!BexGetData("DP_1","00O2TNJGODT0G5Z4TTKYMMBYD","GSON1112150270")</f>
        <v>#NAME?</v>
      </c>
      <c r="S1858" s="23" t="e">
        <f ca="1">[1]!BexGetData("DP_1","00O2TNJGODT0G5Z4TTKYMMI9X","GSON1112150270")</f>
        <v>#NAME?</v>
      </c>
      <c r="T1858" s="23" t="e">
        <f ca="1">[1]!BexGetData("DP_1","00O2TNJGODT0G5Z4TTKYMMOLH","GSON1112150270")</f>
        <v>#NAME?</v>
      </c>
      <c r="U1858" s="28" t="e">
        <f ca="1">[1]!BexGetData("DP_1","00O2TNJGODT0G5Z4TTKYMMUX1","GSON1112150270")</f>
        <v>#NAME?</v>
      </c>
      <c r="V1858" s="23" t="e">
        <f ca="1">[1]!BexGetData("DP_1","00O2TNJGODT0G5Z4TTKYMN18L","GSON1112150270")</f>
        <v>#NAME?</v>
      </c>
      <c r="W1858" s="28" t="e">
        <f ca="1">[1]!BexGetData("DP_1","00O2TNJGODT0G5Z4TTKYMN7K5","GSON1112150270")</f>
        <v>#NAME?</v>
      </c>
    </row>
    <row r="1859" spans="1:23" x14ac:dyDescent="0.2">
      <c r="A1859" s="36" t="s">
        <v>4761</v>
      </c>
      <c r="B1859" s="27" t="s">
        <v>4762</v>
      </c>
      <c r="C1859" s="24" t="e">
        <f ca="1">[1]!BexGetData("DP_1","003N8EMH8GTFRCSWKMPXRR8GU","GSON1112150271")</f>
        <v>#NAME?</v>
      </c>
      <c r="D1859" s="24" t="e">
        <f ca="1">[1]!BexGetData("DP_1","003N8EMH8GTFRCSWKMPXRRESE","GSON1112150271")</f>
        <v>#NAME?</v>
      </c>
      <c r="E1859" s="24" t="e">
        <f ca="1">[1]!BexGetData("DP_1","003N8EMH8GTFRCSWKMPXRRL3Y","GSON1112150271")</f>
        <v>#NAME?</v>
      </c>
      <c r="F1859" s="28" t="e">
        <f ca="1">[1]!BexGetData("DP_1","003N8EMH8GTFRCSWKMPXRRRFI","GSON1112150271")</f>
        <v>#NAME?</v>
      </c>
      <c r="G1859" s="23" t="e">
        <f ca="1">[1]!BexGetData("DP_1","003N8EMH8GTFRCSWKMPXRRXR2","GSON1112150271")</f>
        <v>#NAME?</v>
      </c>
      <c r="H1859" s="23" t="e">
        <f ca="1">[1]!BexGetData("DP_1","003N8EMH8GTFRCSWKMPXRS42M","GSON1112150271")</f>
        <v>#NAME?</v>
      </c>
      <c r="I1859" s="28" t="e">
        <f ca="1">[1]!BexGetData("DP_1","003N8EMH8GTFRCSWKMPXRSAE6","GSON1112150271")</f>
        <v>#NAME?</v>
      </c>
      <c r="J1859" s="24" t="e">
        <f ca="1">[1]!BexGetData("DP_1","003N8EMH8GTFRCSWKMPXRSGPQ","GSON1112150271")</f>
        <v>#NAME?</v>
      </c>
      <c r="K1859" s="28" t="e">
        <f ca="1">[1]!BexGetData("DP_1","003N8EMH8GTFRIVNUPY288VJH","GSON1112150271")</f>
        <v>#NAME?</v>
      </c>
      <c r="L1859" s="28" t="e">
        <f ca="1">[1]!BexGetData("DP_1","003N8EMH8GTFRIVNUPY2891V1","GSON1112150271")</f>
        <v>#NAME?</v>
      </c>
      <c r="M1859" s="28" t="e">
        <f ca="1">[1]!BexGetData("DP_1","003N8EMH8GTFRIVOG7KG9IQXA","GSON1112150271")</f>
        <v>#NAME?</v>
      </c>
      <c r="N1859" s="28" t="e">
        <f ca="1">[1]!BexGetData("DP_1","003N8EMH8GTFRIVOG7KG9IX8U","GSON1112150271")</f>
        <v>#NAME?</v>
      </c>
      <c r="O1859" s="28" t="e">
        <f ca="1">[1]!BexGetData("DP_1","003N8EMH8GTFRIVOG7KG9J3KE","GSON1112150271")</f>
        <v>#NAME?</v>
      </c>
      <c r="P1859" s="28" t="e">
        <f ca="1">[1]!BexGetData("DP_1","003N8EMH8GTFRIVOG7KG9J9VY","GSON1112150271")</f>
        <v>#NAME?</v>
      </c>
      <c r="Q1859" s="24" t="e">
        <f ca="1">[1]!BexGetData("DP_1","00O2TNJGODT0G5Z4TTKYMM5MT","GSON1112150271")</f>
        <v>#NAME?</v>
      </c>
      <c r="R1859" s="28" t="e">
        <f ca="1">[1]!BexGetData("DP_1","00O2TNJGODT0G5Z4TTKYMMBYD","GSON1112150271")</f>
        <v>#NAME?</v>
      </c>
      <c r="S1859" s="28" t="e">
        <f ca="1">[1]!BexGetData("DP_1","00O2TNJGODT0G5Z4TTKYMMI9X","GSON1112150271")</f>
        <v>#NAME?</v>
      </c>
      <c r="T1859" s="28" t="e">
        <f ca="1">[1]!BexGetData("DP_1","00O2TNJGODT0G5Z4TTKYMMOLH","GSON1112150271")</f>
        <v>#NAME?</v>
      </c>
      <c r="U1859" s="28" t="e">
        <f ca="1">[1]!BexGetData("DP_1","00O2TNJGODT0G5Z4TTKYMMUX1","GSON1112150271")</f>
        <v>#NAME?</v>
      </c>
      <c r="V1859" s="28" t="e">
        <f ca="1">[1]!BexGetData("DP_1","00O2TNJGODT0G5Z4TTKYMN18L","GSON1112150271")</f>
        <v>#NAME?</v>
      </c>
      <c r="W1859" s="28" t="e">
        <f ca="1">[1]!BexGetData("DP_1","00O2TNJGODT0G5Z4TTKYMN7K5","GSON1112150271")</f>
        <v>#NAME?</v>
      </c>
    </row>
    <row r="1860" spans="1:23" x14ac:dyDescent="0.2">
      <c r="A1860" s="36" t="s">
        <v>4763</v>
      </c>
      <c r="B1860" s="27" t="s">
        <v>4764</v>
      </c>
      <c r="C1860" s="24" t="e">
        <f ca="1">[1]!BexGetData("DP_1","003N8EMH8GTFRCSWKMPXRR8GU","GSON1112150274")</f>
        <v>#NAME?</v>
      </c>
      <c r="D1860" s="24" t="e">
        <f ca="1">[1]!BexGetData("DP_1","003N8EMH8GTFRCSWKMPXRRESE","GSON1112150274")</f>
        <v>#NAME?</v>
      </c>
      <c r="E1860" s="24" t="e">
        <f ca="1">[1]!BexGetData("DP_1","003N8EMH8GTFRCSWKMPXRRL3Y","GSON1112150274")</f>
        <v>#NAME?</v>
      </c>
      <c r="F1860" s="28" t="e">
        <f ca="1">[1]!BexGetData("DP_1","003N8EMH8GTFRCSWKMPXRRRFI","GSON1112150274")</f>
        <v>#NAME?</v>
      </c>
      <c r="G1860" s="23" t="e">
        <f ca="1">[1]!BexGetData("DP_1","003N8EMH8GTFRCSWKMPXRRXR2","GSON1112150274")</f>
        <v>#NAME?</v>
      </c>
      <c r="H1860" s="23" t="e">
        <f ca="1">[1]!BexGetData("DP_1","003N8EMH8GTFRCSWKMPXRS42M","GSON1112150274")</f>
        <v>#NAME?</v>
      </c>
      <c r="I1860" s="28" t="e">
        <f ca="1">[1]!BexGetData("DP_1","003N8EMH8GTFRCSWKMPXRSAE6","GSON1112150274")</f>
        <v>#NAME?</v>
      </c>
      <c r="J1860" s="24" t="e">
        <f ca="1">[1]!BexGetData("DP_1","003N8EMH8GTFRCSWKMPXRSGPQ","GSON1112150274")</f>
        <v>#NAME?</v>
      </c>
      <c r="K1860" s="28" t="e">
        <f ca="1">[1]!BexGetData("DP_1","003N8EMH8GTFRIVNUPY288VJH","GSON1112150274")</f>
        <v>#NAME?</v>
      </c>
      <c r="L1860" s="28" t="e">
        <f ca="1">[1]!BexGetData("DP_1","003N8EMH8GTFRIVNUPY2891V1","GSON1112150274")</f>
        <v>#NAME?</v>
      </c>
      <c r="M1860" s="28" t="e">
        <f ca="1">[1]!BexGetData("DP_1","003N8EMH8GTFRIVOG7KG9IQXA","GSON1112150274")</f>
        <v>#NAME?</v>
      </c>
      <c r="N1860" s="28" t="e">
        <f ca="1">[1]!BexGetData("DP_1","003N8EMH8GTFRIVOG7KG9IX8U","GSON1112150274")</f>
        <v>#NAME?</v>
      </c>
      <c r="O1860" s="28" t="e">
        <f ca="1">[1]!BexGetData("DP_1","003N8EMH8GTFRIVOG7KG9J3KE","GSON1112150274")</f>
        <v>#NAME?</v>
      </c>
      <c r="P1860" s="28" t="e">
        <f ca="1">[1]!BexGetData("DP_1","003N8EMH8GTFRIVOG7KG9J9VY","GSON1112150274")</f>
        <v>#NAME?</v>
      </c>
      <c r="Q1860" s="24" t="e">
        <f ca="1">[1]!BexGetData("DP_1","00O2TNJGODT0G5Z4TTKYMM5MT","GSON1112150274")</f>
        <v>#NAME?</v>
      </c>
      <c r="R1860" s="28" t="e">
        <f ca="1">[1]!BexGetData("DP_1","00O2TNJGODT0G5Z4TTKYMMBYD","GSON1112150274")</f>
        <v>#NAME?</v>
      </c>
      <c r="S1860" s="28" t="e">
        <f ca="1">[1]!BexGetData("DP_1","00O2TNJGODT0G5Z4TTKYMMI9X","GSON1112150274")</f>
        <v>#NAME?</v>
      </c>
      <c r="T1860" s="28" t="e">
        <f ca="1">[1]!BexGetData("DP_1","00O2TNJGODT0G5Z4TTKYMMOLH","GSON1112150274")</f>
        <v>#NAME?</v>
      </c>
      <c r="U1860" s="28" t="e">
        <f ca="1">[1]!BexGetData("DP_1","00O2TNJGODT0G5Z4TTKYMMUX1","GSON1112150274")</f>
        <v>#NAME?</v>
      </c>
      <c r="V1860" s="28" t="e">
        <f ca="1">[1]!BexGetData("DP_1","00O2TNJGODT0G5Z4TTKYMN18L","GSON1112150274")</f>
        <v>#NAME?</v>
      </c>
      <c r="W1860" s="28" t="e">
        <f ca="1">[1]!BexGetData("DP_1","00O2TNJGODT0G5Z4TTKYMN7K5","GSON1112150274")</f>
        <v>#NAME?</v>
      </c>
    </row>
    <row r="1861" spans="1:23" x14ac:dyDescent="0.2">
      <c r="A1861" s="36" t="s">
        <v>4765</v>
      </c>
      <c r="B1861" s="27" t="s">
        <v>4766</v>
      </c>
      <c r="C1861" s="23" t="e">
        <f ca="1">[1]!BexGetData("DP_1","003N8EMH8GTFRCSWKMPXRR8GU","GSON1112150275")</f>
        <v>#NAME?</v>
      </c>
      <c r="D1861" s="23" t="e">
        <f ca="1">[1]!BexGetData("DP_1","003N8EMH8GTFRCSWKMPXRRESE","GSON1112150275")</f>
        <v>#NAME?</v>
      </c>
      <c r="E1861" s="28" t="e">
        <f ca="1">[1]!BexGetData("DP_1","003N8EMH8GTFRCSWKMPXRRL3Y","GSON1112150275")</f>
        <v>#NAME?</v>
      </c>
      <c r="F1861" s="28" t="e">
        <f ca="1">[1]!BexGetData("DP_1","003N8EMH8GTFRCSWKMPXRRRFI","GSON1112150275")</f>
        <v>#NAME?</v>
      </c>
      <c r="G1861" s="23" t="e">
        <f ca="1">[1]!BexGetData("DP_1","003N8EMH8GTFRCSWKMPXRRXR2","GSON1112150275")</f>
        <v>#NAME?</v>
      </c>
      <c r="H1861" s="23" t="e">
        <f ca="1">[1]!BexGetData("DP_1","003N8EMH8GTFRCSWKMPXRS42M","GSON1112150275")</f>
        <v>#NAME?</v>
      </c>
      <c r="I1861" s="28" t="e">
        <f ca="1">[1]!BexGetData("DP_1","003N8EMH8GTFRCSWKMPXRSAE6","GSON1112150275")</f>
        <v>#NAME?</v>
      </c>
      <c r="J1861" s="24" t="e">
        <f ca="1">[1]!BexGetData("DP_1","003N8EMH8GTFRCSWKMPXRSGPQ","GSON1112150275")</f>
        <v>#NAME?</v>
      </c>
      <c r="K1861" s="28" t="e">
        <f ca="1">[1]!BexGetData("DP_1","003N8EMH8GTFRIVNUPY288VJH","GSON1112150275")</f>
        <v>#NAME?</v>
      </c>
      <c r="L1861" s="28" t="e">
        <f ca="1">[1]!BexGetData("DP_1","003N8EMH8GTFRIVNUPY2891V1","GSON1112150275")</f>
        <v>#NAME?</v>
      </c>
      <c r="M1861" s="28" t="e">
        <f ca="1">[1]!BexGetData("DP_1","003N8EMH8GTFRIVOG7KG9IQXA","GSON1112150275")</f>
        <v>#NAME?</v>
      </c>
      <c r="N1861" s="28" t="e">
        <f ca="1">[1]!BexGetData("DP_1","003N8EMH8GTFRIVOG7KG9IX8U","GSON1112150275")</f>
        <v>#NAME?</v>
      </c>
      <c r="O1861" s="28" t="e">
        <f ca="1">[1]!BexGetData("DP_1","003N8EMH8GTFRIVOG7KG9J3KE","GSON1112150275")</f>
        <v>#NAME?</v>
      </c>
      <c r="P1861" s="28" t="e">
        <f ca="1">[1]!BexGetData("DP_1","003N8EMH8GTFRIVOG7KG9J9VY","GSON1112150275")</f>
        <v>#NAME?</v>
      </c>
      <c r="Q1861" s="24" t="e">
        <f ca="1">[1]!BexGetData("DP_1","00O2TNJGODT0G5Z4TTKYMM5MT","GSON1112150275")</f>
        <v>#NAME?</v>
      </c>
      <c r="R1861" s="28" t="e">
        <f ca="1">[1]!BexGetData("DP_1","00O2TNJGODT0G5Z4TTKYMMBYD","GSON1112150275")</f>
        <v>#NAME?</v>
      </c>
      <c r="S1861" s="28" t="e">
        <f ca="1">[1]!BexGetData("DP_1","00O2TNJGODT0G5Z4TTKYMMI9X","GSON1112150275")</f>
        <v>#NAME?</v>
      </c>
      <c r="T1861" s="28" t="e">
        <f ca="1">[1]!BexGetData("DP_1","00O2TNJGODT0G5Z4TTKYMMOLH","GSON1112150275")</f>
        <v>#NAME?</v>
      </c>
      <c r="U1861" s="28" t="e">
        <f ca="1">[1]!BexGetData("DP_1","00O2TNJGODT0G5Z4TTKYMMUX1","GSON1112150275")</f>
        <v>#NAME?</v>
      </c>
      <c r="V1861" s="28" t="e">
        <f ca="1">[1]!BexGetData("DP_1","00O2TNJGODT0G5Z4TTKYMN18L","GSON1112150275")</f>
        <v>#NAME?</v>
      </c>
      <c r="W1861" s="28" t="e">
        <f ca="1">[1]!BexGetData("DP_1","00O2TNJGODT0G5Z4TTKYMN7K5","GSON1112150275")</f>
        <v>#NAME?</v>
      </c>
    </row>
    <row r="1862" spans="1:23" x14ac:dyDescent="0.2">
      <c r="A1862" s="36" t="s">
        <v>4767</v>
      </c>
      <c r="B1862" s="27" t="s">
        <v>4768</v>
      </c>
      <c r="C1862" s="23" t="e">
        <f ca="1">[1]!BexGetData("DP_1","003N8EMH8GTFRCSWKMPXRR8GU","GSON1112150280")</f>
        <v>#NAME?</v>
      </c>
      <c r="D1862" s="28" t="e">
        <f ca="1">[1]!BexGetData("DP_1","003N8EMH8GTFRCSWKMPXRRESE","GSON1112150280")</f>
        <v>#NAME?</v>
      </c>
      <c r="E1862" s="23" t="e">
        <f ca="1">[1]!BexGetData("DP_1","003N8EMH8GTFRCSWKMPXRRL3Y","GSON1112150280")</f>
        <v>#NAME?</v>
      </c>
      <c r="F1862" s="23" t="e">
        <f ca="1">[1]!BexGetData("DP_1","003N8EMH8GTFRCSWKMPXRRRFI","GSON1112150280")</f>
        <v>#NAME?</v>
      </c>
      <c r="G1862" s="23" t="e">
        <f ca="1">[1]!BexGetData("DP_1","003N8EMH8GTFRCSWKMPXRRXR2","GSON1112150280")</f>
        <v>#NAME?</v>
      </c>
      <c r="H1862" s="23" t="e">
        <f ca="1">[1]!BexGetData("DP_1","003N8EMH8GTFRCSWKMPXRS42M","GSON1112150280")</f>
        <v>#NAME?</v>
      </c>
      <c r="I1862" s="23" t="e">
        <f ca="1">[1]!BexGetData("DP_1","003N8EMH8GTFRCSWKMPXRSAE6","GSON1112150280")</f>
        <v>#NAME?</v>
      </c>
      <c r="J1862" s="23" t="e">
        <f ca="1">[1]!BexGetData("DP_1","003N8EMH8GTFRCSWKMPXRSGPQ","GSON1112150280")</f>
        <v>#NAME?</v>
      </c>
      <c r="K1862" s="23" t="e">
        <f ca="1">[1]!BexGetData("DP_1","003N8EMH8GTFRIVNUPY288VJH","GSON1112150280")</f>
        <v>#NAME?</v>
      </c>
      <c r="L1862" s="23" t="e">
        <f ca="1">[1]!BexGetData("DP_1","003N8EMH8GTFRIVNUPY2891V1","GSON1112150280")</f>
        <v>#NAME?</v>
      </c>
      <c r="M1862" s="28" t="e">
        <f ca="1">[1]!BexGetData("DP_1","003N8EMH8GTFRIVOG7KG9IQXA","GSON1112150280")</f>
        <v>#NAME?</v>
      </c>
      <c r="N1862" s="23" t="e">
        <f ca="1">[1]!BexGetData("DP_1","003N8EMH8GTFRIVOG7KG9IX8U","GSON1112150280")</f>
        <v>#NAME?</v>
      </c>
      <c r="O1862" s="28" t="e">
        <f ca="1">[1]!BexGetData("DP_1","003N8EMH8GTFRIVOG7KG9J3KE","GSON1112150280")</f>
        <v>#NAME?</v>
      </c>
      <c r="P1862" s="23" t="e">
        <f ca="1">[1]!BexGetData("DP_1","003N8EMH8GTFRIVOG7KG9J9VY","GSON1112150280")</f>
        <v>#NAME?</v>
      </c>
      <c r="Q1862" s="23" t="e">
        <f ca="1">[1]!BexGetData("DP_1","00O2TNJGODT0G5Z4TTKYMM5MT","GSON1112150280")</f>
        <v>#NAME?</v>
      </c>
      <c r="R1862" s="23" t="e">
        <f ca="1">[1]!BexGetData("DP_1","00O2TNJGODT0G5Z4TTKYMMBYD","GSON1112150280")</f>
        <v>#NAME?</v>
      </c>
      <c r="S1862" s="23" t="e">
        <f ca="1">[1]!BexGetData("DP_1","00O2TNJGODT0G5Z4TTKYMMI9X","GSON1112150280")</f>
        <v>#NAME?</v>
      </c>
      <c r="T1862" s="23" t="e">
        <f ca="1">[1]!BexGetData("DP_1","00O2TNJGODT0G5Z4TTKYMMOLH","GSON1112150280")</f>
        <v>#NAME?</v>
      </c>
      <c r="U1862" s="28" t="e">
        <f ca="1">[1]!BexGetData("DP_1","00O2TNJGODT0G5Z4TTKYMMUX1","GSON1112150280")</f>
        <v>#NAME?</v>
      </c>
      <c r="V1862" s="23" t="e">
        <f ca="1">[1]!BexGetData("DP_1","00O2TNJGODT0G5Z4TTKYMN18L","GSON1112150280")</f>
        <v>#NAME?</v>
      </c>
      <c r="W1862" s="28" t="e">
        <f ca="1">[1]!BexGetData("DP_1","00O2TNJGODT0G5Z4TTKYMN7K5","GSON1112150280")</f>
        <v>#NAME?</v>
      </c>
    </row>
    <row r="1863" spans="1:23" x14ac:dyDescent="0.2">
      <c r="A1863" s="36" t="s">
        <v>4769</v>
      </c>
      <c r="B1863" s="27" t="s">
        <v>4770</v>
      </c>
      <c r="C1863" s="24" t="e">
        <f ca="1">[1]!BexGetData("DP_1","003N8EMH8GTFRCSWKMPXRR8GU","GSON1112150284")</f>
        <v>#NAME?</v>
      </c>
      <c r="D1863" s="24" t="e">
        <f ca="1">[1]!BexGetData("DP_1","003N8EMH8GTFRCSWKMPXRRESE","GSON1112150284")</f>
        <v>#NAME?</v>
      </c>
      <c r="E1863" s="24" t="e">
        <f ca="1">[1]!BexGetData("DP_1","003N8EMH8GTFRCSWKMPXRRL3Y","GSON1112150284")</f>
        <v>#NAME?</v>
      </c>
      <c r="F1863" s="28" t="e">
        <f ca="1">[1]!BexGetData("DP_1","003N8EMH8GTFRCSWKMPXRRRFI","GSON1112150284")</f>
        <v>#NAME?</v>
      </c>
      <c r="G1863" s="23" t="e">
        <f ca="1">[1]!BexGetData("DP_1","003N8EMH8GTFRCSWKMPXRRXR2","GSON1112150284")</f>
        <v>#NAME?</v>
      </c>
      <c r="H1863" s="23" t="e">
        <f ca="1">[1]!BexGetData("DP_1","003N8EMH8GTFRCSWKMPXRS42M","GSON1112150284")</f>
        <v>#NAME?</v>
      </c>
      <c r="I1863" s="28" t="e">
        <f ca="1">[1]!BexGetData("DP_1","003N8EMH8GTFRCSWKMPXRSAE6","GSON1112150284")</f>
        <v>#NAME?</v>
      </c>
      <c r="J1863" s="24" t="e">
        <f ca="1">[1]!BexGetData("DP_1","003N8EMH8GTFRCSWKMPXRSGPQ","GSON1112150284")</f>
        <v>#NAME?</v>
      </c>
      <c r="K1863" s="28" t="e">
        <f ca="1">[1]!BexGetData("DP_1","003N8EMH8GTFRIVNUPY288VJH","GSON1112150284")</f>
        <v>#NAME?</v>
      </c>
      <c r="L1863" s="28" t="e">
        <f ca="1">[1]!BexGetData("DP_1","003N8EMH8GTFRIVNUPY2891V1","GSON1112150284")</f>
        <v>#NAME?</v>
      </c>
      <c r="M1863" s="28" t="e">
        <f ca="1">[1]!BexGetData("DP_1","003N8EMH8GTFRIVOG7KG9IQXA","GSON1112150284")</f>
        <v>#NAME?</v>
      </c>
      <c r="N1863" s="28" t="e">
        <f ca="1">[1]!BexGetData("DP_1","003N8EMH8GTFRIVOG7KG9IX8U","GSON1112150284")</f>
        <v>#NAME?</v>
      </c>
      <c r="O1863" s="28" t="e">
        <f ca="1">[1]!BexGetData("DP_1","003N8EMH8GTFRIVOG7KG9J3KE","GSON1112150284")</f>
        <v>#NAME?</v>
      </c>
      <c r="P1863" s="28" t="e">
        <f ca="1">[1]!BexGetData("DP_1","003N8EMH8GTFRIVOG7KG9J9VY","GSON1112150284")</f>
        <v>#NAME?</v>
      </c>
      <c r="Q1863" s="24" t="e">
        <f ca="1">[1]!BexGetData("DP_1","00O2TNJGODT0G5Z4TTKYMM5MT","GSON1112150284")</f>
        <v>#NAME?</v>
      </c>
      <c r="R1863" s="28" t="e">
        <f ca="1">[1]!BexGetData("DP_1","00O2TNJGODT0G5Z4TTKYMMBYD","GSON1112150284")</f>
        <v>#NAME?</v>
      </c>
      <c r="S1863" s="28" t="e">
        <f ca="1">[1]!BexGetData("DP_1","00O2TNJGODT0G5Z4TTKYMMI9X","GSON1112150284")</f>
        <v>#NAME?</v>
      </c>
      <c r="T1863" s="28" t="e">
        <f ca="1">[1]!BexGetData("DP_1","00O2TNJGODT0G5Z4TTKYMMOLH","GSON1112150284")</f>
        <v>#NAME?</v>
      </c>
      <c r="U1863" s="28" t="e">
        <f ca="1">[1]!BexGetData("DP_1","00O2TNJGODT0G5Z4TTKYMMUX1","GSON1112150284")</f>
        <v>#NAME?</v>
      </c>
      <c r="V1863" s="28" t="e">
        <f ca="1">[1]!BexGetData("DP_1","00O2TNJGODT0G5Z4TTKYMN18L","GSON1112150284")</f>
        <v>#NAME?</v>
      </c>
      <c r="W1863" s="28" t="e">
        <f ca="1">[1]!BexGetData("DP_1","00O2TNJGODT0G5Z4TTKYMN7K5","GSON1112150284")</f>
        <v>#NAME?</v>
      </c>
    </row>
    <row r="1864" spans="1:23" x14ac:dyDescent="0.2">
      <c r="A1864" s="36" t="s">
        <v>4771</v>
      </c>
      <c r="B1864" s="27" t="s">
        <v>4772</v>
      </c>
      <c r="C1864" s="23" t="e">
        <f ca="1">[1]!BexGetData("DP_1","003N8EMH8GTFRCSWKMPXRR8GU","GSON1112150285")</f>
        <v>#NAME?</v>
      </c>
      <c r="D1864" s="23" t="e">
        <f ca="1">[1]!BexGetData("DP_1","003N8EMH8GTFRCSWKMPXRRESE","GSON1112150285")</f>
        <v>#NAME?</v>
      </c>
      <c r="E1864" s="28" t="e">
        <f ca="1">[1]!BexGetData("DP_1","003N8EMH8GTFRCSWKMPXRRL3Y","GSON1112150285")</f>
        <v>#NAME?</v>
      </c>
      <c r="F1864" s="28" t="e">
        <f ca="1">[1]!BexGetData("DP_1","003N8EMH8GTFRCSWKMPXRRRFI","GSON1112150285")</f>
        <v>#NAME?</v>
      </c>
      <c r="G1864" s="23" t="e">
        <f ca="1">[1]!BexGetData("DP_1","003N8EMH8GTFRCSWKMPXRRXR2","GSON1112150285")</f>
        <v>#NAME?</v>
      </c>
      <c r="H1864" s="23" t="e">
        <f ca="1">[1]!BexGetData("DP_1","003N8EMH8GTFRCSWKMPXRS42M","GSON1112150285")</f>
        <v>#NAME?</v>
      </c>
      <c r="I1864" s="28" t="e">
        <f ca="1">[1]!BexGetData("DP_1","003N8EMH8GTFRCSWKMPXRSAE6","GSON1112150285")</f>
        <v>#NAME?</v>
      </c>
      <c r="J1864" s="24" t="e">
        <f ca="1">[1]!BexGetData("DP_1","003N8EMH8GTFRCSWKMPXRSGPQ","GSON1112150285")</f>
        <v>#NAME?</v>
      </c>
      <c r="K1864" s="28" t="e">
        <f ca="1">[1]!BexGetData("DP_1","003N8EMH8GTFRIVNUPY288VJH","GSON1112150285")</f>
        <v>#NAME?</v>
      </c>
      <c r="L1864" s="28" t="e">
        <f ca="1">[1]!BexGetData("DP_1","003N8EMH8GTFRIVNUPY2891V1","GSON1112150285")</f>
        <v>#NAME?</v>
      </c>
      <c r="M1864" s="28" t="e">
        <f ca="1">[1]!BexGetData("DP_1","003N8EMH8GTFRIVOG7KG9IQXA","GSON1112150285")</f>
        <v>#NAME?</v>
      </c>
      <c r="N1864" s="28" t="e">
        <f ca="1">[1]!BexGetData("DP_1","003N8EMH8GTFRIVOG7KG9IX8U","GSON1112150285")</f>
        <v>#NAME?</v>
      </c>
      <c r="O1864" s="28" t="e">
        <f ca="1">[1]!BexGetData("DP_1","003N8EMH8GTFRIVOG7KG9J3KE","GSON1112150285")</f>
        <v>#NAME?</v>
      </c>
      <c r="P1864" s="28" t="e">
        <f ca="1">[1]!BexGetData("DP_1","003N8EMH8GTFRIVOG7KG9J9VY","GSON1112150285")</f>
        <v>#NAME?</v>
      </c>
      <c r="Q1864" s="24" t="e">
        <f ca="1">[1]!BexGetData("DP_1","00O2TNJGODT0G5Z4TTKYMM5MT","GSON1112150285")</f>
        <v>#NAME?</v>
      </c>
      <c r="R1864" s="28" t="e">
        <f ca="1">[1]!BexGetData("DP_1","00O2TNJGODT0G5Z4TTKYMMBYD","GSON1112150285")</f>
        <v>#NAME?</v>
      </c>
      <c r="S1864" s="28" t="e">
        <f ca="1">[1]!BexGetData("DP_1","00O2TNJGODT0G5Z4TTKYMMI9X","GSON1112150285")</f>
        <v>#NAME?</v>
      </c>
      <c r="T1864" s="28" t="e">
        <f ca="1">[1]!BexGetData("DP_1","00O2TNJGODT0G5Z4TTKYMMOLH","GSON1112150285")</f>
        <v>#NAME?</v>
      </c>
      <c r="U1864" s="28" t="e">
        <f ca="1">[1]!BexGetData("DP_1","00O2TNJGODT0G5Z4TTKYMMUX1","GSON1112150285")</f>
        <v>#NAME?</v>
      </c>
      <c r="V1864" s="28" t="e">
        <f ca="1">[1]!BexGetData("DP_1","00O2TNJGODT0G5Z4TTKYMN18L","GSON1112150285")</f>
        <v>#NAME?</v>
      </c>
      <c r="W1864" s="28" t="e">
        <f ca="1">[1]!BexGetData("DP_1","00O2TNJGODT0G5Z4TTKYMN7K5","GSON1112150285")</f>
        <v>#NAME?</v>
      </c>
    </row>
    <row r="1865" spans="1:23" x14ac:dyDescent="0.2">
      <c r="A1865" s="36" t="s">
        <v>4773</v>
      </c>
      <c r="B1865" s="27" t="s">
        <v>4774</v>
      </c>
      <c r="C1865" s="23" t="e">
        <f ca="1">[1]!BexGetData("DP_1","003N8EMH8GTFRCSWKMPXRR8GU","GSON1112150290")</f>
        <v>#NAME?</v>
      </c>
      <c r="D1865" s="28" t="e">
        <f ca="1">[1]!BexGetData("DP_1","003N8EMH8GTFRCSWKMPXRRESE","GSON1112150290")</f>
        <v>#NAME?</v>
      </c>
      <c r="E1865" s="23" t="e">
        <f ca="1">[1]!BexGetData("DP_1","003N8EMH8GTFRCSWKMPXRRL3Y","GSON1112150290")</f>
        <v>#NAME?</v>
      </c>
      <c r="F1865" s="23" t="e">
        <f ca="1">[1]!BexGetData("DP_1","003N8EMH8GTFRCSWKMPXRRRFI","GSON1112150290")</f>
        <v>#NAME?</v>
      </c>
      <c r="G1865" s="23" t="e">
        <f ca="1">[1]!BexGetData("DP_1","003N8EMH8GTFRCSWKMPXRRXR2","GSON1112150290")</f>
        <v>#NAME?</v>
      </c>
      <c r="H1865" s="23" t="e">
        <f ca="1">[1]!BexGetData("DP_1","003N8EMH8GTFRCSWKMPXRS42M","GSON1112150290")</f>
        <v>#NAME?</v>
      </c>
      <c r="I1865" s="23" t="e">
        <f ca="1">[1]!BexGetData("DP_1","003N8EMH8GTFRCSWKMPXRSAE6","GSON1112150290")</f>
        <v>#NAME?</v>
      </c>
      <c r="J1865" s="23" t="e">
        <f ca="1">[1]!BexGetData("DP_1","003N8EMH8GTFRCSWKMPXRSGPQ","GSON1112150290")</f>
        <v>#NAME?</v>
      </c>
      <c r="K1865" s="23" t="e">
        <f ca="1">[1]!BexGetData("DP_1","003N8EMH8GTFRIVNUPY288VJH","GSON1112150290")</f>
        <v>#NAME?</v>
      </c>
      <c r="L1865" s="23" t="e">
        <f ca="1">[1]!BexGetData("DP_1","003N8EMH8GTFRIVNUPY2891V1","GSON1112150290")</f>
        <v>#NAME?</v>
      </c>
      <c r="M1865" s="28" t="e">
        <f ca="1">[1]!BexGetData("DP_1","003N8EMH8GTFRIVOG7KG9IQXA","GSON1112150290")</f>
        <v>#NAME?</v>
      </c>
      <c r="N1865" s="23" t="e">
        <f ca="1">[1]!BexGetData("DP_1","003N8EMH8GTFRIVOG7KG9IX8U","GSON1112150290")</f>
        <v>#NAME?</v>
      </c>
      <c r="O1865" s="28" t="e">
        <f ca="1">[1]!BexGetData("DP_1","003N8EMH8GTFRIVOG7KG9J3KE","GSON1112150290")</f>
        <v>#NAME?</v>
      </c>
      <c r="P1865" s="23" t="e">
        <f ca="1">[1]!BexGetData("DP_1","003N8EMH8GTFRIVOG7KG9J9VY","GSON1112150290")</f>
        <v>#NAME?</v>
      </c>
      <c r="Q1865" s="23" t="e">
        <f ca="1">[1]!BexGetData("DP_1","00O2TNJGODT0G5Z4TTKYMM5MT","GSON1112150290")</f>
        <v>#NAME?</v>
      </c>
      <c r="R1865" s="23" t="e">
        <f ca="1">[1]!BexGetData("DP_1","00O2TNJGODT0G5Z4TTKYMMBYD","GSON1112150290")</f>
        <v>#NAME?</v>
      </c>
      <c r="S1865" s="23" t="e">
        <f ca="1">[1]!BexGetData("DP_1","00O2TNJGODT0G5Z4TTKYMMI9X","GSON1112150290")</f>
        <v>#NAME?</v>
      </c>
      <c r="T1865" s="23" t="e">
        <f ca="1">[1]!BexGetData("DP_1","00O2TNJGODT0G5Z4TTKYMMOLH","GSON1112150290")</f>
        <v>#NAME?</v>
      </c>
      <c r="U1865" s="28" t="e">
        <f ca="1">[1]!BexGetData("DP_1","00O2TNJGODT0G5Z4TTKYMMUX1","GSON1112150290")</f>
        <v>#NAME?</v>
      </c>
      <c r="V1865" s="23" t="e">
        <f ca="1">[1]!BexGetData("DP_1","00O2TNJGODT0G5Z4TTKYMN18L","GSON1112150290")</f>
        <v>#NAME?</v>
      </c>
      <c r="W1865" s="28" t="e">
        <f ca="1">[1]!BexGetData("DP_1","00O2TNJGODT0G5Z4TTKYMN7K5","GSON1112150290")</f>
        <v>#NAME?</v>
      </c>
    </row>
    <row r="1866" spans="1:23" x14ac:dyDescent="0.2">
      <c r="A1866" s="36" t="s">
        <v>4775</v>
      </c>
      <c r="B1866" s="27" t="s">
        <v>4776</v>
      </c>
      <c r="C1866" s="24" t="e">
        <f ca="1">[1]!BexGetData("DP_1","003N8EMH8GTFRCSWKMPXRR8GU","GSON1112150294")</f>
        <v>#NAME?</v>
      </c>
      <c r="D1866" s="24" t="e">
        <f ca="1">[1]!BexGetData("DP_1","003N8EMH8GTFRCSWKMPXRRESE","GSON1112150294")</f>
        <v>#NAME?</v>
      </c>
      <c r="E1866" s="24" t="e">
        <f ca="1">[1]!BexGetData("DP_1","003N8EMH8GTFRCSWKMPXRRL3Y","GSON1112150294")</f>
        <v>#NAME?</v>
      </c>
      <c r="F1866" s="28" t="e">
        <f ca="1">[1]!BexGetData("DP_1","003N8EMH8GTFRCSWKMPXRRRFI","GSON1112150294")</f>
        <v>#NAME?</v>
      </c>
      <c r="G1866" s="23" t="e">
        <f ca="1">[1]!BexGetData("DP_1","003N8EMH8GTFRCSWKMPXRRXR2","GSON1112150294")</f>
        <v>#NAME?</v>
      </c>
      <c r="H1866" s="23" t="e">
        <f ca="1">[1]!BexGetData("DP_1","003N8EMH8GTFRCSWKMPXRS42M","GSON1112150294")</f>
        <v>#NAME?</v>
      </c>
      <c r="I1866" s="28" t="e">
        <f ca="1">[1]!BexGetData("DP_1","003N8EMH8GTFRCSWKMPXRSAE6","GSON1112150294")</f>
        <v>#NAME?</v>
      </c>
      <c r="J1866" s="24" t="e">
        <f ca="1">[1]!BexGetData("DP_1","003N8EMH8GTFRCSWKMPXRSGPQ","GSON1112150294")</f>
        <v>#NAME?</v>
      </c>
      <c r="K1866" s="28" t="e">
        <f ca="1">[1]!BexGetData("DP_1","003N8EMH8GTFRIVNUPY288VJH","GSON1112150294")</f>
        <v>#NAME?</v>
      </c>
      <c r="L1866" s="28" t="e">
        <f ca="1">[1]!BexGetData("DP_1","003N8EMH8GTFRIVNUPY2891V1","GSON1112150294")</f>
        <v>#NAME?</v>
      </c>
      <c r="M1866" s="28" t="e">
        <f ca="1">[1]!BexGetData("DP_1","003N8EMH8GTFRIVOG7KG9IQXA","GSON1112150294")</f>
        <v>#NAME?</v>
      </c>
      <c r="N1866" s="28" t="e">
        <f ca="1">[1]!BexGetData("DP_1","003N8EMH8GTFRIVOG7KG9IX8U","GSON1112150294")</f>
        <v>#NAME?</v>
      </c>
      <c r="O1866" s="28" t="e">
        <f ca="1">[1]!BexGetData("DP_1","003N8EMH8GTFRIVOG7KG9J3KE","GSON1112150294")</f>
        <v>#NAME?</v>
      </c>
      <c r="P1866" s="28" t="e">
        <f ca="1">[1]!BexGetData("DP_1","003N8EMH8GTFRIVOG7KG9J9VY","GSON1112150294")</f>
        <v>#NAME?</v>
      </c>
      <c r="Q1866" s="24" t="e">
        <f ca="1">[1]!BexGetData("DP_1","00O2TNJGODT0G5Z4TTKYMM5MT","GSON1112150294")</f>
        <v>#NAME?</v>
      </c>
      <c r="R1866" s="28" t="e">
        <f ca="1">[1]!BexGetData("DP_1","00O2TNJGODT0G5Z4TTKYMMBYD","GSON1112150294")</f>
        <v>#NAME?</v>
      </c>
      <c r="S1866" s="28" t="e">
        <f ca="1">[1]!BexGetData("DP_1","00O2TNJGODT0G5Z4TTKYMMI9X","GSON1112150294")</f>
        <v>#NAME?</v>
      </c>
      <c r="T1866" s="28" t="e">
        <f ca="1">[1]!BexGetData("DP_1","00O2TNJGODT0G5Z4TTKYMMOLH","GSON1112150294")</f>
        <v>#NAME?</v>
      </c>
      <c r="U1866" s="28" t="e">
        <f ca="1">[1]!BexGetData("DP_1","00O2TNJGODT0G5Z4TTKYMMUX1","GSON1112150294")</f>
        <v>#NAME?</v>
      </c>
      <c r="V1866" s="28" t="e">
        <f ca="1">[1]!BexGetData("DP_1","00O2TNJGODT0G5Z4TTKYMN18L","GSON1112150294")</f>
        <v>#NAME?</v>
      </c>
      <c r="W1866" s="28" t="e">
        <f ca="1">[1]!BexGetData("DP_1","00O2TNJGODT0G5Z4TTKYMN7K5","GSON1112150294")</f>
        <v>#NAME?</v>
      </c>
    </row>
    <row r="1867" spans="1:23" x14ac:dyDescent="0.2">
      <c r="A1867" s="36" t="s">
        <v>4777</v>
      </c>
      <c r="B1867" s="27" t="s">
        <v>4778</v>
      </c>
      <c r="C1867" s="23" t="e">
        <f ca="1">[1]!BexGetData("DP_1","003N8EMH8GTFRCSWKMPXRR8GU","GSON1112150295")</f>
        <v>#NAME?</v>
      </c>
      <c r="D1867" s="23" t="e">
        <f ca="1">[1]!BexGetData("DP_1","003N8EMH8GTFRCSWKMPXRRESE","GSON1112150295")</f>
        <v>#NAME?</v>
      </c>
      <c r="E1867" s="28" t="e">
        <f ca="1">[1]!BexGetData("DP_1","003N8EMH8GTFRCSWKMPXRRL3Y","GSON1112150295")</f>
        <v>#NAME?</v>
      </c>
      <c r="F1867" s="28" t="e">
        <f ca="1">[1]!BexGetData("DP_1","003N8EMH8GTFRCSWKMPXRRRFI","GSON1112150295")</f>
        <v>#NAME?</v>
      </c>
      <c r="G1867" s="23" t="e">
        <f ca="1">[1]!BexGetData("DP_1","003N8EMH8GTFRCSWKMPXRRXR2","GSON1112150295")</f>
        <v>#NAME?</v>
      </c>
      <c r="H1867" s="23" t="e">
        <f ca="1">[1]!BexGetData("DP_1","003N8EMH8GTFRCSWKMPXRS42M","GSON1112150295")</f>
        <v>#NAME?</v>
      </c>
      <c r="I1867" s="28" t="e">
        <f ca="1">[1]!BexGetData("DP_1","003N8EMH8GTFRCSWKMPXRSAE6","GSON1112150295")</f>
        <v>#NAME?</v>
      </c>
      <c r="J1867" s="24" t="e">
        <f ca="1">[1]!BexGetData("DP_1","003N8EMH8GTFRCSWKMPXRSGPQ","GSON1112150295")</f>
        <v>#NAME?</v>
      </c>
      <c r="K1867" s="28" t="e">
        <f ca="1">[1]!BexGetData("DP_1","003N8EMH8GTFRIVNUPY288VJH","GSON1112150295")</f>
        <v>#NAME?</v>
      </c>
      <c r="L1867" s="28" t="e">
        <f ca="1">[1]!BexGetData("DP_1","003N8EMH8GTFRIVNUPY2891V1","GSON1112150295")</f>
        <v>#NAME?</v>
      </c>
      <c r="M1867" s="28" t="e">
        <f ca="1">[1]!BexGetData("DP_1","003N8EMH8GTFRIVOG7KG9IQXA","GSON1112150295")</f>
        <v>#NAME?</v>
      </c>
      <c r="N1867" s="28" t="e">
        <f ca="1">[1]!BexGetData("DP_1","003N8EMH8GTFRIVOG7KG9IX8U","GSON1112150295")</f>
        <v>#NAME?</v>
      </c>
      <c r="O1867" s="28" t="e">
        <f ca="1">[1]!BexGetData("DP_1","003N8EMH8GTFRIVOG7KG9J3KE","GSON1112150295")</f>
        <v>#NAME?</v>
      </c>
      <c r="P1867" s="28" t="e">
        <f ca="1">[1]!BexGetData("DP_1","003N8EMH8GTFRIVOG7KG9J9VY","GSON1112150295")</f>
        <v>#NAME?</v>
      </c>
      <c r="Q1867" s="24" t="e">
        <f ca="1">[1]!BexGetData("DP_1","00O2TNJGODT0G5Z4TTKYMM5MT","GSON1112150295")</f>
        <v>#NAME?</v>
      </c>
      <c r="R1867" s="28" t="e">
        <f ca="1">[1]!BexGetData("DP_1","00O2TNJGODT0G5Z4TTKYMMBYD","GSON1112150295")</f>
        <v>#NAME?</v>
      </c>
      <c r="S1867" s="28" t="e">
        <f ca="1">[1]!BexGetData("DP_1","00O2TNJGODT0G5Z4TTKYMMI9X","GSON1112150295")</f>
        <v>#NAME?</v>
      </c>
      <c r="T1867" s="28" t="e">
        <f ca="1">[1]!BexGetData("DP_1","00O2TNJGODT0G5Z4TTKYMMOLH","GSON1112150295")</f>
        <v>#NAME?</v>
      </c>
      <c r="U1867" s="28" t="e">
        <f ca="1">[1]!BexGetData("DP_1","00O2TNJGODT0G5Z4TTKYMMUX1","GSON1112150295")</f>
        <v>#NAME?</v>
      </c>
      <c r="V1867" s="28" t="e">
        <f ca="1">[1]!BexGetData("DP_1","00O2TNJGODT0G5Z4TTKYMN18L","GSON1112150295")</f>
        <v>#NAME?</v>
      </c>
      <c r="W1867" s="28" t="e">
        <f ca="1">[1]!BexGetData("DP_1","00O2TNJGODT0G5Z4TTKYMN7K5","GSON1112150295")</f>
        <v>#NAME?</v>
      </c>
    </row>
    <row r="1868" spans="1:23" x14ac:dyDescent="0.2">
      <c r="A1868" s="36" t="s">
        <v>4779</v>
      </c>
      <c r="B1868" s="27" t="s">
        <v>4780</v>
      </c>
      <c r="C1868" s="24" t="e">
        <f ca="1">[1]!BexGetData("DP_1","003N8EMH8GTFRCSWKMPXRR8GU","GSON1112150304")</f>
        <v>#NAME?</v>
      </c>
      <c r="D1868" s="24" t="e">
        <f ca="1">[1]!BexGetData("DP_1","003N8EMH8GTFRCSWKMPXRRESE","GSON1112150304")</f>
        <v>#NAME?</v>
      </c>
      <c r="E1868" s="24" t="e">
        <f ca="1">[1]!BexGetData("DP_1","003N8EMH8GTFRCSWKMPXRRL3Y","GSON1112150304")</f>
        <v>#NAME?</v>
      </c>
      <c r="F1868" s="28" t="e">
        <f ca="1">[1]!BexGetData("DP_1","003N8EMH8GTFRCSWKMPXRRRFI","GSON1112150304")</f>
        <v>#NAME?</v>
      </c>
      <c r="G1868" s="23" t="e">
        <f ca="1">[1]!BexGetData("DP_1","003N8EMH8GTFRCSWKMPXRRXR2","GSON1112150304")</f>
        <v>#NAME?</v>
      </c>
      <c r="H1868" s="23" t="e">
        <f ca="1">[1]!BexGetData("DP_1","003N8EMH8GTFRCSWKMPXRS42M","GSON1112150304")</f>
        <v>#NAME?</v>
      </c>
      <c r="I1868" s="28" t="e">
        <f ca="1">[1]!BexGetData("DP_1","003N8EMH8GTFRCSWKMPXRSAE6","GSON1112150304")</f>
        <v>#NAME?</v>
      </c>
      <c r="J1868" s="24" t="e">
        <f ca="1">[1]!BexGetData("DP_1","003N8EMH8GTFRCSWKMPXRSGPQ","GSON1112150304")</f>
        <v>#NAME?</v>
      </c>
      <c r="K1868" s="28" t="e">
        <f ca="1">[1]!BexGetData("DP_1","003N8EMH8GTFRIVNUPY288VJH","GSON1112150304")</f>
        <v>#NAME?</v>
      </c>
      <c r="L1868" s="28" t="e">
        <f ca="1">[1]!BexGetData("DP_1","003N8EMH8GTFRIVNUPY2891V1","GSON1112150304")</f>
        <v>#NAME?</v>
      </c>
      <c r="M1868" s="28" t="e">
        <f ca="1">[1]!BexGetData("DP_1","003N8EMH8GTFRIVOG7KG9IQXA","GSON1112150304")</f>
        <v>#NAME?</v>
      </c>
      <c r="N1868" s="28" t="e">
        <f ca="1">[1]!BexGetData("DP_1","003N8EMH8GTFRIVOG7KG9IX8U","GSON1112150304")</f>
        <v>#NAME?</v>
      </c>
      <c r="O1868" s="28" t="e">
        <f ca="1">[1]!BexGetData("DP_1","003N8EMH8GTFRIVOG7KG9J3KE","GSON1112150304")</f>
        <v>#NAME?</v>
      </c>
      <c r="P1868" s="28" t="e">
        <f ca="1">[1]!BexGetData("DP_1","003N8EMH8GTFRIVOG7KG9J9VY","GSON1112150304")</f>
        <v>#NAME?</v>
      </c>
      <c r="Q1868" s="24" t="e">
        <f ca="1">[1]!BexGetData("DP_1","00O2TNJGODT0G5Z4TTKYMM5MT","GSON1112150304")</f>
        <v>#NAME?</v>
      </c>
      <c r="R1868" s="28" t="e">
        <f ca="1">[1]!BexGetData("DP_1","00O2TNJGODT0G5Z4TTKYMMBYD","GSON1112150304")</f>
        <v>#NAME?</v>
      </c>
      <c r="S1868" s="28" t="e">
        <f ca="1">[1]!BexGetData("DP_1","00O2TNJGODT0G5Z4TTKYMMI9X","GSON1112150304")</f>
        <v>#NAME?</v>
      </c>
      <c r="T1868" s="28" t="e">
        <f ca="1">[1]!BexGetData("DP_1","00O2TNJGODT0G5Z4TTKYMMOLH","GSON1112150304")</f>
        <v>#NAME?</v>
      </c>
      <c r="U1868" s="28" t="e">
        <f ca="1">[1]!BexGetData("DP_1","00O2TNJGODT0G5Z4TTKYMMUX1","GSON1112150304")</f>
        <v>#NAME?</v>
      </c>
      <c r="V1868" s="28" t="e">
        <f ca="1">[1]!BexGetData("DP_1","00O2TNJGODT0G5Z4TTKYMN18L","GSON1112150304")</f>
        <v>#NAME?</v>
      </c>
      <c r="W1868" s="28" t="e">
        <f ca="1">[1]!BexGetData("DP_1","00O2TNJGODT0G5Z4TTKYMN7K5","GSON1112150304")</f>
        <v>#NAME?</v>
      </c>
    </row>
    <row r="1869" spans="1:23" x14ac:dyDescent="0.2">
      <c r="A1869" s="36" t="s">
        <v>4781</v>
      </c>
      <c r="B1869" s="27" t="s">
        <v>4782</v>
      </c>
      <c r="C1869" s="28" t="e">
        <f ca="1">[1]!BexGetData("DP_1","003N8EMH8GTFRCSWKMPXRR8GU","GSON1112150310")</f>
        <v>#NAME?</v>
      </c>
      <c r="D1869" s="28" t="e">
        <f ca="1">[1]!BexGetData("DP_1","003N8EMH8GTFRCSWKMPXRRESE","GSON1112150310")</f>
        <v>#NAME?</v>
      </c>
      <c r="E1869" s="23" t="e">
        <f ca="1">[1]!BexGetData("DP_1","003N8EMH8GTFRCSWKMPXRRL3Y","GSON1112150310")</f>
        <v>#NAME?</v>
      </c>
      <c r="F1869" s="23" t="e">
        <f ca="1">[1]!BexGetData("DP_1","003N8EMH8GTFRCSWKMPXRRRFI","GSON1112150310")</f>
        <v>#NAME?</v>
      </c>
      <c r="G1869" s="28" t="e">
        <f ca="1">[1]!BexGetData("DP_1","003N8EMH8GTFRCSWKMPXRRXR2","GSON1112150310")</f>
        <v>#NAME?</v>
      </c>
      <c r="H1869" s="28" t="e">
        <f ca="1">[1]!BexGetData("DP_1","003N8EMH8GTFRCSWKMPXRS42M","GSON1112150310")</f>
        <v>#NAME?</v>
      </c>
      <c r="I1869" s="23" t="e">
        <f ca="1">[1]!BexGetData("DP_1","003N8EMH8GTFRCSWKMPXRSAE6","GSON1112150310")</f>
        <v>#NAME?</v>
      </c>
      <c r="J1869" s="23" t="e">
        <f ca="1">[1]!BexGetData("DP_1","003N8EMH8GTFRCSWKMPXRSGPQ","GSON1112150310")</f>
        <v>#NAME?</v>
      </c>
      <c r="K1869" s="28" t="e">
        <f ca="1">[1]!BexGetData("DP_1","003N8EMH8GTFRIVNUPY288VJH","GSON1112150310")</f>
        <v>#NAME?</v>
      </c>
      <c r="L1869" s="28" t="e">
        <f ca="1">[1]!BexGetData("DP_1","003N8EMH8GTFRIVNUPY2891V1","GSON1112150310")</f>
        <v>#NAME?</v>
      </c>
      <c r="M1869" s="28" t="e">
        <f ca="1">[1]!BexGetData("DP_1","003N8EMH8GTFRIVOG7KG9IQXA","GSON1112150310")</f>
        <v>#NAME?</v>
      </c>
      <c r="N1869" s="28" t="e">
        <f ca="1">[1]!BexGetData("DP_1","003N8EMH8GTFRIVOG7KG9IX8U","GSON1112150310")</f>
        <v>#NAME?</v>
      </c>
      <c r="O1869" s="28" t="e">
        <f ca="1">[1]!BexGetData("DP_1","003N8EMH8GTFRIVOG7KG9J3KE","GSON1112150310")</f>
        <v>#NAME?</v>
      </c>
      <c r="P1869" s="28" t="e">
        <f ca="1">[1]!BexGetData("DP_1","003N8EMH8GTFRIVOG7KG9J9VY","GSON1112150310")</f>
        <v>#NAME?</v>
      </c>
      <c r="Q1869" s="23" t="e">
        <f ca="1">[1]!BexGetData("DP_1","00O2TNJGODT0G5Z4TTKYMM5MT","GSON1112150310")</f>
        <v>#NAME?</v>
      </c>
      <c r="R1869" s="28" t="e">
        <f ca="1">[1]!BexGetData("DP_1","00O2TNJGODT0G5Z4TTKYMMBYD","GSON1112150310")</f>
        <v>#NAME?</v>
      </c>
      <c r="S1869" s="28" t="e">
        <f ca="1">[1]!BexGetData("DP_1","00O2TNJGODT0G5Z4TTKYMMI9X","GSON1112150310")</f>
        <v>#NAME?</v>
      </c>
      <c r="T1869" s="28" t="e">
        <f ca="1">[1]!BexGetData("DP_1","00O2TNJGODT0G5Z4TTKYMMOLH","GSON1112150310")</f>
        <v>#NAME?</v>
      </c>
      <c r="U1869" s="28" t="e">
        <f ca="1">[1]!BexGetData("DP_1","00O2TNJGODT0G5Z4TTKYMMUX1","GSON1112150310")</f>
        <v>#NAME?</v>
      </c>
      <c r="V1869" s="28" t="e">
        <f ca="1">[1]!BexGetData("DP_1","00O2TNJGODT0G5Z4TTKYMN18L","GSON1112150310")</f>
        <v>#NAME?</v>
      </c>
      <c r="W1869" s="28" t="e">
        <f ca="1">[1]!BexGetData("DP_1","00O2TNJGODT0G5Z4TTKYMN7K5","GSON1112150310")</f>
        <v>#NAME?</v>
      </c>
    </row>
    <row r="1870" spans="1:23" x14ac:dyDescent="0.2">
      <c r="A1870" s="36" t="s">
        <v>4783</v>
      </c>
      <c r="B1870" s="27" t="s">
        <v>4784</v>
      </c>
      <c r="C1870" s="23" t="e">
        <f ca="1">[1]!BexGetData("DP_1","003N8EMH8GTFRCSWKMPXRR8GU","GSON1112150340")</f>
        <v>#NAME?</v>
      </c>
      <c r="D1870" s="23" t="e">
        <f ca="1">[1]!BexGetData("DP_1","003N8EMH8GTFRCSWKMPXRRESE","GSON1112150340")</f>
        <v>#NAME?</v>
      </c>
      <c r="E1870" s="23" t="e">
        <f ca="1">[1]!BexGetData("DP_1","003N8EMH8GTFRCSWKMPXRRL3Y","GSON1112150340")</f>
        <v>#NAME?</v>
      </c>
      <c r="F1870" s="23" t="e">
        <f ca="1">[1]!BexGetData("DP_1","003N8EMH8GTFRCSWKMPXRRRFI","GSON1112150340")</f>
        <v>#NAME?</v>
      </c>
      <c r="G1870" s="23" t="e">
        <f ca="1">[1]!BexGetData("DP_1","003N8EMH8GTFRCSWKMPXRRXR2","GSON1112150340")</f>
        <v>#NAME?</v>
      </c>
      <c r="H1870" s="23" t="e">
        <f ca="1">[1]!BexGetData("DP_1","003N8EMH8GTFRCSWKMPXRS42M","GSON1112150340")</f>
        <v>#NAME?</v>
      </c>
      <c r="I1870" s="23" t="e">
        <f ca="1">[1]!BexGetData("DP_1","003N8EMH8GTFRCSWKMPXRSAE6","GSON1112150340")</f>
        <v>#NAME?</v>
      </c>
      <c r="J1870" s="23" t="e">
        <f ca="1">[1]!BexGetData("DP_1","003N8EMH8GTFRCSWKMPXRSGPQ","GSON1112150340")</f>
        <v>#NAME?</v>
      </c>
      <c r="K1870" s="23" t="e">
        <f ca="1">[1]!BexGetData("DP_1","003N8EMH8GTFRIVNUPY288VJH","GSON1112150340")</f>
        <v>#NAME?</v>
      </c>
      <c r="L1870" s="23" t="e">
        <f ca="1">[1]!BexGetData("DP_1","003N8EMH8GTFRIVNUPY2891V1","GSON1112150340")</f>
        <v>#NAME?</v>
      </c>
      <c r="M1870" s="28" t="e">
        <f ca="1">[1]!BexGetData("DP_1","003N8EMH8GTFRIVOG7KG9IQXA","GSON1112150340")</f>
        <v>#NAME?</v>
      </c>
      <c r="N1870" s="23" t="e">
        <f ca="1">[1]!BexGetData("DP_1","003N8EMH8GTFRIVOG7KG9IX8U","GSON1112150340")</f>
        <v>#NAME?</v>
      </c>
      <c r="O1870" s="28" t="e">
        <f ca="1">[1]!BexGetData("DP_1","003N8EMH8GTFRIVOG7KG9J3KE","GSON1112150340")</f>
        <v>#NAME?</v>
      </c>
      <c r="P1870" s="23" t="e">
        <f ca="1">[1]!BexGetData("DP_1","003N8EMH8GTFRIVOG7KG9J9VY","GSON1112150340")</f>
        <v>#NAME?</v>
      </c>
      <c r="Q1870" s="23" t="e">
        <f ca="1">[1]!BexGetData("DP_1","00O2TNJGODT0G5Z4TTKYMM5MT","GSON1112150340")</f>
        <v>#NAME?</v>
      </c>
      <c r="R1870" s="23" t="e">
        <f ca="1">[1]!BexGetData("DP_1","00O2TNJGODT0G5Z4TTKYMMBYD","GSON1112150340")</f>
        <v>#NAME?</v>
      </c>
      <c r="S1870" s="23" t="e">
        <f ca="1">[1]!BexGetData("DP_1","00O2TNJGODT0G5Z4TTKYMMI9X","GSON1112150340")</f>
        <v>#NAME?</v>
      </c>
      <c r="T1870" s="23" t="e">
        <f ca="1">[1]!BexGetData("DP_1","00O2TNJGODT0G5Z4TTKYMMOLH","GSON1112150340")</f>
        <v>#NAME?</v>
      </c>
      <c r="U1870" s="28" t="e">
        <f ca="1">[1]!BexGetData("DP_1","00O2TNJGODT0G5Z4TTKYMMUX1","GSON1112150340")</f>
        <v>#NAME?</v>
      </c>
      <c r="V1870" s="23" t="e">
        <f ca="1">[1]!BexGetData("DP_1","00O2TNJGODT0G5Z4TTKYMN18L","GSON1112150340")</f>
        <v>#NAME?</v>
      </c>
      <c r="W1870" s="28" t="e">
        <f ca="1">[1]!BexGetData("DP_1","00O2TNJGODT0G5Z4TTKYMN7K5","GSON1112150340")</f>
        <v>#NAME?</v>
      </c>
    </row>
    <row r="1871" spans="1:23" x14ac:dyDescent="0.2">
      <c r="A1871" s="36" t="s">
        <v>4785</v>
      </c>
      <c r="B1871" s="27" t="s">
        <v>4786</v>
      </c>
      <c r="C1871" s="24" t="e">
        <f ca="1">[1]!BexGetData("DP_1","003N8EMH8GTFRCSWKMPXRR8GU","GSON1112150344")</f>
        <v>#NAME?</v>
      </c>
      <c r="D1871" s="24" t="e">
        <f ca="1">[1]!BexGetData("DP_1","003N8EMH8GTFRCSWKMPXRRESE","GSON1112150344")</f>
        <v>#NAME?</v>
      </c>
      <c r="E1871" s="24" t="e">
        <f ca="1">[1]!BexGetData("DP_1","003N8EMH8GTFRCSWKMPXRRL3Y","GSON1112150344")</f>
        <v>#NAME?</v>
      </c>
      <c r="F1871" s="28" t="e">
        <f ca="1">[1]!BexGetData("DP_1","003N8EMH8GTFRCSWKMPXRRRFI","GSON1112150344")</f>
        <v>#NAME?</v>
      </c>
      <c r="G1871" s="23" t="e">
        <f ca="1">[1]!BexGetData("DP_1","003N8EMH8GTFRCSWKMPXRRXR2","GSON1112150344")</f>
        <v>#NAME?</v>
      </c>
      <c r="H1871" s="23" t="e">
        <f ca="1">[1]!BexGetData("DP_1","003N8EMH8GTFRCSWKMPXRS42M","GSON1112150344")</f>
        <v>#NAME?</v>
      </c>
      <c r="I1871" s="28" t="e">
        <f ca="1">[1]!BexGetData("DP_1","003N8EMH8GTFRCSWKMPXRSAE6","GSON1112150344")</f>
        <v>#NAME?</v>
      </c>
      <c r="J1871" s="24" t="e">
        <f ca="1">[1]!BexGetData("DP_1","003N8EMH8GTFRCSWKMPXRSGPQ","GSON1112150344")</f>
        <v>#NAME?</v>
      </c>
      <c r="K1871" s="28" t="e">
        <f ca="1">[1]!BexGetData("DP_1","003N8EMH8GTFRIVNUPY288VJH","GSON1112150344")</f>
        <v>#NAME?</v>
      </c>
      <c r="L1871" s="28" t="e">
        <f ca="1">[1]!BexGetData("DP_1","003N8EMH8GTFRIVNUPY2891V1","GSON1112150344")</f>
        <v>#NAME?</v>
      </c>
      <c r="M1871" s="28" t="e">
        <f ca="1">[1]!BexGetData("DP_1","003N8EMH8GTFRIVOG7KG9IQXA","GSON1112150344")</f>
        <v>#NAME?</v>
      </c>
      <c r="N1871" s="28" t="e">
        <f ca="1">[1]!BexGetData("DP_1","003N8EMH8GTFRIVOG7KG9IX8U","GSON1112150344")</f>
        <v>#NAME?</v>
      </c>
      <c r="O1871" s="28" t="e">
        <f ca="1">[1]!BexGetData("DP_1","003N8EMH8GTFRIVOG7KG9J3KE","GSON1112150344")</f>
        <v>#NAME?</v>
      </c>
      <c r="P1871" s="28" t="e">
        <f ca="1">[1]!BexGetData("DP_1","003N8EMH8GTFRIVOG7KG9J9VY","GSON1112150344")</f>
        <v>#NAME?</v>
      </c>
      <c r="Q1871" s="24" t="e">
        <f ca="1">[1]!BexGetData("DP_1","00O2TNJGODT0G5Z4TTKYMM5MT","GSON1112150344")</f>
        <v>#NAME?</v>
      </c>
      <c r="R1871" s="28" t="e">
        <f ca="1">[1]!BexGetData("DP_1","00O2TNJGODT0G5Z4TTKYMMBYD","GSON1112150344")</f>
        <v>#NAME?</v>
      </c>
      <c r="S1871" s="28" t="e">
        <f ca="1">[1]!BexGetData("DP_1","00O2TNJGODT0G5Z4TTKYMMI9X","GSON1112150344")</f>
        <v>#NAME?</v>
      </c>
      <c r="T1871" s="28" t="e">
        <f ca="1">[1]!BexGetData("DP_1","00O2TNJGODT0G5Z4TTKYMMOLH","GSON1112150344")</f>
        <v>#NAME?</v>
      </c>
      <c r="U1871" s="28" t="e">
        <f ca="1">[1]!BexGetData("DP_1","00O2TNJGODT0G5Z4TTKYMMUX1","GSON1112150344")</f>
        <v>#NAME?</v>
      </c>
      <c r="V1871" s="28" t="e">
        <f ca="1">[1]!BexGetData("DP_1","00O2TNJGODT0G5Z4TTKYMN18L","GSON1112150344")</f>
        <v>#NAME?</v>
      </c>
      <c r="W1871" s="28" t="e">
        <f ca="1">[1]!BexGetData("DP_1","00O2TNJGODT0G5Z4TTKYMN7K5","GSON1112150344")</f>
        <v>#NAME?</v>
      </c>
    </row>
    <row r="1872" spans="1:23" x14ac:dyDescent="0.2">
      <c r="A1872" s="36" t="s">
        <v>4787</v>
      </c>
      <c r="B1872" s="27" t="s">
        <v>4788</v>
      </c>
      <c r="C1872" s="23" t="e">
        <f ca="1">[1]!BexGetData("DP_1","003N8EMH8GTFRCSWKMPXRR8GU","GSON1112150345")</f>
        <v>#NAME?</v>
      </c>
      <c r="D1872" s="23" t="e">
        <f ca="1">[1]!BexGetData("DP_1","003N8EMH8GTFRCSWKMPXRRESE","GSON1112150345")</f>
        <v>#NAME?</v>
      </c>
      <c r="E1872" s="28" t="e">
        <f ca="1">[1]!BexGetData("DP_1","003N8EMH8GTFRCSWKMPXRRL3Y","GSON1112150345")</f>
        <v>#NAME?</v>
      </c>
      <c r="F1872" s="28" t="e">
        <f ca="1">[1]!BexGetData("DP_1","003N8EMH8GTFRCSWKMPXRRRFI","GSON1112150345")</f>
        <v>#NAME?</v>
      </c>
      <c r="G1872" s="23" t="e">
        <f ca="1">[1]!BexGetData("DP_1","003N8EMH8GTFRCSWKMPXRRXR2","GSON1112150345")</f>
        <v>#NAME?</v>
      </c>
      <c r="H1872" s="23" t="e">
        <f ca="1">[1]!BexGetData("DP_1","003N8EMH8GTFRCSWKMPXRS42M","GSON1112150345")</f>
        <v>#NAME?</v>
      </c>
      <c r="I1872" s="28" t="e">
        <f ca="1">[1]!BexGetData("DP_1","003N8EMH8GTFRCSWKMPXRSAE6","GSON1112150345")</f>
        <v>#NAME?</v>
      </c>
      <c r="J1872" s="24" t="e">
        <f ca="1">[1]!BexGetData("DP_1","003N8EMH8GTFRCSWKMPXRSGPQ","GSON1112150345")</f>
        <v>#NAME?</v>
      </c>
      <c r="K1872" s="28" t="e">
        <f ca="1">[1]!BexGetData("DP_1","003N8EMH8GTFRIVNUPY288VJH","GSON1112150345")</f>
        <v>#NAME?</v>
      </c>
      <c r="L1872" s="28" t="e">
        <f ca="1">[1]!BexGetData("DP_1","003N8EMH8GTFRIVNUPY2891V1","GSON1112150345")</f>
        <v>#NAME?</v>
      </c>
      <c r="M1872" s="28" t="e">
        <f ca="1">[1]!BexGetData("DP_1","003N8EMH8GTFRIVOG7KG9IQXA","GSON1112150345")</f>
        <v>#NAME?</v>
      </c>
      <c r="N1872" s="28" t="e">
        <f ca="1">[1]!BexGetData("DP_1","003N8EMH8GTFRIVOG7KG9IX8U","GSON1112150345")</f>
        <v>#NAME?</v>
      </c>
      <c r="O1872" s="28" t="e">
        <f ca="1">[1]!BexGetData("DP_1","003N8EMH8GTFRIVOG7KG9J3KE","GSON1112150345")</f>
        <v>#NAME?</v>
      </c>
      <c r="P1872" s="28" t="e">
        <f ca="1">[1]!BexGetData("DP_1","003N8EMH8GTFRIVOG7KG9J9VY","GSON1112150345")</f>
        <v>#NAME?</v>
      </c>
      <c r="Q1872" s="24" t="e">
        <f ca="1">[1]!BexGetData("DP_1","00O2TNJGODT0G5Z4TTKYMM5MT","GSON1112150345")</f>
        <v>#NAME?</v>
      </c>
      <c r="R1872" s="28" t="e">
        <f ca="1">[1]!BexGetData("DP_1","00O2TNJGODT0G5Z4TTKYMMBYD","GSON1112150345")</f>
        <v>#NAME?</v>
      </c>
      <c r="S1872" s="28" t="e">
        <f ca="1">[1]!BexGetData("DP_1","00O2TNJGODT0G5Z4TTKYMMI9X","GSON1112150345")</f>
        <v>#NAME?</v>
      </c>
      <c r="T1872" s="28" t="e">
        <f ca="1">[1]!BexGetData("DP_1","00O2TNJGODT0G5Z4TTKYMMOLH","GSON1112150345")</f>
        <v>#NAME?</v>
      </c>
      <c r="U1872" s="28" t="e">
        <f ca="1">[1]!BexGetData("DP_1","00O2TNJGODT0G5Z4TTKYMMUX1","GSON1112150345")</f>
        <v>#NAME?</v>
      </c>
      <c r="V1872" s="28" t="e">
        <f ca="1">[1]!BexGetData("DP_1","00O2TNJGODT0G5Z4TTKYMN18L","GSON1112150345")</f>
        <v>#NAME?</v>
      </c>
      <c r="W1872" s="28" t="e">
        <f ca="1">[1]!BexGetData("DP_1","00O2TNJGODT0G5Z4TTKYMN7K5","GSON1112150345")</f>
        <v>#NAME?</v>
      </c>
    </row>
    <row r="1873" spans="1:23" x14ac:dyDescent="0.2">
      <c r="A1873" s="36" t="s">
        <v>4789</v>
      </c>
      <c r="B1873" s="27" t="s">
        <v>4790</v>
      </c>
      <c r="C1873" s="28" t="e">
        <f ca="1">[1]!BexGetData("DP_1","003N8EMH8GTFRCSWKMPXRR8GU","GSON1112150355")</f>
        <v>#NAME?</v>
      </c>
      <c r="D1873" s="28" t="e">
        <f ca="1">[1]!BexGetData("DP_1","003N8EMH8GTFRCSWKMPXRRESE","GSON1112150355")</f>
        <v>#NAME?</v>
      </c>
      <c r="E1873" s="28" t="e">
        <f ca="1">[1]!BexGetData("DP_1","003N8EMH8GTFRCSWKMPXRRL3Y","GSON1112150355")</f>
        <v>#NAME?</v>
      </c>
      <c r="F1873" s="28" t="e">
        <f ca="1">[1]!BexGetData("DP_1","003N8EMH8GTFRCSWKMPXRRRFI","GSON1112150355")</f>
        <v>#NAME?</v>
      </c>
      <c r="G1873" s="23" t="e">
        <f ca="1">[1]!BexGetData("DP_1","003N8EMH8GTFRCSWKMPXRRXR2","GSON1112150355")</f>
        <v>#NAME?</v>
      </c>
      <c r="H1873" s="23" t="e">
        <f ca="1">[1]!BexGetData("DP_1","003N8EMH8GTFRCSWKMPXRS42M","GSON1112150355")</f>
        <v>#NAME?</v>
      </c>
      <c r="I1873" s="28" t="e">
        <f ca="1">[1]!BexGetData("DP_1","003N8EMH8GTFRCSWKMPXRSAE6","GSON1112150355")</f>
        <v>#NAME?</v>
      </c>
      <c r="J1873" s="24" t="e">
        <f ca="1">[1]!BexGetData("DP_1","003N8EMH8GTFRCSWKMPXRSGPQ","GSON1112150355")</f>
        <v>#NAME?</v>
      </c>
      <c r="K1873" s="28" t="e">
        <f ca="1">[1]!BexGetData("DP_1","003N8EMH8GTFRIVNUPY288VJH","GSON1112150355")</f>
        <v>#NAME?</v>
      </c>
      <c r="L1873" s="28" t="e">
        <f ca="1">[1]!BexGetData("DP_1","003N8EMH8GTFRIVNUPY2891V1","GSON1112150355")</f>
        <v>#NAME?</v>
      </c>
      <c r="M1873" s="28" t="e">
        <f ca="1">[1]!BexGetData("DP_1","003N8EMH8GTFRIVOG7KG9IQXA","GSON1112150355")</f>
        <v>#NAME?</v>
      </c>
      <c r="N1873" s="28" t="e">
        <f ca="1">[1]!BexGetData("DP_1","003N8EMH8GTFRIVOG7KG9IX8U","GSON1112150355")</f>
        <v>#NAME?</v>
      </c>
      <c r="O1873" s="28" t="e">
        <f ca="1">[1]!BexGetData("DP_1","003N8EMH8GTFRIVOG7KG9J3KE","GSON1112150355")</f>
        <v>#NAME?</v>
      </c>
      <c r="P1873" s="28" t="e">
        <f ca="1">[1]!BexGetData("DP_1","003N8EMH8GTFRIVOG7KG9J9VY","GSON1112150355")</f>
        <v>#NAME?</v>
      </c>
      <c r="Q1873" s="24" t="e">
        <f ca="1">[1]!BexGetData("DP_1","00O2TNJGODT0G5Z4TTKYMM5MT","GSON1112150355")</f>
        <v>#NAME?</v>
      </c>
      <c r="R1873" s="28" t="e">
        <f ca="1">[1]!BexGetData("DP_1","00O2TNJGODT0G5Z4TTKYMMBYD","GSON1112150355")</f>
        <v>#NAME?</v>
      </c>
      <c r="S1873" s="28" t="e">
        <f ca="1">[1]!BexGetData("DP_1","00O2TNJGODT0G5Z4TTKYMMI9X","GSON1112150355")</f>
        <v>#NAME?</v>
      </c>
      <c r="T1873" s="28" t="e">
        <f ca="1">[1]!BexGetData("DP_1","00O2TNJGODT0G5Z4TTKYMMOLH","GSON1112150355")</f>
        <v>#NAME?</v>
      </c>
      <c r="U1873" s="28" t="e">
        <f ca="1">[1]!BexGetData("DP_1","00O2TNJGODT0G5Z4TTKYMMUX1","GSON1112150355")</f>
        <v>#NAME?</v>
      </c>
      <c r="V1873" s="28" t="e">
        <f ca="1">[1]!BexGetData("DP_1","00O2TNJGODT0G5Z4TTKYMN18L","GSON1112150355")</f>
        <v>#NAME?</v>
      </c>
      <c r="W1873" s="28" t="e">
        <f ca="1">[1]!BexGetData("DP_1","00O2TNJGODT0G5Z4TTKYMN7K5","GSON1112150355")</f>
        <v>#NAME?</v>
      </c>
    </row>
    <row r="1874" spans="1:23" x14ac:dyDescent="0.2">
      <c r="A1874" s="36" t="s">
        <v>297</v>
      </c>
      <c r="B1874" s="27" t="s">
        <v>298</v>
      </c>
      <c r="C1874" s="23" t="e">
        <f ca="1">[1]!BexGetData("DP_1","003N8EMH8GTFRCSWKMPXRR8GU","GSON1112150370")</f>
        <v>#NAME?</v>
      </c>
      <c r="D1874" s="23" t="e">
        <f ca="1">[1]!BexGetData("DP_1","003N8EMH8GTFRCSWKMPXRRESE","GSON1112150370")</f>
        <v>#NAME?</v>
      </c>
      <c r="E1874" s="23" t="e">
        <f ca="1">[1]!BexGetData("DP_1","003N8EMH8GTFRCSWKMPXRRL3Y","GSON1112150370")</f>
        <v>#NAME?</v>
      </c>
      <c r="F1874" s="23" t="e">
        <f ca="1">[1]!BexGetData("DP_1","003N8EMH8GTFRCSWKMPXRRRFI","GSON1112150370")</f>
        <v>#NAME?</v>
      </c>
      <c r="G1874" s="23" t="e">
        <f ca="1">[1]!BexGetData("DP_1","003N8EMH8GTFRCSWKMPXRRXR2","GSON1112150370")</f>
        <v>#NAME?</v>
      </c>
      <c r="H1874" s="23" t="e">
        <f ca="1">[1]!BexGetData("DP_1","003N8EMH8GTFRCSWKMPXRS42M","GSON1112150370")</f>
        <v>#NAME?</v>
      </c>
      <c r="I1874" s="23" t="e">
        <f ca="1">[1]!BexGetData("DP_1","003N8EMH8GTFRCSWKMPXRSAE6","GSON1112150370")</f>
        <v>#NAME?</v>
      </c>
      <c r="J1874" s="23" t="e">
        <f ca="1">[1]!BexGetData("DP_1","003N8EMH8GTFRCSWKMPXRSGPQ","GSON1112150370")</f>
        <v>#NAME?</v>
      </c>
      <c r="K1874" s="23" t="e">
        <f ca="1">[1]!BexGetData("DP_1","003N8EMH8GTFRIVNUPY288VJH","GSON1112150370")</f>
        <v>#NAME?</v>
      </c>
      <c r="L1874" s="23" t="e">
        <f ca="1">[1]!BexGetData("DP_1","003N8EMH8GTFRIVNUPY2891V1","GSON1112150370")</f>
        <v>#NAME?</v>
      </c>
      <c r="M1874" s="23" t="e">
        <f ca="1">[1]!BexGetData("DP_1","003N8EMH8GTFRIVOG7KG9IQXA","GSON1112150370")</f>
        <v>#NAME?</v>
      </c>
      <c r="N1874" s="28" t="e">
        <f ca="1">[1]!BexGetData("DP_1","003N8EMH8GTFRIVOG7KG9IX8U","GSON1112150370")</f>
        <v>#NAME?</v>
      </c>
      <c r="O1874" s="23" t="e">
        <f ca="1">[1]!BexGetData("DP_1","003N8EMH8GTFRIVOG7KG9J3KE","GSON1112150370")</f>
        <v>#NAME?</v>
      </c>
      <c r="P1874" s="28" t="e">
        <f ca="1">[1]!BexGetData("DP_1","003N8EMH8GTFRIVOG7KG9J9VY","GSON1112150370")</f>
        <v>#NAME?</v>
      </c>
      <c r="Q1874" s="23" t="e">
        <f ca="1">[1]!BexGetData("DP_1","00O2TNJGODT0G5Z4TTKYMM5MT","GSON1112150370")</f>
        <v>#NAME?</v>
      </c>
      <c r="R1874" s="23" t="e">
        <f ca="1">[1]!BexGetData("DP_1","00O2TNJGODT0G5Z4TTKYMMBYD","GSON1112150370")</f>
        <v>#NAME?</v>
      </c>
      <c r="S1874" s="23" t="e">
        <f ca="1">[1]!BexGetData("DP_1","00O2TNJGODT0G5Z4TTKYMMI9X","GSON1112150370")</f>
        <v>#NAME?</v>
      </c>
      <c r="T1874" s="23" t="e">
        <f ca="1">[1]!BexGetData("DP_1","00O2TNJGODT0G5Z4TTKYMMOLH","GSON1112150370")</f>
        <v>#NAME?</v>
      </c>
      <c r="U1874" s="28" t="e">
        <f ca="1">[1]!BexGetData("DP_1","00O2TNJGODT0G5Z4TTKYMMUX1","GSON1112150370")</f>
        <v>#NAME?</v>
      </c>
      <c r="V1874" s="23" t="e">
        <f ca="1">[1]!BexGetData("DP_1","00O2TNJGODT0G5Z4TTKYMN18L","GSON1112150370")</f>
        <v>#NAME?</v>
      </c>
      <c r="W1874" s="28" t="e">
        <f ca="1">[1]!BexGetData("DP_1","00O2TNJGODT0G5Z4TTKYMN7K5","GSON1112150370")</f>
        <v>#NAME?</v>
      </c>
    </row>
    <row r="1875" spans="1:23" x14ac:dyDescent="0.2">
      <c r="A1875" s="36" t="s">
        <v>299</v>
      </c>
      <c r="B1875" s="27" t="s">
        <v>300</v>
      </c>
      <c r="C1875" s="23" t="e">
        <f ca="1">[1]!BexGetData("DP_1","003N8EMH8GTFRCSWKMPXRR8GU","GSON1112150371")</f>
        <v>#NAME?</v>
      </c>
      <c r="D1875" s="23" t="e">
        <f ca="1">[1]!BexGetData("DP_1","003N8EMH8GTFRCSWKMPXRRESE","GSON1112150371")</f>
        <v>#NAME?</v>
      </c>
      <c r="E1875" s="28" t="e">
        <f ca="1">[1]!BexGetData("DP_1","003N8EMH8GTFRCSWKMPXRRL3Y","GSON1112150371")</f>
        <v>#NAME?</v>
      </c>
      <c r="F1875" s="28" t="e">
        <f ca="1">[1]!BexGetData("DP_1","003N8EMH8GTFRCSWKMPXRRRFI","GSON1112150371")</f>
        <v>#NAME?</v>
      </c>
      <c r="G1875" s="23" t="e">
        <f ca="1">[1]!BexGetData("DP_1","003N8EMH8GTFRCSWKMPXRRXR2","GSON1112150371")</f>
        <v>#NAME?</v>
      </c>
      <c r="H1875" s="23" t="e">
        <f ca="1">[1]!BexGetData("DP_1","003N8EMH8GTFRCSWKMPXRS42M","GSON1112150371")</f>
        <v>#NAME?</v>
      </c>
      <c r="I1875" s="28" t="e">
        <f ca="1">[1]!BexGetData("DP_1","003N8EMH8GTFRCSWKMPXRSAE6","GSON1112150371")</f>
        <v>#NAME?</v>
      </c>
      <c r="J1875" s="23" t="e">
        <f ca="1">[1]!BexGetData("DP_1","003N8EMH8GTFRCSWKMPXRSGPQ","GSON1112150371")</f>
        <v>#NAME?</v>
      </c>
      <c r="K1875" s="28" t="e">
        <f ca="1">[1]!BexGetData("DP_1","003N8EMH8GTFRIVNUPY288VJH","GSON1112150371")</f>
        <v>#NAME?</v>
      </c>
      <c r="L1875" s="28" t="e">
        <f ca="1">[1]!BexGetData("DP_1","003N8EMH8GTFRIVNUPY2891V1","GSON1112150371")</f>
        <v>#NAME?</v>
      </c>
      <c r="M1875" s="28" t="e">
        <f ca="1">[1]!BexGetData("DP_1","003N8EMH8GTFRIVOG7KG9IQXA","GSON1112150371")</f>
        <v>#NAME?</v>
      </c>
      <c r="N1875" s="28" t="e">
        <f ca="1">[1]!BexGetData("DP_1","003N8EMH8GTFRIVOG7KG9IX8U","GSON1112150371")</f>
        <v>#NAME?</v>
      </c>
      <c r="O1875" s="28" t="e">
        <f ca="1">[1]!BexGetData("DP_1","003N8EMH8GTFRIVOG7KG9J3KE","GSON1112150371")</f>
        <v>#NAME?</v>
      </c>
      <c r="P1875" s="28" t="e">
        <f ca="1">[1]!BexGetData("DP_1","003N8EMH8GTFRIVOG7KG9J9VY","GSON1112150371")</f>
        <v>#NAME?</v>
      </c>
      <c r="Q1875" s="23" t="e">
        <f ca="1">[1]!BexGetData("DP_1","00O2TNJGODT0G5Z4TTKYMM5MT","GSON1112150371")</f>
        <v>#NAME?</v>
      </c>
      <c r="R1875" s="23" t="e">
        <f ca="1">[1]!BexGetData("DP_1","00O2TNJGODT0G5Z4TTKYMMBYD","GSON1112150371")</f>
        <v>#NAME?</v>
      </c>
      <c r="S1875" s="23" t="e">
        <f ca="1">[1]!BexGetData("DP_1","00O2TNJGODT0G5Z4TTKYMMI9X","GSON1112150371")</f>
        <v>#NAME?</v>
      </c>
      <c r="T1875" s="23" t="e">
        <f ca="1">[1]!BexGetData("DP_1","00O2TNJGODT0G5Z4TTKYMMOLH","GSON1112150371")</f>
        <v>#NAME?</v>
      </c>
      <c r="U1875" s="28" t="e">
        <f ca="1">[1]!BexGetData("DP_1","00O2TNJGODT0G5Z4TTKYMMUX1","GSON1112150371")</f>
        <v>#NAME?</v>
      </c>
      <c r="V1875" s="23" t="e">
        <f ca="1">[1]!BexGetData("DP_1","00O2TNJGODT0G5Z4TTKYMN18L","GSON1112150371")</f>
        <v>#NAME?</v>
      </c>
      <c r="W1875" s="28" t="e">
        <f ca="1">[1]!BexGetData("DP_1","00O2TNJGODT0G5Z4TTKYMN7K5","GSON1112150371")</f>
        <v>#NAME?</v>
      </c>
    </row>
    <row r="1876" spans="1:23" x14ac:dyDescent="0.2">
      <c r="A1876" s="36" t="s">
        <v>4791</v>
      </c>
      <c r="B1876" s="27" t="s">
        <v>301</v>
      </c>
      <c r="C1876" s="23" t="e">
        <f ca="1">[1]!BexGetData("DP_1","003N8EMH8GTFRCSWKMPXRR8GU","GSON1112150372")</f>
        <v>#NAME?</v>
      </c>
      <c r="D1876" s="23" t="e">
        <f ca="1">[1]!BexGetData("DP_1","003N8EMH8GTFRCSWKMPXRRESE","GSON1112150372")</f>
        <v>#NAME?</v>
      </c>
      <c r="E1876" s="23" t="e">
        <f ca="1">[1]!BexGetData("DP_1","003N8EMH8GTFRCSWKMPXRRL3Y","GSON1112150372")</f>
        <v>#NAME?</v>
      </c>
      <c r="F1876" s="23" t="e">
        <f ca="1">[1]!BexGetData("DP_1","003N8EMH8GTFRCSWKMPXRRRFI","GSON1112150372")</f>
        <v>#NAME?</v>
      </c>
      <c r="G1876" s="23" t="e">
        <f ca="1">[1]!BexGetData("DP_1","003N8EMH8GTFRCSWKMPXRRXR2","GSON1112150372")</f>
        <v>#NAME?</v>
      </c>
      <c r="H1876" s="23" t="e">
        <f ca="1">[1]!BexGetData("DP_1","003N8EMH8GTFRCSWKMPXRS42M","GSON1112150372")</f>
        <v>#NAME?</v>
      </c>
      <c r="I1876" s="23" t="e">
        <f ca="1">[1]!BexGetData("DP_1","003N8EMH8GTFRCSWKMPXRSAE6","GSON1112150372")</f>
        <v>#NAME?</v>
      </c>
      <c r="J1876" s="23" t="e">
        <f ca="1">[1]!BexGetData("DP_1","003N8EMH8GTFRCSWKMPXRSGPQ","GSON1112150372")</f>
        <v>#NAME?</v>
      </c>
      <c r="K1876" s="23" t="e">
        <f ca="1">[1]!BexGetData("DP_1","003N8EMH8GTFRIVNUPY288VJH","GSON1112150372")</f>
        <v>#NAME?</v>
      </c>
      <c r="L1876" s="23" t="e">
        <f ca="1">[1]!BexGetData("DP_1","003N8EMH8GTFRIVNUPY2891V1","GSON1112150372")</f>
        <v>#NAME?</v>
      </c>
      <c r="M1876" s="28" t="e">
        <f ca="1">[1]!BexGetData("DP_1","003N8EMH8GTFRIVOG7KG9IQXA","GSON1112150372")</f>
        <v>#NAME?</v>
      </c>
      <c r="N1876" s="23" t="e">
        <f ca="1">[1]!BexGetData("DP_1","003N8EMH8GTFRIVOG7KG9IX8U","GSON1112150372")</f>
        <v>#NAME?</v>
      </c>
      <c r="O1876" s="28" t="e">
        <f ca="1">[1]!BexGetData("DP_1","003N8EMH8GTFRIVOG7KG9J3KE","GSON1112150372")</f>
        <v>#NAME?</v>
      </c>
      <c r="P1876" s="23" t="e">
        <f ca="1">[1]!BexGetData("DP_1","003N8EMH8GTFRIVOG7KG9J9VY","GSON1112150372")</f>
        <v>#NAME?</v>
      </c>
      <c r="Q1876" s="23" t="e">
        <f ca="1">[1]!BexGetData("DP_1","00O2TNJGODT0G5Z4TTKYMM5MT","GSON1112150372")</f>
        <v>#NAME?</v>
      </c>
      <c r="R1876" s="23" t="e">
        <f ca="1">[1]!BexGetData("DP_1","00O2TNJGODT0G5Z4TTKYMMBYD","GSON1112150372")</f>
        <v>#NAME?</v>
      </c>
      <c r="S1876" s="23" t="e">
        <f ca="1">[1]!BexGetData("DP_1","00O2TNJGODT0G5Z4TTKYMMI9X","GSON1112150372")</f>
        <v>#NAME?</v>
      </c>
      <c r="T1876" s="28" t="e">
        <f ca="1">[1]!BexGetData("DP_1","00O2TNJGODT0G5Z4TTKYMMOLH","GSON1112150372")</f>
        <v>#NAME?</v>
      </c>
      <c r="U1876" s="23" t="e">
        <f ca="1">[1]!BexGetData("DP_1","00O2TNJGODT0G5Z4TTKYMMUX1","GSON1112150372")</f>
        <v>#NAME?</v>
      </c>
      <c r="V1876" s="28" t="e">
        <f ca="1">[1]!BexGetData("DP_1","00O2TNJGODT0G5Z4TTKYMN18L","GSON1112150372")</f>
        <v>#NAME?</v>
      </c>
      <c r="W1876" s="23" t="e">
        <f ca="1">[1]!BexGetData("DP_1","00O2TNJGODT0G5Z4TTKYMN7K5","GSON1112150372")</f>
        <v>#NAME?</v>
      </c>
    </row>
    <row r="1877" spans="1:23" x14ac:dyDescent="0.2">
      <c r="A1877" s="36" t="s">
        <v>149</v>
      </c>
      <c r="B1877" s="27" t="s">
        <v>150</v>
      </c>
      <c r="C1877" s="23" t="e">
        <f ca="1">[1]!BexGetData("DP_1","003N8EMH8GTFRCSWKMPXRR8GU","GSON1112150373")</f>
        <v>#NAME?</v>
      </c>
      <c r="D1877" s="23" t="e">
        <f ca="1">[1]!BexGetData("DP_1","003N8EMH8GTFRCSWKMPXRRESE","GSON1112150373")</f>
        <v>#NAME?</v>
      </c>
      <c r="E1877" s="28" t="e">
        <f ca="1">[1]!BexGetData("DP_1","003N8EMH8GTFRCSWKMPXRRL3Y","GSON1112150373")</f>
        <v>#NAME?</v>
      </c>
      <c r="F1877" s="28" t="e">
        <f ca="1">[1]!BexGetData("DP_1","003N8EMH8GTFRCSWKMPXRRRFI","GSON1112150373")</f>
        <v>#NAME?</v>
      </c>
      <c r="G1877" s="23" t="e">
        <f ca="1">[1]!BexGetData("DP_1","003N8EMH8GTFRCSWKMPXRRXR2","GSON1112150373")</f>
        <v>#NAME?</v>
      </c>
      <c r="H1877" s="23" t="e">
        <f ca="1">[1]!BexGetData("DP_1","003N8EMH8GTFRCSWKMPXRS42M","GSON1112150373")</f>
        <v>#NAME?</v>
      </c>
      <c r="I1877" s="28" t="e">
        <f ca="1">[1]!BexGetData("DP_1","003N8EMH8GTFRCSWKMPXRSAE6","GSON1112150373")</f>
        <v>#NAME?</v>
      </c>
      <c r="J1877" s="24" t="e">
        <f ca="1">[1]!BexGetData("DP_1","003N8EMH8GTFRCSWKMPXRSGPQ","GSON1112150373")</f>
        <v>#NAME?</v>
      </c>
      <c r="K1877" s="28" t="e">
        <f ca="1">[1]!BexGetData("DP_1","003N8EMH8GTFRIVNUPY288VJH","GSON1112150373")</f>
        <v>#NAME?</v>
      </c>
      <c r="L1877" s="28" t="e">
        <f ca="1">[1]!BexGetData("DP_1","003N8EMH8GTFRIVNUPY2891V1","GSON1112150373")</f>
        <v>#NAME?</v>
      </c>
      <c r="M1877" s="28" t="e">
        <f ca="1">[1]!BexGetData("DP_1","003N8EMH8GTFRIVOG7KG9IQXA","GSON1112150373")</f>
        <v>#NAME?</v>
      </c>
      <c r="N1877" s="28" t="e">
        <f ca="1">[1]!BexGetData("DP_1","003N8EMH8GTFRIVOG7KG9IX8U","GSON1112150373")</f>
        <v>#NAME?</v>
      </c>
      <c r="O1877" s="28" t="e">
        <f ca="1">[1]!BexGetData("DP_1","003N8EMH8GTFRIVOG7KG9J3KE","GSON1112150373")</f>
        <v>#NAME?</v>
      </c>
      <c r="P1877" s="28" t="e">
        <f ca="1">[1]!BexGetData("DP_1","003N8EMH8GTFRIVOG7KG9J9VY","GSON1112150373")</f>
        <v>#NAME?</v>
      </c>
      <c r="Q1877" s="24" t="e">
        <f ca="1">[1]!BexGetData("DP_1","00O2TNJGODT0G5Z4TTKYMM5MT","GSON1112150373")</f>
        <v>#NAME?</v>
      </c>
      <c r="R1877" s="28" t="e">
        <f ca="1">[1]!BexGetData("DP_1","00O2TNJGODT0G5Z4TTKYMMBYD","GSON1112150373")</f>
        <v>#NAME?</v>
      </c>
      <c r="S1877" s="28" t="e">
        <f ca="1">[1]!BexGetData("DP_1","00O2TNJGODT0G5Z4TTKYMMI9X","GSON1112150373")</f>
        <v>#NAME?</v>
      </c>
      <c r="T1877" s="28" t="e">
        <f ca="1">[1]!BexGetData("DP_1","00O2TNJGODT0G5Z4TTKYMMOLH","GSON1112150373")</f>
        <v>#NAME?</v>
      </c>
      <c r="U1877" s="28" t="e">
        <f ca="1">[1]!BexGetData("DP_1","00O2TNJGODT0G5Z4TTKYMMUX1","GSON1112150373")</f>
        <v>#NAME?</v>
      </c>
      <c r="V1877" s="28" t="e">
        <f ca="1">[1]!BexGetData("DP_1","00O2TNJGODT0G5Z4TTKYMN18L","GSON1112150373")</f>
        <v>#NAME?</v>
      </c>
      <c r="W1877" s="28" t="e">
        <f ca="1">[1]!BexGetData("DP_1","00O2TNJGODT0G5Z4TTKYMN7K5","GSON1112150373")</f>
        <v>#NAME?</v>
      </c>
    </row>
    <row r="1878" spans="1:23" x14ac:dyDescent="0.2">
      <c r="A1878" s="36" t="s">
        <v>4792</v>
      </c>
      <c r="B1878" s="27" t="s">
        <v>1708</v>
      </c>
      <c r="C1878" s="23" t="e">
        <f ca="1">[1]!BexGetData("DP_1","003N8EMH8GTFRCSWKMPXRR8GU","GSON1112150374")</f>
        <v>#NAME?</v>
      </c>
      <c r="D1878" s="23" t="e">
        <f ca="1">[1]!BexGetData("DP_1","003N8EMH8GTFRCSWKMPXRRESE","GSON1112150374")</f>
        <v>#NAME?</v>
      </c>
      <c r="E1878" s="28" t="e">
        <f ca="1">[1]!BexGetData("DP_1","003N8EMH8GTFRCSWKMPXRRL3Y","GSON1112150374")</f>
        <v>#NAME?</v>
      </c>
      <c r="F1878" s="28" t="e">
        <f ca="1">[1]!BexGetData("DP_1","003N8EMH8GTFRCSWKMPXRRRFI","GSON1112150374")</f>
        <v>#NAME?</v>
      </c>
      <c r="G1878" s="23" t="e">
        <f ca="1">[1]!BexGetData("DP_1","003N8EMH8GTFRCSWKMPXRRXR2","GSON1112150374")</f>
        <v>#NAME?</v>
      </c>
      <c r="H1878" s="23" t="e">
        <f ca="1">[1]!BexGetData("DP_1","003N8EMH8GTFRCSWKMPXRS42M","GSON1112150374")</f>
        <v>#NAME?</v>
      </c>
      <c r="I1878" s="28" t="e">
        <f ca="1">[1]!BexGetData("DP_1","003N8EMH8GTFRCSWKMPXRSAE6","GSON1112150374")</f>
        <v>#NAME?</v>
      </c>
      <c r="J1878" s="24" t="e">
        <f ca="1">[1]!BexGetData("DP_1","003N8EMH8GTFRCSWKMPXRSGPQ","GSON1112150374")</f>
        <v>#NAME?</v>
      </c>
      <c r="K1878" s="28" t="e">
        <f ca="1">[1]!BexGetData("DP_1","003N8EMH8GTFRIVNUPY288VJH","GSON1112150374")</f>
        <v>#NAME?</v>
      </c>
      <c r="L1878" s="28" t="e">
        <f ca="1">[1]!BexGetData("DP_1","003N8EMH8GTFRIVNUPY2891V1","GSON1112150374")</f>
        <v>#NAME?</v>
      </c>
      <c r="M1878" s="28" t="e">
        <f ca="1">[1]!BexGetData("DP_1","003N8EMH8GTFRIVOG7KG9IQXA","GSON1112150374")</f>
        <v>#NAME?</v>
      </c>
      <c r="N1878" s="28" t="e">
        <f ca="1">[1]!BexGetData("DP_1","003N8EMH8GTFRIVOG7KG9IX8U","GSON1112150374")</f>
        <v>#NAME?</v>
      </c>
      <c r="O1878" s="28" t="e">
        <f ca="1">[1]!BexGetData("DP_1","003N8EMH8GTFRIVOG7KG9J3KE","GSON1112150374")</f>
        <v>#NAME?</v>
      </c>
      <c r="P1878" s="28" t="e">
        <f ca="1">[1]!BexGetData("DP_1","003N8EMH8GTFRIVOG7KG9J9VY","GSON1112150374")</f>
        <v>#NAME?</v>
      </c>
      <c r="Q1878" s="24" t="e">
        <f ca="1">[1]!BexGetData("DP_1","00O2TNJGODT0G5Z4TTKYMM5MT","GSON1112150374")</f>
        <v>#NAME?</v>
      </c>
      <c r="R1878" s="28" t="e">
        <f ca="1">[1]!BexGetData("DP_1","00O2TNJGODT0G5Z4TTKYMMBYD","GSON1112150374")</f>
        <v>#NAME?</v>
      </c>
      <c r="S1878" s="28" t="e">
        <f ca="1">[1]!BexGetData("DP_1","00O2TNJGODT0G5Z4TTKYMMI9X","GSON1112150374")</f>
        <v>#NAME?</v>
      </c>
      <c r="T1878" s="28" t="e">
        <f ca="1">[1]!BexGetData("DP_1","00O2TNJGODT0G5Z4TTKYMMOLH","GSON1112150374")</f>
        <v>#NAME?</v>
      </c>
      <c r="U1878" s="28" t="e">
        <f ca="1">[1]!BexGetData("DP_1","00O2TNJGODT0G5Z4TTKYMMUX1","GSON1112150374")</f>
        <v>#NAME?</v>
      </c>
      <c r="V1878" s="28" t="e">
        <f ca="1">[1]!BexGetData("DP_1","00O2TNJGODT0G5Z4TTKYMN18L","GSON1112150374")</f>
        <v>#NAME?</v>
      </c>
      <c r="W1878" s="28" t="e">
        <f ca="1">[1]!BexGetData("DP_1","00O2TNJGODT0G5Z4TTKYMN7K5","GSON1112150374")</f>
        <v>#NAME?</v>
      </c>
    </row>
    <row r="1879" spans="1:23" x14ac:dyDescent="0.2">
      <c r="A1879" s="36" t="s">
        <v>4793</v>
      </c>
      <c r="B1879" s="27" t="s">
        <v>4794</v>
      </c>
      <c r="C1879" s="23" t="e">
        <f ca="1">[1]!BexGetData("DP_1","003N8EMH8GTFRCSWKMPXRR8GU","GSON1112150375")</f>
        <v>#NAME?</v>
      </c>
      <c r="D1879" s="23" t="e">
        <f ca="1">[1]!BexGetData("DP_1","003N8EMH8GTFRCSWKMPXRRESE","GSON1112150375")</f>
        <v>#NAME?</v>
      </c>
      <c r="E1879" s="28" t="e">
        <f ca="1">[1]!BexGetData("DP_1","003N8EMH8GTFRCSWKMPXRRL3Y","GSON1112150375")</f>
        <v>#NAME?</v>
      </c>
      <c r="F1879" s="28" t="e">
        <f ca="1">[1]!BexGetData("DP_1","003N8EMH8GTFRCSWKMPXRRRFI","GSON1112150375")</f>
        <v>#NAME?</v>
      </c>
      <c r="G1879" s="23" t="e">
        <f ca="1">[1]!BexGetData("DP_1","003N8EMH8GTFRCSWKMPXRRXR2","GSON1112150375")</f>
        <v>#NAME?</v>
      </c>
      <c r="H1879" s="23" t="e">
        <f ca="1">[1]!BexGetData("DP_1","003N8EMH8GTFRCSWKMPXRS42M","GSON1112150375")</f>
        <v>#NAME?</v>
      </c>
      <c r="I1879" s="28" t="e">
        <f ca="1">[1]!BexGetData("DP_1","003N8EMH8GTFRCSWKMPXRSAE6","GSON1112150375")</f>
        <v>#NAME?</v>
      </c>
      <c r="J1879" s="24" t="e">
        <f ca="1">[1]!BexGetData("DP_1","003N8EMH8GTFRCSWKMPXRSGPQ","GSON1112150375")</f>
        <v>#NAME?</v>
      </c>
      <c r="K1879" s="28" t="e">
        <f ca="1">[1]!BexGetData("DP_1","003N8EMH8GTFRIVNUPY288VJH","GSON1112150375")</f>
        <v>#NAME?</v>
      </c>
      <c r="L1879" s="28" t="e">
        <f ca="1">[1]!BexGetData("DP_1","003N8EMH8GTFRIVNUPY2891V1","GSON1112150375")</f>
        <v>#NAME?</v>
      </c>
      <c r="M1879" s="28" t="e">
        <f ca="1">[1]!BexGetData("DP_1","003N8EMH8GTFRIVOG7KG9IQXA","GSON1112150375")</f>
        <v>#NAME?</v>
      </c>
      <c r="N1879" s="28" t="e">
        <f ca="1">[1]!BexGetData("DP_1","003N8EMH8GTFRIVOG7KG9IX8U","GSON1112150375")</f>
        <v>#NAME?</v>
      </c>
      <c r="O1879" s="28" t="e">
        <f ca="1">[1]!BexGetData("DP_1","003N8EMH8GTFRIVOG7KG9J3KE","GSON1112150375")</f>
        <v>#NAME?</v>
      </c>
      <c r="P1879" s="28" t="e">
        <f ca="1">[1]!BexGetData("DP_1","003N8EMH8GTFRIVOG7KG9J9VY","GSON1112150375")</f>
        <v>#NAME?</v>
      </c>
      <c r="Q1879" s="24" t="e">
        <f ca="1">[1]!BexGetData("DP_1","00O2TNJGODT0G5Z4TTKYMM5MT","GSON1112150375")</f>
        <v>#NAME?</v>
      </c>
      <c r="R1879" s="28" t="e">
        <f ca="1">[1]!BexGetData("DP_1","00O2TNJGODT0G5Z4TTKYMMBYD","GSON1112150375")</f>
        <v>#NAME?</v>
      </c>
      <c r="S1879" s="28" t="e">
        <f ca="1">[1]!BexGetData("DP_1","00O2TNJGODT0G5Z4TTKYMMI9X","GSON1112150375")</f>
        <v>#NAME?</v>
      </c>
      <c r="T1879" s="28" t="e">
        <f ca="1">[1]!BexGetData("DP_1","00O2TNJGODT0G5Z4TTKYMMOLH","GSON1112150375")</f>
        <v>#NAME?</v>
      </c>
      <c r="U1879" s="28" t="e">
        <f ca="1">[1]!BexGetData("DP_1","00O2TNJGODT0G5Z4TTKYMMUX1","GSON1112150375")</f>
        <v>#NAME?</v>
      </c>
      <c r="V1879" s="28" t="e">
        <f ca="1">[1]!BexGetData("DP_1","00O2TNJGODT0G5Z4TTKYMN18L","GSON1112150375")</f>
        <v>#NAME?</v>
      </c>
      <c r="W1879" s="28" t="e">
        <f ca="1">[1]!BexGetData("DP_1","00O2TNJGODT0G5Z4TTKYMN7K5","GSON1112150375")</f>
        <v>#NAME?</v>
      </c>
    </row>
    <row r="1880" spans="1:23" x14ac:dyDescent="0.2">
      <c r="A1880" s="36" t="s">
        <v>4795</v>
      </c>
      <c r="B1880" s="27" t="s">
        <v>4796</v>
      </c>
      <c r="C1880" s="23" t="e">
        <f ca="1">[1]!BexGetData("DP_1","003N8EMH8GTFRCSWKMPXRR8GU","GSON1112150390")</f>
        <v>#NAME?</v>
      </c>
      <c r="D1880" s="28" t="e">
        <f ca="1">[1]!BexGetData("DP_1","003N8EMH8GTFRCSWKMPXRRESE","GSON1112150390")</f>
        <v>#NAME?</v>
      </c>
      <c r="E1880" s="23" t="e">
        <f ca="1">[1]!BexGetData("DP_1","003N8EMH8GTFRCSWKMPXRRL3Y","GSON1112150390")</f>
        <v>#NAME?</v>
      </c>
      <c r="F1880" s="23" t="e">
        <f ca="1">[1]!BexGetData("DP_1","003N8EMH8GTFRCSWKMPXRRRFI","GSON1112150390")</f>
        <v>#NAME?</v>
      </c>
      <c r="G1880" s="23" t="e">
        <f ca="1">[1]!BexGetData("DP_1","003N8EMH8GTFRCSWKMPXRRXR2","GSON1112150390")</f>
        <v>#NAME?</v>
      </c>
      <c r="H1880" s="23" t="e">
        <f ca="1">[1]!BexGetData("DP_1","003N8EMH8GTFRCSWKMPXRS42M","GSON1112150390")</f>
        <v>#NAME?</v>
      </c>
      <c r="I1880" s="23" t="e">
        <f ca="1">[1]!BexGetData("DP_1","003N8EMH8GTFRCSWKMPXRSAE6","GSON1112150390")</f>
        <v>#NAME?</v>
      </c>
      <c r="J1880" s="23" t="e">
        <f ca="1">[1]!BexGetData("DP_1","003N8EMH8GTFRCSWKMPXRSGPQ","GSON1112150390")</f>
        <v>#NAME?</v>
      </c>
      <c r="K1880" s="23" t="e">
        <f ca="1">[1]!BexGetData("DP_1","003N8EMH8GTFRIVNUPY288VJH","GSON1112150390")</f>
        <v>#NAME?</v>
      </c>
      <c r="L1880" s="23" t="e">
        <f ca="1">[1]!BexGetData("DP_1","003N8EMH8GTFRIVNUPY2891V1","GSON1112150390")</f>
        <v>#NAME?</v>
      </c>
      <c r="M1880" s="28" t="e">
        <f ca="1">[1]!BexGetData("DP_1","003N8EMH8GTFRIVOG7KG9IQXA","GSON1112150390")</f>
        <v>#NAME?</v>
      </c>
      <c r="N1880" s="23" t="e">
        <f ca="1">[1]!BexGetData("DP_1","003N8EMH8GTFRIVOG7KG9IX8U","GSON1112150390")</f>
        <v>#NAME?</v>
      </c>
      <c r="O1880" s="28" t="e">
        <f ca="1">[1]!BexGetData("DP_1","003N8EMH8GTFRIVOG7KG9J3KE","GSON1112150390")</f>
        <v>#NAME?</v>
      </c>
      <c r="P1880" s="23" t="e">
        <f ca="1">[1]!BexGetData("DP_1","003N8EMH8GTFRIVOG7KG9J9VY","GSON1112150390")</f>
        <v>#NAME?</v>
      </c>
      <c r="Q1880" s="23" t="e">
        <f ca="1">[1]!BexGetData("DP_1","00O2TNJGODT0G5Z4TTKYMM5MT","GSON1112150390")</f>
        <v>#NAME?</v>
      </c>
      <c r="R1880" s="23" t="e">
        <f ca="1">[1]!BexGetData("DP_1","00O2TNJGODT0G5Z4TTKYMMBYD","GSON1112150390")</f>
        <v>#NAME?</v>
      </c>
      <c r="S1880" s="23" t="e">
        <f ca="1">[1]!BexGetData("DP_1","00O2TNJGODT0G5Z4TTKYMMI9X","GSON1112150390")</f>
        <v>#NAME?</v>
      </c>
      <c r="T1880" s="23" t="e">
        <f ca="1">[1]!BexGetData("DP_1","00O2TNJGODT0G5Z4TTKYMMOLH","GSON1112150390")</f>
        <v>#NAME?</v>
      </c>
      <c r="U1880" s="28" t="e">
        <f ca="1">[1]!BexGetData("DP_1","00O2TNJGODT0G5Z4TTKYMMUX1","GSON1112150390")</f>
        <v>#NAME?</v>
      </c>
      <c r="V1880" s="23" t="e">
        <f ca="1">[1]!BexGetData("DP_1","00O2TNJGODT0G5Z4TTKYMN18L","GSON1112150390")</f>
        <v>#NAME?</v>
      </c>
      <c r="W1880" s="28" t="e">
        <f ca="1">[1]!BexGetData("DP_1","00O2TNJGODT0G5Z4TTKYMN7K5","GSON1112150390")</f>
        <v>#NAME?</v>
      </c>
    </row>
    <row r="1881" spans="1:23" x14ac:dyDescent="0.2">
      <c r="A1881" s="36" t="s">
        <v>4797</v>
      </c>
      <c r="B1881" s="27" t="s">
        <v>4798</v>
      </c>
      <c r="C1881" s="24" t="e">
        <f ca="1">[1]!BexGetData("DP_1","003N8EMH8GTFRCSWKMPXRR8GU","GSON1112150394")</f>
        <v>#NAME?</v>
      </c>
      <c r="D1881" s="24" t="e">
        <f ca="1">[1]!BexGetData("DP_1","003N8EMH8GTFRCSWKMPXRRESE","GSON1112150394")</f>
        <v>#NAME?</v>
      </c>
      <c r="E1881" s="24" t="e">
        <f ca="1">[1]!BexGetData("DP_1","003N8EMH8GTFRCSWKMPXRRL3Y","GSON1112150394")</f>
        <v>#NAME?</v>
      </c>
      <c r="F1881" s="28" t="e">
        <f ca="1">[1]!BexGetData("DP_1","003N8EMH8GTFRCSWKMPXRRRFI","GSON1112150394")</f>
        <v>#NAME?</v>
      </c>
      <c r="G1881" s="23" t="e">
        <f ca="1">[1]!BexGetData("DP_1","003N8EMH8GTFRCSWKMPXRRXR2","GSON1112150394")</f>
        <v>#NAME?</v>
      </c>
      <c r="H1881" s="23" t="e">
        <f ca="1">[1]!BexGetData("DP_1","003N8EMH8GTFRCSWKMPXRS42M","GSON1112150394")</f>
        <v>#NAME?</v>
      </c>
      <c r="I1881" s="28" t="e">
        <f ca="1">[1]!BexGetData("DP_1","003N8EMH8GTFRCSWKMPXRSAE6","GSON1112150394")</f>
        <v>#NAME?</v>
      </c>
      <c r="J1881" s="24" t="e">
        <f ca="1">[1]!BexGetData("DP_1","003N8EMH8GTFRCSWKMPXRSGPQ","GSON1112150394")</f>
        <v>#NAME?</v>
      </c>
      <c r="K1881" s="28" t="e">
        <f ca="1">[1]!BexGetData("DP_1","003N8EMH8GTFRIVNUPY288VJH","GSON1112150394")</f>
        <v>#NAME?</v>
      </c>
      <c r="L1881" s="28" t="e">
        <f ca="1">[1]!BexGetData("DP_1","003N8EMH8GTFRIVNUPY2891V1","GSON1112150394")</f>
        <v>#NAME?</v>
      </c>
      <c r="M1881" s="28" t="e">
        <f ca="1">[1]!BexGetData("DP_1","003N8EMH8GTFRIVOG7KG9IQXA","GSON1112150394")</f>
        <v>#NAME?</v>
      </c>
      <c r="N1881" s="28" t="e">
        <f ca="1">[1]!BexGetData("DP_1","003N8EMH8GTFRIVOG7KG9IX8U","GSON1112150394")</f>
        <v>#NAME?</v>
      </c>
      <c r="O1881" s="28" t="e">
        <f ca="1">[1]!BexGetData("DP_1","003N8EMH8GTFRIVOG7KG9J3KE","GSON1112150394")</f>
        <v>#NAME?</v>
      </c>
      <c r="P1881" s="28" t="e">
        <f ca="1">[1]!BexGetData("DP_1","003N8EMH8GTFRIVOG7KG9J9VY","GSON1112150394")</f>
        <v>#NAME?</v>
      </c>
      <c r="Q1881" s="24" t="e">
        <f ca="1">[1]!BexGetData("DP_1","00O2TNJGODT0G5Z4TTKYMM5MT","GSON1112150394")</f>
        <v>#NAME?</v>
      </c>
      <c r="R1881" s="28" t="e">
        <f ca="1">[1]!BexGetData("DP_1","00O2TNJGODT0G5Z4TTKYMMBYD","GSON1112150394")</f>
        <v>#NAME?</v>
      </c>
      <c r="S1881" s="28" t="e">
        <f ca="1">[1]!BexGetData("DP_1","00O2TNJGODT0G5Z4TTKYMMI9X","GSON1112150394")</f>
        <v>#NAME?</v>
      </c>
      <c r="T1881" s="28" t="e">
        <f ca="1">[1]!BexGetData("DP_1","00O2TNJGODT0G5Z4TTKYMMOLH","GSON1112150394")</f>
        <v>#NAME?</v>
      </c>
      <c r="U1881" s="28" t="e">
        <f ca="1">[1]!BexGetData("DP_1","00O2TNJGODT0G5Z4TTKYMMUX1","GSON1112150394")</f>
        <v>#NAME?</v>
      </c>
      <c r="V1881" s="28" t="e">
        <f ca="1">[1]!BexGetData("DP_1","00O2TNJGODT0G5Z4TTKYMN18L","GSON1112150394")</f>
        <v>#NAME?</v>
      </c>
      <c r="W1881" s="28" t="e">
        <f ca="1">[1]!BexGetData("DP_1","00O2TNJGODT0G5Z4TTKYMN7K5","GSON1112150394")</f>
        <v>#NAME?</v>
      </c>
    </row>
    <row r="1882" spans="1:23" x14ac:dyDescent="0.2">
      <c r="A1882" s="36" t="s">
        <v>4799</v>
      </c>
      <c r="B1882" s="27" t="s">
        <v>4800</v>
      </c>
      <c r="C1882" s="23" t="e">
        <f ca="1">[1]!BexGetData("DP_1","003N8EMH8GTFRCSWKMPXRR8GU","GSON1112150395")</f>
        <v>#NAME?</v>
      </c>
      <c r="D1882" s="23" t="e">
        <f ca="1">[1]!BexGetData("DP_1","003N8EMH8GTFRCSWKMPXRRESE","GSON1112150395")</f>
        <v>#NAME?</v>
      </c>
      <c r="E1882" s="28" t="e">
        <f ca="1">[1]!BexGetData("DP_1","003N8EMH8GTFRCSWKMPXRRL3Y","GSON1112150395")</f>
        <v>#NAME?</v>
      </c>
      <c r="F1882" s="28" t="e">
        <f ca="1">[1]!BexGetData("DP_1","003N8EMH8GTFRCSWKMPXRRRFI","GSON1112150395")</f>
        <v>#NAME?</v>
      </c>
      <c r="G1882" s="23" t="e">
        <f ca="1">[1]!BexGetData("DP_1","003N8EMH8GTFRCSWKMPXRRXR2","GSON1112150395")</f>
        <v>#NAME?</v>
      </c>
      <c r="H1882" s="23" t="e">
        <f ca="1">[1]!BexGetData("DP_1","003N8EMH8GTFRCSWKMPXRS42M","GSON1112150395")</f>
        <v>#NAME?</v>
      </c>
      <c r="I1882" s="28" t="e">
        <f ca="1">[1]!BexGetData("DP_1","003N8EMH8GTFRCSWKMPXRSAE6","GSON1112150395")</f>
        <v>#NAME?</v>
      </c>
      <c r="J1882" s="24" t="e">
        <f ca="1">[1]!BexGetData("DP_1","003N8EMH8GTFRCSWKMPXRSGPQ","GSON1112150395")</f>
        <v>#NAME?</v>
      </c>
      <c r="K1882" s="28" t="e">
        <f ca="1">[1]!BexGetData("DP_1","003N8EMH8GTFRIVNUPY288VJH","GSON1112150395")</f>
        <v>#NAME?</v>
      </c>
      <c r="L1882" s="28" t="e">
        <f ca="1">[1]!BexGetData("DP_1","003N8EMH8GTFRIVNUPY2891V1","GSON1112150395")</f>
        <v>#NAME?</v>
      </c>
      <c r="M1882" s="28" t="e">
        <f ca="1">[1]!BexGetData("DP_1","003N8EMH8GTFRIVOG7KG9IQXA","GSON1112150395")</f>
        <v>#NAME?</v>
      </c>
      <c r="N1882" s="28" t="e">
        <f ca="1">[1]!BexGetData("DP_1","003N8EMH8GTFRIVOG7KG9IX8U","GSON1112150395")</f>
        <v>#NAME?</v>
      </c>
      <c r="O1882" s="28" t="e">
        <f ca="1">[1]!BexGetData("DP_1","003N8EMH8GTFRIVOG7KG9J3KE","GSON1112150395")</f>
        <v>#NAME?</v>
      </c>
      <c r="P1882" s="28" t="e">
        <f ca="1">[1]!BexGetData("DP_1","003N8EMH8GTFRIVOG7KG9J9VY","GSON1112150395")</f>
        <v>#NAME?</v>
      </c>
      <c r="Q1882" s="24" t="e">
        <f ca="1">[1]!BexGetData("DP_1","00O2TNJGODT0G5Z4TTKYMM5MT","GSON1112150395")</f>
        <v>#NAME?</v>
      </c>
      <c r="R1882" s="28" t="e">
        <f ca="1">[1]!BexGetData("DP_1","00O2TNJGODT0G5Z4TTKYMMBYD","GSON1112150395")</f>
        <v>#NAME?</v>
      </c>
      <c r="S1882" s="28" t="e">
        <f ca="1">[1]!BexGetData("DP_1","00O2TNJGODT0G5Z4TTKYMMI9X","GSON1112150395")</f>
        <v>#NAME?</v>
      </c>
      <c r="T1882" s="28" t="e">
        <f ca="1">[1]!BexGetData("DP_1","00O2TNJGODT0G5Z4TTKYMMOLH","GSON1112150395")</f>
        <v>#NAME?</v>
      </c>
      <c r="U1882" s="28" t="e">
        <f ca="1">[1]!BexGetData("DP_1","00O2TNJGODT0G5Z4TTKYMMUX1","GSON1112150395")</f>
        <v>#NAME?</v>
      </c>
      <c r="V1882" s="28" t="e">
        <f ca="1">[1]!BexGetData("DP_1","00O2TNJGODT0G5Z4TTKYMN18L","GSON1112150395")</f>
        <v>#NAME?</v>
      </c>
      <c r="W1882" s="28" t="e">
        <f ca="1">[1]!BexGetData("DP_1","00O2TNJGODT0G5Z4TTKYMN7K5","GSON1112150395")</f>
        <v>#NAME?</v>
      </c>
    </row>
    <row r="1883" spans="1:23" x14ac:dyDescent="0.2">
      <c r="A1883" s="36" t="s">
        <v>4801</v>
      </c>
      <c r="B1883" s="27" t="s">
        <v>4802</v>
      </c>
      <c r="C1883" s="28" t="e">
        <f ca="1">[1]!BexGetData("DP_1","003N8EMH8GTFRCSWKMPXRR8GU","GSON1112150400")</f>
        <v>#NAME?</v>
      </c>
      <c r="D1883" s="28" t="e">
        <f ca="1">[1]!BexGetData("DP_1","003N8EMH8GTFRCSWKMPXRRESE","GSON1112150400")</f>
        <v>#NAME?</v>
      </c>
      <c r="E1883" s="23" t="e">
        <f ca="1">[1]!BexGetData("DP_1","003N8EMH8GTFRCSWKMPXRRL3Y","GSON1112150400")</f>
        <v>#NAME?</v>
      </c>
      <c r="F1883" s="23" t="e">
        <f ca="1">[1]!BexGetData("DP_1","003N8EMH8GTFRCSWKMPXRRRFI","GSON1112150400")</f>
        <v>#NAME?</v>
      </c>
      <c r="G1883" s="23" t="e">
        <f ca="1">[1]!BexGetData("DP_1","003N8EMH8GTFRCSWKMPXRRXR2","GSON1112150400")</f>
        <v>#NAME?</v>
      </c>
      <c r="H1883" s="23" t="e">
        <f ca="1">[1]!BexGetData("DP_1","003N8EMH8GTFRCSWKMPXRS42M","GSON1112150400")</f>
        <v>#NAME?</v>
      </c>
      <c r="I1883" s="23" t="e">
        <f ca="1">[1]!BexGetData("DP_1","003N8EMH8GTFRCSWKMPXRSAE6","GSON1112150400")</f>
        <v>#NAME?</v>
      </c>
      <c r="J1883" s="23" t="e">
        <f ca="1">[1]!BexGetData("DP_1","003N8EMH8GTFRCSWKMPXRSGPQ","GSON1112150400")</f>
        <v>#NAME?</v>
      </c>
      <c r="K1883" s="28" t="e">
        <f ca="1">[1]!BexGetData("DP_1","003N8EMH8GTFRIVNUPY288VJH","GSON1112150400")</f>
        <v>#NAME?</v>
      </c>
      <c r="L1883" s="28" t="e">
        <f ca="1">[1]!BexGetData("DP_1","003N8EMH8GTFRIVNUPY2891V1","GSON1112150400")</f>
        <v>#NAME?</v>
      </c>
      <c r="M1883" s="28" t="e">
        <f ca="1">[1]!BexGetData("DP_1","003N8EMH8GTFRIVOG7KG9IQXA","GSON1112150400")</f>
        <v>#NAME?</v>
      </c>
      <c r="N1883" s="28" t="e">
        <f ca="1">[1]!BexGetData("DP_1","003N8EMH8GTFRIVOG7KG9IX8U","GSON1112150400")</f>
        <v>#NAME?</v>
      </c>
      <c r="O1883" s="28" t="e">
        <f ca="1">[1]!BexGetData("DP_1","003N8EMH8GTFRIVOG7KG9J3KE","GSON1112150400")</f>
        <v>#NAME?</v>
      </c>
      <c r="P1883" s="28" t="e">
        <f ca="1">[1]!BexGetData("DP_1","003N8EMH8GTFRIVOG7KG9J9VY","GSON1112150400")</f>
        <v>#NAME?</v>
      </c>
      <c r="Q1883" s="23" t="e">
        <f ca="1">[1]!BexGetData("DP_1","00O2TNJGODT0G5Z4TTKYMM5MT","GSON1112150400")</f>
        <v>#NAME?</v>
      </c>
      <c r="R1883" s="23" t="e">
        <f ca="1">[1]!BexGetData("DP_1","00O2TNJGODT0G5Z4TTKYMMBYD","GSON1112150400")</f>
        <v>#NAME?</v>
      </c>
      <c r="S1883" s="23" t="e">
        <f ca="1">[1]!BexGetData("DP_1","00O2TNJGODT0G5Z4TTKYMMI9X","GSON1112150400")</f>
        <v>#NAME?</v>
      </c>
      <c r="T1883" s="28" t="e">
        <f ca="1">[1]!BexGetData("DP_1","00O2TNJGODT0G5Z4TTKYMMOLH","GSON1112150400")</f>
        <v>#NAME?</v>
      </c>
      <c r="U1883" s="23" t="e">
        <f ca="1">[1]!BexGetData("DP_1","00O2TNJGODT0G5Z4TTKYMMUX1","GSON1112150400")</f>
        <v>#NAME?</v>
      </c>
      <c r="V1883" s="28" t="e">
        <f ca="1">[1]!BexGetData("DP_1","00O2TNJGODT0G5Z4TTKYMN18L","GSON1112150400")</f>
        <v>#NAME?</v>
      </c>
      <c r="W1883" s="23" t="e">
        <f ca="1">[1]!BexGetData("DP_1","00O2TNJGODT0G5Z4TTKYMN7K5","GSON1112150400")</f>
        <v>#NAME?</v>
      </c>
    </row>
    <row r="1884" spans="1:23" x14ac:dyDescent="0.2">
      <c r="A1884" s="36" t="s">
        <v>4803</v>
      </c>
      <c r="B1884" s="27" t="s">
        <v>4804</v>
      </c>
      <c r="C1884" s="24" t="e">
        <f ca="1">[1]!BexGetData("DP_1","003N8EMH8GTFRCSWKMPXRR8GU","GSON1112150401")</f>
        <v>#NAME?</v>
      </c>
      <c r="D1884" s="24" t="e">
        <f ca="1">[1]!BexGetData("DP_1","003N8EMH8GTFRCSWKMPXRRESE","GSON1112150401")</f>
        <v>#NAME?</v>
      </c>
      <c r="E1884" s="24" t="e">
        <f ca="1">[1]!BexGetData("DP_1","003N8EMH8GTFRCSWKMPXRRL3Y","GSON1112150401")</f>
        <v>#NAME?</v>
      </c>
      <c r="F1884" s="28" t="e">
        <f ca="1">[1]!BexGetData("DP_1","003N8EMH8GTFRCSWKMPXRRRFI","GSON1112150401")</f>
        <v>#NAME?</v>
      </c>
      <c r="G1884" s="23" t="e">
        <f ca="1">[1]!BexGetData("DP_1","003N8EMH8GTFRCSWKMPXRRXR2","GSON1112150401")</f>
        <v>#NAME?</v>
      </c>
      <c r="H1884" s="23" t="e">
        <f ca="1">[1]!BexGetData("DP_1","003N8EMH8GTFRCSWKMPXRS42M","GSON1112150401")</f>
        <v>#NAME?</v>
      </c>
      <c r="I1884" s="28" t="e">
        <f ca="1">[1]!BexGetData("DP_1","003N8EMH8GTFRCSWKMPXRSAE6","GSON1112150401")</f>
        <v>#NAME?</v>
      </c>
      <c r="J1884" s="24" t="e">
        <f ca="1">[1]!BexGetData("DP_1","003N8EMH8GTFRCSWKMPXRSGPQ","GSON1112150401")</f>
        <v>#NAME?</v>
      </c>
      <c r="K1884" s="28" t="e">
        <f ca="1">[1]!BexGetData("DP_1","003N8EMH8GTFRIVNUPY288VJH","GSON1112150401")</f>
        <v>#NAME?</v>
      </c>
      <c r="L1884" s="28" t="e">
        <f ca="1">[1]!BexGetData("DP_1","003N8EMH8GTFRIVNUPY2891V1","GSON1112150401")</f>
        <v>#NAME?</v>
      </c>
      <c r="M1884" s="28" t="e">
        <f ca="1">[1]!BexGetData("DP_1","003N8EMH8GTFRIVOG7KG9IQXA","GSON1112150401")</f>
        <v>#NAME?</v>
      </c>
      <c r="N1884" s="28" t="e">
        <f ca="1">[1]!BexGetData("DP_1","003N8EMH8GTFRIVOG7KG9IX8U","GSON1112150401")</f>
        <v>#NAME?</v>
      </c>
      <c r="O1884" s="28" t="e">
        <f ca="1">[1]!BexGetData("DP_1","003N8EMH8GTFRIVOG7KG9J3KE","GSON1112150401")</f>
        <v>#NAME?</v>
      </c>
      <c r="P1884" s="28" t="e">
        <f ca="1">[1]!BexGetData("DP_1","003N8EMH8GTFRIVOG7KG9J9VY","GSON1112150401")</f>
        <v>#NAME?</v>
      </c>
      <c r="Q1884" s="24" t="e">
        <f ca="1">[1]!BexGetData("DP_1","00O2TNJGODT0G5Z4TTKYMM5MT","GSON1112150401")</f>
        <v>#NAME?</v>
      </c>
      <c r="R1884" s="28" t="e">
        <f ca="1">[1]!BexGetData("DP_1","00O2TNJGODT0G5Z4TTKYMMBYD","GSON1112150401")</f>
        <v>#NAME?</v>
      </c>
      <c r="S1884" s="28" t="e">
        <f ca="1">[1]!BexGetData("DP_1","00O2TNJGODT0G5Z4TTKYMMI9X","GSON1112150401")</f>
        <v>#NAME?</v>
      </c>
      <c r="T1884" s="28" t="e">
        <f ca="1">[1]!BexGetData("DP_1","00O2TNJGODT0G5Z4TTKYMMOLH","GSON1112150401")</f>
        <v>#NAME?</v>
      </c>
      <c r="U1884" s="28" t="e">
        <f ca="1">[1]!BexGetData("DP_1","00O2TNJGODT0G5Z4TTKYMMUX1","GSON1112150401")</f>
        <v>#NAME?</v>
      </c>
      <c r="V1884" s="28" t="e">
        <f ca="1">[1]!BexGetData("DP_1","00O2TNJGODT0G5Z4TTKYMN18L","GSON1112150401")</f>
        <v>#NAME?</v>
      </c>
      <c r="W1884" s="28" t="e">
        <f ca="1">[1]!BexGetData("DP_1","00O2TNJGODT0G5Z4TTKYMN7K5","GSON1112150401")</f>
        <v>#NAME?</v>
      </c>
    </row>
    <row r="1885" spans="1:23" x14ac:dyDescent="0.2">
      <c r="A1885" s="36" t="s">
        <v>4805</v>
      </c>
      <c r="B1885" s="27" t="s">
        <v>4806</v>
      </c>
      <c r="C1885" s="24" t="e">
        <f ca="1">[1]!BexGetData("DP_1","003N8EMH8GTFRCSWKMPXRR8GU","GSON1112150403")</f>
        <v>#NAME?</v>
      </c>
      <c r="D1885" s="24" t="e">
        <f ca="1">[1]!BexGetData("DP_1","003N8EMH8GTFRCSWKMPXRRESE","GSON1112150403")</f>
        <v>#NAME?</v>
      </c>
      <c r="E1885" s="24" t="e">
        <f ca="1">[1]!BexGetData("DP_1","003N8EMH8GTFRCSWKMPXRRL3Y","GSON1112150403")</f>
        <v>#NAME?</v>
      </c>
      <c r="F1885" s="28" t="e">
        <f ca="1">[1]!BexGetData("DP_1","003N8EMH8GTFRCSWKMPXRRRFI","GSON1112150403")</f>
        <v>#NAME?</v>
      </c>
      <c r="G1885" s="23" t="e">
        <f ca="1">[1]!BexGetData("DP_1","003N8EMH8GTFRCSWKMPXRRXR2","GSON1112150403")</f>
        <v>#NAME?</v>
      </c>
      <c r="H1885" s="23" t="e">
        <f ca="1">[1]!BexGetData("DP_1","003N8EMH8GTFRCSWKMPXRS42M","GSON1112150403")</f>
        <v>#NAME?</v>
      </c>
      <c r="I1885" s="28" t="e">
        <f ca="1">[1]!BexGetData("DP_1","003N8EMH8GTFRCSWKMPXRSAE6","GSON1112150403")</f>
        <v>#NAME?</v>
      </c>
      <c r="J1885" s="24" t="e">
        <f ca="1">[1]!BexGetData("DP_1","003N8EMH8GTFRCSWKMPXRSGPQ","GSON1112150403")</f>
        <v>#NAME?</v>
      </c>
      <c r="K1885" s="28" t="e">
        <f ca="1">[1]!BexGetData("DP_1","003N8EMH8GTFRIVNUPY288VJH","GSON1112150403")</f>
        <v>#NAME?</v>
      </c>
      <c r="L1885" s="28" t="e">
        <f ca="1">[1]!BexGetData("DP_1","003N8EMH8GTFRIVNUPY2891V1","GSON1112150403")</f>
        <v>#NAME?</v>
      </c>
      <c r="M1885" s="28" t="e">
        <f ca="1">[1]!BexGetData("DP_1","003N8EMH8GTFRIVOG7KG9IQXA","GSON1112150403")</f>
        <v>#NAME?</v>
      </c>
      <c r="N1885" s="28" t="e">
        <f ca="1">[1]!BexGetData("DP_1","003N8EMH8GTFRIVOG7KG9IX8U","GSON1112150403")</f>
        <v>#NAME?</v>
      </c>
      <c r="O1885" s="28" t="e">
        <f ca="1">[1]!BexGetData("DP_1","003N8EMH8GTFRIVOG7KG9J3KE","GSON1112150403")</f>
        <v>#NAME?</v>
      </c>
      <c r="P1885" s="28" t="e">
        <f ca="1">[1]!BexGetData("DP_1","003N8EMH8GTFRIVOG7KG9J9VY","GSON1112150403")</f>
        <v>#NAME?</v>
      </c>
      <c r="Q1885" s="24" t="e">
        <f ca="1">[1]!BexGetData("DP_1","00O2TNJGODT0G5Z4TTKYMM5MT","GSON1112150403")</f>
        <v>#NAME?</v>
      </c>
      <c r="R1885" s="28" t="e">
        <f ca="1">[1]!BexGetData("DP_1","00O2TNJGODT0G5Z4TTKYMMBYD","GSON1112150403")</f>
        <v>#NAME?</v>
      </c>
      <c r="S1885" s="28" t="e">
        <f ca="1">[1]!BexGetData("DP_1","00O2TNJGODT0G5Z4TTKYMMI9X","GSON1112150403")</f>
        <v>#NAME?</v>
      </c>
      <c r="T1885" s="28" t="e">
        <f ca="1">[1]!BexGetData("DP_1","00O2TNJGODT0G5Z4TTKYMMOLH","GSON1112150403")</f>
        <v>#NAME?</v>
      </c>
      <c r="U1885" s="28" t="e">
        <f ca="1">[1]!BexGetData("DP_1","00O2TNJGODT0G5Z4TTKYMMUX1","GSON1112150403")</f>
        <v>#NAME?</v>
      </c>
      <c r="V1885" s="28" t="e">
        <f ca="1">[1]!BexGetData("DP_1","00O2TNJGODT0G5Z4TTKYMN18L","GSON1112150403")</f>
        <v>#NAME?</v>
      </c>
      <c r="W1885" s="28" t="e">
        <f ca="1">[1]!BexGetData("DP_1","00O2TNJGODT0G5Z4TTKYMN7K5","GSON1112150403")</f>
        <v>#NAME?</v>
      </c>
    </row>
    <row r="1886" spans="1:23" x14ac:dyDescent="0.2">
      <c r="A1886" s="36" t="s">
        <v>4807</v>
      </c>
      <c r="B1886" s="27" t="s">
        <v>4808</v>
      </c>
      <c r="C1886" s="24" t="e">
        <f ca="1">[1]!BexGetData("DP_1","003N8EMH8GTFRCSWKMPXRR8GU","GSON1112150404")</f>
        <v>#NAME?</v>
      </c>
      <c r="D1886" s="24" t="e">
        <f ca="1">[1]!BexGetData("DP_1","003N8EMH8GTFRCSWKMPXRRESE","GSON1112150404")</f>
        <v>#NAME?</v>
      </c>
      <c r="E1886" s="24" t="e">
        <f ca="1">[1]!BexGetData("DP_1","003N8EMH8GTFRCSWKMPXRRL3Y","GSON1112150404")</f>
        <v>#NAME?</v>
      </c>
      <c r="F1886" s="28" t="e">
        <f ca="1">[1]!BexGetData("DP_1","003N8EMH8GTFRCSWKMPXRRRFI","GSON1112150404")</f>
        <v>#NAME?</v>
      </c>
      <c r="G1886" s="23" t="e">
        <f ca="1">[1]!BexGetData("DP_1","003N8EMH8GTFRCSWKMPXRRXR2","GSON1112150404")</f>
        <v>#NAME?</v>
      </c>
      <c r="H1886" s="23" t="e">
        <f ca="1">[1]!BexGetData("DP_1","003N8EMH8GTFRCSWKMPXRS42M","GSON1112150404")</f>
        <v>#NAME?</v>
      </c>
      <c r="I1886" s="28" t="e">
        <f ca="1">[1]!BexGetData("DP_1","003N8EMH8GTFRCSWKMPXRSAE6","GSON1112150404")</f>
        <v>#NAME?</v>
      </c>
      <c r="J1886" s="24" t="e">
        <f ca="1">[1]!BexGetData("DP_1","003N8EMH8GTFRCSWKMPXRSGPQ","GSON1112150404")</f>
        <v>#NAME?</v>
      </c>
      <c r="K1886" s="28" t="e">
        <f ca="1">[1]!BexGetData("DP_1","003N8EMH8GTFRIVNUPY288VJH","GSON1112150404")</f>
        <v>#NAME?</v>
      </c>
      <c r="L1886" s="28" t="e">
        <f ca="1">[1]!BexGetData("DP_1","003N8EMH8GTFRIVNUPY2891V1","GSON1112150404")</f>
        <v>#NAME?</v>
      </c>
      <c r="M1886" s="28" t="e">
        <f ca="1">[1]!BexGetData("DP_1","003N8EMH8GTFRIVOG7KG9IQXA","GSON1112150404")</f>
        <v>#NAME?</v>
      </c>
      <c r="N1886" s="28" t="e">
        <f ca="1">[1]!BexGetData("DP_1","003N8EMH8GTFRIVOG7KG9IX8U","GSON1112150404")</f>
        <v>#NAME?</v>
      </c>
      <c r="O1886" s="28" t="e">
        <f ca="1">[1]!BexGetData("DP_1","003N8EMH8GTFRIVOG7KG9J3KE","GSON1112150404")</f>
        <v>#NAME?</v>
      </c>
      <c r="P1886" s="28" t="e">
        <f ca="1">[1]!BexGetData("DP_1","003N8EMH8GTFRIVOG7KG9J9VY","GSON1112150404")</f>
        <v>#NAME?</v>
      </c>
      <c r="Q1886" s="24" t="e">
        <f ca="1">[1]!BexGetData("DP_1","00O2TNJGODT0G5Z4TTKYMM5MT","GSON1112150404")</f>
        <v>#NAME?</v>
      </c>
      <c r="R1886" s="28" t="e">
        <f ca="1">[1]!BexGetData("DP_1","00O2TNJGODT0G5Z4TTKYMMBYD","GSON1112150404")</f>
        <v>#NAME?</v>
      </c>
      <c r="S1886" s="28" t="e">
        <f ca="1">[1]!BexGetData("DP_1","00O2TNJGODT0G5Z4TTKYMMI9X","GSON1112150404")</f>
        <v>#NAME?</v>
      </c>
      <c r="T1886" s="28" t="e">
        <f ca="1">[1]!BexGetData("DP_1","00O2TNJGODT0G5Z4TTKYMMOLH","GSON1112150404")</f>
        <v>#NAME?</v>
      </c>
      <c r="U1886" s="28" t="e">
        <f ca="1">[1]!BexGetData("DP_1","00O2TNJGODT0G5Z4TTKYMMUX1","GSON1112150404")</f>
        <v>#NAME?</v>
      </c>
      <c r="V1886" s="28" t="e">
        <f ca="1">[1]!BexGetData("DP_1","00O2TNJGODT0G5Z4TTKYMN18L","GSON1112150404")</f>
        <v>#NAME?</v>
      </c>
      <c r="W1886" s="28" t="e">
        <f ca="1">[1]!BexGetData("DP_1","00O2TNJGODT0G5Z4TTKYMN7K5","GSON1112150404")</f>
        <v>#NAME?</v>
      </c>
    </row>
    <row r="1887" spans="1:23" x14ac:dyDescent="0.2">
      <c r="A1887" s="36" t="s">
        <v>4809</v>
      </c>
      <c r="B1887" s="27" t="s">
        <v>4810</v>
      </c>
      <c r="C1887" s="28" t="e">
        <f ca="1">[1]!BexGetData("DP_1","003N8EMH8GTFRCSWKMPXRR8GU","GSON1112150405")</f>
        <v>#NAME?</v>
      </c>
      <c r="D1887" s="28" t="e">
        <f ca="1">[1]!BexGetData("DP_1","003N8EMH8GTFRCSWKMPXRRESE","GSON1112150405")</f>
        <v>#NAME?</v>
      </c>
      <c r="E1887" s="28" t="e">
        <f ca="1">[1]!BexGetData("DP_1","003N8EMH8GTFRCSWKMPXRRL3Y","GSON1112150405")</f>
        <v>#NAME?</v>
      </c>
      <c r="F1887" s="28" t="e">
        <f ca="1">[1]!BexGetData("DP_1","003N8EMH8GTFRCSWKMPXRRRFI","GSON1112150405")</f>
        <v>#NAME?</v>
      </c>
      <c r="G1887" s="23" t="e">
        <f ca="1">[1]!BexGetData("DP_1","003N8EMH8GTFRCSWKMPXRRXR2","GSON1112150405")</f>
        <v>#NAME?</v>
      </c>
      <c r="H1887" s="23" t="e">
        <f ca="1">[1]!BexGetData("DP_1","003N8EMH8GTFRCSWKMPXRS42M","GSON1112150405")</f>
        <v>#NAME?</v>
      </c>
      <c r="I1887" s="28" t="e">
        <f ca="1">[1]!BexGetData("DP_1","003N8EMH8GTFRCSWKMPXRSAE6","GSON1112150405")</f>
        <v>#NAME?</v>
      </c>
      <c r="J1887" s="24" t="e">
        <f ca="1">[1]!BexGetData("DP_1","003N8EMH8GTFRCSWKMPXRSGPQ","GSON1112150405")</f>
        <v>#NAME?</v>
      </c>
      <c r="K1887" s="28" t="e">
        <f ca="1">[1]!BexGetData("DP_1","003N8EMH8GTFRIVNUPY288VJH","GSON1112150405")</f>
        <v>#NAME?</v>
      </c>
      <c r="L1887" s="28" t="e">
        <f ca="1">[1]!BexGetData("DP_1","003N8EMH8GTFRIVNUPY2891V1","GSON1112150405")</f>
        <v>#NAME?</v>
      </c>
      <c r="M1887" s="28" t="e">
        <f ca="1">[1]!BexGetData("DP_1","003N8EMH8GTFRIVOG7KG9IQXA","GSON1112150405")</f>
        <v>#NAME?</v>
      </c>
      <c r="N1887" s="28" t="e">
        <f ca="1">[1]!BexGetData("DP_1","003N8EMH8GTFRIVOG7KG9IX8U","GSON1112150405")</f>
        <v>#NAME?</v>
      </c>
      <c r="O1887" s="28" t="e">
        <f ca="1">[1]!BexGetData("DP_1","003N8EMH8GTFRIVOG7KG9J3KE","GSON1112150405")</f>
        <v>#NAME?</v>
      </c>
      <c r="P1887" s="28" t="e">
        <f ca="1">[1]!BexGetData("DP_1","003N8EMH8GTFRIVOG7KG9J9VY","GSON1112150405")</f>
        <v>#NAME?</v>
      </c>
      <c r="Q1887" s="24" t="e">
        <f ca="1">[1]!BexGetData("DP_1","00O2TNJGODT0G5Z4TTKYMM5MT","GSON1112150405")</f>
        <v>#NAME?</v>
      </c>
      <c r="R1887" s="28" t="e">
        <f ca="1">[1]!BexGetData("DP_1","00O2TNJGODT0G5Z4TTKYMMBYD","GSON1112150405")</f>
        <v>#NAME?</v>
      </c>
      <c r="S1887" s="28" t="e">
        <f ca="1">[1]!BexGetData("DP_1","00O2TNJGODT0G5Z4TTKYMMI9X","GSON1112150405")</f>
        <v>#NAME?</v>
      </c>
      <c r="T1887" s="28" t="e">
        <f ca="1">[1]!BexGetData("DP_1","00O2TNJGODT0G5Z4TTKYMMOLH","GSON1112150405")</f>
        <v>#NAME?</v>
      </c>
      <c r="U1887" s="28" t="e">
        <f ca="1">[1]!BexGetData("DP_1","00O2TNJGODT0G5Z4TTKYMMUX1","GSON1112150405")</f>
        <v>#NAME?</v>
      </c>
      <c r="V1887" s="28" t="e">
        <f ca="1">[1]!BexGetData("DP_1","00O2TNJGODT0G5Z4TTKYMN18L","GSON1112150405")</f>
        <v>#NAME?</v>
      </c>
      <c r="W1887" s="28" t="e">
        <f ca="1">[1]!BexGetData("DP_1","00O2TNJGODT0G5Z4TTKYMN7K5","GSON1112150405")</f>
        <v>#NAME?</v>
      </c>
    </row>
    <row r="1888" spans="1:23" x14ac:dyDescent="0.2">
      <c r="A1888" s="36" t="s">
        <v>4811</v>
      </c>
      <c r="B1888" s="27" t="s">
        <v>4812</v>
      </c>
      <c r="C1888" s="28" t="e">
        <f ca="1">[1]!BexGetData("DP_1","003N8EMH8GTFRCSWKMPXRR8GU","GSON1112150410")</f>
        <v>#NAME?</v>
      </c>
      <c r="D1888" s="28" t="e">
        <f ca="1">[1]!BexGetData("DP_1","003N8EMH8GTFRCSWKMPXRRESE","GSON1112150410")</f>
        <v>#NAME?</v>
      </c>
      <c r="E1888" s="23" t="e">
        <f ca="1">[1]!BexGetData("DP_1","003N8EMH8GTFRCSWKMPXRRL3Y","GSON1112150410")</f>
        <v>#NAME?</v>
      </c>
      <c r="F1888" s="23" t="e">
        <f ca="1">[1]!BexGetData("DP_1","003N8EMH8GTFRCSWKMPXRRRFI","GSON1112150410")</f>
        <v>#NAME?</v>
      </c>
      <c r="G1888" s="28" t="e">
        <f ca="1">[1]!BexGetData("DP_1","003N8EMH8GTFRCSWKMPXRRXR2","GSON1112150410")</f>
        <v>#NAME?</v>
      </c>
      <c r="H1888" s="23" t="e">
        <f ca="1">[1]!BexGetData("DP_1","003N8EMH8GTFRCSWKMPXRS42M","GSON1112150410")</f>
        <v>#NAME?</v>
      </c>
      <c r="I1888" s="23" t="e">
        <f ca="1">[1]!BexGetData("DP_1","003N8EMH8GTFRCSWKMPXRSAE6","GSON1112150410")</f>
        <v>#NAME?</v>
      </c>
      <c r="J1888" s="23" t="e">
        <f ca="1">[1]!BexGetData("DP_1","003N8EMH8GTFRCSWKMPXRSGPQ","GSON1112150410")</f>
        <v>#NAME?</v>
      </c>
      <c r="K1888" s="28" t="e">
        <f ca="1">[1]!BexGetData("DP_1","003N8EMH8GTFRIVNUPY288VJH","GSON1112150410")</f>
        <v>#NAME?</v>
      </c>
      <c r="L1888" s="28" t="e">
        <f ca="1">[1]!BexGetData("DP_1","003N8EMH8GTFRIVNUPY2891V1","GSON1112150410")</f>
        <v>#NAME?</v>
      </c>
      <c r="M1888" s="28" t="e">
        <f ca="1">[1]!BexGetData("DP_1","003N8EMH8GTFRIVOG7KG9IQXA","GSON1112150410")</f>
        <v>#NAME?</v>
      </c>
      <c r="N1888" s="28" t="e">
        <f ca="1">[1]!BexGetData("DP_1","003N8EMH8GTFRIVOG7KG9IX8U","GSON1112150410")</f>
        <v>#NAME?</v>
      </c>
      <c r="O1888" s="28" t="e">
        <f ca="1">[1]!BexGetData("DP_1","003N8EMH8GTFRIVOG7KG9J3KE","GSON1112150410")</f>
        <v>#NAME?</v>
      </c>
      <c r="P1888" s="28" t="e">
        <f ca="1">[1]!BexGetData("DP_1","003N8EMH8GTFRIVOG7KG9J9VY","GSON1112150410")</f>
        <v>#NAME?</v>
      </c>
      <c r="Q1888" s="23" t="e">
        <f ca="1">[1]!BexGetData("DP_1","00O2TNJGODT0G5Z4TTKYMM5MT","GSON1112150410")</f>
        <v>#NAME?</v>
      </c>
      <c r="R1888" s="23" t="e">
        <f ca="1">[1]!BexGetData("DP_1","00O2TNJGODT0G5Z4TTKYMMBYD","GSON1112150410")</f>
        <v>#NAME?</v>
      </c>
      <c r="S1888" s="23" t="e">
        <f ca="1">[1]!BexGetData("DP_1","00O2TNJGODT0G5Z4TTKYMMI9X","GSON1112150410")</f>
        <v>#NAME?</v>
      </c>
      <c r="T1888" s="23" t="e">
        <f ca="1">[1]!BexGetData("DP_1","00O2TNJGODT0G5Z4TTKYMMOLH","GSON1112150410")</f>
        <v>#NAME?</v>
      </c>
      <c r="U1888" s="28" t="e">
        <f ca="1">[1]!BexGetData("DP_1","00O2TNJGODT0G5Z4TTKYMMUX1","GSON1112150410")</f>
        <v>#NAME?</v>
      </c>
      <c r="V1888" s="23" t="e">
        <f ca="1">[1]!BexGetData("DP_1","00O2TNJGODT0G5Z4TTKYMN18L","GSON1112150410")</f>
        <v>#NAME?</v>
      </c>
      <c r="W1888" s="28" t="e">
        <f ca="1">[1]!BexGetData("DP_1","00O2TNJGODT0G5Z4TTKYMN7K5","GSON1112150410")</f>
        <v>#NAME?</v>
      </c>
    </row>
    <row r="1889" spans="1:23" x14ac:dyDescent="0.2">
      <c r="A1889" s="36" t="s">
        <v>4813</v>
      </c>
      <c r="B1889" s="27" t="s">
        <v>4814</v>
      </c>
      <c r="C1889" s="24" t="e">
        <f ca="1">[1]!BexGetData("DP_1","003N8EMH8GTFRCSWKMPXRR8GU","GSON1112150414")</f>
        <v>#NAME?</v>
      </c>
      <c r="D1889" s="24" t="e">
        <f ca="1">[1]!BexGetData("DP_1","003N8EMH8GTFRCSWKMPXRRESE","GSON1112150414")</f>
        <v>#NAME?</v>
      </c>
      <c r="E1889" s="24" t="e">
        <f ca="1">[1]!BexGetData("DP_1","003N8EMH8GTFRCSWKMPXRRL3Y","GSON1112150414")</f>
        <v>#NAME?</v>
      </c>
      <c r="F1889" s="28" t="e">
        <f ca="1">[1]!BexGetData("DP_1","003N8EMH8GTFRCSWKMPXRRRFI","GSON1112150414")</f>
        <v>#NAME?</v>
      </c>
      <c r="G1889" s="23" t="e">
        <f ca="1">[1]!BexGetData("DP_1","003N8EMH8GTFRCSWKMPXRRXR2","GSON1112150414")</f>
        <v>#NAME?</v>
      </c>
      <c r="H1889" s="23" t="e">
        <f ca="1">[1]!BexGetData("DP_1","003N8EMH8GTFRCSWKMPXRS42M","GSON1112150414")</f>
        <v>#NAME?</v>
      </c>
      <c r="I1889" s="28" t="e">
        <f ca="1">[1]!BexGetData("DP_1","003N8EMH8GTFRCSWKMPXRSAE6","GSON1112150414")</f>
        <v>#NAME?</v>
      </c>
      <c r="J1889" s="24" t="e">
        <f ca="1">[1]!BexGetData("DP_1","003N8EMH8GTFRCSWKMPXRSGPQ","GSON1112150414")</f>
        <v>#NAME?</v>
      </c>
      <c r="K1889" s="28" t="e">
        <f ca="1">[1]!BexGetData("DP_1","003N8EMH8GTFRIVNUPY288VJH","GSON1112150414")</f>
        <v>#NAME?</v>
      </c>
      <c r="L1889" s="28" t="e">
        <f ca="1">[1]!BexGetData("DP_1","003N8EMH8GTFRIVNUPY2891V1","GSON1112150414")</f>
        <v>#NAME?</v>
      </c>
      <c r="M1889" s="28" t="e">
        <f ca="1">[1]!BexGetData("DP_1","003N8EMH8GTFRIVOG7KG9IQXA","GSON1112150414")</f>
        <v>#NAME?</v>
      </c>
      <c r="N1889" s="28" t="e">
        <f ca="1">[1]!BexGetData("DP_1","003N8EMH8GTFRIVOG7KG9IX8U","GSON1112150414")</f>
        <v>#NAME?</v>
      </c>
      <c r="O1889" s="28" t="e">
        <f ca="1">[1]!BexGetData("DP_1","003N8EMH8GTFRIVOG7KG9J3KE","GSON1112150414")</f>
        <v>#NAME?</v>
      </c>
      <c r="P1889" s="28" t="e">
        <f ca="1">[1]!BexGetData("DP_1","003N8EMH8GTFRIVOG7KG9J9VY","GSON1112150414")</f>
        <v>#NAME?</v>
      </c>
      <c r="Q1889" s="24" t="e">
        <f ca="1">[1]!BexGetData("DP_1","00O2TNJGODT0G5Z4TTKYMM5MT","GSON1112150414")</f>
        <v>#NAME?</v>
      </c>
      <c r="R1889" s="28" t="e">
        <f ca="1">[1]!BexGetData("DP_1","00O2TNJGODT0G5Z4TTKYMMBYD","GSON1112150414")</f>
        <v>#NAME?</v>
      </c>
      <c r="S1889" s="28" t="e">
        <f ca="1">[1]!BexGetData("DP_1","00O2TNJGODT0G5Z4TTKYMMI9X","GSON1112150414")</f>
        <v>#NAME?</v>
      </c>
      <c r="T1889" s="28" t="e">
        <f ca="1">[1]!BexGetData("DP_1","00O2TNJGODT0G5Z4TTKYMMOLH","GSON1112150414")</f>
        <v>#NAME?</v>
      </c>
      <c r="U1889" s="28" t="e">
        <f ca="1">[1]!BexGetData("DP_1","00O2TNJGODT0G5Z4TTKYMMUX1","GSON1112150414")</f>
        <v>#NAME?</v>
      </c>
      <c r="V1889" s="28" t="e">
        <f ca="1">[1]!BexGetData("DP_1","00O2TNJGODT0G5Z4TTKYMN18L","GSON1112150414")</f>
        <v>#NAME?</v>
      </c>
      <c r="W1889" s="28" t="e">
        <f ca="1">[1]!BexGetData("DP_1","00O2TNJGODT0G5Z4TTKYMN7K5","GSON1112150414")</f>
        <v>#NAME?</v>
      </c>
    </row>
    <row r="1890" spans="1:23" x14ac:dyDescent="0.2">
      <c r="A1890" s="36" t="s">
        <v>4815</v>
      </c>
      <c r="B1890" s="27" t="s">
        <v>4816</v>
      </c>
      <c r="C1890" s="28" t="e">
        <f ca="1">[1]!BexGetData("DP_1","003N8EMH8GTFRCSWKMPXRR8GU","GSON1112150420")</f>
        <v>#NAME?</v>
      </c>
      <c r="D1890" s="28" t="e">
        <f ca="1">[1]!BexGetData("DP_1","003N8EMH8GTFRCSWKMPXRRESE","GSON1112150420")</f>
        <v>#NAME?</v>
      </c>
      <c r="E1890" s="23" t="e">
        <f ca="1">[1]!BexGetData("DP_1","003N8EMH8GTFRCSWKMPXRRL3Y","GSON1112150420")</f>
        <v>#NAME?</v>
      </c>
      <c r="F1890" s="23" t="e">
        <f ca="1">[1]!BexGetData("DP_1","003N8EMH8GTFRCSWKMPXRRRFI","GSON1112150420")</f>
        <v>#NAME?</v>
      </c>
      <c r="G1890" s="23" t="e">
        <f ca="1">[1]!BexGetData("DP_1","003N8EMH8GTFRCSWKMPXRRXR2","GSON1112150420")</f>
        <v>#NAME?</v>
      </c>
      <c r="H1890" s="23" t="e">
        <f ca="1">[1]!BexGetData("DP_1","003N8EMH8GTFRCSWKMPXRS42M","GSON1112150420")</f>
        <v>#NAME?</v>
      </c>
      <c r="I1890" s="23" t="e">
        <f ca="1">[1]!BexGetData("DP_1","003N8EMH8GTFRCSWKMPXRSAE6","GSON1112150420")</f>
        <v>#NAME?</v>
      </c>
      <c r="J1890" s="23" t="e">
        <f ca="1">[1]!BexGetData("DP_1","003N8EMH8GTFRCSWKMPXRSGPQ","GSON1112150420")</f>
        <v>#NAME?</v>
      </c>
      <c r="K1890" s="28" t="e">
        <f ca="1">[1]!BexGetData("DP_1","003N8EMH8GTFRIVNUPY288VJH","GSON1112150420")</f>
        <v>#NAME?</v>
      </c>
      <c r="L1890" s="28" t="e">
        <f ca="1">[1]!BexGetData("DP_1","003N8EMH8GTFRIVNUPY2891V1","GSON1112150420")</f>
        <v>#NAME?</v>
      </c>
      <c r="M1890" s="28" t="e">
        <f ca="1">[1]!BexGetData("DP_1","003N8EMH8GTFRIVOG7KG9IQXA","GSON1112150420")</f>
        <v>#NAME?</v>
      </c>
      <c r="N1890" s="28" t="e">
        <f ca="1">[1]!BexGetData("DP_1","003N8EMH8GTFRIVOG7KG9IX8U","GSON1112150420")</f>
        <v>#NAME?</v>
      </c>
      <c r="O1890" s="28" t="e">
        <f ca="1">[1]!BexGetData("DP_1","003N8EMH8GTFRIVOG7KG9J3KE","GSON1112150420")</f>
        <v>#NAME?</v>
      </c>
      <c r="P1890" s="28" t="e">
        <f ca="1">[1]!BexGetData("DP_1","003N8EMH8GTFRIVOG7KG9J9VY","GSON1112150420")</f>
        <v>#NAME?</v>
      </c>
      <c r="Q1890" s="23" t="e">
        <f ca="1">[1]!BexGetData("DP_1","00O2TNJGODT0G5Z4TTKYMM5MT","GSON1112150420")</f>
        <v>#NAME?</v>
      </c>
      <c r="R1890" s="23" t="e">
        <f ca="1">[1]!BexGetData("DP_1","00O2TNJGODT0G5Z4TTKYMMBYD","GSON1112150420")</f>
        <v>#NAME?</v>
      </c>
      <c r="S1890" s="23" t="e">
        <f ca="1">[1]!BexGetData("DP_1","00O2TNJGODT0G5Z4TTKYMMI9X","GSON1112150420")</f>
        <v>#NAME?</v>
      </c>
      <c r="T1890" s="23" t="e">
        <f ca="1">[1]!BexGetData("DP_1","00O2TNJGODT0G5Z4TTKYMMOLH","GSON1112150420")</f>
        <v>#NAME?</v>
      </c>
      <c r="U1890" s="28" t="e">
        <f ca="1">[1]!BexGetData("DP_1","00O2TNJGODT0G5Z4TTKYMMUX1","GSON1112150420")</f>
        <v>#NAME?</v>
      </c>
      <c r="V1890" s="23" t="e">
        <f ca="1">[1]!BexGetData("DP_1","00O2TNJGODT0G5Z4TTKYMN18L","GSON1112150420")</f>
        <v>#NAME?</v>
      </c>
      <c r="W1890" s="28" t="e">
        <f ca="1">[1]!BexGetData("DP_1","00O2TNJGODT0G5Z4TTKYMN7K5","GSON1112150420")</f>
        <v>#NAME?</v>
      </c>
    </row>
    <row r="1891" spans="1:23" x14ac:dyDescent="0.2">
      <c r="A1891" s="36" t="s">
        <v>4817</v>
      </c>
      <c r="B1891" s="27" t="s">
        <v>4818</v>
      </c>
      <c r="C1891" s="24" t="e">
        <f ca="1">[1]!BexGetData("DP_1","003N8EMH8GTFRCSWKMPXRR8GU","GSON1112150421")</f>
        <v>#NAME?</v>
      </c>
      <c r="D1891" s="24" t="e">
        <f ca="1">[1]!BexGetData("DP_1","003N8EMH8GTFRCSWKMPXRRESE","GSON1112150421")</f>
        <v>#NAME?</v>
      </c>
      <c r="E1891" s="24" t="e">
        <f ca="1">[1]!BexGetData("DP_1","003N8EMH8GTFRCSWKMPXRRL3Y","GSON1112150421")</f>
        <v>#NAME?</v>
      </c>
      <c r="F1891" s="28" t="e">
        <f ca="1">[1]!BexGetData("DP_1","003N8EMH8GTFRCSWKMPXRRRFI","GSON1112150421")</f>
        <v>#NAME?</v>
      </c>
      <c r="G1891" s="23" t="e">
        <f ca="1">[1]!BexGetData("DP_1","003N8EMH8GTFRCSWKMPXRRXR2","GSON1112150421")</f>
        <v>#NAME?</v>
      </c>
      <c r="H1891" s="23" t="e">
        <f ca="1">[1]!BexGetData("DP_1","003N8EMH8GTFRCSWKMPXRS42M","GSON1112150421")</f>
        <v>#NAME?</v>
      </c>
      <c r="I1891" s="28" t="e">
        <f ca="1">[1]!BexGetData("DP_1","003N8EMH8GTFRCSWKMPXRSAE6","GSON1112150421")</f>
        <v>#NAME?</v>
      </c>
      <c r="J1891" s="24" t="e">
        <f ca="1">[1]!BexGetData("DP_1","003N8EMH8GTFRCSWKMPXRSGPQ","GSON1112150421")</f>
        <v>#NAME?</v>
      </c>
      <c r="K1891" s="28" t="e">
        <f ca="1">[1]!BexGetData("DP_1","003N8EMH8GTFRIVNUPY288VJH","GSON1112150421")</f>
        <v>#NAME?</v>
      </c>
      <c r="L1891" s="28" t="e">
        <f ca="1">[1]!BexGetData("DP_1","003N8EMH8GTFRIVNUPY2891V1","GSON1112150421")</f>
        <v>#NAME?</v>
      </c>
      <c r="M1891" s="28" t="e">
        <f ca="1">[1]!BexGetData("DP_1","003N8EMH8GTFRIVOG7KG9IQXA","GSON1112150421")</f>
        <v>#NAME?</v>
      </c>
      <c r="N1891" s="28" t="e">
        <f ca="1">[1]!BexGetData("DP_1","003N8EMH8GTFRIVOG7KG9IX8U","GSON1112150421")</f>
        <v>#NAME?</v>
      </c>
      <c r="O1891" s="28" t="e">
        <f ca="1">[1]!BexGetData("DP_1","003N8EMH8GTFRIVOG7KG9J3KE","GSON1112150421")</f>
        <v>#NAME?</v>
      </c>
      <c r="P1891" s="28" t="e">
        <f ca="1">[1]!BexGetData("DP_1","003N8EMH8GTFRIVOG7KG9J9VY","GSON1112150421")</f>
        <v>#NAME?</v>
      </c>
      <c r="Q1891" s="24" t="e">
        <f ca="1">[1]!BexGetData("DP_1","00O2TNJGODT0G5Z4TTKYMM5MT","GSON1112150421")</f>
        <v>#NAME?</v>
      </c>
      <c r="R1891" s="28" t="e">
        <f ca="1">[1]!BexGetData("DP_1","00O2TNJGODT0G5Z4TTKYMMBYD","GSON1112150421")</f>
        <v>#NAME?</v>
      </c>
      <c r="S1891" s="28" t="e">
        <f ca="1">[1]!BexGetData("DP_1","00O2TNJGODT0G5Z4TTKYMMI9X","GSON1112150421")</f>
        <v>#NAME?</v>
      </c>
      <c r="T1891" s="28" t="e">
        <f ca="1">[1]!BexGetData("DP_1","00O2TNJGODT0G5Z4TTKYMMOLH","GSON1112150421")</f>
        <v>#NAME?</v>
      </c>
      <c r="U1891" s="28" t="e">
        <f ca="1">[1]!BexGetData("DP_1","00O2TNJGODT0G5Z4TTKYMMUX1","GSON1112150421")</f>
        <v>#NAME?</v>
      </c>
      <c r="V1891" s="28" t="e">
        <f ca="1">[1]!BexGetData("DP_1","00O2TNJGODT0G5Z4TTKYMN18L","GSON1112150421")</f>
        <v>#NAME?</v>
      </c>
      <c r="W1891" s="28" t="e">
        <f ca="1">[1]!BexGetData("DP_1","00O2TNJGODT0G5Z4TTKYMN7K5","GSON1112150421")</f>
        <v>#NAME?</v>
      </c>
    </row>
    <row r="1892" spans="1:23" x14ac:dyDescent="0.2">
      <c r="A1892" s="36" t="s">
        <v>4819</v>
      </c>
      <c r="B1892" s="27" t="s">
        <v>4820</v>
      </c>
      <c r="C1892" s="24" t="e">
        <f ca="1">[1]!BexGetData("DP_1","003N8EMH8GTFRCSWKMPXRR8GU","GSON1112150423")</f>
        <v>#NAME?</v>
      </c>
      <c r="D1892" s="24" t="e">
        <f ca="1">[1]!BexGetData("DP_1","003N8EMH8GTFRCSWKMPXRRESE","GSON1112150423")</f>
        <v>#NAME?</v>
      </c>
      <c r="E1892" s="24" t="e">
        <f ca="1">[1]!BexGetData("DP_1","003N8EMH8GTFRCSWKMPXRRL3Y","GSON1112150423")</f>
        <v>#NAME?</v>
      </c>
      <c r="F1892" s="28" t="e">
        <f ca="1">[1]!BexGetData("DP_1","003N8EMH8GTFRCSWKMPXRRRFI","GSON1112150423")</f>
        <v>#NAME?</v>
      </c>
      <c r="G1892" s="23" t="e">
        <f ca="1">[1]!BexGetData("DP_1","003N8EMH8GTFRCSWKMPXRRXR2","GSON1112150423")</f>
        <v>#NAME?</v>
      </c>
      <c r="H1892" s="23" t="e">
        <f ca="1">[1]!BexGetData("DP_1","003N8EMH8GTFRCSWKMPXRS42M","GSON1112150423")</f>
        <v>#NAME?</v>
      </c>
      <c r="I1892" s="28" t="e">
        <f ca="1">[1]!BexGetData("DP_1","003N8EMH8GTFRCSWKMPXRSAE6","GSON1112150423")</f>
        <v>#NAME?</v>
      </c>
      <c r="J1892" s="24" t="e">
        <f ca="1">[1]!BexGetData("DP_1","003N8EMH8GTFRCSWKMPXRSGPQ","GSON1112150423")</f>
        <v>#NAME?</v>
      </c>
      <c r="K1892" s="28" t="e">
        <f ca="1">[1]!BexGetData("DP_1","003N8EMH8GTFRIVNUPY288VJH","GSON1112150423")</f>
        <v>#NAME?</v>
      </c>
      <c r="L1892" s="28" t="e">
        <f ca="1">[1]!BexGetData("DP_1","003N8EMH8GTFRIVNUPY2891V1","GSON1112150423")</f>
        <v>#NAME?</v>
      </c>
      <c r="M1892" s="28" t="e">
        <f ca="1">[1]!BexGetData("DP_1","003N8EMH8GTFRIVOG7KG9IQXA","GSON1112150423")</f>
        <v>#NAME?</v>
      </c>
      <c r="N1892" s="28" t="e">
        <f ca="1">[1]!BexGetData("DP_1","003N8EMH8GTFRIVOG7KG9IX8U","GSON1112150423")</f>
        <v>#NAME?</v>
      </c>
      <c r="O1892" s="28" t="e">
        <f ca="1">[1]!BexGetData("DP_1","003N8EMH8GTFRIVOG7KG9J3KE","GSON1112150423")</f>
        <v>#NAME?</v>
      </c>
      <c r="P1892" s="28" t="e">
        <f ca="1">[1]!BexGetData("DP_1","003N8EMH8GTFRIVOG7KG9J9VY","GSON1112150423")</f>
        <v>#NAME?</v>
      </c>
      <c r="Q1892" s="24" t="e">
        <f ca="1">[1]!BexGetData("DP_1","00O2TNJGODT0G5Z4TTKYMM5MT","GSON1112150423")</f>
        <v>#NAME?</v>
      </c>
      <c r="R1892" s="28" t="e">
        <f ca="1">[1]!BexGetData("DP_1","00O2TNJGODT0G5Z4TTKYMMBYD","GSON1112150423")</f>
        <v>#NAME?</v>
      </c>
      <c r="S1892" s="28" t="e">
        <f ca="1">[1]!BexGetData("DP_1","00O2TNJGODT0G5Z4TTKYMMI9X","GSON1112150423")</f>
        <v>#NAME?</v>
      </c>
      <c r="T1892" s="28" t="e">
        <f ca="1">[1]!BexGetData("DP_1","00O2TNJGODT0G5Z4TTKYMMOLH","GSON1112150423")</f>
        <v>#NAME?</v>
      </c>
      <c r="U1892" s="28" t="e">
        <f ca="1">[1]!BexGetData("DP_1","00O2TNJGODT0G5Z4TTKYMMUX1","GSON1112150423")</f>
        <v>#NAME?</v>
      </c>
      <c r="V1892" s="28" t="e">
        <f ca="1">[1]!BexGetData("DP_1","00O2TNJGODT0G5Z4TTKYMN18L","GSON1112150423")</f>
        <v>#NAME?</v>
      </c>
      <c r="W1892" s="28" t="e">
        <f ca="1">[1]!BexGetData("DP_1","00O2TNJGODT0G5Z4TTKYMN7K5","GSON1112150423")</f>
        <v>#NAME?</v>
      </c>
    </row>
    <row r="1893" spans="1:23" x14ac:dyDescent="0.2">
      <c r="A1893" s="36" t="s">
        <v>4821</v>
      </c>
      <c r="B1893" s="27" t="s">
        <v>4822</v>
      </c>
      <c r="C1893" s="24" t="e">
        <f ca="1">[1]!BexGetData("DP_1","003N8EMH8GTFRCSWKMPXRR8GU","GSON1112150424")</f>
        <v>#NAME?</v>
      </c>
      <c r="D1893" s="24" t="e">
        <f ca="1">[1]!BexGetData("DP_1","003N8EMH8GTFRCSWKMPXRRESE","GSON1112150424")</f>
        <v>#NAME?</v>
      </c>
      <c r="E1893" s="24" t="e">
        <f ca="1">[1]!BexGetData("DP_1","003N8EMH8GTFRCSWKMPXRRL3Y","GSON1112150424")</f>
        <v>#NAME?</v>
      </c>
      <c r="F1893" s="28" t="e">
        <f ca="1">[1]!BexGetData("DP_1","003N8EMH8GTFRCSWKMPXRRRFI","GSON1112150424")</f>
        <v>#NAME?</v>
      </c>
      <c r="G1893" s="23" t="e">
        <f ca="1">[1]!BexGetData("DP_1","003N8EMH8GTFRCSWKMPXRRXR2","GSON1112150424")</f>
        <v>#NAME?</v>
      </c>
      <c r="H1893" s="23" t="e">
        <f ca="1">[1]!BexGetData("DP_1","003N8EMH8GTFRCSWKMPXRS42M","GSON1112150424")</f>
        <v>#NAME?</v>
      </c>
      <c r="I1893" s="28" t="e">
        <f ca="1">[1]!BexGetData("DP_1","003N8EMH8GTFRCSWKMPXRSAE6","GSON1112150424")</f>
        <v>#NAME?</v>
      </c>
      <c r="J1893" s="24" t="e">
        <f ca="1">[1]!BexGetData("DP_1","003N8EMH8GTFRCSWKMPXRSGPQ","GSON1112150424")</f>
        <v>#NAME?</v>
      </c>
      <c r="K1893" s="28" t="e">
        <f ca="1">[1]!BexGetData("DP_1","003N8EMH8GTFRIVNUPY288VJH","GSON1112150424")</f>
        <v>#NAME?</v>
      </c>
      <c r="L1893" s="28" t="e">
        <f ca="1">[1]!BexGetData("DP_1","003N8EMH8GTFRIVNUPY2891V1","GSON1112150424")</f>
        <v>#NAME?</v>
      </c>
      <c r="M1893" s="28" t="e">
        <f ca="1">[1]!BexGetData("DP_1","003N8EMH8GTFRIVOG7KG9IQXA","GSON1112150424")</f>
        <v>#NAME?</v>
      </c>
      <c r="N1893" s="28" t="e">
        <f ca="1">[1]!BexGetData("DP_1","003N8EMH8GTFRIVOG7KG9IX8U","GSON1112150424")</f>
        <v>#NAME?</v>
      </c>
      <c r="O1893" s="28" t="e">
        <f ca="1">[1]!BexGetData("DP_1","003N8EMH8GTFRIVOG7KG9J3KE","GSON1112150424")</f>
        <v>#NAME?</v>
      </c>
      <c r="P1893" s="28" t="e">
        <f ca="1">[1]!BexGetData("DP_1","003N8EMH8GTFRIVOG7KG9J9VY","GSON1112150424")</f>
        <v>#NAME?</v>
      </c>
      <c r="Q1893" s="24" t="e">
        <f ca="1">[1]!BexGetData("DP_1","00O2TNJGODT0G5Z4TTKYMM5MT","GSON1112150424")</f>
        <v>#NAME?</v>
      </c>
      <c r="R1893" s="28" t="e">
        <f ca="1">[1]!BexGetData("DP_1","00O2TNJGODT0G5Z4TTKYMMBYD","GSON1112150424")</f>
        <v>#NAME?</v>
      </c>
      <c r="S1893" s="28" t="e">
        <f ca="1">[1]!BexGetData("DP_1","00O2TNJGODT0G5Z4TTKYMMI9X","GSON1112150424")</f>
        <v>#NAME?</v>
      </c>
      <c r="T1893" s="28" t="e">
        <f ca="1">[1]!BexGetData("DP_1","00O2TNJGODT0G5Z4TTKYMMOLH","GSON1112150424")</f>
        <v>#NAME?</v>
      </c>
      <c r="U1893" s="28" t="e">
        <f ca="1">[1]!BexGetData("DP_1","00O2TNJGODT0G5Z4TTKYMMUX1","GSON1112150424")</f>
        <v>#NAME?</v>
      </c>
      <c r="V1893" s="28" t="e">
        <f ca="1">[1]!BexGetData("DP_1","00O2TNJGODT0G5Z4TTKYMN18L","GSON1112150424")</f>
        <v>#NAME?</v>
      </c>
      <c r="W1893" s="28" t="e">
        <f ca="1">[1]!BexGetData("DP_1","00O2TNJGODT0G5Z4TTKYMN7K5","GSON1112150424")</f>
        <v>#NAME?</v>
      </c>
    </row>
    <row r="1894" spans="1:23" x14ac:dyDescent="0.2">
      <c r="A1894" s="36" t="s">
        <v>4823</v>
      </c>
      <c r="B1894" s="27" t="s">
        <v>4824</v>
      </c>
      <c r="C1894" s="28" t="e">
        <f ca="1">[1]!BexGetData("DP_1","003N8EMH8GTFRCSWKMPXRR8GU","GSON1112150425")</f>
        <v>#NAME?</v>
      </c>
      <c r="D1894" s="28" t="e">
        <f ca="1">[1]!BexGetData("DP_1","003N8EMH8GTFRCSWKMPXRRESE","GSON1112150425")</f>
        <v>#NAME?</v>
      </c>
      <c r="E1894" s="28" t="e">
        <f ca="1">[1]!BexGetData("DP_1","003N8EMH8GTFRCSWKMPXRRL3Y","GSON1112150425")</f>
        <v>#NAME?</v>
      </c>
      <c r="F1894" s="28" t="e">
        <f ca="1">[1]!BexGetData("DP_1","003N8EMH8GTFRCSWKMPXRRRFI","GSON1112150425")</f>
        <v>#NAME?</v>
      </c>
      <c r="G1894" s="23" t="e">
        <f ca="1">[1]!BexGetData("DP_1","003N8EMH8GTFRCSWKMPXRRXR2","GSON1112150425")</f>
        <v>#NAME?</v>
      </c>
      <c r="H1894" s="23" t="e">
        <f ca="1">[1]!BexGetData("DP_1","003N8EMH8GTFRCSWKMPXRS42M","GSON1112150425")</f>
        <v>#NAME?</v>
      </c>
      <c r="I1894" s="28" t="e">
        <f ca="1">[1]!BexGetData("DP_1","003N8EMH8GTFRCSWKMPXRSAE6","GSON1112150425")</f>
        <v>#NAME?</v>
      </c>
      <c r="J1894" s="24" t="e">
        <f ca="1">[1]!BexGetData("DP_1","003N8EMH8GTFRCSWKMPXRSGPQ","GSON1112150425")</f>
        <v>#NAME?</v>
      </c>
      <c r="K1894" s="28" t="e">
        <f ca="1">[1]!BexGetData("DP_1","003N8EMH8GTFRIVNUPY288VJH","GSON1112150425")</f>
        <v>#NAME?</v>
      </c>
      <c r="L1894" s="28" t="e">
        <f ca="1">[1]!BexGetData("DP_1","003N8EMH8GTFRIVNUPY2891V1","GSON1112150425")</f>
        <v>#NAME?</v>
      </c>
      <c r="M1894" s="28" t="e">
        <f ca="1">[1]!BexGetData("DP_1","003N8EMH8GTFRIVOG7KG9IQXA","GSON1112150425")</f>
        <v>#NAME?</v>
      </c>
      <c r="N1894" s="28" t="e">
        <f ca="1">[1]!BexGetData("DP_1","003N8EMH8GTFRIVOG7KG9IX8U","GSON1112150425")</f>
        <v>#NAME?</v>
      </c>
      <c r="O1894" s="28" t="e">
        <f ca="1">[1]!BexGetData("DP_1","003N8EMH8GTFRIVOG7KG9J3KE","GSON1112150425")</f>
        <v>#NAME?</v>
      </c>
      <c r="P1894" s="28" t="e">
        <f ca="1">[1]!BexGetData("DP_1","003N8EMH8GTFRIVOG7KG9J9VY","GSON1112150425")</f>
        <v>#NAME?</v>
      </c>
      <c r="Q1894" s="24" t="e">
        <f ca="1">[1]!BexGetData("DP_1","00O2TNJGODT0G5Z4TTKYMM5MT","GSON1112150425")</f>
        <v>#NAME?</v>
      </c>
      <c r="R1894" s="28" t="e">
        <f ca="1">[1]!BexGetData("DP_1","00O2TNJGODT0G5Z4TTKYMMBYD","GSON1112150425")</f>
        <v>#NAME?</v>
      </c>
      <c r="S1894" s="28" t="e">
        <f ca="1">[1]!BexGetData("DP_1","00O2TNJGODT0G5Z4TTKYMMI9X","GSON1112150425")</f>
        <v>#NAME?</v>
      </c>
      <c r="T1894" s="28" t="e">
        <f ca="1">[1]!BexGetData("DP_1","00O2TNJGODT0G5Z4TTKYMMOLH","GSON1112150425")</f>
        <v>#NAME?</v>
      </c>
      <c r="U1894" s="28" t="e">
        <f ca="1">[1]!BexGetData("DP_1","00O2TNJGODT0G5Z4TTKYMMUX1","GSON1112150425")</f>
        <v>#NAME?</v>
      </c>
      <c r="V1894" s="28" t="e">
        <f ca="1">[1]!BexGetData("DP_1","00O2TNJGODT0G5Z4TTKYMN18L","GSON1112150425")</f>
        <v>#NAME?</v>
      </c>
      <c r="W1894" s="28" t="e">
        <f ca="1">[1]!BexGetData("DP_1","00O2TNJGODT0G5Z4TTKYMN7K5","GSON1112150425")</f>
        <v>#NAME?</v>
      </c>
    </row>
    <row r="1895" spans="1:23" x14ac:dyDescent="0.2">
      <c r="A1895" s="36" t="s">
        <v>4825</v>
      </c>
      <c r="B1895" s="27" t="s">
        <v>4826</v>
      </c>
      <c r="C1895" s="28" t="e">
        <f ca="1">[1]!BexGetData("DP_1","003N8EMH8GTFRCSWKMPXRR8GU","GSON1112150450")</f>
        <v>#NAME?</v>
      </c>
      <c r="D1895" s="28" t="e">
        <f ca="1">[1]!BexGetData("DP_1","003N8EMH8GTFRCSWKMPXRRESE","GSON1112150450")</f>
        <v>#NAME?</v>
      </c>
      <c r="E1895" s="23" t="e">
        <f ca="1">[1]!BexGetData("DP_1","003N8EMH8GTFRCSWKMPXRRL3Y","GSON1112150450")</f>
        <v>#NAME?</v>
      </c>
      <c r="F1895" s="23" t="e">
        <f ca="1">[1]!BexGetData("DP_1","003N8EMH8GTFRCSWKMPXRRRFI","GSON1112150450")</f>
        <v>#NAME?</v>
      </c>
      <c r="G1895" s="23" t="e">
        <f ca="1">[1]!BexGetData("DP_1","003N8EMH8GTFRCSWKMPXRRXR2","GSON1112150450")</f>
        <v>#NAME?</v>
      </c>
      <c r="H1895" s="23" t="e">
        <f ca="1">[1]!BexGetData("DP_1","003N8EMH8GTFRCSWKMPXRS42M","GSON1112150450")</f>
        <v>#NAME?</v>
      </c>
      <c r="I1895" s="23" t="e">
        <f ca="1">[1]!BexGetData("DP_1","003N8EMH8GTFRCSWKMPXRSAE6","GSON1112150450")</f>
        <v>#NAME?</v>
      </c>
      <c r="J1895" s="23" t="e">
        <f ca="1">[1]!BexGetData("DP_1","003N8EMH8GTFRCSWKMPXRSGPQ","GSON1112150450")</f>
        <v>#NAME?</v>
      </c>
      <c r="K1895" s="28" t="e">
        <f ca="1">[1]!BexGetData("DP_1","003N8EMH8GTFRIVNUPY288VJH","GSON1112150450")</f>
        <v>#NAME?</v>
      </c>
      <c r="L1895" s="28" t="e">
        <f ca="1">[1]!BexGetData("DP_1","003N8EMH8GTFRIVNUPY2891V1","GSON1112150450")</f>
        <v>#NAME?</v>
      </c>
      <c r="M1895" s="28" t="e">
        <f ca="1">[1]!BexGetData("DP_1","003N8EMH8GTFRIVOG7KG9IQXA","GSON1112150450")</f>
        <v>#NAME?</v>
      </c>
      <c r="N1895" s="28" t="e">
        <f ca="1">[1]!BexGetData("DP_1","003N8EMH8GTFRIVOG7KG9IX8U","GSON1112150450")</f>
        <v>#NAME?</v>
      </c>
      <c r="O1895" s="28" t="e">
        <f ca="1">[1]!BexGetData("DP_1","003N8EMH8GTFRIVOG7KG9J3KE","GSON1112150450")</f>
        <v>#NAME?</v>
      </c>
      <c r="P1895" s="28" t="e">
        <f ca="1">[1]!BexGetData("DP_1","003N8EMH8GTFRIVOG7KG9J9VY","GSON1112150450")</f>
        <v>#NAME?</v>
      </c>
      <c r="Q1895" s="23" t="e">
        <f ca="1">[1]!BexGetData("DP_1","00O2TNJGODT0G5Z4TTKYMM5MT","GSON1112150450")</f>
        <v>#NAME?</v>
      </c>
      <c r="R1895" s="23" t="e">
        <f ca="1">[1]!BexGetData("DP_1","00O2TNJGODT0G5Z4TTKYMMBYD","GSON1112150450")</f>
        <v>#NAME?</v>
      </c>
      <c r="S1895" s="23" t="e">
        <f ca="1">[1]!BexGetData("DP_1","00O2TNJGODT0G5Z4TTKYMMI9X","GSON1112150450")</f>
        <v>#NAME?</v>
      </c>
      <c r="T1895" s="23" t="e">
        <f ca="1">[1]!BexGetData("DP_1","00O2TNJGODT0G5Z4TTKYMMOLH","GSON1112150450")</f>
        <v>#NAME?</v>
      </c>
      <c r="U1895" s="28" t="e">
        <f ca="1">[1]!BexGetData("DP_1","00O2TNJGODT0G5Z4TTKYMMUX1","GSON1112150450")</f>
        <v>#NAME?</v>
      </c>
      <c r="V1895" s="23" t="e">
        <f ca="1">[1]!BexGetData("DP_1","00O2TNJGODT0G5Z4TTKYMN18L","GSON1112150450")</f>
        <v>#NAME?</v>
      </c>
      <c r="W1895" s="28" t="e">
        <f ca="1">[1]!BexGetData("DP_1","00O2TNJGODT0G5Z4TTKYMN7K5","GSON1112150450")</f>
        <v>#NAME?</v>
      </c>
    </row>
    <row r="1896" spans="1:23" x14ac:dyDescent="0.2">
      <c r="A1896" s="36" t="s">
        <v>1618</v>
      </c>
      <c r="B1896" s="27" t="s">
        <v>1619</v>
      </c>
      <c r="C1896" s="24" t="e">
        <f ca="1">[1]!BexGetData("DP_1","003N8EMH8GTFRCSWKMPXRR8GU","GSON1112150451")</f>
        <v>#NAME?</v>
      </c>
      <c r="D1896" s="24" t="e">
        <f ca="1">[1]!BexGetData("DP_1","003N8EMH8GTFRCSWKMPXRRESE","GSON1112150451")</f>
        <v>#NAME?</v>
      </c>
      <c r="E1896" s="24" t="e">
        <f ca="1">[1]!BexGetData("DP_1","003N8EMH8GTFRCSWKMPXRRL3Y","GSON1112150451")</f>
        <v>#NAME?</v>
      </c>
      <c r="F1896" s="28" t="e">
        <f ca="1">[1]!BexGetData("DP_1","003N8EMH8GTFRCSWKMPXRRRFI","GSON1112150451")</f>
        <v>#NAME?</v>
      </c>
      <c r="G1896" s="23" t="e">
        <f ca="1">[1]!BexGetData("DP_1","003N8EMH8GTFRCSWKMPXRRXR2","GSON1112150451")</f>
        <v>#NAME?</v>
      </c>
      <c r="H1896" s="23" t="e">
        <f ca="1">[1]!BexGetData("DP_1","003N8EMH8GTFRCSWKMPXRS42M","GSON1112150451")</f>
        <v>#NAME?</v>
      </c>
      <c r="I1896" s="28" t="e">
        <f ca="1">[1]!BexGetData("DP_1","003N8EMH8GTFRCSWKMPXRSAE6","GSON1112150451")</f>
        <v>#NAME?</v>
      </c>
      <c r="J1896" s="24" t="e">
        <f ca="1">[1]!BexGetData("DP_1","003N8EMH8GTFRCSWKMPXRSGPQ","GSON1112150451")</f>
        <v>#NAME?</v>
      </c>
      <c r="K1896" s="28" t="e">
        <f ca="1">[1]!BexGetData("DP_1","003N8EMH8GTFRIVNUPY288VJH","GSON1112150451")</f>
        <v>#NAME?</v>
      </c>
      <c r="L1896" s="28" t="e">
        <f ca="1">[1]!BexGetData("DP_1","003N8EMH8GTFRIVNUPY2891V1","GSON1112150451")</f>
        <v>#NAME?</v>
      </c>
      <c r="M1896" s="28" t="e">
        <f ca="1">[1]!BexGetData("DP_1","003N8EMH8GTFRIVOG7KG9IQXA","GSON1112150451")</f>
        <v>#NAME?</v>
      </c>
      <c r="N1896" s="28" t="e">
        <f ca="1">[1]!BexGetData("DP_1","003N8EMH8GTFRIVOG7KG9IX8U","GSON1112150451")</f>
        <v>#NAME?</v>
      </c>
      <c r="O1896" s="28" t="e">
        <f ca="1">[1]!BexGetData("DP_1","003N8EMH8GTFRIVOG7KG9J3KE","GSON1112150451")</f>
        <v>#NAME?</v>
      </c>
      <c r="P1896" s="28" t="e">
        <f ca="1">[1]!BexGetData("DP_1","003N8EMH8GTFRIVOG7KG9J9VY","GSON1112150451")</f>
        <v>#NAME?</v>
      </c>
      <c r="Q1896" s="24" t="e">
        <f ca="1">[1]!BexGetData("DP_1","00O2TNJGODT0G5Z4TTKYMM5MT","GSON1112150451")</f>
        <v>#NAME?</v>
      </c>
      <c r="R1896" s="28" t="e">
        <f ca="1">[1]!BexGetData("DP_1","00O2TNJGODT0G5Z4TTKYMMBYD","GSON1112150451")</f>
        <v>#NAME?</v>
      </c>
      <c r="S1896" s="28" t="e">
        <f ca="1">[1]!BexGetData("DP_1","00O2TNJGODT0G5Z4TTKYMMI9X","GSON1112150451")</f>
        <v>#NAME?</v>
      </c>
      <c r="T1896" s="28" t="e">
        <f ca="1">[1]!BexGetData("DP_1","00O2TNJGODT0G5Z4TTKYMMOLH","GSON1112150451")</f>
        <v>#NAME?</v>
      </c>
      <c r="U1896" s="28" t="e">
        <f ca="1">[1]!BexGetData("DP_1","00O2TNJGODT0G5Z4TTKYMMUX1","GSON1112150451")</f>
        <v>#NAME?</v>
      </c>
      <c r="V1896" s="28" t="e">
        <f ca="1">[1]!BexGetData("DP_1","00O2TNJGODT0G5Z4TTKYMN18L","GSON1112150451")</f>
        <v>#NAME?</v>
      </c>
      <c r="W1896" s="28" t="e">
        <f ca="1">[1]!BexGetData("DP_1","00O2TNJGODT0G5Z4TTKYMN7K5","GSON1112150451")</f>
        <v>#NAME?</v>
      </c>
    </row>
    <row r="1897" spans="1:23" x14ac:dyDescent="0.2">
      <c r="A1897" s="36" t="s">
        <v>4827</v>
      </c>
      <c r="B1897" s="27" t="s">
        <v>4828</v>
      </c>
      <c r="C1897" s="24" t="e">
        <f ca="1">[1]!BexGetData("DP_1","003N8EMH8GTFRCSWKMPXRR8GU","GSON1112150453")</f>
        <v>#NAME?</v>
      </c>
      <c r="D1897" s="24" t="e">
        <f ca="1">[1]!BexGetData("DP_1","003N8EMH8GTFRCSWKMPXRRESE","GSON1112150453")</f>
        <v>#NAME?</v>
      </c>
      <c r="E1897" s="24" t="e">
        <f ca="1">[1]!BexGetData("DP_1","003N8EMH8GTFRCSWKMPXRRL3Y","GSON1112150453")</f>
        <v>#NAME?</v>
      </c>
      <c r="F1897" s="28" t="e">
        <f ca="1">[1]!BexGetData("DP_1","003N8EMH8GTFRCSWKMPXRRRFI","GSON1112150453")</f>
        <v>#NAME?</v>
      </c>
      <c r="G1897" s="23" t="e">
        <f ca="1">[1]!BexGetData("DP_1","003N8EMH8GTFRCSWKMPXRRXR2","GSON1112150453")</f>
        <v>#NAME?</v>
      </c>
      <c r="H1897" s="23" t="e">
        <f ca="1">[1]!BexGetData("DP_1","003N8EMH8GTFRCSWKMPXRS42M","GSON1112150453")</f>
        <v>#NAME?</v>
      </c>
      <c r="I1897" s="28" t="e">
        <f ca="1">[1]!BexGetData("DP_1","003N8EMH8GTFRCSWKMPXRSAE6","GSON1112150453")</f>
        <v>#NAME?</v>
      </c>
      <c r="J1897" s="24" t="e">
        <f ca="1">[1]!BexGetData("DP_1","003N8EMH8GTFRCSWKMPXRSGPQ","GSON1112150453")</f>
        <v>#NAME?</v>
      </c>
      <c r="K1897" s="28" t="e">
        <f ca="1">[1]!BexGetData("DP_1","003N8EMH8GTFRIVNUPY288VJH","GSON1112150453")</f>
        <v>#NAME?</v>
      </c>
      <c r="L1897" s="28" t="e">
        <f ca="1">[1]!BexGetData("DP_1","003N8EMH8GTFRIVNUPY2891V1","GSON1112150453")</f>
        <v>#NAME?</v>
      </c>
      <c r="M1897" s="28" t="e">
        <f ca="1">[1]!BexGetData("DP_1","003N8EMH8GTFRIVOG7KG9IQXA","GSON1112150453")</f>
        <v>#NAME?</v>
      </c>
      <c r="N1897" s="28" t="e">
        <f ca="1">[1]!BexGetData("DP_1","003N8EMH8GTFRIVOG7KG9IX8U","GSON1112150453")</f>
        <v>#NAME?</v>
      </c>
      <c r="O1897" s="28" t="e">
        <f ca="1">[1]!BexGetData("DP_1","003N8EMH8GTFRIVOG7KG9J3KE","GSON1112150453")</f>
        <v>#NAME?</v>
      </c>
      <c r="P1897" s="28" t="e">
        <f ca="1">[1]!BexGetData("DP_1","003N8EMH8GTFRIVOG7KG9J9VY","GSON1112150453")</f>
        <v>#NAME?</v>
      </c>
      <c r="Q1897" s="24" t="e">
        <f ca="1">[1]!BexGetData("DP_1","00O2TNJGODT0G5Z4TTKYMM5MT","GSON1112150453")</f>
        <v>#NAME?</v>
      </c>
      <c r="R1897" s="28" t="e">
        <f ca="1">[1]!BexGetData("DP_1","00O2TNJGODT0G5Z4TTKYMMBYD","GSON1112150453")</f>
        <v>#NAME?</v>
      </c>
      <c r="S1897" s="28" t="e">
        <f ca="1">[1]!BexGetData("DP_1","00O2TNJGODT0G5Z4TTKYMMI9X","GSON1112150453")</f>
        <v>#NAME?</v>
      </c>
      <c r="T1897" s="28" t="e">
        <f ca="1">[1]!BexGetData("DP_1","00O2TNJGODT0G5Z4TTKYMMOLH","GSON1112150453")</f>
        <v>#NAME?</v>
      </c>
      <c r="U1897" s="28" t="e">
        <f ca="1">[1]!BexGetData("DP_1","00O2TNJGODT0G5Z4TTKYMMUX1","GSON1112150453")</f>
        <v>#NAME?</v>
      </c>
      <c r="V1897" s="28" t="e">
        <f ca="1">[1]!BexGetData("DP_1","00O2TNJGODT0G5Z4TTKYMN18L","GSON1112150453")</f>
        <v>#NAME?</v>
      </c>
      <c r="W1897" s="28" t="e">
        <f ca="1">[1]!BexGetData("DP_1","00O2TNJGODT0G5Z4TTKYMN7K5","GSON1112150453")</f>
        <v>#NAME?</v>
      </c>
    </row>
    <row r="1898" spans="1:23" x14ac:dyDescent="0.2">
      <c r="A1898" s="36" t="s">
        <v>4829</v>
      </c>
      <c r="B1898" s="27" t="s">
        <v>4830</v>
      </c>
      <c r="C1898" s="24" t="e">
        <f ca="1">[1]!BexGetData("DP_1","003N8EMH8GTFRCSWKMPXRR8GU","GSON1112150454")</f>
        <v>#NAME?</v>
      </c>
      <c r="D1898" s="24" t="e">
        <f ca="1">[1]!BexGetData("DP_1","003N8EMH8GTFRCSWKMPXRRESE","GSON1112150454")</f>
        <v>#NAME?</v>
      </c>
      <c r="E1898" s="24" t="e">
        <f ca="1">[1]!BexGetData("DP_1","003N8EMH8GTFRCSWKMPXRRL3Y","GSON1112150454")</f>
        <v>#NAME?</v>
      </c>
      <c r="F1898" s="28" t="e">
        <f ca="1">[1]!BexGetData("DP_1","003N8EMH8GTFRCSWKMPXRRRFI","GSON1112150454")</f>
        <v>#NAME?</v>
      </c>
      <c r="G1898" s="23" t="e">
        <f ca="1">[1]!BexGetData("DP_1","003N8EMH8GTFRCSWKMPXRRXR2","GSON1112150454")</f>
        <v>#NAME?</v>
      </c>
      <c r="H1898" s="23" t="e">
        <f ca="1">[1]!BexGetData("DP_1","003N8EMH8GTFRCSWKMPXRS42M","GSON1112150454")</f>
        <v>#NAME?</v>
      </c>
      <c r="I1898" s="28" t="e">
        <f ca="1">[1]!BexGetData("DP_1","003N8EMH8GTFRCSWKMPXRSAE6","GSON1112150454")</f>
        <v>#NAME?</v>
      </c>
      <c r="J1898" s="24" t="e">
        <f ca="1">[1]!BexGetData("DP_1","003N8EMH8GTFRCSWKMPXRSGPQ","GSON1112150454")</f>
        <v>#NAME?</v>
      </c>
      <c r="K1898" s="28" t="e">
        <f ca="1">[1]!BexGetData("DP_1","003N8EMH8GTFRIVNUPY288VJH","GSON1112150454")</f>
        <v>#NAME?</v>
      </c>
      <c r="L1898" s="28" t="e">
        <f ca="1">[1]!BexGetData("DP_1","003N8EMH8GTFRIVNUPY2891V1","GSON1112150454")</f>
        <v>#NAME?</v>
      </c>
      <c r="M1898" s="28" t="e">
        <f ca="1">[1]!BexGetData("DP_1","003N8EMH8GTFRIVOG7KG9IQXA","GSON1112150454")</f>
        <v>#NAME?</v>
      </c>
      <c r="N1898" s="28" t="e">
        <f ca="1">[1]!BexGetData("DP_1","003N8EMH8GTFRIVOG7KG9IX8U","GSON1112150454")</f>
        <v>#NAME?</v>
      </c>
      <c r="O1898" s="28" t="e">
        <f ca="1">[1]!BexGetData("DP_1","003N8EMH8GTFRIVOG7KG9J3KE","GSON1112150454")</f>
        <v>#NAME?</v>
      </c>
      <c r="P1898" s="28" t="e">
        <f ca="1">[1]!BexGetData("DP_1","003N8EMH8GTFRIVOG7KG9J9VY","GSON1112150454")</f>
        <v>#NAME?</v>
      </c>
      <c r="Q1898" s="24" t="e">
        <f ca="1">[1]!BexGetData("DP_1","00O2TNJGODT0G5Z4TTKYMM5MT","GSON1112150454")</f>
        <v>#NAME?</v>
      </c>
      <c r="R1898" s="28" t="e">
        <f ca="1">[1]!BexGetData("DP_1","00O2TNJGODT0G5Z4TTKYMMBYD","GSON1112150454")</f>
        <v>#NAME?</v>
      </c>
      <c r="S1898" s="28" t="e">
        <f ca="1">[1]!BexGetData("DP_1","00O2TNJGODT0G5Z4TTKYMMI9X","GSON1112150454")</f>
        <v>#NAME?</v>
      </c>
      <c r="T1898" s="28" t="e">
        <f ca="1">[1]!BexGetData("DP_1","00O2TNJGODT0G5Z4TTKYMMOLH","GSON1112150454")</f>
        <v>#NAME?</v>
      </c>
      <c r="U1898" s="28" t="e">
        <f ca="1">[1]!BexGetData("DP_1","00O2TNJGODT0G5Z4TTKYMMUX1","GSON1112150454")</f>
        <v>#NAME?</v>
      </c>
      <c r="V1898" s="28" t="e">
        <f ca="1">[1]!BexGetData("DP_1","00O2TNJGODT0G5Z4TTKYMN18L","GSON1112150454")</f>
        <v>#NAME?</v>
      </c>
      <c r="W1898" s="28" t="e">
        <f ca="1">[1]!BexGetData("DP_1","00O2TNJGODT0G5Z4TTKYMN7K5","GSON1112150454")</f>
        <v>#NAME?</v>
      </c>
    </row>
    <row r="1899" spans="1:23" x14ac:dyDescent="0.2">
      <c r="A1899" s="36" t="s">
        <v>4831</v>
      </c>
      <c r="B1899" s="27" t="s">
        <v>4832</v>
      </c>
      <c r="C1899" s="28" t="e">
        <f ca="1">[1]!BexGetData("DP_1","003N8EMH8GTFRCSWKMPXRR8GU","GSON1112150455")</f>
        <v>#NAME?</v>
      </c>
      <c r="D1899" s="28" t="e">
        <f ca="1">[1]!BexGetData("DP_1","003N8EMH8GTFRCSWKMPXRRESE","GSON1112150455")</f>
        <v>#NAME?</v>
      </c>
      <c r="E1899" s="28" t="e">
        <f ca="1">[1]!BexGetData("DP_1","003N8EMH8GTFRCSWKMPXRRL3Y","GSON1112150455")</f>
        <v>#NAME?</v>
      </c>
      <c r="F1899" s="28" t="e">
        <f ca="1">[1]!BexGetData("DP_1","003N8EMH8GTFRCSWKMPXRRRFI","GSON1112150455")</f>
        <v>#NAME?</v>
      </c>
      <c r="G1899" s="23" t="e">
        <f ca="1">[1]!BexGetData("DP_1","003N8EMH8GTFRCSWKMPXRRXR2","GSON1112150455")</f>
        <v>#NAME?</v>
      </c>
      <c r="H1899" s="23" t="e">
        <f ca="1">[1]!BexGetData("DP_1","003N8EMH8GTFRCSWKMPXRS42M","GSON1112150455")</f>
        <v>#NAME?</v>
      </c>
      <c r="I1899" s="28" t="e">
        <f ca="1">[1]!BexGetData("DP_1","003N8EMH8GTFRCSWKMPXRSAE6","GSON1112150455")</f>
        <v>#NAME?</v>
      </c>
      <c r="J1899" s="24" t="e">
        <f ca="1">[1]!BexGetData("DP_1","003N8EMH8GTFRCSWKMPXRSGPQ","GSON1112150455")</f>
        <v>#NAME?</v>
      </c>
      <c r="K1899" s="28" t="e">
        <f ca="1">[1]!BexGetData("DP_1","003N8EMH8GTFRIVNUPY288VJH","GSON1112150455")</f>
        <v>#NAME?</v>
      </c>
      <c r="L1899" s="28" t="e">
        <f ca="1">[1]!BexGetData("DP_1","003N8EMH8GTFRIVNUPY2891V1","GSON1112150455")</f>
        <v>#NAME?</v>
      </c>
      <c r="M1899" s="28" t="e">
        <f ca="1">[1]!BexGetData("DP_1","003N8EMH8GTFRIVOG7KG9IQXA","GSON1112150455")</f>
        <v>#NAME?</v>
      </c>
      <c r="N1899" s="28" t="e">
        <f ca="1">[1]!BexGetData("DP_1","003N8EMH8GTFRIVOG7KG9IX8U","GSON1112150455")</f>
        <v>#NAME?</v>
      </c>
      <c r="O1899" s="28" t="e">
        <f ca="1">[1]!BexGetData("DP_1","003N8EMH8GTFRIVOG7KG9J3KE","GSON1112150455")</f>
        <v>#NAME?</v>
      </c>
      <c r="P1899" s="28" t="e">
        <f ca="1">[1]!BexGetData("DP_1","003N8EMH8GTFRIVOG7KG9J9VY","GSON1112150455")</f>
        <v>#NAME?</v>
      </c>
      <c r="Q1899" s="24" t="e">
        <f ca="1">[1]!BexGetData("DP_1","00O2TNJGODT0G5Z4TTKYMM5MT","GSON1112150455")</f>
        <v>#NAME?</v>
      </c>
      <c r="R1899" s="28" t="e">
        <f ca="1">[1]!BexGetData("DP_1","00O2TNJGODT0G5Z4TTKYMMBYD","GSON1112150455")</f>
        <v>#NAME?</v>
      </c>
      <c r="S1899" s="28" t="e">
        <f ca="1">[1]!BexGetData("DP_1","00O2TNJGODT0G5Z4TTKYMMI9X","GSON1112150455")</f>
        <v>#NAME?</v>
      </c>
      <c r="T1899" s="28" t="e">
        <f ca="1">[1]!BexGetData("DP_1","00O2TNJGODT0G5Z4TTKYMMOLH","GSON1112150455")</f>
        <v>#NAME?</v>
      </c>
      <c r="U1899" s="28" t="e">
        <f ca="1">[1]!BexGetData("DP_1","00O2TNJGODT0G5Z4TTKYMMUX1","GSON1112150455")</f>
        <v>#NAME?</v>
      </c>
      <c r="V1899" s="28" t="e">
        <f ca="1">[1]!BexGetData("DP_1","00O2TNJGODT0G5Z4TTKYMN18L","GSON1112150455")</f>
        <v>#NAME?</v>
      </c>
      <c r="W1899" s="28" t="e">
        <f ca="1">[1]!BexGetData("DP_1","00O2TNJGODT0G5Z4TTKYMN7K5","GSON1112150455")</f>
        <v>#NAME?</v>
      </c>
    </row>
    <row r="1900" spans="1:23" x14ac:dyDescent="0.2">
      <c r="A1900" s="36" t="s">
        <v>302</v>
      </c>
      <c r="B1900" s="27" t="s">
        <v>303</v>
      </c>
      <c r="C1900" s="23" t="e">
        <f ca="1">[1]!BexGetData("DP_1","003N8EMH8GTFRCSWKMPXRR8GU","GSON1112150460")</f>
        <v>#NAME?</v>
      </c>
      <c r="D1900" s="28" t="e">
        <f ca="1">[1]!BexGetData("DP_1","003N8EMH8GTFRCSWKMPXRRESE","GSON1112150460")</f>
        <v>#NAME?</v>
      </c>
      <c r="E1900" s="23" t="e">
        <f ca="1">[1]!BexGetData("DP_1","003N8EMH8GTFRCSWKMPXRRL3Y","GSON1112150460")</f>
        <v>#NAME?</v>
      </c>
      <c r="F1900" s="23" t="e">
        <f ca="1">[1]!BexGetData("DP_1","003N8EMH8GTFRCSWKMPXRRRFI","GSON1112150460")</f>
        <v>#NAME?</v>
      </c>
      <c r="G1900" s="23" t="e">
        <f ca="1">[1]!BexGetData("DP_1","003N8EMH8GTFRCSWKMPXRRXR2","GSON1112150460")</f>
        <v>#NAME?</v>
      </c>
      <c r="H1900" s="23" t="e">
        <f ca="1">[1]!BexGetData("DP_1","003N8EMH8GTFRCSWKMPXRS42M","GSON1112150460")</f>
        <v>#NAME?</v>
      </c>
      <c r="I1900" s="23" t="e">
        <f ca="1">[1]!BexGetData("DP_1","003N8EMH8GTFRCSWKMPXRSAE6","GSON1112150460")</f>
        <v>#NAME?</v>
      </c>
      <c r="J1900" s="23" t="e">
        <f ca="1">[1]!BexGetData("DP_1","003N8EMH8GTFRCSWKMPXRSGPQ","GSON1112150460")</f>
        <v>#NAME?</v>
      </c>
      <c r="K1900" s="23" t="e">
        <f ca="1">[1]!BexGetData("DP_1","003N8EMH8GTFRIVNUPY288VJH","GSON1112150460")</f>
        <v>#NAME?</v>
      </c>
      <c r="L1900" s="23" t="e">
        <f ca="1">[1]!BexGetData("DP_1","003N8EMH8GTFRIVNUPY2891V1","GSON1112150460")</f>
        <v>#NAME?</v>
      </c>
      <c r="M1900" s="28" t="e">
        <f ca="1">[1]!BexGetData("DP_1","003N8EMH8GTFRIVOG7KG9IQXA","GSON1112150460")</f>
        <v>#NAME?</v>
      </c>
      <c r="N1900" s="23" t="e">
        <f ca="1">[1]!BexGetData("DP_1","003N8EMH8GTFRIVOG7KG9IX8U","GSON1112150460")</f>
        <v>#NAME?</v>
      </c>
      <c r="O1900" s="28" t="e">
        <f ca="1">[1]!BexGetData("DP_1","003N8EMH8GTFRIVOG7KG9J3KE","GSON1112150460")</f>
        <v>#NAME?</v>
      </c>
      <c r="P1900" s="23" t="e">
        <f ca="1">[1]!BexGetData("DP_1","003N8EMH8GTFRIVOG7KG9J9VY","GSON1112150460")</f>
        <v>#NAME?</v>
      </c>
      <c r="Q1900" s="23" t="e">
        <f ca="1">[1]!BexGetData("DP_1","00O2TNJGODT0G5Z4TTKYMM5MT","GSON1112150460")</f>
        <v>#NAME?</v>
      </c>
      <c r="R1900" s="23" t="e">
        <f ca="1">[1]!BexGetData("DP_1","00O2TNJGODT0G5Z4TTKYMMBYD","GSON1112150460")</f>
        <v>#NAME?</v>
      </c>
      <c r="S1900" s="23" t="e">
        <f ca="1">[1]!BexGetData("DP_1","00O2TNJGODT0G5Z4TTKYMMI9X","GSON1112150460")</f>
        <v>#NAME?</v>
      </c>
      <c r="T1900" s="23" t="e">
        <f ca="1">[1]!BexGetData("DP_1","00O2TNJGODT0G5Z4TTKYMMOLH","GSON1112150460")</f>
        <v>#NAME?</v>
      </c>
      <c r="U1900" s="28" t="e">
        <f ca="1">[1]!BexGetData("DP_1","00O2TNJGODT0G5Z4TTKYMMUX1","GSON1112150460")</f>
        <v>#NAME?</v>
      </c>
      <c r="V1900" s="23" t="e">
        <f ca="1">[1]!BexGetData("DP_1","00O2TNJGODT0G5Z4TTKYMN18L","GSON1112150460")</f>
        <v>#NAME?</v>
      </c>
      <c r="W1900" s="28" t="e">
        <f ca="1">[1]!BexGetData("DP_1","00O2TNJGODT0G5Z4TTKYMN7K5","GSON1112150460")</f>
        <v>#NAME?</v>
      </c>
    </row>
    <row r="1901" spans="1:23" x14ac:dyDescent="0.2">
      <c r="A1901" s="36" t="s">
        <v>4833</v>
      </c>
      <c r="B1901" s="27" t="s">
        <v>4834</v>
      </c>
      <c r="C1901" s="24" t="e">
        <f ca="1">[1]!BexGetData("DP_1","003N8EMH8GTFRCSWKMPXRR8GU","GSON1112150461")</f>
        <v>#NAME?</v>
      </c>
      <c r="D1901" s="24" t="e">
        <f ca="1">[1]!BexGetData("DP_1","003N8EMH8GTFRCSWKMPXRRESE","GSON1112150461")</f>
        <v>#NAME?</v>
      </c>
      <c r="E1901" s="24" t="e">
        <f ca="1">[1]!BexGetData("DP_1","003N8EMH8GTFRCSWKMPXRRL3Y","GSON1112150461")</f>
        <v>#NAME?</v>
      </c>
      <c r="F1901" s="28" t="e">
        <f ca="1">[1]!BexGetData("DP_1","003N8EMH8GTFRCSWKMPXRRRFI","GSON1112150461")</f>
        <v>#NAME?</v>
      </c>
      <c r="G1901" s="23" t="e">
        <f ca="1">[1]!BexGetData("DP_1","003N8EMH8GTFRCSWKMPXRRXR2","GSON1112150461")</f>
        <v>#NAME?</v>
      </c>
      <c r="H1901" s="23" t="e">
        <f ca="1">[1]!BexGetData("DP_1","003N8EMH8GTFRCSWKMPXRS42M","GSON1112150461")</f>
        <v>#NAME?</v>
      </c>
      <c r="I1901" s="28" t="e">
        <f ca="1">[1]!BexGetData("DP_1","003N8EMH8GTFRCSWKMPXRSAE6","GSON1112150461")</f>
        <v>#NAME?</v>
      </c>
      <c r="J1901" s="24" t="e">
        <f ca="1">[1]!BexGetData("DP_1","003N8EMH8GTFRCSWKMPXRSGPQ","GSON1112150461")</f>
        <v>#NAME?</v>
      </c>
      <c r="K1901" s="28" t="e">
        <f ca="1">[1]!BexGetData("DP_1","003N8EMH8GTFRIVNUPY288VJH","GSON1112150461")</f>
        <v>#NAME?</v>
      </c>
      <c r="L1901" s="28" t="e">
        <f ca="1">[1]!BexGetData("DP_1","003N8EMH8GTFRIVNUPY2891V1","GSON1112150461")</f>
        <v>#NAME?</v>
      </c>
      <c r="M1901" s="28" t="e">
        <f ca="1">[1]!BexGetData("DP_1","003N8EMH8GTFRIVOG7KG9IQXA","GSON1112150461")</f>
        <v>#NAME?</v>
      </c>
      <c r="N1901" s="28" t="e">
        <f ca="1">[1]!BexGetData("DP_1","003N8EMH8GTFRIVOG7KG9IX8U","GSON1112150461")</f>
        <v>#NAME?</v>
      </c>
      <c r="O1901" s="28" t="e">
        <f ca="1">[1]!BexGetData("DP_1","003N8EMH8GTFRIVOG7KG9J3KE","GSON1112150461")</f>
        <v>#NAME?</v>
      </c>
      <c r="P1901" s="28" t="e">
        <f ca="1">[1]!BexGetData("DP_1","003N8EMH8GTFRIVOG7KG9J9VY","GSON1112150461")</f>
        <v>#NAME?</v>
      </c>
      <c r="Q1901" s="24" t="e">
        <f ca="1">[1]!BexGetData("DP_1","00O2TNJGODT0G5Z4TTKYMM5MT","GSON1112150461")</f>
        <v>#NAME?</v>
      </c>
      <c r="R1901" s="28" t="e">
        <f ca="1">[1]!BexGetData("DP_1","00O2TNJGODT0G5Z4TTKYMMBYD","GSON1112150461")</f>
        <v>#NAME?</v>
      </c>
      <c r="S1901" s="28" t="e">
        <f ca="1">[1]!BexGetData("DP_1","00O2TNJGODT0G5Z4TTKYMMI9X","GSON1112150461")</f>
        <v>#NAME?</v>
      </c>
      <c r="T1901" s="28" t="e">
        <f ca="1">[1]!BexGetData("DP_1","00O2TNJGODT0G5Z4TTKYMMOLH","GSON1112150461")</f>
        <v>#NAME?</v>
      </c>
      <c r="U1901" s="28" t="e">
        <f ca="1">[1]!BexGetData("DP_1","00O2TNJGODT0G5Z4TTKYMMUX1","GSON1112150461")</f>
        <v>#NAME?</v>
      </c>
      <c r="V1901" s="28" t="e">
        <f ca="1">[1]!BexGetData("DP_1","00O2TNJGODT0G5Z4TTKYMN18L","GSON1112150461")</f>
        <v>#NAME?</v>
      </c>
      <c r="W1901" s="28" t="e">
        <f ca="1">[1]!BexGetData("DP_1","00O2TNJGODT0G5Z4TTKYMN7K5","GSON1112150461")</f>
        <v>#NAME?</v>
      </c>
    </row>
    <row r="1902" spans="1:23" x14ac:dyDescent="0.2">
      <c r="A1902" s="36" t="s">
        <v>4835</v>
      </c>
      <c r="B1902" s="27" t="s">
        <v>304</v>
      </c>
      <c r="C1902" s="24" t="e">
        <f ca="1">[1]!BexGetData("DP_1","003N8EMH8GTFRCSWKMPXRR8GU","GSON1112150462")</f>
        <v>#NAME?</v>
      </c>
      <c r="D1902" s="24" t="e">
        <f ca="1">[1]!BexGetData("DP_1","003N8EMH8GTFRCSWKMPXRRESE","GSON1112150462")</f>
        <v>#NAME?</v>
      </c>
      <c r="E1902" s="24" t="e">
        <f ca="1">[1]!BexGetData("DP_1","003N8EMH8GTFRCSWKMPXRRL3Y","GSON1112150462")</f>
        <v>#NAME?</v>
      </c>
      <c r="F1902" s="28" t="e">
        <f ca="1">[1]!BexGetData("DP_1","003N8EMH8GTFRCSWKMPXRRRFI","GSON1112150462")</f>
        <v>#NAME?</v>
      </c>
      <c r="G1902" s="23" t="e">
        <f ca="1">[1]!BexGetData("DP_1","003N8EMH8GTFRCSWKMPXRRXR2","GSON1112150462")</f>
        <v>#NAME?</v>
      </c>
      <c r="H1902" s="23" t="e">
        <f ca="1">[1]!BexGetData("DP_1","003N8EMH8GTFRCSWKMPXRS42M","GSON1112150462")</f>
        <v>#NAME?</v>
      </c>
      <c r="I1902" s="28" t="e">
        <f ca="1">[1]!BexGetData("DP_1","003N8EMH8GTFRCSWKMPXRSAE6","GSON1112150462")</f>
        <v>#NAME?</v>
      </c>
      <c r="J1902" s="23" t="e">
        <f ca="1">[1]!BexGetData("DP_1","003N8EMH8GTFRCSWKMPXRSGPQ","GSON1112150462")</f>
        <v>#NAME?</v>
      </c>
      <c r="K1902" s="28" t="e">
        <f ca="1">[1]!BexGetData("DP_1","003N8EMH8GTFRIVNUPY288VJH","GSON1112150462")</f>
        <v>#NAME?</v>
      </c>
      <c r="L1902" s="28" t="e">
        <f ca="1">[1]!BexGetData("DP_1","003N8EMH8GTFRIVNUPY2891V1","GSON1112150462")</f>
        <v>#NAME?</v>
      </c>
      <c r="M1902" s="28" t="e">
        <f ca="1">[1]!BexGetData("DP_1","003N8EMH8GTFRIVOG7KG9IQXA","GSON1112150462")</f>
        <v>#NAME?</v>
      </c>
      <c r="N1902" s="28" t="e">
        <f ca="1">[1]!BexGetData("DP_1","003N8EMH8GTFRIVOG7KG9IX8U","GSON1112150462")</f>
        <v>#NAME?</v>
      </c>
      <c r="O1902" s="28" t="e">
        <f ca="1">[1]!BexGetData("DP_1","003N8EMH8GTFRIVOG7KG9J3KE","GSON1112150462")</f>
        <v>#NAME?</v>
      </c>
      <c r="P1902" s="28" t="e">
        <f ca="1">[1]!BexGetData("DP_1","003N8EMH8GTFRIVOG7KG9J9VY","GSON1112150462")</f>
        <v>#NAME?</v>
      </c>
      <c r="Q1902" s="23" t="e">
        <f ca="1">[1]!BexGetData("DP_1","00O2TNJGODT0G5Z4TTKYMM5MT","GSON1112150462")</f>
        <v>#NAME?</v>
      </c>
      <c r="R1902" s="23" t="e">
        <f ca="1">[1]!BexGetData("DP_1","00O2TNJGODT0G5Z4TTKYMMBYD","GSON1112150462")</f>
        <v>#NAME?</v>
      </c>
      <c r="S1902" s="23" t="e">
        <f ca="1">[1]!BexGetData("DP_1","00O2TNJGODT0G5Z4TTKYMMI9X","GSON1112150462")</f>
        <v>#NAME?</v>
      </c>
      <c r="T1902" s="28" t="e">
        <f ca="1">[1]!BexGetData("DP_1","00O2TNJGODT0G5Z4TTKYMMOLH","GSON1112150462")</f>
        <v>#NAME?</v>
      </c>
      <c r="U1902" s="23" t="e">
        <f ca="1">[1]!BexGetData("DP_1","00O2TNJGODT0G5Z4TTKYMMUX1","GSON1112150462")</f>
        <v>#NAME?</v>
      </c>
      <c r="V1902" s="28" t="e">
        <f ca="1">[1]!BexGetData("DP_1","00O2TNJGODT0G5Z4TTKYMN18L","GSON1112150462")</f>
        <v>#NAME?</v>
      </c>
      <c r="W1902" s="23" t="e">
        <f ca="1">[1]!BexGetData("DP_1","00O2TNJGODT0G5Z4TTKYMN7K5","GSON1112150462")</f>
        <v>#NAME?</v>
      </c>
    </row>
    <row r="1903" spans="1:23" x14ac:dyDescent="0.2">
      <c r="A1903" s="36" t="s">
        <v>4836</v>
      </c>
      <c r="B1903" s="27" t="s">
        <v>4837</v>
      </c>
      <c r="C1903" s="24" t="e">
        <f ca="1">[1]!BexGetData("DP_1","003N8EMH8GTFRCSWKMPXRR8GU","GSON1112150463")</f>
        <v>#NAME?</v>
      </c>
      <c r="D1903" s="24" t="e">
        <f ca="1">[1]!BexGetData("DP_1","003N8EMH8GTFRCSWKMPXRRESE","GSON1112150463")</f>
        <v>#NAME?</v>
      </c>
      <c r="E1903" s="24" t="e">
        <f ca="1">[1]!BexGetData("DP_1","003N8EMH8GTFRCSWKMPXRRL3Y","GSON1112150463")</f>
        <v>#NAME?</v>
      </c>
      <c r="F1903" s="28" t="e">
        <f ca="1">[1]!BexGetData("DP_1","003N8EMH8GTFRCSWKMPXRRRFI","GSON1112150463")</f>
        <v>#NAME?</v>
      </c>
      <c r="G1903" s="23" t="e">
        <f ca="1">[1]!BexGetData("DP_1","003N8EMH8GTFRCSWKMPXRRXR2","GSON1112150463")</f>
        <v>#NAME?</v>
      </c>
      <c r="H1903" s="23" t="e">
        <f ca="1">[1]!BexGetData("DP_1","003N8EMH8GTFRCSWKMPXRS42M","GSON1112150463")</f>
        <v>#NAME?</v>
      </c>
      <c r="I1903" s="28" t="e">
        <f ca="1">[1]!BexGetData("DP_1","003N8EMH8GTFRCSWKMPXRSAE6","GSON1112150463")</f>
        <v>#NAME?</v>
      </c>
      <c r="J1903" s="24" t="e">
        <f ca="1">[1]!BexGetData("DP_1","003N8EMH8GTFRCSWKMPXRSGPQ","GSON1112150463")</f>
        <v>#NAME?</v>
      </c>
      <c r="K1903" s="28" t="e">
        <f ca="1">[1]!BexGetData("DP_1","003N8EMH8GTFRIVNUPY288VJH","GSON1112150463")</f>
        <v>#NAME?</v>
      </c>
      <c r="L1903" s="28" t="e">
        <f ca="1">[1]!BexGetData("DP_1","003N8EMH8GTFRIVNUPY2891V1","GSON1112150463")</f>
        <v>#NAME?</v>
      </c>
      <c r="M1903" s="28" t="e">
        <f ca="1">[1]!BexGetData("DP_1","003N8EMH8GTFRIVOG7KG9IQXA","GSON1112150463")</f>
        <v>#NAME?</v>
      </c>
      <c r="N1903" s="28" t="e">
        <f ca="1">[1]!BexGetData("DP_1","003N8EMH8GTFRIVOG7KG9IX8U","GSON1112150463")</f>
        <v>#NAME?</v>
      </c>
      <c r="O1903" s="28" t="e">
        <f ca="1">[1]!BexGetData("DP_1","003N8EMH8GTFRIVOG7KG9J3KE","GSON1112150463")</f>
        <v>#NAME?</v>
      </c>
      <c r="P1903" s="28" t="e">
        <f ca="1">[1]!BexGetData("DP_1","003N8EMH8GTFRIVOG7KG9J9VY","GSON1112150463")</f>
        <v>#NAME?</v>
      </c>
      <c r="Q1903" s="24" t="e">
        <f ca="1">[1]!BexGetData("DP_1","00O2TNJGODT0G5Z4TTKYMM5MT","GSON1112150463")</f>
        <v>#NAME?</v>
      </c>
      <c r="R1903" s="28" t="e">
        <f ca="1">[1]!BexGetData("DP_1","00O2TNJGODT0G5Z4TTKYMMBYD","GSON1112150463")</f>
        <v>#NAME?</v>
      </c>
      <c r="S1903" s="28" t="e">
        <f ca="1">[1]!BexGetData("DP_1","00O2TNJGODT0G5Z4TTKYMMI9X","GSON1112150463")</f>
        <v>#NAME?</v>
      </c>
      <c r="T1903" s="28" t="e">
        <f ca="1">[1]!BexGetData("DP_1","00O2TNJGODT0G5Z4TTKYMMOLH","GSON1112150463")</f>
        <v>#NAME?</v>
      </c>
      <c r="U1903" s="28" t="e">
        <f ca="1">[1]!BexGetData("DP_1","00O2TNJGODT0G5Z4TTKYMMUX1","GSON1112150463")</f>
        <v>#NAME?</v>
      </c>
      <c r="V1903" s="28" t="e">
        <f ca="1">[1]!BexGetData("DP_1","00O2TNJGODT0G5Z4TTKYMN18L","GSON1112150463")</f>
        <v>#NAME?</v>
      </c>
      <c r="W1903" s="28" t="e">
        <f ca="1">[1]!BexGetData("DP_1","00O2TNJGODT0G5Z4TTKYMN7K5","GSON1112150463")</f>
        <v>#NAME?</v>
      </c>
    </row>
    <row r="1904" spans="1:23" x14ac:dyDescent="0.2">
      <c r="A1904" s="36" t="s">
        <v>4838</v>
      </c>
      <c r="B1904" s="27" t="s">
        <v>4839</v>
      </c>
      <c r="C1904" s="24" t="e">
        <f ca="1">[1]!BexGetData("DP_1","003N8EMH8GTFRCSWKMPXRR8GU","GSON1112150464")</f>
        <v>#NAME?</v>
      </c>
      <c r="D1904" s="24" t="e">
        <f ca="1">[1]!BexGetData("DP_1","003N8EMH8GTFRCSWKMPXRRESE","GSON1112150464")</f>
        <v>#NAME?</v>
      </c>
      <c r="E1904" s="24" t="e">
        <f ca="1">[1]!BexGetData("DP_1","003N8EMH8GTFRCSWKMPXRRL3Y","GSON1112150464")</f>
        <v>#NAME?</v>
      </c>
      <c r="F1904" s="28" t="e">
        <f ca="1">[1]!BexGetData("DP_1","003N8EMH8GTFRCSWKMPXRRRFI","GSON1112150464")</f>
        <v>#NAME?</v>
      </c>
      <c r="G1904" s="23" t="e">
        <f ca="1">[1]!BexGetData("DP_1","003N8EMH8GTFRCSWKMPXRRXR2","GSON1112150464")</f>
        <v>#NAME?</v>
      </c>
      <c r="H1904" s="23" t="e">
        <f ca="1">[1]!BexGetData("DP_1","003N8EMH8GTFRCSWKMPXRS42M","GSON1112150464")</f>
        <v>#NAME?</v>
      </c>
      <c r="I1904" s="28" t="e">
        <f ca="1">[1]!BexGetData("DP_1","003N8EMH8GTFRCSWKMPXRSAE6","GSON1112150464")</f>
        <v>#NAME?</v>
      </c>
      <c r="J1904" s="24" t="e">
        <f ca="1">[1]!BexGetData("DP_1","003N8EMH8GTFRCSWKMPXRSGPQ","GSON1112150464")</f>
        <v>#NAME?</v>
      </c>
      <c r="K1904" s="28" t="e">
        <f ca="1">[1]!BexGetData("DP_1","003N8EMH8GTFRIVNUPY288VJH","GSON1112150464")</f>
        <v>#NAME?</v>
      </c>
      <c r="L1904" s="28" t="e">
        <f ca="1">[1]!BexGetData("DP_1","003N8EMH8GTFRIVNUPY2891V1","GSON1112150464")</f>
        <v>#NAME?</v>
      </c>
      <c r="M1904" s="28" t="e">
        <f ca="1">[1]!BexGetData("DP_1","003N8EMH8GTFRIVOG7KG9IQXA","GSON1112150464")</f>
        <v>#NAME?</v>
      </c>
      <c r="N1904" s="28" t="e">
        <f ca="1">[1]!BexGetData("DP_1","003N8EMH8GTFRIVOG7KG9IX8U","GSON1112150464")</f>
        <v>#NAME?</v>
      </c>
      <c r="O1904" s="28" t="e">
        <f ca="1">[1]!BexGetData("DP_1","003N8EMH8GTFRIVOG7KG9J3KE","GSON1112150464")</f>
        <v>#NAME?</v>
      </c>
      <c r="P1904" s="28" t="e">
        <f ca="1">[1]!BexGetData("DP_1","003N8EMH8GTFRIVOG7KG9J9VY","GSON1112150464")</f>
        <v>#NAME?</v>
      </c>
      <c r="Q1904" s="24" t="e">
        <f ca="1">[1]!BexGetData("DP_1","00O2TNJGODT0G5Z4TTKYMM5MT","GSON1112150464")</f>
        <v>#NAME?</v>
      </c>
      <c r="R1904" s="28" t="e">
        <f ca="1">[1]!BexGetData("DP_1","00O2TNJGODT0G5Z4TTKYMMBYD","GSON1112150464")</f>
        <v>#NAME?</v>
      </c>
      <c r="S1904" s="28" t="e">
        <f ca="1">[1]!BexGetData("DP_1","00O2TNJGODT0G5Z4TTKYMMI9X","GSON1112150464")</f>
        <v>#NAME?</v>
      </c>
      <c r="T1904" s="28" t="e">
        <f ca="1">[1]!BexGetData("DP_1","00O2TNJGODT0G5Z4TTKYMMOLH","GSON1112150464")</f>
        <v>#NAME?</v>
      </c>
      <c r="U1904" s="28" t="e">
        <f ca="1">[1]!BexGetData("DP_1","00O2TNJGODT0G5Z4TTKYMMUX1","GSON1112150464")</f>
        <v>#NAME?</v>
      </c>
      <c r="V1904" s="28" t="e">
        <f ca="1">[1]!BexGetData("DP_1","00O2TNJGODT0G5Z4TTKYMN18L","GSON1112150464")</f>
        <v>#NAME?</v>
      </c>
      <c r="W1904" s="28" t="e">
        <f ca="1">[1]!BexGetData("DP_1","00O2TNJGODT0G5Z4TTKYMN7K5","GSON1112150464")</f>
        <v>#NAME?</v>
      </c>
    </row>
    <row r="1905" spans="1:23" x14ac:dyDescent="0.2">
      <c r="A1905" s="36" t="s">
        <v>4840</v>
      </c>
      <c r="B1905" s="27" t="s">
        <v>4841</v>
      </c>
      <c r="C1905" s="23" t="e">
        <f ca="1">[1]!BexGetData("DP_1","003N8EMH8GTFRCSWKMPXRR8GU","GSON1112150465")</f>
        <v>#NAME?</v>
      </c>
      <c r="D1905" s="23" t="e">
        <f ca="1">[1]!BexGetData("DP_1","003N8EMH8GTFRCSWKMPXRRESE","GSON1112150465")</f>
        <v>#NAME?</v>
      </c>
      <c r="E1905" s="28" t="e">
        <f ca="1">[1]!BexGetData("DP_1","003N8EMH8GTFRCSWKMPXRRL3Y","GSON1112150465")</f>
        <v>#NAME?</v>
      </c>
      <c r="F1905" s="28" t="e">
        <f ca="1">[1]!BexGetData("DP_1","003N8EMH8GTFRCSWKMPXRRRFI","GSON1112150465")</f>
        <v>#NAME?</v>
      </c>
      <c r="G1905" s="23" t="e">
        <f ca="1">[1]!BexGetData("DP_1","003N8EMH8GTFRCSWKMPXRRXR2","GSON1112150465")</f>
        <v>#NAME?</v>
      </c>
      <c r="H1905" s="23" t="e">
        <f ca="1">[1]!BexGetData("DP_1","003N8EMH8GTFRCSWKMPXRS42M","GSON1112150465")</f>
        <v>#NAME?</v>
      </c>
      <c r="I1905" s="28" t="e">
        <f ca="1">[1]!BexGetData("DP_1","003N8EMH8GTFRCSWKMPXRSAE6","GSON1112150465")</f>
        <v>#NAME?</v>
      </c>
      <c r="J1905" s="24" t="e">
        <f ca="1">[1]!BexGetData("DP_1","003N8EMH8GTFRCSWKMPXRSGPQ","GSON1112150465")</f>
        <v>#NAME?</v>
      </c>
      <c r="K1905" s="28" t="e">
        <f ca="1">[1]!BexGetData("DP_1","003N8EMH8GTFRIVNUPY288VJH","GSON1112150465")</f>
        <v>#NAME?</v>
      </c>
      <c r="L1905" s="28" t="e">
        <f ca="1">[1]!BexGetData("DP_1","003N8EMH8GTFRIVNUPY2891V1","GSON1112150465")</f>
        <v>#NAME?</v>
      </c>
      <c r="M1905" s="28" t="e">
        <f ca="1">[1]!BexGetData("DP_1","003N8EMH8GTFRIVOG7KG9IQXA","GSON1112150465")</f>
        <v>#NAME?</v>
      </c>
      <c r="N1905" s="28" t="e">
        <f ca="1">[1]!BexGetData("DP_1","003N8EMH8GTFRIVOG7KG9IX8U","GSON1112150465")</f>
        <v>#NAME?</v>
      </c>
      <c r="O1905" s="28" t="e">
        <f ca="1">[1]!BexGetData("DP_1","003N8EMH8GTFRIVOG7KG9J3KE","GSON1112150465")</f>
        <v>#NAME?</v>
      </c>
      <c r="P1905" s="28" t="e">
        <f ca="1">[1]!BexGetData("DP_1","003N8EMH8GTFRIVOG7KG9J9VY","GSON1112150465")</f>
        <v>#NAME?</v>
      </c>
      <c r="Q1905" s="24" t="e">
        <f ca="1">[1]!BexGetData("DP_1","00O2TNJGODT0G5Z4TTKYMM5MT","GSON1112150465")</f>
        <v>#NAME?</v>
      </c>
      <c r="R1905" s="28" t="e">
        <f ca="1">[1]!BexGetData("DP_1","00O2TNJGODT0G5Z4TTKYMMBYD","GSON1112150465")</f>
        <v>#NAME?</v>
      </c>
      <c r="S1905" s="28" t="e">
        <f ca="1">[1]!BexGetData("DP_1","00O2TNJGODT0G5Z4TTKYMMI9X","GSON1112150465")</f>
        <v>#NAME?</v>
      </c>
      <c r="T1905" s="28" t="e">
        <f ca="1">[1]!BexGetData("DP_1","00O2TNJGODT0G5Z4TTKYMMOLH","GSON1112150465")</f>
        <v>#NAME?</v>
      </c>
      <c r="U1905" s="28" t="e">
        <f ca="1">[1]!BexGetData("DP_1","00O2TNJGODT0G5Z4TTKYMMUX1","GSON1112150465")</f>
        <v>#NAME?</v>
      </c>
      <c r="V1905" s="28" t="e">
        <f ca="1">[1]!BexGetData("DP_1","00O2TNJGODT0G5Z4TTKYMN18L","GSON1112150465")</f>
        <v>#NAME?</v>
      </c>
      <c r="W1905" s="28" t="e">
        <f ca="1">[1]!BexGetData("DP_1","00O2TNJGODT0G5Z4TTKYMN7K5","GSON1112150465")</f>
        <v>#NAME?</v>
      </c>
    </row>
    <row r="1906" spans="1:23" x14ac:dyDescent="0.2">
      <c r="A1906" s="36" t="s">
        <v>4842</v>
      </c>
      <c r="B1906" s="27" t="s">
        <v>4843</v>
      </c>
      <c r="C1906" s="28" t="e">
        <f ca="1">[1]!BexGetData("DP_1","003N8EMH8GTFRCSWKMPXRR8GU","GSON1112150470")</f>
        <v>#NAME?</v>
      </c>
      <c r="D1906" s="28" t="e">
        <f ca="1">[1]!BexGetData("DP_1","003N8EMH8GTFRCSWKMPXRRESE","GSON1112150470")</f>
        <v>#NAME?</v>
      </c>
      <c r="E1906" s="23" t="e">
        <f ca="1">[1]!BexGetData("DP_1","003N8EMH8GTFRCSWKMPXRRL3Y","GSON1112150470")</f>
        <v>#NAME?</v>
      </c>
      <c r="F1906" s="23" t="e">
        <f ca="1">[1]!BexGetData("DP_1","003N8EMH8GTFRCSWKMPXRRRFI","GSON1112150470")</f>
        <v>#NAME?</v>
      </c>
      <c r="G1906" s="23" t="e">
        <f ca="1">[1]!BexGetData("DP_1","003N8EMH8GTFRCSWKMPXRRXR2","GSON1112150470")</f>
        <v>#NAME?</v>
      </c>
      <c r="H1906" s="23" t="e">
        <f ca="1">[1]!BexGetData("DP_1","003N8EMH8GTFRCSWKMPXRS42M","GSON1112150470")</f>
        <v>#NAME?</v>
      </c>
      <c r="I1906" s="23" t="e">
        <f ca="1">[1]!BexGetData("DP_1","003N8EMH8GTFRCSWKMPXRSAE6","GSON1112150470")</f>
        <v>#NAME?</v>
      </c>
      <c r="J1906" s="23" t="e">
        <f ca="1">[1]!BexGetData("DP_1","003N8EMH8GTFRCSWKMPXRSGPQ","GSON1112150470")</f>
        <v>#NAME?</v>
      </c>
      <c r="K1906" s="28" t="e">
        <f ca="1">[1]!BexGetData("DP_1","003N8EMH8GTFRIVNUPY288VJH","GSON1112150470")</f>
        <v>#NAME?</v>
      </c>
      <c r="L1906" s="28" t="e">
        <f ca="1">[1]!BexGetData("DP_1","003N8EMH8GTFRIVNUPY2891V1","GSON1112150470")</f>
        <v>#NAME?</v>
      </c>
      <c r="M1906" s="28" t="e">
        <f ca="1">[1]!BexGetData("DP_1","003N8EMH8GTFRIVOG7KG9IQXA","GSON1112150470")</f>
        <v>#NAME?</v>
      </c>
      <c r="N1906" s="28" t="e">
        <f ca="1">[1]!BexGetData("DP_1","003N8EMH8GTFRIVOG7KG9IX8U","GSON1112150470")</f>
        <v>#NAME?</v>
      </c>
      <c r="O1906" s="28" t="e">
        <f ca="1">[1]!BexGetData("DP_1","003N8EMH8GTFRIVOG7KG9J3KE","GSON1112150470")</f>
        <v>#NAME?</v>
      </c>
      <c r="P1906" s="28" t="e">
        <f ca="1">[1]!BexGetData("DP_1","003N8EMH8GTFRIVOG7KG9J9VY","GSON1112150470")</f>
        <v>#NAME?</v>
      </c>
      <c r="Q1906" s="23" t="e">
        <f ca="1">[1]!BexGetData("DP_1","00O2TNJGODT0G5Z4TTKYMM5MT","GSON1112150470")</f>
        <v>#NAME?</v>
      </c>
      <c r="R1906" s="23" t="e">
        <f ca="1">[1]!BexGetData("DP_1","00O2TNJGODT0G5Z4TTKYMMBYD","GSON1112150470")</f>
        <v>#NAME?</v>
      </c>
      <c r="S1906" s="23" t="e">
        <f ca="1">[1]!BexGetData("DP_1","00O2TNJGODT0G5Z4TTKYMMI9X","GSON1112150470")</f>
        <v>#NAME?</v>
      </c>
      <c r="T1906" s="23" t="e">
        <f ca="1">[1]!BexGetData("DP_1","00O2TNJGODT0G5Z4TTKYMMOLH","GSON1112150470")</f>
        <v>#NAME?</v>
      </c>
      <c r="U1906" s="28" t="e">
        <f ca="1">[1]!BexGetData("DP_1","00O2TNJGODT0G5Z4TTKYMMUX1","GSON1112150470")</f>
        <v>#NAME?</v>
      </c>
      <c r="V1906" s="23" t="e">
        <f ca="1">[1]!BexGetData("DP_1","00O2TNJGODT0G5Z4TTKYMN18L","GSON1112150470")</f>
        <v>#NAME?</v>
      </c>
      <c r="W1906" s="28" t="e">
        <f ca="1">[1]!BexGetData("DP_1","00O2TNJGODT0G5Z4TTKYMN7K5","GSON1112150470")</f>
        <v>#NAME?</v>
      </c>
    </row>
    <row r="1907" spans="1:23" x14ac:dyDescent="0.2">
      <c r="A1907" s="36" t="s">
        <v>4844</v>
      </c>
      <c r="B1907" s="27" t="s">
        <v>4845</v>
      </c>
      <c r="C1907" s="24" t="e">
        <f ca="1">[1]!BexGetData("DP_1","003N8EMH8GTFRCSWKMPXRR8GU","GSON1112150471")</f>
        <v>#NAME?</v>
      </c>
      <c r="D1907" s="24" t="e">
        <f ca="1">[1]!BexGetData("DP_1","003N8EMH8GTFRCSWKMPXRRESE","GSON1112150471")</f>
        <v>#NAME?</v>
      </c>
      <c r="E1907" s="24" t="e">
        <f ca="1">[1]!BexGetData("DP_1","003N8EMH8GTFRCSWKMPXRRL3Y","GSON1112150471")</f>
        <v>#NAME?</v>
      </c>
      <c r="F1907" s="28" t="e">
        <f ca="1">[1]!BexGetData("DP_1","003N8EMH8GTFRCSWKMPXRRRFI","GSON1112150471")</f>
        <v>#NAME?</v>
      </c>
      <c r="G1907" s="23" t="e">
        <f ca="1">[1]!BexGetData("DP_1","003N8EMH8GTFRCSWKMPXRRXR2","GSON1112150471")</f>
        <v>#NAME?</v>
      </c>
      <c r="H1907" s="23" t="e">
        <f ca="1">[1]!BexGetData("DP_1","003N8EMH8GTFRCSWKMPXRS42M","GSON1112150471")</f>
        <v>#NAME?</v>
      </c>
      <c r="I1907" s="28" t="e">
        <f ca="1">[1]!BexGetData("DP_1","003N8EMH8GTFRCSWKMPXRSAE6","GSON1112150471")</f>
        <v>#NAME?</v>
      </c>
      <c r="J1907" s="24" t="e">
        <f ca="1">[1]!BexGetData("DP_1","003N8EMH8GTFRCSWKMPXRSGPQ","GSON1112150471")</f>
        <v>#NAME?</v>
      </c>
      <c r="K1907" s="28" t="e">
        <f ca="1">[1]!BexGetData("DP_1","003N8EMH8GTFRIVNUPY288VJH","GSON1112150471")</f>
        <v>#NAME?</v>
      </c>
      <c r="L1907" s="28" t="e">
        <f ca="1">[1]!BexGetData("DP_1","003N8EMH8GTFRIVNUPY2891V1","GSON1112150471")</f>
        <v>#NAME?</v>
      </c>
      <c r="M1907" s="28" t="e">
        <f ca="1">[1]!BexGetData("DP_1","003N8EMH8GTFRIVOG7KG9IQXA","GSON1112150471")</f>
        <v>#NAME?</v>
      </c>
      <c r="N1907" s="28" t="e">
        <f ca="1">[1]!BexGetData("DP_1","003N8EMH8GTFRIVOG7KG9IX8U","GSON1112150471")</f>
        <v>#NAME?</v>
      </c>
      <c r="O1907" s="28" t="e">
        <f ca="1">[1]!BexGetData("DP_1","003N8EMH8GTFRIVOG7KG9J3KE","GSON1112150471")</f>
        <v>#NAME?</v>
      </c>
      <c r="P1907" s="28" t="e">
        <f ca="1">[1]!BexGetData("DP_1","003N8EMH8GTFRIVOG7KG9J9VY","GSON1112150471")</f>
        <v>#NAME?</v>
      </c>
      <c r="Q1907" s="24" t="e">
        <f ca="1">[1]!BexGetData("DP_1","00O2TNJGODT0G5Z4TTKYMM5MT","GSON1112150471")</f>
        <v>#NAME?</v>
      </c>
      <c r="R1907" s="28" t="e">
        <f ca="1">[1]!BexGetData("DP_1","00O2TNJGODT0G5Z4TTKYMMBYD","GSON1112150471")</f>
        <v>#NAME?</v>
      </c>
      <c r="S1907" s="28" t="e">
        <f ca="1">[1]!BexGetData("DP_1","00O2TNJGODT0G5Z4TTKYMMI9X","GSON1112150471")</f>
        <v>#NAME?</v>
      </c>
      <c r="T1907" s="28" t="e">
        <f ca="1">[1]!BexGetData("DP_1","00O2TNJGODT0G5Z4TTKYMMOLH","GSON1112150471")</f>
        <v>#NAME?</v>
      </c>
      <c r="U1907" s="28" t="e">
        <f ca="1">[1]!BexGetData("DP_1","00O2TNJGODT0G5Z4TTKYMMUX1","GSON1112150471")</f>
        <v>#NAME?</v>
      </c>
      <c r="V1907" s="28" t="e">
        <f ca="1">[1]!BexGetData("DP_1","00O2TNJGODT0G5Z4TTKYMN18L","GSON1112150471")</f>
        <v>#NAME?</v>
      </c>
      <c r="W1907" s="28" t="e">
        <f ca="1">[1]!BexGetData("DP_1","00O2TNJGODT0G5Z4TTKYMN7K5","GSON1112150471")</f>
        <v>#NAME?</v>
      </c>
    </row>
    <row r="1908" spans="1:23" x14ac:dyDescent="0.2">
      <c r="A1908" s="36" t="s">
        <v>4846</v>
      </c>
      <c r="B1908" s="27" t="s">
        <v>4847</v>
      </c>
      <c r="C1908" s="24" t="e">
        <f ca="1">[1]!BexGetData("DP_1","003N8EMH8GTFRCSWKMPXRR8GU","GSON1112150473")</f>
        <v>#NAME?</v>
      </c>
      <c r="D1908" s="24" t="e">
        <f ca="1">[1]!BexGetData("DP_1","003N8EMH8GTFRCSWKMPXRRESE","GSON1112150473")</f>
        <v>#NAME?</v>
      </c>
      <c r="E1908" s="24" t="e">
        <f ca="1">[1]!BexGetData("DP_1","003N8EMH8GTFRCSWKMPXRRL3Y","GSON1112150473")</f>
        <v>#NAME?</v>
      </c>
      <c r="F1908" s="28" t="e">
        <f ca="1">[1]!BexGetData("DP_1","003N8EMH8GTFRCSWKMPXRRRFI","GSON1112150473")</f>
        <v>#NAME?</v>
      </c>
      <c r="G1908" s="23" t="e">
        <f ca="1">[1]!BexGetData("DP_1","003N8EMH8GTFRCSWKMPXRRXR2","GSON1112150473")</f>
        <v>#NAME?</v>
      </c>
      <c r="H1908" s="23" t="e">
        <f ca="1">[1]!BexGetData("DP_1","003N8EMH8GTFRCSWKMPXRS42M","GSON1112150473")</f>
        <v>#NAME?</v>
      </c>
      <c r="I1908" s="28" t="e">
        <f ca="1">[1]!BexGetData("DP_1","003N8EMH8GTFRCSWKMPXRSAE6","GSON1112150473")</f>
        <v>#NAME?</v>
      </c>
      <c r="J1908" s="24" t="e">
        <f ca="1">[1]!BexGetData("DP_1","003N8EMH8GTFRCSWKMPXRSGPQ","GSON1112150473")</f>
        <v>#NAME?</v>
      </c>
      <c r="K1908" s="28" t="e">
        <f ca="1">[1]!BexGetData("DP_1","003N8EMH8GTFRIVNUPY288VJH","GSON1112150473")</f>
        <v>#NAME?</v>
      </c>
      <c r="L1908" s="28" t="e">
        <f ca="1">[1]!BexGetData("DP_1","003N8EMH8GTFRIVNUPY2891V1","GSON1112150473")</f>
        <v>#NAME?</v>
      </c>
      <c r="M1908" s="28" t="e">
        <f ca="1">[1]!BexGetData("DP_1","003N8EMH8GTFRIVOG7KG9IQXA","GSON1112150473")</f>
        <v>#NAME?</v>
      </c>
      <c r="N1908" s="28" t="e">
        <f ca="1">[1]!BexGetData("DP_1","003N8EMH8GTFRIVOG7KG9IX8U","GSON1112150473")</f>
        <v>#NAME?</v>
      </c>
      <c r="O1908" s="28" t="e">
        <f ca="1">[1]!BexGetData("DP_1","003N8EMH8GTFRIVOG7KG9J3KE","GSON1112150473")</f>
        <v>#NAME?</v>
      </c>
      <c r="P1908" s="28" t="e">
        <f ca="1">[1]!BexGetData("DP_1","003N8EMH8GTFRIVOG7KG9J9VY","GSON1112150473")</f>
        <v>#NAME?</v>
      </c>
      <c r="Q1908" s="24" t="e">
        <f ca="1">[1]!BexGetData("DP_1","00O2TNJGODT0G5Z4TTKYMM5MT","GSON1112150473")</f>
        <v>#NAME?</v>
      </c>
      <c r="R1908" s="28" t="e">
        <f ca="1">[1]!BexGetData("DP_1","00O2TNJGODT0G5Z4TTKYMMBYD","GSON1112150473")</f>
        <v>#NAME?</v>
      </c>
      <c r="S1908" s="28" t="e">
        <f ca="1">[1]!BexGetData("DP_1","00O2TNJGODT0G5Z4TTKYMMI9X","GSON1112150473")</f>
        <v>#NAME?</v>
      </c>
      <c r="T1908" s="28" t="e">
        <f ca="1">[1]!BexGetData("DP_1","00O2TNJGODT0G5Z4TTKYMMOLH","GSON1112150473")</f>
        <v>#NAME?</v>
      </c>
      <c r="U1908" s="28" t="e">
        <f ca="1">[1]!BexGetData("DP_1","00O2TNJGODT0G5Z4TTKYMMUX1","GSON1112150473")</f>
        <v>#NAME?</v>
      </c>
      <c r="V1908" s="28" t="e">
        <f ca="1">[1]!BexGetData("DP_1","00O2TNJGODT0G5Z4TTKYMN18L","GSON1112150473")</f>
        <v>#NAME?</v>
      </c>
      <c r="W1908" s="28" t="e">
        <f ca="1">[1]!BexGetData("DP_1","00O2TNJGODT0G5Z4TTKYMN7K5","GSON1112150473")</f>
        <v>#NAME?</v>
      </c>
    </row>
    <row r="1909" spans="1:23" x14ac:dyDescent="0.2">
      <c r="A1909" s="36" t="s">
        <v>4848</v>
      </c>
      <c r="B1909" s="27" t="s">
        <v>4849</v>
      </c>
      <c r="C1909" s="24" t="e">
        <f ca="1">[1]!BexGetData("DP_1","003N8EMH8GTFRCSWKMPXRR8GU","GSON1112150474")</f>
        <v>#NAME?</v>
      </c>
      <c r="D1909" s="24" t="e">
        <f ca="1">[1]!BexGetData("DP_1","003N8EMH8GTFRCSWKMPXRRESE","GSON1112150474")</f>
        <v>#NAME?</v>
      </c>
      <c r="E1909" s="24" t="e">
        <f ca="1">[1]!BexGetData("DP_1","003N8EMH8GTFRCSWKMPXRRL3Y","GSON1112150474")</f>
        <v>#NAME?</v>
      </c>
      <c r="F1909" s="28" t="e">
        <f ca="1">[1]!BexGetData("DP_1","003N8EMH8GTFRCSWKMPXRRRFI","GSON1112150474")</f>
        <v>#NAME?</v>
      </c>
      <c r="G1909" s="23" t="e">
        <f ca="1">[1]!BexGetData("DP_1","003N8EMH8GTFRCSWKMPXRRXR2","GSON1112150474")</f>
        <v>#NAME?</v>
      </c>
      <c r="H1909" s="23" t="e">
        <f ca="1">[1]!BexGetData("DP_1","003N8EMH8GTFRCSWKMPXRS42M","GSON1112150474")</f>
        <v>#NAME?</v>
      </c>
      <c r="I1909" s="28" t="e">
        <f ca="1">[1]!BexGetData("DP_1","003N8EMH8GTFRCSWKMPXRSAE6","GSON1112150474")</f>
        <v>#NAME?</v>
      </c>
      <c r="J1909" s="24" t="e">
        <f ca="1">[1]!BexGetData("DP_1","003N8EMH8GTFRCSWKMPXRSGPQ","GSON1112150474")</f>
        <v>#NAME?</v>
      </c>
      <c r="K1909" s="28" t="e">
        <f ca="1">[1]!BexGetData("DP_1","003N8EMH8GTFRIVNUPY288VJH","GSON1112150474")</f>
        <v>#NAME?</v>
      </c>
      <c r="L1909" s="28" t="e">
        <f ca="1">[1]!BexGetData("DP_1","003N8EMH8GTFRIVNUPY2891V1","GSON1112150474")</f>
        <v>#NAME?</v>
      </c>
      <c r="M1909" s="28" t="e">
        <f ca="1">[1]!BexGetData("DP_1","003N8EMH8GTFRIVOG7KG9IQXA","GSON1112150474")</f>
        <v>#NAME?</v>
      </c>
      <c r="N1909" s="28" t="e">
        <f ca="1">[1]!BexGetData("DP_1","003N8EMH8GTFRIVOG7KG9IX8U","GSON1112150474")</f>
        <v>#NAME?</v>
      </c>
      <c r="O1909" s="28" t="e">
        <f ca="1">[1]!BexGetData("DP_1","003N8EMH8GTFRIVOG7KG9J3KE","GSON1112150474")</f>
        <v>#NAME?</v>
      </c>
      <c r="P1909" s="28" t="e">
        <f ca="1">[1]!BexGetData("DP_1","003N8EMH8GTFRIVOG7KG9J9VY","GSON1112150474")</f>
        <v>#NAME?</v>
      </c>
      <c r="Q1909" s="24" t="e">
        <f ca="1">[1]!BexGetData("DP_1","00O2TNJGODT0G5Z4TTKYMM5MT","GSON1112150474")</f>
        <v>#NAME?</v>
      </c>
      <c r="R1909" s="28" t="e">
        <f ca="1">[1]!BexGetData("DP_1","00O2TNJGODT0G5Z4TTKYMMBYD","GSON1112150474")</f>
        <v>#NAME?</v>
      </c>
      <c r="S1909" s="28" t="e">
        <f ca="1">[1]!BexGetData("DP_1","00O2TNJGODT0G5Z4TTKYMMI9X","GSON1112150474")</f>
        <v>#NAME?</v>
      </c>
      <c r="T1909" s="28" t="e">
        <f ca="1">[1]!BexGetData("DP_1","00O2TNJGODT0G5Z4TTKYMMOLH","GSON1112150474")</f>
        <v>#NAME?</v>
      </c>
      <c r="U1909" s="28" t="e">
        <f ca="1">[1]!BexGetData("DP_1","00O2TNJGODT0G5Z4TTKYMMUX1","GSON1112150474")</f>
        <v>#NAME?</v>
      </c>
      <c r="V1909" s="28" t="e">
        <f ca="1">[1]!BexGetData("DP_1","00O2TNJGODT0G5Z4TTKYMN18L","GSON1112150474")</f>
        <v>#NAME?</v>
      </c>
      <c r="W1909" s="28" t="e">
        <f ca="1">[1]!BexGetData("DP_1","00O2TNJGODT0G5Z4TTKYMN7K5","GSON1112150474")</f>
        <v>#NAME?</v>
      </c>
    </row>
    <row r="1910" spans="1:23" x14ac:dyDescent="0.2">
      <c r="A1910" s="36" t="s">
        <v>4850</v>
      </c>
      <c r="B1910" s="27" t="s">
        <v>4851</v>
      </c>
      <c r="C1910" s="28" t="e">
        <f ca="1">[1]!BexGetData("DP_1","003N8EMH8GTFRCSWKMPXRR8GU","GSON1112150475")</f>
        <v>#NAME?</v>
      </c>
      <c r="D1910" s="28" t="e">
        <f ca="1">[1]!BexGetData("DP_1","003N8EMH8GTFRCSWKMPXRRESE","GSON1112150475")</f>
        <v>#NAME?</v>
      </c>
      <c r="E1910" s="28" t="e">
        <f ca="1">[1]!BexGetData("DP_1","003N8EMH8GTFRCSWKMPXRRL3Y","GSON1112150475")</f>
        <v>#NAME?</v>
      </c>
      <c r="F1910" s="28" t="e">
        <f ca="1">[1]!BexGetData("DP_1","003N8EMH8GTFRCSWKMPXRRRFI","GSON1112150475")</f>
        <v>#NAME?</v>
      </c>
      <c r="G1910" s="23" t="e">
        <f ca="1">[1]!BexGetData("DP_1","003N8EMH8GTFRCSWKMPXRRXR2","GSON1112150475")</f>
        <v>#NAME?</v>
      </c>
      <c r="H1910" s="23" t="e">
        <f ca="1">[1]!BexGetData("DP_1","003N8EMH8GTFRCSWKMPXRS42M","GSON1112150475")</f>
        <v>#NAME?</v>
      </c>
      <c r="I1910" s="28" t="e">
        <f ca="1">[1]!BexGetData("DP_1","003N8EMH8GTFRCSWKMPXRSAE6","GSON1112150475")</f>
        <v>#NAME?</v>
      </c>
      <c r="J1910" s="24" t="e">
        <f ca="1">[1]!BexGetData("DP_1","003N8EMH8GTFRCSWKMPXRSGPQ","GSON1112150475")</f>
        <v>#NAME?</v>
      </c>
      <c r="K1910" s="28" t="e">
        <f ca="1">[1]!BexGetData("DP_1","003N8EMH8GTFRIVNUPY288VJH","GSON1112150475")</f>
        <v>#NAME?</v>
      </c>
      <c r="L1910" s="28" t="e">
        <f ca="1">[1]!BexGetData("DP_1","003N8EMH8GTFRIVNUPY2891V1","GSON1112150475")</f>
        <v>#NAME?</v>
      </c>
      <c r="M1910" s="28" t="e">
        <f ca="1">[1]!BexGetData("DP_1","003N8EMH8GTFRIVOG7KG9IQXA","GSON1112150475")</f>
        <v>#NAME?</v>
      </c>
      <c r="N1910" s="28" t="e">
        <f ca="1">[1]!BexGetData("DP_1","003N8EMH8GTFRIVOG7KG9IX8U","GSON1112150475")</f>
        <v>#NAME?</v>
      </c>
      <c r="O1910" s="28" t="e">
        <f ca="1">[1]!BexGetData("DP_1","003N8EMH8GTFRIVOG7KG9J3KE","GSON1112150475")</f>
        <v>#NAME?</v>
      </c>
      <c r="P1910" s="28" t="e">
        <f ca="1">[1]!BexGetData("DP_1","003N8EMH8GTFRIVOG7KG9J9VY","GSON1112150475")</f>
        <v>#NAME?</v>
      </c>
      <c r="Q1910" s="24" t="e">
        <f ca="1">[1]!BexGetData("DP_1","00O2TNJGODT0G5Z4TTKYMM5MT","GSON1112150475")</f>
        <v>#NAME?</v>
      </c>
      <c r="R1910" s="28" t="e">
        <f ca="1">[1]!BexGetData("DP_1","00O2TNJGODT0G5Z4TTKYMMBYD","GSON1112150475")</f>
        <v>#NAME?</v>
      </c>
      <c r="S1910" s="28" t="e">
        <f ca="1">[1]!BexGetData("DP_1","00O2TNJGODT0G5Z4TTKYMMI9X","GSON1112150475")</f>
        <v>#NAME?</v>
      </c>
      <c r="T1910" s="28" t="e">
        <f ca="1">[1]!BexGetData("DP_1","00O2TNJGODT0G5Z4TTKYMMOLH","GSON1112150475")</f>
        <v>#NAME?</v>
      </c>
      <c r="U1910" s="28" t="e">
        <f ca="1">[1]!BexGetData("DP_1","00O2TNJGODT0G5Z4TTKYMMUX1","GSON1112150475")</f>
        <v>#NAME?</v>
      </c>
      <c r="V1910" s="28" t="e">
        <f ca="1">[1]!BexGetData("DP_1","00O2TNJGODT0G5Z4TTKYMN18L","GSON1112150475")</f>
        <v>#NAME?</v>
      </c>
      <c r="W1910" s="28" t="e">
        <f ca="1">[1]!BexGetData("DP_1","00O2TNJGODT0G5Z4TTKYMN7K5","GSON1112150475")</f>
        <v>#NAME?</v>
      </c>
    </row>
    <row r="1911" spans="1:23" x14ac:dyDescent="0.2">
      <c r="A1911" s="36" t="s">
        <v>4852</v>
      </c>
      <c r="B1911" s="27" t="s">
        <v>4853</v>
      </c>
      <c r="C1911" s="28" t="e">
        <f ca="1">[1]!BexGetData("DP_1","003N8EMH8GTFRCSWKMPXRR8GU","GSON1112150540")</f>
        <v>#NAME?</v>
      </c>
      <c r="D1911" s="28" t="e">
        <f ca="1">[1]!BexGetData("DP_1","003N8EMH8GTFRCSWKMPXRRESE","GSON1112150540")</f>
        <v>#NAME?</v>
      </c>
      <c r="E1911" s="28" t="e">
        <f ca="1">[1]!BexGetData("DP_1","003N8EMH8GTFRCSWKMPXRRL3Y","GSON1112150540")</f>
        <v>#NAME?</v>
      </c>
      <c r="F1911" s="28" t="e">
        <f ca="1">[1]!BexGetData("DP_1","003N8EMH8GTFRCSWKMPXRRRFI","GSON1112150540")</f>
        <v>#NAME?</v>
      </c>
      <c r="G1911" s="23" t="e">
        <f ca="1">[1]!BexGetData("DP_1","003N8EMH8GTFRCSWKMPXRRXR2","GSON1112150540")</f>
        <v>#NAME?</v>
      </c>
      <c r="H1911" s="23" t="e">
        <f ca="1">[1]!BexGetData("DP_1","003N8EMH8GTFRCSWKMPXRS42M","GSON1112150540")</f>
        <v>#NAME?</v>
      </c>
      <c r="I1911" s="28" t="e">
        <f ca="1">[1]!BexGetData("DP_1","003N8EMH8GTFRCSWKMPXRSAE6","GSON1112150540")</f>
        <v>#NAME?</v>
      </c>
      <c r="J1911" s="23" t="e">
        <f ca="1">[1]!BexGetData("DP_1","003N8EMH8GTFRCSWKMPXRSGPQ","GSON1112150540")</f>
        <v>#NAME?</v>
      </c>
      <c r="K1911" s="28" t="e">
        <f ca="1">[1]!BexGetData("DP_1","003N8EMH8GTFRIVNUPY288VJH","GSON1112150540")</f>
        <v>#NAME?</v>
      </c>
      <c r="L1911" s="28" t="e">
        <f ca="1">[1]!BexGetData("DP_1","003N8EMH8GTFRIVNUPY2891V1","GSON1112150540")</f>
        <v>#NAME?</v>
      </c>
      <c r="M1911" s="28" t="e">
        <f ca="1">[1]!BexGetData("DP_1","003N8EMH8GTFRIVOG7KG9IQXA","GSON1112150540")</f>
        <v>#NAME?</v>
      </c>
      <c r="N1911" s="28" t="e">
        <f ca="1">[1]!BexGetData("DP_1","003N8EMH8GTFRIVOG7KG9IX8U","GSON1112150540")</f>
        <v>#NAME?</v>
      </c>
      <c r="O1911" s="28" t="e">
        <f ca="1">[1]!BexGetData("DP_1","003N8EMH8GTFRIVOG7KG9J3KE","GSON1112150540")</f>
        <v>#NAME?</v>
      </c>
      <c r="P1911" s="28" t="e">
        <f ca="1">[1]!BexGetData("DP_1","003N8EMH8GTFRIVOG7KG9J9VY","GSON1112150540")</f>
        <v>#NAME?</v>
      </c>
      <c r="Q1911" s="23" t="e">
        <f ca="1">[1]!BexGetData("DP_1","00O2TNJGODT0G5Z4TTKYMM5MT","GSON1112150540")</f>
        <v>#NAME?</v>
      </c>
      <c r="R1911" s="23" t="e">
        <f ca="1">[1]!BexGetData("DP_1","00O2TNJGODT0G5Z4TTKYMMBYD","GSON1112150540")</f>
        <v>#NAME?</v>
      </c>
      <c r="S1911" s="23" t="e">
        <f ca="1">[1]!BexGetData("DP_1","00O2TNJGODT0G5Z4TTKYMMI9X","GSON1112150540")</f>
        <v>#NAME?</v>
      </c>
      <c r="T1911" s="23" t="e">
        <f ca="1">[1]!BexGetData("DP_1","00O2TNJGODT0G5Z4TTKYMMOLH","GSON1112150540")</f>
        <v>#NAME?</v>
      </c>
      <c r="U1911" s="28" t="e">
        <f ca="1">[1]!BexGetData("DP_1","00O2TNJGODT0G5Z4TTKYMMUX1","GSON1112150540")</f>
        <v>#NAME?</v>
      </c>
      <c r="V1911" s="23" t="e">
        <f ca="1">[1]!BexGetData("DP_1","00O2TNJGODT0G5Z4TTKYMN18L","GSON1112150540")</f>
        <v>#NAME?</v>
      </c>
      <c r="W1911" s="28" t="e">
        <f ca="1">[1]!BexGetData("DP_1","00O2TNJGODT0G5Z4TTKYMN7K5","GSON1112150540")</f>
        <v>#NAME?</v>
      </c>
    </row>
    <row r="1912" spans="1:23" x14ac:dyDescent="0.2">
      <c r="A1912" s="36" t="s">
        <v>4854</v>
      </c>
      <c r="B1912" s="27" t="s">
        <v>4855</v>
      </c>
      <c r="C1912" s="24" t="e">
        <f ca="1">[1]!BexGetData("DP_1","003N8EMH8GTFRCSWKMPXRR8GU","GSON1112150544")</f>
        <v>#NAME?</v>
      </c>
      <c r="D1912" s="24" t="e">
        <f ca="1">[1]!BexGetData("DP_1","003N8EMH8GTFRCSWKMPXRRESE","GSON1112150544")</f>
        <v>#NAME?</v>
      </c>
      <c r="E1912" s="24" t="e">
        <f ca="1">[1]!BexGetData("DP_1","003N8EMH8GTFRCSWKMPXRRL3Y","GSON1112150544")</f>
        <v>#NAME?</v>
      </c>
      <c r="F1912" s="28" t="e">
        <f ca="1">[1]!BexGetData("DP_1","003N8EMH8GTFRCSWKMPXRRRFI","GSON1112150544")</f>
        <v>#NAME?</v>
      </c>
      <c r="G1912" s="23" t="e">
        <f ca="1">[1]!BexGetData("DP_1","003N8EMH8GTFRCSWKMPXRRXR2","GSON1112150544")</f>
        <v>#NAME?</v>
      </c>
      <c r="H1912" s="23" t="e">
        <f ca="1">[1]!BexGetData("DP_1","003N8EMH8GTFRCSWKMPXRS42M","GSON1112150544")</f>
        <v>#NAME?</v>
      </c>
      <c r="I1912" s="28" t="e">
        <f ca="1">[1]!BexGetData("DP_1","003N8EMH8GTFRCSWKMPXRSAE6","GSON1112150544")</f>
        <v>#NAME?</v>
      </c>
      <c r="J1912" s="24" t="e">
        <f ca="1">[1]!BexGetData("DP_1","003N8EMH8GTFRCSWKMPXRSGPQ","GSON1112150544")</f>
        <v>#NAME?</v>
      </c>
      <c r="K1912" s="28" t="e">
        <f ca="1">[1]!BexGetData("DP_1","003N8EMH8GTFRIVNUPY288VJH","GSON1112150544")</f>
        <v>#NAME?</v>
      </c>
      <c r="L1912" s="28" t="e">
        <f ca="1">[1]!BexGetData("DP_1","003N8EMH8GTFRIVNUPY2891V1","GSON1112150544")</f>
        <v>#NAME?</v>
      </c>
      <c r="M1912" s="28" t="e">
        <f ca="1">[1]!BexGetData("DP_1","003N8EMH8GTFRIVOG7KG9IQXA","GSON1112150544")</f>
        <v>#NAME?</v>
      </c>
      <c r="N1912" s="28" t="e">
        <f ca="1">[1]!BexGetData("DP_1","003N8EMH8GTFRIVOG7KG9IX8U","GSON1112150544")</f>
        <v>#NAME?</v>
      </c>
      <c r="O1912" s="28" t="e">
        <f ca="1">[1]!BexGetData("DP_1","003N8EMH8GTFRIVOG7KG9J3KE","GSON1112150544")</f>
        <v>#NAME?</v>
      </c>
      <c r="P1912" s="28" t="e">
        <f ca="1">[1]!BexGetData("DP_1","003N8EMH8GTFRIVOG7KG9J9VY","GSON1112150544")</f>
        <v>#NAME?</v>
      </c>
      <c r="Q1912" s="24" t="e">
        <f ca="1">[1]!BexGetData("DP_1","00O2TNJGODT0G5Z4TTKYMM5MT","GSON1112150544")</f>
        <v>#NAME?</v>
      </c>
      <c r="R1912" s="28" t="e">
        <f ca="1">[1]!BexGetData("DP_1","00O2TNJGODT0G5Z4TTKYMMBYD","GSON1112150544")</f>
        <v>#NAME?</v>
      </c>
      <c r="S1912" s="28" t="e">
        <f ca="1">[1]!BexGetData("DP_1","00O2TNJGODT0G5Z4TTKYMMI9X","GSON1112150544")</f>
        <v>#NAME?</v>
      </c>
      <c r="T1912" s="28" t="e">
        <f ca="1">[1]!BexGetData("DP_1","00O2TNJGODT0G5Z4TTKYMMOLH","GSON1112150544")</f>
        <v>#NAME?</v>
      </c>
      <c r="U1912" s="28" t="e">
        <f ca="1">[1]!BexGetData("DP_1","00O2TNJGODT0G5Z4TTKYMMUX1","GSON1112150544")</f>
        <v>#NAME?</v>
      </c>
      <c r="V1912" s="28" t="e">
        <f ca="1">[1]!BexGetData("DP_1","00O2TNJGODT0G5Z4TTKYMN18L","GSON1112150544")</f>
        <v>#NAME?</v>
      </c>
      <c r="W1912" s="28" t="e">
        <f ca="1">[1]!BexGetData("DP_1","00O2TNJGODT0G5Z4TTKYMN7K5","GSON1112150544")</f>
        <v>#NAME?</v>
      </c>
    </row>
    <row r="1913" spans="1:23" x14ac:dyDescent="0.2">
      <c r="A1913" s="36" t="s">
        <v>4856</v>
      </c>
      <c r="B1913" s="27" t="s">
        <v>4857</v>
      </c>
      <c r="C1913" s="28" t="e">
        <f ca="1">[1]!BexGetData("DP_1","003N8EMH8GTFRCSWKMPXRR8GU","GSON1112150545")</f>
        <v>#NAME?</v>
      </c>
      <c r="D1913" s="28" t="e">
        <f ca="1">[1]!BexGetData("DP_1","003N8EMH8GTFRCSWKMPXRRESE","GSON1112150545")</f>
        <v>#NAME?</v>
      </c>
      <c r="E1913" s="28" t="e">
        <f ca="1">[1]!BexGetData("DP_1","003N8EMH8GTFRCSWKMPXRRL3Y","GSON1112150545")</f>
        <v>#NAME?</v>
      </c>
      <c r="F1913" s="28" t="e">
        <f ca="1">[1]!BexGetData("DP_1","003N8EMH8GTFRCSWKMPXRRRFI","GSON1112150545")</f>
        <v>#NAME?</v>
      </c>
      <c r="G1913" s="23" t="e">
        <f ca="1">[1]!BexGetData("DP_1","003N8EMH8GTFRCSWKMPXRRXR2","GSON1112150545")</f>
        <v>#NAME?</v>
      </c>
      <c r="H1913" s="23" t="e">
        <f ca="1">[1]!BexGetData("DP_1","003N8EMH8GTFRCSWKMPXRS42M","GSON1112150545")</f>
        <v>#NAME?</v>
      </c>
      <c r="I1913" s="28" t="e">
        <f ca="1">[1]!BexGetData("DP_1","003N8EMH8GTFRCSWKMPXRSAE6","GSON1112150545")</f>
        <v>#NAME?</v>
      </c>
      <c r="J1913" s="24" t="e">
        <f ca="1">[1]!BexGetData("DP_1","003N8EMH8GTFRCSWKMPXRSGPQ","GSON1112150545")</f>
        <v>#NAME?</v>
      </c>
      <c r="K1913" s="28" t="e">
        <f ca="1">[1]!BexGetData("DP_1","003N8EMH8GTFRIVNUPY288VJH","GSON1112150545")</f>
        <v>#NAME?</v>
      </c>
      <c r="L1913" s="28" t="e">
        <f ca="1">[1]!BexGetData("DP_1","003N8EMH8GTFRIVNUPY2891V1","GSON1112150545")</f>
        <v>#NAME?</v>
      </c>
      <c r="M1913" s="28" t="e">
        <f ca="1">[1]!BexGetData("DP_1","003N8EMH8GTFRIVOG7KG9IQXA","GSON1112150545")</f>
        <v>#NAME?</v>
      </c>
      <c r="N1913" s="28" t="e">
        <f ca="1">[1]!BexGetData("DP_1","003N8EMH8GTFRIVOG7KG9IX8U","GSON1112150545")</f>
        <v>#NAME?</v>
      </c>
      <c r="O1913" s="28" t="e">
        <f ca="1">[1]!BexGetData("DP_1","003N8EMH8GTFRIVOG7KG9J3KE","GSON1112150545")</f>
        <v>#NAME?</v>
      </c>
      <c r="P1913" s="28" t="e">
        <f ca="1">[1]!BexGetData("DP_1","003N8EMH8GTFRIVOG7KG9J9VY","GSON1112150545")</f>
        <v>#NAME?</v>
      </c>
      <c r="Q1913" s="24" t="e">
        <f ca="1">[1]!BexGetData("DP_1","00O2TNJGODT0G5Z4TTKYMM5MT","GSON1112150545")</f>
        <v>#NAME?</v>
      </c>
      <c r="R1913" s="28" t="e">
        <f ca="1">[1]!BexGetData("DP_1","00O2TNJGODT0G5Z4TTKYMMBYD","GSON1112150545")</f>
        <v>#NAME?</v>
      </c>
      <c r="S1913" s="28" t="e">
        <f ca="1">[1]!BexGetData("DP_1","00O2TNJGODT0G5Z4TTKYMMI9X","GSON1112150545")</f>
        <v>#NAME?</v>
      </c>
      <c r="T1913" s="28" t="e">
        <f ca="1">[1]!BexGetData("DP_1","00O2TNJGODT0G5Z4TTKYMMOLH","GSON1112150545")</f>
        <v>#NAME?</v>
      </c>
      <c r="U1913" s="28" t="e">
        <f ca="1">[1]!BexGetData("DP_1","00O2TNJGODT0G5Z4TTKYMMUX1","GSON1112150545")</f>
        <v>#NAME?</v>
      </c>
      <c r="V1913" s="28" t="e">
        <f ca="1">[1]!BexGetData("DP_1","00O2TNJGODT0G5Z4TTKYMN18L","GSON1112150545")</f>
        <v>#NAME?</v>
      </c>
      <c r="W1913" s="28" t="e">
        <f ca="1">[1]!BexGetData("DP_1","00O2TNJGODT0G5Z4TTKYMN7K5","GSON1112150545")</f>
        <v>#NAME?</v>
      </c>
    </row>
    <row r="1914" spans="1:23" x14ac:dyDescent="0.2">
      <c r="A1914" s="36" t="s">
        <v>4858</v>
      </c>
      <c r="B1914" s="27" t="s">
        <v>4859</v>
      </c>
      <c r="C1914" s="28" t="e">
        <f ca="1">[1]!BexGetData("DP_1","003N8EMH8GTFRCSWKMPXRR8GU","GSON1112150550")</f>
        <v>#NAME?</v>
      </c>
      <c r="D1914" s="28" t="e">
        <f ca="1">[1]!BexGetData("DP_1","003N8EMH8GTFRCSWKMPXRRESE","GSON1112150550")</f>
        <v>#NAME?</v>
      </c>
      <c r="E1914" s="28" t="e">
        <f ca="1">[1]!BexGetData("DP_1","003N8EMH8GTFRCSWKMPXRRL3Y","GSON1112150550")</f>
        <v>#NAME?</v>
      </c>
      <c r="F1914" s="28" t="e">
        <f ca="1">[1]!BexGetData("DP_1","003N8EMH8GTFRCSWKMPXRRRFI","GSON1112150550")</f>
        <v>#NAME?</v>
      </c>
      <c r="G1914" s="23" t="e">
        <f ca="1">[1]!BexGetData("DP_1","003N8EMH8GTFRCSWKMPXRRXR2","GSON1112150550")</f>
        <v>#NAME?</v>
      </c>
      <c r="H1914" s="23" t="e">
        <f ca="1">[1]!BexGetData("DP_1","003N8EMH8GTFRCSWKMPXRS42M","GSON1112150550")</f>
        <v>#NAME?</v>
      </c>
      <c r="I1914" s="28" t="e">
        <f ca="1">[1]!BexGetData("DP_1","003N8EMH8GTFRCSWKMPXRSAE6","GSON1112150550")</f>
        <v>#NAME?</v>
      </c>
      <c r="J1914" s="23" t="e">
        <f ca="1">[1]!BexGetData("DP_1","003N8EMH8GTFRCSWKMPXRSGPQ","GSON1112150550")</f>
        <v>#NAME?</v>
      </c>
      <c r="K1914" s="28" t="e">
        <f ca="1">[1]!BexGetData("DP_1","003N8EMH8GTFRIVNUPY288VJH","GSON1112150550")</f>
        <v>#NAME?</v>
      </c>
      <c r="L1914" s="28" t="e">
        <f ca="1">[1]!BexGetData("DP_1","003N8EMH8GTFRIVNUPY2891V1","GSON1112150550")</f>
        <v>#NAME?</v>
      </c>
      <c r="M1914" s="28" t="e">
        <f ca="1">[1]!BexGetData("DP_1","003N8EMH8GTFRIVOG7KG9IQXA","GSON1112150550")</f>
        <v>#NAME?</v>
      </c>
      <c r="N1914" s="28" t="e">
        <f ca="1">[1]!BexGetData("DP_1","003N8EMH8GTFRIVOG7KG9IX8U","GSON1112150550")</f>
        <v>#NAME?</v>
      </c>
      <c r="O1914" s="28" t="e">
        <f ca="1">[1]!BexGetData("DP_1","003N8EMH8GTFRIVOG7KG9J3KE","GSON1112150550")</f>
        <v>#NAME?</v>
      </c>
      <c r="P1914" s="28" t="e">
        <f ca="1">[1]!BexGetData("DP_1","003N8EMH8GTFRIVOG7KG9J9VY","GSON1112150550")</f>
        <v>#NAME?</v>
      </c>
      <c r="Q1914" s="23" t="e">
        <f ca="1">[1]!BexGetData("DP_1","00O2TNJGODT0G5Z4TTKYMM5MT","GSON1112150550")</f>
        <v>#NAME?</v>
      </c>
      <c r="R1914" s="23" t="e">
        <f ca="1">[1]!BexGetData("DP_1","00O2TNJGODT0G5Z4TTKYMMBYD","GSON1112150550")</f>
        <v>#NAME?</v>
      </c>
      <c r="S1914" s="23" t="e">
        <f ca="1">[1]!BexGetData("DP_1","00O2TNJGODT0G5Z4TTKYMMI9X","GSON1112150550")</f>
        <v>#NAME?</v>
      </c>
      <c r="T1914" s="23" t="e">
        <f ca="1">[1]!BexGetData("DP_1","00O2TNJGODT0G5Z4TTKYMMOLH","GSON1112150550")</f>
        <v>#NAME?</v>
      </c>
      <c r="U1914" s="28" t="e">
        <f ca="1">[1]!BexGetData("DP_1","00O2TNJGODT0G5Z4TTKYMMUX1","GSON1112150550")</f>
        <v>#NAME?</v>
      </c>
      <c r="V1914" s="23" t="e">
        <f ca="1">[1]!BexGetData("DP_1","00O2TNJGODT0G5Z4TTKYMN18L","GSON1112150550")</f>
        <v>#NAME?</v>
      </c>
      <c r="W1914" s="28" t="e">
        <f ca="1">[1]!BexGetData("DP_1","00O2TNJGODT0G5Z4TTKYMN7K5","GSON1112150550")</f>
        <v>#NAME?</v>
      </c>
    </row>
    <row r="1915" spans="1:23" x14ac:dyDescent="0.2">
      <c r="A1915" s="36" t="s">
        <v>4860</v>
      </c>
      <c r="B1915" s="27" t="s">
        <v>4861</v>
      </c>
      <c r="C1915" s="24" t="e">
        <f ca="1">[1]!BexGetData("DP_1","003N8EMH8GTFRCSWKMPXRR8GU","GSON1112150552")</f>
        <v>#NAME?</v>
      </c>
      <c r="D1915" s="24" t="e">
        <f ca="1">[1]!BexGetData("DP_1","003N8EMH8GTFRCSWKMPXRRESE","GSON1112150552")</f>
        <v>#NAME?</v>
      </c>
      <c r="E1915" s="24" t="e">
        <f ca="1">[1]!BexGetData("DP_1","003N8EMH8GTFRCSWKMPXRRL3Y","GSON1112150552")</f>
        <v>#NAME?</v>
      </c>
      <c r="F1915" s="28" t="e">
        <f ca="1">[1]!BexGetData("DP_1","003N8EMH8GTFRCSWKMPXRRRFI","GSON1112150552")</f>
        <v>#NAME?</v>
      </c>
      <c r="G1915" s="23" t="e">
        <f ca="1">[1]!BexGetData("DP_1","003N8EMH8GTFRCSWKMPXRRXR2","GSON1112150552")</f>
        <v>#NAME?</v>
      </c>
      <c r="H1915" s="23" t="e">
        <f ca="1">[1]!BexGetData("DP_1","003N8EMH8GTFRCSWKMPXRS42M","GSON1112150552")</f>
        <v>#NAME?</v>
      </c>
      <c r="I1915" s="28" t="e">
        <f ca="1">[1]!BexGetData("DP_1","003N8EMH8GTFRCSWKMPXRSAE6","GSON1112150552")</f>
        <v>#NAME?</v>
      </c>
      <c r="J1915" s="23" t="e">
        <f ca="1">[1]!BexGetData("DP_1","003N8EMH8GTFRCSWKMPXRSGPQ","GSON1112150552")</f>
        <v>#NAME?</v>
      </c>
      <c r="K1915" s="28" t="e">
        <f ca="1">[1]!BexGetData("DP_1","003N8EMH8GTFRIVNUPY288VJH","GSON1112150552")</f>
        <v>#NAME?</v>
      </c>
      <c r="L1915" s="28" t="e">
        <f ca="1">[1]!BexGetData("DP_1","003N8EMH8GTFRIVNUPY2891V1","GSON1112150552")</f>
        <v>#NAME?</v>
      </c>
      <c r="M1915" s="28" t="e">
        <f ca="1">[1]!BexGetData("DP_1","003N8EMH8GTFRIVOG7KG9IQXA","GSON1112150552")</f>
        <v>#NAME?</v>
      </c>
      <c r="N1915" s="28" t="e">
        <f ca="1">[1]!BexGetData("DP_1","003N8EMH8GTFRIVOG7KG9IX8U","GSON1112150552")</f>
        <v>#NAME?</v>
      </c>
      <c r="O1915" s="28" t="e">
        <f ca="1">[1]!BexGetData("DP_1","003N8EMH8GTFRIVOG7KG9J3KE","GSON1112150552")</f>
        <v>#NAME?</v>
      </c>
      <c r="P1915" s="28" t="e">
        <f ca="1">[1]!BexGetData("DP_1","003N8EMH8GTFRIVOG7KG9J9VY","GSON1112150552")</f>
        <v>#NAME?</v>
      </c>
      <c r="Q1915" s="23" t="e">
        <f ca="1">[1]!BexGetData("DP_1","00O2TNJGODT0G5Z4TTKYMM5MT","GSON1112150552")</f>
        <v>#NAME?</v>
      </c>
      <c r="R1915" s="23" t="e">
        <f ca="1">[1]!BexGetData("DP_1","00O2TNJGODT0G5Z4TTKYMMBYD","GSON1112150552")</f>
        <v>#NAME?</v>
      </c>
      <c r="S1915" s="23" t="e">
        <f ca="1">[1]!BexGetData("DP_1","00O2TNJGODT0G5Z4TTKYMMI9X","GSON1112150552")</f>
        <v>#NAME?</v>
      </c>
      <c r="T1915" s="28" t="e">
        <f ca="1">[1]!BexGetData("DP_1","00O2TNJGODT0G5Z4TTKYMMOLH","GSON1112150552")</f>
        <v>#NAME?</v>
      </c>
      <c r="U1915" s="23" t="e">
        <f ca="1">[1]!BexGetData("DP_1","00O2TNJGODT0G5Z4TTKYMMUX1","GSON1112150552")</f>
        <v>#NAME?</v>
      </c>
      <c r="V1915" s="28" t="e">
        <f ca="1">[1]!BexGetData("DP_1","00O2TNJGODT0G5Z4TTKYMN18L","GSON1112150552")</f>
        <v>#NAME?</v>
      </c>
      <c r="W1915" s="23" t="e">
        <f ca="1">[1]!BexGetData("DP_1","00O2TNJGODT0G5Z4TTKYMN7K5","GSON1112150552")</f>
        <v>#NAME?</v>
      </c>
    </row>
    <row r="1916" spans="1:23" x14ac:dyDescent="0.2">
      <c r="A1916" s="36" t="s">
        <v>4862</v>
      </c>
      <c r="B1916" s="27" t="s">
        <v>4863</v>
      </c>
      <c r="C1916" s="24" t="e">
        <f ca="1">[1]!BexGetData("DP_1","003N8EMH8GTFRCSWKMPXRR8GU","GSON1112150554")</f>
        <v>#NAME?</v>
      </c>
      <c r="D1916" s="24" t="e">
        <f ca="1">[1]!BexGetData("DP_1","003N8EMH8GTFRCSWKMPXRRESE","GSON1112150554")</f>
        <v>#NAME?</v>
      </c>
      <c r="E1916" s="24" t="e">
        <f ca="1">[1]!BexGetData("DP_1","003N8EMH8GTFRCSWKMPXRRL3Y","GSON1112150554")</f>
        <v>#NAME?</v>
      </c>
      <c r="F1916" s="28" t="e">
        <f ca="1">[1]!BexGetData("DP_1","003N8EMH8GTFRCSWKMPXRRRFI","GSON1112150554")</f>
        <v>#NAME?</v>
      </c>
      <c r="G1916" s="23" t="e">
        <f ca="1">[1]!BexGetData("DP_1","003N8EMH8GTFRCSWKMPXRRXR2","GSON1112150554")</f>
        <v>#NAME?</v>
      </c>
      <c r="H1916" s="23" t="e">
        <f ca="1">[1]!BexGetData("DP_1","003N8EMH8GTFRCSWKMPXRS42M","GSON1112150554")</f>
        <v>#NAME?</v>
      </c>
      <c r="I1916" s="28" t="e">
        <f ca="1">[1]!BexGetData("DP_1","003N8EMH8GTFRCSWKMPXRSAE6","GSON1112150554")</f>
        <v>#NAME?</v>
      </c>
      <c r="J1916" s="24" t="e">
        <f ca="1">[1]!BexGetData("DP_1","003N8EMH8GTFRCSWKMPXRSGPQ","GSON1112150554")</f>
        <v>#NAME?</v>
      </c>
      <c r="K1916" s="28" t="e">
        <f ca="1">[1]!BexGetData("DP_1","003N8EMH8GTFRIVNUPY288VJH","GSON1112150554")</f>
        <v>#NAME?</v>
      </c>
      <c r="L1916" s="28" t="e">
        <f ca="1">[1]!BexGetData("DP_1","003N8EMH8GTFRIVNUPY2891V1","GSON1112150554")</f>
        <v>#NAME?</v>
      </c>
      <c r="M1916" s="28" t="e">
        <f ca="1">[1]!BexGetData("DP_1","003N8EMH8GTFRIVOG7KG9IQXA","GSON1112150554")</f>
        <v>#NAME?</v>
      </c>
      <c r="N1916" s="28" t="e">
        <f ca="1">[1]!BexGetData("DP_1","003N8EMH8GTFRIVOG7KG9IX8U","GSON1112150554")</f>
        <v>#NAME?</v>
      </c>
      <c r="O1916" s="28" t="e">
        <f ca="1">[1]!BexGetData("DP_1","003N8EMH8GTFRIVOG7KG9J3KE","GSON1112150554")</f>
        <v>#NAME?</v>
      </c>
      <c r="P1916" s="28" t="e">
        <f ca="1">[1]!BexGetData("DP_1","003N8EMH8GTFRIVOG7KG9J9VY","GSON1112150554")</f>
        <v>#NAME?</v>
      </c>
      <c r="Q1916" s="24" t="e">
        <f ca="1">[1]!BexGetData("DP_1","00O2TNJGODT0G5Z4TTKYMM5MT","GSON1112150554")</f>
        <v>#NAME?</v>
      </c>
      <c r="R1916" s="28" t="e">
        <f ca="1">[1]!BexGetData("DP_1","00O2TNJGODT0G5Z4TTKYMMBYD","GSON1112150554")</f>
        <v>#NAME?</v>
      </c>
      <c r="S1916" s="28" t="e">
        <f ca="1">[1]!BexGetData("DP_1","00O2TNJGODT0G5Z4TTKYMMI9X","GSON1112150554")</f>
        <v>#NAME?</v>
      </c>
      <c r="T1916" s="28" t="e">
        <f ca="1">[1]!BexGetData("DP_1","00O2TNJGODT0G5Z4TTKYMMOLH","GSON1112150554")</f>
        <v>#NAME?</v>
      </c>
      <c r="U1916" s="28" t="e">
        <f ca="1">[1]!BexGetData("DP_1","00O2TNJGODT0G5Z4TTKYMMUX1","GSON1112150554")</f>
        <v>#NAME?</v>
      </c>
      <c r="V1916" s="28" t="e">
        <f ca="1">[1]!BexGetData("DP_1","00O2TNJGODT0G5Z4TTKYMN18L","GSON1112150554")</f>
        <v>#NAME?</v>
      </c>
      <c r="W1916" s="28" t="e">
        <f ca="1">[1]!BexGetData("DP_1","00O2TNJGODT0G5Z4TTKYMN7K5","GSON1112150554")</f>
        <v>#NAME?</v>
      </c>
    </row>
    <row r="1917" spans="1:23" x14ac:dyDescent="0.2">
      <c r="A1917" s="36" t="s">
        <v>4864</v>
      </c>
      <c r="B1917" s="27" t="s">
        <v>4865</v>
      </c>
      <c r="C1917" s="28" t="e">
        <f ca="1">[1]!BexGetData("DP_1","003N8EMH8GTFRCSWKMPXRR8GU","GSON1112150555")</f>
        <v>#NAME?</v>
      </c>
      <c r="D1917" s="28" t="e">
        <f ca="1">[1]!BexGetData("DP_1","003N8EMH8GTFRCSWKMPXRRESE","GSON1112150555")</f>
        <v>#NAME?</v>
      </c>
      <c r="E1917" s="28" t="e">
        <f ca="1">[1]!BexGetData("DP_1","003N8EMH8GTFRCSWKMPXRRL3Y","GSON1112150555")</f>
        <v>#NAME?</v>
      </c>
      <c r="F1917" s="28" t="e">
        <f ca="1">[1]!BexGetData("DP_1","003N8EMH8GTFRCSWKMPXRRRFI","GSON1112150555")</f>
        <v>#NAME?</v>
      </c>
      <c r="G1917" s="23" t="e">
        <f ca="1">[1]!BexGetData("DP_1","003N8EMH8GTFRCSWKMPXRRXR2","GSON1112150555")</f>
        <v>#NAME?</v>
      </c>
      <c r="H1917" s="23" t="e">
        <f ca="1">[1]!BexGetData("DP_1","003N8EMH8GTFRCSWKMPXRS42M","GSON1112150555")</f>
        <v>#NAME?</v>
      </c>
      <c r="I1917" s="28" t="e">
        <f ca="1">[1]!BexGetData("DP_1","003N8EMH8GTFRCSWKMPXRSAE6","GSON1112150555")</f>
        <v>#NAME?</v>
      </c>
      <c r="J1917" s="24" t="e">
        <f ca="1">[1]!BexGetData("DP_1","003N8EMH8GTFRCSWKMPXRSGPQ","GSON1112150555")</f>
        <v>#NAME?</v>
      </c>
      <c r="K1917" s="28" t="e">
        <f ca="1">[1]!BexGetData("DP_1","003N8EMH8GTFRIVNUPY288VJH","GSON1112150555")</f>
        <v>#NAME?</v>
      </c>
      <c r="L1917" s="28" t="e">
        <f ca="1">[1]!BexGetData("DP_1","003N8EMH8GTFRIVNUPY2891V1","GSON1112150555")</f>
        <v>#NAME?</v>
      </c>
      <c r="M1917" s="28" t="e">
        <f ca="1">[1]!BexGetData("DP_1","003N8EMH8GTFRIVOG7KG9IQXA","GSON1112150555")</f>
        <v>#NAME?</v>
      </c>
      <c r="N1917" s="28" t="e">
        <f ca="1">[1]!BexGetData("DP_1","003N8EMH8GTFRIVOG7KG9IX8U","GSON1112150555")</f>
        <v>#NAME?</v>
      </c>
      <c r="O1917" s="28" t="e">
        <f ca="1">[1]!BexGetData("DP_1","003N8EMH8GTFRIVOG7KG9J3KE","GSON1112150555")</f>
        <v>#NAME?</v>
      </c>
      <c r="P1917" s="28" t="e">
        <f ca="1">[1]!BexGetData("DP_1","003N8EMH8GTFRIVOG7KG9J9VY","GSON1112150555")</f>
        <v>#NAME?</v>
      </c>
      <c r="Q1917" s="24" t="e">
        <f ca="1">[1]!BexGetData("DP_1","00O2TNJGODT0G5Z4TTKYMM5MT","GSON1112150555")</f>
        <v>#NAME?</v>
      </c>
      <c r="R1917" s="28" t="e">
        <f ca="1">[1]!BexGetData("DP_1","00O2TNJGODT0G5Z4TTKYMMBYD","GSON1112150555")</f>
        <v>#NAME?</v>
      </c>
      <c r="S1917" s="28" t="e">
        <f ca="1">[1]!BexGetData("DP_1","00O2TNJGODT0G5Z4TTKYMMI9X","GSON1112150555")</f>
        <v>#NAME?</v>
      </c>
      <c r="T1917" s="28" t="e">
        <f ca="1">[1]!BexGetData("DP_1","00O2TNJGODT0G5Z4TTKYMMOLH","GSON1112150555")</f>
        <v>#NAME?</v>
      </c>
      <c r="U1917" s="28" t="e">
        <f ca="1">[1]!BexGetData("DP_1","00O2TNJGODT0G5Z4TTKYMMUX1","GSON1112150555")</f>
        <v>#NAME?</v>
      </c>
      <c r="V1917" s="28" t="e">
        <f ca="1">[1]!BexGetData("DP_1","00O2TNJGODT0G5Z4TTKYMN18L","GSON1112150555")</f>
        <v>#NAME?</v>
      </c>
      <c r="W1917" s="28" t="e">
        <f ca="1">[1]!BexGetData("DP_1","00O2TNJGODT0G5Z4TTKYMN7K5","GSON1112150555")</f>
        <v>#NAME?</v>
      </c>
    </row>
    <row r="1918" spans="1:23" x14ac:dyDescent="0.2">
      <c r="A1918" s="36" t="s">
        <v>4866</v>
      </c>
      <c r="B1918" s="27" t="s">
        <v>4867</v>
      </c>
      <c r="C1918" s="28" t="e">
        <f ca="1">[1]!BexGetData("DP_1","003N8EMH8GTFRCSWKMPXRR8GU","GSON1112150560")</f>
        <v>#NAME?</v>
      </c>
      <c r="D1918" s="28" t="e">
        <f ca="1">[1]!BexGetData("DP_1","003N8EMH8GTFRCSWKMPXRRESE","GSON1112150560")</f>
        <v>#NAME?</v>
      </c>
      <c r="E1918" s="28" t="e">
        <f ca="1">[1]!BexGetData("DP_1","003N8EMH8GTFRCSWKMPXRRL3Y","GSON1112150560")</f>
        <v>#NAME?</v>
      </c>
      <c r="F1918" s="28" t="e">
        <f ca="1">[1]!BexGetData("DP_1","003N8EMH8GTFRCSWKMPXRRRFI","GSON1112150560")</f>
        <v>#NAME?</v>
      </c>
      <c r="G1918" s="28" t="e">
        <f ca="1">[1]!BexGetData("DP_1","003N8EMH8GTFRCSWKMPXRRXR2","GSON1112150560")</f>
        <v>#NAME?</v>
      </c>
      <c r="H1918" s="23" t="e">
        <f ca="1">[1]!BexGetData("DP_1","003N8EMH8GTFRCSWKMPXRS42M","GSON1112150560")</f>
        <v>#NAME?</v>
      </c>
      <c r="I1918" s="28" t="e">
        <f ca="1">[1]!BexGetData("DP_1","003N8EMH8GTFRCSWKMPXRSAE6","GSON1112150560")</f>
        <v>#NAME?</v>
      </c>
      <c r="J1918" s="23" t="e">
        <f ca="1">[1]!BexGetData("DP_1","003N8EMH8GTFRCSWKMPXRSGPQ","GSON1112150560")</f>
        <v>#NAME?</v>
      </c>
      <c r="K1918" s="28" t="e">
        <f ca="1">[1]!BexGetData("DP_1","003N8EMH8GTFRIVNUPY288VJH","GSON1112150560")</f>
        <v>#NAME?</v>
      </c>
      <c r="L1918" s="28" t="e">
        <f ca="1">[1]!BexGetData("DP_1","003N8EMH8GTFRIVNUPY2891V1","GSON1112150560")</f>
        <v>#NAME?</v>
      </c>
      <c r="M1918" s="28" t="e">
        <f ca="1">[1]!BexGetData("DP_1","003N8EMH8GTFRIVOG7KG9IQXA","GSON1112150560")</f>
        <v>#NAME?</v>
      </c>
      <c r="N1918" s="28" t="e">
        <f ca="1">[1]!BexGetData("DP_1","003N8EMH8GTFRIVOG7KG9IX8U","GSON1112150560")</f>
        <v>#NAME?</v>
      </c>
      <c r="O1918" s="28" t="e">
        <f ca="1">[1]!BexGetData("DP_1","003N8EMH8GTFRIVOG7KG9J3KE","GSON1112150560")</f>
        <v>#NAME?</v>
      </c>
      <c r="P1918" s="28" t="e">
        <f ca="1">[1]!BexGetData("DP_1","003N8EMH8GTFRIVOG7KG9J9VY","GSON1112150560")</f>
        <v>#NAME?</v>
      </c>
      <c r="Q1918" s="23" t="e">
        <f ca="1">[1]!BexGetData("DP_1","00O2TNJGODT0G5Z4TTKYMM5MT","GSON1112150560")</f>
        <v>#NAME?</v>
      </c>
      <c r="R1918" s="23" t="e">
        <f ca="1">[1]!BexGetData("DP_1","00O2TNJGODT0G5Z4TTKYMMBYD","GSON1112150560")</f>
        <v>#NAME?</v>
      </c>
      <c r="S1918" s="23" t="e">
        <f ca="1">[1]!BexGetData("DP_1","00O2TNJGODT0G5Z4TTKYMMI9X","GSON1112150560")</f>
        <v>#NAME?</v>
      </c>
      <c r="T1918" s="23" t="e">
        <f ca="1">[1]!BexGetData("DP_1","00O2TNJGODT0G5Z4TTKYMMOLH","GSON1112150560")</f>
        <v>#NAME?</v>
      </c>
      <c r="U1918" s="28" t="e">
        <f ca="1">[1]!BexGetData("DP_1","00O2TNJGODT0G5Z4TTKYMMUX1","GSON1112150560")</f>
        <v>#NAME?</v>
      </c>
      <c r="V1918" s="23" t="e">
        <f ca="1">[1]!BexGetData("DP_1","00O2TNJGODT0G5Z4TTKYMN18L","GSON1112150560")</f>
        <v>#NAME?</v>
      </c>
      <c r="W1918" s="28" t="e">
        <f ca="1">[1]!BexGetData("DP_1","00O2TNJGODT0G5Z4TTKYMN7K5","GSON1112150560")</f>
        <v>#NAME?</v>
      </c>
    </row>
    <row r="1919" spans="1:23" x14ac:dyDescent="0.2">
      <c r="A1919" s="36" t="s">
        <v>4868</v>
      </c>
      <c r="B1919" s="27" t="s">
        <v>4869</v>
      </c>
      <c r="C1919" s="24" t="e">
        <f ca="1">[1]!BexGetData("DP_1","003N8EMH8GTFRCSWKMPXRR8GU","GSON1112150564")</f>
        <v>#NAME?</v>
      </c>
      <c r="D1919" s="24" t="e">
        <f ca="1">[1]!BexGetData("DP_1","003N8EMH8GTFRCSWKMPXRRESE","GSON1112150564")</f>
        <v>#NAME?</v>
      </c>
      <c r="E1919" s="24" t="e">
        <f ca="1">[1]!BexGetData("DP_1","003N8EMH8GTFRCSWKMPXRRL3Y","GSON1112150564")</f>
        <v>#NAME?</v>
      </c>
      <c r="F1919" s="28" t="e">
        <f ca="1">[1]!BexGetData("DP_1","003N8EMH8GTFRCSWKMPXRRRFI","GSON1112150564")</f>
        <v>#NAME?</v>
      </c>
      <c r="G1919" s="23" t="e">
        <f ca="1">[1]!BexGetData("DP_1","003N8EMH8GTFRCSWKMPXRRXR2","GSON1112150564")</f>
        <v>#NAME?</v>
      </c>
      <c r="H1919" s="23" t="e">
        <f ca="1">[1]!BexGetData("DP_1","003N8EMH8GTFRCSWKMPXRS42M","GSON1112150564")</f>
        <v>#NAME?</v>
      </c>
      <c r="I1919" s="28" t="e">
        <f ca="1">[1]!BexGetData("DP_1","003N8EMH8GTFRCSWKMPXRSAE6","GSON1112150564")</f>
        <v>#NAME?</v>
      </c>
      <c r="J1919" s="24" t="e">
        <f ca="1">[1]!BexGetData("DP_1","003N8EMH8GTFRCSWKMPXRSGPQ","GSON1112150564")</f>
        <v>#NAME?</v>
      </c>
      <c r="K1919" s="28" t="e">
        <f ca="1">[1]!BexGetData("DP_1","003N8EMH8GTFRIVNUPY288VJH","GSON1112150564")</f>
        <v>#NAME?</v>
      </c>
      <c r="L1919" s="28" t="e">
        <f ca="1">[1]!BexGetData("DP_1","003N8EMH8GTFRIVNUPY2891V1","GSON1112150564")</f>
        <v>#NAME?</v>
      </c>
      <c r="M1919" s="28" t="e">
        <f ca="1">[1]!BexGetData("DP_1","003N8EMH8GTFRIVOG7KG9IQXA","GSON1112150564")</f>
        <v>#NAME?</v>
      </c>
      <c r="N1919" s="28" t="e">
        <f ca="1">[1]!BexGetData("DP_1","003N8EMH8GTFRIVOG7KG9IX8U","GSON1112150564")</f>
        <v>#NAME?</v>
      </c>
      <c r="O1919" s="28" t="e">
        <f ca="1">[1]!BexGetData("DP_1","003N8EMH8GTFRIVOG7KG9J3KE","GSON1112150564")</f>
        <v>#NAME?</v>
      </c>
      <c r="P1919" s="28" t="e">
        <f ca="1">[1]!BexGetData("DP_1","003N8EMH8GTFRIVOG7KG9J9VY","GSON1112150564")</f>
        <v>#NAME?</v>
      </c>
      <c r="Q1919" s="24" t="e">
        <f ca="1">[1]!BexGetData("DP_1","00O2TNJGODT0G5Z4TTKYMM5MT","GSON1112150564")</f>
        <v>#NAME?</v>
      </c>
      <c r="R1919" s="28" t="e">
        <f ca="1">[1]!BexGetData("DP_1","00O2TNJGODT0G5Z4TTKYMMBYD","GSON1112150564")</f>
        <v>#NAME?</v>
      </c>
      <c r="S1919" s="28" t="e">
        <f ca="1">[1]!BexGetData("DP_1","00O2TNJGODT0G5Z4TTKYMMI9X","GSON1112150564")</f>
        <v>#NAME?</v>
      </c>
      <c r="T1919" s="28" t="e">
        <f ca="1">[1]!BexGetData("DP_1","00O2TNJGODT0G5Z4TTKYMMOLH","GSON1112150564")</f>
        <v>#NAME?</v>
      </c>
      <c r="U1919" s="28" t="e">
        <f ca="1">[1]!BexGetData("DP_1","00O2TNJGODT0G5Z4TTKYMMUX1","GSON1112150564")</f>
        <v>#NAME?</v>
      </c>
      <c r="V1919" s="28" t="e">
        <f ca="1">[1]!BexGetData("DP_1","00O2TNJGODT0G5Z4TTKYMN18L","GSON1112150564")</f>
        <v>#NAME?</v>
      </c>
      <c r="W1919" s="28" t="e">
        <f ca="1">[1]!BexGetData("DP_1","00O2TNJGODT0G5Z4TTKYMN7K5","GSON1112150564")</f>
        <v>#NAME?</v>
      </c>
    </row>
    <row r="1920" spans="1:23" x14ac:dyDescent="0.2">
      <c r="A1920" s="36" t="s">
        <v>4870</v>
      </c>
      <c r="B1920" s="27" t="s">
        <v>4871</v>
      </c>
      <c r="C1920" s="28" t="e">
        <f ca="1">[1]!BexGetData("DP_1","003N8EMH8GTFRCSWKMPXRR8GU","GSON1112150565")</f>
        <v>#NAME?</v>
      </c>
      <c r="D1920" s="28" t="e">
        <f ca="1">[1]!BexGetData("DP_1","003N8EMH8GTFRCSWKMPXRRESE","GSON1112150565")</f>
        <v>#NAME?</v>
      </c>
      <c r="E1920" s="28" t="e">
        <f ca="1">[1]!BexGetData("DP_1","003N8EMH8GTFRCSWKMPXRRL3Y","GSON1112150565")</f>
        <v>#NAME?</v>
      </c>
      <c r="F1920" s="28" t="e">
        <f ca="1">[1]!BexGetData("DP_1","003N8EMH8GTFRCSWKMPXRRRFI","GSON1112150565")</f>
        <v>#NAME?</v>
      </c>
      <c r="G1920" s="23" t="e">
        <f ca="1">[1]!BexGetData("DP_1","003N8EMH8GTFRCSWKMPXRRXR2","GSON1112150565")</f>
        <v>#NAME?</v>
      </c>
      <c r="H1920" s="23" t="e">
        <f ca="1">[1]!BexGetData("DP_1","003N8EMH8GTFRCSWKMPXRS42M","GSON1112150565")</f>
        <v>#NAME?</v>
      </c>
      <c r="I1920" s="28" t="e">
        <f ca="1">[1]!BexGetData("DP_1","003N8EMH8GTFRCSWKMPXRSAE6","GSON1112150565")</f>
        <v>#NAME?</v>
      </c>
      <c r="J1920" s="24" t="e">
        <f ca="1">[1]!BexGetData("DP_1","003N8EMH8GTFRCSWKMPXRSGPQ","GSON1112150565")</f>
        <v>#NAME?</v>
      </c>
      <c r="K1920" s="28" t="e">
        <f ca="1">[1]!BexGetData("DP_1","003N8EMH8GTFRIVNUPY288VJH","GSON1112150565")</f>
        <v>#NAME?</v>
      </c>
      <c r="L1920" s="28" t="e">
        <f ca="1">[1]!BexGetData("DP_1","003N8EMH8GTFRIVNUPY2891V1","GSON1112150565")</f>
        <v>#NAME?</v>
      </c>
      <c r="M1920" s="28" t="e">
        <f ca="1">[1]!BexGetData("DP_1","003N8EMH8GTFRIVOG7KG9IQXA","GSON1112150565")</f>
        <v>#NAME?</v>
      </c>
      <c r="N1920" s="28" t="e">
        <f ca="1">[1]!BexGetData("DP_1","003N8EMH8GTFRIVOG7KG9IX8U","GSON1112150565")</f>
        <v>#NAME?</v>
      </c>
      <c r="O1920" s="28" t="e">
        <f ca="1">[1]!BexGetData("DP_1","003N8EMH8GTFRIVOG7KG9J3KE","GSON1112150565")</f>
        <v>#NAME?</v>
      </c>
      <c r="P1920" s="28" t="e">
        <f ca="1">[1]!BexGetData("DP_1","003N8EMH8GTFRIVOG7KG9J9VY","GSON1112150565")</f>
        <v>#NAME?</v>
      </c>
      <c r="Q1920" s="24" t="e">
        <f ca="1">[1]!BexGetData("DP_1","00O2TNJGODT0G5Z4TTKYMM5MT","GSON1112150565")</f>
        <v>#NAME?</v>
      </c>
      <c r="R1920" s="28" t="e">
        <f ca="1">[1]!BexGetData("DP_1","00O2TNJGODT0G5Z4TTKYMMBYD","GSON1112150565")</f>
        <v>#NAME?</v>
      </c>
      <c r="S1920" s="28" t="e">
        <f ca="1">[1]!BexGetData("DP_1","00O2TNJGODT0G5Z4TTKYMMI9X","GSON1112150565")</f>
        <v>#NAME?</v>
      </c>
      <c r="T1920" s="28" t="e">
        <f ca="1">[1]!BexGetData("DP_1","00O2TNJGODT0G5Z4TTKYMMOLH","GSON1112150565")</f>
        <v>#NAME?</v>
      </c>
      <c r="U1920" s="28" t="e">
        <f ca="1">[1]!BexGetData("DP_1","00O2TNJGODT0G5Z4TTKYMMUX1","GSON1112150565")</f>
        <v>#NAME?</v>
      </c>
      <c r="V1920" s="28" t="e">
        <f ca="1">[1]!BexGetData("DP_1","00O2TNJGODT0G5Z4TTKYMN18L","GSON1112150565")</f>
        <v>#NAME?</v>
      </c>
      <c r="W1920" s="28" t="e">
        <f ca="1">[1]!BexGetData("DP_1","00O2TNJGODT0G5Z4TTKYMN7K5","GSON1112150565")</f>
        <v>#NAME?</v>
      </c>
    </row>
    <row r="1921" spans="1:23" x14ac:dyDescent="0.2">
      <c r="A1921" s="36" t="s">
        <v>4872</v>
      </c>
      <c r="B1921" s="27" t="s">
        <v>4873</v>
      </c>
      <c r="C1921" s="28" t="e">
        <f ca="1">[1]!BexGetData("DP_1","003N8EMH8GTFRCSWKMPXRR8GU","GSON1112150590")</f>
        <v>#NAME?</v>
      </c>
      <c r="D1921" s="28" t="e">
        <f ca="1">[1]!BexGetData("DP_1","003N8EMH8GTFRCSWKMPXRRESE","GSON1112150590")</f>
        <v>#NAME?</v>
      </c>
      <c r="E1921" s="28" t="e">
        <f ca="1">[1]!BexGetData("DP_1","003N8EMH8GTFRCSWKMPXRRL3Y","GSON1112150590")</f>
        <v>#NAME?</v>
      </c>
      <c r="F1921" s="28" t="e">
        <f ca="1">[1]!BexGetData("DP_1","003N8EMH8GTFRCSWKMPXRRRFI","GSON1112150590")</f>
        <v>#NAME?</v>
      </c>
      <c r="G1921" s="23" t="e">
        <f ca="1">[1]!BexGetData("DP_1","003N8EMH8GTFRCSWKMPXRRXR2","GSON1112150590")</f>
        <v>#NAME?</v>
      </c>
      <c r="H1921" s="23" t="e">
        <f ca="1">[1]!BexGetData("DP_1","003N8EMH8GTFRCSWKMPXRS42M","GSON1112150590")</f>
        <v>#NAME?</v>
      </c>
      <c r="I1921" s="28" t="e">
        <f ca="1">[1]!BexGetData("DP_1","003N8EMH8GTFRCSWKMPXRSAE6","GSON1112150590")</f>
        <v>#NAME?</v>
      </c>
      <c r="J1921" s="23" t="e">
        <f ca="1">[1]!BexGetData("DP_1","003N8EMH8GTFRCSWKMPXRSGPQ","GSON1112150590")</f>
        <v>#NAME?</v>
      </c>
      <c r="K1921" s="28" t="e">
        <f ca="1">[1]!BexGetData("DP_1","003N8EMH8GTFRIVNUPY288VJH","GSON1112150590")</f>
        <v>#NAME?</v>
      </c>
      <c r="L1921" s="28" t="e">
        <f ca="1">[1]!BexGetData("DP_1","003N8EMH8GTFRIVNUPY2891V1","GSON1112150590")</f>
        <v>#NAME?</v>
      </c>
      <c r="M1921" s="28" t="e">
        <f ca="1">[1]!BexGetData("DP_1","003N8EMH8GTFRIVOG7KG9IQXA","GSON1112150590")</f>
        <v>#NAME?</v>
      </c>
      <c r="N1921" s="28" t="e">
        <f ca="1">[1]!BexGetData("DP_1","003N8EMH8GTFRIVOG7KG9IX8U","GSON1112150590")</f>
        <v>#NAME?</v>
      </c>
      <c r="O1921" s="28" t="e">
        <f ca="1">[1]!BexGetData("DP_1","003N8EMH8GTFRIVOG7KG9J3KE","GSON1112150590")</f>
        <v>#NAME?</v>
      </c>
      <c r="P1921" s="28" t="e">
        <f ca="1">[1]!BexGetData("DP_1","003N8EMH8GTFRIVOG7KG9J9VY","GSON1112150590")</f>
        <v>#NAME?</v>
      </c>
      <c r="Q1921" s="23" t="e">
        <f ca="1">[1]!BexGetData("DP_1","00O2TNJGODT0G5Z4TTKYMM5MT","GSON1112150590")</f>
        <v>#NAME?</v>
      </c>
      <c r="R1921" s="23" t="e">
        <f ca="1">[1]!BexGetData("DP_1","00O2TNJGODT0G5Z4TTKYMMBYD","GSON1112150590")</f>
        <v>#NAME?</v>
      </c>
      <c r="S1921" s="23" t="e">
        <f ca="1">[1]!BexGetData("DP_1","00O2TNJGODT0G5Z4TTKYMMI9X","GSON1112150590")</f>
        <v>#NAME?</v>
      </c>
      <c r="T1921" s="23" t="e">
        <f ca="1">[1]!BexGetData("DP_1","00O2TNJGODT0G5Z4TTKYMMOLH","GSON1112150590")</f>
        <v>#NAME?</v>
      </c>
      <c r="U1921" s="28" t="e">
        <f ca="1">[1]!BexGetData("DP_1","00O2TNJGODT0G5Z4TTKYMMUX1","GSON1112150590")</f>
        <v>#NAME?</v>
      </c>
      <c r="V1921" s="23" t="e">
        <f ca="1">[1]!BexGetData("DP_1","00O2TNJGODT0G5Z4TTKYMN18L","GSON1112150590")</f>
        <v>#NAME?</v>
      </c>
      <c r="W1921" s="28" t="e">
        <f ca="1">[1]!BexGetData("DP_1","00O2TNJGODT0G5Z4TTKYMN7K5","GSON1112150590")</f>
        <v>#NAME?</v>
      </c>
    </row>
    <row r="1922" spans="1:23" x14ac:dyDescent="0.2">
      <c r="A1922" s="36" t="s">
        <v>4874</v>
      </c>
      <c r="B1922" s="27" t="s">
        <v>4875</v>
      </c>
      <c r="C1922" s="23" t="e">
        <f ca="1">[1]!BexGetData("DP_1","003N8EMH8GTFRCSWKMPXRR8GU","GSON1112150591")</f>
        <v>#NAME?</v>
      </c>
      <c r="D1922" s="23" t="e">
        <f ca="1">[1]!BexGetData("DP_1","003N8EMH8GTFRCSWKMPXRRESE","GSON1112150591")</f>
        <v>#NAME?</v>
      </c>
      <c r="E1922" s="28" t="e">
        <f ca="1">[1]!BexGetData("DP_1","003N8EMH8GTFRCSWKMPXRRL3Y","GSON1112150591")</f>
        <v>#NAME?</v>
      </c>
      <c r="F1922" s="28" t="e">
        <f ca="1">[1]!BexGetData("DP_1","003N8EMH8GTFRCSWKMPXRRRFI","GSON1112150591")</f>
        <v>#NAME?</v>
      </c>
      <c r="G1922" s="23" t="e">
        <f ca="1">[1]!BexGetData("DP_1","003N8EMH8GTFRCSWKMPXRRXR2","GSON1112150591")</f>
        <v>#NAME?</v>
      </c>
      <c r="H1922" s="23" t="e">
        <f ca="1">[1]!BexGetData("DP_1","003N8EMH8GTFRCSWKMPXRS42M","GSON1112150591")</f>
        <v>#NAME?</v>
      </c>
      <c r="I1922" s="28" t="e">
        <f ca="1">[1]!BexGetData("DP_1","003N8EMH8GTFRCSWKMPXRSAE6","GSON1112150591")</f>
        <v>#NAME?</v>
      </c>
      <c r="J1922" s="24" t="e">
        <f ca="1">[1]!BexGetData("DP_1","003N8EMH8GTFRCSWKMPXRSGPQ","GSON1112150591")</f>
        <v>#NAME?</v>
      </c>
      <c r="K1922" s="28" t="e">
        <f ca="1">[1]!BexGetData("DP_1","003N8EMH8GTFRIVNUPY288VJH","GSON1112150591")</f>
        <v>#NAME?</v>
      </c>
      <c r="L1922" s="28" t="e">
        <f ca="1">[1]!BexGetData("DP_1","003N8EMH8GTFRIVNUPY2891V1","GSON1112150591")</f>
        <v>#NAME?</v>
      </c>
      <c r="M1922" s="28" t="e">
        <f ca="1">[1]!BexGetData("DP_1","003N8EMH8GTFRIVOG7KG9IQXA","GSON1112150591")</f>
        <v>#NAME?</v>
      </c>
      <c r="N1922" s="28" t="e">
        <f ca="1">[1]!BexGetData("DP_1","003N8EMH8GTFRIVOG7KG9IX8U","GSON1112150591")</f>
        <v>#NAME?</v>
      </c>
      <c r="O1922" s="28" t="e">
        <f ca="1">[1]!BexGetData("DP_1","003N8EMH8GTFRIVOG7KG9J3KE","GSON1112150591")</f>
        <v>#NAME?</v>
      </c>
      <c r="P1922" s="28" t="e">
        <f ca="1">[1]!BexGetData("DP_1","003N8EMH8GTFRIVOG7KG9J9VY","GSON1112150591")</f>
        <v>#NAME?</v>
      </c>
      <c r="Q1922" s="24" t="e">
        <f ca="1">[1]!BexGetData("DP_1","00O2TNJGODT0G5Z4TTKYMM5MT","GSON1112150591")</f>
        <v>#NAME?</v>
      </c>
      <c r="R1922" s="28" t="e">
        <f ca="1">[1]!BexGetData("DP_1","00O2TNJGODT0G5Z4TTKYMMBYD","GSON1112150591")</f>
        <v>#NAME?</v>
      </c>
      <c r="S1922" s="28" t="e">
        <f ca="1">[1]!BexGetData("DP_1","00O2TNJGODT0G5Z4TTKYMMI9X","GSON1112150591")</f>
        <v>#NAME?</v>
      </c>
      <c r="T1922" s="28" t="e">
        <f ca="1">[1]!BexGetData("DP_1","00O2TNJGODT0G5Z4TTKYMMOLH","GSON1112150591")</f>
        <v>#NAME?</v>
      </c>
      <c r="U1922" s="28" t="e">
        <f ca="1">[1]!BexGetData("DP_1","00O2TNJGODT0G5Z4TTKYMMUX1","GSON1112150591")</f>
        <v>#NAME?</v>
      </c>
      <c r="V1922" s="28" t="e">
        <f ca="1">[1]!BexGetData("DP_1","00O2TNJGODT0G5Z4TTKYMN18L","GSON1112150591")</f>
        <v>#NAME?</v>
      </c>
      <c r="W1922" s="28" t="e">
        <f ca="1">[1]!BexGetData("DP_1","00O2TNJGODT0G5Z4TTKYMN7K5","GSON1112150591")</f>
        <v>#NAME?</v>
      </c>
    </row>
    <row r="1923" spans="1:23" x14ac:dyDescent="0.2">
      <c r="A1923" s="36" t="s">
        <v>4876</v>
      </c>
      <c r="B1923" s="27" t="s">
        <v>4877</v>
      </c>
      <c r="C1923" s="24" t="e">
        <f ca="1">[1]!BexGetData("DP_1","003N8EMH8GTFRCSWKMPXRR8GU","GSON1112150593")</f>
        <v>#NAME?</v>
      </c>
      <c r="D1923" s="24" t="e">
        <f ca="1">[1]!BexGetData("DP_1","003N8EMH8GTFRCSWKMPXRRESE","GSON1112150593")</f>
        <v>#NAME?</v>
      </c>
      <c r="E1923" s="24" t="e">
        <f ca="1">[1]!BexGetData("DP_1","003N8EMH8GTFRCSWKMPXRRL3Y","GSON1112150593")</f>
        <v>#NAME?</v>
      </c>
      <c r="F1923" s="28" t="e">
        <f ca="1">[1]!BexGetData("DP_1","003N8EMH8GTFRCSWKMPXRRRFI","GSON1112150593")</f>
        <v>#NAME?</v>
      </c>
      <c r="G1923" s="23" t="e">
        <f ca="1">[1]!BexGetData("DP_1","003N8EMH8GTFRCSWKMPXRRXR2","GSON1112150593")</f>
        <v>#NAME?</v>
      </c>
      <c r="H1923" s="23" t="e">
        <f ca="1">[1]!BexGetData("DP_1","003N8EMH8GTFRCSWKMPXRS42M","GSON1112150593")</f>
        <v>#NAME?</v>
      </c>
      <c r="I1923" s="28" t="e">
        <f ca="1">[1]!BexGetData("DP_1","003N8EMH8GTFRCSWKMPXRSAE6","GSON1112150593")</f>
        <v>#NAME?</v>
      </c>
      <c r="J1923" s="24" t="e">
        <f ca="1">[1]!BexGetData("DP_1","003N8EMH8GTFRCSWKMPXRSGPQ","GSON1112150593")</f>
        <v>#NAME?</v>
      </c>
      <c r="K1923" s="28" t="e">
        <f ca="1">[1]!BexGetData("DP_1","003N8EMH8GTFRIVNUPY288VJH","GSON1112150593")</f>
        <v>#NAME?</v>
      </c>
      <c r="L1923" s="28" t="e">
        <f ca="1">[1]!BexGetData("DP_1","003N8EMH8GTFRIVNUPY2891V1","GSON1112150593")</f>
        <v>#NAME?</v>
      </c>
      <c r="M1923" s="28" t="e">
        <f ca="1">[1]!BexGetData("DP_1","003N8EMH8GTFRIVOG7KG9IQXA","GSON1112150593")</f>
        <v>#NAME?</v>
      </c>
      <c r="N1923" s="28" t="e">
        <f ca="1">[1]!BexGetData("DP_1","003N8EMH8GTFRIVOG7KG9IX8U","GSON1112150593")</f>
        <v>#NAME?</v>
      </c>
      <c r="O1923" s="28" t="e">
        <f ca="1">[1]!BexGetData("DP_1","003N8EMH8GTFRIVOG7KG9J3KE","GSON1112150593")</f>
        <v>#NAME?</v>
      </c>
      <c r="P1923" s="28" t="e">
        <f ca="1">[1]!BexGetData("DP_1","003N8EMH8GTFRIVOG7KG9J9VY","GSON1112150593")</f>
        <v>#NAME?</v>
      </c>
      <c r="Q1923" s="24" t="e">
        <f ca="1">[1]!BexGetData("DP_1","00O2TNJGODT0G5Z4TTKYMM5MT","GSON1112150593")</f>
        <v>#NAME?</v>
      </c>
      <c r="R1923" s="28" t="e">
        <f ca="1">[1]!BexGetData("DP_1","00O2TNJGODT0G5Z4TTKYMMBYD","GSON1112150593")</f>
        <v>#NAME?</v>
      </c>
      <c r="S1923" s="28" t="e">
        <f ca="1">[1]!BexGetData("DP_1","00O2TNJGODT0G5Z4TTKYMMI9X","GSON1112150593")</f>
        <v>#NAME?</v>
      </c>
      <c r="T1923" s="28" t="e">
        <f ca="1">[1]!BexGetData("DP_1","00O2TNJGODT0G5Z4TTKYMMOLH","GSON1112150593")</f>
        <v>#NAME?</v>
      </c>
      <c r="U1923" s="28" t="e">
        <f ca="1">[1]!BexGetData("DP_1","00O2TNJGODT0G5Z4TTKYMMUX1","GSON1112150593")</f>
        <v>#NAME?</v>
      </c>
      <c r="V1923" s="28" t="e">
        <f ca="1">[1]!BexGetData("DP_1","00O2TNJGODT0G5Z4TTKYMN18L","GSON1112150593")</f>
        <v>#NAME?</v>
      </c>
      <c r="W1923" s="28" t="e">
        <f ca="1">[1]!BexGetData("DP_1","00O2TNJGODT0G5Z4TTKYMN7K5","GSON1112150593")</f>
        <v>#NAME?</v>
      </c>
    </row>
    <row r="1924" spans="1:23" x14ac:dyDescent="0.2">
      <c r="A1924" s="36" t="s">
        <v>4878</v>
      </c>
      <c r="B1924" s="27" t="s">
        <v>4879</v>
      </c>
      <c r="C1924" s="24" t="e">
        <f ca="1">[1]!BexGetData("DP_1","003N8EMH8GTFRCSWKMPXRR8GU","GSON1112150594")</f>
        <v>#NAME?</v>
      </c>
      <c r="D1924" s="24" t="e">
        <f ca="1">[1]!BexGetData("DP_1","003N8EMH8GTFRCSWKMPXRRESE","GSON1112150594")</f>
        <v>#NAME?</v>
      </c>
      <c r="E1924" s="24" t="e">
        <f ca="1">[1]!BexGetData("DP_1","003N8EMH8GTFRCSWKMPXRRL3Y","GSON1112150594")</f>
        <v>#NAME?</v>
      </c>
      <c r="F1924" s="28" t="e">
        <f ca="1">[1]!BexGetData("DP_1","003N8EMH8GTFRCSWKMPXRRRFI","GSON1112150594")</f>
        <v>#NAME?</v>
      </c>
      <c r="G1924" s="23" t="e">
        <f ca="1">[1]!BexGetData("DP_1","003N8EMH8GTFRCSWKMPXRRXR2","GSON1112150594")</f>
        <v>#NAME?</v>
      </c>
      <c r="H1924" s="23" t="e">
        <f ca="1">[1]!BexGetData("DP_1","003N8EMH8GTFRCSWKMPXRS42M","GSON1112150594")</f>
        <v>#NAME?</v>
      </c>
      <c r="I1924" s="28" t="e">
        <f ca="1">[1]!BexGetData("DP_1","003N8EMH8GTFRCSWKMPXRSAE6","GSON1112150594")</f>
        <v>#NAME?</v>
      </c>
      <c r="J1924" s="24" t="e">
        <f ca="1">[1]!BexGetData("DP_1","003N8EMH8GTFRCSWKMPXRSGPQ","GSON1112150594")</f>
        <v>#NAME?</v>
      </c>
      <c r="K1924" s="28" t="e">
        <f ca="1">[1]!BexGetData("DP_1","003N8EMH8GTFRIVNUPY288VJH","GSON1112150594")</f>
        <v>#NAME?</v>
      </c>
      <c r="L1924" s="28" t="e">
        <f ca="1">[1]!BexGetData("DP_1","003N8EMH8GTFRIVNUPY2891V1","GSON1112150594")</f>
        <v>#NAME?</v>
      </c>
      <c r="M1924" s="28" t="e">
        <f ca="1">[1]!BexGetData("DP_1","003N8EMH8GTFRIVOG7KG9IQXA","GSON1112150594")</f>
        <v>#NAME?</v>
      </c>
      <c r="N1924" s="28" t="e">
        <f ca="1">[1]!BexGetData("DP_1","003N8EMH8GTFRIVOG7KG9IX8U","GSON1112150594")</f>
        <v>#NAME?</v>
      </c>
      <c r="O1924" s="28" t="e">
        <f ca="1">[1]!BexGetData("DP_1","003N8EMH8GTFRIVOG7KG9J3KE","GSON1112150594")</f>
        <v>#NAME?</v>
      </c>
      <c r="P1924" s="28" t="e">
        <f ca="1">[1]!BexGetData("DP_1","003N8EMH8GTFRIVOG7KG9J9VY","GSON1112150594")</f>
        <v>#NAME?</v>
      </c>
      <c r="Q1924" s="24" t="e">
        <f ca="1">[1]!BexGetData("DP_1","00O2TNJGODT0G5Z4TTKYMM5MT","GSON1112150594")</f>
        <v>#NAME?</v>
      </c>
      <c r="R1924" s="28" t="e">
        <f ca="1">[1]!BexGetData("DP_1","00O2TNJGODT0G5Z4TTKYMMBYD","GSON1112150594")</f>
        <v>#NAME?</v>
      </c>
      <c r="S1924" s="28" t="e">
        <f ca="1">[1]!BexGetData("DP_1","00O2TNJGODT0G5Z4TTKYMMI9X","GSON1112150594")</f>
        <v>#NAME?</v>
      </c>
      <c r="T1924" s="28" t="e">
        <f ca="1">[1]!BexGetData("DP_1","00O2TNJGODT0G5Z4TTKYMMOLH","GSON1112150594")</f>
        <v>#NAME?</v>
      </c>
      <c r="U1924" s="28" t="e">
        <f ca="1">[1]!BexGetData("DP_1","00O2TNJGODT0G5Z4TTKYMMUX1","GSON1112150594")</f>
        <v>#NAME?</v>
      </c>
      <c r="V1924" s="28" t="e">
        <f ca="1">[1]!BexGetData("DP_1","00O2TNJGODT0G5Z4TTKYMN18L","GSON1112150594")</f>
        <v>#NAME?</v>
      </c>
      <c r="W1924" s="28" t="e">
        <f ca="1">[1]!BexGetData("DP_1","00O2TNJGODT0G5Z4TTKYMN7K5","GSON1112150594")</f>
        <v>#NAME?</v>
      </c>
    </row>
    <row r="1925" spans="1:23" x14ac:dyDescent="0.2">
      <c r="A1925" s="36" t="s">
        <v>4880</v>
      </c>
      <c r="B1925" s="27" t="s">
        <v>4881</v>
      </c>
      <c r="C1925" s="28" t="e">
        <f ca="1">[1]!BexGetData("DP_1","003N8EMH8GTFRCSWKMPXRR8GU","GSON1112150595")</f>
        <v>#NAME?</v>
      </c>
      <c r="D1925" s="28" t="e">
        <f ca="1">[1]!BexGetData("DP_1","003N8EMH8GTFRCSWKMPXRRESE","GSON1112150595")</f>
        <v>#NAME?</v>
      </c>
      <c r="E1925" s="28" t="e">
        <f ca="1">[1]!BexGetData("DP_1","003N8EMH8GTFRCSWKMPXRRL3Y","GSON1112150595")</f>
        <v>#NAME?</v>
      </c>
      <c r="F1925" s="28" t="e">
        <f ca="1">[1]!BexGetData("DP_1","003N8EMH8GTFRCSWKMPXRRRFI","GSON1112150595")</f>
        <v>#NAME?</v>
      </c>
      <c r="G1925" s="23" t="e">
        <f ca="1">[1]!BexGetData("DP_1","003N8EMH8GTFRCSWKMPXRRXR2","GSON1112150595")</f>
        <v>#NAME?</v>
      </c>
      <c r="H1925" s="23" t="e">
        <f ca="1">[1]!BexGetData("DP_1","003N8EMH8GTFRCSWKMPXRS42M","GSON1112150595")</f>
        <v>#NAME?</v>
      </c>
      <c r="I1925" s="28" t="e">
        <f ca="1">[1]!BexGetData("DP_1","003N8EMH8GTFRCSWKMPXRSAE6","GSON1112150595")</f>
        <v>#NAME?</v>
      </c>
      <c r="J1925" s="24" t="e">
        <f ca="1">[1]!BexGetData("DP_1","003N8EMH8GTFRCSWKMPXRSGPQ","GSON1112150595")</f>
        <v>#NAME?</v>
      </c>
      <c r="K1925" s="28" t="e">
        <f ca="1">[1]!BexGetData("DP_1","003N8EMH8GTFRIVNUPY288VJH","GSON1112150595")</f>
        <v>#NAME?</v>
      </c>
      <c r="L1925" s="28" t="e">
        <f ca="1">[1]!BexGetData("DP_1","003N8EMH8GTFRIVNUPY2891V1","GSON1112150595")</f>
        <v>#NAME?</v>
      </c>
      <c r="M1925" s="28" t="e">
        <f ca="1">[1]!BexGetData("DP_1","003N8EMH8GTFRIVOG7KG9IQXA","GSON1112150595")</f>
        <v>#NAME?</v>
      </c>
      <c r="N1925" s="28" t="e">
        <f ca="1">[1]!BexGetData("DP_1","003N8EMH8GTFRIVOG7KG9IX8U","GSON1112150595")</f>
        <v>#NAME?</v>
      </c>
      <c r="O1925" s="28" t="e">
        <f ca="1">[1]!BexGetData("DP_1","003N8EMH8GTFRIVOG7KG9J3KE","GSON1112150595")</f>
        <v>#NAME?</v>
      </c>
      <c r="P1925" s="28" t="e">
        <f ca="1">[1]!BexGetData("DP_1","003N8EMH8GTFRIVOG7KG9J9VY","GSON1112150595")</f>
        <v>#NAME?</v>
      </c>
      <c r="Q1925" s="24" t="e">
        <f ca="1">[1]!BexGetData("DP_1","00O2TNJGODT0G5Z4TTKYMM5MT","GSON1112150595")</f>
        <v>#NAME?</v>
      </c>
      <c r="R1925" s="28" t="e">
        <f ca="1">[1]!BexGetData("DP_1","00O2TNJGODT0G5Z4TTKYMMBYD","GSON1112150595")</f>
        <v>#NAME?</v>
      </c>
      <c r="S1925" s="28" t="e">
        <f ca="1">[1]!BexGetData("DP_1","00O2TNJGODT0G5Z4TTKYMMI9X","GSON1112150595")</f>
        <v>#NAME?</v>
      </c>
      <c r="T1925" s="28" t="e">
        <f ca="1">[1]!BexGetData("DP_1","00O2TNJGODT0G5Z4TTKYMMOLH","GSON1112150595")</f>
        <v>#NAME?</v>
      </c>
      <c r="U1925" s="28" t="e">
        <f ca="1">[1]!BexGetData("DP_1","00O2TNJGODT0G5Z4TTKYMMUX1","GSON1112150595")</f>
        <v>#NAME?</v>
      </c>
      <c r="V1925" s="28" t="e">
        <f ca="1">[1]!BexGetData("DP_1","00O2TNJGODT0G5Z4TTKYMN18L","GSON1112150595")</f>
        <v>#NAME?</v>
      </c>
      <c r="W1925" s="28" t="e">
        <f ca="1">[1]!BexGetData("DP_1","00O2TNJGODT0G5Z4TTKYMN7K5","GSON1112150595")</f>
        <v>#NAME?</v>
      </c>
    </row>
    <row r="1926" spans="1:23" x14ac:dyDescent="0.2">
      <c r="A1926" s="36" t="s">
        <v>4882</v>
      </c>
      <c r="B1926" s="27" t="s">
        <v>4883</v>
      </c>
      <c r="C1926" s="23" t="e">
        <f ca="1">[1]!BexGetData("DP_1","003N8EMH8GTFRCSWKMPXRR8GU","GSON1112150600")</f>
        <v>#NAME?</v>
      </c>
      <c r="D1926" s="23" t="e">
        <f ca="1">[1]!BexGetData("DP_1","003N8EMH8GTFRCSWKMPXRRESE","GSON1112150600")</f>
        <v>#NAME?</v>
      </c>
      <c r="E1926" s="23" t="e">
        <f ca="1">[1]!BexGetData("DP_1","003N8EMH8GTFRCSWKMPXRRL3Y","GSON1112150600")</f>
        <v>#NAME?</v>
      </c>
      <c r="F1926" s="23" t="e">
        <f ca="1">[1]!BexGetData("DP_1","003N8EMH8GTFRCSWKMPXRRRFI","GSON1112150600")</f>
        <v>#NAME?</v>
      </c>
      <c r="G1926" s="23" t="e">
        <f ca="1">[1]!BexGetData("DP_1","003N8EMH8GTFRCSWKMPXRRXR2","GSON1112150600")</f>
        <v>#NAME?</v>
      </c>
      <c r="H1926" s="23" t="e">
        <f ca="1">[1]!BexGetData("DP_1","003N8EMH8GTFRCSWKMPXRS42M","GSON1112150600")</f>
        <v>#NAME?</v>
      </c>
      <c r="I1926" s="23" t="e">
        <f ca="1">[1]!BexGetData("DP_1","003N8EMH8GTFRCSWKMPXRSAE6","GSON1112150600")</f>
        <v>#NAME?</v>
      </c>
      <c r="J1926" s="23" t="e">
        <f ca="1">[1]!BexGetData("DP_1","003N8EMH8GTFRCSWKMPXRSGPQ","GSON1112150600")</f>
        <v>#NAME?</v>
      </c>
      <c r="K1926" s="23" t="e">
        <f ca="1">[1]!BexGetData("DP_1","003N8EMH8GTFRIVNUPY288VJH","GSON1112150600")</f>
        <v>#NAME?</v>
      </c>
      <c r="L1926" s="23" t="e">
        <f ca="1">[1]!BexGetData("DP_1","003N8EMH8GTFRIVNUPY2891V1","GSON1112150600")</f>
        <v>#NAME?</v>
      </c>
      <c r="M1926" s="28" t="e">
        <f ca="1">[1]!BexGetData("DP_1","003N8EMH8GTFRIVOG7KG9IQXA","GSON1112150600")</f>
        <v>#NAME?</v>
      </c>
      <c r="N1926" s="23" t="e">
        <f ca="1">[1]!BexGetData("DP_1","003N8EMH8GTFRIVOG7KG9IX8U","GSON1112150600")</f>
        <v>#NAME?</v>
      </c>
      <c r="O1926" s="28" t="e">
        <f ca="1">[1]!BexGetData("DP_1","003N8EMH8GTFRIVOG7KG9J3KE","GSON1112150600")</f>
        <v>#NAME?</v>
      </c>
      <c r="P1926" s="23" t="e">
        <f ca="1">[1]!BexGetData("DP_1","003N8EMH8GTFRIVOG7KG9J9VY","GSON1112150600")</f>
        <v>#NAME?</v>
      </c>
      <c r="Q1926" s="23" t="e">
        <f ca="1">[1]!BexGetData("DP_1","00O2TNJGODT0G5Z4TTKYMM5MT","GSON1112150600")</f>
        <v>#NAME?</v>
      </c>
      <c r="R1926" s="23" t="e">
        <f ca="1">[1]!BexGetData("DP_1","00O2TNJGODT0G5Z4TTKYMMBYD","GSON1112150600")</f>
        <v>#NAME?</v>
      </c>
      <c r="S1926" s="23" t="e">
        <f ca="1">[1]!BexGetData("DP_1","00O2TNJGODT0G5Z4TTKYMMI9X","GSON1112150600")</f>
        <v>#NAME?</v>
      </c>
      <c r="T1926" s="23" t="e">
        <f ca="1">[1]!BexGetData("DP_1","00O2TNJGODT0G5Z4TTKYMMOLH","GSON1112150600")</f>
        <v>#NAME?</v>
      </c>
      <c r="U1926" s="28" t="e">
        <f ca="1">[1]!BexGetData("DP_1","00O2TNJGODT0G5Z4TTKYMMUX1","GSON1112150600")</f>
        <v>#NAME?</v>
      </c>
      <c r="V1926" s="23" t="e">
        <f ca="1">[1]!BexGetData("DP_1","00O2TNJGODT0G5Z4TTKYMN18L","GSON1112150600")</f>
        <v>#NAME?</v>
      </c>
      <c r="W1926" s="28" t="e">
        <f ca="1">[1]!BexGetData("DP_1","00O2TNJGODT0G5Z4TTKYMN7K5","GSON1112150600")</f>
        <v>#NAME?</v>
      </c>
    </row>
    <row r="1927" spans="1:23" x14ac:dyDescent="0.2">
      <c r="A1927" s="36" t="s">
        <v>4884</v>
      </c>
      <c r="B1927" s="27" t="s">
        <v>4885</v>
      </c>
      <c r="C1927" s="23" t="e">
        <f ca="1">[1]!BexGetData("DP_1","003N8EMH8GTFRCSWKMPXRR8GU","GSON1112150601")</f>
        <v>#NAME?</v>
      </c>
      <c r="D1927" s="23" t="e">
        <f ca="1">[1]!BexGetData("DP_1","003N8EMH8GTFRCSWKMPXRRESE","GSON1112150601")</f>
        <v>#NAME?</v>
      </c>
      <c r="E1927" s="28" t="e">
        <f ca="1">[1]!BexGetData("DP_1","003N8EMH8GTFRCSWKMPXRRL3Y","GSON1112150601")</f>
        <v>#NAME?</v>
      </c>
      <c r="F1927" s="28" t="e">
        <f ca="1">[1]!BexGetData("DP_1","003N8EMH8GTFRCSWKMPXRRRFI","GSON1112150601")</f>
        <v>#NAME?</v>
      </c>
      <c r="G1927" s="23" t="e">
        <f ca="1">[1]!BexGetData("DP_1","003N8EMH8GTFRCSWKMPXRRXR2","GSON1112150601")</f>
        <v>#NAME?</v>
      </c>
      <c r="H1927" s="23" t="e">
        <f ca="1">[1]!BexGetData("DP_1","003N8EMH8GTFRCSWKMPXRS42M","GSON1112150601")</f>
        <v>#NAME?</v>
      </c>
      <c r="I1927" s="28" t="e">
        <f ca="1">[1]!BexGetData("DP_1","003N8EMH8GTFRCSWKMPXRSAE6","GSON1112150601")</f>
        <v>#NAME?</v>
      </c>
      <c r="J1927" s="24" t="e">
        <f ca="1">[1]!BexGetData("DP_1","003N8EMH8GTFRCSWKMPXRSGPQ","GSON1112150601")</f>
        <v>#NAME?</v>
      </c>
      <c r="K1927" s="28" t="e">
        <f ca="1">[1]!BexGetData("DP_1","003N8EMH8GTFRIVNUPY288VJH","GSON1112150601")</f>
        <v>#NAME?</v>
      </c>
      <c r="L1927" s="28" t="e">
        <f ca="1">[1]!BexGetData("DP_1","003N8EMH8GTFRIVNUPY2891V1","GSON1112150601")</f>
        <v>#NAME?</v>
      </c>
      <c r="M1927" s="28" t="e">
        <f ca="1">[1]!BexGetData("DP_1","003N8EMH8GTFRIVOG7KG9IQXA","GSON1112150601")</f>
        <v>#NAME?</v>
      </c>
      <c r="N1927" s="28" t="e">
        <f ca="1">[1]!BexGetData("DP_1","003N8EMH8GTFRIVOG7KG9IX8U","GSON1112150601")</f>
        <v>#NAME?</v>
      </c>
      <c r="O1927" s="28" t="e">
        <f ca="1">[1]!BexGetData("DP_1","003N8EMH8GTFRIVOG7KG9J3KE","GSON1112150601")</f>
        <v>#NAME?</v>
      </c>
      <c r="P1927" s="28" t="e">
        <f ca="1">[1]!BexGetData("DP_1","003N8EMH8GTFRIVOG7KG9J9VY","GSON1112150601")</f>
        <v>#NAME?</v>
      </c>
      <c r="Q1927" s="24" t="e">
        <f ca="1">[1]!BexGetData("DP_1","00O2TNJGODT0G5Z4TTKYMM5MT","GSON1112150601")</f>
        <v>#NAME?</v>
      </c>
      <c r="R1927" s="28" t="e">
        <f ca="1">[1]!BexGetData("DP_1","00O2TNJGODT0G5Z4TTKYMMBYD","GSON1112150601")</f>
        <v>#NAME?</v>
      </c>
      <c r="S1927" s="28" t="e">
        <f ca="1">[1]!BexGetData("DP_1","00O2TNJGODT0G5Z4TTKYMMI9X","GSON1112150601")</f>
        <v>#NAME?</v>
      </c>
      <c r="T1927" s="28" t="e">
        <f ca="1">[1]!BexGetData("DP_1","00O2TNJGODT0G5Z4TTKYMMOLH","GSON1112150601")</f>
        <v>#NAME?</v>
      </c>
      <c r="U1927" s="28" t="e">
        <f ca="1">[1]!BexGetData("DP_1","00O2TNJGODT0G5Z4TTKYMMUX1","GSON1112150601")</f>
        <v>#NAME?</v>
      </c>
      <c r="V1927" s="28" t="e">
        <f ca="1">[1]!BexGetData("DP_1","00O2TNJGODT0G5Z4TTKYMN18L","GSON1112150601")</f>
        <v>#NAME?</v>
      </c>
      <c r="W1927" s="28" t="e">
        <f ca="1">[1]!BexGetData("DP_1","00O2TNJGODT0G5Z4TTKYMN7K5","GSON1112150601")</f>
        <v>#NAME?</v>
      </c>
    </row>
    <row r="1928" spans="1:23" x14ac:dyDescent="0.2">
      <c r="A1928" s="36" t="s">
        <v>4886</v>
      </c>
      <c r="B1928" s="27" t="s">
        <v>4887</v>
      </c>
      <c r="C1928" s="23" t="e">
        <f ca="1">[1]!BexGetData("DP_1","003N8EMH8GTFRCSWKMPXRR8GU","GSON1112150603")</f>
        <v>#NAME?</v>
      </c>
      <c r="D1928" s="23" t="e">
        <f ca="1">[1]!BexGetData("DP_1","003N8EMH8GTFRCSWKMPXRRESE","GSON1112150603")</f>
        <v>#NAME?</v>
      </c>
      <c r="E1928" s="28" t="e">
        <f ca="1">[1]!BexGetData("DP_1","003N8EMH8GTFRCSWKMPXRRL3Y","GSON1112150603")</f>
        <v>#NAME?</v>
      </c>
      <c r="F1928" s="28" t="e">
        <f ca="1">[1]!BexGetData("DP_1","003N8EMH8GTFRCSWKMPXRRRFI","GSON1112150603")</f>
        <v>#NAME?</v>
      </c>
      <c r="G1928" s="23" t="e">
        <f ca="1">[1]!BexGetData("DP_1","003N8EMH8GTFRCSWKMPXRRXR2","GSON1112150603")</f>
        <v>#NAME?</v>
      </c>
      <c r="H1928" s="23" t="e">
        <f ca="1">[1]!BexGetData("DP_1","003N8EMH8GTFRCSWKMPXRS42M","GSON1112150603")</f>
        <v>#NAME?</v>
      </c>
      <c r="I1928" s="28" t="e">
        <f ca="1">[1]!BexGetData("DP_1","003N8EMH8GTFRCSWKMPXRSAE6","GSON1112150603")</f>
        <v>#NAME?</v>
      </c>
      <c r="J1928" s="24" t="e">
        <f ca="1">[1]!BexGetData("DP_1","003N8EMH8GTFRCSWKMPXRSGPQ","GSON1112150603")</f>
        <v>#NAME?</v>
      </c>
      <c r="K1928" s="28" t="e">
        <f ca="1">[1]!BexGetData("DP_1","003N8EMH8GTFRIVNUPY288VJH","GSON1112150603")</f>
        <v>#NAME?</v>
      </c>
      <c r="L1928" s="28" t="e">
        <f ca="1">[1]!BexGetData("DP_1","003N8EMH8GTFRIVNUPY2891V1","GSON1112150603")</f>
        <v>#NAME?</v>
      </c>
      <c r="M1928" s="28" t="e">
        <f ca="1">[1]!BexGetData("DP_1","003N8EMH8GTFRIVOG7KG9IQXA","GSON1112150603")</f>
        <v>#NAME?</v>
      </c>
      <c r="N1928" s="28" t="e">
        <f ca="1">[1]!BexGetData("DP_1","003N8EMH8GTFRIVOG7KG9IX8U","GSON1112150603")</f>
        <v>#NAME?</v>
      </c>
      <c r="O1928" s="28" t="e">
        <f ca="1">[1]!BexGetData("DP_1","003N8EMH8GTFRIVOG7KG9J3KE","GSON1112150603")</f>
        <v>#NAME?</v>
      </c>
      <c r="P1928" s="28" t="e">
        <f ca="1">[1]!BexGetData("DP_1","003N8EMH8GTFRIVOG7KG9J9VY","GSON1112150603")</f>
        <v>#NAME?</v>
      </c>
      <c r="Q1928" s="24" t="e">
        <f ca="1">[1]!BexGetData("DP_1","00O2TNJGODT0G5Z4TTKYMM5MT","GSON1112150603")</f>
        <v>#NAME?</v>
      </c>
      <c r="R1928" s="28" t="e">
        <f ca="1">[1]!BexGetData("DP_1","00O2TNJGODT0G5Z4TTKYMMBYD","GSON1112150603")</f>
        <v>#NAME?</v>
      </c>
      <c r="S1928" s="28" t="e">
        <f ca="1">[1]!BexGetData("DP_1","00O2TNJGODT0G5Z4TTKYMMI9X","GSON1112150603")</f>
        <v>#NAME?</v>
      </c>
      <c r="T1928" s="28" t="e">
        <f ca="1">[1]!BexGetData("DP_1","00O2TNJGODT0G5Z4TTKYMMOLH","GSON1112150603")</f>
        <v>#NAME?</v>
      </c>
      <c r="U1928" s="28" t="e">
        <f ca="1">[1]!BexGetData("DP_1","00O2TNJGODT0G5Z4TTKYMMUX1","GSON1112150603")</f>
        <v>#NAME?</v>
      </c>
      <c r="V1928" s="28" t="e">
        <f ca="1">[1]!BexGetData("DP_1","00O2TNJGODT0G5Z4TTKYMN18L","GSON1112150603")</f>
        <v>#NAME?</v>
      </c>
      <c r="W1928" s="28" t="e">
        <f ca="1">[1]!BexGetData("DP_1","00O2TNJGODT0G5Z4TTKYMN7K5","GSON1112150603")</f>
        <v>#NAME?</v>
      </c>
    </row>
    <row r="1929" spans="1:23" x14ac:dyDescent="0.2">
      <c r="A1929" s="36" t="s">
        <v>4888</v>
      </c>
      <c r="B1929" s="27" t="s">
        <v>4889</v>
      </c>
      <c r="C1929" s="24" t="e">
        <f ca="1">[1]!BexGetData("DP_1","003N8EMH8GTFRCSWKMPXRR8GU","GSON1112150604")</f>
        <v>#NAME?</v>
      </c>
      <c r="D1929" s="24" t="e">
        <f ca="1">[1]!BexGetData("DP_1","003N8EMH8GTFRCSWKMPXRRESE","GSON1112150604")</f>
        <v>#NAME?</v>
      </c>
      <c r="E1929" s="24" t="e">
        <f ca="1">[1]!BexGetData("DP_1","003N8EMH8GTFRCSWKMPXRRL3Y","GSON1112150604")</f>
        <v>#NAME?</v>
      </c>
      <c r="F1929" s="28" t="e">
        <f ca="1">[1]!BexGetData("DP_1","003N8EMH8GTFRCSWKMPXRRRFI","GSON1112150604")</f>
        <v>#NAME?</v>
      </c>
      <c r="G1929" s="23" t="e">
        <f ca="1">[1]!BexGetData("DP_1","003N8EMH8GTFRCSWKMPXRRXR2","GSON1112150604")</f>
        <v>#NAME?</v>
      </c>
      <c r="H1929" s="23" t="e">
        <f ca="1">[1]!BexGetData("DP_1","003N8EMH8GTFRCSWKMPXRS42M","GSON1112150604")</f>
        <v>#NAME?</v>
      </c>
      <c r="I1929" s="28" t="e">
        <f ca="1">[1]!BexGetData("DP_1","003N8EMH8GTFRCSWKMPXRSAE6","GSON1112150604")</f>
        <v>#NAME?</v>
      </c>
      <c r="J1929" s="24" t="e">
        <f ca="1">[1]!BexGetData("DP_1","003N8EMH8GTFRCSWKMPXRSGPQ","GSON1112150604")</f>
        <v>#NAME?</v>
      </c>
      <c r="K1929" s="28" t="e">
        <f ca="1">[1]!BexGetData("DP_1","003N8EMH8GTFRIVNUPY288VJH","GSON1112150604")</f>
        <v>#NAME?</v>
      </c>
      <c r="L1929" s="28" t="e">
        <f ca="1">[1]!BexGetData("DP_1","003N8EMH8GTFRIVNUPY2891V1","GSON1112150604")</f>
        <v>#NAME?</v>
      </c>
      <c r="M1929" s="28" t="e">
        <f ca="1">[1]!BexGetData("DP_1","003N8EMH8GTFRIVOG7KG9IQXA","GSON1112150604")</f>
        <v>#NAME?</v>
      </c>
      <c r="N1929" s="28" t="e">
        <f ca="1">[1]!BexGetData("DP_1","003N8EMH8GTFRIVOG7KG9IX8U","GSON1112150604")</f>
        <v>#NAME?</v>
      </c>
      <c r="O1929" s="28" t="e">
        <f ca="1">[1]!BexGetData("DP_1","003N8EMH8GTFRIVOG7KG9J3KE","GSON1112150604")</f>
        <v>#NAME?</v>
      </c>
      <c r="P1929" s="28" t="e">
        <f ca="1">[1]!BexGetData("DP_1","003N8EMH8GTFRIVOG7KG9J9VY","GSON1112150604")</f>
        <v>#NAME?</v>
      </c>
      <c r="Q1929" s="24" t="e">
        <f ca="1">[1]!BexGetData("DP_1","00O2TNJGODT0G5Z4TTKYMM5MT","GSON1112150604")</f>
        <v>#NAME?</v>
      </c>
      <c r="R1929" s="28" t="e">
        <f ca="1">[1]!BexGetData("DP_1","00O2TNJGODT0G5Z4TTKYMMBYD","GSON1112150604")</f>
        <v>#NAME?</v>
      </c>
      <c r="S1929" s="28" t="e">
        <f ca="1">[1]!BexGetData("DP_1","00O2TNJGODT0G5Z4TTKYMMI9X","GSON1112150604")</f>
        <v>#NAME?</v>
      </c>
      <c r="T1929" s="28" t="e">
        <f ca="1">[1]!BexGetData("DP_1","00O2TNJGODT0G5Z4TTKYMMOLH","GSON1112150604")</f>
        <v>#NAME?</v>
      </c>
      <c r="U1929" s="28" t="e">
        <f ca="1">[1]!BexGetData("DP_1","00O2TNJGODT0G5Z4TTKYMMUX1","GSON1112150604")</f>
        <v>#NAME?</v>
      </c>
      <c r="V1929" s="28" t="e">
        <f ca="1">[1]!BexGetData("DP_1","00O2TNJGODT0G5Z4TTKYMN18L","GSON1112150604")</f>
        <v>#NAME?</v>
      </c>
      <c r="W1929" s="28" t="e">
        <f ca="1">[1]!BexGetData("DP_1","00O2TNJGODT0G5Z4TTKYMN7K5","GSON1112150604")</f>
        <v>#NAME?</v>
      </c>
    </row>
    <row r="1930" spans="1:23" x14ac:dyDescent="0.2">
      <c r="A1930" s="36" t="s">
        <v>4890</v>
      </c>
      <c r="B1930" s="27" t="s">
        <v>4891</v>
      </c>
      <c r="C1930" s="23" t="e">
        <f ca="1">[1]!BexGetData("DP_1","003N8EMH8GTFRCSWKMPXRR8GU","GSON1112150605")</f>
        <v>#NAME?</v>
      </c>
      <c r="D1930" s="23" t="e">
        <f ca="1">[1]!BexGetData("DP_1","003N8EMH8GTFRCSWKMPXRRESE","GSON1112150605")</f>
        <v>#NAME?</v>
      </c>
      <c r="E1930" s="28" t="e">
        <f ca="1">[1]!BexGetData("DP_1","003N8EMH8GTFRCSWKMPXRRL3Y","GSON1112150605")</f>
        <v>#NAME?</v>
      </c>
      <c r="F1930" s="28" t="e">
        <f ca="1">[1]!BexGetData("DP_1","003N8EMH8GTFRCSWKMPXRRRFI","GSON1112150605")</f>
        <v>#NAME?</v>
      </c>
      <c r="G1930" s="23" t="e">
        <f ca="1">[1]!BexGetData("DP_1","003N8EMH8GTFRCSWKMPXRRXR2","GSON1112150605")</f>
        <v>#NAME?</v>
      </c>
      <c r="H1930" s="23" t="e">
        <f ca="1">[1]!BexGetData("DP_1","003N8EMH8GTFRCSWKMPXRS42M","GSON1112150605")</f>
        <v>#NAME?</v>
      </c>
      <c r="I1930" s="28" t="e">
        <f ca="1">[1]!BexGetData("DP_1","003N8EMH8GTFRCSWKMPXRSAE6","GSON1112150605")</f>
        <v>#NAME?</v>
      </c>
      <c r="J1930" s="24" t="e">
        <f ca="1">[1]!BexGetData("DP_1","003N8EMH8GTFRCSWKMPXRSGPQ","GSON1112150605")</f>
        <v>#NAME?</v>
      </c>
      <c r="K1930" s="28" t="e">
        <f ca="1">[1]!BexGetData("DP_1","003N8EMH8GTFRIVNUPY288VJH","GSON1112150605")</f>
        <v>#NAME?</v>
      </c>
      <c r="L1930" s="28" t="e">
        <f ca="1">[1]!BexGetData("DP_1","003N8EMH8GTFRIVNUPY2891V1","GSON1112150605")</f>
        <v>#NAME?</v>
      </c>
      <c r="M1930" s="28" t="e">
        <f ca="1">[1]!BexGetData("DP_1","003N8EMH8GTFRIVOG7KG9IQXA","GSON1112150605")</f>
        <v>#NAME?</v>
      </c>
      <c r="N1930" s="28" t="e">
        <f ca="1">[1]!BexGetData("DP_1","003N8EMH8GTFRIVOG7KG9IX8U","GSON1112150605")</f>
        <v>#NAME?</v>
      </c>
      <c r="O1930" s="28" t="e">
        <f ca="1">[1]!BexGetData("DP_1","003N8EMH8GTFRIVOG7KG9J3KE","GSON1112150605")</f>
        <v>#NAME?</v>
      </c>
      <c r="P1930" s="28" t="e">
        <f ca="1">[1]!BexGetData("DP_1","003N8EMH8GTFRIVOG7KG9J9VY","GSON1112150605")</f>
        <v>#NAME?</v>
      </c>
      <c r="Q1930" s="24" t="e">
        <f ca="1">[1]!BexGetData("DP_1","00O2TNJGODT0G5Z4TTKYMM5MT","GSON1112150605")</f>
        <v>#NAME?</v>
      </c>
      <c r="R1930" s="28" t="e">
        <f ca="1">[1]!BexGetData("DP_1","00O2TNJGODT0G5Z4TTKYMMBYD","GSON1112150605")</f>
        <v>#NAME?</v>
      </c>
      <c r="S1930" s="28" t="e">
        <f ca="1">[1]!BexGetData("DP_1","00O2TNJGODT0G5Z4TTKYMMI9X","GSON1112150605")</f>
        <v>#NAME?</v>
      </c>
      <c r="T1930" s="28" t="e">
        <f ca="1">[1]!BexGetData("DP_1","00O2TNJGODT0G5Z4TTKYMMOLH","GSON1112150605")</f>
        <v>#NAME?</v>
      </c>
      <c r="U1930" s="28" t="e">
        <f ca="1">[1]!BexGetData("DP_1","00O2TNJGODT0G5Z4TTKYMMUX1","GSON1112150605")</f>
        <v>#NAME?</v>
      </c>
      <c r="V1930" s="28" t="e">
        <f ca="1">[1]!BexGetData("DP_1","00O2TNJGODT0G5Z4TTKYMN18L","GSON1112150605")</f>
        <v>#NAME?</v>
      </c>
      <c r="W1930" s="28" t="e">
        <f ca="1">[1]!BexGetData("DP_1","00O2TNJGODT0G5Z4TTKYMN7K5","GSON1112150605")</f>
        <v>#NAME?</v>
      </c>
    </row>
    <row r="1931" spans="1:23" x14ac:dyDescent="0.2">
      <c r="A1931" s="36" t="s">
        <v>1159</v>
      </c>
      <c r="B1931" s="27" t="s">
        <v>1160</v>
      </c>
      <c r="C1931" s="23" t="e">
        <f ca="1">[1]!BexGetData("DP_1","003N8EMH8GTFRCSWKMPXRR8GU","GSON1112150660")</f>
        <v>#NAME?</v>
      </c>
      <c r="D1931" s="23" t="e">
        <f ca="1">[1]!BexGetData("DP_1","003N8EMH8GTFRCSWKMPXRRESE","GSON1112150660")</f>
        <v>#NAME?</v>
      </c>
      <c r="E1931" s="23" t="e">
        <f ca="1">[1]!BexGetData("DP_1","003N8EMH8GTFRCSWKMPXRRL3Y","GSON1112150660")</f>
        <v>#NAME?</v>
      </c>
      <c r="F1931" s="23" t="e">
        <f ca="1">[1]!BexGetData("DP_1","003N8EMH8GTFRCSWKMPXRRRFI","GSON1112150660")</f>
        <v>#NAME?</v>
      </c>
      <c r="G1931" s="23" t="e">
        <f ca="1">[1]!BexGetData("DP_1","003N8EMH8GTFRCSWKMPXRRXR2","GSON1112150660")</f>
        <v>#NAME?</v>
      </c>
      <c r="H1931" s="23" t="e">
        <f ca="1">[1]!BexGetData("DP_1","003N8EMH8GTFRCSWKMPXRS42M","GSON1112150660")</f>
        <v>#NAME?</v>
      </c>
      <c r="I1931" s="23" t="e">
        <f ca="1">[1]!BexGetData("DP_1","003N8EMH8GTFRCSWKMPXRSAE6","GSON1112150660")</f>
        <v>#NAME?</v>
      </c>
      <c r="J1931" s="23" t="e">
        <f ca="1">[1]!BexGetData("DP_1","003N8EMH8GTFRCSWKMPXRSGPQ","GSON1112150660")</f>
        <v>#NAME?</v>
      </c>
      <c r="K1931" s="23" t="e">
        <f ca="1">[1]!BexGetData("DP_1","003N8EMH8GTFRIVNUPY288VJH","GSON1112150660")</f>
        <v>#NAME?</v>
      </c>
      <c r="L1931" s="23" t="e">
        <f ca="1">[1]!BexGetData("DP_1","003N8EMH8GTFRIVNUPY2891V1","GSON1112150660")</f>
        <v>#NAME?</v>
      </c>
      <c r="M1931" s="28" t="e">
        <f ca="1">[1]!BexGetData("DP_1","003N8EMH8GTFRIVOG7KG9IQXA","GSON1112150660")</f>
        <v>#NAME?</v>
      </c>
      <c r="N1931" s="23" t="e">
        <f ca="1">[1]!BexGetData("DP_1","003N8EMH8GTFRIVOG7KG9IX8U","GSON1112150660")</f>
        <v>#NAME?</v>
      </c>
      <c r="O1931" s="28" t="e">
        <f ca="1">[1]!BexGetData("DP_1","003N8EMH8GTFRIVOG7KG9J3KE","GSON1112150660")</f>
        <v>#NAME?</v>
      </c>
      <c r="P1931" s="23" t="e">
        <f ca="1">[1]!BexGetData("DP_1","003N8EMH8GTFRIVOG7KG9J9VY","GSON1112150660")</f>
        <v>#NAME?</v>
      </c>
      <c r="Q1931" s="23" t="e">
        <f ca="1">[1]!BexGetData("DP_1","00O2TNJGODT0G5Z4TTKYMM5MT","GSON1112150660")</f>
        <v>#NAME?</v>
      </c>
      <c r="R1931" s="23" t="e">
        <f ca="1">[1]!BexGetData("DP_1","00O2TNJGODT0G5Z4TTKYMMBYD","GSON1112150660")</f>
        <v>#NAME?</v>
      </c>
      <c r="S1931" s="23" t="e">
        <f ca="1">[1]!BexGetData("DP_1","00O2TNJGODT0G5Z4TTKYMMI9X","GSON1112150660")</f>
        <v>#NAME?</v>
      </c>
      <c r="T1931" s="28" t="e">
        <f ca="1">[1]!BexGetData("DP_1","00O2TNJGODT0G5Z4TTKYMMOLH","GSON1112150660")</f>
        <v>#NAME?</v>
      </c>
      <c r="U1931" s="23" t="e">
        <f ca="1">[1]!BexGetData("DP_1","00O2TNJGODT0G5Z4TTKYMMUX1","GSON1112150660")</f>
        <v>#NAME?</v>
      </c>
      <c r="V1931" s="28" t="e">
        <f ca="1">[1]!BexGetData("DP_1","00O2TNJGODT0G5Z4TTKYMN18L","GSON1112150660")</f>
        <v>#NAME?</v>
      </c>
      <c r="W1931" s="23" t="e">
        <f ca="1">[1]!BexGetData("DP_1","00O2TNJGODT0G5Z4TTKYMN7K5","GSON1112150660")</f>
        <v>#NAME?</v>
      </c>
    </row>
    <row r="1932" spans="1:23" x14ac:dyDescent="0.2">
      <c r="A1932" s="36" t="s">
        <v>1161</v>
      </c>
      <c r="B1932" s="27" t="s">
        <v>1162</v>
      </c>
      <c r="C1932" s="23" t="e">
        <f ca="1">[1]!BexGetData("DP_1","003N8EMH8GTFRCSWKMPXRR8GU","GSON1112150661")</f>
        <v>#NAME?</v>
      </c>
      <c r="D1932" s="23" t="e">
        <f ca="1">[1]!BexGetData("DP_1","003N8EMH8GTFRCSWKMPXRRESE","GSON1112150661")</f>
        <v>#NAME?</v>
      </c>
      <c r="E1932" s="23" t="e">
        <f ca="1">[1]!BexGetData("DP_1","003N8EMH8GTFRCSWKMPXRRL3Y","GSON1112150661")</f>
        <v>#NAME?</v>
      </c>
      <c r="F1932" s="28" t="e">
        <f ca="1">[1]!BexGetData("DP_1","003N8EMH8GTFRCSWKMPXRRRFI","GSON1112150661")</f>
        <v>#NAME?</v>
      </c>
      <c r="G1932" s="23" t="e">
        <f ca="1">[1]!BexGetData("DP_1","003N8EMH8GTFRCSWKMPXRRXR2","GSON1112150661")</f>
        <v>#NAME?</v>
      </c>
      <c r="H1932" s="23" t="e">
        <f ca="1">[1]!BexGetData("DP_1","003N8EMH8GTFRCSWKMPXRS42M","GSON1112150661")</f>
        <v>#NAME?</v>
      </c>
      <c r="I1932" s="28" t="e">
        <f ca="1">[1]!BexGetData("DP_1","003N8EMH8GTFRCSWKMPXRSAE6","GSON1112150661")</f>
        <v>#NAME?</v>
      </c>
      <c r="J1932" s="24" t="e">
        <f ca="1">[1]!BexGetData("DP_1","003N8EMH8GTFRCSWKMPXRSGPQ","GSON1112150661")</f>
        <v>#NAME?</v>
      </c>
      <c r="K1932" s="23" t="e">
        <f ca="1">[1]!BexGetData("DP_1","003N8EMH8GTFRIVNUPY288VJH","GSON1112150661")</f>
        <v>#NAME?</v>
      </c>
      <c r="L1932" s="23" t="e">
        <f ca="1">[1]!BexGetData("DP_1","003N8EMH8GTFRIVNUPY2891V1","GSON1112150661")</f>
        <v>#NAME?</v>
      </c>
      <c r="M1932" s="23" t="e">
        <f ca="1">[1]!BexGetData("DP_1","003N8EMH8GTFRIVOG7KG9IQXA","GSON1112150661")</f>
        <v>#NAME?</v>
      </c>
      <c r="N1932" s="28" t="e">
        <f ca="1">[1]!BexGetData("DP_1","003N8EMH8GTFRIVOG7KG9IX8U","GSON1112150661")</f>
        <v>#NAME?</v>
      </c>
      <c r="O1932" s="23" t="e">
        <f ca="1">[1]!BexGetData("DP_1","003N8EMH8GTFRIVOG7KG9J3KE","GSON1112150661")</f>
        <v>#NAME?</v>
      </c>
      <c r="P1932" s="28" t="e">
        <f ca="1">[1]!BexGetData("DP_1","003N8EMH8GTFRIVOG7KG9J9VY","GSON1112150661")</f>
        <v>#NAME?</v>
      </c>
      <c r="Q1932" s="24" t="e">
        <f ca="1">[1]!BexGetData("DP_1","00O2TNJGODT0G5Z4TTKYMM5MT","GSON1112150661")</f>
        <v>#NAME?</v>
      </c>
      <c r="R1932" s="28" t="e">
        <f ca="1">[1]!BexGetData("DP_1","00O2TNJGODT0G5Z4TTKYMMBYD","GSON1112150661")</f>
        <v>#NAME?</v>
      </c>
      <c r="S1932" s="28" t="e">
        <f ca="1">[1]!BexGetData("DP_1","00O2TNJGODT0G5Z4TTKYMMI9X","GSON1112150661")</f>
        <v>#NAME?</v>
      </c>
      <c r="T1932" s="28" t="e">
        <f ca="1">[1]!BexGetData("DP_1","00O2TNJGODT0G5Z4TTKYMMOLH","GSON1112150661")</f>
        <v>#NAME?</v>
      </c>
      <c r="U1932" s="28" t="e">
        <f ca="1">[1]!BexGetData("DP_1","00O2TNJGODT0G5Z4TTKYMMUX1","GSON1112150661")</f>
        <v>#NAME?</v>
      </c>
      <c r="V1932" s="28" t="e">
        <f ca="1">[1]!BexGetData("DP_1","00O2TNJGODT0G5Z4TTKYMN18L","GSON1112150661")</f>
        <v>#NAME?</v>
      </c>
      <c r="W1932" s="28" t="e">
        <f ca="1">[1]!BexGetData("DP_1","00O2TNJGODT0G5Z4TTKYMN7K5","GSON1112150661")</f>
        <v>#NAME?</v>
      </c>
    </row>
    <row r="1933" spans="1:23" x14ac:dyDescent="0.2">
      <c r="A1933" s="36" t="s">
        <v>4892</v>
      </c>
      <c r="B1933" s="27" t="s">
        <v>4893</v>
      </c>
      <c r="C1933" s="23" t="e">
        <f ca="1">[1]!BexGetData("DP_1","003N8EMH8GTFRCSWKMPXRR8GU","GSON1112150663")</f>
        <v>#NAME?</v>
      </c>
      <c r="D1933" s="23" t="e">
        <f ca="1">[1]!BexGetData("DP_1","003N8EMH8GTFRCSWKMPXRRESE","GSON1112150663")</f>
        <v>#NAME?</v>
      </c>
      <c r="E1933" s="28" t="e">
        <f ca="1">[1]!BexGetData("DP_1","003N8EMH8GTFRCSWKMPXRRL3Y","GSON1112150663")</f>
        <v>#NAME?</v>
      </c>
      <c r="F1933" s="28" t="e">
        <f ca="1">[1]!BexGetData("DP_1","003N8EMH8GTFRCSWKMPXRRRFI","GSON1112150663")</f>
        <v>#NAME?</v>
      </c>
      <c r="G1933" s="23" t="e">
        <f ca="1">[1]!BexGetData("DP_1","003N8EMH8GTFRCSWKMPXRRXR2","GSON1112150663")</f>
        <v>#NAME?</v>
      </c>
      <c r="H1933" s="23" t="e">
        <f ca="1">[1]!BexGetData("DP_1","003N8EMH8GTFRCSWKMPXRS42M","GSON1112150663")</f>
        <v>#NAME?</v>
      </c>
      <c r="I1933" s="28" t="e">
        <f ca="1">[1]!BexGetData("DP_1","003N8EMH8GTFRCSWKMPXRSAE6","GSON1112150663")</f>
        <v>#NAME?</v>
      </c>
      <c r="J1933" s="24" t="e">
        <f ca="1">[1]!BexGetData("DP_1","003N8EMH8GTFRCSWKMPXRSGPQ","GSON1112150663")</f>
        <v>#NAME?</v>
      </c>
      <c r="K1933" s="28" t="e">
        <f ca="1">[1]!BexGetData("DP_1","003N8EMH8GTFRIVNUPY288VJH","GSON1112150663")</f>
        <v>#NAME?</v>
      </c>
      <c r="L1933" s="28" t="e">
        <f ca="1">[1]!BexGetData("DP_1","003N8EMH8GTFRIVNUPY2891V1","GSON1112150663")</f>
        <v>#NAME?</v>
      </c>
      <c r="M1933" s="28" t="e">
        <f ca="1">[1]!BexGetData("DP_1","003N8EMH8GTFRIVOG7KG9IQXA","GSON1112150663")</f>
        <v>#NAME?</v>
      </c>
      <c r="N1933" s="28" t="e">
        <f ca="1">[1]!BexGetData("DP_1","003N8EMH8GTFRIVOG7KG9IX8U","GSON1112150663")</f>
        <v>#NAME?</v>
      </c>
      <c r="O1933" s="28" t="e">
        <f ca="1">[1]!BexGetData("DP_1","003N8EMH8GTFRIVOG7KG9J3KE","GSON1112150663")</f>
        <v>#NAME?</v>
      </c>
      <c r="P1933" s="28" t="e">
        <f ca="1">[1]!BexGetData("DP_1","003N8EMH8GTFRIVOG7KG9J9VY","GSON1112150663")</f>
        <v>#NAME?</v>
      </c>
      <c r="Q1933" s="24" t="e">
        <f ca="1">[1]!BexGetData("DP_1","00O2TNJGODT0G5Z4TTKYMM5MT","GSON1112150663")</f>
        <v>#NAME?</v>
      </c>
      <c r="R1933" s="28" t="e">
        <f ca="1">[1]!BexGetData("DP_1","00O2TNJGODT0G5Z4TTKYMMBYD","GSON1112150663")</f>
        <v>#NAME?</v>
      </c>
      <c r="S1933" s="28" t="e">
        <f ca="1">[1]!BexGetData("DP_1","00O2TNJGODT0G5Z4TTKYMMI9X","GSON1112150663")</f>
        <v>#NAME?</v>
      </c>
      <c r="T1933" s="28" t="e">
        <f ca="1">[1]!BexGetData("DP_1","00O2TNJGODT0G5Z4TTKYMMOLH","GSON1112150663")</f>
        <v>#NAME?</v>
      </c>
      <c r="U1933" s="28" t="e">
        <f ca="1">[1]!BexGetData("DP_1","00O2TNJGODT0G5Z4TTKYMMUX1","GSON1112150663")</f>
        <v>#NAME?</v>
      </c>
      <c r="V1933" s="28" t="e">
        <f ca="1">[1]!BexGetData("DP_1","00O2TNJGODT0G5Z4TTKYMN18L","GSON1112150663")</f>
        <v>#NAME?</v>
      </c>
      <c r="W1933" s="28" t="e">
        <f ca="1">[1]!BexGetData("DP_1","00O2TNJGODT0G5Z4TTKYMN7K5","GSON1112150663")</f>
        <v>#NAME?</v>
      </c>
    </row>
    <row r="1934" spans="1:23" x14ac:dyDescent="0.2">
      <c r="A1934" s="36" t="s">
        <v>4894</v>
      </c>
      <c r="B1934" s="27" t="s">
        <v>4895</v>
      </c>
      <c r="C1934" s="23" t="e">
        <f ca="1">[1]!BexGetData("DP_1","003N8EMH8GTFRCSWKMPXRR8GU","GSON1112150664")</f>
        <v>#NAME?</v>
      </c>
      <c r="D1934" s="23" t="e">
        <f ca="1">[1]!BexGetData("DP_1","003N8EMH8GTFRCSWKMPXRRESE","GSON1112150664")</f>
        <v>#NAME?</v>
      </c>
      <c r="E1934" s="28" t="e">
        <f ca="1">[1]!BexGetData("DP_1","003N8EMH8GTFRCSWKMPXRRL3Y","GSON1112150664")</f>
        <v>#NAME?</v>
      </c>
      <c r="F1934" s="28" t="e">
        <f ca="1">[1]!BexGetData("DP_1","003N8EMH8GTFRCSWKMPXRRRFI","GSON1112150664")</f>
        <v>#NAME?</v>
      </c>
      <c r="G1934" s="23" t="e">
        <f ca="1">[1]!BexGetData("DP_1","003N8EMH8GTFRCSWKMPXRRXR2","GSON1112150664")</f>
        <v>#NAME?</v>
      </c>
      <c r="H1934" s="23" t="e">
        <f ca="1">[1]!BexGetData("DP_1","003N8EMH8GTFRCSWKMPXRS42M","GSON1112150664")</f>
        <v>#NAME?</v>
      </c>
      <c r="I1934" s="28" t="e">
        <f ca="1">[1]!BexGetData("DP_1","003N8EMH8GTFRCSWKMPXRSAE6","GSON1112150664")</f>
        <v>#NAME?</v>
      </c>
      <c r="J1934" s="24" t="e">
        <f ca="1">[1]!BexGetData("DP_1","003N8EMH8GTFRCSWKMPXRSGPQ","GSON1112150664")</f>
        <v>#NAME?</v>
      </c>
      <c r="K1934" s="28" t="e">
        <f ca="1">[1]!BexGetData("DP_1","003N8EMH8GTFRIVNUPY288VJH","GSON1112150664")</f>
        <v>#NAME?</v>
      </c>
      <c r="L1934" s="28" t="e">
        <f ca="1">[1]!BexGetData("DP_1","003N8EMH8GTFRIVNUPY2891V1","GSON1112150664")</f>
        <v>#NAME?</v>
      </c>
      <c r="M1934" s="28" t="e">
        <f ca="1">[1]!BexGetData("DP_1","003N8EMH8GTFRIVOG7KG9IQXA","GSON1112150664")</f>
        <v>#NAME?</v>
      </c>
      <c r="N1934" s="28" t="e">
        <f ca="1">[1]!BexGetData("DP_1","003N8EMH8GTFRIVOG7KG9IX8U","GSON1112150664")</f>
        <v>#NAME?</v>
      </c>
      <c r="O1934" s="28" t="e">
        <f ca="1">[1]!BexGetData("DP_1","003N8EMH8GTFRIVOG7KG9J3KE","GSON1112150664")</f>
        <v>#NAME?</v>
      </c>
      <c r="P1934" s="28" t="e">
        <f ca="1">[1]!BexGetData("DP_1","003N8EMH8GTFRIVOG7KG9J9VY","GSON1112150664")</f>
        <v>#NAME?</v>
      </c>
      <c r="Q1934" s="24" t="e">
        <f ca="1">[1]!BexGetData("DP_1","00O2TNJGODT0G5Z4TTKYMM5MT","GSON1112150664")</f>
        <v>#NAME?</v>
      </c>
      <c r="R1934" s="28" t="e">
        <f ca="1">[1]!BexGetData("DP_1","00O2TNJGODT0G5Z4TTKYMMBYD","GSON1112150664")</f>
        <v>#NAME?</v>
      </c>
      <c r="S1934" s="28" t="e">
        <f ca="1">[1]!BexGetData("DP_1","00O2TNJGODT0G5Z4TTKYMMI9X","GSON1112150664")</f>
        <v>#NAME?</v>
      </c>
      <c r="T1934" s="28" t="e">
        <f ca="1">[1]!BexGetData("DP_1","00O2TNJGODT0G5Z4TTKYMMOLH","GSON1112150664")</f>
        <v>#NAME?</v>
      </c>
      <c r="U1934" s="28" t="e">
        <f ca="1">[1]!BexGetData("DP_1","00O2TNJGODT0G5Z4TTKYMMUX1","GSON1112150664")</f>
        <v>#NAME?</v>
      </c>
      <c r="V1934" s="28" t="e">
        <f ca="1">[1]!BexGetData("DP_1","00O2TNJGODT0G5Z4TTKYMN18L","GSON1112150664")</f>
        <v>#NAME?</v>
      </c>
      <c r="W1934" s="28" t="e">
        <f ca="1">[1]!BexGetData("DP_1","00O2TNJGODT0G5Z4TTKYMN7K5","GSON1112150664")</f>
        <v>#NAME?</v>
      </c>
    </row>
    <row r="1935" spans="1:23" x14ac:dyDescent="0.2">
      <c r="A1935" s="36" t="s">
        <v>1163</v>
      </c>
      <c r="B1935" s="27" t="s">
        <v>1164</v>
      </c>
      <c r="C1935" s="23" t="e">
        <f ca="1">[1]!BexGetData("DP_1","003N8EMH8GTFRCSWKMPXRR8GU","GSON1112150670")</f>
        <v>#NAME?</v>
      </c>
      <c r="D1935" s="23" t="e">
        <f ca="1">[1]!BexGetData("DP_1","003N8EMH8GTFRCSWKMPXRRESE","GSON1112150670")</f>
        <v>#NAME?</v>
      </c>
      <c r="E1935" s="23" t="e">
        <f ca="1">[1]!BexGetData("DP_1","003N8EMH8GTFRCSWKMPXRRL3Y","GSON1112150670")</f>
        <v>#NAME?</v>
      </c>
      <c r="F1935" s="23" t="e">
        <f ca="1">[1]!BexGetData("DP_1","003N8EMH8GTFRCSWKMPXRRRFI","GSON1112150670")</f>
        <v>#NAME?</v>
      </c>
      <c r="G1935" s="23" t="e">
        <f ca="1">[1]!BexGetData("DP_1","003N8EMH8GTFRCSWKMPXRRXR2","GSON1112150670")</f>
        <v>#NAME?</v>
      </c>
      <c r="H1935" s="23" t="e">
        <f ca="1">[1]!BexGetData("DP_1","003N8EMH8GTFRCSWKMPXRS42M","GSON1112150670")</f>
        <v>#NAME?</v>
      </c>
      <c r="I1935" s="23" t="e">
        <f ca="1">[1]!BexGetData("DP_1","003N8EMH8GTFRCSWKMPXRSAE6","GSON1112150670")</f>
        <v>#NAME?</v>
      </c>
      <c r="J1935" s="23" t="e">
        <f ca="1">[1]!BexGetData("DP_1","003N8EMH8GTFRCSWKMPXRSGPQ","GSON1112150670")</f>
        <v>#NAME?</v>
      </c>
      <c r="K1935" s="23" t="e">
        <f ca="1">[1]!BexGetData("DP_1","003N8EMH8GTFRIVNUPY288VJH","GSON1112150670")</f>
        <v>#NAME?</v>
      </c>
      <c r="L1935" s="23" t="e">
        <f ca="1">[1]!BexGetData("DP_1","003N8EMH8GTFRIVNUPY2891V1","GSON1112150670")</f>
        <v>#NAME?</v>
      </c>
      <c r="M1935" s="23" t="e">
        <f ca="1">[1]!BexGetData("DP_1","003N8EMH8GTFRIVOG7KG9IQXA","GSON1112150670")</f>
        <v>#NAME?</v>
      </c>
      <c r="N1935" s="28" t="e">
        <f ca="1">[1]!BexGetData("DP_1","003N8EMH8GTFRIVOG7KG9IX8U","GSON1112150670")</f>
        <v>#NAME?</v>
      </c>
      <c r="O1935" s="23" t="e">
        <f ca="1">[1]!BexGetData("DP_1","003N8EMH8GTFRIVOG7KG9J3KE","GSON1112150670")</f>
        <v>#NAME?</v>
      </c>
      <c r="P1935" s="28" t="e">
        <f ca="1">[1]!BexGetData("DP_1","003N8EMH8GTFRIVOG7KG9J9VY","GSON1112150670")</f>
        <v>#NAME?</v>
      </c>
      <c r="Q1935" s="23" t="e">
        <f ca="1">[1]!BexGetData("DP_1","00O2TNJGODT0G5Z4TTKYMM5MT","GSON1112150670")</f>
        <v>#NAME?</v>
      </c>
      <c r="R1935" s="23" t="e">
        <f ca="1">[1]!BexGetData("DP_1","00O2TNJGODT0G5Z4TTKYMMBYD","GSON1112150670")</f>
        <v>#NAME?</v>
      </c>
      <c r="S1935" s="23" t="e">
        <f ca="1">[1]!BexGetData("DP_1","00O2TNJGODT0G5Z4TTKYMMI9X","GSON1112150670")</f>
        <v>#NAME?</v>
      </c>
      <c r="T1935" s="28" t="e">
        <f ca="1">[1]!BexGetData("DP_1","00O2TNJGODT0G5Z4TTKYMMOLH","GSON1112150670")</f>
        <v>#NAME?</v>
      </c>
      <c r="U1935" s="23" t="e">
        <f ca="1">[1]!BexGetData("DP_1","00O2TNJGODT0G5Z4TTKYMMUX1","GSON1112150670")</f>
        <v>#NAME?</v>
      </c>
      <c r="V1935" s="28" t="e">
        <f ca="1">[1]!BexGetData("DP_1","00O2TNJGODT0G5Z4TTKYMN18L","GSON1112150670")</f>
        <v>#NAME?</v>
      </c>
      <c r="W1935" s="23" t="e">
        <f ca="1">[1]!BexGetData("DP_1","00O2TNJGODT0G5Z4TTKYMN7K5","GSON1112150670")</f>
        <v>#NAME?</v>
      </c>
    </row>
    <row r="1936" spans="1:23" x14ac:dyDescent="0.2">
      <c r="A1936" s="36" t="s">
        <v>434</v>
      </c>
      <c r="B1936" s="27" t="s">
        <v>435</v>
      </c>
      <c r="C1936" s="23" t="e">
        <f ca="1">[1]!BexGetData("DP_1","003N8EMH8GTFRCSWKMPXRR8GU","GSON1112150671")</f>
        <v>#NAME?</v>
      </c>
      <c r="D1936" s="23" t="e">
        <f ca="1">[1]!BexGetData("DP_1","003N8EMH8GTFRCSWKMPXRRESE","GSON1112150671")</f>
        <v>#NAME?</v>
      </c>
      <c r="E1936" s="23" t="e">
        <f ca="1">[1]!BexGetData("DP_1","003N8EMH8GTFRCSWKMPXRRL3Y","GSON1112150671")</f>
        <v>#NAME?</v>
      </c>
      <c r="F1936" s="23" t="e">
        <f ca="1">[1]!BexGetData("DP_1","003N8EMH8GTFRCSWKMPXRRRFI","GSON1112150671")</f>
        <v>#NAME?</v>
      </c>
      <c r="G1936" s="23" t="e">
        <f ca="1">[1]!BexGetData("DP_1","003N8EMH8GTFRCSWKMPXRRXR2","GSON1112150671")</f>
        <v>#NAME?</v>
      </c>
      <c r="H1936" s="23" t="e">
        <f ca="1">[1]!BexGetData("DP_1","003N8EMH8GTFRCSWKMPXRS42M","GSON1112150671")</f>
        <v>#NAME?</v>
      </c>
      <c r="I1936" s="23" t="e">
        <f ca="1">[1]!BexGetData("DP_1","003N8EMH8GTFRCSWKMPXRSAE6","GSON1112150671")</f>
        <v>#NAME?</v>
      </c>
      <c r="J1936" s="23" t="e">
        <f ca="1">[1]!BexGetData("DP_1","003N8EMH8GTFRCSWKMPXRSGPQ","GSON1112150671")</f>
        <v>#NAME?</v>
      </c>
      <c r="K1936" s="23" t="e">
        <f ca="1">[1]!BexGetData("DP_1","003N8EMH8GTFRIVNUPY288VJH","GSON1112150671")</f>
        <v>#NAME?</v>
      </c>
      <c r="L1936" s="23" t="e">
        <f ca="1">[1]!BexGetData("DP_1","003N8EMH8GTFRIVNUPY2891V1","GSON1112150671")</f>
        <v>#NAME?</v>
      </c>
      <c r="M1936" s="28" t="e">
        <f ca="1">[1]!BexGetData("DP_1","003N8EMH8GTFRIVOG7KG9IQXA","GSON1112150671")</f>
        <v>#NAME?</v>
      </c>
      <c r="N1936" s="23" t="e">
        <f ca="1">[1]!BexGetData("DP_1","003N8EMH8GTFRIVOG7KG9IX8U","GSON1112150671")</f>
        <v>#NAME?</v>
      </c>
      <c r="O1936" s="28" t="e">
        <f ca="1">[1]!BexGetData("DP_1","003N8EMH8GTFRIVOG7KG9J3KE","GSON1112150671")</f>
        <v>#NAME?</v>
      </c>
      <c r="P1936" s="23" t="e">
        <f ca="1">[1]!BexGetData("DP_1","003N8EMH8GTFRIVOG7KG9J9VY","GSON1112150671")</f>
        <v>#NAME?</v>
      </c>
      <c r="Q1936" s="23" t="e">
        <f ca="1">[1]!BexGetData("DP_1","00O2TNJGODT0G5Z4TTKYMM5MT","GSON1112150671")</f>
        <v>#NAME?</v>
      </c>
      <c r="R1936" s="23" t="e">
        <f ca="1">[1]!BexGetData("DP_1","00O2TNJGODT0G5Z4TTKYMMBYD","GSON1112150671")</f>
        <v>#NAME?</v>
      </c>
      <c r="S1936" s="23" t="e">
        <f ca="1">[1]!BexGetData("DP_1","00O2TNJGODT0G5Z4TTKYMMI9X","GSON1112150671")</f>
        <v>#NAME?</v>
      </c>
      <c r="T1936" s="23" t="e">
        <f ca="1">[1]!BexGetData("DP_1","00O2TNJGODT0G5Z4TTKYMMOLH","GSON1112150671")</f>
        <v>#NAME?</v>
      </c>
      <c r="U1936" s="28" t="e">
        <f ca="1">[1]!BexGetData("DP_1","00O2TNJGODT0G5Z4TTKYMMUX1","GSON1112150671")</f>
        <v>#NAME?</v>
      </c>
      <c r="V1936" s="23" t="e">
        <f ca="1">[1]!BexGetData("DP_1","00O2TNJGODT0G5Z4TTKYMN18L","GSON1112150671")</f>
        <v>#NAME?</v>
      </c>
      <c r="W1936" s="28" t="e">
        <f ca="1">[1]!BexGetData("DP_1","00O2TNJGODT0G5Z4TTKYMN7K5","GSON1112150671")</f>
        <v>#NAME?</v>
      </c>
    </row>
    <row r="1937" spans="1:23" x14ac:dyDescent="0.2">
      <c r="A1937" s="36" t="s">
        <v>1165</v>
      </c>
      <c r="B1937" s="27" t="s">
        <v>1166</v>
      </c>
      <c r="C1937" s="23" t="e">
        <f ca="1">[1]!BexGetData("DP_1","003N8EMH8GTFRCSWKMPXRR8GU","GSON1112150673")</f>
        <v>#NAME?</v>
      </c>
      <c r="D1937" s="23" t="e">
        <f ca="1">[1]!BexGetData("DP_1","003N8EMH8GTFRCSWKMPXRRESE","GSON1112150673")</f>
        <v>#NAME?</v>
      </c>
      <c r="E1937" s="28" t="e">
        <f ca="1">[1]!BexGetData("DP_1","003N8EMH8GTFRCSWKMPXRRL3Y","GSON1112150673")</f>
        <v>#NAME?</v>
      </c>
      <c r="F1937" s="28" t="e">
        <f ca="1">[1]!BexGetData("DP_1","003N8EMH8GTFRCSWKMPXRRRFI","GSON1112150673")</f>
        <v>#NAME?</v>
      </c>
      <c r="G1937" s="23" t="e">
        <f ca="1">[1]!BexGetData("DP_1","003N8EMH8GTFRCSWKMPXRRXR2","GSON1112150673")</f>
        <v>#NAME?</v>
      </c>
      <c r="H1937" s="23" t="e">
        <f ca="1">[1]!BexGetData("DP_1","003N8EMH8GTFRCSWKMPXRS42M","GSON1112150673")</f>
        <v>#NAME?</v>
      </c>
      <c r="I1937" s="28" t="e">
        <f ca="1">[1]!BexGetData("DP_1","003N8EMH8GTFRCSWKMPXRSAE6","GSON1112150673")</f>
        <v>#NAME?</v>
      </c>
      <c r="J1937" s="24" t="e">
        <f ca="1">[1]!BexGetData("DP_1","003N8EMH8GTFRCSWKMPXRSGPQ","GSON1112150673")</f>
        <v>#NAME?</v>
      </c>
      <c r="K1937" s="28" t="e">
        <f ca="1">[1]!BexGetData("DP_1","003N8EMH8GTFRIVNUPY288VJH","GSON1112150673")</f>
        <v>#NAME?</v>
      </c>
      <c r="L1937" s="28" t="e">
        <f ca="1">[1]!BexGetData("DP_1","003N8EMH8GTFRIVNUPY2891V1","GSON1112150673")</f>
        <v>#NAME?</v>
      </c>
      <c r="M1937" s="28" t="e">
        <f ca="1">[1]!BexGetData("DP_1","003N8EMH8GTFRIVOG7KG9IQXA","GSON1112150673")</f>
        <v>#NAME?</v>
      </c>
      <c r="N1937" s="28" t="e">
        <f ca="1">[1]!BexGetData("DP_1","003N8EMH8GTFRIVOG7KG9IX8U","GSON1112150673")</f>
        <v>#NAME?</v>
      </c>
      <c r="O1937" s="28" t="e">
        <f ca="1">[1]!BexGetData("DP_1","003N8EMH8GTFRIVOG7KG9J3KE","GSON1112150673")</f>
        <v>#NAME?</v>
      </c>
      <c r="P1937" s="28" t="e">
        <f ca="1">[1]!BexGetData("DP_1","003N8EMH8GTFRIVOG7KG9J9VY","GSON1112150673")</f>
        <v>#NAME?</v>
      </c>
      <c r="Q1937" s="24" t="e">
        <f ca="1">[1]!BexGetData("DP_1","00O2TNJGODT0G5Z4TTKYMM5MT","GSON1112150673")</f>
        <v>#NAME?</v>
      </c>
      <c r="R1937" s="28" t="e">
        <f ca="1">[1]!BexGetData("DP_1","00O2TNJGODT0G5Z4TTKYMMBYD","GSON1112150673")</f>
        <v>#NAME?</v>
      </c>
      <c r="S1937" s="28" t="e">
        <f ca="1">[1]!BexGetData("DP_1","00O2TNJGODT0G5Z4TTKYMMI9X","GSON1112150673")</f>
        <v>#NAME?</v>
      </c>
      <c r="T1937" s="28" t="e">
        <f ca="1">[1]!BexGetData("DP_1","00O2TNJGODT0G5Z4TTKYMMOLH","GSON1112150673")</f>
        <v>#NAME?</v>
      </c>
      <c r="U1937" s="28" t="e">
        <f ca="1">[1]!BexGetData("DP_1","00O2TNJGODT0G5Z4TTKYMMUX1","GSON1112150673")</f>
        <v>#NAME?</v>
      </c>
      <c r="V1937" s="28" t="e">
        <f ca="1">[1]!BexGetData("DP_1","00O2TNJGODT0G5Z4TTKYMN18L","GSON1112150673")</f>
        <v>#NAME?</v>
      </c>
      <c r="W1937" s="28" t="e">
        <f ca="1">[1]!BexGetData("DP_1","00O2TNJGODT0G5Z4TTKYMN7K5","GSON1112150673")</f>
        <v>#NAME?</v>
      </c>
    </row>
    <row r="1938" spans="1:23" x14ac:dyDescent="0.2">
      <c r="A1938" s="36" t="s">
        <v>4896</v>
      </c>
      <c r="B1938" s="27" t="s">
        <v>1167</v>
      </c>
      <c r="C1938" s="23" t="e">
        <f ca="1">[1]!BexGetData("DP_1","003N8EMH8GTFRCSWKMPXRR8GU","GSON1112150674")</f>
        <v>#NAME?</v>
      </c>
      <c r="D1938" s="23" t="e">
        <f ca="1">[1]!BexGetData("DP_1","003N8EMH8GTFRCSWKMPXRRESE","GSON1112150674")</f>
        <v>#NAME?</v>
      </c>
      <c r="E1938" s="23" t="e">
        <f ca="1">[1]!BexGetData("DP_1","003N8EMH8GTFRCSWKMPXRRL3Y","GSON1112150674")</f>
        <v>#NAME?</v>
      </c>
      <c r="F1938" s="23" t="e">
        <f ca="1">[1]!BexGetData("DP_1","003N8EMH8GTFRCSWKMPXRRRFI","GSON1112150674")</f>
        <v>#NAME?</v>
      </c>
      <c r="G1938" s="23" t="e">
        <f ca="1">[1]!BexGetData("DP_1","003N8EMH8GTFRCSWKMPXRRXR2","GSON1112150674")</f>
        <v>#NAME?</v>
      </c>
      <c r="H1938" s="23" t="e">
        <f ca="1">[1]!BexGetData("DP_1","003N8EMH8GTFRCSWKMPXRS42M","GSON1112150674")</f>
        <v>#NAME?</v>
      </c>
      <c r="I1938" s="23" t="e">
        <f ca="1">[1]!BexGetData("DP_1","003N8EMH8GTFRCSWKMPXRSAE6","GSON1112150674")</f>
        <v>#NAME?</v>
      </c>
      <c r="J1938" s="24" t="e">
        <f ca="1">[1]!BexGetData("DP_1","003N8EMH8GTFRCSWKMPXRSGPQ","GSON1112150674")</f>
        <v>#NAME?</v>
      </c>
      <c r="K1938" s="23" t="e">
        <f ca="1">[1]!BexGetData("DP_1","003N8EMH8GTFRIVNUPY288VJH","GSON1112150674")</f>
        <v>#NAME?</v>
      </c>
      <c r="L1938" s="23" t="e">
        <f ca="1">[1]!BexGetData("DP_1","003N8EMH8GTFRIVNUPY2891V1","GSON1112150674")</f>
        <v>#NAME?</v>
      </c>
      <c r="M1938" s="28" t="e">
        <f ca="1">[1]!BexGetData("DP_1","003N8EMH8GTFRIVOG7KG9IQXA","GSON1112150674")</f>
        <v>#NAME?</v>
      </c>
      <c r="N1938" s="23" t="e">
        <f ca="1">[1]!BexGetData("DP_1","003N8EMH8GTFRIVOG7KG9IX8U","GSON1112150674")</f>
        <v>#NAME?</v>
      </c>
      <c r="O1938" s="28" t="e">
        <f ca="1">[1]!BexGetData("DP_1","003N8EMH8GTFRIVOG7KG9J3KE","GSON1112150674")</f>
        <v>#NAME?</v>
      </c>
      <c r="P1938" s="23" t="e">
        <f ca="1">[1]!BexGetData("DP_1","003N8EMH8GTFRIVOG7KG9J9VY","GSON1112150674")</f>
        <v>#NAME?</v>
      </c>
      <c r="Q1938" s="24" t="e">
        <f ca="1">[1]!BexGetData("DP_1","00O2TNJGODT0G5Z4TTKYMM5MT","GSON1112150674")</f>
        <v>#NAME?</v>
      </c>
      <c r="R1938" s="23" t="e">
        <f ca="1">[1]!BexGetData("DP_1","00O2TNJGODT0G5Z4TTKYMMBYD","GSON1112150674")</f>
        <v>#NAME?</v>
      </c>
      <c r="S1938" s="23" t="e">
        <f ca="1">[1]!BexGetData("DP_1","00O2TNJGODT0G5Z4TTKYMMI9X","GSON1112150674")</f>
        <v>#NAME?</v>
      </c>
      <c r="T1938" s="28" t="e">
        <f ca="1">[1]!BexGetData("DP_1","00O2TNJGODT0G5Z4TTKYMMOLH","GSON1112150674")</f>
        <v>#NAME?</v>
      </c>
      <c r="U1938" s="23" t="e">
        <f ca="1">[1]!BexGetData("DP_1","00O2TNJGODT0G5Z4TTKYMMUX1","GSON1112150674")</f>
        <v>#NAME?</v>
      </c>
      <c r="V1938" s="28" t="e">
        <f ca="1">[1]!BexGetData("DP_1","00O2TNJGODT0G5Z4TTKYMN18L","GSON1112150674")</f>
        <v>#NAME?</v>
      </c>
      <c r="W1938" s="23" t="e">
        <f ca="1">[1]!BexGetData("DP_1","00O2TNJGODT0G5Z4TTKYMN7K5","GSON1112150674")</f>
        <v>#NAME?</v>
      </c>
    </row>
    <row r="1939" spans="1:23" x14ac:dyDescent="0.2">
      <c r="A1939" s="36" t="s">
        <v>305</v>
      </c>
      <c r="B1939" s="27" t="s">
        <v>306</v>
      </c>
      <c r="C1939" s="23" t="e">
        <f ca="1">[1]!BexGetData("DP_1","003N8EMH8GTFRCSWKMPXRR8GU","GSON1112150680")</f>
        <v>#NAME?</v>
      </c>
      <c r="D1939" s="23" t="e">
        <f ca="1">[1]!BexGetData("DP_1","003N8EMH8GTFRCSWKMPXRRESE","GSON1112150680")</f>
        <v>#NAME?</v>
      </c>
      <c r="E1939" s="23" t="e">
        <f ca="1">[1]!BexGetData("DP_1","003N8EMH8GTFRCSWKMPXRRL3Y","GSON1112150680")</f>
        <v>#NAME?</v>
      </c>
      <c r="F1939" s="23" t="e">
        <f ca="1">[1]!BexGetData("DP_1","003N8EMH8GTFRCSWKMPXRRRFI","GSON1112150680")</f>
        <v>#NAME?</v>
      </c>
      <c r="G1939" s="23" t="e">
        <f ca="1">[1]!BexGetData("DP_1","003N8EMH8GTFRCSWKMPXRRXR2","GSON1112150680")</f>
        <v>#NAME?</v>
      </c>
      <c r="H1939" s="23" t="e">
        <f ca="1">[1]!BexGetData("DP_1","003N8EMH8GTFRCSWKMPXRS42M","GSON1112150680")</f>
        <v>#NAME?</v>
      </c>
      <c r="I1939" s="23" t="e">
        <f ca="1">[1]!BexGetData("DP_1","003N8EMH8GTFRCSWKMPXRSAE6","GSON1112150680")</f>
        <v>#NAME?</v>
      </c>
      <c r="J1939" s="23" t="e">
        <f ca="1">[1]!BexGetData("DP_1","003N8EMH8GTFRCSWKMPXRSGPQ","GSON1112150680")</f>
        <v>#NAME?</v>
      </c>
      <c r="K1939" s="23" t="e">
        <f ca="1">[1]!BexGetData("DP_1","003N8EMH8GTFRIVNUPY288VJH","GSON1112150680")</f>
        <v>#NAME?</v>
      </c>
      <c r="L1939" s="23" t="e">
        <f ca="1">[1]!BexGetData("DP_1","003N8EMH8GTFRIVNUPY2891V1","GSON1112150680")</f>
        <v>#NAME?</v>
      </c>
      <c r="M1939" s="28" t="e">
        <f ca="1">[1]!BexGetData("DP_1","003N8EMH8GTFRIVOG7KG9IQXA","GSON1112150680")</f>
        <v>#NAME?</v>
      </c>
      <c r="N1939" s="23" t="e">
        <f ca="1">[1]!BexGetData("DP_1","003N8EMH8GTFRIVOG7KG9IX8U","GSON1112150680")</f>
        <v>#NAME?</v>
      </c>
      <c r="O1939" s="28" t="e">
        <f ca="1">[1]!BexGetData("DP_1","003N8EMH8GTFRIVOG7KG9J3KE","GSON1112150680")</f>
        <v>#NAME?</v>
      </c>
      <c r="P1939" s="23" t="e">
        <f ca="1">[1]!BexGetData("DP_1","003N8EMH8GTFRIVOG7KG9J9VY","GSON1112150680")</f>
        <v>#NAME?</v>
      </c>
      <c r="Q1939" s="23" t="e">
        <f ca="1">[1]!BexGetData("DP_1","00O2TNJGODT0G5Z4TTKYMM5MT","GSON1112150680")</f>
        <v>#NAME?</v>
      </c>
      <c r="R1939" s="23" t="e">
        <f ca="1">[1]!BexGetData("DP_1","00O2TNJGODT0G5Z4TTKYMMBYD","GSON1112150680")</f>
        <v>#NAME?</v>
      </c>
      <c r="S1939" s="23" t="e">
        <f ca="1">[1]!BexGetData("DP_1","00O2TNJGODT0G5Z4TTKYMMI9X","GSON1112150680")</f>
        <v>#NAME?</v>
      </c>
      <c r="T1939" s="28" t="e">
        <f ca="1">[1]!BexGetData("DP_1","00O2TNJGODT0G5Z4TTKYMMOLH","GSON1112150680")</f>
        <v>#NAME?</v>
      </c>
      <c r="U1939" s="23" t="e">
        <f ca="1">[1]!BexGetData("DP_1","00O2TNJGODT0G5Z4TTKYMMUX1","GSON1112150680")</f>
        <v>#NAME?</v>
      </c>
      <c r="V1939" s="28" t="e">
        <f ca="1">[1]!BexGetData("DP_1","00O2TNJGODT0G5Z4TTKYMN18L","GSON1112150680")</f>
        <v>#NAME?</v>
      </c>
      <c r="W1939" s="23" t="e">
        <f ca="1">[1]!BexGetData("DP_1","00O2TNJGODT0G5Z4TTKYMN7K5","GSON1112150680")</f>
        <v>#NAME?</v>
      </c>
    </row>
    <row r="1940" spans="1:23" x14ac:dyDescent="0.2">
      <c r="A1940" s="36" t="s">
        <v>307</v>
      </c>
      <c r="B1940" s="27" t="s">
        <v>308</v>
      </c>
      <c r="C1940" s="23" t="e">
        <f ca="1">[1]!BexGetData("DP_1","003N8EMH8GTFRCSWKMPXRR8GU","GSON1112150681")</f>
        <v>#NAME?</v>
      </c>
      <c r="D1940" s="23" t="e">
        <f ca="1">[1]!BexGetData("DP_1","003N8EMH8GTFRCSWKMPXRRESE","GSON1112150681")</f>
        <v>#NAME?</v>
      </c>
      <c r="E1940" s="23" t="e">
        <f ca="1">[1]!BexGetData("DP_1","003N8EMH8GTFRCSWKMPXRRL3Y","GSON1112150681")</f>
        <v>#NAME?</v>
      </c>
      <c r="F1940" s="23" t="e">
        <f ca="1">[1]!BexGetData("DP_1","003N8EMH8GTFRCSWKMPXRRRFI","GSON1112150681")</f>
        <v>#NAME?</v>
      </c>
      <c r="G1940" s="23" t="e">
        <f ca="1">[1]!BexGetData("DP_1","003N8EMH8GTFRCSWKMPXRRXR2","GSON1112150681")</f>
        <v>#NAME?</v>
      </c>
      <c r="H1940" s="23" t="e">
        <f ca="1">[1]!BexGetData("DP_1","003N8EMH8GTFRCSWKMPXRS42M","GSON1112150681")</f>
        <v>#NAME?</v>
      </c>
      <c r="I1940" s="23" t="e">
        <f ca="1">[1]!BexGetData("DP_1","003N8EMH8GTFRCSWKMPXRSAE6","GSON1112150681")</f>
        <v>#NAME?</v>
      </c>
      <c r="J1940" s="23" t="e">
        <f ca="1">[1]!BexGetData("DP_1","003N8EMH8GTFRCSWKMPXRSGPQ","GSON1112150681")</f>
        <v>#NAME?</v>
      </c>
      <c r="K1940" s="23" t="e">
        <f ca="1">[1]!BexGetData("DP_1","003N8EMH8GTFRIVNUPY288VJH","GSON1112150681")</f>
        <v>#NAME?</v>
      </c>
      <c r="L1940" s="23" t="e">
        <f ca="1">[1]!BexGetData("DP_1","003N8EMH8GTFRIVNUPY2891V1","GSON1112150681")</f>
        <v>#NAME?</v>
      </c>
      <c r="M1940" s="23" t="e">
        <f ca="1">[1]!BexGetData("DP_1","003N8EMH8GTFRIVOG7KG9IQXA","GSON1112150681")</f>
        <v>#NAME?</v>
      </c>
      <c r="N1940" s="28" t="e">
        <f ca="1">[1]!BexGetData("DP_1","003N8EMH8GTFRIVOG7KG9IX8U","GSON1112150681")</f>
        <v>#NAME?</v>
      </c>
      <c r="O1940" s="23" t="e">
        <f ca="1">[1]!BexGetData("DP_1","003N8EMH8GTFRIVOG7KG9J3KE","GSON1112150681")</f>
        <v>#NAME?</v>
      </c>
      <c r="P1940" s="28" t="e">
        <f ca="1">[1]!BexGetData("DP_1","003N8EMH8GTFRIVOG7KG9J9VY","GSON1112150681")</f>
        <v>#NAME?</v>
      </c>
      <c r="Q1940" s="23" t="e">
        <f ca="1">[1]!BexGetData("DP_1","00O2TNJGODT0G5Z4TTKYMM5MT","GSON1112150681")</f>
        <v>#NAME?</v>
      </c>
      <c r="R1940" s="23" t="e">
        <f ca="1">[1]!BexGetData("DP_1","00O2TNJGODT0G5Z4TTKYMMBYD","GSON1112150681")</f>
        <v>#NAME?</v>
      </c>
      <c r="S1940" s="23" t="e">
        <f ca="1">[1]!BexGetData("DP_1","00O2TNJGODT0G5Z4TTKYMMI9X","GSON1112150681")</f>
        <v>#NAME?</v>
      </c>
      <c r="T1940" s="28" t="e">
        <f ca="1">[1]!BexGetData("DP_1","00O2TNJGODT0G5Z4TTKYMMOLH","GSON1112150681")</f>
        <v>#NAME?</v>
      </c>
      <c r="U1940" s="23" t="e">
        <f ca="1">[1]!BexGetData("DP_1","00O2TNJGODT0G5Z4TTKYMMUX1","GSON1112150681")</f>
        <v>#NAME?</v>
      </c>
      <c r="V1940" s="28" t="e">
        <f ca="1">[1]!BexGetData("DP_1","00O2TNJGODT0G5Z4TTKYMN18L","GSON1112150681")</f>
        <v>#NAME?</v>
      </c>
      <c r="W1940" s="23" t="e">
        <f ca="1">[1]!BexGetData("DP_1","00O2TNJGODT0G5Z4TTKYMN7K5","GSON1112150681")</f>
        <v>#NAME?</v>
      </c>
    </row>
    <row r="1941" spans="1:23" x14ac:dyDescent="0.2">
      <c r="A1941" s="36" t="s">
        <v>309</v>
      </c>
      <c r="B1941" s="27" t="s">
        <v>310</v>
      </c>
      <c r="C1941" s="23" t="e">
        <f ca="1">[1]!BexGetData("DP_1","003N8EMH8GTFRCSWKMPXRR8GU","GSON1112150683")</f>
        <v>#NAME?</v>
      </c>
      <c r="D1941" s="23" t="e">
        <f ca="1">[1]!BexGetData("DP_1","003N8EMH8GTFRCSWKMPXRRESE","GSON1112150683")</f>
        <v>#NAME?</v>
      </c>
      <c r="E1941" s="28" t="e">
        <f ca="1">[1]!BexGetData("DP_1","003N8EMH8GTFRCSWKMPXRRL3Y","GSON1112150683")</f>
        <v>#NAME?</v>
      </c>
      <c r="F1941" s="28" t="e">
        <f ca="1">[1]!BexGetData("DP_1","003N8EMH8GTFRCSWKMPXRRRFI","GSON1112150683")</f>
        <v>#NAME?</v>
      </c>
      <c r="G1941" s="23" t="e">
        <f ca="1">[1]!BexGetData("DP_1","003N8EMH8GTFRCSWKMPXRRXR2","GSON1112150683")</f>
        <v>#NAME?</v>
      </c>
      <c r="H1941" s="23" t="e">
        <f ca="1">[1]!BexGetData("DP_1","003N8EMH8GTFRCSWKMPXRS42M","GSON1112150683")</f>
        <v>#NAME?</v>
      </c>
      <c r="I1941" s="28" t="e">
        <f ca="1">[1]!BexGetData("DP_1","003N8EMH8GTFRCSWKMPXRSAE6","GSON1112150683")</f>
        <v>#NAME?</v>
      </c>
      <c r="J1941" s="24" t="e">
        <f ca="1">[1]!BexGetData("DP_1","003N8EMH8GTFRCSWKMPXRSGPQ","GSON1112150683")</f>
        <v>#NAME?</v>
      </c>
      <c r="K1941" s="28" t="e">
        <f ca="1">[1]!BexGetData("DP_1","003N8EMH8GTFRIVNUPY288VJH","GSON1112150683")</f>
        <v>#NAME?</v>
      </c>
      <c r="L1941" s="28" t="e">
        <f ca="1">[1]!BexGetData("DP_1","003N8EMH8GTFRIVNUPY2891V1","GSON1112150683")</f>
        <v>#NAME?</v>
      </c>
      <c r="M1941" s="28" t="e">
        <f ca="1">[1]!BexGetData("DP_1","003N8EMH8GTFRIVOG7KG9IQXA","GSON1112150683")</f>
        <v>#NAME?</v>
      </c>
      <c r="N1941" s="28" t="e">
        <f ca="1">[1]!BexGetData("DP_1","003N8EMH8GTFRIVOG7KG9IX8U","GSON1112150683")</f>
        <v>#NAME?</v>
      </c>
      <c r="O1941" s="28" t="e">
        <f ca="1">[1]!BexGetData("DP_1","003N8EMH8GTFRIVOG7KG9J3KE","GSON1112150683")</f>
        <v>#NAME?</v>
      </c>
      <c r="P1941" s="28" t="e">
        <f ca="1">[1]!BexGetData("DP_1","003N8EMH8GTFRIVOG7KG9J9VY","GSON1112150683")</f>
        <v>#NAME?</v>
      </c>
      <c r="Q1941" s="24" t="e">
        <f ca="1">[1]!BexGetData("DP_1","00O2TNJGODT0G5Z4TTKYMM5MT","GSON1112150683")</f>
        <v>#NAME?</v>
      </c>
      <c r="R1941" s="28" t="e">
        <f ca="1">[1]!BexGetData("DP_1","00O2TNJGODT0G5Z4TTKYMMBYD","GSON1112150683")</f>
        <v>#NAME?</v>
      </c>
      <c r="S1941" s="28" t="e">
        <f ca="1">[1]!BexGetData("DP_1","00O2TNJGODT0G5Z4TTKYMMI9X","GSON1112150683")</f>
        <v>#NAME?</v>
      </c>
      <c r="T1941" s="28" t="e">
        <f ca="1">[1]!BexGetData("DP_1","00O2TNJGODT0G5Z4TTKYMMOLH","GSON1112150683")</f>
        <v>#NAME?</v>
      </c>
      <c r="U1941" s="28" t="e">
        <f ca="1">[1]!BexGetData("DP_1","00O2TNJGODT0G5Z4TTKYMMUX1","GSON1112150683")</f>
        <v>#NAME?</v>
      </c>
      <c r="V1941" s="28" t="e">
        <f ca="1">[1]!BexGetData("DP_1","00O2TNJGODT0G5Z4TTKYMN18L","GSON1112150683")</f>
        <v>#NAME?</v>
      </c>
      <c r="W1941" s="28" t="e">
        <f ca="1">[1]!BexGetData("DP_1","00O2TNJGODT0G5Z4TTKYMN7K5","GSON1112150683")</f>
        <v>#NAME?</v>
      </c>
    </row>
    <row r="1942" spans="1:23" x14ac:dyDescent="0.2">
      <c r="A1942" s="36" t="s">
        <v>4897</v>
      </c>
      <c r="B1942" s="27" t="s">
        <v>311</v>
      </c>
      <c r="C1942" s="23" t="e">
        <f ca="1">[1]!BexGetData("DP_1","003N8EMH8GTFRCSWKMPXRR8GU","GSON1112150684")</f>
        <v>#NAME?</v>
      </c>
      <c r="D1942" s="23" t="e">
        <f ca="1">[1]!BexGetData("DP_1","003N8EMH8GTFRCSWKMPXRRESE","GSON1112150684")</f>
        <v>#NAME?</v>
      </c>
      <c r="E1942" s="28" t="e">
        <f ca="1">[1]!BexGetData("DP_1","003N8EMH8GTFRCSWKMPXRRL3Y","GSON1112150684")</f>
        <v>#NAME?</v>
      </c>
      <c r="F1942" s="23" t="e">
        <f ca="1">[1]!BexGetData("DP_1","003N8EMH8GTFRCSWKMPXRRRFI","GSON1112150684")</f>
        <v>#NAME?</v>
      </c>
      <c r="G1942" s="23" t="e">
        <f ca="1">[1]!BexGetData("DP_1","003N8EMH8GTFRCSWKMPXRRXR2","GSON1112150684")</f>
        <v>#NAME?</v>
      </c>
      <c r="H1942" s="23" t="e">
        <f ca="1">[1]!BexGetData("DP_1","003N8EMH8GTFRCSWKMPXRS42M","GSON1112150684")</f>
        <v>#NAME?</v>
      </c>
      <c r="I1942" s="23" t="e">
        <f ca="1">[1]!BexGetData("DP_1","003N8EMH8GTFRCSWKMPXRSAE6","GSON1112150684")</f>
        <v>#NAME?</v>
      </c>
      <c r="J1942" s="24" t="e">
        <f ca="1">[1]!BexGetData("DP_1","003N8EMH8GTFRCSWKMPXRSGPQ","GSON1112150684")</f>
        <v>#NAME?</v>
      </c>
      <c r="K1942" s="23" t="e">
        <f ca="1">[1]!BexGetData("DP_1","003N8EMH8GTFRIVNUPY288VJH","GSON1112150684")</f>
        <v>#NAME?</v>
      </c>
      <c r="L1942" s="23" t="e">
        <f ca="1">[1]!BexGetData("DP_1","003N8EMH8GTFRIVNUPY2891V1","GSON1112150684")</f>
        <v>#NAME?</v>
      </c>
      <c r="M1942" s="28" t="e">
        <f ca="1">[1]!BexGetData("DP_1","003N8EMH8GTFRIVOG7KG9IQXA","GSON1112150684")</f>
        <v>#NAME?</v>
      </c>
      <c r="N1942" s="23" t="e">
        <f ca="1">[1]!BexGetData("DP_1","003N8EMH8GTFRIVOG7KG9IX8U","GSON1112150684")</f>
        <v>#NAME?</v>
      </c>
      <c r="O1942" s="28" t="e">
        <f ca="1">[1]!BexGetData("DP_1","003N8EMH8GTFRIVOG7KG9J3KE","GSON1112150684")</f>
        <v>#NAME?</v>
      </c>
      <c r="P1942" s="23" t="e">
        <f ca="1">[1]!BexGetData("DP_1","003N8EMH8GTFRIVOG7KG9J9VY","GSON1112150684")</f>
        <v>#NAME?</v>
      </c>
      <c r="Q1942" s="24" t="e">
        <f ca="1">[1]!BexGetData("DP_1","00O2TNJGODT0G5Z4TTKYMM5MT","GSON1112150684")</f>
        <v>#NAME?</v>
      </c>
      <c r="R1942" s="23" t="e">
        <f ca="1">[1]!BexGetData("DP_1","00O2TNJGODT0G5Z4TTKYMMBYD","GSON1112150684")</f>
        <v>#NAME?</v>
      </c>
      <c r="S1942" s="23" t="e">
        <f ca="1">[1]!BexGetData("DP_1","00O2TNJGODT0G5Z4TTKYMMI9X","GSON1112150684")</f>
        <v>#NAME?</v>
      </c>
      <c r="T1942" s="23" t="e">
        <f ca="1">[1]!BexGetData("DP_1","00O2TNJGODT0G5Z4TTKYMMOLH","GSON1112150684")</f>
        <v>#NAME?</v>
      </c>
      <c r="U1942" s="28" t="e">
        <f ca="1">[1]!BexGetData("DP_1","00O2TNJGODT0G5Z4TTKYMMUX1","GSON1112150684")</f>
        <v>#NAME?</v>
      </c>
      <c r="V1942" s="23" t="e">
        <f ca="1">[1]!BexGetData("DP_1","00O2TNJGODT0G5Z4TTKYMN18L","GSON1112150684")</f>
        <v>#NAME?</v>
      </c>
      <c r="W1942" s="28" t="e">
        <f ca="1">[1]!BexGetData("DP_1","00O2TNJGODT0G5Z4TTKYMN7K5","GSON1112150684")</f>
        <v>#NAME?</v>
      </c>
    </row>
    <row r="1943" spans="1:23" x14ac:dyDescent="0.2">
      <c r="A1943" s="36" t="s">
        <v>312</v>
      </c>
      <c r="B1943" s="27" t="s">
        <v>313</v>
      </c>
      <c r="C1943" s="23" t="e">
        <f ca="1">[1]!BexGetData("DP_1","003N8EMH8GTFRCSWKMPXRR8GU","GSON1112150690")</f>
        <v>#NAME?</v>
      </c>
      <c r="D1943" s="23" t="e">
        <f ca="1">[1]!BexGetData("DP_1","003N8EMH8GTFRCSWKMPXRRESE","GSON1112150690")</f>
        <v>#NAME?</v>
      </c>
      <c r="E1943" s="23" t="e">
        <f ca="1">[1]!BexGetData("DP_1","003N8EMH8GTFRCSWKMPXRRL3Y","GSON1112150690")</f>
        <v>#NAME?</v>
      </c>
      <c r="F1943" s="23" t="e">
        <f ca="1">[1]!BexGetData("DP_1","003N8EMH8GTFRCSWKMPXRRRFI","GSON1112150690")</f>
        <v>#NAME?</v>
      </c>
      <c r="G1943" s="23" t="e">
        <f ca="1">[1]!BexGetData("DP_1","003N8EMH8GTFRCSWKMPXRRXR2","GSON1112150690")</f>
        <v>#NAME?</v>
      </c>
      <c r="H1943" s="23" t="e">
        <f ca="1">[1]!BexGetData("DP_1","003N8EMH8GTFRCSWKMPXRS42M","GSON1112150690")</f>
        <v>#NAME?</v>
      </c>
      <c r="I1943" s="23" t="e">
        <f ca="1">[1]!BexGetData("DP_1","003N8EMH8GTFRCSWKMPXRSAE6","GSON1112150690")</f>
        <v>#NAME?</v>
      </c>
      <c r="J1943" s="23" t="e">
        <f ca="1">[1]!BexGetData("DP_1","003N8EMH8GTFRCSWKMPXRSGPQ","GSON1112150690")</f>
        <v>#NAME?</v>
      </c>
      <c r="K1943" s="23" t="e">
        <f ca="1">[1]!BexGetData("DP_1","003N8EMH8GTFRIVNUPY288VJH","GSON1112150690")</f>
        <v>#NAME?</v>
      </c>
      <c r="L1943" s="23" t="e">
        <f ca="1">[1]!BexGetData("DP_1","003N8EMH8GTFRIVNUPY2891V1","GSON1112150690")</f>
        <v>#NAME?</v>
      </c>
      <c r="M1943" s="28" t="e">
        <f ca="1">[1]!BexGetData("DP_1","003N8EMH8GTFRIVOG7KG9IQXA","GSON1112150690")</f>
        <v>#NAME?</v>
      </c>
      <c r="N1943" s="23" t="e">
        <f ca="1">[1]!BexGetData("DP_1","003N8EMH8GTFRIVOG7KG9IX8U","GSON1112150690")</f>
        <v>#NAME?</v>
      </c>
      <c r="O1943" s="28" t="e">
        <f ca="1">[1]!BexGetData("DP_1","003N8EMH8GTFRIVOG7KG9J3KE","GSON1112150690")</f>
        <v>#NAME?</v>
      </c>
      <c r="P1943" s="23" t="e">
        <f ca="1">[1]!BexGetData("DP_1","003N8EMH8GTFRIVOG7KG9J9VY","GSON1112150690")</f>
        <v>#NAME?</v>
      </c>
      <c r="Q1943" s="23" t="e">
        <f ca="1">[1]!BexGetData("DP_1","00O2TNJGODT0G5Z4TTKYMM5MT","GSON1112150690")</f>
        <v>#NAME?</v>
      </c>
      <c r="R1943" s="23" t="e">
        <f ca="1">[1]!BexGetData("DP_1","00O2TNJGODT0G5Z4TTKYMMBYD","GSON1112150690")</f>
        <v>#NAME?</v>
      </c>
      <c r="S1943" s="23" t="e">
        <f ca="1">[1]!BexGetData("DP_1","00O2TNJGODT0G5Z4TTKYMMI9X","GSON1112150690")</f>
        <v>#NAME?</v>
      </c>
      <c r="T1943" s="28" t="e">
        <f ca="1">[1]!BexGetData("DP_1","00O2TNJGODT0G5Z4TTKYMMOLH","GSON1112150690")</f>
        <v>#NAME?</v>
      </c>
      <c r="U1943" s="23" t="e">
        <f ca="1">[1]!BexGetData("DP_1","00O2TNJGODT0G5Z4TTKYMMUX1","GSON1112150690")</f>
        <v>#NAME?</v>
      </c>
      <c r="V1943" s="28" t="e">
        <f ca="1">[1]!BexGetData("DP_1","00O2TNJGODT0G5Z4TTKYMN18L","GSON1112150690")</f>
        <v>#NAME?</v>
      </c>
      <c r="W1943" s="23" t="e">
        <f ca="1">[1]!BexGetData("DP_1","00O2TNJGODT0G5Z4TTKYMN7K5","GSON1112150690")</f>
        <v>#NAME?</v>
      </c>
    </row>
    <row r="1944" spans="1:23" x14ac:dyDescent="0.2">
      <c r="A1944" s="36" t="s">
        <v>314</v>
      </c>
      <c r="B1944" s="27" t="s">
        <v>315</v>
      </c>
      <c r="C1944" s="23" t="e">
        <f ca="1">[1]!BexGetData("DP_1","003N8EMH8GTFRCSWKMPXRR8GU","GSON1112150691")</f>
        <v>#NAME?</v>
      </c>
      <c r="D1944" s="23" t="e">
        <f ca="1">[1]!BexGetData("DP_1","003N8EMH8GTFRCSWKMPXRRESE","GSON1112150691")</f>
        <v>#NAME?</v>
      </c>
      <c r="E1944" s="23" t="e">
        <f ca="1">[1]!BexGetData("DP_1","003N8EMH8GTFRCSWKMPXRRL3Y","GSON1112150691")</f>
        <v>#NAME?</v>
      </c>
      <c r="F1944" s="23" t="e">
        <f ca="1">[1]!BexGetData("DP_1","003N8EMH8GTFRCSWKMPXRRRFI","GSON1112150691")</f>
        <v>#NAME?</v>
      </c>
      <c r="G1944" s="23" t="e">
        <f ca="1">[1]!BexGetData("DP_1","003N8EMH8GTFRCSWKMPXRRXR2","GSON1112150691")</f>
        <v>#NAME?</v>
      </c>
      <c r="H1944" s="23" t="e">
        <f ca="1">[1]!BexGetData("DP_1","003N8EMH8GTFRCSWKMPXRS42M","GSON1112150691")</f>
        <v>#NAME?</v>
      </c>
      <c r="I1944" s="23" t="e">
        <f ca="1">[1]!BexGetData("DP_1","003N8EMH8GTFRCSWKMPXRSAE6","GSON1112150691")</f>
        <v>#NAME?</v>
      </c>
      <c r="J1944" s="24" t="e">
        <f ca="1">[1]!BexGetData("DP_1","003N8EMH8GTFRCSWKMPXRSGPQ","GSON1112150691")</f>
        <v>#NAME?</v>
      </c>
      <c r="K1944" s="23" t="e">
        <f ca="1">[1]!BexGetData("DP_1","003N8EMH8GTFRIVNUPY288VJH","GSON1112150691")</f>
        <v>#NAME?</v>
      </c>
      <c r="L1944" s="23" t="e">
        <f ca="1">[1]!BexGetData("DP_1","003N8EMH8GTFRIVNUPY2891V1","GSON1112150691")</f>
        <v>#NAME?</v>
      </c>
      <c r="M1944" s="28" t="e">
        <f ca="1">[1]!BexGetData("DP_1","003N8EMH8GTFRIVOG7KG9IQXA","GSON1112150691")</f>
        <v>#NAME?</v>
      </c>
      <c r="N1944" s="23" t="e">
        <f ca="1">[1]!BexGetData("DP_1","003N8EMH8GTFRIVOG7KG9IX8U","GSON1112150691")</f>
        <v>#NAME?</v>
      </c>
      <c r="O1944" s="28" t="e">
        <f ca="1">[1]!BexGetData("DP_1","003N8EMH8GTFRIVOG7KG9J3KE","GSON1112150691")</f>
        <v>#NAME?</v>
      </c>
      <c r="P1944" s="23" t="e">
        <f ca="1">[1]!BexGetData("DP_1","003N8EMH8GTFRIVOG7KG9J9VY","GSON1112150691")</f>
        <v>#NAME?</v>
      </c>
      <c r="Q1944" s="24" t="e">
        <f ca="1">[1]!BexGetData("DP_1","00O2TNJGODT0G5Z4TTKYMM5MT","GSON1112150691")</f>
        <v>#NAME?</v>
      </c>
      <c r="R1944" s="23" t="e">
        <f ca="1">[1]!BexGetData("DP_1","00O2TNJGODT0G5Z4TTKYMMBYD","GSON1112150691")</f>
        <v>#NAME?</v>
      </c>
      <c r="S1944" s="23" t="e">
        <f ca="1">[1]!BexGetData("DP_1","00O2TNJGODT0G5Z4TTKYMMI9X","GSON1112150691")</f>
        <v>#NAME?</v>
      </c>
      <c r="T1944" s="23" t="e">
        <f ca="1">[1]!BexGetData("DP_1","00O2TNJGODT0G5Z4TTKYMMOLH","GSON1112150691")</f>
        <v>#NAME?</v>
      </c>
      <c r="U1944" s="28" t="e">
        <f ca="1">[1]!BexGetData("DP_1","00O2TNJGODT0G5Z4TTKYMMUX1","GSON1112150691")</f>
        <v>#NAME?</v>
      </c>
      <c r="V1944" s="23" t="e">
        <f ca="1">[1]!BexGetData("DP_1","00O2TNJGODT0G5Z4TTKYMN18L","GSON1112150691")</f>
        <v>#NAME?</v>
      </c>
      <c r="W1944" s="28" t="e">
        <f ca="1">[1]!BexGetData("DP_1","00O2TNJGODT0G5Z4TTKYMN7K5","GSON1112150691")</f>
        <v>#NAME?</v>
      </c>
    </row>
    <row r="1945" spans="1:23" x14ac:dyDescent="0.2">
      <c r="A1945" s="36" t="s">
        <v>4898</v>
      </c>
      <c r="B1945" s="27" t="s">
        <v>1620</v>
      </c>
      <c r="C1945" s="28" t="e">
        <f ca="1">[1]!BexGetData("DP_1","003N8EMH8GTFRCSWKMPXRR8GU","GSON1112150692")</f>
        <v>#NAME?</v>
      </c>
      <c r="D1945" s="28" t="e">
        <f ca="1">[1]!BexGetData("DP_1","003N8EMH8GTFRCSWKMPXRRESE","GSON1112150692")</f>
        <v>#NAME?</v>
      </c>
      <c r="E1945" s="28" t="e">
        <f ca="1">[1]!BexGetData("DP_1","003N8EMH8GTFRCSWKMPXRRL3Y","GSON1112150692")</f>
        <v>#NAME?</v>
      </c>
      <c r="F1945" s="28" t="e">
        <f ca="1">[1]!BexGetData("DP_1","003N8EMH8GTFRCSWKMPXRRRFI","GSON1112150692")</f>
        <v>#NAME?</v>
      </c>
      <c r="G1945" s="23" t="e">
        <f ca="1">[1]!BexGetData("DP_1","003N8EMH8GTFRCSWKMPXRRXR2","GSON1112150692")</f>
        <v>#NAME?</v>
      </c>
      <c r="H1945" s="23" t="e">
        <f ca="1">[1]!BexGetData("DP_1","003N8EMH8GTFRCSWKMPXRS42M","GSON1112150692")</f>
        <v>#NAME?</v>
      </c>
      <c r="I1945" s="28" t="e">
        <f ca="1">[1]!BexGetData("DP_1","003N8EMH8GTFRCSWKMPXRSAE6","GSON1112150692")</f>
        <v>#NAME?</v>
      </c>
      <c r="J1945" s="24" t="e">
        <f ca="1">[1]!BexGetData("DP_1","003N8EMH8GTFRCSWKMPXRSGPQ","GSON1112150692")</f>
        <v>#NAME?</v>
      </c>
      <c r="K1945" s="28" t="e">
        <f ca="1">[1]!BexGetData("DP_1","003N8EMH8GTFRIVNUPY288VJH","GSON1112150692")</f>
        <v>#NAME?</v>
      </c>
      <c r="L1945" s="28" t="e">
        <f ca="1">[1]!BexGetData("DP_1","003N8EMH8GTFRIVNUPY2891V1","GSON1112150692")</f>
        <v>#NAME?</v>
      </c>
      <c r="M1945" s="28" t="e">
        <f ca="1">[1]!BexGetData("DP_1","003N8EMH8GTFRIVOG7KG9IQXA","GSON1112150692")</f>
        <v>#NAME?</v>
      </c>
      <c r="N1945" s="28" t="e">
        <f ca="1">[1]!BexGetData("DP_1","003N8EMH8GTFRIVOG7KG9IX8U","GSON1112150692")</f>
        <v>#NAME?</v>
      </c>
      <c r="O1945" s="28" t="e">
        <f ca="1">[1]!BexGetData("DP_1","003N8EMH8GTFRIVOG7KG9J3KE","GSON1112150692")</f>
        <v>#NAME?</v>
      </c>
      <c r="P1945" s="28" t="e">
        <f ca="1">[1]!BexGetData("DP_1","003N8EMH8GTFRIVOG7KG9J9VY","GSON1112150692")</f>
        <v>#NAME?</v>
      </c>
      <c r="Q1945" s="24" t="e">
        <f ca="1">[1]!BexGetData("DP_1","00O2TNJGODT0G5Z4TTKYMM5MT","GSON1112150692")</f>
        <v>#NAME?</v>
      </c>
      <c r="R1945" s="28" t="e">
        <f ca="1">[1]!BexGetData("DP_1","00O2TNJGODT0G5Z4TTKYMMBYD","GSON1112150692")</f>
        <v>#NAME?</v>
      </c>
      <c r="S1945" s="28" t="e">
        <f ca="1">[1]!BexGetData("DP_1","00O2TNJGODT0G5Z4TTKYMMI9X","GSON1112150692")</f>
        <v>#NAME?</v>
      </c>
      <c r="T1945" s="28" t="e">
        <f ca="1">[1]!BexGetData("DP_1","00O2TNJGODT0G5Z4TTKYMMOLH","GSON1112150692")</f>
        <v>#NAME?</v>
      </c>
      <c r="U1945" s="28" t="e">
        <f ca="1">[1]!BexGetData("DP_1","00O2TNJGODT0G5Z4TTKYMMUX1","GSON1112150692")</f>
        <v>#NAME?</v>
      </c>
      <c r="V1945" s="28" t="e">
        <f ca="1">[1]!BexGetData("DP_1","00O2TNJGODT0G5Z4TTKYMN18L","GSON1112150692")</f>
        <v>#NAME?</v>
      </c>
      <c r="W1945" s="28" t="e">
        <f ca="1">[1]!BexGetData("DP_1","00O2TNJGODT0G5Z4TTKYMN7K5","GSON1112150692")</f>
        <v>#NAME?</v>
      </c>
    </row>
    <row r="1946" spans="1:23" x14ac:dyDescent="0.2">
      <c r="A1946" s="36" t="s">
        <v>316</v>
      </c>
      <c r="B1946" s="27" t="s">
        <v>317</v>
      </c>
      <c r="C1946" s="23" t="e">
        <f ca="1">[1]!BexGetData("DP_1","003N8EMH8GTFRCSWKMPXRR8GU","GSON1112150693")</f>
        <v>#NAME?</v>
      </c>
      <c r="D1946" s="23" t="e">
        <f ca="1">[1]!BexGetData("DP_1","003N8EMH8GTFRCSWKMPXRRESE","GSON1112150693")</f>
        <v>#NAME?</v>
      </c>
      <c r="E1946" s="28" t="e">
        <f ca="1">[1]!BexGetData("DP_1","003N8EMH8GTFRCSWKMPXRRL3Y","GSON1112150693")</f>
        <v>#NAME?</v>
      </c>
      <c r="F1946" s="28" t="e">
        <f ca="1">[1]!BexGetData("DP_1","003N8EMH8GTFRCSWKMPXRRRFI","GSON1112150693")</f>
        <v>#NAME?</v>
      </c>
      <c r="G1946" s="23" t="e">
        <f ca="1">[1]!BexGetData("DP_1","003N8EMH8GTFRCSWKMPXRRXR2","GSON1112150693")</f>
        <v>#NAME?</v>
      </c>
      <c r="H1946" s="23" t="e">
        <f ca="1">[1]!BexGetData("DP_1","003N8EMH8GTFRCSWKMPXRS42M","GSON1112150693")</f>
        <v>#NAME?</v>
      </c>
      <c r="I1946" s="28" t="e">
        <f ca="1">[1]!BexGetData("DP_1","003N8EMH8GTFRCSWKMPXRSAE6","GSON1112150693")</f>
        <v>#NAME?</v>
      </c>
      <c r="J1946" s="24" t="e">
        <f ca="1">[1]!BexGetData("DP_1","003N8EMH8GTFRCSWKMPXRSGPQ","GSON1112150693")</f>
        <v>#NAME?</v>
      </c>
      <c r="K1946" s="28" t="e">
        <f ca="1">[1]!BexGetData("DP_1","003N8EMH8GTFRIVNUPY288VJH","GSON1112150693")</f>
        <v>#NAME?</v>
      </c>
      <c r="L1946" s="28" t="e">
        <f ca="1">[1]!BexGetData("DP_1","003N8EMH8GTFRIVNUPY2891V1","GSON1112150693")</f>
        <v>#NAME?</v>
      </c>
      <c r="M1946" s="28" t="e">
        <f ca="1">[1]!BexGetData("DP_1","003N8EMH8GTFRIVOG7KG9IQXA","GSON1112150693")</f>
        <v>#NAME?</v>
      </c>
      <c r="N1946" s="28" t="e">
        <f ca="1">[1]!BexGetData("DP_1","003N8EMH8GTFRIVOG7KG9IX8U","GSON1112150693")</f>
        <v>#NAME?</v>
      </c>
      <c r="O1946" s="28" t="e">
        <f ca="1">[1]!BexGetData("DP_1","003N8EMH8GTFRIVOG7KG9J3KE","GSON1112150693")</f>
        <v>#NAME?</v>
      </c>
      <c r="P1946" s="28" t="e">
        <f ca="1">[1]!BexGetData("DP_1","003N8EMH8GTFRIVOG7KG9J9VY","GSON1112150693")</f>
        <v>#NAME?</v>
      </c>
      <c r="Q1946" s="24" t="e">
        <f ca="1">[1]!BexGetData("DP_1","00O2TNJGODT0G5Z4TTKYMM5MT","GSON1112150693")</f>
        <v>#NAME?</v>
      </c>
      <c r="R1946" s="28" t="e">
        <f ca="1">[1]!BexGetData("DP_1","00O2TNJGODT0G5Z4TTKYMMBYD","GSON1112150693")</f>
        <v>#NAME?</v>
      </c>
      <c r="S1946" s="28" t="e">
        <f ca="1">[1]!BexGetData("DP_1","00O2TNJGODT0G5Z4TTKYMMI9X","GSON1112150693")</f>
        <v>#NAME?</v>
      </c>
      <c r="T1946" s="28" t="e">
        <f ca="1">[1]!BexGetData("DP_1","00O2TNJGODT0G5Z4TTKYMMOLH","GSON1112150693")</f>
        <v>#NAME?</v>
      </c>
      <c r="U1946" s="28" t="e">
        <f ca="1">[1]!BexGetData("DP_1","00O2TNJGODT0G5Z4TTKYMMUX1","GSON1112150693")</f>
        <v>#NAME?</v>
      </c>
      <c r="V1946" s="28" t="e">
        <f ca="1">[1]!BexGetData("DP_1","00O2TNJGODT0G5Z4TTKYMN18L","GSON1112150693")</f>
        <v>#NAME?</v>
      </c>
      <c r="W1946" s="28" t="e">
        <f ca="1">[1]!BexGetData("DP_1","00O2TNJGODT0G5Z4TTKYMN7K5","GSON1112150693")</f>
        <v>#NAME?</v>
      </c>
    </row>
    <row r="1947" spans="1:23" x14ac:dyDescent="0.2">
      <c r="A1947" s="36" t="s">
        <v>4899</v>
      </c>
      <c r="B1947" s="27" t="s">
        <v>318</v>
      </c>
      <c r="C1947" s="23" t="e">
        <f ca="1">[1]!BexGetData("DP_1","003N8EMH8GTFRCSWKMPXRR8GU","GSON1112150694")</f>
        <v>#NAME?</v>
      </c>
      <c r="D1947" s="23" t="e">
        <f ca="1">[1]!BexGetData("DP_1","003N8EMH8GTFRCSWKMPXRRESE","GSON1112150694")</f>
        <v>#NAME?</v>
      </c>
      <c r="E1947" s="23" t="e">
        <f ca="1">[1]!BexGetData("DP_1","003N8EMH8GTFRCSWKMPXRRL3Y","GSON1112150694")</f>
        <v>#NAME?</v>
      </c>
      <c r="F1947" s="28" t="e">
        <f ca="1">[1]!BexGetData("DP_1","003N8EMH8GTFRCSWKMPXRRRFI","GSON1112150694")</f>
        <v>#NAME?</v>
      </c>
      <c r="G1947" s="23" t="e">
        <f ca="1">[1]!BexGetData("DP_1","003N8EMH8GTFRCSWKMPXRRXR2","GSON1112150694")</f>
        <v>#NAME?</v>
      </c>
      <c r="H1947" s="23" t="e">
        <f ca="1">[1]!BexGetData("DP_1","003N8EMH8GTFRCSWKMPXRS42M","GSON1112150694")</f>
        <v>#NAME?</v>
      </c>
      <c r="I1947" s="28" t="e">
        <f ca="1">[1]!BexGetData("DP_1","003N8EMH8GTFRCSWKMPXRSAE6","GSON1112150694")</f>
        <v>#NAME?</v>
      </c>
      <c r="J1947" s="24" t="e">
        <f ca="1">[1]!BexGetData("DP_1","003N8EMH8GTFRCSWKMPXRSGPQ","GSON1112150694")</f>
        <v>#NAME?</v>
      </c>
      <c r="K1947" s="23" t="e">
        <f ca="1">[1]!BexGetData("DP_1","003N8EMH8GTFRIVNUPY288VJH","GSON1112150694")</f>
        <v>#NAME?</v>
      </c>
      <c r="L1947" s="23" t="e">
        <f ca="1">[1]!BexGetData("DP_1","003N8EMH8GTFRIVNUPY2891V1","GSON1112150694")</f>
        <v>#NAME?</v>
      </c>
      <c r="M1947" s="23" t="e">
        <f ca="1">[1]!BexGetData("DP_1","003N8EMH8GTFRIVOG7KG9IQXA","GSON1112150694")</f>
        <v>#NAME?</v>
      </c>
      <c r="N1947" s="28" t="e">
        <f ca="1">[1]!BexGetData("DP_1","003N8EMH8GTFRIVOG7KG9IX8U","GSON1112150694")</f>
        <v>#NAME?</v>
      </c>
      <c r="O1947" s="23" t="e">
        <f ca="1">[1]!BexGetData("DP_1","003N8EMH8GTFRIVOG7KG9J3KE","GSON1112150694")</f>
        <v>#NAME?</v>
      </c>
      <c r="P1947" s="28" t="e">
        <f ca="1">[1]!BexGetData("DP_1","003N8EMH8GTFRIVOG7KG9J9VY","GSON1112150694")</f>
        <v>#NAME?</v>
      </c>
      <c r="Q1947" s="24" t="e">
        <f ca="1">[1]!BexGetData("DP_1","00O2TNJGODT0G5Z4TTKYMM5MT","GSON1112150694")</f>
        <v>#NAME?</v>
      </c>
      <c r="R1947" s="28" t="e">
        <f ca="1">[1]!BexGetData("DP_1","00O2TNJGODT0G5Z4TTKYMMBYD","GSON1112150694")</f>
        <v>#NAME?</v>
      </c>
      <c r="S1947" s="28" t="e">
        <f ca="1">[1]!BexGetData("DP_1","00O2TNJGODT0G5Z4TTKYMMI9X","GSON1112150694")</f>
        <v>#NAME?</v>
      </c>
      <c r="T1947" s="28" t="e">
        <f ca="1">[1]!BexGetData("DP_1","00O2TNJGODT0G5Z4TTKYMMOLH","GSON1112150694")</f>
        <v>#NAME?</v>
      </c>
      <c r="U1947" s="28" t="e">
        <f ca="1">[1]!BexGetData("DP_1","00O2TNJGODT0G5Z4TTKYMMUX1","GSON1112150694")</f>
        <v>#NAME?</v>
      </c>
      <c r="V1947" s="28" t="e">
        <f ca="1">[1]!BexGetData("DP_1","00O2TNJGODT0G5Z4TTKYMN18L","GSON1112150694")</f>
        <v>#NAME?</v>
      </c>
      <c r="W1947" s="28" t="e">
        <f ca="1">[1]!BexGetData("DP_1","00O2TNJGODT0G5Z4TTKYMN7K5","GSON1112150694")</f>
        <v>#NAME?</v>
      </c>
    </row>
    <row r="1948" spans="1:23" x14ac:dyDescent="0.2">
      <c r="A1948" s="36" t="s">
        <v>4900</v>
      </c>
      <c r="B1948" s="27" t="s">
        <v>4901</v>
      </c>
      <c r="C1948" s="23" t="e">
        <f ca="1">[1]!BexGetData("DP_1","003N8EMH8GTFRCSWKMPXRR8GU","GSON1112150700")</f>
        <v>#NAME?</v>
      </c>
      <c r="D1948" s="23" t="e">
        <f ca="1">[1]!BexGetData("DP_1","003N8EMH8GTFRCSWKMPXRRESE","GSON1112150700")</f>
        <v>#NAME?</v>
      </c>
      <c r="E1948" s="23" t="e">
        <f ca="1">[1]!BexGetData("DP_1","003N8EMH8GTFRCSWKMPXRRL3Y","GSON1112150700")</f>
        <v>#NAME?</v>
      </c>
      <c r="F1948" s="23" t="e">
        <f ca="1">[1]!BexGetData("DP_1","003N8EMH8GTFRCSWKMPXRRRFI","GSON1112150700")</f>
        <v>#NAME?</v>
      </c>
      <c r="G1948" s="23" t="e">
        <f ca="1">[1]!BexGetData("DP_1","003N8EMH8GTFRCSWKMPXRRXR2","GSON1112150700")</f>
        <v>#NAME?</v>
      </c>
      <c r="H1948" s="23" t="e">
        <f ca="1">[1]!BexGetData("DP_1","003N8EMH8GTFRCSWKMPXRS42M","GSON1112150700")</f>
        <v>#NAME?</v>
      </c>
      <c r="I1948" s="23" t="e">
        <f ca="1">[1]!BexGetData("DP_1","003N8EMH8GTFRCSWKMPXRSAE6","GSON1112150700")</f>
        <v>#NAME?</v>
      </c>
      <c r="J1948" s="23" t="e">
        <f ca="1">[1]!BexGetData("DP_1","003N8EMH8GTFRCSWKMPXRSGPQ","GSON1112150700")</f>
        <v>#NAME?</v>
      </c>
      <c r="K1948" s="23" t="e">
        <f ca="1">[1]!BexGetData("DP_1","003N8EMH8GTFRIVNUPY288VJH","GSON1112150700")</f>
        <v>#NAME?</v>
      </c>
      <c r="L1948" s="23" t="e">
        <f ca="1">[1]!BexGetData("DP_1","003N8EMH8GTFRIVNUPY2891V1","GSON1112150700")</f>
        <v>#NAME?</v>
      </c>
      <c r="M1948" s="28" t="e">
        <f ca="1">[1]!BexGetData("DP_1","003N8EMH8GTFRIVOG7KG9IQXA","GSON1112150700")</f>
        <v>#NAME?</v>
      </c>
      <c r="N1948" s="23" t="e">
        <f ca="1">[1]!BexGetData("DP_1","003N8EMH8GTFRIVOG7KG9IX8U","GSON1112150700")</f>
        <v>#NAME?</v>
      </c>
      <c r="O1948" s="28" t="e">
        <f ca="1">[1]!BexGetData("DP_1","003N8EMH8GTFRIVOG7KG9J3KE","GSON1112150700")</f>
        <v>#NAME?</v>
      </c>
      <c r="P1948" s="23" t="e">
        <f ca="1">[1]!BexGetData("DP_1","003N8EMH8GTFRIVOG7KG9J9VY","GSON1112150700")</f>
        <v>#NAME?</v>
      </c>
      <c r="Q1948" s="23" t="e">
        <f ca="1">[1]!BexGetData("DP_1","00O2TNJGODT0G5Z4TTKYMM5MT","GSON1112150700")</f>
        <v>#NAME?</v>
      </c>
      <c r="R1948" s="23" t="e">
        <f ca="1">[1]!BexGetData("DP_1","00O2TNJGODT0G5Z4TTKYMMBYD","GSON1112150700")</f>
        <v>#NAME?</v>
      </c>
      <c r="S1948" s="23" t="e">
        <f ca="1">[1]!BexGetData("DP_1","00O2TNJGODT0G5Z4TTKYMMI9X","GSON1112150700")</f>
        <v>#NAME?</v>
      </c>
      <c r="T1948" s="28" t="e">
        <f ca="1">[1]!BexGetData("DP_1","00O2TNJGODT0G5Z4TTKYMMOLH","GSON1112150700")</f>
        <v>#NAME?</v>
      </c>
      <c r="U1948" s="23" t="e">
        <f ca="1">[1]!BexGetData("DP_1","00O2TNJGODT0G5Z4TTKYMMUX1","GSON1112150700")</f>
        <v>#NAME?</v>
      </c>
      <c r="V1948" s="28" t="e">
        <f ca="1">[1]!BexGetData("DP_1","00O2TNJGODT0G5Z4TTKYMN18L","GSON1112150700")</f>
        <v>#NAME?</v>
      </c>
      <c r="W1948" s="23" t="e">
        <f ca="1">[1]!BexGetData("DP_1","00O2TNJGODT0G5Z4TTKYMN7K5","GSON1112150700")</f>
        <v>#NAME?</v>
      </c>
    </row>
    <row r="1949" spans="1:23" x14ac:dyDescent="0.2">
      <c r="A1949" s="36" t="s">
        <v>4902</v>
      </c>
      <c r="B1949" s="27" t="s">
        <v>4903</v>
      </c>
      <c r="C1949" s="23" t="e">
        <f ca="1">[1]!BexGetData("DP_1","003N8EMH8GTFRCSWKMPXRR8GU","GSON1112150701")</f>
        <v>#NAME?</v>
      </c>
      <c r="D1949" s="23" t="e">
        <f ca="1">[1]!BexGetData("DP_1","003N8EMH8GTFRCSWKMPXRRESE","GSON1112150701")</f>
        <v>#NAME?</v>
      </c>
      <c r="E1949" s="28" t="e">
        <f ca="1">[1]!BexGetData("DP_1","003N8EMH8GTFRCSWKMPXRRL3Y","GSON1112150701")</f>
        <v>#NAME?</v>
      </c>
      <c r="F1949" s="23" t="e">
        <f ca="1">[1]!BexGetData("DP_1","003N8EMH8GTFRCSWKMPXRRRFI","GSON1112150701")</f>
        <v>#NAME?</v>
      </c>
      <c r="G1949" s="23" t="e">
        <f ca="1">[1]!BexGetData("DP_1","003N8EMH8GTFRCSWKMPXRRXR2","GSON1112150701")</f>
        <v>#NAME?</v>
      </c>
      <c r="H1949" s="23" t="e">
        <f ca="1">[1]!BexGetData("DP_1","003N8EMH8GTFRCSWKMPXRS42M","GSON1112150701")</f>
        <v>#NAME?</v>
      </c>
      <c r="I1949" s="23" t="e">
        <f ca="1">[1]!BexGetData("DP_1","003N8EMH8GTFRCSWKMPXRSAE6","GSON1112150701")</f>
        <v>#NAME?</v>
      </c>
      <c r="J1949" s="24" t="e">
        <f ca="1">[1]!BexGetData("DP_1","003N8EMH8GTFRCSWKMPXRSGPQ","GSON1112150701")</f>
        <v>#NAME?</v>
      </c>
      <c r="K1949" s="23" t="e">
        <f ca="1">[1]!BexGetData("DP_1","003N8EMH8GTFRIVNUPY288VJH","GSON1112150701")</f>
        <v>#NAME?</v>
      </c>
      <c r="L1949" s="23" t="e">
        <f ca="1">[1]!BexGetData("DP_1","003N8EMH8GTFRIVNUPY2891V1","GSON1112150701")</f>
        <v>#NAME?</v>
      </c>
      <c r="M1949" s="23" t="e">
        <f ca="1">[1]!BexGetData("DP_1","003N8EMH8GTFRIVOG7KG9IQXA","GSON1112150701")</f>
        <v>#NAME?</v>
      </c>
      <c r="N1949" s="28" t="e">
        <f ca="1">[1]!BexGetData("DP_1","003N8EMH8GTFRIVOG7KG9IX8U","GSON1112150701")</f>
        <v>#NAME?</v>
      </c>
      <c r="O1949" s="23" t="e">
        <f ca="1">[1]!BexGetData("DP_1","003N8EMH8GTFRIVOG7KG9J3KE","GSON1112150701")</f>
        <v>#NAME?</v>
      </c>
      <c r="P1949" s="28" t="e">
        <f ca="1">[1]!BexGetData("DP_1","003N8EMH8GTFRIVOG7KG9J9VY","GSON1112150701")</f>
        <v>#NAME?</v>
      </c>
      <c r="Q1949" s="24" t="e">
        <f ca="1">[1]!BexGetData("DP_1","00O2TNJGODT0G5Z4TTKYMM5MT","GSON1112150701")</f>
        <v>#NAME?</v>
      </c>
      <c r="R1949" s="23" t="e">
        <f ca="1">[1]!BexGetData("DP_1","00O2TNJGODT0G5Z4TTKYMMBYD","GSON1112150701")</f>
        <v>#NAME?</v>
      </c>
      <c r="S1949" s="23" t="e">
        <f ca="1">[1]!BexGetData("DP_1","00O2TNJGODT0G5Z4TTKYMMI9X","GSON1112150701")</f>
        <v>#NAME?</v>
      </c>
      <c r="T1949" s="28" t="e">
        <f ca="1">[1]!BexGetData("DP_1","00O2TNJGODT0G5Z4TTKYMMOLH","GSON1112150701")</f>
        <v>#NAME?</v>
      </c>
      <c r="U1949" s="23" t="e">
        <f ca="1">[1]!BexGetData("DP_1","00O2TNJGODT0G5Z4TTKYMMUX1","GSON1112150701")</f>
        <v>#NAME?</v>
      </c>
      <c r="V1949" s="28" t="e">
        <f ca="1">[1]!BexGetData("DP_1","00O2TNJGODT0G5Z4TTKYMN18L","GSON1112150701")</f>
        <v>#NAME?</v>
      </c>
      <c r="W1949" s="23" t="e">
        <f ca="1">[1]!BexGetData("DP_1","00O2TNJGODT0G5Z4TTKYMN7K5","GSON1112150701")</f>
        <v>#NAME?</v>
      </c>
    </row>
    <row r="1950" spans="1:23" x14ac:dyDescent="0.2">
      <c r="A1950" s="36" t="s">
        <v>4904</v>
      </c>
      <c r="B1950" s="27" t="s">
        <v>4905</v>
      </c>
      <c r="C1950" s="23" t="e">
        <f ca="1">[1]!BexGetData("DP_1","003N8EMH8GTFRCSWKMPXRR8GU","GSON1112150703")</f>
        <v>#NAME?</v>
      </c>
      <c r="D1950" s="23" t="e">
        <f ca="1">[1]!BexGetData("DP_1","003N8EMH8GTFRCSWKMPXRRESE","GSON1112150703")</f>
        <v>#NAME?</v>
      </c>
      <c r="E1950" s="28" t="e">
        <f ca="1">[1]!BexGetData("DP_1","003N8EMH8GTFRCSWKMPXRRL3Y","GSON1112150703")</f>
        <v>#NAME?</v>
      </c>
      <c r="F1950" s="28" t="e">
        <f ca="1">[1]!BexGetData("DP_1","003N8EMH8GTFRCSWKMPXRRRFI","GSON1112150703")</f>
        <v>#NAME?</v>
      </c>
      <c r="G1950" s="23" t="e">
        <f ca="1">[1]!BexGetData("DP_1","003N8EMH8GTFRCSWKMPXRRXR2","GSON1112150703")</f>
        <v>#NAME?</v>
      </c>
      <c r="H1950" s="23" t="e">
        <f ca="1">[1]!BexGetData("DP_1","003N8EMH8GTFRCSWKMPXRS42M","GSON1112150703")</f>
        <v>#NAME?</v>
      </c>
      <c r="I1950" s="28" t="e">
        <f ca="1">[1]!BexGetData("DP_1","003N8EMH8GTFRCSWKMPXRSAE6","GSON1112150703")</f>
        <v>#NAME?</v>
      </c>
      <c r="J1950" s="24" t="e">
        <f ca="1">[1]!BexGetData("DP_1","003N8EMH8GTFRCSWKMPXRSGPQ","GSON1112150703")</f>
        <v>#NAME?</v>
      </c>
      <c r="K1950" s="28" t="e">
        <f ca="1">[1]!BexGetData("DP_1","003N8EMH8GTFRIVNUPY288VJH","GSON1112150703")</f>
        <v>#NAME?</v>
      </c>
      <c r="L1950" s="28" t="e">
        <f ca="1">[1]!BexGetData("DP_1","003N8EMH8GTFRIVNUPY2891V1","GSON1112150703")</f>
        <v>#NAME?</v>
      </c>
      <c r="M1950" s="28" t="e">
        <f ca="1">[1]!BexGetData("DP_1","003N8EMH8GTFRIVOG7KG9IQXA","GSON1112150703")</f>
        <v>#NAME?</v>
      </c>
      <c r="N1950" s="28" t="e">
        <f ca="1">[1]!BexGetData("DP_1","003N8EMH8GTFRIVOG7KG9IX8U","GSON1112150703")</f>
        <v>#NAME?</v>
      </c>
      <c r="O1950" s="28" t="e">
        <f ca="1">[1]!BexGetData("DP_1","003N8EMH8GTFRIVOG7KG9J3KE","GSON1112150703")</f>
        <v>#NAME?</v>
      </c>
      <c r="P1950" s="28" t="e">
        <f ca="1">[1]!BexGetData("DP_1","003N8EMH8GTFRIVOG7KG9J9VY","GSON1112150703")</f>
        <v>#NAME?</v>
      </c>
      <c r="Q1950" s="24" t="e">
        <f ca="1">[1]!BexGetData("DP_1","00O2TNJGODT0G5Z4TTKYMM5MT","GSON1112150703")</f>
        <v>#NAME?</v>
      </c>
      <c r="R1950" s="28" t="e">
        <f ca="1">[1]!BexGetData("DP_1","00O2TNJGODT0G5Z4TTKYMMBYD","GSON1112150703")</f>
        <v>#NAME?</v>
      </c>
      <c r="S1950" s="28" t="e">
        <f ca="1">[1]!BexGetData("DP_1","00O2TNJGODT0G5Z4TTKYMMI9X","GSON1112150703")</f>
        <v>#NAME?</v>
      </c>
      <c r="T1950" s="28" t="e">
        <f ca="1">[1]!BexGetData("DP_1","00O2TNJGODT0G5Z4TTKYMMOLH","GSON1112150703")</f>
        <v>#NAME?</v>
      </c>
      <c r="U1950" s="28" t="e">
        <f ca="1">[1]!BexGetData("DP_1","00O2TNJGODT0G5Z4TTKYMMUX1","GSON1112150703")</f>
        <v>#NAME?</v>
      </c>
      <c r="V1950" s="28" t="e">
        <f ca="1">[1]!BexGetData("DP_1","00O2TNJGODT0G5Z4TTKYMN18L","GSON1112150703")</f>
        <v>#NAME?</v>
      </c>
      <c r="W1950" s="28" t="e">
        <f ca="1">[1]!BexGetData("DP_1","00O2TNJGODT0G5Z4TTKYMN7K5","GSON1112150703")</f>
        <v>#NAME?</v>
      </c>
    </row>
    <row r="1951" spans="1:23" x14ac:dyDescent="0.2">
      <c r="A1951" s="36" t="s">
        <v>4906</v>
      </c>
      <c r="B1951" s="27" t="s">
        <v>4907</v>
      </c>
      <c r="C1951" s="23" t="e">
        <f ca="1">[1]!BexGetData("DP_1","003N8EMH8GTFRCSWKMPXRR8GU","GSON1112150704")</f>
        <v>#NAME?</v>
      </c>
      <c r="D1951" s="23" t="e">
        <f ca="1">[1]!BexGetData("DP_1","003N8EMH8GTFRCSWKMPXRRESE","GSON1112150704")</f>
        <v>#NAME?</v>
      </c>
      <c r="E1951" s="28" t="e">
        <f ca="1">[1]!BexGetData("DP_1","003N8EMH8GTFRCSWKMPXRRL3Y","GSON1112150704")</f>
        <v>#NAME?</v>
      </c>
      <c r="F1951" s="23" t="e">
        <f ca="1">[1]!BexGetData("DP_1","003N8EMH8GTFRCSWKMPXRRRFI","GSON1112150704")</f>
        <v>#NAME?</v>
      </c>
      <c r="G1951" s="23" t="e">
        <f ca="1">[1]!BexGetData("DP_1","003N8EMH8GTFRCSWKMPXRRXR2","GSON1112150704")</f>
        <v>#NAME?</v>
      </c>
      <c r="H1951" s="23" t="e">
        <f ca="1">[1]!BexGetData("DP_1","003N8EMH8GTFRCSWKMPXRS42M","GSON1112150704")</f>
        <v>#NAME?</v>
      </c>
      <c r="I1951" s="23" t="e">
        <f ca="1">[1]!BexGetData("DP_1","003N8EMH8GTFRCSWKMPXRSAE6","GSON1112150704")</f>
        <v>#NAME?</v>
      </c>
      <c r="J1951" s="24" t="e">
        <f ca="1">[1]!BexGetData("DP_1","003N8EMH8GTFRCSWKMPXRSGPQ","GSON1112150704")</f>
        <v>#NAME?</v>
      </c>
      <c r="K1951" s="23" t="e">
        <f ca="1">[1]!BexGetData("DP_1","003N8EMH8GTFRIVNUPY288VJH","GSON1112150704")</f>
        <v>#NAME?</v>
      </c>
      <c r="L1951" s="23" t="e">
        <f ca="1">[1]!BexGetData("DP_1","003N8EMH8GTFRIVNUPY2891V1","GSON1112150704")</f>
        <v>#NAME?</v>
      </c>
      <c r="M1951" s="28" t="e">
        <f ca="1">[1]!BexGetData("DP_1","003N8EMH8GTFRIVOG7KG9IQXA","GSON1112150704")</f>
        <v>#NAME?</v>
      </c>
      <c r="N1951" s="23" t="e">
        <f ca="1">[1]!BexGetData("DP_1","003N8EMH8GTFRIVOG7KG9IX8U","GSON1112150704")</f>
        <v>#NAME?</v>
      </c>
      <c r="O1951" s="28" t="e">
        <f ca="1">[1]!BexGetData("DP_1","003N8EMH8GTFRIVOG7KG9J3KE","GSON1112150704")</f>
        <v>#NAME?</v>
      </c>
      <c r="P1951" s="23" t="e">
        <f ca="1">[1]!BexGetData("DP_1","003N8EMH8GTFRIVOG7KG9J9VY","GSON1112150704")</f>
        <v>#NAME?</v>
      </c>
      <c r="Q1951" s="24" t="e">
        <f ca="1">[1]!BexGetData("DP_1","00O2TNJGODT0G5Z4TTKYMM5MT","GSON1112150704")</f>
        <v>#NAME?</v>
      </c>
      <c r="R1951" s="23" t="e">
        <f ca="1">[1]!BexGetData("DP_1","00O2TNJGODT0G5Z4TTKYMMBYD","GSON1112150704")</f>
        <v>#NAME?</v>
      </c>
      <c r="S1951" s="23" t="e">
        <f ca="1">[1]!BexGetData("DP_1","00O2TNJGODT0G5Z4TTKYMMI9X","GSON1112150704")</f>
        <v>#NAME?</v>
      </c>
      <c r="T1951" s="23" t="e">
        <f ca="1">[1]!BexGetData("DP_1","00O2TNJGODT0G5Z4TTKYMMOLH","GSON1112150704")</f>
        <v>#NAME?</v>
      </c>
      <c r="U1951" s="28" t="e">
        <f ca="1">[1]!BexGetData("DP_1","00O2TNJGODT0G5Z4TTKYMMUX1","GSON1112150704")</f>
        <v>#NAME?</v>
      </c>
      <c r="V1951" s="23" t="e">
        <f ca="1">[1]!BexGetData("DP_1","00O2TNJGODT0G5Z4TTKYMN18L","GSON1112150704")</f>
        <v>#NAME?</v>
      </c>
      <c r="W1951" s="28" t="e">
        <f ca="1">[1]!BexGetData("DP_1","00O2TNJGODT0G5Z4TTKYMN7K5","GSON1112150704")</f>
        <v>#NAME?</v>
      </c>
    </row>
    <row r="1952" spans="1:23" x14ac:dyDescent="0.2">
      <c r="A1952" s="36" t="s">
        <v>319</v>
      </c>
      <c r="B1952" s="27" t="s">
        <v>320</v>
      </c>
      <c r="C1952" s="23" t="e">
        <f ca="1">[1]!BexGetData("DP_1","003N8EMH8GTFRCSWKMPXRR8GU","GSON1112150710")</f>
        <v>#NAME?</v>
      </c>
      <c r="D1952" s="23" t="e">
        <f ca="1">[1]!BexGetData("DP_1","003N8EMH8GTFRCSWKMPXRRESE","GSON1112150710")</f>
        <v>#NAME?</v>
      </c>
      <c r="E1952" s="23" t="e">
        <f ca="1">[1]!BexGetData("DP_1","003N8EMH8GTFRCSWKMPXRRL3Y","GSON1112150710")</f>
        <v>#NAME?</v>
      </c>
      <c r="F1952" s="23" t="e">
        <f ca="1">[1]!BexGetData("DP_1","003N8EMH8GTFRCSWKMPXRRRFI","GSON1112150710")</f>
        <v>#NAME?</v>
      </c>
      <c r="G1952" s="23" t="e">
        <f ca="1">[1]!BexGetData("DP_1","003N8EMH8GTFRCSWKMPXRRXR2","GSON1112150710")</f>
        <v>#NAME?</v>
      </c>
      <c r="H1952" s="23" t="e">
        <f ca="1">[1]!BexGetData("DP_1","003N8EMH8GTFRCSWKMPXRS42M","GSON1112150710")</f>
        <v>#NAME?</v>
      </c>
      <c r="I1952" s="23" t="e">
        <f ca="1">[1]!BexGetData("DP_1","003N8EMH8GTFRCSWKMPXRSAE6","GSON1112150710")</f>
        <v>#NAME?</v>
      </c>
      <c r="J1952" s="23" t="e">
        <f ca="1">[1]!BexGetData("DP_1","003N8EMH8GTFRCSWKMPXRSGPQ","GSON1112150710")</f>
        <v>#NAME?</v>
      </c>
      <c r="K1952" s="23" t="e">
        <f ca="1">[1]!BexGetData("DP_1","003N8EMH8GTFRIVNUPY288VJH","GSON1112150710")</f>
        <v>#NAME?</v>
      </c>
      <c r="L1952" s="23" t="e">
        <f ca="1">[1]!BexGetData("DP_1","003N8EMH8GTFRIVNUPY2891V1","GSON1112150710")</f>
        <v>#NAME?</v>
      </c>
      <c r="M1952" s="28" t="e">
        <f ca="1">[1]!BexGetData("DP_1","003N8EMH8GTFRIVOG7KG9IQXA","GSON1112150710")</f>
        <v>#NAME?</v>
      </c>
      <c r="N1952" s="23" t="e">
        <f ca="1">[1]!BexGetData("DP_1","003N8EMH8GTFRIVOG7KG9IX8U","GSON1112150710")</f>
        <v>#NAME?</v>
      </c>
      <c r="O1952" s="28" t="e">
        <f ca="1">[1]!BexGetData("DP_1","003N8EMH8GTFRIVOG7KG9J3KE","GSON1112150710")</f>
        <v>#NAME?</v>
      </c>
      <c r="P1952" s="23" t="e">
        <f ca="1">[1]!BexGetData("DP_1","003N8EMH8GTFRIVOG7KG9J9VY","GSON1112150710")</f>
        <v>#NAME?</v>
      </c>
      <c r="Q1952" s="23" t="e">
        <f ca="1">[1]!BexGetData("DP_1","00O2TNJGODT0G5Z4TTKYMM5MT","GSON1112150710")</f>
        <v>#NAME?</v>
      </c>
      <c r="R1952" s="23" t="e">
        <f ca="1">[1]!BexGetData("DP_1","00O2TNJGODT0G5Z4TTKYMMBYD","GSON1112150710")</f>
        <v>#NAME?</v>
      </c>
      <c r="S1952" s="23" t="e">
        <f ca="1">[1]!BexGetData("DP_1","00O2TNJGODT0G5Z4TTKYMMI9X","GSON1112150710")</f>
        <v>#NAME?</v>
      </c>
      <c r="T1952" s="28" t="e">
        <f ca="1">[1]!BexGetData("DP_1","00O2TNJGODT0G5Z4TTKYMMOLH","GSON1112150710")</f>
        <v>#NAME?</v>
      </c>
      <c r="U1952" s="23" t="e">
        <f ca="1">[1]!BexGetData("DP_1","00O2TNJGODT0G5Z4TTKYMMUX1","GSON1112150710")</f>
        <v>#NAME?</v>
      </c>
      <c r="V1952" s="28" t="e">
        <f ca="1">[1]!BexGetData("DP_1","00O2TNJGODT0G5Z4TTKYMN18L","GSON1112150710")</f>
        <v>#NAME?</v>
      </c>
      <c r="W1952" s="23" t="e">
        <f ca="1">[1]!BexGetData("DP_1","00O2TNJGODT0G5Z4TTKYMN7K5","GSON1112150710")</f>
        <v>#NAME?</v>
      </c>
    </row>
    <row r="1953" spans="1:23" x14ac:dyDescent="0.2">
      <c r="A1953" s="36" t="s">
        <v>321</v>
      </c>
      <c r="B1953" s="27" t="s">
        <v>322</v>
      </c>
      <c r="C1953" s="23" t="e">
        <f ca="1">[1]!BexGetData("DP_1","003N8EMH8GTFRCSWKMPXRR8GU","GSON1112150711")</f>
        <v>#NAME?</v>
      </c>
      <c r="D1953" s="23" t="e">
        <f ca="1">[1]!BexGetData("DP_1","003N8EMH8GTFRCSWKMPXRRESE","GSON1112150711")</f>
        <v>#NAME?</v>
      </c>
      <c r="E1953" s="28" t="e">
        <f ca="1">[1]!BexGetData("DP_1","003N8EMH8GTFRCSWKMPXRRL3Y","GSON1112150711")</f>
        <v>#NAME?</v>
      </c>
      <c r="F1953" s="28" t="e">
        <f ca="1">[1]!BexGetData("DP_1","003N8EMH8GTFRCSWKMPXRRRFI","GSON1112150711")</f>
        <v>#NAME?</v>
      </c>
      <c r="G1953" s="23" t="e">
        <f ca="1">[1]!BexGetData("DP_1","003N8EMH8GTFRCSWKMPXRRXR2","GSON1112150711")</f>
        <v>#NAME?</v>
      </c>
      <c r="H1953" s="23" t="e">
        <f ca="1">[1]!BexGetData("DP_1","003N8EMH8GTFRCSWKMPXRS42M","GSON1112150711")</f>
        <v>#NAME?</v>
      </c>
      <c r="I1953" s="28" t="e">
        <f ca="1">[1]!BexGetData("DP_1","003N8EMH8GTFRCSWKMPXRSAE6","GSON1112150711")</f>
        <v>#NAME?</v>
      </c>
      <c r="J1953" s="23" t="e">
        <f ca="1">[1]!BexGetData("DP_1","003N8EMH8GTFRCSWKMPXRSGPQ","GSON1112150711")</f>
        <v>#NAME?</v>
      </c>
      <c r="K1953" s="28" t="e">
        <f ca="1">[1]!BexGetData("DP_1","003N8EMH8GTFRIVNUPY288VJH","GSON1112150711")</f>
        <v>#NAME?</v>
      </c>
      <c r="L1953" s="28" t="e">
        <f ca="1">[1]!BexGetData("DP_1","003N8EMH8GTFRIVNUPY2891V1","GSON1112150711")</f>
        <v>#NAME?</v>
      </c>
      <c r="M1953" s="28" t="e">
        <f ca="1">[1]!BexGetData("DP_1","003N8EMH8GTFRIVOG7KG9IQXA","GSON1112150711")</f>
        <v>#NAME?</v>
      </c>
      <c r="N1953" s="28" t="e">
        <f ca="1">[1]!BexGetData("DP_1","003N8EMH8GTFRIVOG7KG9IX8U","GSON1112150711")</f>
        <v>#NAME?</v>
      </c>
      <c r="O1953" s="28" t="e">
        <f ca="1">[1]!BexGetData("DP_1","003N8EMH8GTFRIVOG7KG9J3KE","GSON1112150711")</f>
        <v>#NAME?</v>
      </c>
      <c r="P1953" s="28" t="e">
        <f ca="1">[1]!BexGetData("DP_1","003N8EMH8GTFRIVOG7KG9J9VY","GSON1112150711")</f>
        <v>#NAME?</v>
      </c>
      <c r="Q1953" s="23" t="e">
        <f ca="1">[1]!BexGetData("DP_1","00O2TNJGODT0G5Z4TTKYMM5MT","GSON1112150711")</f>
        <v>#NAME?</v>
      </c>
      <c r="R1953" s="23" t="e">
        <f ca="1">[1]!BexGetData("DP_1","00O2TNJGODT0G5Z4TTKYMMBYD","GSON1112150711")</f>
        <v>#NAME?</v>
      </c>
      <c r="S1953" s="23" t="e">
        <f ca="1">[1]!BexGetData("DP_1","00O2TNJGODT0G5Z4TTKYMMI9X","GSON1112150711")</f>
        <v>#NAME?</v>
      </c>
      <c r="T1953" s="23" t="e">
        <f ca="1">[1]!BexGetData("DP_1","00O2TNJGODT0G5Z4TTKYMMOLH","GSON1112150711")</f>
        <v>#NAME?</v>
      </c>
      <c r="U1953" s="28" t="e">
        <f ca="1">[1]!BexGetData("DP_1","00O2TNJGODT0G5Z4TTKYMMUX1","GSON1112150711")</f>
        <v>#NAME?</v>
      </c>
      <c r="V1953" s="23" t="e">
        <f ca="1">[1]!BexGetData("DP_1","00O2TNJGODT0G5Z4TTKYMN18L","GSON1112150711")</f>
        <v>#NAME?</v>
      </c>
      <c r="W1953" s="28" t="e">
        <f ca="1">[1]!BexGetData("DP_1","00O2TNJGODT0G5Z4TTKYMN7K5","GSON1112150711")</f>
        <v>#NAME?</v>
      </c>
    </row>
    <row r="1954" spans="1:23" x14ac:dyDescent="0.2">
      <c r="A1954" s="36" t="s">
        <v>4908</v>
      </c>
      <c r="B1954" s="27" t="s">
        <v>4909</v>
      </c>
      <c r="C1954" s="23" t="e">
        <f ca="1">[1]!BexGetData("DP_1","003N8EMH8GTFRCSWKMPXRR8GU","GSON1112150714")</f>
        <v>#NAME?</v>
      </c>
      <c r="D1954" s="23" t="e">
        <f ca="1">[1]!BexGetData("DP_1","003N8EMH8GTFRCSWKMPXRRESE","GSON1112150714")</f>
        <v>#NAME?</v>
      </c>
      <c r="E1954" s="28" t="e">
        <f ca="1">[1]!BexGetData("DP_1","003N8EMH8GTFRCSWKMPXRRL3Y","GSON1112150714")</f>
        <v>#NAME?</v>
      </c>
      <c r="F1954" s="23" t="e">
        <f ca="1">[1]!BexGetData("DP_1","003N8EMH8GTFRCSWKMPXRRRFI","GSON1112150714")</f>
        <v>#NAME?</v>
      </c>
      <c r="G1954" s="23" t="e">
        <f ca="1">[1]!BexGetData("DP_1","003N8EMH8GTFRCSWKMPXRRXR2","GSON1112150714")</f>
        <v>#NAME?</v>
      </c>
      <c r="H1954" s="23" t="e">
        <f ca="1">[1]!BexGetData("DP_1","003N8EMH8GTFRCSWKMPXRS42M","GSON1112150714")</f>
        <v>#NAME?</v>
      </c>
      <c r="I1954" s="23" t="e">
        <f ca="1">[1]!BexGetData("DP_1","003N8EMH8GTFRCSWKMPXRSAE6","GSON1112150714")</f>
        <v>#NAME?</v>
      </c>
      <c r="J1954" s="24" t="e">
        <f ca="1">[1]!BexGetData("DP_1","003N8EMH8GTFRCSWKMPXRSGPQ","GSON1112150714")</f>
        <v>#NAME?</v>
      </c>
      <c r="K1954" s="23" t="e">
        <f ca="1">[1]!BexGetData("DP_1","003N8EMH8GTFRIVNUPY288VJH","GSON1112150714")</f>
        <v>#NAME?</v>
      </c>
      <c r="L1954" s="23" t="e">
        <f ca="1">[1]!BexGetData("DP_1","003N8EMH8GTFRIVNUPY2891V1","GSON1112150714")</f>
        <v>#NAME?</v>
      </c>
      <c r="M1954" s="28" t="e">
        <f ca="1">[1]!BexGetData("DP_1","003N8EMH8GTFRIVOG7KG9IQXA","GSON1112150714")</f>
        <v>#NAME?</v>
      </c>
      <c r="N1954" s="23" t="e">
        <f ca="1">[1]!BexGetData("DP_1","003N8EMH8GTFRIVOG7KG9IX8U","GSON1112150714")</f>
        <v>#NAME?</v>
      </c>
      <c r="O1954" s="28" t="e">
        <f ca="1">[1]!BexGetData("DP_1","003N8EMH8GTFRIVOG7KG9J3KE","GSON1112150714")</f>
        <v>#NAME?</v>
      </c>
      <c r="P1954" s="23" t="e">
        <f ca="1">[1]!BexGetData("DP_1","003N8EMH8GTFRIVOG7KG9J9VY","GSON1112150714")</f>
        <v>#NAME?</v>
      </c>
      <c r="Q1954" s="24" t="e">
        <f ca="1">[1]!BexGetData("DP_1","00O2TNJGODT0G5Z4TTKYMM5MT","GSON1112150714")</f>
        <v>#NAME?</v>
      </c>
      <c r="R1954" s="23" t="e">
        <f ca="1">[1]!BexGetData("DP_1","00O2TNJGODT0G5Z4TTKYMMBYD","GSON1112150714")</f>
        <v>#NAME?</v>
      </c>
      <c r="S1954" s="23" t="e">
        <f ca="1">[1]!BexGetData("DP_1","00O2TNJGODT0G5Z4TTKYMMI9X","GSON1112150714")</f>
        <v>#NAME?</v>
      </c>
      <c r="T1954" s="23" t="e">
        <f ca="1">[1]!BexGetData("DP_1","00O2TNJGODT0G5Z4TTKYMMOLH","GSON1112150714")</f>
        <v>#NAME?</v>
      </c>
      <c r="U1954" s="28" t="e">
        <f ca="1">[1]!BexGetData("DP_1","00O2TNJGODT0G5Z4TTKYMMUX1","GSON1112150714")</f>
        <v>#NAME?</v>
      </c>
      <c r="V1954" s="23" t="e">
        <f ca="1">[1]!BexGetData("DP_1","00O2TNJGODT0G5Z4TTKYMN18L","GSON1112150714")</f>
        <v>#NAME?</v>
      </c>
      <c r="W1954" s="28" t="e">
        <f ca="1">[1]!BexGetData("DP_1","00O2TNJGODT0G5Z4TTKYMN7K5","GSON1112150714")</f>
        <v>#NAME?</v>
      </c>
    </row>
    <row r="1955" spans="1:23" x14ac:dyDescent="0.2">
      <c r="A1955" s="36" t="s">
        <v>4910</v>
      </c>
      <c r="B1955" s="27" t="s">
        <v>4911</v>
      </c>
      <c r="C1955" s="23" t="e">
        <f ca="1">[1]!BexGetData("DP_1","003N8EMH8GTFRCSWKMPXRR8GU","GSON1112150720")</f>
        <v>#NAME?</v>
      </c>
      <c r="D1955" s="23" t="e">
        <f ca="1">[1]!BexGetData("DP_1","003N8EMH8GTFRCSWKMPXRRESE","GSON1112150720")</f>
        <v>#NAME?</v>
      </c>
      <c r="E1955" s="23" t="e">
        <f ca="1">[1]!BexGetData("DP_1","003N8EMH8GTFRCSWKMPXRRL3Y","GSON1112150720")</f>
        <v>#NAME?</v>
      </c>
      <c r="F1955" s="23" t="e">
        <f ca="1">[1]!BexGetData("DP_1","003N8EMH8GTFRCSWKMPXRRRFI","GSON1112150720")</f>
        <v>#NAME?</v>
      </c>
      <c r="G1955" s="23" t="e">
        <f ca="1">[1]!BexGetData("DP_1","003N8EMH8GTFRCSWKMPXRRXR2","GSON1112150720")</f>
        <v>#NAME?</v>
      </c>
      <c r="H1955" s="23" t="e">
        <f ca="1">[1]!BexGetData("DP_1","003N8EMH8GTFRCSWKMPXRS42M","GSON1112150720")</f>
        <v>#NAME?</v>
      </c>
      <c r="I1955" s="23" t="e">
        <f ca="1">[1]!BexGetData("DP_1","003N8EMH8GTFRCSWKMPXRSAE6","GSON1112150720")</f>
        <v>#NAME?</v>
      </c>
      <c r="J1955" s="23" t="e">
        <f ca="1">[1]!BexGetData("DP_1","003N8EMH8GTFRCSWKMPXRSGPQ","GSON1112150720")</f>
        <v>#NAME?</v>
      </c>
      <c r="K1955" s="23" t="e">
        <f ca="1">[1]!BexGetData("DP_1","003N8EMH8GTFRIVNUPY288VJH","GSON1112150720")</f>
        <v>#NAME?</v>
      </c>
      <c r="L1955" s="23" t="e">
        <f ca="1">[1]!BexGetData("DP_1","003N8EMH8GTFRIVNUPY2891V1","GSON1112150720")</f>
        <v>#NAME?</v>
      </c>
      <c r="M1955" s="28" t="e">
        <f ca="1">[1]!BexGetData("DP_1","003N8EMH8GTFRIVOG7KG9IQXA","GSON1112150720")</f>
        <v>#NAME?</v>
      </c>
      <c r="N1955" s="23" t="e">
        <f ca="1">[1]!BexGetData("DP_1","003N8EMH8GTFRIVOG7KG9IX8U","GSON1112150720")</f>
        <v>#NAME?</v>
      </c>
      <c r="O1955" s="28" t="e">
        <f ca="1">[1]!BexGetData("DP_1","003N8EMH8GTFRIVOG7KG9J3KE","GSON1112150720")</f>
        <v>#NAME?</v>
      </c>
      <c r="P1955" s="23" t="e">
        <f ca="1">[1]!BexGetData("DP_1","003N8EMH8GTFRIVOG7KG9J9VY","GSON1112150720")</f>
        <v>#NAME?</v>
      </c>
      <c r="Q1955" s="23" t="e">
        <f ca="1">[1]!BexGetData("DP_1","00O2TNJGODT0G5Z4TTKYMM5MT","GSON1112150720")</f>
        <v>#NAME?</v>
      </c>
      <c r="R1955" s="23" t="e">
        <f ca="1">[1]!BexGetData("DP_1","00O2TNJGODT0G5Z4TTKYMMBYD","GSON1112150720")</f>
        <v>#NAME?</v>
      </c>
      <c r="S1955" s="23" t="e">
        <f ca="1">[1]!BexGetData("DP_1","00O2TNJGODT0G5Z4TTKYMMI9X","GSON1112150720")</f>
        <v>#NAME?</v>
      </c>
      <c r="T1955" s="23" t="e">
        <f ca="1">[1]!BexGetData("DP_1","00O2TNJGODT0G5Z4TTKYMMOLH","GSON1112150720")</f>
        <v>#NAME?</v>
      </c>
      <c r="U1955" s="28" t="e">
        <f ca="1">[1]!BexGetData("DP_1","00O2TNJGODT0G5Z4TTKYMMUX1","GSON1112150720")</f>
        <v>#NAME?</v>
      </c>
      <c r="V1955" s="23" t="e">
        <f ca="1">[1]!BexGetData("DP_1","00O2TNJGODT0G5Z4TTKYMN18L","GSON1112150720")</f>
        <v>#NAME?</v>
      </c>
      <c r="W1955" s="28" t="e">
        <f ca="1">[1]!BexGetData("DP_1","00O2TNJGODT0G5Z4TTKYMN7K5","GSON1112150720")</f>
        <v>#NAME?</v>
      </c>
    </row>
    <row r="1956" spans="1:23" x14ac:dyDescent="0.2">
      <c r="A1956" s="36" t="s">
        <v>4912</v>
      </c>
      <c r="B1956" s="27" t="s">
        <v>4913</v>
      </c>
      <c r="C1956" s="23" t="e">
        <f ca="1">[1]!BexGetData("DP_1","003N8EMH8GTFRCSWKMPXRR8GU","GSON1112150721")</f>
        <v>#NAME?</v>
      </c>
      <c r="D1956" s="23" t="e">
        <f ca="1">[1]!BexGetData("DP_1","003N8EMH8GTFRCSWKMPXRRESE","GSON1112150721")</f>
        <v>#NAME?</v>
      </c>
      <c r="E1956" s="28" t="e">
        <f ca="1">[1]!BexGetData("DP_1","003N8EMH8GTFRCSWKMPXRRL3Y","GSON1112150721")</f>
        <v>#NAME?</v>
      </c>
      <c r="F1956" s="23" t="e">
        <f ca="1">[1]!BexGetData("DP_1","003N8EMH8GTFRCSWKMPXRRRFI","GSON1112150721")</f>
        <v>#NAME?</v>
      </c>
      <c r="G1956" s="23" t="e">
        <f ca="1">[1]!BexGetData("DP_1","003N8EMH8GTFRCSWKMPXRRXR2","GSON1112150721")</f>
        <v>#NAME?</v>
      </c>
      <c r="H1956" s="23" t="e">
        <f ca="1">[1]!BexGetData("DP_1","003N8EMH8GTFRCSWKMPXRS42M","GSON1112150721")</f>
        <v>#NAME?</v>
      </c>
      <c r="I1956" s="23" t="e">
        <f ca="1">[1]!BexGetData("DP_1","003N8EMH8GTFRCSWKMPXRSAE6","GSON1112150721")</f>
        <v>#NAME?</v>
      </c>
      <c r="J1956" s="24" t="e">
        <f ca="1">[1]!BexGetData("DP_1","003N8EMH8GTFRCSWKMPXRSGPQ","GSON1112150721")</f>
        <v>#NAME?</v>
      </c>
      <c r="K1956" s="23" t="e">
        <f ca="1">[1]!BexGetData("DP_1","003N8EMH8GTFRIVNUPY288VJH","GSON1112150721")</f>
        <v>#NAME?</v>
      </c>
      <c r="L1956" s="23" t="e">
        <f ca="1">[1]!BexGetData("DP_1","003N8EMH8GTFRIVNUPY2891V1","GSON1112150721")</f>
        <v>#NAME?</v>
      </c>
      <c r="M1956" s="23" t="e">
        <f ca="1">[1]!BexGetData("DP_1","003N8EMH8GTFRIVOG7KG9IQXA","GSON1112150721")</f>
        <v>#NAME?</v>
      </c>
      <c r="N1956" s="28" t="e">
        <f ca="1">[1]!BexGetData("DP_1","003N8EMH8GTFRIVOG7KG9IX8U","GSON1112150721")</f>
        <v>#NAME?</v>
      </c>
      <c r="O1956" s="23" t="e">
        <f ca="1">[1]!BexGetData("DP_1","003N8EMH8GTFRIVOG7KG9J3KE","GSON1112150721")</f>
        <v>#NAME?</v>
      </c>
      <c r="P1956" s="28" t="e">
        <f ca="1">[1]!BexGetData("DP_1","003N8EMH8GTFRIVOG7KG9J9VY","GSON1112150721")</f>
        <v>#NAME?</v>
      </c>
      <c r="Q1956" s="24" t="e">
        <f ca="1">[1]!BexGetData("DP_1","00O2TNJGODT0G5Z4TTKYMM5MT","GSON1112150721")</f>
        <v>#NAME?</v>
      </c>
      <c r="R1956" s="23" t="e">
        <f ca="1">[1]!BexGetData("DP_1","00O2TNJGODT0G5Z4TTKYMMBYD","GSON1112150721")</f>
        <v>#NAME?</v>
      </c>
      <c r="S1956" s="23" t="e">
        <f ca="1">[1]!BexGetData("DP_1","00O2TNJGODT0G5Z4TTKYMMI9X","GSON1112150721")</f>
        <v>#NAME?</v>
      </c>
      <c r="T1956" s="28" t="e">
        <f ca="1">[1]!BexGetData("DP_1","00O2TNJGODT0G5Z4TTKYMMOLH","GSON1112150721")</f>
        <v>#NAME?</v>
      </c>
      <c r="U1956" s="23" t="e">
        <f ca="1">[1]!BexGetData("DP_1","00O2TNJGODT0G5Z4TTKYMMUX1","GSON1112150721")</f>
        <v>#NAME?</v>
      </c>
      <c r="V1956" s="28" t="e">
        <f ca="1">[1]!BexGetData("DP_1","00O2TNJGODT0G5Z4TTKYMN18L","GSON1112150721")</f>
        <v>#NAME?</v>
      </c>
      <c r="W1956" s="23" t="e">
        <f ca="1">[1]!BexGetData("DP_1","00O2TNJGODT0G5Z4TTKYMN7K5","GSON1112150721")</f>
        <v>#NAME?</v>
      </c>
    </row>
    <row r="1957" spans="1:23" x14ac:dyDescent="0.2">
      <c r="A1957" s="36" t="s">
        <v>4914</v>
      </c>
      <c r="B1957" s="27" t="s">
        <v>4915</v>
      </c>
      <c r="C1957" s="28" t="e">
        <f ca="1">[1]!BexGetData("DP_1","003N8EMH8GTFRCSWKMPXRR8GU","GSON1112150723")</f>
        <v>#NAME?</v>
      </c>
      <c r="D1957" s="28" t="e">
        <f ca="1">[1]!BexGetData("DP_1","003N8EMH8GTFRCSWKMPXRRESE","GSON1112150723")</f>
        <v>#NAME?</v>
      </c>
      <c r="E1957" s="28" t="e">
        <f ca="1">[1]!BexGetData("DP_1","003N8EMH8GTFRCSWKMPXRRL3Y","GSON1112150723")</f>
        <v>#NAME?</v>
      </c>
      <c r="F1957" s="28" t="e">
        <f ca="1">[1]!BexGetData("DP_1","003N8EMH8GTFRCSWKMPXRRRFI","GSON1112150723")</f>
        <v>#NAME?</v>
      </c>
      <c r="G1957" s="23" t="e">
        <f ca="1">[1]!BexGetData("DP_1","003N8EMH8GTFRCSWKMPXRRXR2","GSON1112150723")</f>
        <v>#NAME?</v>
      </c>
      <c r="H1957" s="23" t="e">
        <f ca="1">[1]!BexGetData("DP_1","003N8EMH8GTFRCSWKMPXRS42M","GSON1112150723")</f>
        <v>#NAME?</v>
      </c>
      <c r="I1957" s="28" t="e">
        <f ca="1">[1]!BexGetData("DP_1","003N8EMH8GTFRCSWKMPXRSAE6","GSON1112150723")</f>
        <v>#NAME?</v>
      </c>
      <c r="J1957" s="24" t="e">
        <f ca="1">[1]!BexGetData("DP_1","003N8EMH8GTFRCSWKMPXRSGPQ","GSON1112150723")</f>
        <v>#NAME?</v>
      </c>
      <c r="K1957" s="28" t="e">
        <f ca="1">[1]!BexGetData("DP_1","003N8EMH8GTFRIVNUPY288VJH","GSON1112150723")</f>
        <v>#NAME?</v>
      </c>
      <c r="L1957" s="28" t="e">
        <f ca="1">[1]!BexGetData("DP_1","003N8EMH8GTFRIVNUPY2891V1","GSON1112150723")</f>
        <v>#NAME?</v>
      </c>
      <c r="M1957" s="28" t="e">
        <f ca="1">[1]!BexGetData("DP_1","003N8EMH8GTFRIVOG7KG9IQXA","GSON1112150723")</f>
        <v>#NAME?</v>
      </c>
      <c r="N1957" s="28" t="e">
        <f ca="1">[1]!BexGetData("DP_1","003N8EMH8GTFRIVOG7KG9IX8U","GSON1112150723")</f>
        <v>#NAME?</v>
      </c>
      <c r="O1957" s="28" t="e">
        <f ca="1">[1]!BexGetData("DP_1","003N8EMH8GTFRIVOG7KG9J3KE","GSON1112150723")</f>
        <v>#NAME?</v>
      </c>
      <c r="P1957" s="28" t="e">
        <f ca="1">[1]!BexGetData("DP_1","003N8EMH8GTFRIVOG7KG9J9VY","GSON1112150723")</f>
        <v>#NAME?</v>
      </c>
      <c r="Q1957" s="24" t="e">
        <f ca="1">[1]!BexGetData("DP_1","00O2TNJGODT0G5Z4TTKYMM5MT","GSON1112150723")</f>
        <v>#NAME?</v>
      </c>
      <c r="R1957" s="28" t="e">
        <f ca="1">[1]!BexGetData("DP_1","00O2TNJGODT0G5Z4TTKYMMBYD","GSON1112150723")</f>
        <v>#NAME?</v>
      </c>
      <c r="S1957" s="28" t="e">
        <f ca="1">[1]!BexGetData("DP_1","00O2TNJGODT0G5Z4TTKYMMI9X","GSON1112150723")</f>
        <v>#NAME?</v>
      </c>
      <c r="T1957" s="28" t="e">
        <f ca="1">[1]!BexGetData("DP_1","00O2TNJGODT0G5Z4TTKYMMOLH","GSON1112150723")</f>
        <v>#NAME?</v>
      </c>
      <c r="U1957" s="28" t="e">
        <f ca="1">[1]!BexGetData("DP_1","00O2TNJGODT0G5Z4TTKYMMUX1","GSON1112150723")</f>
        <v>#NAME?</v>
      </c>
      <c r="V1957" s="28" t="e">
        <f ca="1">[1]!BexGetData("DP_1","00O2TNJGODT0G5Z4TTKYMN18L","GSON1112150723")</f>
        <v>#NAME?</v>
      </c>
      <c r="W1957" s="28" t="e">
        <f ca="1">[1]!BexGetData("DP_1","00O2TNJGODT0G5Z4TTKYMN7K5","GSON1112150723")</f>
        <v>#NAME?</v>
      </c>
    </row>
    <row r="1958" spans="1:23" x14ac:dyDescent="0.2">
      <c r="A1958" s="36" t="s">
        <v>4916</v>
      </c>
      <c r="B1958" s="27" t="s">
        <v>4917</v>
      </c>
      <c r="C1958" s="23" t="e">
        <f ca="1">[1]!BexGetData("DP_1","003N8EMH8GTFRCSWKMPXRR8GU","GSON1112150724")</f>
        <v>#NAME?</v>
      </c>
      <c r="D1958" s="23" t="e">
        <f ca="1">[1]!BexGetData("DP_1","003N8EMH8GTFRCSWKMPXRRESE","GSON1112150724")</f>
        <v>#NAME?</v>
      </c>
      <c r="E1958" s="28" t="e">
        <f ca="1">[1]!BexGetData("DP_1","003N8EMH8GTFRCSWKMPXRRL3Y","GSON1112150724")</f>
        <v>#NAME?</v>
      </c>
      <c r="F1958" s="23" t="e">
        <f ca="1">[1]!BexGetData("DP_1","003N8EMH8GTFRCSWKMPXRRRFI","GSON1112150724")</f>
        <v>#NAME?</v>
      </c>
      <c r="G1958" s="23" t="e">
        <f ca="1">[1]!BexGetData("DP_1","003N8EMH8GTFRCSWKMPXRRXR2","GSON1112150724")</f>
        <v>#NAME?</v>
      </c>
      <c r="H1958" s="23" t="e">
        <f ca="1">[1]!BexGetData("DP_1","003N8EMH8GTFRCSWKMPXRS42M","GSON1112150724")</f>
        <v>#NAME?</v>
      </c>
      <c r="I1958" s="23" t="e">
        <f ca="1">[1]!BexGetData("DP_1","003N8EMH8GTFRCSWKMPXRSAE6","GSON1112150724")</f>
        <v>#NAME?</v>
      </c>
      <c r="J1958" s="24" t="e">
        <f ca="1">[1]!BexGetData("DP_1","003N8EMH8GTFRCSWKMPXRSGPQ","GSON1112150724")</f>
        <v>#NAME?</v>
      </c>
      <c r="K1958" s="23" t="e">
        <f ca="1">[1]!BexGetData("DP_1","003N8EMH8GTFRIVNUPY288VJH","GSON1112150724")</f>
        <v>#NAME?</v>
      </c>
      <c r="L1958" s="23" t="e">
        <f ca="1">[1]!BexGetData("DP_1","003N8EMH8GTFRIVNUPY2891V1","GSON1112150724")</f>
        <v>#NAME?</v>
      </c>
      <c r="M1958" s="28" t="e">
        <f ca="1">[1]!BexGetData("DP_1","003N8EMH8GTFRIVOG7KG9IQXA","GSON1112150724")</f>
        <v>#NAME?</v>
      </c>
      <c r="N1958" s="23" t="e">
        <f ca="1">[1]!BexGetData("DP_1","003N8EMH8GTFRIVOG7KG9IX8U","GSON1112150724")</f>
        <v>#NAME?</v>
      </c>
      <c r="O1958" s="28" t="e">
        <f ca="1">[1]!BexGetData("DP_1","003N8EMH8GTFRIVOG7KG9J3KE","GSON1112150724")</f>
        <v>#NAME?</v>
      </c>
      <c r="P1958" s="23" t="e">
        <f ca="1">[1]!BexGetData("DP_1","003N8EMH8GTFRIVOG7KG9J9VY","GSON1112150724")</f>
        <v>#NAME?</v>
      </c>
      <c r="Q1958" s="24" t="e">
        <f ca="1">[1]!BexGetData("DP_1","00O2TNJGODT0G5Z4TTKYMM5MT","GSON1112150724")</f>
        <v>#NAME?</v>
      </c>
      <c r="R1958" s="23" t="e">
        <f ca="1">[1]!BexGetData("DP_1","00O2TNJGODT0G5Z4TTKYMMBYD","GSON1112150724")</f>
        <v>#NAME?</v>
      </c>
      <c r="S1958" s="23" t="e">
        <f ca="1">[1]!BexGetData("DP_1","00O2TNJGODT0G5Z4TTKYMMI9X","GSON1112150724")</f>
        <v>#NAME?</v>
      </c>
      <c r="T1958" s="23" t="e">
        <f ca="1">[1]!BexGetData("DP_1","00O2TNJGODT0G5Z4TTKYMMOLH","GSON1112150724")</f>
        <v>#NAME?</v>
      </c>
      <c r="U1958" s="28" t="e">
        <f ca="1">[1]!BexGetData("DP_1","00O2TNJGODT0G5Z4TTKYMMUX1","GSON1112150724")</f>
        <v>#NAME?</v>
      </c>
      <c r="V1958" s="23" t="e">
        <f ca="1">[1]!BexGetData("DP_1","00O2TNJGODT0G5Z4TTKYMN18L","GSON1112150724")</f>
        <v>#NAME?</v>
      </c>
      <c r="W1958" s="28" t="e">
        <f ca="1">[1]!BexGetData("DP_1","00O2TNJGODT0G5Z4TTKYMN7K5","GSON1112150724")</f>
        <v>#NAME?</v>
      </c>
    </row>
    <row r="1959" spans="1:23" x14ac:dyDescent="0.2">
      <c r="A1959" s="36" t="s">
        <v>4918</v>
      </c>
      <c r="B1959" s="27" t="s">
        <v>4919</v>
      </c>
      <c r="C1959" s="23" t="e">
        <f ca="1">[1]!BexGetData("DP_1","003N8EMH8GTFRCSWKMPXRR8GU","GSON1112150725")</f>
        <v>#NAME?</v>
      </c>
      <c r="D1959" s="23" t="e">
        <f ca="1">[1]!BexGetData("DP_1","003N8EMH8GTFRCSWKMPXRRESE","GSON1112150725")</f>
        <v>#NAME?</v>
      </c>
      <c r="E1959" s="28" t="e">
        <f ca="1">[1]!BexGetData("DP_1","003N8EMH8GTFRCSWKMPXRRL3Y","GSON1112150725")</f>
        <v>#NAME?</v>
      </c>
      <c r="F1959" s="23" t="e">
        <f ca="1">[1]!BexGetData("DP_1","003N8EMH8GTFRCSWKMPXRRRFI","GSON1112150725")</f>
        <v>#NAME?</v>
      </c>
      <c r="G1959" s="23" t="e">
        <f ca="1">[1]!BexGetData("DP_1","003N8EMH8GTFRCSWKMPXRRXR2","GSON1112150725")</f>
        <v>#NAME?</v>
      </c>
      <c r="H1959" s="23" t="e">
        <f ca="1">[1]!BexGetData("DP_1","003N8EMH8GTFRCSWKMPXRS42M","GSON1112150725")</f>
        <v>#NAME?</v>
      </c>
      <c r="I1959" s="23" t="e">
        <f ca="1">[1]!BexGetData("DP_1","003N8EMH8GTFRCSWKMPXRSAE6","GSON1112150725")</f>
        <v>#NAME?</v>
      </c>
      <c r="J1959" s="24" t="e">
        <f ca="1">[1]!BexGetData("DP_1","003N8EMH8GTFRCSWKMPXRSGPQ","GSON1112150725")</f>
        <v>#NAME?</v>
      </c>
      <c r="K1959" s="23" t="e">
        <f ca="1">[1]!BexGetData("DP_1","003N8EMH8GTFRIVNUPY288VJH","GSON1112150725")</f>
        <v>#NAME?</v>
      </c>
      <c r="L1959" s="23" t="e">
        <f ca="1">[1]!BexGetData("DP_1","003N8EMH8GTFRIVNUPY2891V1","GSON1112150725")</f>
        <v>#NAME?</v>
      </c>
      <c r="M1959" s="28" t="e">
        <f ca="1">[1]!BexGetData("DP_1","003N8EMH8GTFRIVOG7KG9IQXA","GSON1112150725")</f>
        <v>#NAME?</v>
      </c>
      <c r="N1959" s="23" t="e">
        <f ca="1">[1]!BexGetData("DP_1","003N8EMH8GTFRIVOG7KG9IX8U","GSON1112150725")</f>
        <v>#NAME?</v>
      </c>
      <c r="O1959" s="28" t="e">
        <f ca="1">[1]!BexGetData("DP_1","003N8EMH8GTFRIVOG7KG9J3KE","GSON1112150725")</f>
        <v>#NAME?</v>
      </c>
      <c r="P1959" s="23" t="e">
        <f ca="1">[1]!BexGetData("DP_1","003N8EMH8GTFRIVOG7KG9J9VY","GSON1112150725")</f>
        <v>#NAME?</v>
      </c>
      <c r="Q1959" s="24" t="e">
        <f ca="1">[1]!BexGetData("DP_1","00O2TNJGODT0G5Z4TTKYMM5MT","GSON1112150725")</f>
        <v>#NAME?</v>
      </c>
      <c r="R1959" s="23" t="e">
        <f ca="1">[1]!BexGetData("DP_1","00O2TNJGODT0G5Z4TTKYMMBYD","GSON1112150725")</f>
        <v>#NAME?</v>
      </c>
      <c r="S1959" s="23" t="e">
        <f ca="1">[1]!BexGetData("DP_1","00O2TNJGODT0G5Z4TTKYMMI9X","GSON1112150725")</f>
        <v>#NAME?</v>
      </c>
      <c r="T1959" s="23" t="e">
        <f ca="1">[1]!BexGetData("DP_1","00O2TNJGODT0G5Z4TTKYMMOLH","GSON1112150725")</f>
        <v>#NAME?</v>
      </c>
      <c r="U1959" s="28" t="e">
        <f ca="1">[1]!BexGetData("DP_1","00O2TNJGODT0G5Z4TTKYMMUX1","GSON1112150725")</f>
        <v>#NAME?</v>
      </c>
      <c r="V1959" s="23" t="e">
        <f ca="1">[1]!BexGetData("DP_1","00O2TNJGODT0G5Z4TTKYMN18L","GSON1112150725")</f>
        <v>#NAME?</v>
      </c>
      <c r="W1959" s="28" t="e">
        <f ca="1">[1]!BexGetData("DP_1","00O2TNJGODT0G5Z4TTKYMN7K5","GSON1112150725")</f>
        <v>#NAME?</v>
      </c>
    </row>
    <row r="1960" spans="1:23" x14ac:dyDescent="0.2">
      <c r="A1960" s="36" t="s">
        <v>4920</v>
      </c>
      <c r="B1960" s="27" t="s">
        <v>4921</v>
      </c>
      <c r="C1960" s="23" t="e">
        <f ca="1">[1]!BexGetData("DP_1","003N8EMH8GTFRCSWKMPXRR8GU","GSON1112150730")</f>
        <v>#NAME?</v>
      </c>
      <c r="D1960" s="23" t="e">
        <f ca="1">[1]!BexGetData("DP_1","003N8EMH8GTFRCSWKMPXRRESE","GSON1112150730")</f>
        <v>#NAME?</v>
      </c>
      <c r="E1960" s="23" t="e">
        <f ca="1">[1]!BexGetData("DP_1","003N8EMH8GTFRCSWKMPXRRL3Y","GSON1112150730")</f>
        <v>#NAME?</v>
      </c>
      <c r="F1960" s="23" t="e">
        <f ca="1">[1]!BexGetData("DP_1","003N8EMH8GTFRCSWKMPXRRRFI","GSON1112150730")</f>
        <v>#NAME?</v>
      </c>
      <c r="G1960" s="23" t="e">
        <f ca="1">[1]!BexGetData("DP_1","003N8EMH8GTFRCSWKMPXRRXR2","GSON1112150730")</f>
        <v>#NAME?</v>
      </c>
      <c r="H1960" s="23" t="e">
        <f ca="1">[1]!BexGetData("DP_1","003N8EMH8GTFRCSWKMPXRS42M","GSON1112150730")</f>
        <v>#NAME?</v>
      </c>
      <c r="I1960" s="23" t="e">
        <f ca="1">[1]!BexGetData("DP_1","003N8EMH8GTFRCSWKMPXRSAE6","GSON1112150730")</f>
        <v>#NAME?</v>
      </c>
      <c r="J1960" s="23" t="e">
        <f ca="1">[1]!BexGetData("DP_1","003N8EMH8GTFRCSWKMPXRSGPQ","GSON1112150730")</f>
        <v>#NAME?</v>
      </c>
      <c r="K1960" s="23" t="e">
        <f ca="1">[1]!BexGetData("DP_1","003N8EMH8GTFRIVNUPY288VJH","GSON1112150730")</f>
        <v>#NAME?</v>
      </c>
      <c r="L1960" s="23" t="e">
        <f ca="1">[1]!BexGetData("DP_1","003N8EMH8GTFRIVNUPY2891V1","GSON1112150730")</f>
        <v>#NAME?</v>
      </c>
      <c r="M1960" s="28" t="e">
        <f ca="1">[1]!BexGetData("DP_1","003N8EMH8GTFRIVOG7KG9IQXA","GSON1112150730")</f>
        <v>#NAME?</v>
      </c>
      <c r="N1960" s="23" t="e">
        <f ca="1">[1]!BexGetData("DP_1","003N8EMH8GTFRIVOG7KG9IX8U","GSON1112150730")</f>
        <v>#NAME?</v>
      </c>
      <c r="O1960" s="28" t="e">
        <f ca="1">[1]!BexGetData("DP_1","003N8EMH8GTFRIVOG7KG9J3KE","GSON1112150730")</f>
        <v>#NAME?</v>
      </c>
      <c r="P1960" s="23" t="e">
        <f ca="1">[1]!BexGetData("DP_1","003N8EMH8GTFRIVOG7KG9J9VY","GSON1112150730")</f>
        <v>#NAME?</v>
      </c>
      <c r="Q1960" s="23" t="e">
        <f ca="1">[1]!BexGetData("DP_1","00O2TNJGODT0G5Z4TTKYMM5MT","GSON1112150730")</f>
        <v>#NAME?</v>
      </c>
      <c r="R1960" s="23" t="e">
        <f ca="1">[1]!BexGetData("DP_1","00O2TNJGODT0G5Z4TTKYMMBYD","GSON1112150730")</f>
        <v>#NAME?</v>
      </c>
      <c r="S1960" s="23" t="e">
        <f ca="1">[1]!BexGetData("DP_1","00O2TNJGODT0G5Z4TTKYMMI9X","GSON1112150730")</f>
        <v>#NAME?</v>
      </c>
      <c r="T1960" s="28" t="e">
        <f ca="1">[1]!BexGetData("DP_1","00O2TNJGODT0G5Z4TTKYMMOLH","GSON1112150730")</f>
        <v>#NAME?</v>
      </c>
      <c r="U1960" s="23" t="e">
        <f ca="1">[1]!BexGetData("DP_1","00O2TNJGODT0G5Z4TTKYMMUX1","GSON1112150730")</f>
        <v>#NAME?</v>
      </c>
      <c r="V1960" s="28" t="e">
        <f ca="1">[1]!BexGetData("DP_1","00O2TNJGODT0G5Z4TTKYMN18L","GSON1112150730")</f>
        <v>#NAME?</v>
      </c>
      <c r="W1960" s="23" t="e">
        <f ca="1">[1]!BexGetData("DP_1","00O2TNJGODT0G5Z4TTKYMN7K5","GSON1112150730")</f>
        <v>#NAME?</v>
      </c>
    </row>
    <row r="1961" spans="1:23" x14ac:dyDescent="0.2">
      <c r="A1961" s="36" t="s">
        <v>4922</v>
      </c>
      <c r="B1961" s="27" t="s">
        <v>4923</v>
      </c>
      <c r="C1961" s="23" t="e">
        <f ca="1">[1]!BexGetData("DP_1","003N8EMH8GTFRCSWKMPXRR8GU","GSON1112150731")</f>
        <v>#NAME?</v>
      </c>
      <c r="D1961" s="23" t="e">
        <f ca="1">[1]!BexGetData("DP_1","003N8EMH8GTFRCSWKMPXRRESE","GSON1112150731")</f>
        <v>#NAME?</v>
      </c>
      <c r="E1961" s="28" t="e">
        <f ca="1">[1]!BexGetData("DP_1","003N8EMH8GTFRCSWKMPXRRL3Y","GSON1112150731")</f>
        <v>#NAME?</v>
      </c>
      <c r="F1961" s="23" t="e">
        <f ca="1">[1]!BexGetData("DP_1","003N8EMH8GTFRCSWKMPXRRRFI","GSON1112150731")</f>
        <v>#NAME?</v>
      </c>
      <c r="G1961" s="23" t="e">
        <f ca="1">[1]!BexGetData("DP_1","003N8EMH8GTFRCSWKMPXRRXR2","GSON1112150731")</f>
        <v>#NAME?</v>
      </c>
      <c r="H1961" s="23" t="e">
        <f ca="1">[1]!BexGetData("DP_1","003N8EMH8GTFRCSWKMPXRS42M","GSON1112150731")</f>
        <v>#NAME?</v>
      </c>
      <c r="I1961" s="23" t="e">
        <f ca="1">[1]!BexGetData("DP_1","003N8EMH8GTFRCSWKMPXRSAE6","GSON1112150731")</f>
        <v>#NAME?</v>
      </c>
      <c r="J1961" s="24" t="e">
        <f ca="1">[1]!BexGetData("DP_1","003N8EMH8GTFRCSWKMPXRSGPQ","GSON1112150731")</f>
        <v>#NAME?</v>
      </c>
      <c r="K1961" s="23" t="e">
        <f ca="1">[1]!BexGetData("DP_1","003N8EMH8GTFRIVNUPY288VJH","GSON1112150731")</f>
        <v>#NAME?</v>
      </c>
      <c r="L1961" s="23" t="e">
        <f ca="1">[1]!BexGetData("DP_1","003N8EMH8GTFRIVNUPY2891V1","GSON1112150731")</f>
        <v>#NAME?</v>
      </c>
      <c r="M1961" s="28" t="e">
        <f ca="1">[1]!BexGetData("DP_1","003N8EMH8GTFRIVOG7KG9IQXA","GSON1112150731")</f>
        <v>#NAME?</v>
      </c>
      <c r="N1961" s="23" t="e">
        <f ca="1">[1]!BexGetData("DP_1","003N8EMH8GTFRIVOG7KG9IX8U","GSON1112150731")</f>
        <v>#NAME?</v>
      </c>
      <c r="O1961" s="28" t="e">
        <f ca="1">[1]!BexGetData("DP_1","003N8EMH8GTFRIVOG7KG9J3KE","GSON1112150731")</f>
        <v>#NAME?</v>
      </c>
      <c r="P1961" s="23" t="e">
        <f ca="1">[1]!BexGetData("DP_1","003N8EMH8GTFRIVOG7KG9J9VY","GSON1112150731")</f>
        <v>#NAME?</v>
      </c>
      <c r="Q1961" s="24" t="e">
        <f ca="1">[1]!BexGetData("DP_1","00O2TNJGODT0G5Z4TTKYMM5MT","GSON1112150731")</f>
        <v>#NAME?</v>
      </c>
      <c r="R1961" s="23" t="e">
        <f ca="1">[1]!BexGetData("DP_1","00O2TNJGODT0G5Z4TTKYMMBYD","GSON1112150731")</f>
        <v>#NAME?</v>
      </c>
      <c r="S1961" s="23" t="e">
        <f ca="1">[1]!BexGetData("DP_1","00O2TNJGODT0G5Z4TTKYMMI9X","GSON1112150731")</f>
        <v>#NAME?</v>
      </c>
      <c r="T1961" s="23" t="e">
        <f ca="1">[1]!BexGetData("DP_1","00O2TNJGODT0G5Z4TTKYMMOLH","GSON1112150731")</f>
        <v>#NAME?</v>
      </c>
      <c r="U1961" s="28" t="e">
        <f ca="1">[1]!BexGetData("DP_1","00O2TNJGODT0G5Z4TTKYMMUX1","GSON1112150731")</f>
        <v>#NAME?</v>
      </c>
      <c r="V1961" s="23" t="e">
        <f ca="1">[1]!BexGetData("DP_1","00O2TNJGODT0G5Z4TTKYMN18L","GSON1112150731")</f>
        <v>#NAME?</v>
      </c>
      <c r="W1961" s="28" t="e">
        <f ca="1">[1]!BexGetData("DP_1","00O2TNJGODT0G5Z4TTKYMN7K5","GSON1112150731")</f>
        <v>#NAME?</v>
      </c>
    </row>
    <row r="1962" spans="1:23" x14ac:dyDescent="0.2">
      <c r="A1962" s="36" t="s">
        <v>4924</v>
      </c>
      <c r="B1962" s="27" t="s">
        <v>4925</v>
      </c>
      <c r="C1962" s="23" t="e">
        <f ca="1">[1]!BexGetData("DP_1","003N8EMH8GTFRCSWKMPXRR8GU","GSON1112150734")</f>
        <v>#NAME?</v>
      </c>
      <c r="D1962" s="23" t="e">
        <f ca="1">[1]!BexGetData("DP_1","003N8EMH8GTFRCSWKMPXRRESE","GSON1112150734")</f>
        <v>#NAME?</v>
      </c>
      <c r="E1962" s="28" t="e">
        <f ca="1">[1]!BexGetData("DP_1","003N8EMH8GTFRCSWKMPXRRL3Y","GSON1112150734")</f>
        <v>#NAME?</v>
      </c>
      <c r="F1962" s="23" t="e">
        <f ca="1">[1]!BexGetData("DP_1","003N8EMH8GTFRCSWKMPXRRRFI","GSON1112150734")</f>
        <v>#NAME?</v>
      </c>
      <c r="G1962" s="23" t="e">
        <f ca="1">[1]!BexGetData("DP_1","003N8EMH8GTFRCSWKMPXRRXR2","GSON1112150734")</f>
        <v>#NAME?</v>
      </c>
      <c r="H1962" s="23" t="e">
        <f ca="1">[1]!BexGetData("DP_1","003N8EMH8GTFRCSWKMPXRS42M","GSON1112150734")</f>
        <v>#NAME?</v>
      </c>
      <c r="I1962" s="23" t="e">
        <f ca="1">[1]!BexGetData("DP_1","003N8EMH8GTFRCSWKMPXRSAE6","GSON1112150734")</f>
        <v>#NAME?</v>
      </c>
      <c r="J1962" s="24" t="e">
        <f ca="1">[1]!BexGetData("DP_1","003N8EMH8GTFRCSWKMPXRSGPQ","GSON1112150734")</f>
        <v>#NAME?</v>
      </c>
      <c r="K1962" s="23" t="e">
        <f ca="1">[1]!BexGetData("DP_1","003N8EMH8GTFRIVNUPY288VJH","GSON1112150734")</f>
        <v>#NAME?</v>
      </c>
      <c r="L1962" s="23" t="e">
        <f ca="1">[1]!BexGetData("DP_1","003N8EMH8GTFRIVNUPY2891V1","GSON1112150734")</f>
        <v>#NAME?</v>
      </c>
      <c r="M1962" s="28" t="e">
        <f ca="1">[1]!BexGetData("DP_1","003N8EMH8GTFRIVOG7KG9IQXA","GSON1112150734")</f>
        <v>#NAME?</v>
      </c>
      <c r="N1962" s="23" t="e">
        <f ca="1">[1]!BexGetData("DP_1","003N8EMH8GTFRIVOG7KG9IX8U","GSON1112150734")</f>
        <v>#NAME?</v>
      </c>
      <c r="O1962" s="28" t="e">
        <f ca="1">[1]!BexGetData("DP_1","003N8EMH8GTFRIVOG7KG9J3KE","GSON1112150734")</f>
        <v>#NAME?</v>
      </c>
      <c r="P1962" s="23" t="e">
        <f ca="1">[1]!BexGetData("DP_1","003N8EMH8GTFRIVOG7KG9J9VY","GSON1112150734")</f>
        <v>#NAME?</v>
      </c>
      <c r="Q1962" s="24" t="e">
        <f ca="1">[1]!BexGetData("DP_1","00O2TNJGODT0G5Z4TTKYMM5MT","GSON1112150734")</f>
        <v>#NAME?</v>
      </c>
      <c r="R1962" s="23" t="e">
        <f ca="1">[1]!BexGetData("DP_1","00O2TNJGODT0G5Z4TTKYMMBYD","GSON1112150734")</f>
        <v>#NAME?</v>
      </c>
      <c r="S1962" s="23" t="e">
        <f ca="1">[1]!BexGetData("DP_1","00O2TNJGODT0G5Z4TTKYMMI9X","GSON1112150734")</f>
        <v>#NAME?</v>
      </c>
      <c r="T1962" s="23" t="e">
        <f ca="1">[1]!BexGetData("DP_1","00O2TNJGODT0G5Z4TTKYMMOLH","GSON1112150734")</f>
        <v>#NAME?</v>
      </c>
      <c r="U1962" s="28" t="e">
        <f ca="1">[1]!BexGetData("DP_1","00O2TNJGODT0G5Z4TTKYMMUX1","GSON1112150734")</f>
        <v>#NAME?</v>
      </c>
      <c r="V1962" s="23" t="e">
        <f ca="1">[1]!BexGetData("DP_1","00O2TNJGODT0G5Z4TTKYMN18L","GSON1112150734")</f>
        <v>#NAME?</v>
      </c>
      <c r="W1962" s="28" t="e">
        <f ca="1">[1]!BexGetData("DP_1","00O2TNJGODT0G5Z4TTKYMN7K5","GSON1112150734")</f>
        <v>#NAME?</v>
      </c>
    </row>
    <row r="1963" spans="1:23" x14ac:dyDescent="0.2">
      <c r="A1963" s="36" t="s">
        <v>323</v>
      </c>
      <c r="B1963" s="27" t="s">
        <v>324</v>
      </c>
      <c r="C1963" s="23" t="e">
        <f ca="1">[1]!BexGetData("DP_1","003N8EMH8GTFRCSWKMPXRR8GU","GSON1112150740")</f>
        <v>#NAME?</v>
      </c>
      <c r="D1963" s="23" t="e">
        <f ca="1">[1]!BexGetData("DP_1","003N8EMH8GTFRCSWKMPXRRESE","GSON1112150740")</f>
        <v>#NAME?</v>
      </c>
      <c r="E1963" s="23" t="e">
        <f ca="1">[1]!BexGetData("DP_1","003N8EMH8GTFRCSWKMPXRRL3Y","GSON1112150740")</f>
        <v>#NAME?</v>
      </c>
      <c r="F1963" s="23" t="e">
        <f ca="1">[1]!BexGetData("DP_1","003N8EMH8GTFRCSWKMPXRRRFI","GSON1112150740")</f>
        <v>#NAME?</v>
      </c>
      <c r="G1963" s="23" t="e">
        <f ca="1">[1]!BexGetData("DP_1","003N8EMH8GTFRCSWKMPXRRXR2","GSON1112150740")</f>
        <v>#NAME?</v>
      </c>
      <c r="H1963" s="23" t="e">
        <f ca="1">[1]!BexGetData("DP_1","003N8EMH8GTFRCSWKMPXRS42M","GSON1112150740")</f>
        <v>#NAME?</v>
      </c>
      <c r="I1963" s="23" t="e">
        <f ca="1">[1]!BexGetData("DP_1","003N8EMH8GTFRCSWKMPXRSAE6","GSON1112150740")</f>
        <v>#NAME?</v>
      </c>
      <c r="J1963" s="23" t="e">
        <f ca="1">[1]!BexGetData("DP_1","003N8EMH8GTFRCSWKMPXRSGPQ","GSON1112150740")</f>
        <v>#NAME?</v>
      </c>
      <c r="K1963" s="23" t="e">
        <f ca="1">[1]!BexGetData("DP_1","003N8EMH8GTFRIVNUPY288VJH","GSON1112150740")</f>
        <v>#NAME?</v>
      </c>
      <c r="L1963" s="23" t="e">
        <f ca="1">[1]!BexGetData("DP_1","003N8EMH8GTFRIVNUPY2891V1","GSON1112150740")</f>
        <v>#NAME?</v>
      </c>
      <c r="M1963" s="28" t="e">
        <f ca="1">[1]!BexGetData("DP_1","003N8EMH8GTFRIVOG7KG9IQXA","GSON1112150740")</f>
        <v>#NAME?</v>
      </c>
      <c r="N1963" s="23" t="e">
        <f ca="1">[1]!BexGetData("DP_1","003N8EMH8GTFRIVOG7KG9IX8U","GSON1112150740")</f>
        <v>#NAME?</v>
      </c>
      <c r="O1963" s="28" t="e">
        <f ca="1">[1]!BexGetData("DP_1","003N8EMH8GTFRIVOG7KG9J3KE","GSON1112150740")</f>
        <v>#NAME?</v>
      </c>
      <c r="P1963" s="23" t="e">
        <f ca="1">[1]!BexGetData("DP_1","003N8EMH8GTFRIVOG7KG9J9VY","GSON1112150740")</f>
        <v>#NAME?</v>
      </c>
      <c r="Q1963" s="23" t="e">
        <f ca="1">[1]!BexGetData("DP_1","00O2TNJGODT0G5Z4TTKYMM5MT","GSON1112150740")</f>
        <v>#NAME?</v>
      </c>
      <c r="R1963" s="23" t="e">
        <f ca="1">[1]!BexGetData("DP_1","00O2TNJGODT0G5Z4TTKYMMBYD","GSON1112150740")</f>
        <v>#NAME?</v>
      </c>
      <c r="S1963" s="23" t="e">
        <f ca="1">[1]!BexGetData("DP_1","00O2TNJGODT0G5Z4TTKYMMI9X","GSON1112150740")</f>
        <v>#NAME?</v>
      </c>
      <c r="T1963" s="28" t="e">
        <f ca="1">[1]!BexGetData("DP_1","00O2TNJGODT0G5Z4TTKYMMOLH","GSON1112150740")</f>
        <v>#NAME?</v>
      </c>
      <c r="U1963" s="23" t="e">
        <f ca="1">[1]!BexGetData("DP_1","00O2TNJGODT0G5Z4TTKYMMUX1","GSON1112150740")</f>
        <v>#NAME?</v>
      </c>
      <c r="V1963" s="28" t="e">
        <f ca="1">[1]!BexGetData("DP_1","00O2TNJGODT0G5Z4TTKYMN18L","GSON1112150740")</f>
        <v>#NAME?</v>
      </c>
      <c r="W1963" s="23" t="e">
        <f ca="1">[1]!BexGetData("DP_1","00O2TNJGODT0G5Z4TTKYMN7K5","GSON1112150740")</f>
        <v>#NAME?</v>
      </c>
    </row>
    <row r="1964" spans="1:23" x14ac:dyDescent="0.2">
      <c r="A1964" s="36" t="s">
        <v>325</v>
      </c>
      <c r="B1964" s="27" t="s">
        <v>326</v>
      </c>
      <c r="C1964" s="23" t="e">
        <f ca="1">[1]!BexGetData("DP_1","003N8EMH8GTFRCSWKMPXRR8GU","GSON1112150741")</f>
        <v>#NAME?</v>
      </c>
      <c r="D1964" s="23" t="e">
        <f ca="1">[1]!BexGetData("DP_1","003N8EMH8GTFRCSWKMPXRRESE","GSON1112150741")</f>
        <v>#NAME?</v>
      </c>
      <c r="E1964" s="23" t="e">
        <f ca="1">[1]!BexGetData("DP_1","003N8EMH8GTFRCSWKMPXRRL3Y","GSON1112150741")</f>
        <v>#NAME?</v>
      </c>
      <c r="F1964" s="23" t="e">
        <f ca="1">[1]!BexGetData("DP_1","003N8EMH8GTFRCSWKMPXRRRFI","GSON1112150741")</f>
        <v>#NAME?</v>
      </c>
      <c r="G1964" s="23" t="e">
        <f ca="1">[1]!BexGetData("DP_1","003N8EMH8GTFRCSWKMPXRRXR2","GSON1112150741")</f>
        <v>#NAME?</v>
      </c>
      <c r="H1964" s="23" t="e">
        <f ca="1">[1]!BexGetData("DP_1","003N8EMH8GTFRCSWKMPXRS42M","GSON1112150741")</f>
        <v>#NAME?</v>
      </c>
      <c r="I1964" s="23" t="e">
        <f ca="1">[1]!BexGetData("DP_1","003N8EMH8GTFRCSWKMPXRSAE6","GSON1112150741")</f>
        <v>#NAME?</v>
      </c>
      <c r="J1964" s="23" t="e">
        <f ca="1">[1]!BexGetData("DP_1","003N8EMH8GTFRCSWKMPXRSGPQ","GSON1112150741")</f>
        <v>#NAME?</v>
      </c>
      <c r="K1964" s="23" t="e">
        <f ca="1">[1]!BexGetData("DP_1","003N8EMH8GTFRIVNUPY288VJH","GSON1112150741")</f>
        <v>#NAME?</v>
      </c>
      <c r="L1964" s="23" t="e">
        <f ca="1">[1]!BexGetData("DP_1","003N8EMH8GTFRIVNUPY2891V1","GSON1112150741")</f>
        <v>#NAME?</v>
      </c>
      <c r="M1964" s="23" t="e">
        <f ca="1">[1]!BexGetData("DP_1","003N8EMH8GTFRIVOG7KG9IQXA","GSON1112150741")</f>
        <v>#NAME?</v>
      </c>
      <c r="N1964" s="28" t="e">
        <f ca="1">[1]!BexGetData("DP_1","003N8EMH8GTFRIVOG7KG9IX8U","GSON1112150741")</f>
        <v>#NAME?</v>
      </c>
      <c r="O1964" s="23" t="e">
        <f ca="1">[1]!BexGetData("DP_1","003N8EMH8GTFRIVOG7KG9J3KE","GSON1112150741")</f>
        <v>#NAME?</v>
      </c>
      <c r="P1964" s="28" t="e">
        <f ca="1">[1]!BexGetData("DP_1","003N8EMH8GTFRIVOG7KG9J9VY","GSON1112150741")</f>
        <v>#NAME?</v>
      </c>
      <c r="Q1964" s="23" t="e">
        <f ca="1">[1]!BexGetData("DP_1","00O2TNJGODT0G5Z4TTKYMM5MT","GSON1112150741")</f>
        <v>#NAME?</v>
      </c>
      <c r="R1964" s="23" t="e">
        <f ca="1">[1]!BexGetData("DP_1","00O2TNJGODT0G5Z4TTKYMMBYD","GSON1112150741")</f>
        <v>#NAME?</v>
      </c>
      <c r="S1964" s="23" t="e">
        <f ca="1">[1]!BexGetData("DP_1","00O2TNJGODT0G5Z4TTKYMMI9X","GSON1112150741")</f>
        <v>#NAME?</v>
      </c>
      <c r="T1964" s="23" t="e">
        <f ca="1">[1]!BexGetData("DP_1","00O2TNJGODT0G5Z4TTKYMMOLH","GSON1112150741")</f>
        <v>#NAME?</v>
      </c>
      <c r="U1964" s="28" t="e">
        <f ca="1">[1]!BexGetData("DP_1","00O2TNJGODT0G5Z4TTKYMMUX1","GSON1112150741")</f>
        <v>#NAME?</v>
      </c>
      <c r="V1964" s="23" t="e">
        <f ca="1">[1]!BexGetData("DP_1","00O2TNJGODT0G5Z4TTKYMN18L","GSON1112150741")</f>
        <v>#NAME?</v>
      </c>
      <c r="W1964" s="28" t="e">
        <f ca="1">[1]!BexGetData("DP_1","00O2TNJGODT0G5Z4TTKYMN7K5","GSON1112150741")</f>
        <v>#NAME?</v>
      </c>
    </row>
    <row r="1965" spans="1:23" x14ac:dyDescent="0.2">
      <c r="A1965" s="36" t="s">
        <v>4926</v>
      </c>
      <c r="B1965" s="27" t="s">
        <v>4927</v>
      </c>
      <c r="C1965" s="24" t="e">
        <f ca="1">[1]!BexGetData("DP_1","003N8EMH8GTFRCSWKMPXRR8GU","GSON1112150743")</f>
        <v>#NAME?</v>
      </c>
      <c r="D1965" s="24" t="e">
        <f ca="1">[1]!BexGetData("DP_1","003N8EMH8GTFRCSWKMPXRRESE","GSON1112150743")</f>
        <v>#NAME?</v>
      </c>
      <c r="E1965" s="24" t="e">
        <f ca="1">[1]!BexGetData("DP_1","003N8EMH8GTFRCSWKMPXRRL3Y","GSON1112150743")</f>
        <v>#NAME?</v>
      </c>
      <c r="F1965" s="28" t="e">
        <f ca="1">[1]!BexGetData("DP_1","003N8EMH8GTFRCSWKMPXRRRFI","GSON1112150743")</f>
        <v>#NAME?</v>
      </c>
      <c r="G1965" s="23" t="e">
        <f ca="1">[1]!BexGetData("DP_1","003N8EMH8GTFRCSWKMPXRRXR2","GSON1112150743")</f>
        <v>#NAME?</v>
      </c>
      <c r="H1965" s="23" t="e">
        <f ca="1">[1]!BexGetData("DP_1","003N8EMH8GTFRCSWKMPXRS42M","GSON1112150743")</f>
        <v>#NAME?</v>
      </c>
      <c r="I1965" s="28" t="e">
        <f ca="1">[1]!BexGetData("DP_1","003N8EMH8GTFRCSWKMPXRSAE6","GSON1112150743")</f>
        <v>#NAME?</v>
      </c>
      <c r="J1965" s="24" t="e">
        <f ca="1">[1]!BexGetData("DP_1","003N8EMH8GTFRCSWKMPXRSGPQ","GSON1112150743")</f>
        <v>#NAME?</v>
      </c>
      <c r="K1965" s="28" t="e">
        <f ca="1">[1]!BexGetData("DP_1","003N8EMH8GTFRIVNUPY288VJH","GSON1112150743")</f>
        <v>#NAME?</v>
      </c>
      <c r="L1965" s="28" t="e">
        <f ca="1">[1]!BexGetData("DP_1","003N8EMH8GTFRIVNUPY2891V1","GSON1112150743")</f>
        <v>#NAME?</v>
      </c>
      <c r="M1965" s="28" t="e">
        <f ca="1">[1]!BexGetData("DP_1","003N8EMH8GTFRIVOG7KG9IQXA","GSON1112150743")</f>
        <v>#NAME?</v>
      </c>
      <c r="N1965" s="28" t="e">
        <f ca="1">[1]!BexGetData("DP_1","003N8EMH8GTFRIVOG7KG9IX8U","GSON1112150743")</f>
        <v>#NAME?</v>
      </c>
      <c r="O1965" s="28" t="e">
        <f ca="1">[1]!BexGetData("DP_1","003N8EMH8GTFRIVOG7KG9J3KE","GSON1112150743")</f>
        <v>#NAME?</v>
      </c>
      <c r="P1965" s="28" t="e">
        <f ca="1">[1]!BexGetData("DP_1","003N8EMH8GTFRIVOG7KG9J9VY","GSON1112150743")</f>
        <v>#NAME?</v>
      </c>
      <c r="Q1965" s="24" t="e">
        <f ca="1">[1]!BexGetData("DP_1","00O2TNJGODT0G5Z4TTKYMM5MT","GSON1112150743")</f>
        <v>#NAME?</v>
      </c>
      <c r="R1965" s="28" t="e">
        <f ca="1">[1]!BexGetData("DP_1","00O2TNJGODT0G5Z4TTKYMMBYD","GSON1112150743")</f>
        <v>#NAME?</v>
      </c>
      <c r="S1965" s="28" t="e">
        <f ca="1">[1]!BexGetData("DP_1","00O2TNJGODT0G5Z4TTKYMMI9X","GSON1112150743")</f>
        <v>#NAME?</v>
      </c>
      <c r="T1965" s="28" t="e">
        <f ca="1">[1]!BexGetData("DP_1","00O2TNJGODT0G5Z4TTKYMMOLH","GSON1112150743")</f>
        <v>#NAME?</v>
      </c>
      <c r="U1965" s="28" t="e">
        <f ca="1">[1]!BexGetData("DP_1","00O2TNJGODT0G5Z4TTKYMMUX1","GSON1112150743")</f>
        <v>#NAME?</v>
      </c>
      <c r="V1965" s="28" t="e">
        <f ca="1">[1]!BexGetData("DP_1","00O2TNJGODT0G5Z4TTKYMN18L","GSON1112150743")</f>
        <v>#NAME?</v>
      </c>
      <c r="W1965" s="28" t="e">
        <f ca="1">[1]!BexGetData("DP_1","00O2TNJGODT0G5Z4TTKYMN7K5","GSON1112150743")</f>
        <v>#NAME?</v>
      </c>
    </row>
    <row r="1966" spans="1:23" x14ac:dyDescent="0.2">
      <c r="A1966" s="36" t="s">
        <v>4928</v>
      </c>
      <c r="B1966" s="27" t="s">
        <v>327</v>
      </c>
      <c r="C1966" s="23" t="e">
        <f ca="1">[1]!BexGetData("DP_1","003N8EMH8GTFRCSWKMPXRR8GU","GSON1112150744")</f>
        <v>#NAME?</v>
      </c>
      <c r="D1966" s="23" t="e">
        <f ca="1">[1]!BexGetData("DP_1","003N8EMH8GTFRCSWKMPXRRESE","GSON1112150744")</f>
        <v>#NAME?</v>
      </c>
      <c r="E1966" s="23" t="e">
        <f ca="1">[1]!BexGetData("DP_1","003N8EMH8GTFRCSWKMPXRRL3Y","GSON1112150744")</f>
        <v>#NAME?</v>
      </c>
      <c r="F1966" s="23" t="e">
        <f ca="1">[1]!BexGetData("DP_1","003N8EMH8GTFRCSWKMPXRRRFI","GSON1112150744")</f>
        <v>#NAME?</v>
      </c>
      <c r="G1966" s="23" t="e">
        <f ca="1">[1]!BexGetData("DP_1","003N8EMH8GTFRCSWKMPXRRXR2","GSON1112150744")</f>
        <v>#NAME?</v>
      </c>
      <c r="H1966" s="23" t="e">
        <f ca="1">[1]!BexGetData("DP_1","003N8EMH8GTFRCSWKMPXRS42M","GSON1112150744")</f>
        <v>#NAME?</v>
      </c>
      <c r="I1966" s="23" t="e">
        <f ca="1">[1]!BexGetData("DP_1","003N8EMH8GTFRCSWKMPXRSAE6","GSON1112150744")</f>
        <v>#NAME?</v>
      </c>
      <c r="J1966" s="24" t="e">
        <f ca="1">[1]!BexGetData("DP_1","003N8EMH8GTFRCSWKMPXRSGPQ","GSON1112150744")</f>
        <v>#NAME?</v>
      </c>
      <c r="K1966" s="28" t="e">
        <f ca="1">[1]!BexGetData("DP_1","003N8EMH8GTFRIVNUPY288VJH","GSON1112150744")</f>
        <v>#NAME?</v>
      </c>
      <c r="L1966" s="28" t="e">
        <f ca="1">[1]!BexGetData("DP_1","003N8EMH8GTFRIVNUPY2891V1","GSON1112150744")</f>
        <v>#NAME?</v>
      </c>
      <c r="M1966" s="28" t="e">
        <f ca="1">[1]!BexGetData("DP_1","003N8EMH8GTFRIVOG7KG9IQXA","GSON1112150744")</f>
        <v>#NAME?</v>
      </c>
      <c r="N1966" s="28" t="e">
        <f ca="1">[1]!BexGetData("DP_1","003N8EMH8GTFRIVOG7KG9IX8U","GSON1112150744")</f>
        <v>#NAME?</v>
      </c>
      <c r="O1966" s="28" t="e">
        <f ca="1">[1]!BexGetData("DP_1","003N8EMH8GTFRIVOG7KG9J3KE","GSON1112150744")</f>
        <v>#NAME?</v>
      </c>
      <c r="P1966" s="28" t="e">
        <f ca="1">[1]!BexGetData("DP_1","003N8EMH8GTFRIVOG7KG9J9VY","GSON1112150744")</f>
        <v>#NAME?</v>
      </c>
      <c r="Q1966" s="24" t="e">
        <f ca="1">[1]!BexGetData("DP_1","00O2TNJGODT0G5Z4TTKYMM5MT","GSON1112150744")</f>
        <v>#NAME?</v>
      </c>
      <c r="R1966" s="23" t="e">
        <f ca="1">[1]!BexGetData("DP_1","00O2TNJGODT0G5Z4TTKYMMBYD","GSON1112150744")</f>
        <v>#NAME?</v>
      </c>
      <c r="S1966" s="23" t="e">
        <f ca="1">[1]!BexGetData("DP_1","00O2TNJGODT0G5Z4TTKYMMI9X","GSON1112150744")</f>
        <v>#NAME?</v>
      </c>
      <c r="T1966" s="23" t="e">
        <f ca="1">[1]!BexGetData("DP_1","00O2TNJGODT0G5Z4TTKYMMOLH","GSON1112150744")</f>
        <v>#NAME?</v>
      </c>
      <c r="U1966" s="28" t="e">
        <f ca="1">[1]!BexGetData("DP_1","00O2TNJGODT0G5Z4TTKYMMUX1","GSON1112150744")</f>
        <v>#NAME?</v>
      </c>
      <c r="V1966" s="23" t="e">
        <f ca="1">[1]!BexGetData("DP_1","00O2TNJGODT0G5Z4TTKYMN18L","GSON1112150744")</f>
        <v>#NAME?</v>
      </c>
      <c r="W1966" s="28" t="e">
        <f ca="1">[1]!BexGetData("DP_1","00O2TNJGODT0G5Z4TTKYMN7K5","GSON1112150744")</f>
        <v>#NAME?</v>
      </c>
    </row>
    <row r="1967" spans="1:23" x14ac:dyDescent="0.2">
      <c r="A1967" s="36" t="s">
        <v>1168</v>
      </c>
      <c r="B1967" s="27" t="s">
        <v>1169</v>
      </c>
      <c r="C1967" s="23" t="e">
        <f ca="1">[1]!BexGetData("DP_1","003N8EMH8GTFRCSWKMPXRR8GU","GSON1112150750")</f>
        <v>#NAME?</v>
      </c>
      <c r="D1967" s="23" t="e">
        <f ca="1">[1]!BexGetData("DP_1","003N8EMH8GTFRCSWKMPXRRESE","GSON1112150750")</f>
        <v>#NAME?</v>
      </c>
      <c r="E1967" s="23" t="e">
        <f ca="1">[1]!BexGetData("DP_1","003N8EMH8GTFRCSWKMPXRRL3Y","GSON1112150750")</f>
        <v>#NAME?</v>
      </c>
      <c r="F1967" s="23" t="e">
        <f ca="1">[1]!BexGetData("DP_1","003N8EMH8GTFRCSWKMPXRRRFI","GSON1112150750")</f>
        <v>#NAME?</v>
      </c>
      <c r="G1967" s="23" t="e">
        <f ca="1">[1]!BexGetData("DP_1","003N8EMH8GTFRCSWKMPXRRXR2","GSON1112150750")</f>
        <v>#NAME?</v>
      </c>
      <c r="H1967" s="23" t="e">
        <f ca="1">[1]!BexGetData("DP_1","003N8EMH8GTFRCSWKMPXRS42M","GSON1112150750")</f>
        <v>#NAME?</v>
      </c>
      <c r="I1967" s="23" t="e">
        <f ca="1">[1]!BexGetData("DP_1","003N8EMH8GTFRCSWKMPXRSAE6","GSON1112150750")</f>
        <v>#NAME?</v>
      </c>
      <c r="J1967" s="23" t="e">
        <f ca="1">[1]!BexGetData("DP_1","003N8EMH8GTFRCSWKMPXRSGPQ","GSON1112150750")</f>
        <v>#NAME?</v>
      </c>
      <c r="K1967" s="23" t="e">
        <f ca="1">[1]!BexGetData("DP_1","003N8EMH8GTFRIVNUPY288VJH","GSON1112150750")</f>
        <v>#NAME?</v>
      </c>
      <c r="L1967" s="23" t="e">
        <f ca="1">[1]!BexGetData("DP_1","003N8EMH8GTFRIVNUPY2891V1","GSON1112150750")</f>
        <v>#NAME?</v>
      </c>
      <c r="M1967" s="28" t="e">
        <f ca="1">[1]!BexGetData("DP_1","003N8EMH8GTFRIVOG7KG9IQXA","GSON1112150750")</f>
        <v>#NAME?</v>
      </c>
      <c r="N1967" s="23" t="e">
        <f ca="1">[1]!BexGetData("DP_1","003N8EMH8GTFRIVOG7KG9IX8U","GSON1112150750")</f>
        <v>#NAME?</v>
      </c>
      <c r="O1967" s="28" t="e">
        <f ca="1">[1]!BexGetData("DP_1","003N8EMH8GTFRIVOG7KG9J3KE","GSON1112150750")</f>
        <v>#NAME?</v>
      </c>
      <c r="P1967" s="23" t="e">
        <f ca="1">[1]!BexGetData("DP_1","003N8EMH8GTFRIVOG7KG9J9VY","GSON1112150750")</f>
        <v>#NAME?</v>
      </c>
      <c r="Q1967" s="23" t="e">
        <f ca="1">[1]!BexGetData("DP_1","00O2TNJGODT0G5Z4TTKYMM5MT","GSON1112150750")</f>
        <v>#NAME?</v>
      </c>
      <c r="R1967" s="23" t="e">
        <f ca="1">[1]!BexGetData("DP_1","00O2TNJGODT0G5Z4TTKYMMBYD","GSON1112150750")</f>
        <v>#NAME?</v>
      </c>
      <c r="S1967" s="23" t="e">
        <f ca="1">[1]!BexGetData("DP_1","00O2TNJGODT0G5Z4TTKYMMI9X","GSON1112150750")</f>
        <v>#NAME?</v>
      </c>
      <c r="T1967" s="28" t="e">
        <f ca="1">[1]!BexGetData("DP_1","00O2TNJGODT0G5Z4TTKYMMOLH","GSON1112150750")</f>
        <v>#NAME?</v>
      </c>
      <c r="U1967" s="23" t="e">
        <f ca="1">[1]!BexGetData("DP_1","00O2TNJGODT0G5Z4TTKYMMUX1","GSON1112150750")</f>
        <v>#NAME?</v>
      </c>
      <c r="V1967" s="28" t="e">
        <f ca="1">[1]!BexGetData("DP_1","00O2TNJGODT0G5Z4TTKYMN18L","GSON1112150750")</f>
        <v>#NAME?</v>
      </c>
      <c r="W1967" s="23" t="e">
        <f ca="1">[1]!BexGetData("DP_1","00O2TNJGODT0G5Z4TTKYMN7K5","GSON1112150750")</f>
        <v>#NAME?</v>
      </c>
    </row>
    <row r="1968" spans="1:23" x14ac:dyDescent="0.2">
      <c r="A1968" s="36" t="s">
        <v>4929</v>
      </c>
      <c r="B1968" s="27" t="s">
        <v>4930</v>
      </c>
      <c r="C1968" s="23" t="e">
        <f ca="1">[1]!BexGetData("DP_1","003N8EMH8GTFRCSWKMPXRR8GU","GSON1112150751")</f>
        <v>#NAME?</v>
      </c>
      <c r="D1968" s="23" t="e">
        <f ca="1">[1]!BexGetData("DP_1","003N8EMH8GTFRCSWKMPXRRESE","GSON1112150751")</f>
        <v>#NAME?</v>
      </c>
      <c r="E1968" s="23" t="e">
        <f ca="1">[1]!BexGetData("DP_1","003N8EMH8GTFRCSWKMPXRRL3Y","GSON1112150751")</f>
        <v>#NAME?</v>
      </c>
      <c r="F1968" s="23" t="e">
        <f ca="1">[1]!BexGetData("DP_1","003N8EMH8GTFRCSWKMPXRRRFI","GSON1112150751")</f>
        <v>#NAME?</v>
      </c>
      <c r="G1968" s="23" t="e">
        <f ca="1">[1]!BexGetData("DP_1","003N8EMH8GTFRCSWKMPXRRXR2","GSON1112150751")</f>
        <v>#NAME?</v>
      </c>
      <c r="H1968" s="23" t="e">
        <f ca="1">[1]!BexGetData("DP_1","003N8EMH8GTFRCSWKMPXRS42M","GSON1112150751")</f>
        <v>#NAME?</v>
      </c>
      <c r="I1968" s="23" t="e">
        <f ca="1">[1]!BexGetData("DP_1","003N8EMH8GTFRCSWKMPXRSAE6","GSON1112150751")</f>
        <v>#NAME?</v>
      </c>
      <c r="J1968" s="24" t="e">
        <f ca="1">[1]!BexGetData("DP_1","003N8EMH8GTFRCSWKMPXRSGPQ","GSON1112150751")</f>
        <v>#NAME?</v>
      </c>
      <c r="K1968" s="23" t="e">
        <f ca="1">[1]!BexGetData("DP_1","003N8EMH8GTFRIVNUPY288VJH","GSON1112150751")</f>
        <v>#NAME?</v>
      </c>
      <c r="L1968" s="23" t="e">
        <f ca="1">[1]!BexGetData("DP_1","003N8EMH8GTFRIVNUPY2891V1","GSON1112150751")</f>
        <v>#NAME?</v>
      </c>
      <c r="M1968" s="23" t="e">
        <f ca="1">[1]!BexGetData("DP_1","003N8EMH8GTFRIVOG7KG9IQXA","GSON1112150751")</f>
        <v>#NAME?</v>
      </c>
      <c r="N1968" s="28" t="e">
        <f ca="1">[1]!BexGetData("DP_1","003N8EMH8GTFRIVOG7KG9IX8U","GSON1112150751")</f>
        <v>#NAME?</v>
      </c>
      <c r="O1968" s="23" t="e">
        <f ca="1">[1]!BexGetData("DP_1","003N8EMH8GTFRIVOG7KG9J3KE","GSON1112150751")</f>
        <v>#NAME?</v>
      </c>
      <c r="P1968" s="28" t="e">
        <f ca="1">[1]!BexGetData("DP_1","003N8EMH8GTFRIVOG7KG9J9VY","GSON1112150751")</f>
        <v>#NAME?</v>
      </c>
      <c r="Q1968" s="24" t="e">
        <f ca="1">[1]!BexGetData("DP_1","00O2TNJGODT0G5Z4TTKYMM5MT","GSON1112150751")</f>
        <v>#NAME?</v>
      </c>
      <c r="R1968" s="23" t="e">
        <f ca="1">[1]!BexGetData("DP_1","00O2TNJGODT0G5Z4TTKYMMBYD","GSON1112150751")</f>
        <v>#NAME?</v>
      </c>
      <c r="S1968" s="23" t="e">
        <f ca="1">[1]!BexGetData("DP_1","00O2TNJGODT0G5Z4TTKYMMI9X","GSON1112150751")</f>
        <v>#NAME?</v>
      </c>
      <c r="T1968" s="23" t="e">
        <f ca="1">[1]!BexGetData("DP_1","00O2TNJGODT0G5Z4TTKYMMOLH","GSON1112150751")</f>
        <v>#NAME?</v>
      </c>
      <c r="U1968" s="28" t="e">
        <f ca="1">[1]!BexGetData("DP_1","00O2TNJGODT0G5Z4TTKYMMUX1","GSON1112150751")</f>
        <v>#NAME?</v>
      </c>
      <c r="V1968" s="23" t="e">
        <f ca="1">[1]!BexGetData("DP_1","00O2TNJGODT0G5Z4TTKYMN18L","GSON1112150751")</f>
        <v>#NAME?</v>
      </c>
      <c r="W1968" s="28" t="e">
        <f ca="1">[1]!BexGetData("DP_1","00O2TNJGODT0G5Z4TTKYMN7K5","GSON1112150751")</f>
        <v>#NAME?</v>
      </c>
    </row>
    <row r="1969" spans="1:23" x14ac:dyDescent="0.2">
      <c r="A1969" s="36" t="s">
        <v>4931</v>
      </c>
      <c r="B1969" s="27" t="s">
        <v>4932</v>
      </c>
      <c r="C1969" s="23" t="e">
        <f ca="1">[1]!BexGetData("DP_1","003N8EMH8GTFRCSWKMPXRR8GU","GSON1112150753")</f>
        <v>#NAME?</v>
      </c>
      <c r="D1969" s="23" t="e">
        <f ca="1">[1]!BexGetData("DP_1","003N8EMH8GTFRCSWKMPXRRESE","GSON1112150753")</f>
        <v>#NAME?</v>
      </c>
      <c r="E1969" s="28" t="e">
        <f ca="1">[1]!BexGetData("DP_1","003N8EMH8GTFRCSWKMPXRRL3Y","GSON1112150753")</f>
        <v>#NAME?</v>
      </c>
      <c r="F1969" s="28" t="e">
        <f ca="1">[1]!BexGetData("DP_1","003N8EMH8GTFRCSWKMPXRRRFI","GSON1112150753")</f>
        <v>#NAME?</v>
      </c>
      <c r="G1969" s="23" t="e">
        <f ca="1">[1]!BexGetData("DP_1","003N8EMH8GTFRCSWKMPXRRXR2","GSON1112150753")</f>
        <v>#NAME?</v>
      </c>
      <c r="H1969" s="23" t="e">
        <f ca="1">[1]!BexGetData("DP_1","003N8EMH8GTFRCSWKMPXRS42M","GSON1112150753")</f>
        <v>#NAME?</v>
      </c>
      <c r="I1969" s="28" t="e">
        <f ca="1">[1]!BexGetData("DP_1","003N8EMH8GTFRCSWKMPXRSAE6","GSON1112150753")</f>
        <v>#NAME?</v>
      </c>
      <c r="J1969" s="24" t="e">
        <f ca="1">[1]!BexGetData("DP_1","003N8EMH8GTFRCSWKMPXRSGPQ","GSON1112150753")</f>
        <v>#NAME?</v>
      </c>
      <c r="K1969" s="28" t="e">
        <f ca="1">[1]!BexGetData("DP_1","003N8EMH8GTFRIVNUPY288VJH","GSON1112150753")</f>
        <v>#NAME?</v>
      </c>
      <c r="L1969" s="28" t="e">
        <f ca="1">[1]!BexGetData("DP_1","003N8EMH8GTFRIVNUPY2891V1","GSON1112150753")</f>
        <v>#NAME?</v>
      </c>
      <c r="M1969" s="28" t="e">
        <f ca="1">[1]!BexGetData("DP_1","003N8EMH8GTFRIVOG7KG9IQXA","GSON1112150753")</f>
        <v>#NAME?</v>
      </c>
      <c r="N1969" s="28" t="e">
        <f ca="1">[1]!BexGetData("DP_1","003N8EMH8GTFRIVOG7KG9IX8U","GSON1112150753")</f>
        <v>#NAME?</v>
      </c>
      <c r="O1969" s="28" t="e">
        <f ca="1">[1]!BexGetData("DP_1","003N8EMH8GTFRIVOG7KG9J3KE","GSON1112150753")</f>
        <v>#NAME?</v>
      </c>
      <c r="P1969" s="28" t="e">
        <f ca="1">[1]!BexGetData("DP_1","003N8EMH8GTFRIVOG7KG9J9VY","GSON1112150753")</f>
        <v>#NAME?</v>
      </c>
      <c r="Q1969" s="24" t="e">
        <f ca="1">[1]!BexGetData("DP_1","00O2TNJGODT0G5Z4TTKYMM5MT","GSON1112150753")</f>
        <v>#NAME?</v>
      </c>
      <c r="R1969" s="28" t="e">
        <f ca="1">[1]!BexGetData("DP_1","00O2TNJGODT0G5Z4TTKYMMBYD","GSON1112150753")</f>
        <v>#NAME?</v>
      </c>
      <c r="S1969" s="28" t="e">
        <f ca="1">[1]!BexGetData("DP_1","00O2TNJGODT0G5Z4TTKYMMI9X","GSON1112150753")</f>
        <v>#NAME?</v>
      </c>
      <c r="T1969" s="28" t="e">
        <f ca="1">[1]!BexGetData("DP_1","00O2TNJGODT0G5Z4TTKYMMOLH","GSON1112150753")</f>
        <v>#NAME?</v>
      </c>
      <c r="U1969" s="28" t="e">
        <f ca="1">[1]!BexGetData("DP_1","00O2TNJGODT0G5Z4TTKYMMUX1","GSON1112150753")</f>
        <v>#NAME?</v>
      </c>
      <c r="V1969" s="28" t="e">
        <f ca="1">[1]!BexGetData("DP_1","00O2TNJGODT0G5Z4TTKYMN18L","GSON1112150753")</f>
        <v>#NAME?</v>
      </c>
      <c r="W1969" s="28" t="e">
        <f ca="1">[1]!BexGetData("DP_1","00O2TNJGODT0G5Z4TTKYMN7K5","GSON1112150753")</f>
        <v>#NAME?</v>
      </c>
    </row>
    <row r="1970" spans="1:23" x14ac:dyDescent="0.2">
      <c r="A1970" s="36" t="s">
        <v>4933</v>
      </c>
      <c r="B1970" s="27" t="s">
        <v>1170</v>
      </c>
      <c r="C1970" s="23" t="e">
        <f ca="1">[1]!BexGetData("DP_1","003N8EMH8GTFRCSWKMPXRR8GU","GSON1112150754")</f>
        <v>#NAME?</v>
      </c>
      <c r="D1970" s="23" t="e">
        <f ca="1">[1]!BexGetData("DP_1","003N8EMH8GTFRCSWKMPXRRESE","GSON1112150754")</f>
        <v>#NAME?</v>
      </c>
      <c r="E1970" s="28" t="e">
        <f ca="1">[1]!BexGetData("DP_1","003N8EMH8GTFRCSWKMPXRRL3Y","GSON1112150754")</f>
        <v>#NAME?</v>
      </c>
      <c r="F1970" s="28" t="e">
        <f ca="1">[1]!BexGetData("DP_1","003N8EMH8GTFRCSWKMPXRRRFI","GSON1112150754")</f>
        <v>#NAME?</v>
      </c>
      <c r="G1970" s="23" t="e">
        <f ca="1">[1]!BexGetData("DP_1","003N8EMH8GTFRCSWKMPXRRXR2","GSON1112150754")</f>
        <v>#NAME?</v>
      </c>
      <c r="H1970" s="23" t="e">
        <f ca="1">[1]!BexGetData("DP_1","003N8EMH8GTFRCSWKMPXRS42M","GSON1112150754")</f>
        <v>#NAME?</v>
      </c>
      <c r="I1970" s="28" t="e">
        <f ca="1">[1]!BexGetData("DP_1","003N8EMH8GTFRCSWKMPXRSAE6","GSON1112150754")</f>
        <v>#NAME?</v>
      </c>
      <c r="J1970" s="24" t="e">
        <f ca="1">[1]!BexGetData("DP_1","003N8EMH8GTFRCSWKMPXRSGPQ","GSON1112150754")</f>
        <v>#NAME?</v>
      </c>
      <c r="K1970" s="28" t="e">
        <f ca="1">[1]!BexGetData("DP_1","003N8EMH8GTFRIVNUPY288VJH","GSON1112150754")</f>
        <v>#NAME?</v>
      </c>
      <c r="L1970" s="28" t="e">
        <f ca="1">[1]!BexGetData("DP_1","003N8EMH8GTFRIVNUPY2891V1","GSON1112150754")</f>
        <v>#NAME?</v>
      </c>
      <c r="M1970" s="28" t="e">
        <f ca="1">[1]!BexGetData("DP_1","003N8EMH8GTFRIVOG7KG9IQXA","GSON1112150754")</f>
        <v>#NAME?</v>
      </c>
      <c r="N1970" s="28" t="e">
        <f ca="1">[1]!BexGetData("DP_1","003N8EMH8GTFRIVOG7KG9IX8U","GSON1112150754")</f>
        <v>#NAME?</v>
      </c>
      <c r="O1970" s="28" t="e">
        <f ca="1">[1]!BexGetData("DP_1","003N8EMH8GTFRIVOG7KG9J3KE","GSON1112150754")</f>
        <v>#NAME?</v>
      </c>
      <c r="P1970" s="28" t="e">
        <f ca="1">[1]!BexGetData("DP_1","003N8EMH8GTFRIVOG7KG9J9VY","GSON1112150754")</f>
        <v>#NAME?</v>
      </c>
      <c r="Q1970" s="24" t="e">
        <f ca="1">[1]!BexGetData("DP_1","00O2TNJGODT0G5Z4TTKYMM5MT","GSON1112150754")</f>
        <v>#NAME?</v>
      </c>
      <c r="R1970" s="28" t="e">
        <f ca="1">[1]!BexGetData("DP_1","00O2TNJGODT0G5Z4TTKYMMBYD","GSON1112150754")</f>
        <v>#NAME?</v>
      </c>
      <c r="S1970" s="28" t="e">
        <f ca="1">[1]!BexGetData("DP_1","00O2TNJGODT0G5Z4TTKYMMI9X","GSON1112150754")</f>
        <v>#NAME?</v>
      </c>
      <c r="T1970" s="28" t="e">
        <f ca="1">[1]!BexGetData("DP_1","00O2TNJGODT0G5Z4TTKYMMOLH","GSON1112150754")</f>
        <v>#NAME?</v>
      </c>
      <c r="U1970" s="28" t="e">
        <f ca="1">[1]!BexGetData("DP_1","00O2TNJGODT0G5Z4TTKYMMUX1","GSON1112150754")</f>
        <v>#NAME?</v>
      </c>
      <c r="V1970" s="28" t="e">
        <f ca="1">[1]!BexGetData("DP_1","00O2TNJGODT0G5Z4TTKYMN18L","GSON1112150754")</f>
        <v>#NAME?</v>
      </c>
      <c r="W1970" s="28" t="e">
        <f ca="1">[1]!BexGetData("DP_1","00O2TNJGODT0G5Z4TTKYMN7K5","GSON1112150754")</f>
        <v>#NAME?</v>
      </c>
    </row>
    <row r="1971" spans="1:23" x14ac:dyDescent="0.2">
      <c r="A1971" s="36" t="s">
        <v>1171</v>
      </c>
      <c r="B1971" s="27" t="s">
        <v>1172</v>
      </c>
      <c r="C1971" s="23" t="e">
        <f ca="1">[1]!BexGetData("DP_1","003N8EMH8GTFRCSWKMPXRR8GU","GSON1112150760")</f>
        <v>#NAME?</v>
      </c>
      <c r="D1971" s="23" t="e">
        <f ca="1">[1]!BexGetData("DP_1","003N8EMH8GTFRCSWKMPXRRESE","GSON1112150760")</f>
        <v>#NAME?</v>
      </c>
      <c r="E1971" s="23" t="e">
        <f ca="1">[1]!BexGetData("DP_1","003N8EMH8GTFRCSWKMPXRRL3Y","GSON1112150760")</f>
        <v>#NAME?</v>
      </c>
      <c r="F1971" s="23" t="e">
        <f ca="1">[1]!BexGetData("DP_1","003N8EMH8GTFRCSWKMPXRRRFI","GSON1112150760")</f>
        <v>#NAME?</v>
      </c>
      <c r="G1971" s="23" t="e">
        <f ca="1">[1]!BexGetData("DP_1","003N8EMH8GTFRCSWKMPXRRXR2","GSON1112150760")</f>
        <v>#NAME?</v>
      </c>
      <c r="H1971" s="23" t="e">
        <f ca="1">[1]!BexGetData("DP_1","003N8EMH8GTFRCSWKMPXRS42M","GSON1112150760")</f>
        <v>#NAME?</v>
      </c>
      <c r="I1971" s="23" t="e">
        <f ca="1">[1]!BexGetData("DP_1","003N8EMH8GTFRCSWKMPXRSAE6","GSON1112150760")</f>
        <v>#NAME?</v>
      </c>
      <c r="J1971" s="23" t="e">
        <f ca="1">[1]!BexGetData("DP_1","003N8EMH8GTFRCSWKMPXRSGPQ","GSON1112150760")</f>
        <v>#NAME?</v>
      </c>
      <c r="K1971" s="23" t="e">
        <f ca="1">[1]!BexGetData("DP_1","003N8EMH8GTFRIVNUPY288VJH","GSON1112150760")</f>
        <v>#NAME?</v>
      </c>
      <c r="L1971" s="23" t="e">
        <f ca="1">[1]!BexGetData("DP_1","003N8EMH8GTFRIVNUPY2891V1","GSON1112150760")</f>
        <v>#NAME?</v>
      </c>
      <c r="M1971" s="28" t="e">
        <f ca="1">[1]!BexGetData("DP_1","003N8EMH8GTFRIVOG7KG9IQXA","GSON1112150760")</f>
        <v>#NAME?</v>
      </c>
      <c r="N1971" s="23" t="e">
        <f ca="1">[1]!BexGetData("DP_1","003N8EMH8GTFRIVOG7KG9IX8U","GSON1112150760")</f>
        <v>#NAME?</v>
      </c>
      <c r="O1971" s="28" t="e">
        <f ca="1">[1]!BexGetData("DP_1","003N8EMH8GTFRIVOG7KG9J3KE","GSON1112150760")</f>
        <v>#NAME?</v>
      </c>
      <c r="P1971" s="23" t="e">
        <f ca="1">[1]!BexGetData("DP_1","003N8EMH8GTFRIVOG7KG9J9VY","GSON1112150760")</f>
        <v>#NAME?</v>
      </c>
      <c r="Q1971" s="23" t="e">
        <f ca="1">[1]!BexGetData("DP_1","00O2TNJGODT0G5Z4TTKYMM5MT","GSON1112150760")</f>
        <v>#NAME?</v>
      </c>
      <c r="R1971" s="23" t="e">
        <f ca="1">[1]!BexGetData("DP_1","00O2TNJGODT0G5Z4TTKYMMBYD","GSON1112150760")</f>
        <v>#NAME?</v>
      </c>
      <c r="S1971" s="23" t="e">
        <f ca="1">[1]!BexGetData("DP_1","00O2TNJGODT0G5Z4TTKYMMI9X","GSON1112150760")</f>
        <v>#NAME?</v>
      </c>
      <c r="T1971" s="28" t="e">
        <f ca="1">[1]!BexGetData("DP_1","00O2TNJGODT0G5Z4TTKYMMOLH","GSON1112150760")</f>
        <v>#NAME?</v>
      </c>
      <c r="U1971" s="23" t="e">
        <f ca="1">[1]!BexGetData("DP_1","00O2TNJGODT0G5Z4TTKYMMUX1","GSON1112150760")</f>
        <v>#NAME?</v>
      </c>
      <c r="V1971" s="28" t="e">
        <f ca="1">[1]!BexGetData("DP_1","00O2TNJGODT0G5Z4TTKYMN18L","GSON1112150760")</f>
        <v>#NAME?</v>
      </c>
      <c r="W1971" s="23" t="e">
        <f ca="1">[1]!BexGetData("DP_1","00O2TNJGODT0G5Z4TTKYMN7K5","GSON1112150760")</f>
        <v>#NAME?</v>
      </c>
    </row>
    <row r="1972" spans="1:23" x14ac:dyDescent="0.2">
      <c r="A1972" s="36" t="s">
        <v>1173</v>
      </c>
      <c r="B1972" s="27" t="s">
        <v>1174</v>
      </c>
      <c r="C1972" s="23" t="e">
        <f ca="1">[1]!BexGetData("DP_1","003N8EMH8GTFRCSWKMPXRR8GU","GSON1112150761")</f>
        <v>#NAME?</v>
      </c>
      <c r="D1972" s="23" t="e">
        <f ca="1">[1]!BexGetData("DP_1","003N8EMH8GTFRCSWKMPXRRESE","GSON1112150761")</f>
        <v>#NAME?</v>
      </c>
      <c r="E1972" s="28" t="e">
        <f ca="1">[1]!BexGetData("DP_1","003N8EMH8GTFRCSWKMPXRRL3Y","GSON1112150761")</f>
        <v>#NAME?</v>
      </c>
      <c r="F1972" s="23" t="e">
        <f ca="1">[1]!BexGetData("DP_1","003N8EMH8GTFRCSWKMPXRRRFI","GSON1112150761")</f>
        <v>#NAME?</v>
      </c>
      <c r="G1972" s="23" t="e">
        <f ca="1">[1]!BexGetData("DP_1","003N8EMH8GTFRCSWKMPXRRXR2","GSON1112150761")</f>
        <v>#NAME?</v>
      </c>
      <c r="H1972" s="23" t="e">
        <f ca="1">[1]!BexGetData("DP_1","003N8EMH8GTFRCSWKMPXRS42M","GSON1112150761")</f>
        <v>#NAME?</v>
      </c>
      <c r="I1972" s="23" t="e">
        <f ca="1">[1]!BexGetData("DP_1","003N8EMH8GTFRCSWKMPXRSAE6","GSON1112150761")</f>
        <v>#NAME?</v>
      </c>
      <c r="J1972" s="24" t="e">
        <f ca="1">[1]!BexGetData("DP_1","003N8EMH8GTFRCSWKMPXRSGPQ","GSON1112150761")</f>
        <v>#NAME?</v>
      </c>
      <c r="K1972" s="23" t="e">
        <f ca="1">[1]!BexGetData("DP_1","003N8EMH8GTFRIVNUPY288VJH","GSON1112150761")</f>
        <v>#NAME?</v>
      </c>
      <c r="L1972" s="23" t="e">
        <f ca="1">[1]!BexGetData("DP_1","003N8EMH8GTFRIVNUPY2891V1","GSON1112150761")</f>
        <v>#NAME?</v>
      </c>
      <c r="M1972" s="28" t="e">
        <f ca="1">[1]!BexGetData("DP_1","003N8EMH8GTFRIVOG7KG9IQXA","GSON1112150761")</f>
        <v>#NAME?</v>
      </c>
      <c r="N1972" s="23" t="e">
        <f ca="1">[1]!BexGetData("DP_1","003N8EMH8GTFRIVOG7KG9IX8U","GSON1112150761")</f>
        <v>#NAME?</v>
      </c>
      <c r="O1972" s="28" t="e">
        <f ca="1">[1]!BexGetData("DP_1","003N8EMH8GTFRIVOG7KG9J3KE","GSON1112150761")</f>
        <v>#NAME?</v>
      </c>
      <c r="P1972" s="23" t="e">
        <f ca="1">[1]!BexGetData("DP_1","003N8EMH8GTFRIVOG7KG9J9VY","GSON1112150761")</f>
        <v>#NAME?</v>
      </c>
      <c r="Q1972" s="24" t="e">
        <f ca="1">[1]!BexGetData("DP_1","00O2TNJGODT0G5Z4TTKYMM5MT","GSON1112150761")</f>
        <v>#NAME?</v>
      </c>
      <c r="R1972" s="23" t="e">
        <f ca="1">[1]!BexGetData("DP_1","00O2TNJGODT0G5Z4TTKYMMBYD","GSON1112150761")</f>
        <v>#NAME?</v>
      </c>
      <c r="S1972" s="23" t="e">
        <f ca="1">[1]!BexGetData("DP_1","00O2TNJGODT0G5Z4TTKYMMI9X","GSON1112150761")</f>
        <v>#NAME?</v>
      </c>
      <c r="T1972" s="23" t="e">
        <f ca="1">[1]!BexGetData("DP_1","00O2TNJGODT0G5Z4TTKYMMOLH","GSON1112150761")</f>
        <v>#NAME?</v>
      </c>
      <c r="U1972" s="28" t="e">
        <f ca="1">[1]!BexGetData("DP_1","00O2TNJGODT0G5Z4TTKYMMUX1","GSON1112150761")</f>
        <v>#NAME?</v>
      </c>
      <c r="V1972" s="23" t="e">
        <f ca="1">[1]!BexGetData("DP_1","00O2TNJGODT0G5Z4TTKYMN18L","GSON1112150761")</f>
        <v>#NAME?</v>
      </c>
      <c r="W1972" s="28" t="e">
        <f ca="1">[1]!BexGetData("DP_1","00O2TNJGODT0G5Z4TTKYMN7K5","GSON1112150761")</f>
        <v>#NAME?</v>
      </c>
    </row>
    <row r="1973" spans="1:23" x14ac:dyDescent="0.2">
      <c r="A1973" s="36" t="s">
        <v>4934</v>
      </c>
      <c r="B1973" s="27" t="s">
        <v>1709</v>
      </c>
      <c r="C1973" s="23" t="e">
        <f ca="1">[1]!BexGetData("DP_1","003N8EMH8GTFRCSWKMPXRR8GU","GSON1112150764")</f>
        <v>#NAME?</v>
      </c>
      <c r="D1973" s="23" t="e">
        <f ca="1">[1]!BexGetData("DP_1","003N8EMH8GTFRCSWKMPXRRESE","GSON1112150764")</f>
        <v>#NAME?</v>
      </c>
      <c r="E1973" s="28" t="e">
        <f ca="1">[1]!BexGetData("DP_1","003N8EMH8GTFRCSWKMPXRRL3Y","GSON1112150764")</f>
        <v>#NAME?</v>
      </c>
      <c r="F1973" s="23" t="e">
        <f ca="1">[1]!BexGetData("DP_1","003N8EMH8GTFRCSWKMPXRRRFI","GSON1112150764")</f>
        <v>#NAME?</v>
      </c>
      <c r="G1973" s="23" t="e">
        <f ca="1">[1]!BexGetData("DP_1","003N8EMH8GTFRCSWKMPXRRXR2","GSON1112150764")</f>
        <v>#NAME?</v>
      </c>
      <c r="H1973" s="23" t="e">
        <f ca="1">[1]!BexGetData("DP_1","003N8EMH8GTFRCSWKMPXRS42M","GSON1112150764")</f>
        <v>#NAME?</v>
      </c>
      <c r="I1973" s="23" t="e">
        <f ca="1">[1]!BexGetData("DP_1","003N8EMH8GTFRCSWKMPXRSAE6","GSON1112150764")</f>
        <v>#NAME?</v>
      </c>
      <c r="J1973" s="24" t="e">
        <f ca="1">[1]!BexGetData("DP_1","003N8EMH8GTFRCSWKMPXRSGPQ","GSON1112150764")</f>
        <v>#NAME?</v>
      </c>
      <c r="K1973" s="23" t="e">
        <f ca="1">[1]!BexGetData("DP_1","003N8EMH8GTFRIVNUPY288VJH","GSON1112150764")</f>
        <v>#NAME?</v>
      </c>
      <c r="L1973" s="23" t="e">
        <f ca="1">[1]!BexGetData("DP_1","003N8EMH8GTFRIVNUPY2891V1","GSON1112150764")</f>
        <v>#NAME?</v>
      </c>
      <c r="M1973" s="28" t="e">
        <f ca="1">[1]!BexGetData("DP_1","003N8EMH8GTFRIVOG7KG9IQXA","GSON1112150764")</f>
        <v>#NAME?</v>
      </c>
      <c r="N1973" s="23" t="e">
        <f ca="1">[1]!BexGetData("DP_1","003N8EMH8GTFRIVOG7KG9IX8U","GSON1112150764")</f>
        <v>#NAME?</v>
      </c>
      <c r="O1973" s="28" t="e">
        <f ca="1">[1]!BexGetData("DP_1","003N8EMH8GTFRIVOG7KG9J3KE","GSON1112150764")</f>
        <v>#NAME?</v>
      </c>
      <c r="P1973" s="23" t="e">
        <f ca="1">[1]!BexGetData("DP_1","003N8EMH8GTFRIVOG7KG9J9VY","GSON1112150764")</f>
        <v>#NAME?</v>
      </c>
      <c r="Q1973" s="24" t="e">
        <f ca="1">[1]!BexGetData("DP_1","00O2TNJGODT0G5Z4TTKYMM5MT","GSON1112150764")</f>
        <v>#NAME?</v>
      </c>
      <c r="R1973" s="23" t="e">
        <f ca="1">[1]!BexGetData("DP_1","00O2TNJGODT0G5Z4TTKYMMBYD","GSON1112150764")</f>
        <v>#NAME?</v>
      </c>
      <c r="S1973" s="23" t="e">
        <f ca="1">[1]!BexGetData("DP_1","00O2TNJGODT0G5Z4TTKYMMI9X","GSON1112150764")</f>
        <v>#NAME?</v>
      </c>
      <c r="T1973" s="23" t="e">
        <f ca="1">[1]!BexGetData("DP_1","00O2TNJGODT0G5Z4TTKYMMOLH","GSON1112150764")</f>
        <v>#NAME?</v>
      </c>
      <c r="U1973" s="28" t="e">
        <f ca="1">[1]!BexGetData("DP_1","00O2TNJGODT0G5Z4TTKYMMUX1","GSON1112150764")</f>
        <v>#NAME?</v>
      </c>
      <c r="V1973" s="23" t="e">
        <f ca="1">[1]!BexGetData("DP_1","00O2TNJGODT0G5Z4TTKYMN18L","GSON1112150764")</f>
        <v>#NAME?</v>
      </c>
      <c r="W1973" s="28" t="e">
        <f ca="1">[1]!BexGetData("DP_1","00O2TNJGODT0G5Z4TTKYMN7K5","GSON1112150764")</f>
        <v>#NAME?</v>
      </c>
    </row>
    <row r="1974" spans="1:23" x14ac:dyDescent="0.2">
      <c r="A1974" s="36" t="s">
        <v>4935</v>
      </c>
      <c r="B1974" s="27" t="s">
        <v>4936</v>
      </c>
      <c r="C1974" s="23" t="e">
        <f ca="1">[1]!BexGetData("DP_1","003N8EMH8GTFRCSWKMPXRR8GU","GSON1112150770")</f>
        <v>#NAME?</v>
      </c>
      <c r="D1974" s="23" t="e">
        <f ca="1">[1]!BexGetData("DP_1","003N8EMH8GTFRCSWKMPXRRESE","GSON1112150770")</f>
        <v>#NAME?</v>
      </c>
      <c r="E1974" s="23" t="e">
        <f ca="1">[1]!BexGetData("DP_1","003N8EMH8GTFRCSWKMPXRRL3Y","GSON1112150770")</f>
        <v>#NAME?</v>
      </c>
      <c r="F1974" s="23" t="e">
        <f ca="1">[1]!BexGetData("DP_1","003N8EMH8GTFRCSWKMPXRRRFI","GSON1112150770")</f>
        <v>#NAME?</v>
      </c>
      <c r="G1974" s="23" t="e">
        <f ca="1">[1]!BexGetData("DP_1","003N8EMH8GTFRCSWKMPXRRXR2","GSON1112150770")</f>
        <v>#NAME?</v>
      </c>
      <c r="H1974" s="23" t="e">
        <f ca="1">[1]!BexGetData("DP_1","003N8EMH8GTFRCSWKMPXRS42M","GSON1112150770")</f>
        <v>#NAME?</v>
      </c>
      <c r="I1974" s="23" t="e">
        <f ca="1">[1]!BexGetData("DP_1","003N8EMH8GTFRCSWKMPXRSAE6","GSON1112150770")</f>
        <v>#NAME?</v>
      </c>
      <c r="J1974" s="23" t="e">
        <f ca="1">[1]!BexGetData("DP_1","003N8EMH8GTFRCSWKMPXRSGPQ","GSON1112150770")</f>
        <v>#NAME?</v>
      </c>
      <c r="K1974" s="23" t="e">
        <f ca="1">[1]!BexGetData("DP_1","003N8EMH8GTFRIVNUPY288VJH","GSON1112150770")</f>
        <v>#NAME?</v>
      </c>
      <c r="L1974" s="23" t="e">
        <f ca="1">[1]!BexGetData("DP_1","003N8EMH8GTFRIVNUPY2891V1","GSON1112150770")</f>
        <v>#NAME?</v>
      </c>
      <c r="M1974" s="28" t="e">
        <f ca="1">[1]!BexGetData("DP_1","003N8EMH8GTFRIVOG7KG9IQXA","GSON1112150770")</f>
        <v>#NAME?</v>
      </c>
      <c r="N1974" s="23" t="e">
        <f ca="1">[1]!BexGetData("DP_1","003N8EMH8GTFRIVOG7KG9IX8U","GSON1112150770")</f>
        <v>#NAME?</v>
      </c>
      <c r="O1974" s="28" t="e">
        <f ca="1">[1]!BexGetData("DP_1","003N8EMH8GTFRIVOG7KG9J3KE","GSON1112150770")</f>
        <v>#NAME?</v>
      </c>
      <c r="P1974" s="23" t="e">
        <f ca="1">[1]!BexGetData("DP_1","003N8EMH8GTFRIVOG7KG9J9VY","GSON1112150770")</f>
        <v>#NAME?</v>
      </c>
      <c r="Q1974" s="23" t="e">
        <f ca="1">[1]!BexGetData("DP_1","00O2TNJGODT0G5Z4TTKYMM5MT","GSON1112150770")</f>
        <v>#NAME?</v>
      </c>
      <c r="R1974" s="23" t="e">
        <f ca="1">[1]!BexGetData("DP_1","00O2TNJGODT0G5Z4TTKYMMBYD","GSON1112150770")</f>
        <v>#NAME?</v>
      </c>
      <c r="S1974" s="23" t="e">
        <f ca="1">[1]!BexGetData("DP_1","00O2TNJGODT0G5Z4TTKYMMI9X","GSON1112150770")</f>
        <v>#NAME?</v>
      </c>
      <c r="T1974" s="28" t="e">
        <f ca="1">[1]!BexGetData("DP_1","00O2TNJGODT0G5Z4TTKYMMOLH","GSON1112150770")</f>
        <v>#NAME?</v>
      </c>
      <c r="U1974" s="23" t="e">
        <f ca="1">[1]!BexGetData("DP_1","00O2TNJGODT0G5Z4TTKYMMUX1","GSON1112150770")</f>
        <v>#NAME?</v>
      </c>
      <c r="V1974" s="28" t="e">
        <f ca="1">[1]!BexGetData("DP_1","00O2TNJGODT0G5Z4TTKYMN18L","GSON1112150770")</f>
        <v>#NAME?</v>
      </c>
      <c r="W1974" s="23" t="e">
        <f ca="1">[1]!BexGetData("DP_1","00O2TNJGODT0G5Z4TTKYMN7K5","GSON1112150770")</f>
        <v>#NAME?</v>
      </c>
    </row>
    <row r="1975" spans="1:23" x14ac:dyDescent="0.2">
      <c r="A1975" s="36" t="s">
        <v>1175</v>
      </c>
      <c r="B1975" s="27" t="s">
        <v>1176</v>
      </c>
      <c r="C1975" s="23" t="e">
        <f ca="1">[1]!BexGetData("DP_1","003N8EMH8GTFRCSWKMPXRR8GU","GSON1112150771")</f>
        <v>#NAME?</v>
      </c>
      <c r="D1975" s="23" t="e">
        <f ca="1">[1]!BexGetData("DP_1","003N8EMH8GTFRCSWKMPXRRESE","GSON1112150771")</f>
        <v>#NAME?</v>
      </c>
      <c r="E1975" s="28" t="e">
        <f ca="1">[1]!BexGetData("DP_1","003N8EMH8GTFRCSWKMPXRRL3Y","GSON1112150771")</f>
        <v>#NAME?</v>
      </c>
      <c r="F1975" s="23" t="e">
        <f ca="1">[1]!BexGetData("DP_1","003N8EMH8GTFRCSWKMPXRRRFI","GSON1112150771")</f>
        <v>#NAME?</v>
      </c>
      <c r="G1975" s="23" t="e">
        <f ca="1">[1]!BexGetData("DP_1","003N8EMH8GTFRCSWKMPXRRXR2","GSON1112150771")</f>
        <v>#NAME?</v>
      </c>
      <c r="H1975" s="23" t="e">
        <f ca="1">[1]!BexGetData("DP_1","003N8EMH8GTFRCSWKMPXRS42M","GSON1112150771")</f>
        <v>#NAME?</v>
      </c>
      <c r="I1975" s="23" t="e">
        <f ca="1">[1]!BexGetData("DP_1","003N8EMH8GTFRCSWKMPXRSAE6","GSON1112150771")</f>
        <v>#NAME?</v>
      </c>
      <c r="J1975" s="24" t="e">
        <f ca="1">[1]!BexGetData("DP_1","003N8EMH8GTFRCSWKMPXRSGPQ","GSON1112150771")</f>
        <v>#NAME?</v>
      </c>
      <c r="K1975" s="23" t="e">
        <f ca="1">[1]!BexGetData("DP_1","003N8EMH8GTFRIVNUPY288VJH","GSON1112150771")</f>
        <v>#NAME?</v>
      </c>
      <c r="L1975" s="23" t="e">
        <f ca="1">[1]!BexGetData("DP_1","003N8EMH8GTFRIVNUPY2891V1","GSON1112150771")</f>
        <v>#NAME?</v>
      </c>
      <c r="M1975" s="28" t="e">
        <f ca="1">[1]!BexGetData("DP_1","003N8EMH8GTFRIVOG7KG9IQXA","GSON1112150771")</f>
        <v>#NAME?</v>
      </c>
      <c r="N1975" s="23" t="e">
        <f ca="1">[1]!BexGetData("DP_1","003N8EMH8GTFRIVOG7KG9IX8U","GSON1112150771")</f>
        <v>#NAME?</v>
      </c>
      <c r="O1975" s="28" t="e">
        <f ca="1">[1]!BexGetData("DP_1","003N8EMH8GTFRIVOG7KG9J3KE","GSON1112150771")</f>
        <v>#NAME?</v>
      </c>
      <c r="P1975" s="23" t="e">
        <f ca="1">[1]!BexGetData("DP_1","003N8EMH8GTFRIVOG7KG9J9VY","GSON1112150771")</f>
        <v>#NAME?</v>
      </c>
      <c r="Q1975" s="24" t="e">
        <f ca="1">[1]!BexGetData("DP_1","00O2TNJGODT0G5Z4TTKYMM5MT","GSON1112150771")</f>
        <v>#NAME?</v>
      </c>
      <c r="R1975" s="23" t="e">
        <f ca="1">[1]!BexGetData("DP_1","00O2TNJGODT0G5Z4TTKYMMBYD","GSON1112150771")</f>
        <v>#NAME?</v>
      </c>
      <c r="S1975" s="23" t="e">
        <f ca="1">[1]!BexGetData("DP_1","00O2TNJGODT0G5Z4TTKYMMI9X","GSON1112150771")</f>
        <v>#NAME?</v>
      </c>
      <c r="T1975" s="23" t="e">
        <f ca="1">[1]!BexGetData("DP_1","00O2TNJGODT0G5Z4TTKYMMOLH","GSON1112150771")</f>
        <v>#NAME?</v>
      </c>
      <c r="U1975" s="28" t="e">
        <f ca="1">[1]!BexGetData("DP_1","00O2TNJGODT0G5Z4TTKYMMUX1","GSON1112150771")</f>
        <v>#NAME?</v>
      </c>
      <c r="V1975" s="23" t="e">
        <f ca="1">[1]!BexGetData("DP_1","00O2TNJGODT0G5Z4TTKYMN18L","GSON1112150771")</f>
        <v>#NAME?</v>
      </c>
      <c r="W1975" s="28" t="e">
        <f ca="1">[1]!BexGetData("DP_1","00O2TNJGODT0G5Z4TTKYMN7K5","GSON1112150771")</f>
        <v>#NAME?</v>
      </c>
    </row>
    <row r="1976" spans="1:23" x14ac:dyDescent="0.2">
      <c r="A1976" s="36" t="s">
        <v>4937</v>
      </c>
      <c r="B1976" s="27" t="s">
        <v>4938</v>
      </c>
      <c r="C1976" s="23" t="e">
        <f ca="1">[1]!BexGetData("DP_1","003N8EMH8GTFRCSWKMPXRR8GU","GSON1112150773")</f>
        <v>#NAME?</v>
      </c>
      <c r="D1976" s="23" t="e">
        <f ca="1">[1]!BexGetData("DP_1","003N8EMH8GTFRCSWKMPXRRESE","GSON1112150773")</f>
        <v>#NAME?</v>
      </c>
      <c r="E1976" s="28" t="e">
        <f ca="1">[1]!BexGetData("DP_1","003N8EMH8GTFRCSWKMPXRRL3Y","GSON1112150773")</f>
        <v>#NAME?</v>
      </c>
      <c r="F1976" s="28" t="e">
        <f ca="1">[1]!BexGetData("DP_1","003N8EMH8GTFRCSWKMPXRRRFI","GSON1112150773")</f>
        <v>#NAME?</v>
      </c>
      <c r="G1976" s="23" t="e">
        <f ca="1">[1]!BexGetData("DP_1","003N8EMH8GTFRCSWKMPXRRXR2","GSON1112150773")</f>
        <v>#NAME?</v>
      </c>
      <c r="H1976" s="23" t="e">
        <f ca="1">[1]!BexGetData("DP_1","003N8EMH8GTFRCSWKMPXRS42M","GSON1112150773")</f>
        <v>#NAME?</v>
      </c>
      <c r="I1976" s="28" t="e">
        <f ca="1">[1]!BexGetData("DP_1","003N8EMH8GTFRCSWKMPXRSAE6","GSON1112150773")</f>
        <v>#NAME?</v>
      </c>
      <c r="J1976" s="24" t="e">
        <f ca="1">[1]!BexGetData("DP_1","003N8EMH8GTFRCSWKMPXRSGPQ","GSON1112150773")</f>
        <v>#NAME?</v>
      </c>
      <c r="K1976" s="28" t="e">
        <f ca="1">[1]!BexGetData("DP_1","003N8EMH8GTFRIVNUPY288VJH","GSON1112150773")</f>
        <v>#NAME?</v>
      </c>
      <c r="L1976" s="28" t="e">
        <f ca="1">[1]!BexGetData("DP_1","003N8EMH8GTFRIVNUPY2891V1","GSON1112150773")</f>
        <v>#NAME?</v>
      </c>
      <c r="M1976" s="28" t="e">
        <f ca="1">[1]!BexGetData("DP_1","003N8EMH8GTFRIVOG7KG9IQXA","GSON1112150773")</f>
        <v>#NAME?</v>
      </c>
      <c r="N1976" s="28" t="e">
        <f ca="1">[1]!BexGetData("DP_1","003N8EMH8GTFRIVOG7KG9IX8U","GSON1112150773")</f>
        <v>#NAME?</v>
      </c>
      <c r="O1976" s="28" t="e">
        <f ca="1">[1]!BexGetData("DP_1","003N8EMH8GTFRIVOG7KG9J3KE","GSON1112150773")</f>
        <v>#NAME?</v>
      </c>
      <c r="P1976" s="28" t="e">
        <f ca="1">[1]!BexGetData("DP_1","003N8EMH8GTFRIVOG7KG9J9VY","GSON1112150773")</f>
        <v>#NAME?</v>
      </c>
      <c r="Q1976" s="24" t="e">
        <f ca="1">[1]!BexGetData("DP_1","00O2TNJGODT0G5Z4TTKYMM5MT","GSON1112150773")</f>
        <v>#NAME?</v>
      </c>
      <c r="R1976" s="28" t="e">
        <f ca="1">[1]!BexGetData("DP_1","00O2TNJGODT0G5Z4TTKYMMBYD","GSON1112150773")</f>
        <v>#NAME?</v>
      </c>
      <c r="S1976" s="28" t="e">
        <f ca="1">[1]!BexGetData("DP_1","00O2TNJGODT0G5Z4TTKYMMI9X","GSON1112150773")</f>
        <v>#NAME?</v>
      </c>
      <c r="T1976" s="28" t="e">
        <f ca="1">[1]!BexGetData("DP_1","00O2TNJGODT0G5Z4TTKYMMOLH","GSON1112150773")</f>
        <v>#NAME?</v>
      </c>
      <c r="U1976" s="28" t="e">
        <f ca="1">[1]!BexGetData("DP_1","00O2TNJGODT0G5Z4TTKYMMUX1","GSON1112150773")</f>
        <v>#NAME?</v>
      </c>
      <c r="V1976" s="28" t="e">
        <f ca="1">[1]!BexGetData("DP_1","00O2TNJGODT0G5Z4TTKYMN18L","GSON1112150773")</f>
        <v>#NAME?</v>
      </c>
      <c r="W1976" s="28" t="e">
        <f ca="1">[1]!BexGetData("DP_1","00O2TNJGODT0G5Z4TTKYMN7K5","GSON1112150773")</f>
        <v>#NAME?</v>
      </c>
    </row>
    <row r="1977" spans="1:23" x14ac:dyDescent="0.2">
      <c r="A1977" s="36" t="s">
        <v>4939</v>
      </c>
      <c r="B1977" s="27" t="s">
        <v>4940</v>
      </c>
      <c r="C1977" s="23" t="e">
        <f ca="1">[1]!BexGetData("DP_1","003N8EMH8GTFRCSWKMPXRR8GU","GSON1112150774")</f>
        <v>#NAME?</v>
      </c>
      <c r="D1977" s="23" t="e">
        <f ca="1">[1]!BexGetData("DP_1","003N8EMH8GTFRCSWKMPXRRESE","GSON1112150774")</f>
        <v>#NAME?</v>
      </c>
      <c r="E1977" s="28" t="e">
        <f ca="1">[1]!BexGetData("DP_1","003N8EMH8GTFRCSWKMPXRRL3Y","GSON1112150774")</f>
        <v>#NAME?</v>
      </c>
      <c r="F1977" s="23" t="e">
        <f ca="1">[1]!BexGetData("DP_1","003N8EMH8GTFRCSWKMPXRRRFI","GSON1112150774")</f>
        <v>#NAME?</v>
      </c>
      <c r="G1977" s="23" t="e">
        <f ca="1">[1]!BexGetData("DP_1","003N8EMH8GTFRCSWKMPXRRXR2","GSON1112150774")</f>
        <v>#NAME?</v>
      </c>
      <c r="H1977" s="23" t="e">
        <f ca="1">[1]!BexGetData("DP_1","003N8EMH8GTFRCSWKMPXRS42M","GSON1112150774")</f>
        <v>#NAME?</v>
      </c>
      <c r="I1977" s="23" t="e">
        <f ca="1">[1]!BexGetData("DP_1","003N8EMH8GTFRCSWKMPXRSAE6","GSON1112150774")</f>
        <v>#NAME?</v>
      </c>
      <c r="J1977" s="24" t="e">
        <f ca="1">[1]!BexGetData("DP_1","003N8EMH8GTFRCSWKMPXRSGPQ","GSON1112150774")</f>
        <v>#NAME?</v>
      </c>
      <c r="K1977" s="23" t="e">
        <f ca="1">[1]!BexGetData("DP_1","003N8EMH8GTFRIVNUPY288VJH","GSON1112150774")</f>
        <v>#NAME?</v>
      </c>
      <c r="L1977" s="23" t="e">
        <f ca="1">[1]!BexGetData("DP_1","003N8EMH8GTFRIVNUPY2891V1","GSON1112150774")</f>
        <v>#NAME?</v>
      </c>
      <c r="M1977" s="23" t="e">
        <f ca="1">[1]!BexGetData("DP_1","003N8EMH8GTFRIVOG7KG9IQXA","GSON1112150774")</f>
        <v>#NAME?</v>
      </c>
      <c r="N1977" s="28" t="e">
        <f ca="1">[1]!BexGetData("DP_1","003N8EMH8GTFRIVOG7KG9IX8U","GSON1112150774")</f>
        <v>#NAME?</v>
      </c>
      <c r="O1977" s="23" t="e">
        <f ca="1">[1]!BexGetData("DP_1","003N8EMH8GTFRIVOG7KG9J3KE","GSON1112150774")</f>
        <v>#NAME?</v>
      </c>
      <c r="P1977" s="28" t="e">
        <f ca="1">[1]!BexGetData("DP_1","003N8EMH8GTFRIVOG7KG9J9VY","GSON1112150774")</f>
        <v>#NAME?</v>
      </c>
      <c r="Q1977" s="24" t="e">
        <f ca="1">[1]!BexGetData("DP_1","00O2TNJGODT0G5Z4TTKYMM5MT","GSON1112150774")</f>
        <v>#NAME?</v>
      </c>
      <c r="R1977" s="23" t="e">
        <f ca="1">[1]!BexGetData("DP_1","00O2TNJGODT0G5Z4TTKYMMBYD","GSON1112150774")</f>
        <v>#NAME?</v>
      </c>
      <c r="S1977" s="23" t="e">
        <f ca="1">[1]!BexGetData("DP_1","00O2TNJGODT0G5Z4TTKYMMI9X","GSON1112150774")</f>
        <v>#NAME?</v>
      </c>
      <c r="T1977" s="28" t="e">
        <f ca="1">[1]!BexGetData("DP_1","00O2TNJGODT0G5Z4TTKYMMOLH","GSON1112150774")</f>
        <v>#NAME?</v>
      </c>
      <c r="U1977" s="23" t="e">
        <f ca="1">[1]!BexGetData("DP_1","00O2TNJGODT0G5Z4TTKYMMUX1","GSON1112150774")</f>
        <v>#NAME?</v>
      </c>
      <c r="V1977" s="28" t="e">
        <f ca="1">[1]!BexGetData("DP_1","00O2TNJGODT0G5Z4TTKYMN18L","GSON1112150774")</f>
        <v>#NAME?</v>
      </c>
      <c r="W1977" s="23" t="e">
        <f ca="1">[1]!BexGetData("DP_1","00O2TNJGODT0G5Z4TTKYMN7K5","GSON1112150774")</f>
        <v>#NAME?</v>
      </c>
    </row>
    <row r="1978" spans="1:23" x14ac:dyDescent="0.2">
      <c r="A1978" s="36" t="s">
        <v>1177</v>
      </c>
      <c r="B1978" s="27" t="s">
        <v>1178</v>
      </c>
      <c r="C1978" s="23" t="e">
        <f ca="1">[1]!BexGetData("DP_1","003N8EMH8GTFRCSWKMPXRR8GU","GSON1112150780")</f>
        <v>#NAME?</v>
      </c>
      <c r="D1978" s="23" t="e">
        <f ca="1">[1]!BexGetData("DP_1","003N8EMH8GTFRCSWKMPXRRESE","GSON1112150780")</f>
        <v>#NAME?</v>
      </c>
      <c r="E1978" s="23" t="e">
        <f ca="1">[1]!BexGetData("DP_1","003N8EMH8GTFRCSWKMPXRRL3Y","GSON1112150780")</f>
        <v>#NAME?</v>
      </c>
      <c r="F1978" s="23" t="e">
        <f ca="1">[1]!BexGetData("DP_1","003N8EMH8GTFRCSWKMPXRRRFI","GSON1112150780")</f>
        <v>#NAME?</v>
      </c>
      <c r="G1978" s="23" t="e">
        <f ca="1">[1]!BexGetData("DP_1","003N8EMH8GTFRCSWKMPXRRXR2","GSON1112150780")</f>
        <v>#NAME?</v>
      </c>
      <c r="H1978" s="23" t="e">
        <f ca="1">[1]!BexGetData("DP_1","003N8EMH8GTFRCSWKMPXRS42M","GSON1112150780")</f>
        <v>#NAME?</v>
      </c>
      <c r="I1978" s="23" t="e">
        <f ca="1">[1]!BexGetData("DP_1","003N8EMH8GTFRCSWKMPXRSAE6","GSON1112150780")</f>
        <v>#NAME?</v>
      </c>
      <c r="J1978" s="23" t="e">
        <f ca="1">[1]!BexGetData("DP_1","003N8EMH8GTFRCSWKMPXRSGPQ","GSON1112150780")</f>
        <v>#NAME?</v>
      </c>
      <c r="K1978" s="23" t="e">
        <f ca="1">[1]!BexGetData("DP_1","003N8EMH8GTFRIVNUPY288VJH","GSON1112150780")</f>
        <v>#NAME?</v>
      </c>
      <c r="L1978" s="23" t="e">
        <f ca="1">[1]!BexGetData("DP_1","003N8EMH8GTFRIVNUPY2891V1","GSON1112150780")</f>
        <v>#NAME?</v>
      </c>
      <c r="M1978" s="28" t="e">
        <f ca="1">[1]!BexGetData("DP_1","003N8EMH8GTFRIVOG7KG9IQXA","GSON1112150780")</f>
        <v>#NAME?</v>
      </c>
      <c r="N1978" s="23" t="e">
        <f ca="1">[1]!BexGetData("DP_1","003N8EMH8GTFRIVOG7KG9IX8U","GSON1112150780")</f>
        <v>#NAME?</v>
      </c>
      <c r="O1978" s="28" t="e">
        <f ca="1">[1]!BexGetData("DP_1","003N8EMH8GTFRIVOG7KG9J3KE","GSON1112150780")</f>
        <v>#NAME?</v>
      </c>
      <c r="P1978" s="23" t="e">
        <f ca="1">[1]!BexGetData("DP_1","003N8EMH8GTFRIVOG7KG9J9VY","GSON1112150780")</f>
        <v>#NAME?</v>
      </c>
      <c r="Q1978" s="23" t="e">
        <f ca="1">[1]!BexGetData("DP_1","00O2TNJGODT0G5Z4TTKYMM5MT","GSON1112150780")</f>
        <v>#NAME?</v>
      </c>
      <c r="R1978" s="23" t="e">
        <f ca="1">[1]!BexGetData("DP_1","00O2TNJGODT0G5Z4TTKYMMBYD","GSON1112150780")</f>
        <v>#NAME?</v>
      </c>
      <c r="S1978" s="23" t="e">
        <f ca="1">[1]!BexGetData("DP_1","00O2TNJGODT0G5Z4TTKYMMI9X","GSON1112150780")</f>
        <v>#NAME?</v>
      </c>
      <c r="T1978" s="28" t="e">
        <f ca="1">[1]!BexGetData("DP_1","00O2TNJGODT0G5Z4TTKYMMOLH","GSON1112150780")</f>
        <v>#NAME?</v>
      </c>
      <c r="U1978" s="23" t="e">
        <f ca="1">[1]!BexGetData("DP_1","00O2TNJGODT0G5Z4TTKYMMUX1","GSON1112150780")</f>
        <v>#NAME?</v>
      </c>
      <c r="V1978" s="28" t="e">
        <f ca="1">[1]!BexGetData("DP_1","00O2TNJGODT0G5Z4TTKYMN18L","GSON1112150780")</f>
        <v>#NAME?</v>
      </c>
      <c r="W1978" s="23" t="e">
        <f ca="1">[1]!BexGetData("DP_1","00O2TNJGODT0G5Z4TTKYMN7K5","GSON1112150780")</f>
        <v>#NAME?</v>
      </c>
    </row>
    <row r="1979" spans="1:23" x14ac:dyDescent="0.2">
      <c r="A1979" s="36" t="s">
        <v>1179</v>
      </c>
      <c r="B1979" s="27" t="s">
        <v>1180</v>
      </c>
      <c r="C1979" s="23" t="e">
        <f ca="1">[1]!BexGetData("DP_1","003N8EMH8GTFRCSWKMPXRR8GU","GSON1112150781")</f>
        <v>#NAME?</v>
      </c>
      <c r="D1979" s="23" t="e">
        <f ca="1">[1]!BexGetData("DP_1","003N8EMH8GTFRCSWKMPXRRESE","GSON1112150781")</f>
        <v>#NAME?</v>
      </c>
      <c r="E1979" s="28" t="e">
        <f ca="1">[1]!BexGetData("DP_1","003N8EMH8GTFRCSWKMPXRRL3Y","GSON1112150781")</f>
        <v>#NAME?</v>
      </c>
      <c r="F1979" s="23" t="e">
        <f ca="1">[1]!BexGetData("DP_1","003N8EMH8GTFRCSWKMPXRRRFI","GSON1112150781")</f>
        <v>#NAME?</v>
      </c>
      <c r="G1979" s="23" t="e">
        <f ca="1">[1]!BexGetData("DP_1","003N8EMH8GTFRCSWKMPXRRXR2","GSON1112150781")</f>
        <v>#NAME?</v>
      </c>
      <c r="H1979" s="23" t="e">
        <f ca="1">[1]!BexGetData("DP_1","003N8EMH8GTFRCSWKMPXRS42M","GSON1112150781")</f>
        <v>#NAME?</v>
      </c>
      <c r="I1979" s="23" t="e">
        <f ca="1">[1]!BexGetData("DP_1","003N8EMH8GTFRCSWKMPXRSAE6","GSON1112150781")</f>
        <v>#NAME?</v>
      </c>
      <c r="J1979" s="24" t="e">
        <f ca="1">[1]!BexGetData("DP_1","003N8EMH8GTFRCSWKMPXRSGPQ","GSON1112150781")</f>
        <v>#NAME?</v>
      </c>
      <c r="K1979" s="23" t="e">
        <f ca="1">[1]!BexGetData("DP_1","003N8EMH8GTFRIVNUPY288VJH","GSON1112150781")</f>
        <v>#NAME?</v>
      </c>
      <c r="L1979" s="23" t="e">
        <f ca="1">[1]!BexGetData("DP_1","003N8EMH8GTFRIVNUPY2891V1","GSON1112150781")</f>
        <v>#NAME?</v>
      </c>
      <c r="M1979" s="23" t="e">
        <f ca="1">[1]!BexGetData("DP_1","003N8EMH8GTFRIVOG7KG9IQXA","GSON1112150781")</f>
        <v>#NAME?</v>
      </c>
      <c r="N1979" s="28" t="e">
        <f ca="1">[1]!BexGetData("DP_1","003N8EMH8GTFRIVOG7KG9IX8U","GSON1112150781")</f>
        <v>#NAME?</v>
      </c>
      <c r="O1979" s="23" t="e">
        <f ca="1">[1]!BexGetData("DP_1","003N8EMH8GTFRIVOG7KG9J3KE","GSON1112150781")</f>
        <v>#NAME?</v>
      </c>
      <c r="P1979" s="28" t="e">
        <f ca="1">[1]!BexGetData("DP_1","003N8EMH8GTFRIVOG7KG9J9VY","GSON1112150781")</f>
        <v>#NAME?</v>
      </c>
      <c r="Q1979" s="24" t="e">
        <f ca="1">[1]!BexGetData("DP_1","00O2TNJGODT0G5Z4TTKYMM5MT","GSON1112150781")</f>
        <v>#NAME?</v>
      </c>
      <c r="R1979" s="23" t="e">
        <f ca="1">[1]!BexGetData("DP_1","00O2TNJGODT0G5Z4TTKYMMBYD","GSON1112150781")</f>
        <v>#NAME?</v>
      </c>
      <c r="S1979" s="23" t="e">
        <f ca="1">[1]!BexGetData("DP_1","00O2TNJGODT0G5Z4TTKYMMI9X","GSON1112150781")</f>
        <v>#NAME?</v>
      </c>
      <c r="T1979" s="28" t="e">
        <f ca="1">[1]!BexGetData("DP_1","00O2TNJGODT0G5Z4TTKYMMOLH","GSON1112150781")</f>
        <v>#NAME?</v>
      </c>
      <c r="U1979" s="23" t="e">
        <f ca="1">[1]!BexGetData("DP_1","00O2TNJGODT0G5Z4TTKYMMUX1","GSON1112150781")</f>
        <v>#NAME?</v>
      </c>
      <c r="V1979" s="28" t="e">
        <f ca="1">[1]!BexGetData("DP_1","00O2TNJGODT0G5Z4TTKYMN18L","GSON1112150781")</f>
        <v>#NAME?</v>
      </c>
      <c r="W1979" s="23" t="e">
        <f ca="1">[1]!BexGetData("DP_1","00O2TNJGODT0G5Z4TTKYMN7K5","GSON1112150781")</f>
        <v>#NAME?</v>
      </c>
    </row>
    <row r="1980" spans="1:23" x14ac:dyDescent="0.2">
      <c r="A1980" s="36" t="s">
        <v>4941</v>
      </c>
      <c r="B1980" s="27" t="s">
        <v>4942</v>
      </c>
      <c r="C1980" s="23" t="e">
        <f ca="1">[1]!BexGetData("DP_1","003N8EMH8GTFRCSWKMPXRR8GU","GSON1112150783")</f>
        <v>#NAME?</v>
      </c>
      <c r="D1980" s="23" t="e">
        <f ca="1">[1]!BexGetData("DP_1","003N8EMH8GTFRCSWKMPXRRESE","GSON1112150783")</f>
        <v>#NAME?</v>
      </c>
      <c r="E1980" s="28" t="e">
        <f ca="1">[1]!BexGetData("DP_1","003N8EMH8GTFRCSWKMPXRRL3Y","GSON1112150783")</f>
        <v>#NAME?</v>
      </c>
      <c r="F1980" s="28" t="e">
        <f ca="1">[1]!BexGetData("DP_1","003N8EMH8GTFRCSWKMPXRRRFI","GSON1112150783")</f>
        <v>#NAME?</v>
      </c>
      <c r="G1980" s="23" t="e">
        <f ca="1">[1]!BexGetData("DP_1","003N8EMH8GTFRCSWKMPXRRXR2","GSON1112150783")</f>
        <v>#NAME?</v>
      </c>
      <c r="H1980" s="23" t="e">
        <f ca="1">[1]!BexGetData("DP_1","003N8EMH8GTFRCSWKMPXRS42M","GSON1112150783")</f>
        <v>#NAME?</v>
      </c>
      <c r="I1980" s="28" t="e">
        <f ca="1">[1]!BexGetData("DP_1","003N8EMH8GTFRCSWKMPXRSAE6","GSON1112150783")</f>
        <v>#NAME?</v>
      </c>
      <c r="J1980" s="24" t="e">
        <f ca="1">[1]!BexGetData("DP_1","003N8EMH8GTFRCSWKMPXRSGPQ","GSON1112150783")</f>
        <v>#NAME?</v>
      </c>
      <c r="K1980" s="28" t="e">
        <f ca="1">[1]!BexGetData("DP_1","003N8EMH8GTFRIVNUPY288VJH","GSON1112150783")</f>
        <v>#NAME?</v>
      </c>
      <c r="L1980" s="28" t="e">
        <f ca="1">[1]!BexGetData("DP_1","003N8EMH8GTFRIVNUPY2891V1","GSON1112150783")</f>
        <v>#NAME?</v>
      </c>
      <c r="M1980" s="28" t="e">
        <f ca="1">[1]!BexGetData("DP_1","003N8EMH8GTFRIVOG7KG9IQXA","GSON1112150783")</f>
        <v>#NAME?</v>
      </c>
      <c r="N1980" s="28" t="e">
        <f ca="1">[1]!BexGetData("DP_1","003N8EMH8GTFRIVOG7KG9IX8U","GSON1112150783")</f>
        <v>#NAME?</v>
      </c>
      <c r="O1980" s="28" t="e">
        <f ca="1">[1]!BexGetData("DP_1","003N8EMH8GTFRIVOG7KG9J3KE","GSON1112150783")</f>
        <v>#NAME?</v>
      </c>
      <c r="P1980" s="28" t="e">
        <f ca="1">[1]!BexGetData("DP_1","003N8EMH8GTFRIVOG7KG9J9VY","GSON1112150783")</f>
        <v>#NAME?</v>
      </c>
      <c r="Q1980" s="24" t="e">
        <f ca="1">[1]!BexGetData("DP_1","00O2TNJGODT0G5Z4TTKYMM5MT","GSON1112150783")</f>
        <v>#NAME?</v>
      </c>
      <c r="R1980" s="28" t="e">
        <f ca="1">[1]!BexGetData("DP_1","00O2TNJGODT0G5Z4TTKYMMBYD","GSON1112150783")</f>
        <v>#NAME?</v>
      </c>
      <c r="S1980" s="28" t="e">
        <f ca="1">[1]!BexGetData("DP_1","00O2TNJGODT0G5Z4TTKYMMI9X","GSON1112150783")</f>
        <v>#NAME?</v>
      </c>
      <c r="T1980" s="28" t="e">
        <f ca="1">[1]!BexGetData("DP_1","00O2TNJGODT0G5Z4TTKYMMOLH","GSON1112150783")</f>
        <v>#NAME?</v>
      </c>
      <c r="U1980" s="28" t="e">
        <f ca="1">[1]!BexGetData("DP_1","00O2TNJGODT0G5Z4TTKYMMUX1","GSON1112150783")</f>
        <v>#NAME?</v>
      </c>
      <c r="V1980" s="28" t="e">
        <f ca="1">[1]!BexGetData("DP_1","00O2TNJGODT0G5Z4TTKYMN18L","GSON1112150783")</f>
        <v>#NAME?</v>
      </c>
      <c r="W1980" s="28" t="e">
        <f ca="1">[1]!BexGetData("DP_1","00O2TNJGODT0G5Z4TTKYMN7K5","GSON1112150783")</f>
        <v>#NAME?</v>
      </c>
    </row>
    <row r="1981" spans="1:23" x14ac:dyDescent="0.2">
      <c r="A1981" s="36" t="s">
        <v>4943</v>
      </c>
      <c r="B1981" s="27" t="s">
        <v>1181</v>
      </c>
      <c r="C1981" s="23" t="e">
        <f ca="1">[1]!BexGetData("DP_1","003N8EMH8GTFRCSWKMPXRR8GU","GSON1112150784")</f>
        <v>#NAME?</v>
      </c>
      <c r="D1981" s="23" t="e">
        <f ca="1">[1]!BexGetData("DP_1","003N8EMH8GTFRCSWKMPXRRESE","GSON1112150784")</f>
        <v>#NAME?</v>
      </c>
      <c r="E1981" s="28" t="e">
        <f ca="1">[1]!BexGetData("DP_1","003N8EMH8GTFRCSWKMPXRRL3Y","GSON1112150784")</f>
        <v>#NAME?</v>
      </c>
      <c r="F1981" s="23" t="e">
        <f ca="1">[1]!BexGetData("DP_1","003N8EMH8GTFRCSWKMPXRRRFI","GSON1112150784")</f>
        <v>#NAME?</v>
      </c>
      <c r="G1981" s="23" t="e">
        <f ca="1">[1]!BexGetData("DP_1","003N8EMH8GTFRCSWKMPXRRXR2","GSON1112150784")</f>
        <v>#NAME?</v>
      </c>
      <c r="H1981" s="23" t="e">
        <f ca="1">[1]!BexGetData("DP_1","003N8EMH8GTFRCSWKMPXRS42M","GSON1112150784")</f>
        <v>#NAME?</v>
      </c>
      <c r="I1981" s="23" t="e">
        <f ca="1">[1]!BexGetData("DP_1","003N8EMH8GTFRCSWKMPXRSAE6","GSON1112150784")</f>
        <v>#NAME?</v>
      </c>
      <c r="J1981" s="24" t="e">
        <f ca="1">[1]!BexGetData("DP_1","003N8EMH8GTFRCSWKMPXRSGPQ","GSON1112150784")</f>
        <v>#NAME?</v>
      </c>
      <c r="K1981" s="23" t="e">
        <f ca="1">[1]!BexGetData("DP_1","003N8EMH8GTFRIVNUPY288VJH","GSON1112150784")</f>
        <v>#NAME?</v>
      </c>
      <c r="L1981" s="23" t="e">
        <f ca="1">[1]!BexGetData("DP_1","003N8EMH8GTFRIVNUPY2891V1","GSON1112150784")</f>
        <v>#NAME?</v>
      </c>
      <c r="M1981" s="28" t="e">
        <f ca="1">[1]!BexGetData("DP_1","003N8EMH8GTFRIVOG7KG9IQXA","GSON1112150784")</f>
        <v>#NAME?</v>
      </c>
      <c r="N1981" s="23" t="e">
        <f ca="1">[1]!BexGetData("DP_1","003N8EMH8GTFRIVOG7KG9IX8U","GSON1112150784")</f>
        <v>#NAME?</v>
      </c>
      <c r="O1981" s="28" t="e">
        <f ca="1">[1]!BexGetData("DP_1","003N8EMH8GTFRIVOG7KG9J3KE","GSON1112150784")</f>
        <v>#NAME?</v>
      </c>
      <c r="P1981" s="23" t="e">
        <f ca="1">[1]!BexGetData("DP_1","003N8EMH8GTFRIVOG7KG9J9VY","GSON1112150784")</f>
        <v>#NAME?</v>
      </c>
      <c r="Q1981" s="24" t="e">
        <f ca="1">[1]!BexGetData("DP_1","00O2TNJGODT0G5Z4TTKYMM5MT","GSON1112150784")</f>
        <v>#NAME?</v>
      </c>
      <c r="R1981" s="23" t="e">
        <f ca="1">[1]!BexGetData("DP_1","00O2TNJGODT0G5Z4TTKYMMBYD","GSON1112150784")</f>
        <v>#NAME?</v>
      </c>
      <c r="S1981" s="23" t="e">
        <f ca="1">[1]!BexGetData("DP_1","00O2TNJGODT0G5Z4TTKYMMI9X","GSON1112150784")</f>
        <v>#NAME?</v>
      </c>
      <c r="T1981" s="23" t="e">
        <f ca="1">[1]!BexGetData("DP_1","00O2TNJGODT0G5Z4TTKYMMOLH","GSON1112150784")</f>
        <v>#NAME?</v>
      </c>
      <c r="U1981" s="28" t="e">
        <f ca="1">[1]!BexGetData("DP_1","00O2TNJGODT0G5Z4TTKYMMUX1","GSON1112150784")</f>
        <v>#NAME?</v>
      </c>
      <c r="V1981" s="23" t="e">
        <f ca="1">[1]!BexGetData("DP_1","00O2TNJGODT0G5Z4TTKYMN18L","GSON1112150784")</f>
        <v>#NAME?</v>
      </c>
      <c r="W1981" s="28" t="e">
        <f ca="1">[1]!BexGetData("DP_1","00O2TNJGODT0G5Z4TTKYMN7K5","GSON1112150784")</f>
        <v>#NAME?</v>
      </c>
    </row>
    <row r="1982" spans="1:23" x14ac:dyDescent="0.2">
      <c r="A1982" s="36" t="s">
        <v>4944</v>
      </c>
      <c r="B1982" s="27" t="s">
        <v>4945</v>
      </c>
      <c r="C1982" s="23" t="e">
        <f ca="1">[1]!BexGetData("DP_1","003N8EMH8GTFRCSWKMPXRR8GU","GSON1112150790")</f>
        <v>#NAME?</v>
      </c>
      <c r="D1982" s="23" t="e">
        <f ca="1">[1]!BexGetData("DP_1","003N8EMH8GTFRCSWKMPXRRESE","GSON1112150790")</f>
        <v>#NAME?</v>
      </c>
      <c r="E1982" s="23" t="e">
        <f ca="1">[1]!BexGetData("DP_1","003N8EMH8GTFRCSWKMPXRRL3Y","GSON1112150790")</f>
        <v>#NAME?</v>
      </c>
      <c r="F1982" s="23" t="e">
        <f ca="1">[1]!BexGetData("DP_1","003N8EMH8GTFRCSWKMPXRRRFI","GSON1112150790")</f>
        <v>#NAME?</v>
      </c>
      <c r="G1982" s="23" t="e">
        <f ca="1">[1]!BexGetData("DP_1","003N8EMH8GTFRCSWKMPXRRXR2","GSON1112150790")</f>
        <v>#NAME?</v>
      </c>
      <c r="H1982" s="23" t="e">
        <f ca="1">[1]!BexGetData("DP_1","003N8EMH8GTFRCSWKMPXRS42M","GSON1112150790")</f>
        <v>#NAME?</v>
      </c>
      <c r="I1982" s="23" t="e">
        <f ca="1">[1]!BexGetData("DP_1","003N8EMH8GTFRCSWKMPXRSAE6","GSON1112150790")</f>
        <v>#NAME?</v>
      </c>
      <c r="J1982" s="23" t="e">
        <f ca="1">[1]!BexGetData("DP_1","003N8EMH8GTFRCSWKMPXRSGPQ","GSON1112150790")</f>
        <v>#NAME?</v>
      </c>
      <c r="K1982" s="23" t="e">
        <f ca="1">[1]!BexGetData("DP_1","003N8EMH8GTFRIVNUPY288VJH","GSON1112150790")</f>
        <v>#NAME?</v>
      </c>
      <c r="L1982" s="23" t="e">
        <f ca="1">[1]!BexGetData("DP_1","003N8EMH8GTFRIVNUPY2891V1","GSON1112150790")</f>
        <v>#NAME?</v>
      </c>
      <c r="M1982" s="28" t="e">
        <f ca="1">[1]!BexGetData("DP_1","003N8EMH8GTFRIVOG7KG9IQXA","GSON1112150790")</f>
        <v>#NAME?</v>
      </c>
      <c r="N1982" s="23" t="e">
        <f ca="1">[1]!BexGetData("DP_1","003N8EMH8GTFRIVOG7KG9IX8U","GSON1112150790")</f>
        <v>#NAME?</v>
      </c>
      <c r="O1982" s="28" t="e">
        <f ca="1">[1]!BexGetData("DP_1","003N8EMH8GTFRIVOG7KG9J3KE","GSON1112150790")</f>
        <v>#NAME?</v>
      </c>
      <c r="P1982" s="23" t="e">
        <f ca="1">[1]!BexGetData("DP_1","003N8EMH8GTFRIVOG7KG9J9VY","GSON1112150790")</f>
        <v>#NAME?</v>
      </c>
      <c r="Q1982" s="23" t="e">
        <f ca="1">[1]!BexGetData("DP_1","00O2TNJGODT0G5Z4TTKYMM5MT","GSON1112150790")</f>
        <v>#NAME?</v>
      </c>
      <c r="R1982" s="23" t="e">
        <f ca="1">[1]!BexGetData("DP_1","00O2TNJGODT0G5Z4TTKYMMBYD","GSON1112150790")</f>
        <v>#NAME?</v>
      </c>
      <c r="S1982" s="23" t="e">
        <f ca="1">[1]!BexGetData("DP_1","00O2TNJGODT0G5Z4TTKYMMI9X","GSON1112150790")</f>
        <v>#NAME?</v>
      </c>
      <c r="T1982" s="28" t="e">
        <f ca="1">[1]!BexGetData("DP_1","00O2TNJGODT0G5Z4TTKYMMOLH","GSON1112150790")</f>
        <v>#NAME?</v>
      </c>
      <c r="U1982" s="23" t="e">
        <f ca="1">[1]!BexGetData("DP_1","00O2TNJGODT0G5Z4TTKYMMUX1","GSON1112150790")</f>
        <v>#NAME?</v>
      </c>
      <c r="V1982" s="28" t="e">
        <f ca="1">[1]!BexGetData("DP_1","00O2TNJGODT0G5Z4TTKYMN18L","GSON1112150790")</f>
        <v>#NAME?</v>
      </c>
      <c r="W1982" s="23" t="e">
        <f ca="1">[1]!BexGetData("DP_1","00O2TNJGODT0G5Z4TTKYMN7K5","GSON1112150790")</f>
        <v>#NAME?</v>
      </c>
    </row>
    <row r="1983" spans="1:23" x14ac:dyDescent="0.2">
      <c r="A1983" s="36" t="s">
        <v>4946</v>
      </c>
      <c r="B1983" s="27" t="s">
        <v>4947</v>
      </c>
      <c r="C1983" s="23" t="e">
        <f ca="1">[1]!BexGetData("DP_1","003N8EMH8GTFRCSWKMPXRR8GU","GSON1112150791")</f>
        <v>#NAME?</v>
      </c>
      <c r="D1983" s="23" t="e">
        <f ca="1">[1]!BexGetData("DP_1","003N8EMH8GTFRCSWKMPXRRESE","GSON1112150791")</f>
        <v>#NAME?</v>
      </c>
      <c r="E1983" s="28" t="e">
        <f ca="1">[1]!BexGetData("DP_1","003N8EMH8GTFRCSWKMPXRRL3Y","GSON1112150791")</f>
        <v>#NAME?</v>
      </c>
      <c r="F1983" s="23" t="e">
        <f ca="1">[1]!BexGetData("DP_1","003N8EMH8GTFRCSWKMPXRRRFI","GSON1112150791")</f>
        <v>#NAME?</v>
      </c>
      <c r="G1983" s="23" t="e">
        <f ca="1">[1]!BexGetData("DP_1","003N8EMH8GTFRCSWKMPXRRXR2","GSON1112150791")</f>
        <v>#NAME?</v>
      </c>
      <c r="H1983" s="23" t="e">
        <f ca="1">[1]!BexGetData("DP_1","003N8EMH8GTFRCSWKMPXRS42M","GSON1112150791")</f>
        <v>#NAME?</v>
      </c>
      <c r="I1983" s="23" t="e">
        <f ca="1">[1]!BexGetData("DP_1","003N8EMH8GTFRCSWKMPXRSAE6","GSON1112150791")</f>
        <v>#NAME?</v>
      </c>
      <c r="J1983" s="24" t="e">
        <f ca="1">[1]!BexGetData("DP_1","003N8EMH8GTFRCSWKMPXRSGPQ","GSON1112150791")</f>
        <v>#NAME?</v>
      </c>
      <c r="K1983" s="23" t="e">
        <f ca="1">[1]!BexGetData("DP_1","003N8EMH8GTFRIVNUPY288VJH","GSON1112150791")</f>
        <v>#NAME?</v>
      </c>
      <c r="L1983" s="23" t="e">
        <f ca="1">[1]!BexGetData("DP_1","003N8EMH8GTFRIVNUPY2891V1","GSON1112150791")</f>
        <v>#NAME?</v>
      </c>
      <c r="M1983" s="23" t="e">
        <f ca="1">[1]!BexGetData("DP_1","003N8EMH8GTFRIVOG7KG9IQXA","GSON1112150791")</f>
        <v>#NAME?</v>
      </c>
      <c r="N1983" s="28" t="e">
        <f ca="1">[1]!BexGetData("DP_1","003N8EMH8GTFRIVOG7KG9IX8U","GSON1112150791")</f>
        <v>#NAME?</v>
      </c>
      <c r="O1983" s="23" t="e">
        <f ca="1">[1]!BexGetData("DP_1","003N8EMH8GTFRIVOG7KG9J3KE","GSON1112150791")</f>
        <v>#NAME?</v>
      </c>
      <c r="P1983" s="28" t="e">
        <f ca="1">[1]!BexGetData("DP_1","003N8EMH8GTFRIVOG7KG9J9VY","GSON1112150791")</f>
        <v>#NAME?</v>
      </c>
      <c r="Q1983" s="24" t="e">
        <f ca="1">[1]!BexGetData("DP_1","00O2TNJGODT0G5Z4TTKYMM5MT","GSON1112150791")</f>
        <v>#NAME?</v>
      </c>
      <c r="R1983" s="23" t="e">
        <f ca="1">[1]!BexGetData("DP_1","00O2TNJGODT0G5Z4TTKYMMBYD","GSON1112150791")</f>
        <v>#NAME?</v>
      </c>
      <c r="S1983" s="23" t="e">
        <f ca="1">[1]!BexGetData("DP_1","00O2TNJGODT0G5Z4TTKYMMI9X","GSON1112150791")</f>
        <v>#NAME?</v>
      </c>
      <c r="T1983" s="28" t="e">
        <f ca="1">[1]!BexGetData("DP_1","00O2TNJGODT0G5Z4TTKYMMOLH","GSON1112150791")</f>
        <v>#NAME?</v>
      </c>
      <c r="U1983" s="23" t="e">
        <f ca="1">[1]!BexGetData("DP_1","00O2TNJGODT0G5Z4TTKYMMUX1","GSON1112150791")</f>
        <v>#NAME?</v>
      </c>
      <c r="V1983" s="28" t="e">
        <f ca="1">[1]!BexGetData("DP_1","00O2TNJGODT0G5Z4TTKYMN18L","GSON1112150791")</f>
        <v>#NAME?</v>
      </c>
      <c r="W1983" s="23" t="e">
        <f ca="1">[1]!BexGetData("DP_1","00O2TNJGODT0G5Z4TTKYMN7K5","GSON1112150791")</f>
        <v>#NAME?</v>
      </c>
    </row>
    <row r="1984" spans="1:23" x14ac:dyDescent="0.2">
      <c r="A1984" s="36" t="s">
        <v>4948</v>
      </c>
      <c r="B1984" s="27" t="s">
        <v>4949</v>
      </c>
      <c r="C1984" s="23" t="e">
        <f ca="1">[1]!BexGetData("DP_1","003N8EMH8GTFRCSWKMPXRR8GU","GSON1112150794")</f>
        <v>#NAME?</v>
      </c>
      <c r="D1984" s="23" t="e">
        <f ca="1">[1]!BexGetData("DP_1","003N8EMH8GTFRCSWKMPXRRESE","GSON1112150794")</f>
        <v>#NAME?</v>
      </c>
      <c r="E1984" s="28" t="e">
        <f ca="1">[1]!BexGetData("DP_1","003N8EMH8GTFRCSWKMPXRRL3Y","GSON1112150794")</f>
        <v>#NAME?</v>
      </c>
      <c r="F1984" s="23" t="e">
        <f ca="1">[1]!BexGetData("DP_1","003N8EMH8GTFRCSWKMPXRRRFI","GSON1112150794")</f>
        <v>#NAME?</v>
      </c>
      <c r="G1984" s="23" t="e">
        <f ca="1">[1]!BexGetData("DP_1","003N8EMH8GTFRCSWKMPXRRXR2","GSON1112150794")</f>
        <v>#NAME?</v>
      </c>
      <c r="H1984" s="23" t="e">
        <f ca="1">[1]!BexGetData("DP_1","003N8EMH8GTFRCSWKMPXRS42M","GSON1112150794")</f>
        <v>#NAME?</v>
      </c>
      <c r="I1984" s="23" t="e">
        <f ca="1">[1]!BexGetData("DP_1","003N8EMH8GTFRCSWKMPXRSAE6","GSON1112150794")</f>
        <v>#NAME?</v>
      </c>
      <c r="J1984" s="24" t="e">
        <f ca="1">[1]!BexGetData("DP_1","003N8EMH8GTFRCSWKMPXRSGPQ","GSON1112150794")</f>
        <v>#NAME?</v>
      </c>
      <c r="K1984" s="23" t="e">
        <f ca="1">[1]!BexGetData("DP_1","003N8EMH8GTFRIVNUPY288VJH","GSON1112150794")</f>
        <v>#NAME?</v>
      </c>
      <c r="L1984" s="23" t="e">
        <f ca="1">[1]!BexGetData("DP_1","003N8EMH8GTFRIVNUPY2891V1","GSON1112150794")</f>
        <v>#NAME?</v>
      </c>
      <c r="M1984" s="23" t="e">
        <f ca="1">[1]!BexGetData("DP_1","003N8EMH8GTFRIVOG7KG9IQXA","GSON1112150794")</f>
        <v>#NAME?</v>
      </c>
      <c r="N1984" s="28" t="e">
        <f ca="1">[1]!BexGetData("DP_1","003N8EMH8GTFRIVOG7KG9IX8U","GSON1112150794")</f>
        <v>#NAME?</v>
      </c>
      <c r="O1984" s="23" t="e">
        <f ca="1">[1]!BexGetData("DP_1","003N8EMH8GTFRIVOG7KG9J3KE","GSON1112150794")</f>
        <v>#NAME?</v>
      </c>
      <c r="P1984" s="28" t="e">
        <f ca="1">[1]!BexGetData("DP_1","003N8EMH8GTFRIVOG7KG9J9VY","GSON1112150794")</f>
        <v>#NAME?</v>
      </c>
      <c r="Q1984" s="24" t="e">
        <f ca="1">[1]!BexGetData("DP_1","00O2TNJGODT0G5Z4TTKYMM5MT","GSON1112150794")</f>
        <v>#NAME?</v>
      </c>
      <c r="R1984" s="23" t="e">
        <f ca="1">[1]!BexGetData("DP_1","00O2TNJGODT0G5Z4TTKYMMBYD","GSON1112150794")</f>
        <v>#NAME?</v>
      </c>
      <c r="S1984" s="23" t="e">
        <f ca="1">[1]!BexGetData("DP_1","00O2TNJGODT0G5Z4TTKYMMI9X","GSON1112150794")</f>
        <v>#NAME?</v>
      </c>
      <c r="T1984" s="28" t="e">
        <f ca="1">[1]!BexGetData("DP_1","00O2TNJGODT0G5Z4TTKYMMOLH","GSON1112150794")</f>
        <v>#NAME?</v>
      </c>
      <c r="U1984" s="23" t="e">
        <f ca="1">[1]!BexGetData("DP_1","00O2TNJGODT0G5Z4TTKYMMUX1","GSON1112150794")</f>
        <v>#NAME?</v>
      </c>
      <c r="V1984" s="28" t="e">
        <f ca="1">[1]!BexGetData("DP_1","00O2TNJGODT0G5Z4TTKYMN18L","GSON1112150794")</f>
        <v>#NAME?</v>
      </c>
      <c r="W1984" s="23" t="e">
        <f ca="1">[1]!BexGetData("DP_1","00O2TNJGODT0G5Z4TTKYMN7K5","GSON1112150794")</f>
        <v>#NAME?</v>
      </c>
    </row>
    <row r="1985" spans="1:23" x14ac:dyDescent="0.2">
      <c r="A1985" s="36" t="s">
        <v>4950</v>
      </c>
      <c r="B1985" s="27" t="s">
        <v>4951</v>
      </c>
      <c r="C1985" s="23" t="e">
        <f ca="1">[1]!BexGetData("DP_1","003N8EMH8GTFRCSWKMPXRR8GU","GSON1112150800")</f>
        <v>#NAME?</v>
      </c>
      <c r="D1985" s="23" t="e">
        <f ca="1">[1]!BexGetData("DP_1","003N8EMH8GTFRCSWKMPXRRESE","GSON1112150800")</f>
        <v>#NAME?</v>
      </c>
      <c r="E1985" s="23" t="e">
        <f ca="1">[1]!BexGetData("DP_1","003N8EMH8GTFRCSWKMPXRRL3Y","GSON1112150800")</f>
        <v>#NAME?</v>
      </c>
      <c r="F1985" s="23" t="e">
        <f ca="1">[1]!BexGetData("DP_1","003N8EMH8GTFRCSWKMPXRRRFI","GSON1112150800")</f>
        <v>#NAME?</v>
      </c>
      <c r="G1985" s="23" t="e">
        <f ca="1">[1]!BexGetData("DP_1","003N8EMH8GTFRCSWKMPXRRXR2","GSON1112150800")</f>
        <v>#NAME?</v>
      </c>
      <c r="H1985" s="23" t="e">
        <f ca="1">[1]!BexGetData("DP_1","003N8EMH8GTFRCSWKMPXRS42M","GSON1112150800")</f>
        <v>#NAME?</v>
      </c>
      <c r="I1985" s="23" t="e">
        <f ca="1">[1]!BexGetData("DP_1","003N8EMH8GTFRCSWKMPXRSAE6","GSON1112150800")</f>
        <v>#NAME?</v>
      </c>
      <c r="J1985" s="23" t="e">
        <f ca="1">[1]!BexGetData("DP_1","003N8EMH8GTFRCSWKMPXRSGPQ","GSON1112150800")</f>
        <v>#NAME?</v>
      </c>
      <c r="K1985" s="23" t="e">
        <f ca="1">[1]!BexGetData("DP_1","003N8EMH8GTFRIVNUPY288VJH","GSON1112150800")</f>
        <v>#NAME?</v>
      </c>
      <c r="L1985" s="23" t="e">
        <f ca="1">[1]!BexGetData("DP_1","003N8EMH8GTFRIVNUPY2891V1","GSON1112150800")</f>
        <v>#NAME?</v>
      </c>
      <c r="M1985" s="28" t="e">
        <f ca="1">[1]!BexGetData("DP_1","003N8EMH8GTFRIVOG7KG9IQXA","GSON1112150800")</f>
        <v>#NAME?</v>
      </c>
      <c r="N1985" s="23" t="e">
        <f ca="1">[1]!BexGetData("DP_1","003N8EMH8GTFRIVOG7KG9IX8U","GSON1112150800")</f>
        <v>#NAME?</v>
      </c>
      <c r="O1985" s="28" t="e">
        <f ca="1">[1]!BexGetData("DP_1","003N8EMH8GTFRIVOG7KG9J3KE","GSON1112150800")</f>
        <v>#NAME?</v>
      </c>
      <c r="P1985" s="23" t="e">
        <f ca="1">[1]!BexGetData("DP_1","003N8EMH8GTFRIVOG7KG9J9VY","GSON1112150800")</f>
        <v>#NAME?</v>
      </c>
      <c r="Q1985" s="23" t="e">
        <f ca="1">[1]!BexGetData("DP_1","00O2TNJGODT0G5Z4TTKYMM5MT","GSON1112150800")</f>
        <v>#NAME?</v>
      </c>
      <c r="R1985" s="23" t="e">
        <f ca="1">[1]!BexGetData("DP_1","00O2TNJGODT0G5Z4TTKYMMBYD","GSON1112150800")</f>
        <v>#NAME?</v>
      </c>
      <c r="S1985" s="23" t="e">
        <f ca="1">[1]!BexGetData("DP_1","00O2TNJGODT0G5Z4TTKYMMI9X","GSON1112150800")</f>
        <v>#NAME?</v>
      </c>
      <c r="T1985" s="28" t="e">
        <f ca="1">[1]!BexGetData("DP_1","00O2TNJGODT0G5Z4TTKYMMOLH","GSON1112150800")</f>
        <v>#NAME?</v>
      </c>
      <c r="U1985" s="23" t="e">
        <f ca="1">[1]!BexGetData("DP_1","00O2TNJGODT0G5Z4TTKYMMUX1","GSON1112150800")</f>
        <v>#NAME?</v>
      </c>
      <c r="V1985" s="28" t="e">
        <f ca="1">[1]!BexGetData("DP_1","00O2TNJGODT0G5Z4TTKYMN18L","GSON1112150800")</f>
        <v>#NAME?</v>
      </c>
      <c r="W1985" s="23" t="e">
        <f ca="1">[1]!BexGetData("DP_1","00O2TNJGODT0G5Z4TTKYMN7K5","GSON1112150800")</f>
        <v>#NAME?</v>
      </c>
    </row>
    <row r="1986" spans="1:23" x14ac:dyDescent="0.2">
      <c r="A1986" s="36" t="s">
        <v>1182</v>
      </c>
      <c r="B1986" s="27" t="s">
        <v>1183</v>
      </c>
      <c r="C1986" s="23" t="e">
        <f ca="1">[1]!BexGetData("DP_1","003N8EMH8GTFRCSWKMPXRR8GU","GSON1112150801")</f>
        <v>#NAME?</v>
      </c>
      <c r="D1986" s="23" t="e">
        <f ca="1">[1]!BexGetData("DP_1","003N8EMH8GTFRCSWKMPXRRESE","GSON1112150801")</f>
        <v>#NAME?</v>
      </c>
      <c r="E1986" s="23" t="e">
        <f ca="1">[1]!BexGetData("DP_1","003N8EMH8GTFRCSWKMPXRRL3Y","GSON1112150801")</f>
        <v>#NAME?</v>
      </c>
      <c r="F1986" s="23" t="e">
        <f ca="1">[1]!BexGetData("DP_1","003N8EMH8GTFRCSWKMPXRRRFI","GSON1112150801")</f>
        <v>#NAME?</v>
      </c>
      <c r="G1986" s="23" t="e">
        <f ca="1">[1]!BexGetData("DP_1","003N8EMH8GTFRCSWKMPXRRXR2","GSON1112150801")</f>
        <v>#NAME?</v>
      </c>
      <c r="H1986" s="23" t="e">
        <f ca="1">[1]!BexGetData("DP_1","003N8EMH8GTFRCSWKMPXRS42M","GSON1112150801")</f>
        <v>#NAME?</v>
      </c>
      <c r="I1986" s="23" t="e">
        <f ca="1">[1]!BexGetData("DP_1","003N8EMH8GTFRCSWKMPXRSAE6","GSON1112150801")</f>
        <v>#NAME?</v>
      </c>
      <c r="J1986" s="24" t="e">
        <f ca="1">[1]!BexGetData("DP_1","003N8EMH8GTFRCSWKMPXRSGPQ","GSON1112150801")</f>
        <v>#NAME?</v>
      </c>
      <c r="K1986" s="28" t="e">
        <f ca="1">[1]!BexGetData("DP_1","003N8EMH8GTFRIVNUPY288VJH","GSON1112150801")</f>
        <v>#NAME?</v>
      </c>
      <c r="L1986" s="28" t="e">
        <f ca="1">[1]!BexGetData("DP_1","003N8EMH8GTFRIVNUPY2891V1","GSON1112150801")</f>
        <v>#NAME?</v>
      </c>
      <c r="M1986" s="28" t="e">
        <f ca="1">[1]!BexGetData("DP_1","003N8EMH8GTFRIVOG7KG9IQXA","GSON1112150801")</f>
        <v>#NAME?</v>
      </c>
      <c r="N1986" s="28" t="e">
        <f ca="1">[1]!BexGetData("DP_1","003N8EMH8GTFRIVOG7KG9IX8U","GSON1112150801")</f>
        <v>#NAME?</v>
      </c>
      <c r="O1986" s="28" t="e">
        <f ca="1">[1]!BexGetData("DP_1","003N8EMH8GTFRIVOG7KG9J3KE","GSON1112150801")</f>
        <v>#NAME?</v>
      </c>
      <c r="P1986" s="28" t="e">
        <f ca="1">[1]!BexGetData("DP_1","003N8EMH8GTFRIVOG7KG9J9VY","GSON1112150801")</f>
        <v>#NAME?</v>
      </c>
      <c r="Q1986" s="24" t="e">
        <f ca="1">[1]!BexGetData("DP_1","00O2TNJGODT0G5Z4TTKYMM5MT","GSON1112150801")</f>
        <v>#NAME?</v>
      </c>
      <c r="R1986" s="23" t="e">
        <f ca="1">[1]!BexGetData("DP_1","00O2TNJGODT0G5Z4TTKYMMBYD","GSON1112150801")</f>
        <v>#NAME?</v>
      </c>
      <c r="S1986" s="23" t="e">
        <f ca="1">[1]!BexGetData("DP_1","00O2TNJGODT0G5Z4TTKYMMI9X","GSON1112150801")</f>
        <v>#NAME?</v>
      </c>
      <c r="T1986" s="23" t="e">
        <f ca="1">[1]!BexGetData("DP_1","00O2TNJGODT0G5Z4TTKYMMOLH","GSON1112150801")</f>
        <v>#NAME?</v>
      </c>
      <c r="U1986" s="28" t="e">
        <f ca="1">[1]!BexGetData("DP_1","00O2TNJGODT0G5Z4TTKYMMUX1","GSON1112150801")</f>
        <v>#NAME?</v>
      </c>
      <c r="V1986" s="23" t="e">
        <f ca="1">[1]!BexGetData("DP_1","00O2TNJGODT0G5Z4TTKYMN18L","GSON1112150801")</f>
        <v>#NAME?</v>
      </c>
      <c r="W1986" s="28" t="e">
        <f ca="1">[1]!BexGetData("DP_1","00O2TNJGODT0G5Z4TTKYMN7K5","GSON1112150801")</f>
        <v>#NAME?</v>
      </c>
    </row>
    <row r="1987" spans="1:23" x14ac:dyDescent="0.2">
      <c r="A1987" s="36" t="s">
        <v>4952</v>
      </c>
      <c r="B1987" s="27" t="s">
        <v>4953</v>
      </c>
      <c r="C1987" s="23" t="e">
        <f ca="1">[1]!BexGetData("DP_1","003N8EMH8GTFRCSWKMPXRR8GU","GSON1112150803")</f>
        <v>#NAME?</v>
      </c>
      <c r="D1987" s="23" t="e">
        <f ca="1">[1]!BexGetData("DP_1","003N8EMH8GTFRCSWKMPXRRESE","GSON1112150803")</f>
        <v>#NAME?</v>
      </c>
      <c r="E1987" s="28" t="e">
        <f ca="1">[1]!BexGetData("DP_1","003N8EMH8GTFRCSWKMPXRRL3Y","GSON1112150803")</f>
        <v>#NAME?</v>
      </c>
      <c r="F1987" s="28" t="e">
        <f ca="1">[1]!BexGetData("DP_1","003N8EMH8GTFRCSWKMPXRRRFI","GSON1112150803")</f>
        <v>#NAME?</v>
      </c>
      <c r="G1987" s="23" t="e">
        <f ca="1">[1]!BexGetData("DP_1","003N8EMH8GTFRCSWKMPXRRXR2","GSON1112150803")</f>
        <v>#NAME?</v>
      </c>
      <c r="H1987" s="23" t="e">
        <f ca="1">[1]!BexGetData("DP_1","003N8EMH8GTFRCSWKMPXRS42M","GSON1112150803")</f>
        <v>#NAME?</v>
      </c>
      <c r="I1987" s="28" t="e">
        <f ca="1">[1]!BexGetData("DP_1","003N8EMH8GTFRCSWKMPXRSAE6","GSON1112150803")</f>
        <v>#NAME?</v>
      </c>
      <c r="J1987" s="24" t="e">
        <f ca="1">[1]!BexGetData("DP_1","003N8EMH8GTFRCSWKMPXRSGPQ","GSON1112150803")</f>
        <v>#NAME?</v>
      </c>
      <c r="K1987" s="28" t="e">
        <f ca="1">[1]!BexGetData("DP_1","003N8EMH8GTFRIVNUPY288VJH","GSON1112150803")</f>
        <v>#NAME?</v>
      </c>
      <c r="L1987" s="28" t="e">
        <f ca="1">[1]!BexGetData("DP_1","003N8EMH8GTFRIVNUPY2891V1","GSON1112150803")</f>
        <v>#NAME?</v>
      </c>
      <c r="M1987" s="28" t="e">
        <f ca="1">[1]!BexGetData("DP_1","003N8EMH8GTFRIVOG7KG9IQXA","GSON1112150803")</f>
        <v>#NAME?</v>
      </c>
      <c r="N1987" s="28" t="e">
        <f ca="1">[1]!BexGetData("DP_1","003N8EMH8GTFRIVOG7KG9IX8U","GSON1112150803")</f>
        <v>#NAME?</v>
      </c>
      <c r="O1987" s="28" t="e">
        <f ca="1">[1]!BexGetData("DP_1","003N8EMH8GTFRIVOG7KG9J3KE","GSON1112150803")</f>
        <v>#NAME?</v>
      </c>
      <c r="P1987" s="28" t="e">
        <f ca="1">[1]!BexGetData("DP_1","003N8EMH8GTFRIVOG7KG9J9VY","GSON1112150803")</f>
        <v>#NAME?</v>
      </c>
      <c r="Q1987" s="24" t="e">
        <f ca="1">[1]!BexGetData("DP_1","00O2TNJGODT0G5Z4TTKYMM5MT","GSON1112150803")</f>
        <v>#NAME?</v>
      </c>
      <c r="R1987" s="28" t="e">
        <f ca="1">[1]!BexGetData("DP_1","00O2TNJGODT0G5Z4TTKYMMBYD","GSON1112150803")</f>
        <v>#NAME?</v>
      </c>
      <c r="S1987" s="28" t="e">
        <f ca="1">[1]!BexGetData("DP_1","00O2TNJGODT0G5Z4TTKYMMI9X","GSON1112150803")</f>
        <v>#NAME?</v>
      </c>
      <c r="T1987" s="28" t="e">
        <f ca="1">[1]!BexGetData("DP_1","00O2TNJGODT0G5Z4TTKYMMOLH","GSON1112150803")</f>
        <v>#NAME?</v>
      </c>
      <c r="U1987" s="28" t="e">
        <f ca="1">[1]!BexGetData("DP_1","00O2TNJGODT0G5Z4TTKYMMUX1","GSON1112150803")</f>
        <v>#NAME?</v>
      </c>
      <c r="V1987" s="28" t="e">
        <f ca="1">[1]!BexGetData("DP_1","00O2TNJGODT0G5Z4TTKYMN18L","GSON1112150803")</f>
        <v>#NAME?</v>
      </c>
      <c r="W1987" s="28" t="e">
        <f ca="1">[1]!BexGetData("DP_1","00O2TNJGODT0G5Z4TTKYMN7K5","GSON1112150803")</f>
        <v>#NAME?</v>
      </c>
    </row>
    <row r="1988" spans="1:23" x14ac:dyDescent="0.2">
      <c r="A1988" s="36" t="s">
        <v>4954</v>
      </c>
      <c r="B1988" s="27" t="s">
        <v>4955</v>
      </c>
      <c r="C1988" s="23" t="e">
        <f ca="1">[1]!BexGetData("DP_1","003N8EMH8GTFRCSWKMPXRR8GU","GSON1112150804")</f>
        <v>#NAME?</v>
      </c>
      <c r="D1988" s="23" t="e">
        <f ca="1">[1]!BexGetData("DP_1","003N8EMH8GTFRCSWKMPXRRESE","GSON1112150804")</f>
        <v>#NAME?</v>
      </c>
      <c r="E1988" s="28" t="e">
        <f ca="1">[1]!BexGetData("DP_1","003N8EMH8GTFRCSWKMPXRRL3Y","GSON1112150804")</f>
        <v>#NAME?</v>
      </c>
      <c r="F1988" s="28" t="e">
        <f ca="1">[1]!BexGetData("DP_1","003N8EMH8GTFRCSWKMPXRRRFI","GSON1112150804")</f>
        <v>#NAME?</v>
      </c>
      <c r="G1988" s="23" t="e">
        <f ca="1">[1]!BexGetData("DP_1","003N8EMH8GTFRCSWKMPXRRXR2","GSON1112150804")</f>
        <v>#NAME?</v>
      </c>
      <c r="H1988" s="23" t="e">
        <f ca="1">[1]!BexGetData("DP_1","003N8EMH8GTFRCSWKMPXRS42M","GSON1112150804")</f>
        <v>#NAME?</v>
      </c>
      <c r="I1988" s="28" t="e">
        <f ca="1">[1]!BexGetData("DP_1","003N8EMH8GTFRCSWKMPXRSAE6","GSON1112150804")</f>
        <v>#NAME?</v>
      </c>
      <c r="J1988" s="24" t="e">
        <f ca="1">[1]!BexGetData("DP_1","003N8EMH8GTFRCSWKMPXRSGPQ","GSON1112150804")</f>
        <v>#NAME?</v>
      </c>
      <c r="K1988" s="28" t="e">
        <f ca="1">[1]!BexGetData("DP_1","003N8EMH8GTFRIVNUPY288VJH","GSON1112150804")</f>
        <v>#NAME?</v>
      </c>
      <c r="L1988" s="28" t="e">
        <f ca="1">[1]!BexGetData("DP_1","003N8EMH8GTFRIVNUPY2891V1","GSON1112150804")</f>
        <v>#NAME?</v>
      </c>
      <c r="M1988" s="28" t="e">
        <f ca="1">[1]!BexGetData("DP_1","003N8EMH8GTFRIVOG7KG9IQXA","GSON1112150804")</f>
        <v>#NAME?</v>
      </c>
      <c r="N1988" s="28" t="e">
        <f ca="1">[1]!BexGetData("DP_1","003N8EMH8GTFRIVOG7KG9IX8U","GSON1112150804")</f>
        <v>#NAME?</v>
      </c>
      <c r="O1988" s="28" t="e">
        <f ca="1">[1]!BexGetData("DP_1","003N8EMH8GTFRIVOG7KG9J3KE","GSON1112150804")</f>
        <v>#NAME?</v>
      </c>
      <c r="P1988" s="28" t="e">
        <f ca="1">[1]!BexGetData("DP_1","003N8EMH8GTFRIVOG7KG9J9VY","GSON1112150804")</f>
        <v>#NAME?</v>
      </c>
      <c r="Q1988" s="24" t="e">
        <f ca="1">[1]!BexGetData("DP_1","00O2TNJGODT0G5Z4TTKYMM5MT","GSON1112150804")</f>
        <v>#NAME?</v>
      </c>
      <c r="R1988" s="28" t="e">
        <f ca="1">[1]!BexGetData("DP_1","00O2TNJGODT0G5Z4TTKYMMBYD","GSON1112150804")</f>
        <v>#NAME?</v>
      </c>
      <c r="S1988" s="28" t="e">
        <f ca="1">[1]!BexGetData("DP_1","00O2TNJGODT0G5Z4TTKYMMI9X","GSON1112150804")</f>
        <v>#NAME?</v>
      </c>
      <c r="T1988" s="28" t="e">
        <f ca="1">[1]!BexGetData("DP_1","00O2TNJGODT0G5Z4TTKYMMOLH","GSON1112150804")</f>
        <v>#NAME?</v>
      </c>
      <c r="U1988" s="28" t="e">
        <f ca="1">[1]!BexGetData("DP_1","00O2TNJGODT0G5Z4TTKYMMUX1","GSON1112150804")</f>
        <v>#NAME?</v>
      </c>
      <c r="V1988" s="28" t="e">
        <f ca="1">[1]!BexGetData("DP_1","00O2TNJGODT0G5Z4TTKYMN18L","GSON1112150804")</f>
        <v>#NAME?</v>
      </c>
      <c r="W1988" s="28" t="e">
        <f ca="1">[1]!BexGetData("DP_1","00O2TNJGODT0G5Z4TTKYMN7K5","GSON1112150804")</f>
        <v>#NAME?</v>
      </c>
    </row>
    <row r="1989" spans="1:23" x14ac:dyDescent="0.2">
      <c r="A1989" s="36" t="s">
        <v>4956</v>
      </c>
      <c r="B1989" s="27" t="s">
        <v>4957</v>
      </c>
      <c r="C1989" s="28" t="e">
        <f ca="1">[1]!BexGetData("DP_1","003N8EMH8GTFRCSWKMPXRR8GU","GSON1112150950")</f>
        <v>#NAME?</v>
      </c>
      <c r="D1989" s="28" t="e">
        <f ca="1">[1]!BexGetData("DP_1","003N8EMH8GTFRCSWKMPXRRESE","GSON1112150950")</f>
        <v>#NAME?</v>
      </c>
      <c r="E1989" s="28" t="e">
        <f ca="1">[1]!BexGetData("DP_1","003N8EMH8GTFRCSWKMPXRRL3Y","GSON1112150950")</f>
        <v>#NAME?</v>
      </c>
      <c r="F1989" s="28" t="e">
        <f ca="1">[1]!BexGetData("DP_1","003N8EMH8GTFRCSWKMPXRRRFI","GSON1112150950")</f>
        <v>#NAME?</v>
      </c>
      <c r="G1989" s="28" t="e">
        <f ca="1">[1]!BexGetData("DP_1","003N8EMH8GTFRCSWKMPXRRXR2","GSON1112150950")</f>
        <v>#NAME?</v>
      </c>
      <c r="H1989" s="23" t="e">
        <f ca="1">[1]!BexGetData("DP_1","003N8EMH8GTFRCSWKMPXRS42M","GSON1112150950")</f>
        <v>#NAME?</v>
      </c>
      <c r="I1989" s="28" t="e">
        <f ca="1">[1]!BexGetData("DP_1","003N8EMH8GTFRCSWKMPXRSAE6","GSON1112150950")</f>
        <v>#NAME?</v>
      </c>
      <c r="J1989" s="23" t="e">
        <f ca="1">[1]!BexGetData("DP_1","003N8EMH8GTFRCSWKMPXRSGPQ","GSON1112150950")</f>
        <v>#NAME?</v>
      </c>
      <c r="K1989" s="28" t="e">
        <f ca="1">[1]!BexGetData("DP_1","003N8EMH8GTFRIVNUPY288VJH","GSON1112150950")</f>
        <v>#NAME?</v>
      </c>
      <c r="L1989" s="28" t="e">
        <f ca="1">[1]!BexGetData("DP_1","003N8EMH8GTFRIVNUPY2891V1","GSON1112150950")</f>
        <v>#NAME?</v>
      </c>
      <c r="M1989" s="28" t="e">
        <f ca="1">[1]!BexGetData("DP_1","003N8EMH8GTFRIVOG7KG9IQXA","GSON1112150950")</f>
        <v>#NAME?</v>
      </c>
      <c r="N1989" s="28" t="e">
        <f ca="1">[1]!BexGetData("DP_1","003N8EMH8GTFRIVOG7KG9IX8U","GSON1112150950")</f>
        <v>#NAME?</v>
      </c>
      <c r="O1989" s="28" t="e">
        <f ca="1">[1]!BexGetData("DP_1","003N8EMH8GTFRIVOG7KG9J3KE","GSON1112150950")</f>
        <v>#NAME?</v>
      </c>
      <c r="P1989" s="28" t="e">
        <f ca="1">[1]!BexGetData("DP_1","003N8EMH8GTFRIVOG7KG9J9VY","GSON1112150950")</f>
        <v>#NAME?</v>
      </c>
      <c r="Q1989" s="23" t="e">
        <f ca="1">[1]!BexGetData("DP_1","00O2TNJGODT0G5Z4TTKYMM5MT","GSON1112150950")</f>
        <v>#NAME?</v>
      </c>
      <c r="R1989" s="23" t="e">
        <f ca="1">[1]!BexGetData("DP_1","00O2TNJGODT0G5Z4TTKYMMBYD","GSON1112150950")</f>
        <v>#NAME?</v>
      </c>
      <c r="S1989" s="23" t="e">
        <f ca="1">[1]!BexGetData("DP_1","00O2TNJGODT0G5Z4TTKYMMI9X","GSON1112150950")</f>
        <v>#NAME?</v>
      </c>
      <c r="T1989" s="23" t="e">
        <f ca="1">[1]!BexGetData("DP_1","00O2TNJGODT0G5Z4TTKYMMOLH","GSON1112150950")</f>
        <v>#NAME?</v>
      </c>
      <c r="U1989" s="28" t="e">
        <f ca="1">[1]!BexGetData("DP_1","00O2TNJGODT0G5Z4TTKYMMUX1","GSON1112150950")</f>
        <v>#NAME?</v>
      </c>
      <c r="V1989" s="23" t="e">
        <f ca="1">[1]!BexGetData("DP_1","00O2TNJGODT0G5Z4TTKYMN18L","GSON1112150950")</f>
        <v>#NAME?</v>
      </c>
      <c r="W1989" s="28" t="e">
        <f ca="1">[1]!BexGetData("DP_1","00O2TNJGODT0G5Z4TTKYMN7K5","GSON1112150950")</f>
        <v>#NAME?</v>
      </c>
    </row>
    <row r="1990" spans="1:23" x14ac:dyDescent="0.2">
      <c r="A1990" s="36" t="s">
        <v>4958</v>
      </c>
      <c r="B1990" s="27" t="s">
        <v>4959</v>
      </c>
      <c r="C1990" s="24" t="e">
        <f ca="1">[1]!BexGetData("DP_1","003N8EMH8GTFRCSWKMPXRR8GU","GSON1112150954")</f>
        <v>#NAME?</v>
      </c>
      <c r="D1990" s="24" t="e">
        <f ca="1">[1]!BexGetData("DP_1","003N8EMH8GTFRCSWKMPXRRESE","GSON1112150954")</f>
        <v>#NAME?</v>
      </c>
      <c r="E1990" s="24" t="e">
        <f ca="1">[1]!BexGetData("DP_1","003N8EMH8GTFRCSWKMPXRRL3Y","GSON1112150954")</f>
        <v>#NAME?</v>
      </c>
      <c r="F1990" s="28" t="e">
        <f ca="1">[1]!BexGetData("DP_1","003N8EMH8GTFRCSWKMPXRRRFI","GSON1112150954")</f>
        <v>#NAME?</v>
      </c>
      <c r="G1990" s="23" t="e">
        <f ca="1">[1]!BexGetData("DP_1","003N8EMH8GTFRCSWKMPXRRXR2","GSON1112150954")</f>
        <v>#NAME?</v>
      </c>
      <c r="H1990" s="23" t="e">
        <f ca="1">[1]!BexGetData("DP_1","003N8EMH8GTFRCSWKMPXRS42M","GSON1112150954")</f>
        <v>#NAME?</v>
      </c>
      <c r="I1990" s="28" t="e">
        <f ca="1">[1]!BexGetData("DP_1","003N8EMH8GTFRCSWKMPXRSAE6","GSON1112150954")</f>
        <v>#NAME?</v>
      </c>
      <c r="J1990" s="24" t="e">
        <f ca="1">[1]!BexGetData("DP_1","003N8EMH8GTFRCSWKMPXRSGPQ","GSON1112150954")</f>
        <v>#NAME?</v>
      </c>
      <c r="K1990" s="28" t="e">
        <f ca="1">[1]!BexGetData("DP_1","003N8EMH8GTFRIVNUPY288VJH","GSON1112150954")</f>
        <v>#NAME?</v>
      </c>
      <c r="L1990" s="28" t="e">
        <f ca="1">[1]!BexGetData("DP_1","003N8EMH8GTFRIVNUPY2891V1","GSON1112150954")</f>
        <v>#NAME?</v>
      </c>
      <c r="M1990" s="28" t="e">
        <f ca="1">[1]!BexGetData("DP_1","003N8EMH8GTFRIVOG7KG9IQXA","GSON1112150954")</f>
        <v>#NAME?</v>
      </c>
      <c r="N1990" s="28" t="e">
        <f ca="1">[1]!BexGetData("DP_1","003N8EMH8GTFRIVOG7KG9IX8U","GSON1112150954")</f>
        <v>#NAME?</v>
      </c>
      <c r="O1990" s="28" t="e">
        <f ca="1">[1]!BexGetData("DP_1","003N8EMH8GTFRIVOG7KG9J3KE","GSON1112150954")</f>
        <v>#NAME?</v>
      </c>
      <c r="P1990" s="28" t="e">
        <f ca="1">[1]!BexGetData("DP_1","003N8EMH8GTFRIVOG7KG9J9VY","GSON1112150954")</f>
        <v>#NAME?</v>
      </c>
      <c r="Q1990" s="24" t="e">
        <f ca="1">[1]!BexGetData("DP_1","00O2TNJGODT0G5Z4TTKYMM5MT","GSON1112150954")</f>
        <v>#NAME?</v>
      </c>
      <c r="R1990" s="28" t="e">
        <f ca="1">[1]!BexGetData("DP_1","00O2TNJGODT0G5Z4TTKYMMBYD","GSON1112150954")</f>
        <v>#NAME?</v>
      </c>
      <c r="S1990" s="28" t="e">
        <f ca="1">[1]!BexGetData("DP_1","00O2TNJGODT0G5Z4TTKYMMI9X","GSON1112150954")</f>
        <v>#NAME?</v>
      </c>
      <c r="T1990" s="28" t="e">
        <f ca="1">[1]!BexGetData("DP_1","00O2TNJGODT0G5Z4TTKYMMOLH","GSON1112150954")</f>
        <v>#NAME?</v>
      </c>
      <c r="U1990" s="28" t="e">
        <f ca="1">[1]!BexGetData("DP_1","00O2TNJGODT0G5Z4TTKYMMUX1","GSON1112150954")</f>
        <v>#NAME?</v>
      </c>
      <c r="V1990" s="28" t="e">
        <f ca="1">[1]!BexGetData("DP_1","00O2TNJGODT0G5Z4TTKYMN18L","GSON1112150954")</f>
        <v>#NAME?</v>
      </c>
      <c r="W1990" s="28" t="e">
        <f ca="1">[1]!BexGetData("DP_1","00O2TNJGODT0G5Z4TTKYMN7K5","GSON1112150954")</f>
        <v>#NAME?</v>
      </c>
    </row>
    <row r="1991" spans="1:23" x14ac:dyDescent="0.2">
      <c r="A1991" s="36" t="s">
        <v>4960</v>
      </c>
      <c r="B1991" s="27" t="s">
        <v>4961</v>
      </c>
      <c r="C1991" s="28" t="e">
        <f ca="1">[1]!BexGetData("DP_1","003N8EMH8GTFRCSWKMPXRR8GU","GSON1112150960")</f>
        <v>#NAME?</v>
      </c>
      <c r="D1991" s="28" t="e">
        <f ca="1">[1]!BexGetData("DP_1","003N8EMH8GTFRCSWKMPXRRESE","GSON1112150960")</f>
        <v>#NAME?</v>
      </c>
      <c r="E1991" s="28" t="e">
        <f ca="1">[1]!BexGetData("DP_1","003N8EMH8GTFRCSWKMPXRRL3Y","GSON1112150960")</f>
        <v>#NAME?</v>
      </c>
      <c r="F1991" s="28" t="e">
        <f ca="1">[1]!BexGetData("DP_1","003N8EMH8GTFRCSWKMPXRRRFI","GSON1112150960")</f>
        <v>#NAME?</v>
      </c>
      <c r="G1991" s="23" t="e">
        <f ca="1">[1]!BexGetData("DP_1","003N8EMH8GTFRCSWKMPXRRXR2","GSON1112150960")</f>
        <v>#NAME?</v>
      </c>
      <c r="H1991" s="23" t="e">
        <f ca="1">[1]!BexGetData("DP_1","003N8EMH8GTFRCSWKMPXRS42M","GSON1112150960")</f>
        <v>#NAME?</v>
      </c>
      <c r="I1991" s="28" t="e">
        <f ca="1">[1]!BexGetData("DP_1","003N8EMH8GTFRCSWKMPXRSAE6","GSON1112150960")</f>
        <v>#NAME?</v>
      </c>
      <c r="J1991" s="23" t="e">
        <f ca="1">[1]!BexGetData("DP_1","003N8EMH8GTFRCSWKMPXRSGPQ","GSON1112150960")</f>
        <v>#NAME?</v>
      </c>
      <c r="K1991" s="28" t="e">
        <f ca="1">[1]!BexGetData("DP_1","003N8EMH8GTFRIVNUPY288VJH","GSON1112150960")</f>
        <v>#NAME?</v>
      </c>
      <c r="L1991" s="28" t="e">
        <f ca="1">[1]!BexGetData("DP_1","003N8EMH8GTFRIVNUPY2891V1","GSON1112150960")</f>
        <v>#NAME?</v>
      </c>
      <c r="M1991" s="28" t="e">
        <f ca="1">[1]!BexGetData("DP_1","003N8EMH8GTFRIVOG7KG9IQXA","GSON1112150960")</f>
        <v>#NAME?</v>
      </c>
      <c r="N1991" s="28" t="e">
        <f ca="1">[1]!BexGetData("DP_1","003N8EMH8GTFRIVOG7KG9IX8U","GSON1112150960")</f>
        <v>#NAME?</v>
      </c>
      <c r="O1991" s="28" t="e">
        <f ca="1">[1]!BexGetData("DP_1","003N8EMH8GTFRIVOG7KG9J3KE","GSON1112150960")</f>
        <v>#NAME?</v>
      </c>
      <c r="P1991" s="28" t="e">
        <f ca="1">[1]!BexGetData("DP_1","003N8EMH8GTFRIVOG7KG9J9VY","GSON1112150960")</f>
        <v>#NAME?</v>
      </c>
      <c r="Q1991" s="23" t="e">
        <f ca="1">[1]!BexGetData("DP_1","00O2TNJGODT0G5Z4TTKYMM5MT","GSON1112150960")</f>
        <v>#NAME?</v>
      </c>
      <c r="R1991" s="23" t="e">
        <f ca="1">[1]!BexGetData("DP_1","00O2TNJGODT0G5Z4TTKYMMBYD","GSON1112150960")</f>
        <v>#NAME?</v>
      </c>
      <c r="S1991" s="23" t="e">
        <f ca="1">[1]!BexGetData("DP_1","00O2TNJGODT0G5Z4TTKYMMI9X","GSON1112150960")</f>
        <v>#NAME?</v>
      </c>
      <c r="T1991" s="23" t="e">
        <f ca="1">[1]!BexGetData("DP_1","00O2TNJGODT0G5Z4TTKYMMOLH","GSON1112150960")</f>
        <v>#NAME?</v>
      </c>
      <c r="U1991" s="28" t="e">
        <f ca="1">[1]!BexGetData("DP_1","00O2TNJGODT0G5Z4TTKYMMUX1","GSON1112150960")</f>
        <v>#NAME?</v>
      </c>
      <c r="V1991" s="23" t="e">
        <f ca="1">[1]!BexGetData("DP_1","00O2TNJGODT0G5Z4TTKYMN18L","GSON1112150960")</f>
        <v>#NAME?</v>
      </c>
      <c r="W1991" s="28" t="e">
        <f ca="1">[1]!BexGetData("DP_1","00O2TNJGODT0G5Z4TTKYMN7K5","GSON1112150960")</f>
        <v>#NAME?</v>
      </c>
    </row>
    <row r="1992" spans="1:23" x14ac:dyDescent="0.2">
      <c r="A1992" s="36" t="s">
        <v>4962</v>
      </c>
      <c r="B1992" s="27" t="s">
        <v>4963</v>
      </c>
      <c r="C1992" s="28" t="e">
        <f ca="1">[1]!BexGetData("DP_1","003N8EMH8GTFRCSWKMPXRR8GU","GSON1112150961")</f>
        <v>#NAME?</v>
      </c>
      <c r="D1992" s="28" t="e">
        <f ca="1">[1]!BexGetData("DP_1","003N8EMH8GTFRCSWKMPXRRESE","GSON1112150961")</f>
        <v>#NAME?</v>
      </c>
      <c r="E1992" s="28" t="e">
        <f ca="1">[1]!BexGetData("DP_1","003N8EMH8GTFRCSWKMPXRRL3Y","GSON1112150961")</f>
        <v>#NAME?</v>
      </c>
      <c r="F1992" s="28" t="e">
        <f ca="1">[1]!BexGetData("DP_1","003N8EMH8GTFRCSWKMPXRRRFI","GSON1112150961")</f>
        <v>#NAME?</v>
      </c>
      <c r="G1992" s="23" t="e">
        <f ca="1">[1]!BexGetData("DP_1","003N8EMH8GTFRCSWKMPXRRXR2","GSON1112150961")</f>
        <v>#NAME?</v>
      </c>
      <c r="H1992" s="23" t="e">
        <f ca="1">[1]!BexGetData("DP_1","003N8EMH8GTFRCSWKMPXRS42M","GSON1112150961")</f>
        <v>#NAME?</v>
      </c>
      <c r="I1992" s="28" t="e">
        <f ca="1">[1]!BexGetData("DP_1","003N8EMH8GTFRCSWKMPXRSAE6","GSON1112150961")</f>
        <v>#NAME?</v>
      </c>
      <c r="J1992" s="24" t="e">
        <f ca="1">[1]!BexGetData("DP_1","003N8EMH8GTFRCSWKMPXRSGPQ","GSON1112150961")</f>
        <v>#NAME?</v>
      </c>
      <c r="K1992" s="28" t="e">
        <f ca="1">[1]!BexGetData("DP_1","003N8EMH8GTFRIVNUPY288VJH","GSON1112150961")</f>
        <v>#NAME?</v>
      </c>
      <c r="L1992" s="28" t="e">
        <f ca="1">[1]!BexGetData("DP_1","003N8EMH8GTFRIVNUPY2891V1","GSON1112150961")</f>
        <v>#NAME?</v>
      </c>
      <c r="M1992" s="28" t="e">
        <f ca="1">[1]!BexGetData("DP_1","003N8EMH8GTFRIVOG7KG9IQXA","GSON1112150961")</f>
        <v>#NAME?</v>
      </c>
      <c r="N1992" s="28" t="e">
        <f ca="1">[1]!BexGetData("DP_1","003N8EMH8GTFRIVOG7KG9IX8U","GSON1112150961")</f>
        <v>#NAME?</v>
      </c>
      <c r="O1992" s="28" t="e">
        <f ca="1">[1]!BexGetData("DP_1","003N8EMH8GTFRIVOG7KG9J3KE","GSON1112150961")</f>
        <v>#NAME?</v>
      </c>
      <c r="P1992" s="28" t="e">
        <f ca="1">[1]!BexGetData("DP_1","003N8EMH8GTFRIVOG7KG9J9VY","GSON1112150961")</f>
        <v>#NAME?</v>
      </c>
      <c r="Q1992" s="24" t="e">
        <f ca="1">[1]!BexGetData("DP_1","00O2TNJGODT0G5Z4TTKYMM5MT","GSON1112150961")</f>
        <v>#NAME?</v>
      </c>
      <c r="R1992" s="28" t="e">
        <f ca="1">[1]!BexGetData("DP_1","00O2TNJGODT0G5Z4TTKYMMBYD","GSON1112150961")</f>
        <v>#NAME?</v>
      </c>
      <c r="S1992" s="28" t="e">
        <f ca="1">[1]!BexGetData("DP_1","00O2TNJGODT0G5Z4TTKYMMI9X","GSON1112150961")</f>
        <v>#NAME?</v>
      </c>
      <c r="T1992" s="28" t="e">
        <f ca="1">[1]!BexGetData("DP_1","00O2TNJGODT0G5Z4TTKYMMOLH","GSON1112150961")</f>
        <v>#NAME?</v>
      </c>
      <c r="U1992" s="28" t="e">
        <f ca="1">[1]!BexGetData("DP_1","00O2TNJGODT0G5Z4TTKYMMUX1","GSON1112150961")</f>
        <v>#NAME?</v>
      </c>
      <c r="V1992" s="28" t="e">
        <f ca="1">[1]!BexGetData("DP_1","00O2TNJGODT0G5Z4TTKYMN18L","GSON1112150961")</f>
        <v>#NAME?</v>
      </c>
      <c r="W1992" s="28" t="e">
        <f ca="1">[1]!BexGetData("DP_1","00O2TNJGODT0G5Z4TTKYMN7K5","GSON1112150961")</f>
        <v>#NAME?</v>
      </c>
    </row>
    <row r="1993" spans="1:23" x14ac:dyDescent="0.2">
      <c r="A1993" s="36" t="s">
        <v>4964</v>
      </c>
      <c r="B1993" s="27" t="s">
        <v>4965</v>
      </c>
      <c r="C1993" s="24" t="e">
        <f ca="1">[1]!BexGetData("DP_1","003N8EMH8GTFRCSWKMPXRR8GU","GSON1112150962")</f>
        <v>#NAME?</v>
      </c>
      <c r="D1993" s="24" t="e">
        <f ca="1">[1]!BexGetData("DP_1","003N8EMH8GTFRCSWKMPXRRESE","GSON1112150962")</f>
        <v>#NAME?</v>
      </c>
      <c r="E1993" s="24" t="e">
        <f ca="1">[1]!BexGetData("DP_1","003N8EMH8GTFRCSWKMPXRRL3Y","GSON1112150962")</f>
        <v>#NAME?</v>
      </c>
      <c r="F1993" s="28" t="e">
        <f ca="1">[1]!BexGetData("DP_1","003N8EMH8GTFRCSWKMPXRRRFI","GSON1112150962")</f>
        <v>#NAME?</v>
      </c>
      <c r="G1993" s="23" t="e">
        <f ca="1">[1]!BexGetData("DP_1","003N8EMH8GTFRCSWKMPXRRXR2","GSON1112150962")</f>
        <v>#NAME?</v>
      </c>
      <c r="H1993" s="23" t="e">
        <f ca="1">[1]!BexGetData("DP_1","003N8EMH8GTFRCSWKMPXRS42M","GSON1112150962")</f>
        <v>#NAME?</v>
      </c>
      <c r="I1993" s="28" t="e">
        <f ca="1">[1]!BexGetData("DP_1","003N8EMH8GTFRCSWKMPXRSAE6","GSON1112150962")</f>
        <v>#NAME?</v>
      </c>
      <c r="J1993" s="23" t="e">
        <f ca="1">[1]!BexGetData("DP_1","003N8EMH8GTFRCSWKMPXRSGPQ","GSON1112150962")</f>
        <v>#NAME?</v>
      </c>
      <c r="K1993" s="28" t="e">
        <f ca="1">[1]!BexGetData("DP_1","003N8EMH8GTFRIVNUPY288VJH","GSON1112150962")</f>
        <v>#NAME?</v>
      </c>
      <c r="L1993" s="28" t="e">
        <f ca="1">[1]!BexGetData("DP_1","003N8EMH8GTFRIVNUPY2891V1","GSON1112150962")</f>
        <v>#NAME?</v>
      </c>
      <c r="M1993" s="28" t="e">
        <f ca="1">[1]!BexGetData("DP_1","003N8EMH8GTFRIVOG7KG9IQXA","GSON1112150962")</f>
        <v>#NAME?</v>
      </c>
      <c r="N1993" s="28" t="e">
        <f ca="1">[1]!BexGetData("DP_1","003N8EMH8GTFRIVOG7KG9IX8U","GSON1112150962")</f>
        <v>#NAME?</v>
      </c>
      <c r="O1993" s="28" t="e">
        <f ca="1">[1]!BexGetData("DP_1","003N8EMH8GTFRIVOG7KG9J3KE","GSON1112150962")</f>
        <v>#NAME?</v>
      </c>
      <c r="P1993" s="28" t="e">
        <f ca="1">[1]!BexGetData("DP_1","003N8EMH8GTFRIVOG7KG9J9VY","GSON1112150962")</f>
        <v>#NAME?</v>
      </c>
      <c r="Q1993" s="23" t="e">
        <f ca="1">[1]!BexGetData("DP_1","00O2TNJGODT0G5Z4TTKYMM5MT","GSON1112150962")</f>
        <v>#NAME?</v>
      </c>
      <c r="R1993" s="23" t="e">
        <f ca="1">[1]!BexGetData("DP_1","00O2TNJGODT0G5Z4TTKYMMBYD","GSON1112150962")</f>
        <v>#NAME?</v>
      </c>
      <c r="S1993" s="23" t="e">
        <f ca="1">[1]!BexGetData("DP_1","00O2TNJGODT0G5Z4TTKYMMI9X","GSON1112150962")</f>
        <v>#NAME?</v>
      </c>
      <c r="T1993" s="28" t="e">
        <f ca="1">[1]!BexGetData("DP_1","00O2TNJGODT0G5Z4TTKYMMOLH","GSON1112150962")</f>
        <v>#NAME?</v>
      </c>
      <c r="U1993" s="23" t="e">
        <f ca="1">[1]!BexGetData("DP_1","00O2TNJGODT0G5Z4TTKYMMUX1","GSON1112150962")</f>
        <v>#NAME?</v>
      </c>
      <c r="V1993" s="28" t="e">
        <f ca="1">[1]!BexGetData("DP_1","00O2TNJGODT0G5Z4TTKYMN18L","GSON1112150962")</f>
        <v>#NAME?</v>
      </c>
      <c r="W1993" s="23" t="e">
        <f ca="1">[1]!BexGetData("DP_1","00O2TNJGODT0G5Z4TTKYMN7K5","GSON1112150962")</f>
        <v>#NAME?</v>
      </c>
    </row>
    <row r="1994" spans="1:23" x14ac:dyDescent="0.2">
      <c r="A1994" s="36" t="s">
        <v>4966</v>
      </c>
      <c r="B1994" s="27" t="s">
        <v>4967</v>
      </c>
      <c r="C1994" s="24" t="e">
        <f ca="1">[1]!BexGetData("DP_1","003N8EMH8GTFRCSWKMPXRR8GU","GSON1112150963")</f>
        <v>#NAME?</v>
      </c>
      <c r="D1994" s="24" t="e">
        <f ca="1">[1]!BexGetData("DP_1","003N8EMH8GTFRCSWKMPXRRESE","GSON1112150963")</f>
        <v>#NAME?</v>
      </c>
      <c r="E1994" s="24" t="e">
        <f ca="1">[1]!BexGetData("DP_1","003N8EMH8GTFRCSWKMPXRRL3Y","GSON1112150963")</f>
        <v>#NAME?</v>
      </c>
      <c r="F1994" s="28" t="e">
        <f ca="1">[1]!BexGetData("DP_1","003N8EMH8GTFRCSWKMPXRRRFI","GSON1112150963")</f>
        <v>#NAME?</v>
      </c>
      <c r="G1994" s="23" t="e">
        <f ca="1">[1]!BexGetData("DP_1","003N8EMH8GTFRCSWKMPXRRXR2","GSON1112150963")</f>
        <v>#NAME?</v>
      </c>
      <c r="H1994" s="23" t="e">
        <f ca="1">[1]!BexGetData("DP_1","003N8EMH8GTFRCSWKMPXRS42M","GSON1112150963")</f>
        <v>#NAME?</v>
      </c>
      <c r="I1994" s="28" t="e">
        <f ca="1">[1]!BexGetData("DP_1","003N8EMH8GTFRCSWKMPXRSAE6","GSON1112150963")</f>
        <v>#NAME?</v>
      </c>
      <c r="J1994" s="24" t="e">
        <f ca="1">[1]!BexGetData("DP_1","003N8EMH8GTFRCSWKMPXRSGPQ","GSON1112150963")</f>
        <v>#NAME?</v>
      </c>
      <c r="K1994" s="28" t="e">
        <f ca="1">[1]!BexGetData("DP_1","003N8EMH8GTFRIVNUPY288VJH","GSON1112150963")</f>
        <v>#NAME?</v>
      </c>
      <c r="L1994" s="28" t="e">
        <f ca="1">[1]!BexGetData("DP_1","003N8EMH8GTFRIVNUPY2891V1","GSON1112150963")</f>
        <v>#NAME?</v>
      </c>
      <c r="M1994" s="28" t="e">
        <f ca="1">[1]!BexGetData("DP_1","003N8EMH8GTFRIVOG7KG9IQXA","GSON1112150963")</f>
        <v>#NAME?</v>
      </c>
      <c r="N1994" s="28" t="e">
        <f ca="1">[1]!BexGetData("DP_1","003N8EMH8GTFRIVOG7KG9IX8U","GSON1112150963")</f>
        <v>#NAME?</v>
      </c>
      <c r="O1994" s="28" t="e">
        <f ca="1">[1]!BexGetData("DP_1","003N8EMH8GTFRIVOG7KG9J3KE","GSON1112150963")</f>
        <v>#NAME?</v>
      </c>
      <c r="P1994" s="28" t="e">
        <f ca="1">[1]!BexGetData("DP_1","003N8EMH8GTFRIVOG7KG9J9VY","GSON1112150963")</f>
        <v>#NAME?</v>
      </c>
      <c r="Q1994" s="24" t="e">
        <f ca="1">[1]!BexGetData("DP_1","00O2TNJGODT0G5Z4TTKYMM5MT","GSON1112150963")</f>
        <v>#NAME?</v>
      </c>
      <c r="R1994" s="28" t="e">
        <f ca="1">[1]!BexGetData("DP_1","00O2TNJGODT0G5Z4TTKYMMBYD","GSON1112150963")</f>
        <v>#NAME?</v>
      </c>
      <c r="S1994" s="28" t="e">
        <f ca="1">[1]!BexGetData("DP_1","00O2TNJGODT0G5Z4TTKYMMI9X","GSON1112150963")</f>
        <v>#NAME?</v>
      </c>
      <c r="T1994" s="28" t="e">
        <f ca="1">[1]!BexGetData("DP_1","00O2TNJGODT0G5Z4TTKYMMOLH","GSON1112150963")</f>
        <v>#NAME?</v>
      </c>
      <c r="U1994" s="28" t="e">
        <f ca="1">[1]!BexGetData("DP_1","00O2TNJGODT0G5Z4TTKYMMUX1","GSON1112150963")</f>
        <v>#NAME?</v>
      </c>
      <c r="V1994" s="28" t="e">
        <f ca="1">[1]!BexGetData("DP_1","00O2TNJGODT0G5Z4TTKYMN18L","GSON1112150963")</f>
        <v>#NAME?</v>
      </c>
      <c r="W1994" s="28" t="e">
        <f ca="1">[1]!BexGetData("DP_1","00O2TNJGODT0G5Z4TTKYMN7K5","GSON1112150963")</f>
        <v>#NAME?</v>
      </c>
    </row>
    <row r="1995" spans="1:23" x14ac:dyDescent="0.2">
      <c r="A1995" s="36" t="s">
        <v>4968</v>
      </c>
      <c r="B1995" s="27" t="s">
        <v>4969</v>
      </c>
      <c r="C1995" s="24" t="e">
        <f ca="1">[1]!BexGetData("DP_1","003N8EMH8GTFRCSWKMPXRR8GU","GSON1112150964")</f>
        <v>#NAME?</v>
      </c>
      <c r="D1995" s="24" t="e">
        <f ca="1">[1]!BexGetData("DP_1","003N8EMH8GTFRCSWKMPXRRESE","GSON1112150964")</f>
        <v>#NAME?</v>
      </c>
      <c r="E1995" s="24" t="e">
        <f ca="1">[1]!BexGetData("DP_1","003N8EMH8GTFRCSWKMPXRRL3Y","GSON1112150964")</f>
        <v>#NAME?</v>
      </c>
      <c r="F1995" s="28" t="e">
        <f ca="1">[1]!BexGetData("DP_1","003N8EMH8GTFRCSWKMPXRRRFI","GSON1112150964")</f>
        <v>#NAME?</v>
      </c>
      <c r="G1995" s="23" t="e">
        <f ca="1">[1]!BexGetData("DP_1","003N8EMH8GTFRCSWKMPXRRXR2","GSON1112150964")</f>
        <v>#NAME?</v>
      </c>
      <c r="H1995" s="23" t="e">
        <f ca="1">[1]!BexGetData("DP_1","003N8EMH8GTFRCSWKMPXRS42M","GSON1112150964")</f>
        <v>#NAME?</v>
      </c>
      <c r="I1995" s="28" t="e">
        <f ca="1">[1]!BexGetData("DP_1","003N8EMH8GTFRCSWKMPXRSAE6","GSON1112150964")</f>
        <v>#NAME?</v>
      </c>
      <c r="J1995" s="24" t="e">
        <f ca="1">[1]!BexGetData("DP_1","003N8EMH8GTFRCSWKMPXRSGPQ","GSON1112150964")</f>
        <v>#NAME?</v>
      </c>
      <c r="K1995" s="28" t="e">
        <f ca="1">[1]!BexGetData("DP_1","003N8EMH8GTFRIVNUPY288VJH","GSON1112150964")</f>
        <v>#NAME?</v>
      </c>
      <c r="L1995" s="28" t="e">
        <f ca="1">[1]!BexGetData("DP_1","003N8EMH8GTFRIVNUPY2891V1","GSON1112150964")</f>
        <v>#NAME?</v>
      </c>
      <c r="M1995" s="28" t="e">
        <f ca="1">[1]!BexGetData("DP_1","003N8EMH8GTFRIVOG7KG9IQXA","GSON1112150964")</f>
        <v>#NAME?</v>
      </c>
      <c r="N1995" s="28" t="e">
        <f ca="1">[1]!BexGetData("DP_1","003N8EMH8GTFRIVOG7KG9IX8U","GSON1112150964")</f>
        <v>#NAME?</v>
      </c>
      <c r="O1995" s="28" t="e">
        <f ca="1">[1]!BexGetData("DP_1","003N8EMH8GTFRIVOG7KG9J3KE","GSON1112150964")</f>
        <v>#NAME?</v>
      </c>
      <c r="P1995" s="28" t="e">
        <f ca="1">[1]!BexGetData("DP_1","003N8EMH8GTFRIVOG7KG9J9VY","GSON1112150964")</f>
        <v>#NAME?</v>
      </c>
      <c r="Q1995" s="24" t="e">
        <f ca="1">[1]!BexGetData("DP_1","00O2TNJGODT0G5Z4TTKYMM5MT","GSON1112150964")</f>
        <v>#NAME?</v>
      </c>
      <c r="R1995" s="28" t="e">
        <f ca="1">[1]!BexGetData("DP_1","00O2TNJGODT0G5Z4TTKYMMBYD","GSON1112150964")</f>
        <v>#NAME?</v>
      </c>
      <c r="S1995" s="28" t="e">
        <f ca="1">[1]!BexGetData("DP_1","00O2TNJGODT0G5Z4TTKYMMI9X","GSON1112150964")</f>
        <v>#NAME?</v>
      </c>
      <c r="T1995" s="28" t="e">
        <f ca="1">[1]!BexGetData("DP_1","00O2TNJGODT0G5Z4TTKYMMOLH","GSON1112150964")</f>
        <v>#NAME?</v>
      </c>
      <c r="U1995" s="28" t="e">
        <f ca="1">[1]!BexGetData("DP_1","00O2TNJGODT0G5Z4TTKYMMUX1","GSON1112150964")</f>
        <v>#NAME?</v>
      </c>
      <c r="V1995" s="28" t="e">
        <f ca="1">[1]!BexGetData("DP_1","00O2TNJGODT0G5Z4TTKYMN18L","GSON1112150964")</f>
        <v>#NAME?</v>
      </c>
      <c r="W1995" s="28" t="e">
        <f ca="1">[1]!BexGetData("DP_1","00O2TNJGODT0G5Z4TTKYMN7K5","GSON1112150964")</f>
        <v>#NAME?</v>
      </c>
    </row>
    <row r="1996" spans="1:23" x14ac:dyDescent="0.2">
      <c r="A1996" s="36" t="s">
        <v>4970</v>
      </c>
      <c r="B1996" s="27" t="s">
        <v>4971</v>
      </c>
      <c r="C1996" s="28" t="e">
        <f ca="1">[1]!BexGetData("DP_1","003N8EMH8GTFRCSWKMPXRR8GU","GSON1112150965")</f>
        <v>#NAME?</v>
      </c>
      <c r="D1996" s="28" t="e">
        <f ca="1">[1]!BexGetData("DP_1","003N8EMH8GTFRCSWKMPXRRESE","GSON1112150965")</f>
        <v>#NAME?</v>
      </c>
      <c r="E1996" s="28" t="e">
        <f ca="1">[1]!BexGetData("DP_1","003N8EMH8GTFRCSWKMPXRRL3Y","GSON1112150965")</f>
        <v>#NAME?</v>
      </c>
      <c r="F1996" s="28" t="e">
        <f ca="1">[1]!BexGetData("DP_1","003N8EMH8GTFRCSWKMPXRRRFI","GSON1112150965")</f>
        <v>#NAME?</v>
      </c>
      <c r="G1996" s="23" t="e">
        <f ca="1">[1]!BexGetData("DP_1","003N8EMH8GTFRCSWKMPXRRXR2","GSON1112150965")</f>
        <v>#NAME?</v>
      </c>
      <c r="H1996" s="23" t="e">
        <f ca="1">[1]!BexGetData("DP_1","003N8EMH8GTFRCSWKMPXRS42M","GSON1112150965")</f>
        <v>#NAME?</v>
      </c>
      <c r="I1996" s="28" t="e">
        <f ca="1">[1]!BexGetData("DP_1","003N8EMH8GTFRCSWKMPXRSAE6","GSON1112150965")</f>
        <v>#NAME?</v>
      </c>
      <c r="J1996" s="24" t="e">
        <f ca="1">[1]!BexGetData("DP_1","003N8EMH8GTFRCSWKMPXRSGPQ","GSON1112150965")</f>
        <v>#NAME?</v>
      </c>
      <c r="K1996" s="28" t="e">
        <f ca="1">[1]!BexGetData("DP_1","003N8EMH8GTFRIVNUPY288VJH","GSON1112150965")</f>
        <v>#NAME?</v>
      </c>
      <c r="L1996" s="28" t="e">
        <f ca="1">[1]!BexGetData("DP_1","003N8EMH8GTFRIVNUPY2891V1","GSON1112150965")</f>
        <v>#NAME?</v>
      </c>
      <c r="M1996" s="28" t="e">
        <f ca="1">[1]!BexGetData("DP_1","003N8EMH8GTFRIVOG7KG9IQXA","GSON1112150965")</f>
        <v>#NAME?</v>
      </c>
      <c r="N1996" s="28" t="e">
        <f ca="1">[1]!BexGetData("DP_1","003N8EMH8GTFRIVOG7KG9IX8U","GSON1112150965")</f>
        <v>#NAME?</v>
      </c>
      <c r="O1996" s="28" t="e">
        <f ca="1">[1]!BexGetData("DP_1","003N8EMH8GTFRIVOG7KG9J3KE","GSON1112150965")</f>
        <v>#NAME?</v>
      </c>
      <c r="P1996" s="28" t="e">
        <f ca="1">[1]!BexGetData("DP_1","003N8EMH8GTFRIVOG7KG9J9VY","GSON1112150965")</f>
        <v>#NAME?</v>
      </c>
      <c r="Q1996" s="24" t="e">
        <f ca="1">[1]!BexGetData("DP_1","00O2TNJGODT0G5Z4TTKYMM5MT","GSON1112150965")</f>
        <v>#NAME?</v>
      </c>
      <c r="R1996" s="28" t="e">
        <f ca="1">[1]!BexGetData("DP_1","00O2TNJGODT0G5Z4TTKYMMBYD","GSON1112150965")</f>
        <v>#NAME?</v>
      </c>
      <c r="S1996" s="28" t="e">
        <f ca="1">[1]!BexGetData("DP_1","00O2TNJGODT0G5Z4TTKYMMI9X","GSON1112150965")</f>
        <v>#NAME?</v>
      </c>
      <c r="T1996" s="28" t="e">
        <f ca="1">[1]!BexGetData("DP_1","00O2TNJGODT0G5Z4TTKYMMOLH","GSON1112150965")</f>
        <v>#NAME?</v>
      </c>
      <c r="U1996" s="28" t="e">
        <f ca="1">[1]!BexGetData("DP_1","00O2TNJGODT0G5Z4TTKYMMUX1","GSON1112150965")</f>
        <v>#NAME?</v>
      </c>
      <c r="V1996" s="28" t="e">
        <f ca="1">[1]!BexGetData("DP_1","00O2TNJGODT0G5Z4TTKYMN18L","GSON1112150965")</f>
        <v>#NAME?</v>
      </c>
      <c r="W1996" s="28" t="e">
        <f ca="1">[1]!BexGetData("DP_1","00O2TNJGODT0G5Z4TTKYMN7K5","GSON1112150965")</f>
        <v>#NAME?</v>
      </c>
    </row>
    <row r="1997" spans="1:23" x14ac:dyDescent="0.2">
      <c r="A1997" s="36" t="s">
        <v>4972</v>
      </c>
      <c r="B1997" s="27" t="s">
        <v>4973</v>
      </c>
      <c r="C1997" s="23" t="e">
        <f ca="1">[1]!BexGetData("DP_1","003N8EMH8GTFRCSWKMPXRR8GU","GSON1112150970")</f>
        <v>#NAME?</v>
      </c>
      <c r="D1997" s="28" t="e">
        <f ca="1">[1]!BexGetData("DP_1","003N8EMH8GTFRCSWKMPXRRESE","GSON1112150970")</f>
        <v>#NAME?</v>
      </c>
      <c r="E1997" s="23" t="e">
        <f ca="1">[1]!BexGetData("DP_1","003N8EMH8GTFRCSWKMPXRRL3Y","GSON1112150970")</f>
        <v>#NAME?</v>
      </c>
      <c r="F1997" s="23" t="e">
        <f ca="1">[1]!BexGetData("DP_1","003N8EMH8GTFRCSWKMPXRRRFI","GSON1112150970")</f>
        <v>#NAME?</v>
      </c>
      <c r="G1997" s="23" t="e">
        <f ca="1">[1]!BexGetData("DP_1","003N8EMH8GTFRCSWKMPXRRXR2","GSON1112150970")</f>
        <v>#NAME?</v>
      </c>
      <c r="H1997" s="23" t="e">
        <f ca="1">[1]!BexGetData("DP_1","003N8EMH8GTFRCSWKMPXRS42M","GSON1112150970")</f>
        <v>#NAME?</v>
      </c>
      <c r="I1997" s="23" t="e">
        <f ca="1">[1]!BexGetData("DP_1","003N8EMH8GTFRCSWKMPXRSAE6","GSON1112150970")</f>
        <v>#NAME?</v>
      </c>
      <c r="J1997" s="23" t="e">
        <f ca="1">[1]!BexGetData("DP_1","003N8EMH8GTFRCSWKMPXRSGPQ","GSON1112150970")</f>
        <v>#NAME?</v>
      </c>
      <c r="K1997" s="23" t="e">
        <f ca="1">[1]!BexGetData("DP_1","003N8EMH8GTFRIVNUPY288VJH","GSON1112150970")</f>
        <v>#NAME?</v>
      </c>
      <c r="L1997" s="23" t="e">
        <f ca="1">[1]!BexGetData("DP_1","003N8EMH8GTFRIVNUPY2891V1","GSON1112150970")</f>
        <v>#NAME?</v>
      </c>
      <c r="M1997" s="28" t="e">
        <f ca="1">[1]!BexGetData("DP_1","003N8EMH8GTFRIVOG7KG9IQXA","GSON1112150970")</f>
        <v>#NAME?</v>
      </c>
      <c r="N1997" s="23" t="e">
        <f ca="1">[1]!BexGetData("DP_1","003N8EMH8GTFRIVOG7KG9IX8U","GSON1112150970")</f>
        <v>#NAME?</v>
      </c>
      <c r="O1997" s="28" t="e">
        <f ca="1">[1]!BexGetData("DP_1","003N8EMH8GTFRIVOG7KG9J3KE","GSON1112150970")</f>
        <v>#NAME?</v>
      </c>
      <c r="P1997" s="23" t="e">
        <f ca="1">[1]!BexGetData("DP_1","003N8EMH8GTFRIVOG7KG9J9VY","GSON1112150970")</f>
        <v>#NAME?</v>
      </c>
      <c r="Q1997" s="23" t="e">
        <f ca="1">[1]!BexGetData("DP_1","00O2TNJGODT0G5Z4TTKYMM5MT","GSON1112150970")</f>
        <v>#NAME?</v>
      </c>
      <c r="R1997" s="23" t="e">
        <f ca="1">[1]!BexGetData("DP_1","00O2TNJGODT0G5Z4TTKYMMBYD","GSON1112150970")</f>
        <v>#NAME?</v>
      </c>
      <c r="S1997" s="23" t="e">
        <f ca="1">[1]!BexGetData("DP_1","00O2TNJGODT0G5Z4TTKYMMI9X","GSON1112150970")</f>
        <v>#NAME?</v>
      </c>
      <c r="T1997" s="23" t="e">
        <f ca="1">[1]!BexGetData("DP_1","00O2TNJGODT0G5Z4TTKYMMOLH","GSON1112150970")</f>
        <v>#NAME?</v>
      </c>
      <c r="U1997" s="28" t="e">
        <f ca="1">[1]!BexGetData("DP_1","00O2TNJGODT0G5Z4TTKYMMUX1","GSON1112150970")</f>
        <v>#NAME?</v>
      </c>
      <c r="V1997" s="23" t="e">
        <f ca="1">[1]!BexGetData("DP_1","00O2TNJGODT0G5Z4TTKYMN18L","GSON1112150970")</f>
        <v>#NAME?</v>
      </c>
      <c r="W1997" s="28" t="e">
        <f ca="1">[1]!BexGetData("DP_1","00O2TNJGODT0G5Z4TTKYMN7K5","GSON1112150970")</f>
        <v>#NAME?</v>
      </c>
    </row>
    <row r="1998" spans="1:23" x14ac:dyDescent="0.2">
      <c r="A1998" s="36" t="s">
        <v>4974</v>
      </c>
      <c r="B1998" s="27" t="s">
        <v>4975</v>
      </c>
      <c r="C1998" s="24" t="e">
        <f ca="1">[1]!BexGetData("DP_1","003N8EMH8GTFRCSWKMPXRR8GU","GSON1112150972")</f>
        <v>#NAME?</v>
      </c>
      <c r="D1998" s="24" t="e">
        <f ca="1">[1]!BexGetData("DP_1","003N8EMH8GTFRCSWKMPXRRESE","GSON1112150972")</f>
        <v>#NAME?</v>
      </c>
      <c r="E1998" s="24" t="e">
        <f ca="1">[1]!BexGetData("DP_1","003N8EMH8GTFRCSWKMPXRRL3Y","GSON1112150972")</f>
        <v>#NAME?</v>
      </c>
      <c r="F1998" s="28" t="e">
        <f ca="1">[1]!BexGetData("DP_1","003N8EMH8GTFRCSWKMPXRRRFI","GSON1112150972")</f>
        <v>#NAME?</v>
      </c>
      <c r="G1998" s="23" t="e">
        <f ca="1">[1]!BexGetData("DP_1","003N8EMH8GTFRCSWKMPXRRXR2","GSON1112150972")</f>
        <v>#NAME?</v>
      </c>
      <c r="H1998" s="23" t="e">
        <f ca="1">[1]!BexGetData("DP_1","003N8EMH8GTFRCSWKMPXRS42M","GSON1112150972")</f>
        <v>#NAME?</v>
      </c>
      <c r="I1998" s="28" t="e">
        <f ca="1">[1]!BexGetData("DP_1","003N8EMH8GTFRCSWKMPXRSAE6","GSON1112150972")</f>
        <v>#NAME?</v>
      </c>
      <c r="J1998" s="23" t="e">
        <f ca="1">[1]!BexGetData("DP_1","003N8EMH8GTFRCSWKMPXRSGPQ","GSON1112150972")</f>
        <v>#NAME?</v>
      </c>
      <c r="K1998" s="28" t="e">
        <f ca="1">[1]!BexGetData("DP_1","003N8EMH8GTFRIVNUPY288VJH","GSON1112150972")</f>
        <v>#NAME?</v>
      </c>
      <c r="L1998" s="28" t="e">
        <f ca="1">[1]!BexGetData("DP_1","003N8EMH8GTFRIVNUPY2891V1","GSON1112150972")</f>
        <v>#NAME?</v>
      </c>
      <c r="M1998" s="28" t="e">
        <f ca="1">[1]!BexGetData("DP_1","003N8EMH8GTFRIVOG7KG9IQXA","GSON1112150972")</f>
        <v>#NAME?</v>
      </c>
      <c r="N1998" s="28" t="e">
        <f ca="1">[1]!BexGetData("DP_1","003N8EMH8GTFRIVOG7KG9IX8U","GSON1112150972")</f>
        <v>#NAME?</v>
      </c>
      <c r="O1998" s="28" t="e">
        <f ca="1">[1]!BexGetData("DP_1","003N8EMH8GTFRIVOG7KG9J3KE","GSON1112150972")</f>
        <v>#NAME?</v>
      </c>
      <c r="P1998" s="28" t="e">
        <f ca="1">[1]!BexGetData("DP_1","003N8EMH8GTFRIVOG7KG9J9VY","GSON1112150972")</f>
        <v>#NAME?</v>
      </c>
      <c r="Q1998" s="23" t="e">
        <f ca="1">[1]!BexGetData("DP_1","00O2TNJGODT0G5Z4TTKYMM5MT","GSON1112150972")</f>
        <v>#NAME?</v>
      </c>
      <c r="R1998" s="23" t="e">
        <f ca="1">[1]!BexGetData("DP_1","00O2TNJGODT0G5Z4TTKYMMBYD","GSON1112150972")</f>
        <v>#NAME?</v>
      </c>
      <c r="S1998" s="23" t="e">
        <f ca="1">[1]!BexGetData("DP_1","00O2TNJGODT0G5Z4TTKYMMI9X","GSON1112150972")</f>
        <v>#NAME?</v>
      </c>
      <c r="T1998" s="28" t="e">
        <f ca="1">[1]!BexGetData("DP_1","00O2TNJGODT0G5Z4TTKYMMOLH","GSON1112150972")</f>
        <v>#NAME?</v>
      </c>
      <c r="U1998" s="23" t="e">
        <f ca="1">[1]!BexGetData("DP_1","00O2TNJGODT0G5Z4TTKYMMUX1","GSON1112150972")</f>
        <v>#NAME?</v>
      </c>
      <c r="V1998" s="28" t="e">
        <f ca="1">[1]!BexGetData("DP_1","00O2TNJGODT0G5Z4TTKYMN18L","GSON1112150972")</f>
        <v>#NAME?</v>
      </c>
      <c r="W1998" s="23" t="e">
        <f ca="1">[1]!BexGetData("DP_1","00O2TNJGODT0G5Z4TTKYMN7K5","GSON1112150972")</f>
        <v>#NAME?</v>
      </c>
    </row>
    <row r="1999" spans="1:23" x14ac:dyDescent="0.2">
      <c r="A1999" s="36" t="s">
        <v>4976</v>
      </c>
      <c r="B1999" s="27" t="s">
        <v>4977</v>
      </c>
      <c r="C1999" s="24" t="e">
        <f ca="1">[1]!BexGetData("DP_1","003N8EMH8GTFRCSWKMPXRR8GU","GSON1112150973")</f>
        <v>#NAME?</v>
      </c>
      <c r="D1999" s="24" t="e">
        <f ca="1">[1]!BexGetData("DP_1","003N8EMH8GTFRCSWKMPXRRESE","GSON1112150973")</f>
        <v>#NAME?</v>
      </c>
      <c r="E1999" s="24" t="e">
        <f ca="1">[1]!BexGetData("DP_1","003N8EMH8GTFRCSWKMPXRRL3Y","GSON1112150973")</f>
        <v>#NAME?</v>
      </c>
      <c r="F1999" s="28" t="e">
        <f ca="1">[1]!BexGetData("DP_1","003N8EMH8GTFRCSWKMPXRRRFI","GSON1112150973")</f>
        <v>#NAME?</v>
      </c>
      <c r="G1999" s="23" t="e">
        <f ca="1">[1]!BexGetData("DP_1","003N8EMH8GTFRCSWKMPXRRXR2","GSON1112150973")</f>
        <v>#NAME?</v>
      </c>
      <c r="H1999" s="23" t="e">
        <f ca="1">[1]!BexGetData("DP_1","003N8EMH8GTFRCSWKMPXRS42M","GSON1112150973")</f>
        <v>#NAME?</v>
      </c>
      <c r="I1999" s="28" t="e">
        <f ca="1">[1]!BexGetData("DP_1","003N8EMH8GTFRCSWKMPXRSAE6","GSON1112150973")</f>
        <v>#NAME?</v>
      </c>
      <c r="J1999" s="24" t="e">
        <f ca="1">[1]!BexGetData("DP_1","003N8EMH8GTFRCSWKMPXRSGPQ","GSON1112150973")</f>
        <v>#NAME?</v>
      </c>
      <c r="K1999" s="28" t="e">
        <f ca="1">[1]!BexGetData("DP_1","003N8EMH8GTFRIVNUPY288VJH","GSON1112150973")</f>
        <v>#NAME?</v>
      </c>
      <c r="L1999" s="28" t="e">
        <f ca="1">[1]!BexGetData("DP_1","003N8EMH8GTFRIVNUPY2891V1","GSON1112150973")</f>
        <v>#NAME?</v>
      </c>
      <c r="M1999" s="28" t="e">
        <f ca="1">[1]!BexGetData("DP_1","003N8EMH8GTFRIVOG7KG9IQXA","GSON1112150973")</f>
        <v>#NAME?</v>
      </c>
      <c r="N1999" s="28" t="e">
        <f ca="1">[1]!BexGetData("DP_1","003N8EMH8GTFRIVOG7KG9IX8U","GSON1112150973")</f>
        <v>#NAME?</v>
      </c>
      <c r="O1999" s="28" t="e">
        <f ca="1">[1]!BexGetData("DP_1","003N8EMH8GTFRIVOG7KG9J3KE","GSON1112150973")</f>
        <v>#NAME?</v>
      </c>
      <c r="P1999" s="28" t="e">
        <f ca="1">[1]!BexGetData("DP_1","003N8EMH8GTFRIVOG7KG9J9VY","GSON1112150973")</f>
        <v>#NAME?</v>
      </c>
      <c r="Q1999" s="24" t="e">
        <f ca="1">[1]!BexGetData("DP_1","00O2TNJGODT0G5Z4TTKYMM5MT","GSON1112150973")</f>
        <v>#NAME?</v>
      </c>
      <c r="R1999" s="28" t="e">
        <f ca="1">[1]!BexGetData("DP_1","00O2TNJGODT0G5Z4TTKYMMBYD","GSON1112150973")</f>
        <v>#NAME?</v>
      </c>
      <c r="S1999" s="28" t="e">
        <f ca="1">[1]!BexGetData("DP_1","00O2TNJGODT0G5Z4TTKYMMI9X","GSON1112150973")</f>
        <v>#NAME?</v>
      </c>
      <c r="T1999" s="28" t="e">
        <f ca="1">[1]!BexGetData("DP_1","00O2TNJGODT0G5Z4TTKYMMOLH","GSON1112150973")</f>
        <v>#NAME?</v>
      </c>
      <c r="U1999" s="28" t="e">
        <f ca="1">[1]!BexGetData("DP_1","00O2TNJGODT0G5Z4TTKYMMUX1","GSON1112150973")</f>
        <v>#NAME?</v>
      </c>
      <c r="V1999" s="28" t="e">
        <f ca="1">[1]!BexGetData("DP_1","00O2TNJGODT0G5Z4TTKYMN18L","GSON1112150973")</f>
        <v>#NAME?</v>
      </c>
      <c r="W1999" s="28" t="e">
        <f ca="1">[1]!BexGetData("DP_1","00O2TNJGODT0G5Z4TTKYMN7K5","GSON1112150973")</f>
        <v>#NAME?</v>
      </c>
    </row>
    <row r="2000" spans="1:23" x14ac:dyDescent="0.2">
      <c r="A2000" s="36" t="s">
        <v>4978</v>
      </c>
      <c r="B2000" s="27" t="s">
        <v>4979</v>
      </c>
      <c r="C2000" s="24" t="e">
        <f ca="1">[1]!BexGetData("DP_1","003N8EMH8GTFRCSWKMPXRR8GU","GSON1112150974")</f>
        <v>#NAME?</v>
      </c>
      <c r="D2000" s="24" t="e">
        <f ca="1">[1]!BexGetData("DP_1","003N8EMH8GTFRCSWKMPXRRESE","GSON1112150974")</f>
        <v>#NAME?</v>
      </c>
      <c r="E2000" s="24" t="e">
        <f ca="1">[1]!BexGetData("DP_1","003N8EMH8GTFRCSWKMPXRRL3Y","GSON1112150974")</f>
        <v>#NAME?</v>
      </c>
      <c r="F2000" s="28" t="e">
        <f ca="1">[1]!BexGetData("DP_1","003N8EMH8GTFRCSWKMPXRRRFI","GSON1112150974")</f>
        <v>#NAME?</v>
      </c>
      <c r="G2000" s="23" t="e">
        <f ca="1">[1]!BexGetData("DP_1","003N8EMH8GTFRCSWKMPXRRXR2","GSON1112150974")</f>
        <v>#NAME?</v>
      </c>
      <c r="H2000" s="23" t="e">
        <f ca="1">[1]!BexGetData("DP_1","003N8EMH8GTFRCSWKMPXRS42M","GSON1112150974")</f>
        <v>#NAME?</v>
      </c>
      <c r="I2000" s="28" t="e">
        <f ca="1">[1]!BexGetData("DP_1","003N8EMH8GTFRCSWKMPXRSAE6","GSON1112150974")</f>
        <v>#NAME?</v>
      </c>
      <c r="J2000" s="24" t="e">
        <f ca="1">[1]!BexGetData("DP_1","003N8EMH8GTFRCSWKMPXRSGPQ","GSON1112150974")</f>
        <v>#NAME?</v>
      </c>
      <c r="K2000" s="28" t="e">
        <f ca="1">[1]!BexGetData("DP_1","003N8EMH8GTFRIVNUPY288VJH","GSON1112150974")</f>
        <v>#NAME?</v>
      </c>
      <c r="L2000" s="28" t="e">
        <f ca="1">[1]!BexGetData("DP_1","003N8EMH8GTFRIVNUPY2891V1","GSON1112150974")</f>
        <v>#NAME?</v>
      </c>
      <c r="M2000" s="28" t="e">
        <f ca="1">[1]!BexGetData("DP_1","003N8EMH8GTFRIVOG7KG9IQXA","GSON1112150974")</f>
        <v>#NAME?</v>
      </c>
      <c r="N2000" s="28" t="e">
        <f ca="1">[1]!BexGetData("DP_1","003N8EMH8GTFRIVOG7KG9IX8U","GSON1112150974")</f>
        <v>#NAME?</v>
      </c>
      <c r="O2000" s="28" t="e">
        <f ca="1">[1]!BexGetData("DP_1","003N8EMH8GTFRIVOG7KG9J3KE","GSON1112150974")</f>
        <v>#NAME?</v>
      </c>
      <c r="P2000" s="28" t="e">
        <f ca="1">[1]!BexGetData("DP_1","003N8EMH8GTFRIVOG7KG9J9VY","GSON1112150974")</f>
        <v>#NAME?</v>
      </c>
      <c r="Q2000" s="24" t="e">
        <f ca="1">[1]!BexGetData("DP_1","00O2TNJGODT0G5Z4TTKYMM5MT","GSON1112150974")</f>
        <v>#NAME?</v>
      </c>
      <c r="R2000" s="28" t="e">
        <f ca="1">[1]!BexGetData("DP_1","00O2TNJGODT0G5Z4TTKYMMBYD","GSON1112150974")</f>
        <v>#NAME?</v>
      </c>
      <c r="S2000" s="28" t="e">
        <f ca="1">[1]!BexGetData("DP_1","00O2TNJGODT0G5Z4TTKYMMI9X","GSON1112150974")</f>
        <v>#NAME?</v>
      </c>
      <c r="T2000" s="28" t="e">
        <f ca="1">[1]!BexGetData("DP_1","00O2TNJGODT0G5Z4TTKYMMOLH","GSON1112150974")</f>
        <v>#NAME?</v>
      </c>
      <c r="U2000" s="28" t="e">
        <f ca="1">[1]!BexGetData("DP_1","00O2TNJGODT0G5Z4TTKYMMUX1","GSON1112150974")</f>
        <v>#NAME?</v>
      </c>
      <c r="V2000" s="28" t="e">
        <f ca="1">[1]!BexGetData("DP_1","00O2TNJGODT0G5Z4TTKYMN18L","GSON1112150974")</f>
        <v>#NAME?</v>
      </c>
      <c r="W2000" s="28" t="e">
        <f ca="1">[1]!BexGetData("DP_1","00O2TNJGODT0G5Z4TTKYMN7K5","GSON1112150974")</f>
        <v>#NAME?</v>
      </c>
    </row>
    <row r="2001" spans="1:23" x14ac:dyDescent="0.2">
      <c r="A2001" s="36" t="s">
        <v>4980</v>
      </c>
      <c r="B2001" s="27" t="s">
        <v>4981</v>
      </c>
      <c r="C2001" s="23" t="e">
        <f ca="1">[1]!BexGetData("DP_1","003N8EMH8GTFRCSWKMPXRR8GU","GSON1112150975")</f>
        <v>#NAME?</v>
      </c>
      <c r="D2001" s="23" t="e">
        <f ca="1">[1]!BexGetData("DP_1","003N8EMH8GTFRCSWKMPXRRESE","GSON1112150975")</f>
        <v>#NAME?</v>
      </c>
      <c r="E2001" s="28" t="e">
        <f ca="1">[1]!BexGetData("DP_1","003N8EMH8GTFRCSWKMPXRRL3Y","GSON1112150975")</f>
        <v>#NAME?</v>
      </c>
      <c r="F2001" s="28" t="e">
        <f ca="1">[1]!BexGetData("DP_1","003N8EMH8GTFRCSWKMPXRRRFI","GSON1112150975")</f>
        <v>#NAME?</v>
      </c>
      <c r="G2001" s="23" t="e">
        <f ca="1">[1]!BexGetData("DP_1","003N8EMH8GTFRCSWKMPXRRXR2","GSON1112150975")</f>
        <v>#NAME?</v>
      </c>
      <c r="H2001" s="23" t="e">
        <f ca="1">[1]!BexGetData("DP_1","003N8EMH8GTFRCSWKMPXRS42M","GSON1112150975")</f>
        <v>#NAME?</v>
      </c>
      <c r="I2001" s="28" t="e">
        <f ca="1">[1]!BexGetData("DP_1","003N8EMH8GTFRCSWKMPXRSAE6","GSON1112150975")</f>
        <v>#NAME?</v>
      </c>
      <c r="J2001" s="24" t="e">
        <f ca="1">[1]!BexGetData("DP_1","003N8EMH8GTFRCSWKMPXRSGPQ","GSON1112150975")</f>
        <v>#NAME?</v>
      </c>
      <c r="K2001" s="28" t="e">
        <f ca="1">[1]!BexGetData("DP_1","003N8EMH8GTFRIVNUPY288VJH","GSON1112150975")</f>
        <v>#NAME?</v>
      </c>
      <c r="L2001" s="28" t="e">
        <f ca="1">[1]!BexGetData("DP_1","003N8EMH8GTFRIVNUPY2891V1","GSON1112150975")</f>
        <v>#NAME?</v>
      </c>
      <c r="M2001" s="28" t="e">
        <f ca="1">[1]!BexGetData("DP_1","003N8EMH8GTFRIVOG7KG9IQXA","GSON1112150975")</f>
        <v>#NAME?</v>
      </c>
      <c r="N2001" s="28" t="e">
        <f ca="1">[1]!BexGetData("DP_1","003N8EMH8GTFRIVOG7KG9IX8U","GSON1112150975")</f>
        <v>#NAME?</v>
      </c>
      <c r="O2001" s="28" t="e">
        <f ca="1">[1]!BexGetData("DP_1","003N8EMH8GTFRIVOG7KG9J3KE","GSON1112150975")</f>
        <v>#NAME?</v>
      </c>
      <c r="P2001" s="28" t="e">
        <f ca="1">[1]!BexGetData("DP_1","003N8EMH8GTFRIVOG7KG9J9VY","GSON1112150975")</f>
        <v>#NAME?</v>
      </c>
      <c r="Q2001" s="24" t="e">
        <f ca="1">[1]!BexGetData("DP_1","00O2TNJGODT0G5Z4TTKYMM5MT","GSON1112150975")</f>
        <v>#NAME?</v>
      </c>
      <c r="R2001" s="28" t="e">
        <f ca="1">[1]!BexGetData("DP_1","00O2TNJGODT0G5Z4TTKYMMBYD","GSON1112150975")</f>
        <v>#NAME?</v>
      </c>
      <c r="S2001" s="28" t="e">
        <f ca="1">[1]!BexGetData("DP_1","00O2TNJGODT0G5Z4TTKYMMI9X","GSON1112150975")</f>
        <v>#NAME?</v>
      </c>
      <c r="T2001" s="28" t="e">
        <f ca="1">[1]!BexGetData("DP_1","00O2TNJGODT0G5Z4TTKYMMOLH","GSON1112150975")</f>
        <v>#NAME?</v>
      </c>
      <c r="U2001" s="28" t="e">
        <f ca="1">[1]!BexGetData("DP_1","00O2TNJGODT0G5Z4TTKYMMUX1","GSON1112150975")</f>
        <v>#NAME?</v>
      </c>
      <c r="V2001" s="28" t="e">
        <f ca="1">[1]!BexGetData("DP_1","00O2TNJGODT0G5Z4TTKYMN18L","GSON1112150975")</f>
        <v>#NAME?</v>
      </c>
      <c r="W2001" s="28" t="e">
        <f ca="1">[1]!BexGetData("DP_1","00O2TNJGODT0G5Z4TTKYMN7K5","GSON1112150975")</f>
        <v>#NAME?</v>
      </c>
    </row>
    <row r="2002" spans="1:23" x14ac:dyDescent="0.2">
      <c r="A2002" s="36" t="s">
        <v>4982</v>
      </c>
      <c r="B2002" s="27" t="s">
        <v>4983</v>
      </c>
      <c r="C2002" s="23" t="e">
        <f ca="1">[1]!BexGetData("DP_1","003N8EMH8GTFRCSWKMPXRR8GU","GSON1112150980")</f>
        <v>#NAME?</v>
      </c>
      <c r="D2002" s="23" t="e">
        <f ca="1">[1]!BexGetData("DP_1","003N8EMH8GTFRCSWKMPXRRESE","GSON1112150980")</f>
        <v>#NAME?</v>
      </c>
      <c r="E2002" s="28" t="e">
        <f ca="1">[1]!BexGetData("DP_1","003N8EMH8GTFRCSWKMPXRRL3Y","GSON1112150980")</f>
        <v>#NAME?</v>
      </c>
      <c r="F2002" s="23" t="e">
        <f ca="1">[1]!BexGetData("DP_1","003N8EMH8GTFRCSWKMPXRRRFI","GSON1112150980")</f>
        <v>#NAME?</v>
      </c>
      <c r="G2002" s="23" t="e">
        <f ca="1">[1]!BexGetData("DP_1","003N8EMH8GTFRCSWKMPXRRXR2","GSON1112150980")</f>
        <v>#NAME?</v>
      </c>
      <c r="H2002" s="23" t="e">
        <f ca="1">[1]!BexGetData("DP_1","003N8EMH8GTFRCSWKMPXRS42M","GSON1112150980")</f>
        <v>#NAME?</v>
      </c>
      <c r="I2002" s="23" t="e">
        <f ca="1">[1]!BexGetData("DP_1","003N8EMH8GTFRCSWKMPXRSAE6","GSON1112150980")</f>
        <v>#NAME?</v>
      </c>
      <c r="J2002" s="23" t="e">
        <f ca="1">[1]!BexGetData("DP_1","003N8EMH8GTFRCSWKMPXRSGPQ","GSON1112150980")</f>
        <v>#NAME?</v>
      </c>
      <c r="K2002" s="23" t="e">
        <f ca="1">[1]!BexGetData("DP_1","003N8EMH8GTFRIVNUPY288VJH","GSON1112150980")</f>
        <v>#NAME?</v>
      </c>
      <c r="L2002" s="23" t="e">
        <f ca="1">[1]!BexGetData("DP_1","003N8EMH8GTFRIVNUPY2891V1","GSON1112150980")</f>
        <v>#NAME?</v>
      </c>
      <c r="M2002" s="23" t="e">
        <f ca="1">[1]!BexGetData("DP_1","003N8EMH8GTFRIVOG7KG9IQXA","GSON1112150980")</f>
        <v>#NAME?</v>
      </c>
      <c r="N2002" s="28" t="e">
        <f ca="1">[1]!BexGetData("DP_1","003N8EMH8GTFRIVOG7KG9IX8U","GSON1112150980")</f>
        <v>#NAME?</v>
      </c>
      <c r="O2002" s="23" t="e">
        <f ca="1">[1]!BexGetData("DP_1","003N8EMH8GTFRIVOG7KG9J3KE","GSON1112150980")</f>
        <v>#NAME?</v>
      </c>
      <c r="P2002" s="28" t="e">
        <f ca="1">[1]!BexGetData("DP_1","003N8EMH8GTFRIVOG7KG9J9VY","GSON1112150980")</f>
        <v>#NAME?</v>
      </c>
      <c r="Q2002" s="23" t="e">
        <f ca="1">[1]!BexGetData("DP_1","00O2TNJGODT0G5Z4TTKYMM5MT","GSON1112150980")</f>
        <v>#NAME?</v>
      </c>
      <c r="R2002" s="23" t="e">
        <f ca="1">[1]!BexGetData("DP_1","00O2TNJGODT0G5Z4TTKYMMBYD","GSON1112150980")</f>
        <v>#NAME?</v>
      </c>
      <c r="S2002" s="23" t="e">
        <f ca="1">[1]!BexGetData("DP_1","00O2TNJGODT0G5Z4TTKYMMI9X","GSON1112150980")</f>
        <v>#NAME?</v>
      </c>
      <c r="T2002" s="23" t="e">
        <f ca="1">[1]!BexGetData("DP_1","00O2TNJGODT0G5Z4TTKYMMOLH","GSON1112150980")</f>
        <v>#NAME?</v>
      </c>
      <c r="U2002" s="28" t="e">
        <f ca="1">[1]!BexGetData("DP_1","00O2TNJGODT0G5Z4TTKYMMUX1","GSON1112150980")</f>
        <v>#NAME?</v>
      </c>
      <c r="V2002" s="23" t="e">
        <f ca="1">[1]!BexGetData("DP_1","00O2TNJGODT0G5Z4TTKYMN18L","GSON1112150980")</f>
        <v>#NAME?</v>
      </c>
      <c r="W2002" s="28" t="e">
        <f ca="1">[1]!BexGetData("DP_1","00O2TNJGODT0G5Z4TTKYMN7K5","GSON1112150980")</f>
        <v>#NAME?</v>
      </c>
    </row>
    <row r="2003" spans="1:23" x14ac:dyDescent="0.2">
      <c r="A2003" s="36" t="s">
        <v>4984</v>
      </c>
      <c r="B2003" s="27" t="s">
        <v>4985</v>
      </c>
      <c r="C2003" s="23" t="e">
        <f ca="1">[1]!BexGetData("DP_1","003N8EMH8GTFRCSWKMPXRR8GU","GSON1112150982")</f>
        <v>#NAME?</v>
      </c>
      <c r="D2003" s="23" t="e">
        <f ca="1">[1]!BexGetData("DP_1","003N8EMH8GTFRCSWKMPXRRESE","GSON1112150982")</f>
        <v>#NAME?</v>
      </c>
      <c r="E2003" s="28" t="e">
        <f ca="1">[1]!BexGetData("DP_1","003N8EMH8GTFRCSWKMPXRRL3Y","GSON1112150982")</f>
        <v>#NAME?</v>
      </c>
      <c r="F2003" s="28" t="e">
        <f ca="1">[1]!BexGetData("DP_1","003N8EMH8GTFRCSWKMPXRRRFI","GSON1112150982")</f>
        <v>#NAME?</v>
      </c>
      <c r="G2003" s="23" t="e">
        <f ca="1">[1]!BexGetData("DP_1","003N8EMH8GTFRCSWKMPXRRXR2","GSON1112150982")</f>
        <v>#NAME?</v>
      </c>
      <c r="H2003" s="23" t="e">
        <f ca="1">[1]!BexGetData("DP_1","003N8EMH8GTFRCSWKMPXRS42M","GSON1112150982")</f>
        <v>#NAME?</v>
      </c>
      <c r="I2003" s="28" t="e">
        <f ca="1">[1]!BexGetData("DP_1","003N8EMH8GTFRCSWKMPXRSAE6","GSON1112150982")</f>
        <v>#NAME?</v>
      </c>
      <c r="J2003" s="23" t="e">
        <f ca="1">[1]!BexGetData("DP_1","003N8EMH8GTFRCSWKMPXRSGPQ","GSON1112150982")</f>
        <v>#NAME?</v>
      </c>
      <c r="K2003" s="28" t="e">
        <f ca="1">[1]!BexGetData("DP_1","003N8EMH8GTFRIVNUPY288VJH","GSON1112150982")</f>
        <v>#NAME?</v>
      </c>
      <c r="L2003" s="28" t="e">
        <f ca="1">[1]!BexGetData("DP_1","003N8EMH8GTFRIVNUPY2891V1","GSON1112150982")</f>
        <v>#NAME?</v>
      </c>
      <c r="M2003" s="28" t="e">
        <f ca="1">[1]!BexGetData("DP_1","003N8EMH8GTFRIVOG7KG9IQXA","GSON1112150982")</f>
        <v>#NAME?</v>
      </c>
      <c r="N2003" s="28" t="e">
        <f ca="1">[1]!BexGetData("DP_1","003N8EMH8GTFRIVOG7KG9IX8U","GSON1112150982")</f>
        <v>#NAME?</v>
      </c>
      <c r="O2003" s="28" t="e">
        <f ca="1">[1]!BexGetData("DP_1","003N8EMH8GTFRIVOG7KG9J3KE","GSON1112150982")</f>
        <v>#NAME?</v>
      </c>
      <c r="P2003" s="28" t="e">
        <f ca="1">[1]!BexGetData("DP_1","003N8EMH8GTFRIVOG7KG9J9VY","GSON1112150982")</f>
        <v>#NAME?</v>
      </c>
      <c r="Q2003" s="23" t="e">
        <f ca="1">[1]!BexGetData("DP_1","00O2TNJGODT0G5Z4TTKYMM5MT","GSON1112150982")</f>
        <v>#NAME?</v>
      </c>
      <c r="R2003" s="23" t="e">
        <f ca="1">[1]!BexGetData("DP_1","00O2TNJGODT0G5Z4TTKYMMBYD","GSON1112150982")</f>
        <v>#NAME?</v>
      </c>
      <c r="S2003" s="23" t="e">
        <f ca="1">[1]!BexGetData("DP_1","00O2TNJGODT0G5Z4TTKYMMI9X","GSON1112150982")</f>
        <v>#NAME?</v>
      </c>
      <c r="T2003" s="28" t="e">
        <f ca="1">[1]!BexGetData("DP_1","00O2TNJGODT0G5Z4TTKYMMOLH","GSON1112150982")</f>
        <v>#NAME?</v>
      </c>
      <c r="U2003" s="23" t="e">
        <f ca="1">[1]!BexGetData("DP_1","00O2TNJGODT0G5Z4TTKYMMUX1","GSON1112150982")</f>
        <v>#NAME?</v>
      </c>
      <c r="V2003" s="28" t="e">
        <f ca="1">[1]!BexGetData("DP_1","00O2TNJGODT0G5Z4TTKYMN18L","GSON1112150982")</f>
        <v>#NAME?</v>
      </c>
      <c r="W2003" s="23" t="e">
        <f ca="1">[1]!BexGetData("DP_1","00O2TNJGODT0G5Z4TTKYMN7K5","GSON1112150982")</f>
        <v>#NAME?</v>
      </c>
    </row>
    <row r="2004" spans="1:23" x14ac:dyDescent="0.2">
      <c r="A2004" s="36" t="s">
        <v>4986</v>
      </c>
      <c r="B2004" s="27" t="s">
        <v>4987</v>
      </c>
      <c r="C2004" s="23" t="e">
        <f ca="1">[1]!BexGetData("DP_1","003N8EMH8GTFRCSWKMPXRR8GU","GSON1112150983")</f>
        <v>#NAME?</v>
      </c>
      <c r="D2004" s="23" t="e">
        <f ca="1">[1]!BexGetData("DP_1","003N8EMH8GTFRCSWKMPXRRESE","GSON1112150983")</f>
        <v>#NAME?</v>
      </c>
      <c r="E2004" s="28" t="e">
        <f ca="1">[1]!BexGetData("DP_1","003N8EMH8GTFRCSWKMPXRRL3Y","GSON1112150983")</f>
        <v>#NAME?</v>
      </c>
      <c r="F2004" s="24" t="e">
        <f ca="1">[1]!BexGetData("DP_1","003N8EMH8GTFRCSWKMPXRRRFI","GSON1112150983")</f>
        <v>#NAME?</v>
      </c>
      <c r="G2004" s="24" t="e">
        <f ca="1">[1]!BexGetData("DP_1","003N8EMH8GTFRCSWKMPXRRXR2","GSON1112150983")</f>
        <v>#NAME?</v>
      </c>
      <c r="H2004" s="24" t="e">
        <f ca="1">[1]!BexGetData("DP_1","003N8EMH8GTFRCSWKMPXRS42M","GSON1112150983")</f>
        <v>#NAME?</v>
      </c>
      <c r="I2004" s="24" t="e">
        <f ca="1">[1]!BexGetData("DP_1","003N8EMH8GTFRCSWKMPXRSAE6","GSON1112150983")</f>
        <v>#NAME?</v>
      </c>
      <c r="J2004" s="24" t="e">
        <f ca="1">[1]!BexGetData("DP_1","003N8EMH8GTFRCSWKMPXRSGPQ","GSON1112150983")</f>
        <v>#NAME?</v>
      </c>
      <c r="K2004" s="28" t="e">
        <f ca="1">[1]!BexGetData("DP_1","003N8EMH8GTFRIVNUPY288VJH","GSON1112150983")</f>
        <v>#NAME?</v>
      </c>
      <c r="L2004" s="28" t="e">
        <f ca="1">[1]!BexGetData("DP_1","003N8EMH8GTFRIVNUPY2891V1","GSON1112150983")</f>
        <v>#NAME?</v>
      </c>
      <c r="M2004" s="28" t="e">
        <f ca="1">[1]!BexGetData("DP_1","003N8EMH8GTFRIVOG7KG9IQXA","GSON1112150983")</f>
        <v>#NAME?</v>
      </c>
      <c r="N2004" s="28" t="e">
        <f ca="1">[1]!BexGetData("DP_1","003N8EMH8GTFRIVOG7KG9IX8U","GSON1112150983")</f>
        <v>#NAME?</v>
      </c>
      <c r="O2004" s="28" t="e">
        <f ca="1">[1]!BexGetData("DP_1","003N8EMH8GTFRIVOG7KG9J3KE","GSON1112150983")</f>
        <v>#NAME?</v>
      </c>
      <c r="P2004" s="28" t="e">
        <f ca="1">[1]!BexGetData("DP_1","003N8EMH8GTFRIVOG7KG9J9VY","GSON1112150983")</f>
        <v>#NAME?</v>
      </c>
      <c r="Q2004" s="24" t="e">
        <f ca="1">[1]!BexGetData("DP_1","00O2TNJGODT0G5Z4TTKYMM5MT","GSON1112150983")</f>
        <v>#NAME?</v>
      </c>
      <c r="R2004" s="24" t="e">
        <f ca="1">[1]!BexGetData("DP_1","00O2TNJGODT0G5Z4TTKYMMBYD","GSON1112150983")</f>
        <v>#NAME?</v>
      </c>
      <c r="S2004" s="24" t="e">
        <f ca="1">[1]!BexGetData("DP_1","00O2TNJGODT0G5Z4TTKYMMI9X","GSON1112150983")</f>
        <v>#NAME?</v>
      </c>
      <c r="T2004" s="24" t="e">
        <f ca="1">[1]!BexGetData("DP_1","00O2TNJGODT0G5Z4TTKYMMOLH","GSON1112150983")</f>
        <v>#NAME?</v>
      </c>
      <c r="U2004" s="24" t="e">
        <f ca="1">[1]!BexGetData("DP_1","00O2TNJGODT0G5Z4TTKYMMUX1","GSON1112150983")</f>
        <v>#NAME?</v>
      </c>
      <c r="V2004" s="24" t="e">
        <f ca="1">[1]!BexGetData("DP_1","00O2TNJGODT0G5Z4TTKYMN18L","GSON1112150983")</f>
        <v>#NAME?</v>
      </c>
      <c r="W2004" s="24" t="e">
        <f ca="1">[1]!BexGetData("DP_1","00O2TNJGODT0G5Z4TTKYMN7K5","GSON1112150983")</f>
        <v>#NAME?</v>
      </c>
    </row>
    <row r="2005" spans="1:23" x14ac:dyDescent="0.2">
      <c r="A2005" s="36" t="s">
        <v>4988</v>
      </c>
      <c r="B2005" s="27" t="s">
        <v>4989</v>
      </c>
      <c r="C2005" s="24" t="e">
        <f ca="1">[1]!BexGetData("DP_1","003N8EMH8GTFRCSWKMPXRR8GU","GSON1112150984")</f>
        <v>#NAME?</v>
      </c>
      <c r="D2005" s="24" t="e">
        <f ca="1">[1]!BexGetData("DP_1","003N8EMH8GTFRCSWKMPXRRESE","GSON1112150984")</f>
        <v>#NAME?</v>
      </c>
      <c r="E2005" s="24" t="e">
        <f ca="1">[1]!BexGetData("DP_1","003N8EMH8GTFRCSWKMPXRRL3Y","GSON1112150984")</f>
        <v>#NAME?</v>
      </c>
      <c r="F2005" s="28" t="e">
        <f ca="1">[1]!BexGetData("DP_1","003N8EMH8GTFRCSWKMPXRRRFI","GSON1112150984")</f>
        <v>#NAME?</v>
      </c>
      <c r="G2005" s="23" t="e">
        <f ca="1">[1]!BexGetData("DP_1","003N8EMH8GTFRCSWKMPXRRXR2","GSON1112150984")</f>
        <v>#NAME?</v>
      </c>
      <c r="H2005" s="23" t="e">
        <f ca="1">[1]!BexGetData("DP_1","003N8EMH8GTFRCSWKMPXRS42M","GSON1112150984")</f>
        <v>#NAME?</v>
      </c>
      <c r="I2005" s="28" t="e">
        <f ca="1">[1]!BexGetData("DP_1","003N8EMH8GTFRCSWKMPXRSAE6","GSON1112150984")</f>
        <v>#NAME?</v>
      </c>
      <c r="J2005" s="24" t="e">
        <f ca="1">[1]!BexGetData("DP_1","003N8EMH8GTFRCSWKMPXRSGPQ","GSON1112150984")</f>
        <v>#NAME?</v>
      </c>
      <c r="K2005" s="28" t="e">
        <f ca="1">[1]!BexGetData("DP_1","003N8EMH8GTFRIVNUPY288VJH","GSON1112150984")</f>
        <v>#NAME?</v>
      </c>
      <c r="L2005" s="28" t="e">
        <f ca="1">[1]!BexGetData("DP_1","003N8EMH8GTFRIVNUPY2891V1","GSON1112150984")</f>
        <v>#NAME?</v>
      </c>
      <c r="M2005" s="28" t="e">
        <f ca="1">[1]!BexGetData("DP_1","003N8EMH8GTFRIVOG7KG9IQXA","GSON1112150984")</f>
        <v>#NAME?</v>
      </c>
      <c r="N2005" s="28" t="e">
        <f ca="1">[1]!BexGetData("DP_1","003N8EMH8GTFRIVOG7KG9IX8U","GSON1112150984")</f>
        <v>#NAME?</v>
      </c>
      <c r="O2005" s="28" t="e">
        <f ca="1">[1]!BexGetData("DP_1","003N8EMH8GTFRIVOG7KG9J3KE","GSON1112150984")</f>
        <v>#NAME?</v>
      </c>
      <c r="P2005" s="28" t="e">
        <f ca="1">[1]!BexGetData("DP_1","003N8EMH8GTFRIVOG7KG9J9VY","GSON1112150984")</f>
        <v>#NAME?</v>
      </c>
      <c r="Q2005" s="24" t="e">
        <f ca="1">[1]!BexGetData("DP_1","00O2TNJGODT0G5Z4TTKYMM5MT","GSON1112150984")</f>
        <v>#NAME?</v>
      </c>
      <c r="R2005" s="28" t="e">
        <f ca="1">[1]!BexGetData("DP_1","00O2TNJGODT0G5Z4TTKYMMBYD","GSON1112150984")</f>
        <v>#NAME?</v>
      </c>
      <c r="S2005" s="28" t="e">
        <f ca="1">[1]!BexGetData("DP_1","00O2TNJGODT0G5Z4TTKYMMI9X","GSON1112150984")</f>
        <v>#NAME?</v>
      </c>
      <c r="T2005" s="28" t="e">
        <f ca="1">[1]!BexGetData("DP_1","00O2TNJGODT0G5Z4TTKYMMOLH","GSON1112150984")</f>
        <v>#NAME?</v>
      </c>
      <c r="U2005" s="28" t="e">
        <f ca="1">[1]!BexGetData("DP_1","00O2TNJGODT0G5Z4TTKYMMUX1","GSON1112150984")</f>
        <v>#NAME?</v>
      </c>
      <c r="V2005" s="28" t="e">
        <f ca="1">[1]!BexGetData("DP_1","00O2TNJGODT0G5Z4TTKYMN18L","GSON1112150984")</f>
        <v>#NAME?</v>
      </c>
      <c r="W2005" s="28" t="e">
        <f ca="1">[1]!BexGetData("DP_1","00O2TNJGODT0G5Z4TTKYMN7K5","GSON1112150984")</f>
        <v>#NAME?</v>
      </c>
    </row>
    <row r="2006" spans="1:23" x14ac:dyDescent="0.2">
      <c r="A2006" s="36" t="s">
        <v>4990</v>
      </c>
      <c r="B2006" s="27" t="s">
        <v>4991</v>
      </c>
      <c r="C2006" s="23" t="e">
        <f ca="1">[1]!BexGetData("DP_1","003N8EMH8GTFRCSWKMPXRR8GU","GSON1112150985")</f>
        <v>#NAME?</v>
      </c>
      <c r="D2006" s="23" t="e">
        <f ca="1">[1]!BexGetData("DP_1","003N8EMH8GTFRCSWKMPXRRESE","GSON1112150985")</f>
        <v>#NAME?</v>
      </c>
      <c r="E2006" s="28" t="e">
        <f ca="1">[1]!BexGetData("DP_1","003N8EMH8GTFRCSWKMPXRRL3Y","GSON1112150985")</f>
        <v>#NAME?</v>
      </c>
      <c r="F2006" s="28" t="e">
        <f ca="1">[1]!BexGetData("DP_1","003N8EMH8GTFRCSWKMPXRRRFI","GSON1112150985")</f>
        <v>#NAME?</v>
      </c>
      <c r="G2006" s="23" t="e">
        <f ca="1">[1]!BexGetData("DP_1","003N8EMH8GTFRCSWKMPXRRXR2","GSON1112150985")</f>
        <v>#NAME?</v>
      </c>
      <c r="H2006" s="23" t="e">
        <f ca="1">[1]!BexGetData("DP_1","003N8EMH8GTFRCSWKMPXRS42M","GSON1112150985")</f>
        <v>#NAME?</v>
      </c>
      <c r="I2006" s="28" t="e">
        <f ca="1">[1]!BexGetData("DP_1","003N8EMH8GTFRCSWKMPXRSAE6","GSON1112150985")</f>
        <v>#NAME?</v>
      </c>
      <c r="J2006" s="24" t="e">
        <f ca="1">[1]!BexGetData("DP_1","003N8EMH8GTFRCSWKMPXRSGPQ","GSON1112150985")</f>
        <v>#NAME?</v>
      </c>
      <c r="K2006" s="28" t="e">
        <f ca="1">[1]!BexGetData("DP_1","003N8EMH8GTFRIVNUPY288VJH","GSON1112150985")</f>
        <v>#NAME?</v>
      </c>
      <c r="L2006" s="28" t="e">
        <f ca="1">[1]!BexGetData("DP_1","003N8EMH8GTFRIVNUPY2891V1","GSON1112150985")</f>
        <v>#NAME?</v>
      </c>
      <c r="M2006" s="28" t="e">
        <f ca="1">[1]!BexGetData("DP_1","003N8EMH8GTFRIVOG7KG9IQXA","GSON1112150985")</f>
        <v>#NAME?</v>
      </c>
      <c r="N2006" s="28" t="e">
        <f ca="1">[1]!BexGetData("DP_1","003N8EMH8GTFRIVOG7KG9IX8U","GSON1112150985")</f>
        <v>#NAME?</v>
      </c>
      <c r="O2006" s="28" t="e">
        <f ca="1">[1]!BexGetData("DP_1","003N8EMH8GTFRIVOG7KG9J3KE","GSON1112150985")</f>
        <v>#NAME?</v>
      </c>
      <c r="P2006" s="28" t="e">
        <f ca="1">[1]!BexGetData("DP_1","003N8EMH8GTFRIVOG7KG9J9VY","GSON1112150985")</f>
        <v>#NAME?</v>
      </c>
      <c r="Q2006" s="24" t="e">
        <f ca="1">[1]!BexGetData("DP_1","00O2TNJGODT0G5Z4TTKYMM5MT","GSON1112150985")</f>
        <v>#NAME?</v>
      </c>
      <c r="R2006" s="28" t="e">
        <f ca="1">[1]!BexGetData("DP_1","00O2TNJGODT0G5Z4TTKYMMBYD","GSON1112150985")</f>
        <v>#NAME?</v>
      </c>
      <c r="S2006" s="28" t="e">
        <f ca="1">[1]!BexGetData("DP_1","00O2TNJGODT0G5Z4TTKYMMI9X","GSON1112150985")</f>
        <v>#NAME?</v>
      </c>
      <c r="T2006" s="28" t="e">
        <f ca="1">[1]!BexGetData("DP_1","00O2TNJGODT0G5Z4TTKYMMOLH","GSON1112150985")</f>
        <v>#NAME?</v>
      </c>
      <c r="U2006" s="28" t="e">
        <f ca="1">[1]!BexGetData("DP_1","00O2TNJGODT0G5Z4TTKYMMUX1","GSON1112150985")</f>
        <v>#NAME?</v>
      </c>
      <c r="V2006" s="28" t="e">
        <f ca="1">[1]!BexGetData("DP_1","00O2TNJGODT0G5Z4TTKYMN18L","GSON1112150985")</f>
        <v>#NAME?</v>
      </c>
      <c r="W2006" s="28" t="e">
        <f ca="1">[1]!BexGetData("DP_1","00O2TNJGODT0G5Z4TTKYMN7K5","GSON1112150985")</f>
        <v>#NAME?</v>
      </c>
    </row>
    <row r="2007" spans="1:23" x14ac:dyDescent="0.2">
      <c r="A2007" s="36" t="s">
        <v>1184</v>
      </c>
      <c r="B2007" s="27" t="s">
        <v>1185</v>
      </c>
      <c r="C2007" s="23" t="e">
        <f ca="1">[1]!BexGetData("DP_1","003N8EMH8GTFRCSWKMPXRR8GU","GSON1112151000")</f>
        <v>#NAME?</v>
      </c>
      <c r="D2007" s="23" t="e">
        <f ca="1">[1]!BexGetData("DP_1","003N8EMH8GTFRCSWKMPXRRESE","GSON1112151000")</f>
        <v>#NAME?</v>
      </c>
      <c r="E2007" s="23" t="e">
        <f ca="1">[1]!BexGetData("DP_1","003N8EMH8GTFRCSWKMPXRRL3Y","GSON1112151000")</f>
        <v>#NAME?</v>
      </c>
      <c r="F2007" s="23" t="e">
        <f ca="1">[1]!BexGetData("DP_1","003N8EMH8GTFRCSWKMPXRRRFI","GSON1112151000")</f>
        <v>#NAME?</v>
      </c>
      <c r="G2007" s="23" t="e">
        <f ca="1">[1]!BexGetData("DP_1","003N8EMH8GTFRCSWKMPXRRXR2","GSON1112151000")</f>
        <v>#NAME?</v>
      </c>
      <c r="H2007" s="23" t="e">
        <f ca="1">[1]!BexGetData("DP_1","003N8EMH8GTFRCSWKMPXRS42M","GSON1112151000")</f>
        <v>#NAME?</v>
      </c>
      <c r="I2007" s="23" t="e">
        <f ca="1">[1]!BexGetData("DP_1","003N8EMH8GTFRCSWKMPXRSAE6","GSON1112151000")</f>
        <v>#NAME?</v>
      </c>
      <c r="J2007" s="23" t="e">
        <f ca="1">[1]!BexGetData("DP_1","003N8EMH8GTFRCSWKMPXRSGPQ","GSON1112151000")</f>
        <v>#NAME?</v>
      </c>
      <c r="K2007" s="23" t="e">
        <f ca="1">[1]!BexGetData("DP_1","003N8EMH8GTFRIVNUPY288VJH","GSON1112151000")</f>
        <v>#NAME?</v>
      </c>
      <c r="L2007" s="23" t="e">
        <f ca="1">[1]!BexGetData("DP_1","003N8EMH8GTFRIVNUPY2891V1","GSON1112151000")</f>
        <v>#NAME?</v>
      </c>
      <c r="M2007" s="23" t="e">
        <f ca="1">[1]!BexGetData("DP_1","003N8EMH8GTFRIVOG7KG9IQXA","GSON1112151000")</f>
        <v>#NAME?</v>
      </c>
      <c r="N2007" s="28" t="e">
        <f ca="1">[1]!BexGetData("DP_1","003N8EMH8GTFRIVOG7KG9IX8U","GSON1112151000")</f>
        <v>#NAME?</v>
      </c>
      <c r="O2007" s="23" t="e">
        <f ca="1">[1]!BexGetData("DP_1","003N8EMH8GTFRIVOG7KG9J3KE","GSON1112151000")</f>
        <v>#NAME?</v>
      </c>
      <c r="P2007" s="28" t="e">
        <f ca="1">[1]!BexGetData("DP_1","003N8EMH8GTFRIVOG7KG9J9VY","GSON1112151000")</f>
        <v>#NAME?</v>
      </c>
      <c r="Q2007" s="23" t="e">
        <f ca="1">[1]!BexGetData("DP_1","00O2TNJGODT0G5Z4TTKYMM5MT","GSON1112151000")</f>
        <v>#NAME?</v>
      </c>
      <c r="R2007" s="23" t="e">
        <f ca="1">[1]!BexGetData("DP_1","00O2TNJGODT0G5Z4TTKYMMBYD","GSON1112151000")</f>
        <v>#NAME?</v>
      </c>
      <c r="S2007" s="23" t="e">
        <f ca="1">[1]!BexGetData("DP_1","00O2TNJGODT0G5Z4TTKYMMI9X","GSON1112151000")</f>
        <v>#NAME?</v>
      </c>
      <c r="T2007" s="23" t="e">
        <f ca="1">[1]!BexGetData("DP_1","00O2TNJGODT0G5Z4TTKYMMOLH","GSON1112151000")</f>
        <v>#NAME?</v>
      </c>
      <c r="U2007" s="28" t="e">
        <f ca="1">[1]!BexGetData("DP_1","00O2TNJGODT0G5Z4TTKYMMUX1","GSON1112151000")</f>
        <v>#NAME?</v>
      </c>
      <c r="V2007" s="23" t="e">
        <f ca="1">[1]!BexGetData("DP_1","00O2TNJGODT0G5Z4TTKYMN18L","GSON1112151000")</f>
        <v>#NAME?</v>
      </c>
      <c r="W2007" s="28" t="e">
        <f ca="1">[1]!BexGetData("DP_1","00O2TNJGODT0G5Z4TTKYMN7K5","GSON1112151000")</f>
        <v>#NAME?</v>
      </c>
    </row>
    <row r="2008" spans="1:23" x14ac:dyDescent="0.2">
      <c r="A2008" s="36" t="s">
        <v>1186</v>
      </c>
      <c r="B2008" s="27" t="s">
        <v>1187</v>
      </c>
      <c r="C2008" s="23" t="e">
        <f ca="1">[1]!BexGetData("DP_1","003N8EMH8GTFRCSWKMPXRR8GU","GSON1112151001")</f>
        <v>#NAME?</v>
      </c>
      <c r="D2008" s="23" t="e">
        <f ca="1">[1]!BexGetData("DP_1","003N8EMH8GTFRCSWKMPXRRESE","GSON1112151001")</f>
        <v>#NAME?</v>
      </c>
      <c r="E2008" s="28" t="e">
        <f ca="1">[1]!BexGetData("DP_1","003N8EMH8GTFRCSWKMPXRRL3Y","GSON1112151001")</f>
        <v>#NAME?</v>
      </c>
      <c r="F2008" s="28" t="e">
        <f ca="1">[1]!BexGetData("DP_1","003N8EMH8GTFRCSWKMPXRRRFI","GSON1112151001")</f>
        <v>#NAME?</v>
      </c>
      <c r="G2008" s="23" t="e">
        <f ca="1">[1]!BexGetData("DP_1","003N8EMH8GTFRCSWKMPXRRXR2","GSON1112151001")</f>
        <v>#NAME?</v>
      </c>
      <c r="H2008" s="23" t="e">
        <f ca="1">[1]!BexGetData("DP_1","003N8EMH8GTFRCSWKMPXRS42M","GSON1112151001")</f>
        <v>#NAME?</v>
      </c>
      <c r="I2008" s="28" t="e">
        <f ca="1">[1]!BexGetData("DP_1","003N8EMH8GTFRCSWKMPXRSAE6","GSON1112151001")</f>
        <v>#NAME?</v>
      </c>
      <c r="J2008" s="24" t="e">
        <f ca="1">[1]!BexGetData("DP_1","003N8EMH8GTFRCSWKMPXRSGPQ","GSON1112151001")</f>
        <v>#NAME?</v>
      </c>
      <c r="K2008" s="28" t="e">
        <f ca="1">[1]!BexGetData("DP_1","003N8EMH8GTFRIVNUPY288VJH","GSON1112151001")</f>
        <v>#NAME?</v>
      </c>
      <c r="L2008" s="28" t="e">
        <f ca="1">[1]!BexGetData("DP_1","003N8EMH8GTFRIVNUPY2891V1","GSON1112151001")</f>
        <v>#NAME?</v>
      </c>
      <c r="M2008" s="28" t="e">
        <f ca="1">[1]!BexGetData("DP_1","003N8EMH8GTFRIVOG7KG9IQXA","GSON1112151001")</f>
        <v>#NAME?</v>
      </c>
      <c r="N2008" s="28" t="e">
        <f ca="1">[1]!BexGetData("DP_1","003N8EMH8GTFRIVOG7KG9IX8U","GSON1112151001")</f>
        <v>#NAME?</v>
      </c>
      <c r="O2008" s="28" t="e">
        <f ca="1">[1]!BexGetData("DP_1","003N8EMH8GTFRIVOG7KG9J3KE","GSON1112151001")</f>
        <v>#NAME?</v>
      </c>
      <c r="P2008" s="28" t="e">
        <f ca="1">[1]!BexGetData("DP_1","003N8EMH8GTFRIVOG7KG9J9VY","GSON1112151001")</f>
        <v>#NAME?</v>
      </c>
      <c r="Q2008" s="24" t="e">
        <f ca="1">[1]!BexGetData("DP_1","00O2TNJGODT0G5Z4TTKYMM5MT","GSON1112151001")</f>
        <v>#NAME?</v>
      </c>
      <c r="R2008" s="28" t="e">
        <f ca="1">[1]!BexGetData("DP_1","00O2TNJGODT0G5Z4TTKYMMBYD","GSON1112151001")</f>
        <v>#NAME?</v>
      </c>
      <c r="S2008" s="28" t="e">
        <f ca="1">[1]!BexGetData("DP_1","00O2TNJGODT0G5Z4TTKYMMI9X","GSON1112151001")</f>
        <v>#NAME?</v>
      </c>
      <c r="T2008" s="28" t="e">
        <f ca="1">[1]!BexGetData("DP_1","00O2TNJGODT0G5Z4TTKYMMOLH","GSON1112151001")</f>
        <v>#NAME?</v>
      </c>
      <c r="U2008" s="28" t="e">
        <f ca="1">[1]!BexGetData("DP_1","00O2TNJGODT0G5Z4TTKYMMUX1","GSON1112151001")</f>
        <v>#NAME?</v>
      </c>
      <c r="V2008" s="28" t="e">
        <f ca="1">[1]!BexGetData("DP_1","00O2TNJGODT0G5Z4TTKYMN18L","GSON1112151001")</f>
        <v>#NAME?</v>
      </c>
      <c r="W2008" s="28" t="e">
        <f ca="1">[1]!BexGetData("DP_1","00O2TNJGODT0G5Z4TTKYMN7K5","GSON1112151001")</f>
        <v>#NAME?</v>
      </c>
    </row>
    <row r="2009" spans="1:23" x14ac:dyDescent="0.2">
      <c r="A2009" s="36" t="s">
        <v>4992</v>
      </c>
      <c r="B2009" s="27" t="s">
        <v>4993</v>
      </c>
      <c r="C2009" s="23" t="e">
        <f ca="1">[1]!BexGetData("DP_1","003N8EMH8GTFRCSWKMPXRR8GU","GSON1112151002")</f>
        <v>#NAME?</v>
      </c>
      <c r="D2009" s="23" t="e">
        <f ca="1">[1]!BexGetData("DP_1","003N8EMH8GTFRCSWKMPXRRESE","GSON1112151002")</f>
        <v>#NAME?</v>
      </c>
      <c r="E2009" s="28" t="e">
        <f ca="1">[1]!BexGetData("DP_1","003N8EMH8GTFRCSWKMPXRRL3Y","GSON1112151002")</f>
        <v>#NAME?</v>
      </c>
      <c r="F2009" s="28" t="e">
        <f ca="1">[1]!BexGetData("DP_1","003N8EMH8GTFRCSWKMPXRRRFI","GSON1112151002")</f>
        <v>#NAME?</v>
      </c>
      <c r="G2009" s="23" t="e">
        <f ca="1">[1]!BexGetData("DP_1","003N8EMH8GTFRCSWKMPXRRXR2","GSON1112151002")</f>
        <v>#NAME?</v>
      </c>
      <c r="H2009" s="23" t="e">
        <f ca="1">[1]!BexGetData("DP_1","003N8EMH8GTFRCSWKMPXRS42M","GSON1112151002")</f>
        <v>#NAME?</v>
      </c>
      <c r="I2009" s="28" t="e">
        <f ca="1">[1]!BexGetData("DP_1","003N8EMH8GTFRCSWKMPXRSAE6","GSON1112151002")</f>
        <v>#NAME?</v>
      </c>
      <c r="J2009" s="23" t="e">
        <f ca="1">[1]!BexGetData("DP_1","003N8EMH8GTFRCSWKMPXRSGPQ","GSON1112151002")</f>
        <v>#NAME?</v>
      </c>
      <c r="K2009" s="28" t="e">
        <f ca="1">[1]!BexGetData("DP_1","003N8EMH8GTFRIVNUPY288VJH","GSON1112151002")</f>
        <v>#NAME?</v>
      </c>
      <c r="L2009" s="28" t="e">
        <f ca="1">[1]!BexGetData("DP_1","003N8EMH8GTFRIVNUPY2891V1","GSON1112151002")</f>
        <v>#NAME?</v>
      </c>
      <c r="M2009" s="28" t="e">
        <f ca="1">[1]!BexGetData("DP_1","003N8EMH8GTFRIVOG7KG9IQXA","GSON1112151002")</f>
        <v>#NAME?</v>
      </c>
      <c r="N2009" s="28" t="e">
        <f ca="1">[1]!BexGetData("DP_1","003N8EMH8GTFRIVOG7KG9IX8U","GSON1112151002")</f>
        <v>#NAME?</v>
      </c>
      <c r="O2009" s="28" t="e">
        <f ca="1">[1]!BexGetData("DP_1","003N8EMH8GTFRIVOG7KG9J3KE","GSON1112151002")</f>
        <v>#NAME?</v>
      </c>
      <c r="P2009" s="28" t="e">
        <f ca="1">[1]!BexGetData("DP_1","003N8EMH8GTFRIVOG7KG9J9VY","GSON1112151002")</f>
        <v>#NAME?</v>
      </c>
      <c r="Q2009" s="23" t="e">
        <f ca="1">[1]!BexGetData("DP_1","00O2TNJGODT0G5Z4TTKYMM5MT","GSON1112151002")</f>
        <v>#NAME?</v>
      </c>
      <c r="R2009" s="23" t="e">
        <f ca="1">[1]!BexGetData("DP_1","00O2TNJGODT0G5Z4TTKYMMBYD","GSON1112151002")</f>
        <v>#NAME?</v>
      </c>
      <c r="S2009" s="23" t="e">
        <f ca="1">[1]!BexGetData("DP_1","00O2TNJGODT0G5Z4TTKYMMI9X","GSON1112151002")</f>
        <v>#NAME?</v>
      </c>
      <c r="T2009" s="28" t="e">
        <f ca="1">[1]!BexGetData("DP_1","00O2TNJGODT0G5Z4TTKYMMOLH","GSON1112151002")</f>
        <v>#NAME?</v>
      </c>
      <c r="U2009" s="23" t="e">
        <f ca="1">[1]!BexGetData("DP_1","00O2TNJGODT0G5Z4TTKYMMUX1","GSON1112151002")</f>
        <v>#NAME?</v>
      </c>
      <c r="V2009" s="28" t="e">
        <f ca="1">[1]!BexGetData("DP_1","00O2TNJGODT0G5Z4TTKYMN18L","GSON1112151002")</f>
        <v>#NAME?</v>
      </c>
      <c r="W2009" s="23" t="e">
        <f ca="1">[1]!BexGetData("DP_1","00O2TNJGODT0G5Z4TTKYMN7K5","GSON1112151002")</f>
        <v>#NAME?</v>
      </c>
    </row>
    <row r="2010" spans="1:23" x14ac:dyDescent="0.2">
      <c r="A2010" s="36" t="s">
        <v>4994</v>
      </c>
      <c r="B2010" s="27" t="s">
        <v>4995</v>
      </c>
      <c r="C2010" s="23" t="e">
        <f ca="1">[1]!BexGetData("DP_1","003N8EMH8GTFRCSWKMPXRR8GU","GSON1112151003")</f>
        <v>#NAME?</v>
      </c>
      <c r="D2010" s="23" t="e">
        <f ca="1">[1]!BexGetData("DP_1","003N8EMH8GTFRCSWKMPXRRESE","GSON1112151003")</f>
        <v>#NAME?</v>
      </c>
      <c r="E2010" s="28" t="e">
        <f ca="1">[1]!BexGetData("DP_1","003N8EMH8GTFRCSWKMPXRRL3Y","GSON1112151003")</f>
        <v>#NAME?</v>
      </c>
      <c r="F2010" s="28" t="e">
        <f ca="1">[1]!BexGetData("DP_1","003N8EMH8GTFRCSWKMPXRRRFI","GSON1112151003")</f>
        <v>#NAME?</v>
      </c>
      <c r="G2010" s="23" t="e">
        <f ca="1">[1]!BexGetData("DP_1","003N8EMH8GTFRCSWKMPXRRXR2","GSON1112151003")</f>
        <v>#NAME?</v>
      </c>
      <c r="H2010" s="23" t="e">
        <f ca="1">[1]!BexGetData("DP_1","003N8EMH8GTFRCSWKMPXRS42M","GSON1112151003")</f>
        <v>#NAME?</v>
      </c>
      <c r="I2010" s="28" t="e">
        <f ca="1">[1]!BexGetData("DP_1","003N8EMH8GTFRCSWKMPXRSAE6","GSON1112151003")</f>
        <v>#NAME?</v>
      </c>
      <c r="J2010" s="24" t="e">
        <f ca="1">[1]!BexGetData("DP_1","003N8EMH8GTFRCSWKMPXRSGPQ","GSON1112151003")</f>
        <v>#NAME?</v>
      </c>
      <c r="K2010" s="28" t="e">
        <f ca="1">[1]!BexGetData("DP_1","003N8EMH8GTFRIVNUPY288VJH","GSON1112151003")</f>
        <v>#NAME?</v>
      </c>
      <c r="L2010" s="28" t="e">
        <f ca="1">[1]!BexGetData("DP_1","003N8EMH8GTFRIVNUPY2891V1","GSON1112151003")</f>
        <v>#NAME?</v>
      </c>
      <c r="M2010" s="28" t="e">
        <f ca="1">[1]!BexGetData("DP_1","003N8EMH8GTFRIVOG7KG9IQXA","GSON1112151003")</f>
        <v>#NAME?</v>
      </c>
      <c r="N2010" s="28" t="e">
        <f ca="1">[1]!BexGetData("DP_1","003N8EMH8GTFRIVOG7KG9IX8U","GSON1112151003")</f>
        <v>#NAME?</v>
      </c>
      <c r="O2010" s="28" t="e">
        <f ca="1">[1]!BexGetData("DP_1","003N8EMH8GTFRIVOG7KG9J3KE","GSON1112151003")</f>
        <v>#NAME?</v>
      </c>
      <c r="P2010" s="28" t="e">
        <f ca="1">[1]!BexGetData("DP_1","003N8EMH8GTFRIVOG7KG9J9VY","GSON1112151003")</f>
        <v>#NAME?</v>
      </c>
      <c r="Q2010" s="24" t="e">
        <f ca="1">[1]!BexGetData("DP_1","00O2TNJGODT0G5Z4TTKYMM5MT","GSON1112151003")</f>
        <v>#NAME?</v>
      </c>
      <c r="R2010" s="28" t="e">
        <f ca="1">[1]!BexGetData("DP_1","00O2TNJGODT0G5Z4TTKYMMBYD","GSON1112151003")</f>
        <v>#NAME?</v>
      </c>
      <c r="S2010" s="28" t="e">
        <f ca="1">[1]!BexGetData("DP_1","00O2TNJGODT0G5Z4TTKYMMI9X","GSON1112151003")</f>
        <v>#NAME?</v>
      </c>
      <c r="T2010" s="28" t="e">
        <f ca="1">[1]!BexGetData("DP_1","00O2TNJGODT0G5Z4TTKYMMOLH","GSON1112151003")</f>
        <v>#NAME?</v>
      </c>
      <c r="U2010" s="28" t="e">
        <f ca="1">[1]!BexGetData("DP_1","00O2TNJGODT0G5Z4TTKYMMUX1","GSON1112151003")</f>
        <v>#NAME?</v>
      </c>
      <c r="V2010" s="28" t="e">
        <f ca="1">[1]!BexGetData("DP_1","00O2TNJGODT0G5Z4TTKYMN18L","GSON1112151003")</f>
        <v>#NAME?</v>
      </c>
      <c r="W2010" s="28" t="e">
        <f ca="1">[1]!BexGetData("DP_1","00O2TNJGODT0G5Z4TTKYMN7K5","GSON1112151003")</f>
        <v>#NAME?</v>
      </c>
    </row>
    <row r="2011" spans="1:23" x14ac:dyDescent="0.2">
      <c r="A2011" s="36" t="s">
        <v>4996</v>
      </c>
      <c r="B2011" s="27" t="s">
        <v>4997</v>
      </c>
      <c r="C2011" s="24" t="e">
        <f ca="1">[1]!BexGetData("DP_1","003N8EMH8GTFRCSWKMPXRR8GU","GSON1112151004")</f>
        <v>#NAME?</v>
      </c>
      <c r="D2011" s="24" t="e">
        <f ca="1">[1]!BexGetData("DP_1","003N8EMH8GTFRCSWKMPXRRESE","GSON1112151004")</f>
        <v>#NAME?</v>
      </c>
      <c r="E2011" s="24" t="e">
        <f ca="1">[1]!BexGetData("DP_1","003N8EMH8GTFRCSWKMPXRRL3Y","GSON1112151004")</f>
        <v>#NAME?</v>
      </c>
      <c r="F2011" s="28" t="e">
        <f ca="1">[1]!BexGetData("DP_1","003N8EMH8GTFRCSWKMPXRRRFI","GSON1112151004")</f>
        <v>#NAME?</v>
      </c>
      <c r="G2011" s="23" t="e">
        <f ca="1">[1]!BexGetData("DP_1","003N8EMH8GTFRCSWKMPXRRXR2","GSON1112151004")</f>
        <v>#NAME?</v>
      </c>
      <c r="H2011" s="23" t="e">
        <f ca="1">[1]!BexGetData("DP_1","003N8EMH8GTFRCSWKMPXRS42M","GSON1112151004")</f>
        <v>#NAME?</v>
      </c>
      <c r="I2011" s="28" t="e">
        <f ca="1">[1]!BexGetData("DP_1","003N8EMH8GTFRCSWKMPXRSAE6","GSON1112151004")</f>
        <v>#NAME?</v>
      </c>
      <c r="J2011" s="24" t="e">
        <f ca="1">[1]!BexGetData("DP_1","003N8EMH8GTFRCSWKMPXRSGPQ","GSON1112151004")</f>
        <v>#NAME?</v>
      </c>
      <c r="K2011" s="28" t="e">
        <f ca="1">[1]!BexGetData("DP_1","003N8EMH8GTFRIVNUPY288VJH","GSON1112151004")</f>
        <v>#NAME?</v>
      </c>
      <c r="L2011" s="28" t="e">
        <f ca="1">[1]!BexGetData("DP_1","003N8EMH8GTFRIVNUPY2891V1","GSON1112151004")</f>
        <v>#NAME?</v>
      </c>
      <c r="M2011" s="28" t="e">
        <f ca="1">[1]!BexGetData("DP_1","003N8EMH8GTFRIVOG7KG9IQXA","GSON1112151004")</f>
        <v>#NAME?</v>
      </c>
      <c r="N2011" s="28" t="e">
        <f ca="1">[1]!BexGetData("DP_1","003N8EMH8GTFRIVOG7KG9IX8U","GSON1112151004")</f>
        <v>#NAME?</v>
      </c>
      <c r="O2011" s="28" t="e">
        <f ca="1">[1]!BexGetData("DP_1","003N8EMH8GTFRIVOG7KG9J3KE","GSON1112151004")</f>
        <v>#NAME?</v>
      </c>
      <c r="P2011" s="28" t="e">
        <f ca="1">[1]!BexGetData("DP_1","003N8EMH8GTFRIVOG7KG9J9VY","GSON1112151004")</f>
        <v>#NAME?</v>
      </c>
      <c r="Q2011" s="24" t="e">
        <f ca="1">[1]!BexGetData("DP_1","00O2TNJGODT0G5Z4TTKYMM5MT","GSON1112151004")</f>
        <v>#NAME?</v>
      </c>
      <c r="R2011" s="28" t="e">
        <f ca="1">[1]!BexGetData("DP_1","00O2TNJGODT0G5Z4TTKYMMBYD","GSON1112151004")</f>
        <v>#NAME?</v>
      </c>
      <c r="S2011" s="28" t="e">
        <f ca="1">[1]!BexGetData("DP_1","00O2TNJGODT0G5Z4TTKYMMI9X","GSON1112151004")</f>
        <v>#NAME?</v>
      </c>
      <c r="T2011" s="28" t="e">
        <f ca="1">[1]!BexGetData("DP_1","00O2TNJGODT0G5Z4TTKYMMOLH","GSON1112151004")</f>
        <v>#NAME?</v>
      </c>
      <c r="U2011" s="28" t="e">
        <f ca="1">[1]!BexGetData("DP_1","00O2TNJGODT0G5Z4TTKYMMUX1","GSON1112151004")</f>
        <v>#NAME?</v>
      </c>
      <c r="V2011" s="28" t="e">
        <f ca="1">[1]!BexGetData("DP_1","00O2TNJGODT0G5Z4TTKYMN18L","GSON1112151004")</f>
        <v>#NAME?</v>
      </c>
      <c r="W2011" s="28" t="e">
        <f ca="1">[1]!BexGetData("DP_1","00O2TNJGODT0G5Z4TTKYMN7K5","GSON1112151004")</f>
        <v>#NAME?</v>
      </c>
    </row>
    <row r="2012" spans="1:23" x14ac:dyDescent="0.2">
      <c r="A2012" s="36" t="s">
        <v>4998</v>
      </c>
      <c r="B2012" s="27" t="s">
        <v>4999</v>
      </c>
      <c r="C2012" s="23" t="e">
        <f ca="1">[1]!BexGetData("DP_1","003N8EMH8GTFRCSWKMPXRR8GU","GSON1112151005")</f>
        <v>#NAME?</v>
      </c>
      <c r="D2012" s="23" t="e">
        <f ca="1">[1]!BexGetData("DP_1","003N8EMH8GTFRCSWKMPXRRESE","GSON1112151005")</f>
        <v>#NAME?</v>
      </c>
      <c r="E2012" s="28" t="e">
        <f ca="1">[1]!BexGetData("DP_1","003N8EMH8GTFRCSWKMPXRRL3Y","GSON1112151005")</f>
        <v>#NAME?</v>
      </c>
      <c r="F2012" s="28" t="e">
        <f ca="1">[1]!BexGetData("DP_1","003N8EMH8GTFRCSWKMPXRRRFI","GSON1112151005")</f>
        <v>#NAME?</v>
      </c>
      <c r="G2012" s="23" t="e">
        <f ca="1">[1]!BexGetData("DP_1","003N8EMH8GTFRCSWKMPXRRXR2","GSON1112151005")</f>
        <v>#NAME?</v>
      </c>
      <c r="H2012" s="23" t="e">
        <f ca="1">[1]!BexGetData("DP_1","003N8EMH8GTFRCSWKMPXRS42M","GSON1112151005")</f>
        <v>#NAME?</v>
      </c>
      <c r="I2012" s="28" t="e">
        <f ca="1">[1]!BexGetData("DP_1","003N8EMH8GTFRCSWKMPXRSAE6","GSON1112151005")</f>
        <v>#NAME?</v>
      </c>
      <c r="J2012" s="24" t="e">
        <f ca="1">[1]!BexGetData("DP_1","003N8EMH8GTFRCSWKMPXRSGPQ","GSON1112151005")</f>
        <v>#NAME?</v>
      </c>
      <c r="K2012" s="28" t="e">
        <f ca="1">[1]!BexGetData("DP_1","003N8EMH8GTFRIVNUPY288VJH","GSON1112151005")</f>
        <v>#NAME?</v>
      </c>
      <c r="L2012" s="28" t="e">
        <f ca="1">[1]!BexGetData("DP_1","003N8EMH8GTFRIVNUPY2891V1","GSON1112151005")</f>
        <v>#NAME?</v>
      </c>
      <c r="M2012" s="28" t="e">
        <f ca="1">[1]!BexGetData("DP_1","003N8EMH8GTFRIVOG7KG9IQXA","GSON1112151005")</f>
        <v>#NAME?</v>
      </c>
      <c r="N2012" s="28" t="e">
        <f ca="1">[1]!BexGetData("DP_1","003N8EMH8GTFRIVOG7KG9IX8U","GSON1112151005")</f>
        <v>#NAME?</v>
      </c>
      <c r="O2012" s="28" t="e">
        <f ca="1">[1]!BexGetData("DP_1","003N8EMH8GTFRIVOG7KG9J3KE","GSON1112151005")</f>
        <v>#NAME?</v>
      </c>
      <c r="P2012" s="28" t="e">
        <f ca="1">[1]!BexGetData("DP_1","003N8EMH8GTFRIVOG7KG9J9VY","GSON1112151005")</f>
        <v>#NAME?</v>
      </c>
      <c r="Q2012" s="24" t="e">
        <f ca="1">[1]!BexGetData("DP_1","00O2TNJGODT0G5Z4TTKYMM5MT","GSON1112151005")</f>
        <v>#NAME?</v>
      </c>
      <c r="R2012" s="28" t="e">
        <f ca="1">[1]!BexGetData("DP_1","00O2TNJGODT0G5Z4TTKYMMBYD","GSON1112151005")</f>
        <v>#NAME?</v>
      </c>
      <c r="S2012" s="28" t="e">
        <f ca="1">[1]!BexGetData("DP_1","00O2TNJGODT0G5Z4TTKYMMI9X","GSON1112151005")</f>
        <v>#NAME?</v>
      </c>
      <c r="T2012" s="28" t="e">
        <f ca="1">[1]!BexGetData("DP_1","00O2TNJGODT0G5Z4TTKYMMOLH","GSON1112151005")</f>
        <v>#NAME?</v>
      </c>
      <c r="U2012" s="28" t="e">
        <f ca="1">[1]!BexGetData("DP_1","00O2TNJGODT0G5Z4TTKYMMUX1","GSON1112151005")</f>
        <v>#NAME?</v>
      </c>
      <c r="V2012" s="28" t="e">
        <f ca="1">[1]!BexGetData("DP_1","00O2TNJGODT0G5Z4TTKYMN18L","GSON1112151005")</f>
        <v>#NAME?</v>
      </c>
      <c r="W2012" s="28" t="e">
        <f ca="1">[1]!BexGetData("DP_1","00O2TNJGODT0G5Z4TTKYMN7K5","GSON1112151005")</f>
        <v>#NAME?</v>
      </c>
    </row>
    <row r="2013" spans="1:23" x14ac:dyDescent="0.2">
      <c r="A2013" s="36" t="s">
        <v>5000</v>
      </c>
      <c r="B2013" s="27" t="s">
        <v>5001</v>
      </c>
      <c r="C2013" s="23" t="e">
        <f ca="1">[1]!BexGetData("DP_1","003N8EMH8GTFRCSWKMPXRR8GU","GSON1112151010")</f>
        <v>#NAME?</v>
      </c>
      <c r="D2013" s="23" t="e">
        <f ca="1">[1]!BexGetData("DP_1","003N8EMH8GTFRCSWKMPXRRESE","GSON1112151010")</f>
        <v>#NAME?</v>
      </c>
      <c r="E2013" s="23" t="e">
        <f ca="1">[1]!BexGetData("DP_1","003N8EMH8GTFRCSWKMPXRRL3Y","GSON1112151010")</f>
        <v>#NAME?</v>
      </c>
      <c r="F2013" s="23" t="e">
        <f ca="1">[1]!BexGetData("DP_1","003N8EMH8GTFRCSWKMPXRRRFI","GSON1112151010")</f>
        <v>#NAME?</v>
      </c>
      <c r="G2013" s="23" t="e">
        <f ca="1">[1]!BexGetData("DP_1","003N8EMH8GTFRCSWKMPXRRXR2","GSON1112151010")</f>
        <v>#NAME?</v>
      </c>
      <c r="H2013" s="23" t="e">
        <f ca="1">[1]!BexGetData("DP_1","003N8EMH8GTFRCSWKMPXRS42M","GSON1112151010")</f>
        <v>#NAME?</v>
      </c>
      <c r="I2013" s="23" t="e">
        <f ca="1">[1]!BexGetData("DP_1","003N8EMH8GTFRCSWKMPXRSAE6","GSON1112151010")</f>
        <v>#NAME?</v>
      </c>
      <c r="J2013" s="23" t="e">
        <f ca="1">[1]!BexGetData("DP_1","003N8EMH8GTFRCSWKMPXRSGPQ","GSON1112151010")</f>
        <v>#NAME?</v>
      </c>
      <c r="K2013" s="23" t="e">
        <f ca="1">[1]!BexGetData("DP_1","003N8EMH8GTFRIVNUPY288VJH","GSON1112151010")</f>
        <v>#NAME?</v>
      </c>
      <c r="L2013" s="23" t="e">
        <f ca="1">[1]!BexGetData("DP_1","003N8EMH8GTFRIVNUPY2891V1","GSON1112151010")</f>
        <v>#NAME?</v>
      </c>
      <c r="M2013" s="23" t="e">
        <f ca="1">[1]!BexGetData("DP_1","003N8EMH8GTFRIVOG7KG9IQXA","GSON1112151010")</f>
        <v>#NAME?</v>
      </c>
      <c r="N2013" s="28" t="e">
        <f ca="1">[1]!BexGetData("DP_1","003N8EMH8GTFRIVOG7KG9IX8U","GSON1112151010")</f>
        <v>#NAME?</v>
      </c>
      <c r="O2013" s="23" t="e">
        <f ca="1">[1]!BexGetData("DP_1","003N8EMH8GTFRIVOG7KG9J3KE","GSON1112151010")</f>
        <v>#NAME?</v>
      </c>
      <c r="P2013" s="28" t="e">
        <f ca="1">[1]!BexGetData("DP_1","003N8EMH8GTFRIVOG7KG9J9VY","GSON1112151010")</f>
        <v>#NAME?</v>
      </c>
      <c r="Q2013" s="23" t="e">
        <f ca="1">[1]!BexGetData("DP_1","00O2TNJGODT0G5Z4TTKYMM5MT","GSON1112151010")</f>
        <v>#NAME?</v>
      </c>
      <c r="R2013" s="23" t="e">
        <f ca="1">[1]!BexGetData("DP_1","00O2TNJGODT0G5Z4TTKYMMBYD","GSON1112151010")</f>
        <v>#NAME?</v>
      </c>
      <c r="S2013" s="23" t="e">
        <f ca="1">[1]!BexGetData("DP_1","00O2TNJGODT0G5Z4TTKYMMI9X","GSON1112151010")</f>
        <v>#NAME?</v>
      </c>
      <c r="T2013" s="23" t="e">
        <f ca="1">[1]!BexGetData("DP_1","00O2TNJGODT0G5Z4TTKYMMOLH","GSON1112151010")</f>
        <v>#NAME?</v>
      </c>
      <c r="U2013" s="28" t="e">
        <f ca="1">[1]!BexGetData("DP_1","00O2TNJGODT0G5Z4TTKYMMUX1","GSON1112151010")</f>
        <v>#NAME?</v>
      </c>
      <c r="V2013" s="23" t="e">
        <f ca="1">[1]!BexGetData("DP_1","00O2TNJGODT0G5Z4TTKYMN18L","GSON1112151010")</f>
        <v>#NAME?</v>
      </c>
      <c r="W2013" s="28" t="e">
        <f ca="1">[1]!BexGetData("DP_1","00O2TNJGODT0G5Z4TTKYMN7K5","GSON1112151010")</f>
        <v>#NAME?</v>
      </c>
    </row>
    <row r="2014" spans="1:23" x14ac:dyDescent="0.2">
      <c r="A2014" s="36" t="s">
        <v>5002</v>
      </c>
      <c r="B2014" s="27" t="s">
        <v>5003</v>
      </c>
      <c r="C2014" s="23" t="e">
        <f ca="1">[1]!BexGetData("DP_1","003N8EMH8GTFRCSWKMPXRR8GU","GSON1112151011")</f>
        <v>#NAME?</v>
      </c>
      <c r="D2014" s="23" t="e">
        <f ca="1">[1]!BexGetData("DP_1","003N8EMH8GTFRCSWKMPXRRESE","GSON1112151011")</f>
        <v>#NAME?</v>
      </c>
      <c r="E2014" s="28" t="e">
        <f ca="1">[1]!BexGetData("DP_1","003N8EMH8GTFRCSWKMPXRRL3Y","GSON1112151011")</f>
        <v>#NAME?</v>
      </c>
      <c r="F2014" s="24" t="e">
        <f ca="1">[1]!BexGetData("DP_1","003N8EMH8GTFRCSWKMPXRRRFI","GSON1112151011")</f>
        <v>#NAME?</v>
      </c>
      <c r="G2014" s="24" t="e">
        <f ca="1">[1]!BexGetData("DP_1","003N8EMH8GTFRCSWKMPXRRXR2","GSON1112151011")</f>
        <v>#NAME?</v>
      </c>
      <c r="H2014" s="24" t="e">
        <f ca="1">[1]!BexGetData("DP_1","003N8EMH8GTFRCSWKMPXRS42M","GSON1112151011")</f>
        <v>#NAME?</v>
      </c>
      <c r="I2014" s="24" t="e">
        <f ca="1">[1]!BexGetData("DP_1","003N8EMH8GTFRCSWKMPXRSAE6","GSON1112151011")</f>
        <v>#NAME?</v>
      </c>
      <c r="J2014" s="24" t="e">
        <f ca="1">[1]!BexGetData("DP_1","003N8EMH8GTFRCSWKMPXRSGPQ","GSON1112151011")</f>
        <v>#NAME?</v>
      </c>
      <c r="K2014" s="28" t="e">
        <f ca="1">[1]!BexGetData("DP_1","003N8EMH8GTFRIVNUPY288VJH","GSON1112151011")</f>
        <v>#NAME?</v>
      </c>
      <c r="L2014" s="28" t="e">
        <f ca="1">[1]!BexGetData("DP_1","003N8EMH8GTFRIVNUPY2891V1","GSON1112151011")</f>
        <v>#NAME?</v>
      </c>
      <c r="M2014" s="28" t="e">
        <f ca="1">[1]!BexGetData("DP_1","003N8EMH8GTFRIVOG7KG9IQXA","GSON1112151011")</f>
        <v>#NAME?</v>
      </c>
      <c r="N2014" s="28" t="e">
        <f ca="1">[1]!BexGetData("DP_1","003N8EMH8GTFRIVOG7KG9IX8U","GSON1112151011")</f>
        <v>#NAME?</v>
      </c>
      <c r="O2014" s="28" t="e">
        <f ca="1">[1]!BexGetData("DP_1","003N8EMH8GTFRIVOG7KG9J3KE","GSON1112151011")</f>
        <v>#NAME?</v>
      </c>
      <c r="P2014" s="28" t="e">
        <f ca="1">[1]!BexGetData("DP_1","003N8EMH8GTFRIVOG7KG9J9VY","GSON1112151011")</f>
        <v>#NAME?</v>
      </c>
      <c r="Q2014" s="24" t="e">
        <f ca="1">[1]!BexGetData("DP_1","00O2TNJGODT0G5Z4TTKYMM5MT","GSON1112151011")</f>
        <v>#NAME?</v>
      </c>
      <c r="R2014" s="24" t="e">
        <f ca="1">[1]!BexGetData("DP_1","00O2TNJGODT0G5Z4TTKYMMBYD","GSON1112151011")</f>
        <v>#NAME?</v>
      </c>
      <c r="S2014" s="24" t="e">
        <f ca="1">[1]!BexGetData("DP_1","00O2TNJGODT0G5Z4TTKYMMI9X","GSON1112151011")</f>
        <v>#NAME?</v>
      </c>
      <c r="T2014" s="24" t="e">
        <f ca="1">[1]!BexGetData("DP_1","00O2TNJGODT0G5Z4TTKYMMOLH","GSON1112151011")</f>
        <v>#NAME?</v>
      </c>
      <c r="U2014" s="24" t="e">
        <f ca="1">[1]!BexGetData("DP_1","00O2TNJGODT0G5Z4TTKYMMUX1","GSON1112151011")</f>
        <v>#NAME?</v>
      </c>
      <c r="V2014" s="24" t="e">
        <f ca="1">[1]!BexGetData("DP_1","00O2TNJGODT0G5Z4TTKYMN18L","GSON1112151011")</f>
        <v>#NAME?</v>
      </c>
      <c r="W2014" s="24" t="e">
        <f ca="1">[1]!BexGetData("DP_1","00O2TNJGODT0G5Z4TTKYMN7K5","GSON1112151011")</f>
        <v>#NAME?</v>
      </c>
    </row>
    <row r="2015" spans="1:23" x14ac:dyDescent="0.2">
      <c r="A2015" s="36" t="s">
        <v>5004</v>
      </c>
      <c r="B2015" s="27" t="s">
        <v>5005</v>
      </c>
      <c r="C2015" s="23" t="e">
        <f ca="1">[1]!BexGetData("DP_1","003N8EMH8GTFRCSWKMPXRR8GU","GSON1112151013")</f>
        <v>#NAME?</v>
      </c>
      <c r="D2015" s="23" t="e">
        <f ca="1">[1]!BexGetData("DP_1","003N8EMH8GTFRCSWKMPXRRESE","GSON1112151013")</f>
        <v>#NAME?</v>
      </c>
      <c r="E2015" s="28" t="e">
        <f ca="1">[1]!BexGetData("DP_1","003N8EMH8GTFRCSWKMPXRRL3Y","GSON1112151013")</f>
        <v>#NAME?</v>
      </c>
      <c r="F2015" s="28" t="e">
        <f ca="1">[1]!BexGetData("DP_1","003N8EMH8GTFRCSWKMPXRRRFI","GSON1112151013")</f>
        <v>#NAME?</v>
      </c>
      <c r="G2015" s="23" t="e">
        <f ca="1">[1]!BexGetData("DP_1","003N8EMH8GTFRCSWKMPXRRXR2","GSON1112151013")</f>
        <v>#NAME?</v>
      </c>
      <c r="H2015" s="23" t="e">
        <f ca="1">[1]!BexGetData("DP_1","003N8EMH8GTFRCSWKMPXRS42M","GSON1112151013")</f>
        <v>#NAME?</v>
      </c>
      <c r="I2015" s="28" t="e">
        <f ca="1">[1]!BexGetData("DP_1","003N8EMH8GTFRCSWKMPXRSAE6","GSON1112151013")</f>
        <v>#NAME?</v>
      </c>
      <c r="J2015" s="24" t="e">
        <f ca="1">[1]!BexGetData("DP_1","003N8EMH8GTFRCSWKMPXRSGPQ","GSON1112151013")</f>
        <v>#NAME?</v>
      </c>
      <c r="K2015" s="28" t="e">
        <f ca="1">[1]!BexGetData("DP_1","003N8EMH8GTFRIVNUPY288VJH","GSON1112151013")</f>
        <v>#NAME?</v>
      </c>
      <c r="L2015" s="28" t="e">
        <f ca="1">[1]!BexGetData("DP_1","003N8EMH8GTFRIVNUPY2891V1","GSON1112151013")</f>
        <v>#NAME?</v>
      </c>
      <c r="M2015" s="28" t="e">
        <f ca="1">[1]!BexGetData("DP_1","003N8EMH8GTFRIVOG7KG9IQXA","GSON1112151013")</f>
        <v>#NAME?</v>
      </c>
      <c r="N2015" s="28" t="e">
        <f ca="1">[1]!BexGetData("DP_1","003N8EMH8GTFRIVOG7KG9IX8U","GSON1112151013")</f>
        <v>#NAME?</v>
      </c>
      <c r="O2015" s="28" t="e">
        <f ca="1">[1]!BexGetData("DP_1","003N8EMH8GTFRIVOG7KG9J3KE","GSON1112151013")</f>
        <v>#NAME?</v>
      </c>
      <c r="P2015" s="28" t="e">
        <f ca="1">[1]!BexGetData("DP_1","003N8EMH8GTFRIVOG7KG9J9VY","GSON1112151013")</f>
        <v>#NAME?</v>
      </c>
      <c r="Q2015" s="24" t="e">
        <f ca="1">[1]!BexGetData("DP_1","00O2TNJGODT0G5Z4TTKYMM5MT","GSON1112151013")</f>
        <v>#NAME?</v>
      </c>
      <c r="R2015" s="28" t="e">
        <f ca="1">[1]!BexGetData("DP_1","00O2TNJGODT0G5Z4TTKYMMBYD","GSON1112151013")</f>
        <v>#NAME?</v>
      </c>
      <c r="S2015" s="28" t="e">
        <f ca="1">[1]!BexGetData("DP_1","00O2TNJGODT0G5Z4TTKYMMI9X","GSON1112151013")</f>
        <v>#NAME?</v>
      </c>
      <c r="T2015" s="28" t="e">
        <f ca="1">[1]!BexGetData("DP_1","00O2TNJGODT0G5Z4TTKYMMOLH","GSON1112151013")</f>
        <v>#NAME?</v>
      </c>
      <c r="U2015" s="28" t="e">
        <f ca="1">[1]!BexGetData("DP_1","00O2TNJGODT0G5Z4TTKYMMUX1","GSON1112151013")</f>
        <v>#NAME?</v>
      </c>
      <c r="V2015" s="28" t="e">
        <f ca="1">[1]!BexGetData("DP_1","00O2TNJGODT0G5Z4TTKYMN18L","GSON1112151013")</f>
        <v>#NAME?</v>
      </c>
      <c r="W2015" s="28" t="e">
        <f ca="1">[1]!BexGetData("DP_1","00O2TNJGODT0G5Z4TTKYMN7K5","GSON1112151013")</f>
        <v>#NAME?</v>
      </c>
    </row>
    <row r="2016" spans="1:23" x14ac:dyDescent="0.2">
      <c r="A2016" s="36" t="s">
        <v>5006</v>
      </c>
      <c r="B2016" s="27" t="s">
        <v>5007</v>
      </c>
      <c r="C2016" s="24" t="e">
        <f ca="1">[1]!BexGetData("DP_1","003N8EMH8GTFRCSWKMPXRR8GU","GSON1112151014")</f>
        <v>#NAME?</v>
      </c>
      <c r="D2016" s="24" t="e">
        <f ca="1">[1]!BexGetData("DP_1","003N8EMH8GTFRCSWKMPXRRESE","GSON1112151014")</f>
        <v>#NAME?</v>
      </c>
      <c r="E2016" s="24" t="e">
        <f ca="1">[1]!BexGetData("DP_1","003N8EMH8GTFRCSWKMPXRRL3Y","GSON1112151014")</f>
        <v>#NAME?</v>
      </c>
      <c r="F2016" s="28" t="e">
        <f ca="1">[1]!BexGetData("DP_1","003N8EMH8GTFRCSWKMPXRRRFI","GSON1112151014")</f>
        <v>#NAME?</v>
      </c>
      <c r="G2016" s="23" t="e">
        <f ca="1">[1]!BexGetData("DP_1","003N8EMH8GTFRCSWKMPXRRXR2","GSON1112151014")</f>
        <v>#NAME?</v>
      </c>
      <c r="H2016" s="23" t="e">
        <f ca="1">[1]!BexGetData("DP_1","003N8EMH8GTFRCSWKMPXRS42M","GSON1112151014")</f>
        <v>#NAME?</v>
      </c>
      <c r="I2016" s="28" t="e">
        <f ca="1">[1]!BexGetData("DP_1","003N8EMH8GTFRCSWKMPXRSAE6","GSON1112151014")</f>
        <v>#NAME?</v>
      </c>
      <c r="J2016" s="24" t="e">
        <f ca="1">[1]!BexGetData("DP_1","003N8EMH8GTFRCSWKMPXRSGPQ","GSON1112151014")</f>
        <v>#NAME?</v>
      </c>
      <c r="K2016" s="28" t="e">
        <f ca="1">[1]!BexGetData("DP_1","003N8EMH8GTFRIVNUPY288VJH","GSON1112151014")</f>
        <v>#NAME?</v>
      </c>
      <c r="L2016" s="28" t="e">
        <f ca="1">[1]!BexGetData("DP_1","003N8EMH8GTFRIVNUPY2891V1","GSON1112151014")</f>
        <v>#NAME?</v>
      </c>
      <c r="M2016" s="28" t="e">
        <f ca="1">[1]!BexGetData("DP_1","003N8EMH8GTFRIVOG7KG9IQXA","GSON1112151014")</f>
        <v>#NAME?</v>
      </c>
      <c r="N2016" s="28" t="e">
        <f ca="1">[1]!BexGetData("DP_1","003N8EMH8GTFRIVOG7KG9IX8U","GSON1112151014")</f>
        <v>#NAME?</v>
      </c>
      <c r="O2016" s="28" t="e">
        <f ca="1">[1]!BexGetData("DP_1","003N8EMH8GTFRIVOG7KG9J3KE","GSON1112151014")</f>
        <v>#NAME?</v>
      </c>
      <c r="P2016" s="28" t="e">
        <f ca="1">[1]!BexGetData("DP_1","003N8EMH8GTFRIVOG7KG9J9VY","GSON1112151014")</f>
        <v>#NAME?</v>
      </c>
      <c r="Q2016" s="24" t="e">
        <f ca="1">[1]!BexGetData("DP_1","00O2TNJGODT0G5Z4TTKYMM5MT","GSON1112151014")</f>
        <v>#NAME?</v>
      </c>
      <c r="R2016" s="28" t="e">
        <f ca="1">[1]!BexGetData("DP_1","00O2TNJGODT0G5Z4TTKYMMBYD","GSON1112151014")</f>
        <v>#NAME?</v>
      </c>
      <c r="S2016" s="28" t="e">
        <f ca="1">[1]!BexGetData("DP_1","00O2TNJGODT0G5Z4TTKYMMI9X","GSON1112151014")</f>
        <v>#NAME?</v>
      </c>
      <c r="T2016" s="28" t="e">
        <f ca="1">[1]!BexGetData("DP_1","00O2TNJGODT0G5Z4TTKYMMOLH","GSON1112151014")</f>
        <v>#NAME?</v>
      </c>
      <c r="U2016" s="28" t="e">
        <f ca="1">[1]!BexGetData("DP_1","00O2TNJGODT0G5Z4TTKYMMUX1","GSON1112151014")</f>
        <v>#NAME?</v>
      </c>
      <c r="V2016" s="28" t="e">
        <f ca="1">[1]!BexGetData("DP_1","00O2TNJGODT0G5Z4TTKYMN18L","GSON1112151014")</f>
        <v>#NAME?</v>
      </c>
      <c r="W2016" s="28" t="e">
        <f ca="1">[1]!BexGetData("DP_1","00O2TNJGODT0G5Z4TTKYMN7K5","GSON1112151014")</f>
        <v>#NAME?</v>
      </c>
    </row>
    <row r="2017" spans="1:23" x14ac:dyDescent="0.2">
      <c r="A2017" s="36" t="s">
        <v>5008</v>
      </c>
      <c r="B2017" s="27" t="s">
        <v>5009</v>
      </c>
      <c r="C2017" s="23" t="e">
        <f ca="1">[1]!BexGetData("DP_1","003N8EMH8GTFRCSWKMPXRR8GU","GSON1112151015")</f>
        <v>#NAME?</v>
      </c>
      <c r="D2017" s="23" t="e">
        <f ca="1">[1]!BexGetData("DP_1","003N8EMH8GTFRCSWKMPXRRESE","GSON1112151015")</f>
        <v>#NAME?</v>
      </c>
      <c r="E2017" s="28" t="e">
        <f ca="1">[1]!BexGetData("DP_1","003N8EMH8GTFRCSWKMPXRRL3Y","GSON1112151015")</f>
        <v>#NAME?</v>
      </c>
      <c r="F2017" s="28" t="e">
        <f ca="1">[1]!BexGetData("DP_1","003N8EMH8GTFRCSWKMPXRRRFI","GSON1112151015")</f>
        <v>#NAME?</v>
      </c>
      <c r="G2017" s="23" t="e">
        <f ca="1">[1]!BexGetData("DP_1","003N8EMH8GTFRCSWKMPXRRXR2","GSON1112151015")</f>
        <v>#NAME?</v>
      </c>
      <c r="H2017" s="23" t="e">
        <f ca="1">[1]!BexGetData("DP_1","003N8EMH8GTFRCSWKMPXRS42M","GSON1112151015")</f>
        <v>#NAME?</v>
      </c>
      <c r="I2017" s="28" t="e">
        <f ca="1">[1]!BexGetData("DP_1","003N8EMH8GTFRCSWKMPXRSAE6","GSON1112151015")</f>
        <v>#NAME?</v>
      </c>
      <c r="J2017" s="24" t="e">
        <f ca="1">[1]!BexGetData("DP_1","003N8EMH8GTFRCSWKMPXRSGPQ","GSON1112151015")</f>
        <v>#NAME?</v>
      </c>
      <c r="K2017" s="28" t="e">
        <f ca="1">[1]!BexGetData("DP_1","003N8EMH8GTFRIVNUPY288VJH","GSON1112151015")</f>
        <v>#NAME?</v>
      </c>
      <c r="L2017" s="28" t="e">
        <f ca="1">[1]!BexGetData("DP_1","003N8EMH8GTFRIVNUPY2891V1","GSON1112151015")</f>
        <v>#NAME?</v>
      </c>
      <c r="M2017" s="28" t="e">
        <f ca="1">[1]!BexGetData("DP_1","003N8EMH8GTFRIVOG7KG9IQXA","GSON1112151015")</f>
        <v>#NAME?</v>
      </c>
      <c r="N2017" s="28" t="e">
        <f ca="1">[1]!BexGetData("DP_1","003N8EMH8GTFRIVOG7KG9IX8U","GSON1112151015")</f>
        <v>#NAME?</v>
      </c>
      <c r="O2017" s="28" t="e">
        <f ca="1">[1]!BexGetData("DP_1","003N8EMH8GTFRIVOG7KG9J3KE","GSON1112151015")</f>
        <v>#NAME?</v>
      </c>
      <c r="P2017" s="28" t="e">
        <f ca="1">[1]!BexGetData("DP_1","003N8EMH8GTFRIVOG7KG9J9VY","GSON1112151015")</f>
        <v>#NAME?</v>
      </c>
      <c r="Q2017" s="24" t="e">
        <f ca="1">[1]!BexGetData("DP_1","00O2TNJGODT0G5Z4TTKYMM5MT","GSON1112151015")</f>
        <v>#NAME?</v>
      </c>
      <c r="R2017" s="28" t="e">
        <f ca="1">[1]!BexGetData("DP_1","00O2TNJGODT0G5Z4TTKYMMBYD","GSON1112151015")</f>
        <v>#NAME?</v>
      </c>
      <c r="S2017" s="28" t="e">
        <f ca="1">[1]!BexGetData("DP_1","00O2TNJGODT0G5Z4TTKYMMI9X","GSON1112151015")</f>
        <v>#NAME?</v>
      </c>
      <c r="T2017" s="28" t="e">
        <f ca="1">[1]!BexGetData("DP_1","00O2TNJGODT0G5Z4TTKYMMOLH","GSON1112151015")</f>
        <v>#NAME?</v>
      </c>
      <c r="U2017" s="28" t="e">
        <f ca="1">[1]!BexGetData("DP_1","00O2TNJGODT0G5Z4TTKYMMUX1","GSON1112151015")</f>
        <v>#NAME?</v>
      </c>
      <c r="V2017" s="28" t="e">
        <f ca="1">[1]!BexGetData("DP_1","00O2TNJGODT0G5Z4TTKYMN18L","GSON1112151015")</f>
        <v>#NAME?</v>
      </c>
      <c r="W2017" s="28" t="e">
        <f ca="1">[1]!BexGetData("DP_1","00O2TNJGODT0G5Z4TTKYMN7K5","GSON1112151015")</f>
        <v>#NAME?</v>
      </c>
    </row>
    <row r="2018" spans="1:23" x14ac:dyDescent="0.2">
      <c r="A2018" s="36" t="s">
        <v>1188</v>
      </c>
      <c r="B2018" s="27" t="s">
        <v>1189</v>
      </c>
      <c r="C2018" s="23" t="e">
        <f ca="1">[1]!BexGetData("DP_1","003N8EMH8GTFRCSWKMPXRR8GU","GSON1112151020")</f>
        <v>#NAME?</v>
      </c>
      <c r="D2018" s="23" t="e">
        <f ca="1">[1]!BexGetData("DP_1","003N8EMH8GTFRCSWKMPXRRESE","GSON1112151020")</f>
        <v>#NAME?</v>
      </c>
      <c r="E2018" s="23" t="e">
        <f ca="1">[1]!BexGetData("DP_1","003N8EMH8GTFRCSWKMPXRRL3Y","GSON1112151020")</f>
        <v>#NAME?</v>
      </c>
      <c r="F2018" s="23" t="e">
        <f ca="1">[1]!BexGetData("DP_1","003N8EMH8GTFRCSWKMPXRRRFI","GSON1112151020")</f>
        <v>#NAME?</v>
      </c>
      <c r="G2018" s="23" t="e">
        <f ca="1">[1]!BexGetData("DP_1","003N8EMH8GTFRCSWKMPXRRXR2","GSON1112151020")</f>
        <v>#NAME?</v>
      </c>
      <c r="H2018" s="23" t="e">
        <f ca="1">[1]!BexGetData("DP_1","003N8EMH8GTFRCSWKMPXRS42M","GSON1112151020")</f>
        <v>#NAME?</v>
      </c>
      <c r="I2018" s="23" t="e">
        <f ca="1">[1]!BexGetData("DP_1","003N8EMH8GTFRCSWKMPXRSAE6","GSON1112151020")</f>
        <v>#NAME?</v>
      </c>
      <c r="J2018" s="23" t="e">
        <f ca="1">[1]!BexGetData("DP_1","003N8EMH8GTFRCSWKMPXRSGPQ","GSON1112151020")</f>
        <v>#NAME?</v>
      </c>
      <c r="K2018" s="23" t="e">
        <f ca="1">[1]!BexGetData("DP_1","003N8EMH8GTFRIVNUPY288VJH","GSON1112151020")</f>
        <v>#NAME?</v>
      </c>
      <c r="L2018" s="23" t="e">
        <f ca="1">[1]!BexGetData("DP_1","003N8EMH8GTFRIVNUPY2891V1","GSON1112151020")</f>
        <v>#NAME?</v>
      </c>
      <c r="M2018" s="28" t="e">
        <f ca="1">[1]!BexGetData("DP_1","003N8EMH8GTFRIVOG7KG9IQXA","GSON1112151020")</f>
        <v>#NAME?</v>
      </c>
      <c r="N2018" s="23" t="e">
        <f ca="1">[1]!BexGetData("DP_1","003N8EMH8GTFRIVOG7KG9IX8U","GSON1112151020")</f>
        <v>#NAME?</v>
      </c>
      <c r="O2018" s="28" t="e">
        <f ca="1">[1]!BexGetData("DP_1","003N8EMH8GTFRIVOG7KG9J3KE","GSON1112151020")</f>
        <v>#NAME?</v>
      </c>
      <c r="P2018" s="23" t="e">
        <f ca="1">[1]!BexGetData("DP_1","003N8EMH8GTFRIVOG7KG9J9VY","GSON1112151020")</f>
        <v>#NAME?</v>
      </c>
      <c r="Q2018" s="23" t="e">
        <f ca="1">[1]!BexGetData("DP_1","00O2TNJGODT0G5Z4TTKYMM5MT","GSON1112151020")</f>
        <v>#NAME?</v>
      </c>
      <c r="R2018" s="23" t="e">
        <f ca="1">[1]!BexGetData("DP_1","00O2TNJGODT0G5Z4TTKYMMBYD","GSON1112151020")</f>
        <v>#NAME?</v>
      </c>
      <c r="S2018" s="23" t="e">
        <f ca="1">[1]!BexGetData("DP_1","00O2TNJGODT0G5Z4TTKYMMI9X","GSON1112151020")</f>
        <v>#NAME?</v>
      </c>
      <c r="T2018" s="28" t="e">
        <f ca="1">[1]!BexGetData("DP_1","00O2TNJGODT0G5Z4TTKYMMOLH","GSON1112151020")</f>
        <v>#NAME?</v>
      </c>
      <c r="U2018" s="23" t="e">
        <f ca="1">[1]!BexGetData("DP_1","00O2TNJGODT0G5Z4TTKYMMUX1","GSON1112151020")</f>
        <v>#NAME?</v>
      </c>
      <c r="V2018" s="28" t="e">
        <f ca="1">[1]!BexGetData("DP_1","00O2TNJGODT0G5Z4TTKYMN18L","GSON1112151020")</f>
        <v>#NAME?</v>
      </c>
      <c r="W2018" s="23" t="e">
        <f ca="1">[1]!BexGetData("DP_1","00O2TNJGODT0G5Z4TTKYMN7K5","GSON1112151020")</f>
        <v>#NAME?</v>
      </c>
    </row>
    <row r="2019" spans="1:23" x14ac:dyDescent="0.2">
      <c r="A2019" s="36" t="s">
        <v>1190</v>
      </c>
      <c r="B2019" s="27" t="s">
        <v>1191</v>
      </c>
      <c r="C2019" s="23" t="e">
        <f ca="1">[1]!BexGetData("DP_1","003N8EMH8GTFRCSWKMPXRR8GU","GSON1112151021")</f>
        <v>#NAME?</v>
      </c>
      <c r="D2019" s="23" t="e">
        <f ca="1">[1]!BexGetData("DP_1","003N8EMH8GTFRCSWKMPXRRESE","GSON1112151021")</f>
        <v>#NAME?</v>
      </c>
      <c r="E2019" s="23" t="e">
        <f ca="1">[1]!BexGetData("DP_1","003N8EMH8GTFRCSWKMPXRRL3Y","GSON1112151021")</f>
        <v>#NAME?</v>
      </c>
      <c r="F2019" s="28" t="e">
        <f ca="1">[1]!BexGetData("DP_1","003N8EMH8GTFRCSWKMPXRRRFI","GSON1112151021")</f>
        <v>#NAME?</v>
      </c>
      <c r="G2019" s="23" t="e">
        <f ca="1">[1]!BexGetData("DP_1","003N8EMH8GTFRCSWKMPXRRXR2","GSON1112151021")</f>
        <v>#NAME?</v>
      </c>
      <c r="H2019" s="23" t="e">
        <f ca="1">[1]!BexGetData("DP_1","003N8EMH8GTFRCSWKMPXRS42M","GSON1112151021")</f>
        <v>#NAME?</v>
      </c>
      <c r="I2019" s="28" t="e">
        <f ca="1">[1]!BexGetData("DP_1","003N8EMH8GTFRCSWKMPXRSAE6","GSON1112151021")</f>
        <v>#NAME?</v>
      </c>
      <c r="J2019" s="24" t="e">
        <f ca="1">[1]!BexGetData("DP_1","003N8EMH8GTFRCSWKMPXRSGPQ","GSON1112151021")</f>
        <v>#NAME?</v>
      </c>
      <c r="K2019" s="23" t="e">
        <f ca="1">[1]!BexGetData("DP_1","003N8EMH8GTFRIVNUPY288VJH","GSON1112151021")</f>
        <v>#NAME?</v>
      </c>
      <c r="L2019" s="23" t="e">
        <f ca="1">[1]!BexGetData("DP_1","003N8EMH8GTFRIVNUPY2891V1","GSON1112151021")</f>
        <v>#NAME?</v>
      </c>
      <c r="M2019" s="23" t="e">
        <f ca="1">[1]!BexGetData("DP_1","003N8EMH8GTFRIVOG7KG9IQXA","GSON1112151021")</f>
        <v>#NAME?</v>
      </c>
      <c r="N2019" s="28" t="e">
        <f ca="1">[1]!BexGetData("DP_1","003N8EMH8GTFRIVOG7KG9IX8U","GSON1112151021")</f>
        <v>#NAME?</v>
      </c>
      <c r="O2019" s="23" t="e">
        <f ca="1">[1]!BexGetData("DP_1","003N8EMH8GTFRIVOG7KG9J3KE","GSON1112151021")</f>
        <v>#NAME?</v>
      </c>
      <c r="P2019" s="28" t="e">
        <f ca="1">[1]!BexGetData("DP_1","003N8EMH8GTFRIVOG7KG9J9VY","GSON1112151021")</f>
        <v>#NAME?</v>
      </c>
      <c r="Q2019" s="24" t="e">
        <f ca="1">[1]!BexGetData("DP_1","00O2TNJGODT0G5Z4TTKYMM5MT","GSON1112151021")</f>
        <v>#NAME?</v>
      </c>
      <c r="R2019" s="28" t="e">
        <f ca="1">[1]!BexGetData("DP_1","00O2TNJGODT0G5Z4TTKYMMBYD","GSON1112151021")</f>
        <v>#NAME?</v>
      </c>
      <c r="S2019" s="28" t="e">
        <f ca="1">[1]!BexGetData("DP_1","00O2TNJGODT0G5Z4TTKYMMI9X","GSON1112151021")</f>
        <v>#NAME?</v>
      </c>
      <c r="T2019" s="28" t="e">
        <f ca="1">[1]!BexGetData("DP_1","00O2TNJGODT0G5Z4TTKYMMOLH","GSON1112151021")</f>
        <v>#NAME?</v>
      </c>
      <c r="U2019" s="28" t="e">
        <f ca="1">[1]!BexGetData("DP_1","00O2TNJGODT0G5Z4TTKYMMUX1","GSON1112151021")</f>
        <v>#NAME?</v>
      </c>
      <c r="V2019" s="28" t="e">
        <f ca="1">[1]!BexGetData("DP_1","00O2TNJGODT0G5Z4TTKYMN18L","GSON1112151021")</f>
        <v>#NAME?</v>
      </c>
      <c r="W2019" s="28" t="e">
        <f ca="1">[1]!BexGetData("DP_1","00O2TNJGODT0G5Z4TTKYMN7K5","GSON1112151021")</f>
        <v>#NAME?</v>
      </c>
    </row>
    <row r="2020" spans="1:23" x14ac:dyDescent="0.2">
      <c r="A2020" s="36" t="s">
        <v>5010</v>
      </c>
      <c r="B2020" s="27" t="s">
        <v>5011</v>
      </c>
      <c r="C2020" s="23" t="e">
        <f ca="1">[1]!BexGetData("DP_1","003N8EMH8GTFRCSWKMPXRR8GU","GSON1112151023")</f>
        <v>#NAME?</v>
      </c>
      <c r="D2020" s="23" t="e">
        <f ca="1">[1]!BexGetData("DP_1","003N8EMH8GTFRCSWKMPXRRESE","GSON1112151023")</f>
        <v>#NAME?</v>
      </c>
      <c r="E2020" s="23" t="e">
        <f ca="1">[1]!BexGetData("DP_1","003N8EMH8GTFRCSWKMPXRRL3Y","GSON1112151023")</f>
        <v>#NAME?</v>
      </c>
      <c r="F2020" s="28" t="e">
        <f ca="1">[1]!BexGetData("DP_1","003N8EMH8GTFRCSWKMPXRRRFI","GSON1112151023")</f>
        <v>#NAME?</v>
      </c>
      <c r="G2020" s="23" t="e">
        <f ca="1">[1]!BexGetData("DP_1","003N8EMH8GTFRCSWKMPXRRXR2","GSON1112151023")</f>
        <v>#NAME?</v>
      </c>
      <c r="H2020" s="23" t="e">
        <f ca="1">[1]!BexGetData("DP_1","003N8EMH8GTFRCSWKMPXRS42M","GSON1112151023")</f>
        <v>#NAME?</v>
      </c>
      <c r="I2020" s="28" t="e">
        <f ca="1">[1]!BexGetData("DP_1","003N8EMH8GTFRCSWKMPXRSAE6","GSON1112151023")</f>
        <v>#NAME?</v>
      </c>
      <c r="J2020" s="24" t="e">
        <f ca="1">[1]!BexGetData("DP_1","003N8EMH8GTFRCSWKMPXRSGPQ","GSON1112151023")</f>
        <v>#NAME?</v>
      </c>
      <c r="K2020" s="23" t="e">
        <f ca="1">[1]!BexGetData("DP_1","003N8EMH8GTFRIVNUPY288VJH","GSON1112151023")</f>
        <v>#NAME?</v>
      </c>
      <c r="L2020" s="23" t="e">
        <f ca="1">[1]!BexGetData("DP_1","003N8EMH8GTFRIVNUPY2891V1","GSON1112151023")</f>
        <v>#NAME?</v>
      </c>
      <c r="M2020" s="23" t="e">
        <f ca="1">[1]!BexGetData("DP_1","003N8EMH8GTFRIVOG7KG9IQXA","GSON1112151023")</f>
        <v>#NAME?</v>
      </c>
      <c r="N2020" s="28" t="e">
        <f ca="1">[1]!BexGetData("DP_1","003N8EMH8GTFRIVOG7KG9IX8U","GSON1112151023")</f>
        <v>#NAME?</v>
      </c>
      <c r="O2020" s="23" t="e">
        <f ca="1">[1]!BexGetData("DP_1","003N8EMH8GTFRIVOG7KG9J3KE","GSON1112151023")</f>
        <v>#NAME?</v>
      </c>
      <c r="P2020" s="28" t="e">
        <f ca="1">[1]!BexGetData("DP_1","003N8EMH8GTFRIVOG7KG9J9VY","GSON1112151023")</f>
        <v>#NAME?</v>
      </c>
      <c r="Q2020" s="24" t="e">
        <f ca="1">[1]!BexGetData("DP_1","00O2TNJGODT0G5Z4TTKYMM5MT","GSON1112151023")</f>
        <v>#NAME?</v>
      </c>
      <c r="R2020" s="28" t="e">
        <f ca="1">[1]!BexGetData("DP_1","00O2TNJGODT0G5Z4TTKYMMBYD","GSON1112151023")</f>
        <v>#NAME?</v>
      </c>
      <c r="S2020" s="28" t="e">
        <f ca="1">[1]!BexGetData("DP_1","00O2TNJGODT0G5Z4TTKYMMI9X","GSON1112151023")</f>
        <v>#NAME?</v>
      </c>
      <c r="T2020" s="28" t="e">
        <f ca="1">[1]!BexGetData("DP_1","00O2TNJGODT0G5Z4TTKYMMOLH","GSON1112151023")</f>
        <v>#NAME?</v>
      </c>
      <c r="U2020" s="28" t="e">
        <f ca="1">[1]!BexGetData("DP_1","00O2TNJGODT0G5Z4TTKYMMUX1","GSON1112151023")</f>
        <v>#NAME?</v>
      </c>
      <c r="V2020" s="28" t="e">
        <f ca="1">[1]!BexGetData("DP_1","00O2TNJGODT0G5Z4TTKYMN18L","GSON1112151023")</f>
        <v>#NAME?</v>
      </c>
      <c r="W2020" s="28" t="e">
        <f ca="1">[1]!BexGetData("DP_1","00O2TNJGODT0G5Z4TTKYMN7K5","GSON1112151023")</f>
        <v>#NAME?</v>
      </c>
    </row>
    <row r="2021" spans="1:23" x14ac:dyDescent="0.2">
      <c r="A2021" s="36" t="s">
        <v>5012</v>
      </c>
      <c r="B2021" s="27" t="s">
        <v>1192</v>
      </c>
      <c r="C2021" s="23" t="e">
        <f ca="1">[1]!BexGetData("DP_1","003N8EMH8GTFRCSWKMPXRR8GU","GSON1112151024")</f>
        <v>#NAME?</v>
      </c>
      <c r="D2021" s="23" t="e">
        <f ca="1">[1]!BexGetData("DP_1","003N8EMH8GTFRCSWKMPXRRESE","GSON1112151024")</f>
        <v>#NAME?</v>
      </c>
      <c r="E2021" s="28" t="e">
        <f ca="1">[1]!BexGetData("DP_1","003N8EMH8GTFRCSWKMPXRRL3Y","GSON1112151024")</f>
        <v>#NAME?</v>
      </c>
      <c r="F2021" s="28" t="e">
        <f ca="1">[1]!BexGetData("DP_1","003N8EMH8GTFRCSWKMPXRRRFI","GSON1112151024")</f>
        <v>#NAME?</v>
      </c>
      <c r="G2021" s="23" t="e">
        <f ca="1">[1]!BexGetData("DP_1","003N8EMH8GTFRCSWKMPXRRXR2","GSON1112151024")</f>
        <v>#NAME?</v>
      </c>
      <c r="H2021" s="23" t="e">
        <f ca="1">[1]!BexGetData("DP_1","003N8EMH8GTFRCSWKMPXRS42M","GSON1112151024")</f>
        <v>#NAME?</v>
      </c>
      <c r="I2021" s="28" t="e">
        <f ca="1">[1]!BexGetData("DP_1","003N8EMH8GTFRCSWKMPXRSAE6","GSON1112151024")</f>
        <v>#NAME?</v>
      </c>
      <c r="J2021" s="24" t="e">
        <f ca="1">[1]!BexGetData("DP_1","003N8EMH8GTFRCSWKMPXRSGPQ","GSON1112151024")</f>
        <v>#NAME?</v>
      </c>
      <c r="K2021" s="28" t="e">
        <f ca="1">[1]!BexGetData("DP_1","003N8EMH8GTFRIVNUPY288VJH","GSON1112151024")</f>
        <v>#NAME?</v>
      </c>
      <c r="L2021" s="28" t="e">
        <f ca="1">[1]!BexGetData("DP_1","003N8EMH8GTFRIVNUPY2891V1","GSON1112151024")</f>
        <v>#NAME?</v>
      </c>
      <c r="M2021" s="28" t="e">
        <f ca="1">[1]!BexGetData("DP_1","003N8EMH8GTFRIVOG7KG9IQXA","GSON1112151024")</f>
        <v>#NAME?</v>
      </c>
      <c r="N2021" s="28" t="e">
        <f ca="1">[1]!BexGetData("DP_1","003N8EMH8GTFRIVOG7KG9IX8U","GSON1112151024")</f>
        <v>#NAME?</v>
      </c>
      <c r="O2021" s="28" t="e">
        <f ca="1">[1]!BexGetData("DP_1","003N8EMH8GTFRIVOG7KG9J3KE","GSON1112151024")</f>
        <v>#NAME?</v>
      </c>
      <c r="P2021" s="28" t="e">
        <f ca="1">[1]!BexGetData("DP_1","003N8EMH8GTFRIVOG7KG9J9VY","GSON1112151024")</f>
        <v>#NAME?</v>
      </c>
      <c r="Q2021" s="24" t="e">
        <f ca="1">[1]!BexGetData("DP_1","00O2TNJGODT0G5Z4TTKYMM5MT","GSON1112151024")</f>
        <v>#NAME?</v>
      </c>
      <c r="R2021" s="28" t="e">
        <f ca="1">[1]!BexGetData("DP_1","00O2TNJGODT0G5Z4TTKYMMBYD","GSON1112151024")</f>
        <v>#NAME?</v>
      </c>
      <c r="S2021" s="28" t="e">
        <f ca="1">[1]!BexGetData("DP_1","00O2TNJGODT0G5Z4TTKYMMI9X","GSON1112151024")</f>
        <v>#NAME?</v>
      </c>
      <c r="T2021" s="28" t="e">
        <f ca="1">[1]!BexGetData("DP_1","00O2TNJGODT0G5Z4TTKYMMOLH","GSON1112151024")</f>
        <v>#NAME?</v>
      </c>
      <c r="U2021" s="28" t="e">
        <f ca="1">[1]!BexGetData("DP_1","00O2TNJGODT0G5Z4TTKYMMUX1","GSON1112151024")</f>
        <v>#NAME?</v>
      </c>
      <c r="V2021" s="28" t="e">
        <f ca="1">[1]!BexGetData("DP_1","00O2TNJGODT0G5Z4TTKYMN18L","GSON1112151024")</f>
        <v>#NAME?</v>
      </c>
      <c r="W2021" s="28" t="e">
        <f ca="1">[1]!BexGetData("DP_1","00O2TNJGODT0G5Z4TTKYMN7K5","GSON1112151024")</f>
        <v>#NAME?</v>
      </c>
    </row>
    <row r="2022" spans="1:23" x14ac:dyDescent="0.2">
      <c r="A2022" s="36" t="s">
        <v>5013</v>
      </c>
      <c r="B2022" s="27" t="s">
        <v>5014</v>
      </c>
      <c r="C2022" s="23" t="e">
        <f ca="1">[1]!BexGetData("DP_1","003N8EMH8GTFRCSWKMPXRR8GU","GSON1112151025")</f>
        <v>#NAME?</v>
      </c>
      <c r="D2022" s="23" t="e">
        <f ca="1">[1]!BexGetData("DP_1","003N8EMH8GTFRCSWKMPXRRESE","GSON1112151025")</f>
        <v>#NAME?</v>
      </c>
      <c r="E2022" s="28" t="e">
        <f ca="1">[1]!BexGetData("DP_1","003N8EMH8GTFRCSWKMPXRRL3Y","GSON1112151025")</f>
        <v>#NAME?</v>
      </c>
      <c r="F2022" s="28" t="e">
        <f ca="1">[1]!BexGetData("DP_1","003N8EMH8GTFRCSWKMPXRRRFI","GSON1112151025")</f>
        <v>#NAME?</v>
      </c>
      <c r="G2022" s="23" t="e">
        <f ca="1">[1]!BexGetData("DP_1","003N8EMH8GTFRCSWKMPXRRXR2","GSON1112151025")</f>
        <v>#NAME?</v>
      </c>
      <c r="H2022" s="23" t="e">
        <f ca="1">[1]!BexGetData("DP_1","003N8EMH8GTFRCSWKMPXRS42M","GSON1112151025")</f>
        <v>#NAME?</v>
      </c>
      <c r="I2022" s="28" t="e">
        <f ca="1">[1]!BexGetData("DP_1","003N8EMH8GTFRCSWKMPXRSAE6","GSON1112151025")</f>
        <v>#NAME?</v>
      </c>
      <c r="J2022" s="24" t="e">
        <f ca="1">[1]!BexGetData("DP_1","003N8EMH8GTFRCSWKMPXRSGPQ","GSON1112151025")</f>
        <v>#NAME?</v>
      </c>
      <c r="K2022" s="28" t="e">
        <f ca="1">[1]!BexGetData("DP_1","003N8EMH8GTFRIVNUPY288VJH","GSON1112151025")</f>
        <v>#NAME?</v>
      </c>
      <c r="L2022" s="28" t="e">
        <f ca="1">[1]!BexGetData("DP_1","003N8EMH8GTFRIVNUPY2891V1","GSON1112151025")</f>
        <v>#NAME?</v>
      </c>
      <c r="M2022" s="28" t="e">
        <f ca="1">[1]!BexGetData("DP_1","003N8EMH8GTFRIVOG7KG9IQXA","GSON1112151025")</f>
        <v>#NAME?</v>
      </c>
      <c r="N2022" s="28" t="e">
        <f ca="1">[1]!BexGetData("DP_1","003N8EMH8GTFRIVOG7KG9IX8U","GSON1112151025")</f>
        <v>#NAME?</v>
      </c>
      <c r="O2022" s="28" t="e">
        <f ca="1">[1]!BexGetData("DP_1","003N8EMH8GTFRIVOG7KG9J3KE","GSON1112151025")</f>
        <v>#NAME?</v>
      </c>
      <c r="P2022" s="28" t="e">
        <f ca="1">[1]!BexGetData("DP_1","003N8EMH8GTFRIVOG7KG9J9VY","GSON1112151025")</f>
        <v>#NAME?</v>
      </c>
      <c r="Q2022" s="24" t="e">
        <f ca="1">[1]!BexGetData("DP_1","00O2TNJGODT0G5Z4TTKYMM5MT","GSON1112151025")</f>
        <v>#NAME?</v>
      </c>
      <c r="R2022" s="28" t="e">
        <f ca="1">[1]!BexGetData("DP_1","00O2TNJGODT0G5Z4TTKYMMBYD","GSON1112151025")</f>
        <v>#NAME?</v>
      </c>
      <c r="S2022" s="28" t="e">
        <f ca="1">[1]!BexGetData("DP_1","00O2TNJGODT0G5Z4TTKYMMI9X","GSON1112151025")</f>
        <v>#NAME?</v>
      </c>
      <c r="T2022" s="28" t="e">
        <f ca="1">[1]!BexGetData("DP_1","00O2TNJGODT0G5Z4TTKYMMOLH","GSON1112151025")</f>
        <v>#NAME?</v>
      </c>
      <c r="U2022" s="28" t="e">
        <f ca="1">[1]!BexGetData("DP_1","00O2TNJGODT0G5Z4TTKYMMUX1","GSON1112151025")</f>
        <v>#NAME?</v>
      </c>
      <c r="V2022" s="28" t="e">
        <f ca="1">[1]!BexGetData("DP_1","00O2TNJGODT0G5Z4TTKYMN18L","GSON1112151025")</f>
        <v>#NAME?</v>
      </c>
      <c r="W2022" s="28" t="e">
        <f ca="1">[1]!BexGetData("DP_1","00O2TNJGODT0G5Z4TTKYMN7K5","GSON1112151025")</f>
        <v>#NAME?</v>
      </c>
    </row>
    <row r="2023" spans="1:23" x14ac:dyDescent="0.2">
      <c r="A2023" s="36" t="s">
        <v>5015</v>
      </c>
      <c r="B2023" s="27" t="s">
        <v>5016</v>
      </c>
      <c r="C2023" s="24" t="e">
        <f ca="1">[1]!BexGetData("DP_1","003N8EMH8GTFRCSWKMPXRR8GU","GSON1112151030")</f>
        <v>#NAME?</v>
      </c>
      <c r="D2023" s="24" t="e">
        <f ca="1">[1]!BexGetData("DP_1","003N8EMH8GTFRCSWKMPXRRESE","GSON1112151030")</f>
        <v>#NAME?</v>
      </c>
      <c r="E2023" s="24" t="e">
        <f ca="1">[1]!BexGetData("DP_1","003N8EMH8GTFRCSWKMPXRRL3Y","GSON1112151030")</f>
        <v>#NAME?</v>
      </c>
      <c r="F2023" s="28" t="e">
        <f ca="1">[1]!BexGetData("DP_1","003N8EMH8GTFRCSWKMPXRRRFI","GSON1112151030")</f>
        <v>#NAME?</v>
      </c>
      <c r="G2023" s="23" t="e">
        <f ca="1">[1]!BexGetData("DP_1","003N8EMH8GTFRCSWKMPXRRXR2","GSON1112151030")</f>
        <v>#NAME?</v>
      </c>
      <c r="H2023" s="23" t="e">
        <f ca="1">[1]!BexGetData("DP_1","003N8EMH8GTFRCSWKMPXRS42M","GSON1112151030")</f>
        <v>#NAME?</v>
      </c>
      <c r="I2023" s="28" t="e">
        <f ca="1">[1]!BexGetData("DP_1","003N8EMH8GTFRCSWKMPXRSAE6","GSON1112151030")</f>
        <v>#NAME?</v>
      </c>
      <c r="J2023" s="24" t="e">
        <f ca="1">[1]!BexGetData("DP_1","003N8EMH8GTFRCSWKMPXRSGPQ","GSON1112151030")</f>
        <v>#NAME?</v>
      </c>
      <c r="K2023" s="28" t="e">
        <f ca="1">[1]!BexGetData("DP_1","003N8EMH8GTFRIVNUPY288VJH","GSON1112151030")</f>
        <v>#NAME?</v>
      </c>
      <c r="L2023" s="28" t="e">
        <f ca="1">[1]!BexGetData("DP_1","003N8EMH8GTFRIVNUPY2891V1","GSON1112151030")</f>
        <v>#NAME?</v>
      </c>
      <c r="M2023" s="28" t="e">
        <f ca="1">[1]!BexGetData("DP_1","003N8EMH8GTFRIVOG7KG9IQXA","GSON1112151030")</f>
        <v>#NAME?</v>
      </c>
      <c r="N2023" s="28" t="e">
        <f ca="1">[1]!BexGetData("DP_1","003N8EMH8GTFRIVOG7KG9IX8U","GSON1112151030")</f>
        <v>#NAME?</v>
      </c>
      <c r="O2023" s="28" t="e">
        <f ca="1">[1]!BexGetData("DP_1","003N8EMH8GTFRIVOG7KG9J3KE","GSON1112151030")</f>
        <v>#NAME?</v>
      </c>
      <c r="P2023" s="28" t="e">
        <f ca="1">[1]!BexGetData("DP_1","003N8EMH8GTFRIVOG7KG9J9VY","GSON1112151030")</f>
        <v>#NAME?</v>
      </c>
      <c r="Q2023" s="24" t="e">
        <f ca="1">[1]!BexGetData("DP_1","00O2TNJGODT0G5Z4TTKYMM5MT","GSON1112151030")</f>
        <v>#NAME?</v>
      </c>
      <c r="R2023" s="28" t="e">
        <f ca="1">[1]!BexGetData("DP_1","00O2TNJGODT0G5Z4TTKYMMBYD","GSON1112151030")</f>
        <v>#NAME?</v>
      </c>
      <c r="S2023" s="28" t="e">
        <f ca="1">[1]!BexGetData("DP_1","00O2TNJGODT0G5Z4TTKYMMI9X","GSON1112151030")</f>
        <v>#NAME?</v>
      </c>
      <c r="T2023" s="28" t="e">
        <f ca="1">[1]!BexGetData("DP_1","00O2TNJGODT0G5Z4TTKYMMOLH","GSON1112151030")</f>
        <v>#NAME?</v>
      </c>
      <c r="U2023" s="28" t="e">
        <f ca="1">[1]!BexGetData("DP_1","00O2TNJGODT0G5Z4TTKYMMUX1","GSON1112151030")</f>
        <v>#NAME?</v>
      </c>
      <c r="V2023" s="28" t="e">
        <f ca="1">[1]!BexGetData("DP_1","00O2TNJGODT0G5Z4TTKYMN18L","GSON1112151030")</f>
        <v>#NAME?</v>
      </c>
      <c r="W2023" s="28" t="e">
        <f ca="1">[1]!BexGetData("DP_1","00O2TNJGODT0G5Z4TTKYMN7K5","GSON1112151030")</f>
        <v>#NAME?</v>
      </c>
    </row>
    <row r="2024" spans="1:23" x14ac:dyDescent="0.2">
      <c r="A2024" s="36" t="s">
        <v>5017</v>
      </c>
      <c r="B2024" s="27" t="s">
        <v>5018</v>
      </c>
      <c r="C2024" s="28" t="e">
        <f ca="1">[1]!BexGetData("DP_1","003N8EMH8GTFRCSWKMPXRR8GU","GSON1112151031")</f>
        <v>#NAME?</v>
      </c>
      <c r="D2024" s="28" t="e">
        <f ca="1">[1]!BexGetData("DP_1","003N8EMH8GTFRCSWKMPXRRESE","GSON1112151031")</f>
        <v>#NAME?</v>
      </c>
      <c r="E2024" s="28" t="e">
        <f ca="1">[1]!BexGetData("DP_1","003N8EMH8GTFRCSWKMPXRRL3Y","GSON1112151031")</f>
        <v>#NAME?</v>
      </c>
      <c r="F2024" s="28" t="e">
        <f ca="1">[1]!BexGetData("DP_1","003N8EMH8GTFRCSWKMPXRRRFI","GSON1112151031")</f>
        <v>#NAME?</v>
      </c>
      <c r="G2024" s="23" t="e">
        <f ca="1">[1]!BexGetData("DP_1","003N8EMH8GTFRCSWKMPXRRXR2","GSON1112151031")</f>
        <v>#NAME?</v>
      </c>
      <c r="H2024" s="23" t="e">
        <f ca="1">[1]!BexGetData("DP_1","003N8EMH8GTFRCSWKMPXRS42M","GSON1112151031")</f>
        <v>#NAME?</v>
      </c>
      <c r="I2024" s="28" t="e">
        <f ca="1">[1]!BexGetData("DP_1","003N8EMH8GTFRCSWKMPXRSAE6","GSON1112151031")</f>
        <v>#NAME?</v>
      </c>
      <c r="J2024" s="24" t="e">
        <f ca="1">[1]!BexGetData("DP_1","003N8EMH8GTFRCSWKMPXRSGPQ","GSON1112151031")</f>
        <v>#NAME?</v>
      </c>
      <c r="K2024" s="28" t="e">
        <f ca="1">[1]!BexGetData("DP_1","003N8EMH8GTFRIVNUPY288VJH","GSON1112151031")</f>
        <v>#NAME?</v>
      </c>
      <c r="L2024" s="28" t="e">
        <f ca="1">[1]!BexGetData("DP_1","003N8EMH8GTFRIVNUPY2891V1","GSON1112151031")</f>
        <v>#NAME?</v>
      </c>
      <c r="M2024" s="28" t="e">
        <f ca="1">[1]!BexGetData("DP_1","003N8EMH8GTFRIVOG7KG9IQXA","GSON1112151031")</f>
        <v>#NAME?</v>
      </c>
      <c r="N2024" s="28" t="e">
        <f ca="1">[1]!BexGetData("DP_1","003N8EMH8GTFRIVOG7KG9IX8U","GSON1112151031")</f>
        <v>#NAME?</v>
      </c>
      <c r="O2024" s="28" t="e">
        <f ca="1">[1]!BexGetData("DP_1","003N8EMH8GTFRIVOG7KG9J3KE","GSON1112151031")</f>
        <v>#NAME?</v>
      </c>
      <c r="P2024" s="28" t="e">
        <f ca="1">[1]!BexGetData("DP_1","003N8EMH8GTFRIVOG7KG9J9VY","GSON1112151031")</f>
        <v>#NAME?</v>
      </c>
      <c r="Q2024" s="24" t="e">
        <f ca="1">[1]!BexGetData("DP_1","00O2TNJGODT0G5Z4TTKYMM5MT","GSON1112151031")</f>
        <v>#NAME?</v>
      </c>
      <c r="R2024" s="28" t="e">
        <f ca="1">[1]!BexGetData("DP_1","00O2TNJGODT0G5Z4TTKYMMBYD","GSON1112151031")</f>
        <v>#NAME?</v>
      </c>
      <c r="S2024" s="28" t="e">
        <f ca="1">[1]!BexGetData("DP_1","00O2TNJGODT0G5Z4TTKYMMI9X","GSON1112151031")</f>
        <v>#NAME?</v>
      </c>
      <c r="T2024" s="28" t="e">
        <f ca="1">[1]!BexGetData("DP_1","00O2TNJGODT0G5Z4TTKYMMOLH","GSON1112151031")</f>
        <v>#NAME?</v>
      </c>
      <c r="U2024" s="28" t="e">
        <f ca="1">[1]!BexGetData("DP_1","00O2TNJGODT0G5Z4TTKYMMUX1","GSON1112151031")</f>
        <v>#NAME?</v>
      </c>
      <c r="V2024" s="28" t="e">
        <f ca="1">[1]!BexGetData("DP_1","00O2TNJGODT0G5Z4TTKYMN18L","GSON1112151031")</f>
        <v>#NAME?</v>
      </c>
      <c r="W2024" s="28" t="e">
        <f ca="1">[1]!BexGetData("DP_1","00O2TNJGODT0G5Z4TTKYMN7K5","GSON1112151031")</f>
        <v>#NAME?</v>
      </c>
    </row>
    <row r="2025" spans="1:23" x14ac:dyDescent="0.2">
      <c r="A2025" s="36" t="s">
        <v>5019</v>
      </c>
      <c r="B2025" s="27" t="s">
        <v>5020</v>
      </c>
      <c r="C2025" s="24" t="e">
        <f ca="1">[1]!BexGetData("DP_1","003N8EMH8GTFRCSWKMPXRR8GU","GSON1112151035")</f>
        <v>#NAME?</v>
      </c>
      <c r="D2025" s="24" t="e">
        <f ca="1">[1]!BexGetData("DP_1","003N8EMH8GTFRCSWKMPXRRESE","GSON1112151035")</f>
        <v>#NAME?</v>
      </c>
      <c r="E2025" s="24" t="e">
        <f ca="1">[1]!BexGetData("DP_1","003N8EMH8GTFRCSWKMPXRRL3Y","GSON1112151035")</f>
        <v>#NAME?</v>
      </c>
      <c r="F2025" s="28" t="e">
        <f ca="1">[1]!BexGetData("DP_1","003N8EMH8GTFRCSWKMPXRRRFI","GSON1112151035")</f>
        <v>#NAME?</v>
      </c>
      <c r="G2025" s="23" t="e">
        <f ca="1">[1]!BexGetData("DP_1","003N8EMH8GTFRCSWKMPXRRXR2","GSON1112151035")</f>
        <v>#NAME?</v>
      </c>
      <c r="H2025" s="23" t="e">
        <f ca="1">[1]!BexGetData("DP_1","003N8EMH8GTFRCSWKMPXRS42M","GSON1112151035")</f>
        <v>#NAME?</v>
      </c>
      <c r="I2025" s="28" t="e">
        <f ca="1">[1]!BexGetData("DP_1","003N8EMH8GTFRCSWKMPXRSAE6","GSON1112151035")</f>
        <v>#NAME?</v>
      </c>
      <c r="J2025" s="24" t="e">
        <f ca="1">[1]!BexGetData("DP_1","003N8EMH8GTFRCSWKMPXRSGPQ","GSON1112151035")</f>
        <v>#NAME?</v>
      </c>
      <c r="K2025" s="28" t="e">
        <f ca="1">[1]!BexGetData("DP_1","003N8EMH8GTFRIVNUPY288VJH","GSON1112151035")</f>
        <v>#NAME?</v>
      </c>
      <c r="L2025" s="28" t="e">
        <f ca="1">[1]!BexGetData("DP_1","003N8EMH8GTFRIVNUPY2891V1","GSON1112151035")</f>
        <v>#NAME?</v>
      </c>
      <c r="M2025" s="28" t="e">
        <f ca="1">[1]!BexGetData("DP_1","003N8EMH8GTFRIVOG7KG9IQXA","GSON1112151035")</f>
        <v>#NAME?</v>
      </c>
      <c r="N2025" s="28" t="e">
        <f ca="1">[1]!BexGetData("DP_1","003N8EMH8GTFRIVOG7KG9IX8U","GSON1112151035")</f>
        <v>#NAME?</v>
      </c>
      <c r="O2025" s="28" t="e">
        <f ca="1">[1]!BexGetData("DP_1","003N8EMH8GTFRIVOG7KG9J3KE","GSON1112151035")</f>
        <v>#NAME?</v>
      </c>
      <c r="P2025" s="28" t="e">
        <f ca="1">[1]!BexGetData("DP_1","003N8EMH8GTFRIVOG7KG9J9VY","GSON1112151035")</f>
        <v>#NAME?</v>
      </c>
      <c r="Q2025" s="24" t="e">
        <f ca="1">[1]!BexGetData("DP_1","00O2TNJGODT0G5Z4TTKYMM5MT","GSON1112151035")</f>
        <v>#NAME?</v>
      </c>
      <c r="R2025" s="28" t="e">
        <f ca="1">[1]!BexGetData("DP_1","00O2TNJGODT0G5Z4TTKYMMBYD","GSON1112151035")</f>
        <v>#NAME?</v>
      </c>
      <c r="S2025" s="28" t="e">
        <f ca="1">[1]!BexGetData("DP_1","00O2TNJGODT0G5Z4TTKYMMI9X","GSON1112151035")</f>
        <v>#NAME?</v>
      </c>
      <c r="T2025" s="28" t="e">
        <f ca="1">[1]!BexGetData("DP_1","00O2TNJGODT0G5Z4TTKYMMOLH","GSON1112151035")</f>
        <v>#NAME?</v>
      </c>
      <c r="U2025" s="28" t="e">
        <f ca="1">[1]!BexGetData("DP_1","00O2TNJGODT0G5Z4TTKYMMUX1","GSON1112151035")</f>
        <v>#NAME?</v>
      </c>
      <c r="V2025" s="28" t="e">
        <f ca="1">[1]!BexGetData("DP_1","00O2TNJGODT0G5Z4TTKYMN18L","GSON1112151035")</f>
        <v>#NAME?</v>
      </c>
      <c r="W2025" s="28" t="e">
        <f ca="1">[1]!BexGetData("DP_1","00O2TNJGODT0G5Z4TTKYMN7K5","GSON1112151035")</f>
        <v>#NAME?</v>
      </c>
    </row>
    <row r="2026" spans="1:23" x14ac:dyDescent="0.2">
      <c r="A2026" s="36" t="s">
        <v>5021</v>
      </c>
      <c r="B2026" s="27" t="s">
        <v>5022</v>
      </c>
      <c r="C2026" s="28" t="e">
        <f ca="1">[1]!BexGetData("DP_1","003N8EMH8GTFRCSWKMPXRR8GU","GSON1112151040")</f>
        <v>#NAME?</v>
      </c>
      <c r="D2026" s="28" t="e">
        <f ca="1">[1]!BexGetData("DP_1","003N8EMH8GTFRCSWKMPXRRESE","GSON1112151040")</f>
        <v>#NAME?</v>
      </c>
      <c r="E2026" s="28" t="e">
        <f ca="1">[1]!BexGetData("DP_1","003N8EMH8GTFRCSWKMPXRRL3Y","GSON1112151040")</f>
        <v>#NAME?</v>
      </c>
      <c r="F2026" s="28" t="e">
        <f ca="1">[1]!BexGetData("DP_1","003N8EMH8GTFRCSWKMPXRRRFI","GSON1112151040")</f>
        <v>#NAME?</v>
      </c>
      <c r="G2026" s="28" t="e">
        <f ca="1">[1]!BexGetData("DP_1","003N8EMH8GTFRCSWKMPXRRXR2","GSON1112151040")</f>
        <v>#NAME?</v>
      </c>
      <c r="H2026" s="23" t="e">
        <f ca="1">[1]!BexGetData("DP_1","003N8EMH8GTFRCSWKMPXRS42M","GSON1112151040")</f>
        <v>#NAME?</v>
      </c>
      <c r="I2026" s="28" t="e">
        <f ca="1">[1]!BexGetData("DP_1","003N8EMH8GTFRCSWKMPXRSAE6","GSON1112151040")</f>
        <v>#NAME?</v>
      </c>
      <c r="J2026" s="23" t="e">
        <f ca="1">[1]!BexGetData("DP_1","003N8EMH8GTFRCSWKMPXRSGPQ","GSON1112151040")</f>
        <v>#NAME?</v>
      </c>
      <c r="K2026" s="28" t="e">
        <f ca="1">[1]!BexGetData("DP_1","003N8EMH8GTFRIVNUPY288VJH","GSON1112151040")</f>
        <v>#NAME?</v>
      </c>
      <c r="L2026" s="28" t="e">
        <f ca="1">[1]!BexGetData("DP_1","003N8EMH8GTFRIVNUPY2891V1","GSON1112151040")</f>
        <v>#NAME?</v>
      </c>
      <c r="M2026" s="28" t="e">
        <f ca="1">[1]!BexGetData("DP_1","003N8EMH8GTFRIVOG7KG9IQXA","GSON1112151040")</f>
        <v>#NAME?</v>
      </c>
      <c r="N2026" s="28" t="e">
        <f ca="1">[1]!BexGetData("DP_1","003N8EMH8GTFRIVOG7KG9IX8U","GSON1112151040")</f>
        <v>#NAME?</v>
      </c>
      <c r="O2026" s="28" t="e">
        <f ca="1">[1]!BexGetData("DP_1","003N8EMH8GTFRIVOG7KG9J3KE","GSON1112151040")</f>
        <v>#NAME?</v>
      </c>
      <c r="P2026" s="28" t="e">
        <f ca="1">[1]!BexGetData("DP_1","003N8EMH8GTFRIVOG7KG9J9VY","GSON1112151040")</f>
        <v>#NAME?</v>
      </c>
      <c r="Q2026" s="23" t="e">
        <f ca="1">[1]!BexGetData("DP_1","00O2TNJGODT0G5Z4TTKYMM5MT","GSON1112151040")</f>
        <v>#NAME?</v>
      </c>
      <c r="R2026" s="23" t="e">
        <f ca="1">[1]!BexGetData("DP_1","00O2TNJGODT0G5Z4TTKYMMBYD","GSON1112151040")</f>
        <v>#NAME?</v>
      </c>
      <c r="S2026" s="23" t="e">
        <f ca="1">[1]!BexGetData("DP_1","00O2TNJGODT0G5Z4TTKYMMI9X","GSON1112151040")</f>
        <v>#NAME?</v>
      </c>
      <c r="T2026" s="23" t="e">
        <f ca="1">[1]!BexGetData("DP_1","00O2TNJGODT0G5Z4TTKYMMOLH","GSON1112151040")</f>
        <v>#NAME?</v>
      </c>
      <c r="U2026" s="28" t="e">
        <f ca="1">[1]!BexGetData("DP_1","00O2TNJGODT0G5Z4TTKYMMUX1","GSON1112151040")</f>
        <v>#NAME?</v>
      </c>
      <c r="V2026" s="23" t="e">
        <f ca="1">[1]!BexGetData("DP_1","00O2TNJGODT0G5Z4TTKYMN18L","GSON1112151040")</f>
        <v>#NAME?</v>
      </c>
      <c r="W2026" s="28" t="e">
        <f ca="1">[1]!BexGetData("DP_1","00O2TNJGODT0G5Z4TTKYMN7K5","GSON1112151040")</f>
        <v>#NAME?</v>
      </c>
    </row>
    <row r="2027" spans="1:23" x14ac:dyDescent="0.2">
      <c r="A2027" s="36" t="s">
        <v>5023</v>
      </c>
      <c r="B2027" s="27" t="s">
        <v>5024</v>
      </c>
      <c r="C2027" s="24" t="e">
        <f ca="1">[1]!BexGetData("DP_1","003N8EMH8GTFRCSWKMPXRR8GU","GSON1112151044")</f>
        <v>#NAME?</v>
      </c>
      <c r="D2027" s="24" t="e">
        <f ca="1">[1]!BexGetData("DP_1","003N8EMH8GTFRCSWKMPXRRESE","GSON1112151044")</f>
        <v>#NAME?</v>
      </c>
      <c r="E2027" s="24" t="e">
        <f ca="1">[1]!BexGetData("DP_1","003N8EMH8GTFRCSWKMPXRRL3Y","GSON1112151044")</f>
        <v>#NAME?</v>
      </c>
      <c r="F2027" s="28" t="e">
        <f ca="1">[1]!BexGetData("DP_1","003N8EMH8GTFRCSWKMPXRRRFI","GSON1112151044")</f>
        <v>#NAME?</v>
      </c>
      <c r="G2027" s="23" t="e">
        <f ca="1">[1]!BexGetData("DP_1","003N8EMH8GTFRCSWKMPXRRXR2","GSON1112151044")</f>
        <v>#NAME?</v>
      </c>
      <c r="H2027" s="23" t="e">
        <f ca="1">[1]!BexGetData("DP_1","003N8EMH8GTFRCSWKMPXRS42M","GSON1112151044")</f>
        <v>#NAME?</v>
      </c>
      <c r="I2027" s="28" t="e">
        <f ca="1">[1]!BexGetData("DP_1","003N8EMH8GTFRCSWKMPXRSAE6","GSON1112151044")</f>
        <v>#NAME?</v>
      </c>
      <c r="J2027" s="24" t="e">
        <f ca="1">[1]!BexGetData("DP_1","003N8EMH8GTFRCSWKMPXRSGPQ","GSON1112151044")</f>
        <v>#NAME?</v>
      </c>
      <c r="K2027" s="28" t="e">
        <f ca="1">[1]!BexGetData("DP_1","003N8EMH8GTFRIVNUPY288VJH","GSON1112151044")</f>
        <v>#NAME?</v>
      </c>
      <c r="L2027" s="28" t="e">
        <f ca="1">[1]!BexGetData("DP_1","003N8EMH8GTFRIVNUPY2891V1","GSON1112151044")</f>
        <v>#NAME?</v>
      </c>
      <c r="M2027" s="28" t="e">
        <f ca="1">[1]!BexGetData("DP_1","003N8EMH8GTFRIVOG7KG9IQXA","GSON1112151044")</f>
        <v>#NAME?</v>
      </c>
      <c r="N2027" s="28" t="e">
        <f ca="1">[1]!BexGetData("DP_1","003N8EMH8GTFRIVOG7KG9IX8U","GSON1112151044")</f>
        <v>#NAME?</v>
      </c>
      <c r="O2027" s="28" t="e">
        <f ca="1">[1]!BexGetData("DP_1","003N8EMH8GTFRIVOG7KG9J3KE","GSON1112151044")</f>
        <v>#NAME?</v>
      </c>
      <c r="P2027" s="28" t="e">
        <f ca="1">[1]!BexGetData("DP_1","003N8EMH8GTFRIVOG7KG9J9VY","GSON1112151044")</f>
        <v>#NAME?</v>
      </c>
      <c r="Q2027" s="24" t="e">
        <f ca="1">[1]!BexGetData("DP_1","00O2TNJGODT0G5Z4TTKYMM5MT","GSON1112151044")</f>
        <v>#NAME?</v>
      </c>
      <c r="R2027" s="28" t="e">
        <f ca="1">[1]!BexGetData("DP_1","00O2TNJGODT0G5Z4TTKYMMBYD","GSON1112151044")</f>
        <v>#NAME?</v>
      </c>
      <c r="S2027" s="28" t="e">
        <f ca="1">[1]!BexGetData("DP_1","00O2TNJGODT0G5Z4TTKYMMI9X","GSON1112151044")</f>
        <v>#NAME?</v>
      </c>
      <c r="T2027" s="28" t="e">
        <f ca="1">[1]!BexGetData("DP_1","00O2TNJGODT0G5Z4TTKYMMOLH","GSON1112151044")</f>
        <v>#NAME?</v>
      </c>
      <c r="U2027" s="28" t="e">
        <f ca="1">[1]!BexGetData("DP_1","00O2TNJGODT0G5Z4TTKYMMUX1","GSON1112151044")</f>
        <v>#NAME?</v>
      </c>
      <c r="V2027" s="28" t="e">
        <f ca="1">[1]!BexGetData("DP_1","00O2TNJGODT0G5Z4TTKYMN18L","GSON1112151044")</f>
        <v>#NAME?</v>
      </c>
      <c r="W2027" s="28" t="e">
        <f ca="1">[1]!BexGetData("DP_1","00O2TNJGODT0G5Z4TTKYMN7K5","GSON1112151044")</f>
        <v>#NAME?</v>
      </c>
    </row>
    <row r="2028" spans="1:23" x14ac:dyDescent="0.2">
      <c r="A2028" s="36" t="s">
        <v>5025</v>
      </c>
      <c r="B2028" s="27" t="s">
        <v>5026</v>
      </c>
      <c r="C2028" s="28" t="e">
        <f ca="1">[1]!BexGetData("DP_1","003N8EMH8GTFRCSWKMPXRR8GU","GSON1112151050")</f>
        <v>#NAME?</v>
      </c>
      <c r="D2028" s="28" t="e">
        <f ca="1">[1]!BexGetData("DP_1","003N8EMH8GTFRCSWKMPXRRESE","GSON1112151050")</f>
        <v>#NAME?</v>
      </c>
      <c r="E2028" s="28" t="e">
        <f ca="1">[1]!BexGetData("DP_1","003N8EMH8GTFRCSWKMPXRRL3Y","GSON1112151050")</f>
        <v>#NAME?</v>
      </c>
      <c r="F2028" s="28" t="e">
        <f ca="1">[1]!BexGetData("DP_1","003N8EMH8GTFRCSWKMPXRRRFI","GSON1112151050")</f>
        <v>#NAME?</v>
      </c>
      <c r="G2028" s="28" t="e">
        <f ca="1">[1]!BexGetData("DP_1","003N8EMH8GTFRCSWKMPXRRXR2","GSON1112151050")</f>
        <v>#NAME?</v>
      </c>
      <c r="H2028" s="23" t="e">
        <f ca="1">[1]!BexGetData("DP_1","003N8EMH8GTFRCSWKMPXRS42M","GSON1112151050")</f>
        <v>#NAME?</v>
      </c>
      <c r="I2028" s="28" t="e">
        <f ca="1">[1]!BexGetData("DP_1","003N8EMH8GTFRCSWKMPXRSAE6","GSON1112151050")</f>
        <v>#NAME?</v>
      </c>
      <c r="J2028" s="23" t="e">
        <f ca="1">[1]!BexGetData("DP_1","003N8EMH8GTFRCSWKMPXRSGPQ","GSON1112151050")</f>
        <v>#NAME?</v>
      </c>
      <c r="K2028" s="28" t="e">
        <f ca="1">[1]!BexGetData("DP_1","003N8EMH8GTFRIVNUPY288VJH","GSON1112151050")</f>
        <v>#NAME?</v>
      </c>
      <c r="L2028" s="28" t="e">
        <f ca="1">[1]!BexGetData("DP_1","003N8EMH8GTFRIVNUPY2891V1","GSON1112151050")</f>
        <v>#NAME?</v>
      </c>
      <c r="M2028" s="28" t="e">
        <f ca="1">[1]!BexGetData("DP_1","003N8EMH8GTFRIVOG7KG9IQXA","GSON1112151050")</f>
        <v>#NAME?</v>
      </c>
      <c r="N2028" s="28" t="e">
        <f ca="1">[1]!BexGetData("DP_1","003N8EMH8GTFRIVOG7KG9IX8U","GSON1112151050")</f>
        <v>#NAME?</v>
      </c>
      <c r="O2028" s="28" t="e">
        <f ca="1">[1]!BexGetData("DP_1","003N8EMH8GTFRIVOG7KG9J3KE","GSON1112151050")</f>
        <v>#NAME?</v>
      </c>
      <c r="P2028" s="28" t="e">
        <f ca="1">[1]!BexGetData("DP_1","003N8EMH8GTFRIVOG7KG9J9VY","GSON1112151050")</f>
        <v>#NAME?</v>
      </c>
      <c r="Q2028" s="23" t="e">
        <f ca="1">[1]!BexGetData("DP_1","00O2TNJGODT0G5Z4TTKYMM5MT","GSON1112151050")</f>
        <v>#NAME?</v>
      </c>
      <c r="R2028" s="23" t="e">
        <f ca="1">[1]!BexGetData("DP_1","00O2TNJGODT0G5Z4TTKYMMBYD","GSON1112151050")</f>
        <v>#NAME?</v>
      </c>
      <c r="S2028" s="23" t="e">
        <f ca="1">[1]!BexGetData("DP_1","00O2TNJGODT0G5Z4TTKYMMI9X","GSON1112151050")</f>
        <v>#NAME?</v>
      </c>
      <c r="T2028" s="23" t="e">
        <f ca="1">[1]!BexGetData("DP_1","00O2TNJGODT0G5Z4TTKYMMOLH","GSON1112151050")</f>
        <v>#NAME?</v>
      </c>
      <c r="U2028" s="28" t="e">
        <f ca="1">[1]!BexGetData("DP_1","00O2TNJGODT0G5Z4TTKYMMUX1","GSON1112151050")</f>
        <v>#NAME?</v>
      </c>
      <c r="V2028" s="23" t="e">
        <f ca="1">[1]!BexGetData("DP_1","00O2TNJGODT0G5Z4TTKYMN18L","GSON1112151050")</f>
        <v>#NAME?</v>
      </c>
      <c r="W2028" s="28" t="e">
        <f ca="1">[1]!BexGetData("DP_1","00O2TNJGODT0G5Z4TTKYMN7K5","GSON1112151050")</f>
        <v>#NAME?</v>
      </c>
    </row>
    <row r="2029" spans="1:23" x14ac:dyDescent="0.2">
      <c r="A2029" s="36" t="s">
        <v>5027</v>
      </c>
      <c r="B2029" s="27" t="s">
        <v>5028</v>
      </c>
      <c r="C2029" s="24" t="e">
        <f ca="1">[1]!BexGetData("DP_1","003N8EMH8GTFRCSWKMPXRR8GU","GSON1112151054")</f>
        <v>#NAME?</v>
      </c>
      <c r="D2029" s="24" t="e">
        <f ca="1">[1]!BexGetData("DP_1","003N8EMH8GTFRCSWKMPXRRESE","GSON1112151054")</f>
        <v>#NAME?</v>
      </c>
      <c r="E2029" s="24" t="e">
        <f ca="1">[1]!BexGetData("DP_1","003N8EMH8GTFRCSWKMPXRRL3Y","GSON1112151054")</f>
        <v>#NAME?</v>
      </c>
      <c r="F2029" s="28" t="e">
        <f ca="1">[1]!BexGetData("DP_1","003N8EMH8GTFRCSWKMPXRRRFI","GSON1112151054")</f>
        <v>#NAME?</v>
      </c>
      <c r="G2029" s="23" t="e">
        <f ca="1">[1]!BexGetData("DP_1","003N8EMH8GTFRCSWKMPXRRXR2","GSON1112151054")</f>
        <v>#NAME?</v>
      </c>
      <c r="H2029" s="23" t="e">
        <f ca="1">[1]!BexGetData("DP_1","003N8EMH8GTFRCSWKMPXRS42M","GSON1112151054")</f>
        <v>#NAME?</v>
      </c>
      <c r="I2029" s="28" t="e">
        <f ca="1">[1]!BexGetData("DP_1","003N8EMH8GTFRCSWKMPXRSAE6","GSON1112151054")</f>
        <v>#NAME?</v>
      </c>
      <c r="J2029" s="24" t="e">
        <f ca="1">[1]!BexGetData("DP_1","003N8EMH8GTFRCSWKMPXRSGPQ","GSON1112151054")</f>
        <v>#NAME?</v>
      </c>
      <c r="K2029" s="28" t="e">
        <f ca="1">[1]!BexGetData("DP_1","003N8EMH8GTFRIVNUPY288VJH","GSON1112151054")</f>
        <v>#NAME?</v>
      </c>
      <c r="L2029" s="28" t="e">
        <f ca="1">[1]!BexGetData("DP_1","003N8EMH8GTFRIVNUPY2891V1","GSON1112151054")</f>
        <v>#NAME?</v>
      </c>
      <c r="M2029" s="28" t="e">
        <f ca="1">[1]!BexGetData("DP_1","003N8EMH8GTFRIVOG7KG9IQXA","GSON1112151054")</f>
        <v>#NAME?</v>
      </c>
      <c r="N2029" s="28" t="e">
        <f ca="1">[1]!BexGetData("DP_1","003N8EMH8GTFRIVOG7KG9IX8U","GSON1112151054")</f>
        <v>#NAME?</v>
      </c>
      <c r="O2029" s="28" t="e">
        <f ca="1">[1]!BexGetData("DP_1","003N8EMH8GTFRIVOG7KG9J3KE","GSON1112151054")</f>
        <v>#NAME?</v>
      </c>
      <c r="P2029" s="28" t="e">
        <f ca="1">[1]!BexGetData("DP_1","003N8EMH8GTFRIVOG7KG9J9VY","GSON1112151054")</f>
        <v>#NAME?</v>
      </c>
      <c r="Q2029" s="24" t="e">
        <f ca="1">[1]!BexGetData("DP_1","00O2TNJGODT0G5Z4TTKYMM5MT","GSON1112151054")</f>
        <v>#NAME?</v>
      </c>
      <c r="R2029" s="28" t="e">
        <f ca="1">[1]!BexGetData("DP_1","00O2TNJGODT0G5Z4TTKYMMBYD","GSON1112151054")</f>
        <v>#NAME?</v>
      </c>
      <c r="S2029" s="28" t="e">
        <f ca="1">[1]!BexGetData("DP_1","00O2TNJGODT0G5Z4TTKYMMI9X","GSON1112151054")</f>
        <v>#NAME?</v>
      </c>
      <c r="T2029" s="28" t="e">
        <f ca="1">[1]!BexGetData("DP_1","00O2TNJGODT0G5Z4TTKYMMOLH","GSON1112151054")</f>
        <v>#NAME?</v>
      </c>
      <c r="U2029" s="28" t="e">
        <f ca="1">[1]!BexGetData("DP_1","00O2TNJGODT0G5Z4TTKYMMUX1","GSON1112151054")</f>
        <v>#NAME?</v>
      </c>
      <c r="V2029" s="28" t="e">
        <f ca="1">[1]!BexGetData("DP_1","00O2TNJGODT0G5Z4TTKYMN18L","GSON1112151054")</f>
        <v>#NAME?</v>
      </c>
      <c r="W2029" s="28" t="e">
        <f ca="1">[1]!BexGetData("DP_1","00O2TNJGODT0G5Z4TTKYMN7K5","GSON1112151054")</f>
        <v>#NAME?</v>
      </c>
    </row>
    <row r="2030" spans="1:23" x14ac:dyDescent="0.2">
      <c r="A2030" s="36" t="s">
        <v>5029</v>
      </c>
      <c r="B2030" s="27" t="s">
        <v>5030</v>
      </c>
      <c r="C2030" s="28" t="e">
        <f ca="1">[1]!BexGetData("DP_1","003N8EMH8GTFRCSWKMPXRR8GU","GSON1112151060")</f>
        <v>#NAME?</v>
      </c>
      <c r="D2030" s="28" t="e">
        <f ca="1">[1]!BexGetData("DP_1","003N8EMH8GTFRCSWKMPXRRESE","GSON1112151060")</f>
        <v>#NAME?</v>
      </c>
      <c r="E2030" s="23" t="e">
        <f ca="1">[1]!BexGetData("DP_1","003N8EMH8GTFRCSWKMPXRRL3Y","GSON1112151060")</f>
        <v>#NAME?</v>
      </c>
      <c r="F2030" s="23" t="e">
        <f ca="1">[1]!BexGetData("DP_1","003N8EMH8GTFRCSWKMPXRRRFI","GSON1112151060")</f>
        <v>#NAME?</v>
      </c>
      <c r="G2030" s="23" t="e">
        <f ca="1">[1]!BexGetData("DP_1","003N8EMH8GTFRCSWKMPXRRXR2","GSON1112151060")</f>
        <v>#NAME?</v>
      </c>
      <c r="H2030" s="23" t="e">
        <f ca="1">[1]!BexGetData("DP_1","003N8EMH8GTFRCSWKMPXRS42M","GSON1112151060")</f>
        <v>#NAME?</v>
      </c>
      <c r="I2030" s="23" t="e">
        <f ca="1">[1]!BexGetData("DP_1","003N8EMH8GTFRCSWKMPXRSAE6","GSON1112151060")</f>
        <v>#NAME?</v>
      </c>
      <c r="J2030" s="23" t="e">
        <f ca="1">[1]!BexGetData("DP_1","003N8EMH8GTFRCSWKMPXRSGPQ","GSON1112151060")</f>
        <v>#NAME?</v>
      </c>
      <c r="K2030" s="28" t="e">
        <f ca="1">[1]!BexGetData("DP_1","003N8EMH8GTFRIVNUPY288VJH","GSON1112151060")</f>
        <v>#NAME?</v>
      </c>
      <c r="L2030" s="28" t="e">
        <f ca="1">[1]!BexGetData("DP_1","003N8EMH8GTFRIVNUPY2891V1","GSON1112151060")</f>
        <v>#NAME?</v>
      </c>
      <c r="M2030" s="28" t="e">
        <f ca="1">[1]!BexGetData("DP_1","003N8EMH8GTFRIVOG7KG9IQXA","GSON1112151060")</f>
        <v>#NAME?</v>
      </c>
      <c r="N2030" s="28" t="e">
        <f ca="1">[1]!BexGetData("DP_1","003N8EMH8GTFRIVOG7KG9IX8U","GSON1112151060")</f>
        <v>#NAME?</v>
      </c>
      <c r="O2030" s="28" t="e">
        <f ca="1">[1]!BexGetData("DP_1","003N8EMH8GTFRIVOG7KG9J3KE","GSON1112151060")</f>
        <v>#NAME?</v>
      </c>
      <c r="P2030" s="28" t="e">
        <f ca="1">[1]!BexGetData("DP_1","003N8EMH8GTFRIVOG7KG9J9VY","GSON1112151060")</f>
        <v>#NAME?</v>
      </c>
      <c r="Q2030" s="23" t="e">
        <f ca="1">[1]!BexGetData("DP_1","00O2TNJGODT0G5Z4TTKYMM5MT","GSON1112151060")</f>
        <v>#NAME?</v>
      </c>
      <c r="R2030" s="23" t="e">
        <f ca="1">[1]!BexGetData("DP_1","00O2TNJGODT0G5Z4TTKYMMBYD","GSON1112151060")</f>
        <v>#NAME?</v>
      </c>
      <c r="S2030" s="23" t="e">
        <f ca="1">[1]!BexGetData("DP_1","00O2TNJGODT0G5Z4TTKYMMI9X","GSON1112151060")</f>
        <v>#NAME?</v>
      </c>
      <c r="T2030" s="23" t="e">
        <f ca="1">[1]!BexGetData("DP_1","00O2TNJGODT0G5Z4TTKYMMOLH","GSON1112151060")</f>
        <v>#NAME?</v>
      </c>
      <c r="U2030" s="28" t="e">
        <f ca="1">[1]!BexGetData("DP_1","00O2TNJGODT0G5Z4TTKYMMUX1","GSON1112151060")</f>
        <v>#NAME?</v>
      </c>
      <c r="V2030" s="23" t="e">
        <f ca="1">[1]!BexGetData("DP_1","00O2TNJGODT0G5Z4TTKYMN18L","GSON1112151060")</f>
        <v>#NAME?</v>
      </c>
      <c r="W2030" s="28" t="e">
        <f ca="1">[1]!BexGetData("DP_1","00O2TNJGODT0G5Z4TTKYMN7K5","GSON1112151060")</f>
        <v>#NAME?</v>
      </c>
    </row>
    <row r="2031" spans="1:23" x14ac:dyDescent="0.2">
      <c r="A2031" s="36" t="s">
        <v>5031</v>
      </c>
      <c r="B2031" s="27" t="s">
        <v>5032</v>
      </c>
      <c r="C2031" s="28" t="e">
        <f ca="1">[1]!BexGetData("DP_1","003N8EMH8GTFRCSWKMPXRR8GU","GSON1112151061")</f>
        <v>#NAME?</v>
      </c>
      <c r="D2031" s="28" t="e">
        <f ca="1">[1]!BexGetData("DP_1","003N8EMH8GTFRCSWKMPXRRESE","GSON1112151061")</f>
        <v>#NAME?</v>
      </c>
      <c r="E2031" s="28" t="e">
        <f ca="1">[1]!BexGetData("DP_1","003N8EMH8GTFRCSWKMPXRRL3Y","GSON1112151061")</f>
        <v>#NAME?</v>
      </c>
      <c r="F2031" s="28" t="e">
        <f ca="1">[1]!BexGetData("DP_1","003N8EMH8GTFRCSWKMPXRRRFI","GSON1112151061")</f>
        <v>#NAME?</v>
      </c>
      <c r="G2031" s="23" t="e">
        <f ca="1">[1]!BexGetData("DP_1","003N8EMH8GTFRCSWKMPXRRXR2","GSON1112151061")</f>
        <v>#NAME?</v>
      </c>
      <c r="H2031" s="23" t="e">
        <f ca="1">[1]!BexGetData("DP_1","003N8EMH8GTFRCSWKMPXRS42M","GSON1112151061")</f>
        <v>#NAME?</v>
      </c>
      <c r="I2031" s="28" t="e">
        <f ca="1">[1]!BexGetData("DP_1","003N8EMH8GTFRCSWKMPXRSAE6","GSON1112151061")</f>
        <v>#NAME?</v>
      </c>
      <c r="J2031" s="24" t="e">
        <f ca="1">[1]!BexGetData("DP_1","003N8EMH8GTFRCSWKMPXRSGPQ","GSON1112151061")</f>
        <v>#NAME?</v>
      </c>
      <c r="K2031" s="28" t="e">
        <f ca="1">[1]!BexGetData("DP_1","003N8EMH8GTFRIVNUPY288VJH","GSON1112151061")</f>
        <v>#NAME?</v>
      </c>
      <c r="L2031" s="28" t="e">
        <f ca="1">[1]!BexGetData("DP_1","003N8EMH8GTFRIVNUPY2891V1","GSON1112151061")</f>
        <v>#NAME?</v>
      </c>
      <c r="M2031" s="28" t="e">
        <f ca="1">[1]!BexGetData("DP_1","003N8EMH8GTFRIVOG7KG9IQXA","GSON1112151061")</f>
        <v>#NAME?</v>
      </c>
      <c r="N2031" s="28" t="e">
        <f ca="1">[1]!BexGetData("DP_1","003N8EMH8GTFRIVOG7KG9IX8U","GSON1112151061")</f>
        <v>#NAME?</v>
      </c>
      <c r="O2031" s="28" t="e">
        <f ca="1">[1]!BexGetData("DP_1","003N8EMH8GTFRIVOG7KG9J3KE","GSON1112151061")</f>
        <v>#NAME?</v>
      </c>
      <c r="P2031" s="28" t="e">
        <f ca="1">[1]!BexGetData("DP_1","003N8EMH8GTFRIVOG7KG9J9VY","GSON1112151061")</f>
        <v>#NAME?</v>
      </c>
      <c r="Q2031" s="24" t="e">
        <f ca="1">[1]!BexGetData("DP_1","00O2TNJGODT0G5Z4TTKYMM5MT","GSON1112151061")</f>
        <v>#NAME?</v>
      </c>
      <c r="R2031" s="28" t="e">
        <f ca="1">[1]!BexGetData("DP_1","00O2TNJGODT0G5Z4TTKYMMBYD","GSON1112151061")</f>
        <v>#NAME?</v>
      </c>
      <c r="S2031" s="28" t="e">
        <f ca="1">[1]!BexGetData("DP_1","00O2TNJGODT0G5Z4TTKYMMI9X","GSON1112151061")</f>
        <v>#NAME?</v>
      </c>
      <c r="T2031" s="28" t="e">
        <f ca="1">[1]!BexGetData("DP_1","00O2TNJGODT0G5Z4TTKYMMOLH","GSON1112151061")</f>
        <v>#NAME?</v>
      </c>
      <c r="U2031" s="28" t="e">
        <f ca="1">[1]!BexGetData("DP_1","00O2TNJGODT0G5Z4TTKYMMUX1","GSON1112151061")</f>
        <v>#NAME?</v>
      </c>
      <c r="V2031" s="28" t="e">
        <f ca="1">[1]!BexGetData("DP_1","00O2TNJGODT0G5Z4TTKYMN18L","GSON1112151061")</f>
        <v>#NAME?</v>
      </c>
      <c r="W2031" s="28" t="e">
        <f ca="1">[1]!BexGetData("DP_1","00O2TNJGODT0G5Z4TTKYMN7K5","GSON1112151061")</f>
        <v>#NAME?</v>
      </c>
    </row>
    <row r="2032" spans="1:23" x14ac:dyDescent="0.2">
      <c r="A2032" s="36" t="s">
        <v>5033</v>
      </c>
      <c r="B2032" s="27" t="s">
        <v>5034</v>
      </c>
      <c r="C2032" s="28" t="e">
        <f ca="1">[1]!BexGetData("DP_1","003N8EMH8GTFRCSWKMPXRR8GU","GSON1112151063")</f>
        <v>#NAME?</v>
      </c>
      <c r="D2032" s="28" t="e">
        <f ca="1">[1]!BexGetData("DP_1","003N8EMH8GTFRCSWKMPXRRESE","GSON1112151063")</f>
        <v>#NAME?</v>
      </c>
      <c r="E2032" s="28" t="e">
        <f ca="1">[1]!BexGetData("DP_1","003N8EMH8GTFRCSWKMPXRRL3Y","GSON1112151063")</f>
        <v>#NAME?</v>
      </c>
      <c r="F2032" s="28" t="e">
        <f ca="1">[1]!BexGetData("DP_1","003N8EMH8GTFRCSWKMPXRRRFI","GSON1112151063")</f>
        <v>#NAME?</v>
      </c>
      <c r="G2032" s="23" t="e">
        <f ca="1">[1]!BexGetData("DP_1","003N8EMH8GTFRCSWKMPXRRXR2","GSON1112151063")</f>
        <v>#NAME?</v>
      </c>
      <c r="H2032" s="23" t="e">
        <f ca="1">[1]!BexGetData("DP_1","003N8EMH8GTFRCSWKMPXRS42M","GSON1112151063")</f>
        <v>#NAME?</v>
      </c>
      <c r="I2032" s="28" t="e">
        <f ca="1">[1]!BexGetData("DP_1","003N8EMH8GTFRCSWKMPXRSAE6","GSON1112151063")</f>
        <v>#NAME?</v>
      </c>
      <c r="J2032" s="24" t="e">
        <f ca="1">[1]!BexGetData("DP_1","003N8EMH8GTFRCSWKMPXRSGPQ","GSON1112151063")</f>
        <v>#NAME?</v>
      </c>
      <c r="K2032" s="28" t="e">
        <f ca="1">[1]!BexGetData("DP_1","003N8EMH8GTFRIVNUPY288VJH","GSON1112151063")</f>
        <v>#NAME?</v>
      </c>
      <c r="L2032" s="28" t="e">
        <f ca="1">[1]!BexGetData("DP_1","003N8EMH8GTFRIVNUPY2891V1","GSON1112151063")</f>
        <v>#NAME?</v>
      </c>
      <c r="M2032" s="28" t="e">
        <f ca="1">[1]!BexGetData("DP_1","003N8EMH8GTFRIVOG7KG9IQXA","GSON1112151063")</f>
        <v>#NAME?</v>
      </c>
      <c r="N2032" s="28" t="e">
        <f ca="1">[1]!BexGetData("DP_1","003N8EMH8GTFRIVOG7KG9IX8U","GSON1112151063")</f>
        <v>#NAME?</v>
      </c>
      <c r="O2032" s="28" t="e">
        <f ca="1">[1]!BexGetData("DP_1","003N8EMH8GTFRIVOG7KG9J3KE","GSON1112151063")</f>
        <v>#NAME?</v>
      </c>
      <c r="P2032" s="28" t="e">
        <f ca="1">[1]!BexGetData("DP_1","003N8EMH8GTFRIVOG7KG9J9VY","GSON1112151063")</f>
        <v>#NAME?</v>
      </c>
      <c r="Q2032" s="24" t="e">
        <f ca="1">[1]!BexGetData("DP_1","00O2TNJGODT0G5Z4TTKYMM5MT","GSON1112151063")</f>
        <v>#NAME?</v>
      </c>
      <c r="R2032" s="28" t="e">
        <f ca="1">[1]!BexGetData("DP_1","00O2TNJGODT0G5Z4TTKYMMBYD","GSON1112151063")</f>
        <v>#NAME?</v>
      </c>
      <c r="S2032" s="28" t="e">
        <f ca="1">[1]!BexGetData("DP_1","00O2TNJGODT0G5Z4TTKYMMI9X","GSON1112151063")</f>
        <v>#NAME?</v>
      </c>
      <c r="T2032" s="28" t="e">
        <f ca="1">[1]!BexGetData("DP_1","00O2TNJGODT0G5Z4TTKYMMOLH","GSON1112151063")</f>
        <v>#NAME?</v>
      </c>
      <c r="U2032" s="28" t="e">
        <f ca="1">[1]!BexGetData("DP_1","00O2TNJGODT0G5Z4TTKYMMUX1","GSON1112151063")</f>
        <v>#NAME?</v>
      </c>
      <c r="V2032" s="28" t="e">
        <f ca="1">[1]!BexGetData("DP_1","00O2TNJGODT0G5Z4TTKYMN18L","GSON1112151063")</f>
        <v>#NAME?</v>
      </c>
      <c r="W2032" s="28" t="e">
        <f ca="1">[1]!BexGetData("DP_1","00O2TNJGODT0G5Z4TTKYMN7K5","GSON1112151063")</f>
        <v>#NAME?</v>
      </c>
    </row>
    <row r="2033" spans="1:23" x14ac:dyDescent="0.2">
      <c r="A2033" s="36" t="s">
        <v>5035</v>
      </c>
      <c r="B2033" s="27" t="s">
        <v>5036</v>
      </c>
      <c r="C2033" s="24" t="e">
        <f ca="1">[1]!BexGetData("DP_1","003N8EMH8GTFRCSWKMPXRR8GU","GSON1112151064")</f>
        <v>#NAME?</v>
      </c>
      <c r="D2033" s="24" t="e">
        <f ca="1">[1]!BexGetData("DP_1","003N8EMH8GTFRCSWKMPXRRESE","GSON1112151064")</f>
        <v>#NAME?</v>
      </c>
      <c r="E2033" s="24" t="e">
        <f ca="1">[1]!BexGetData("DP_1","003N8EMH8GTFRCSWKMPXRRL3Y","GSON1112151064")</f>
        <v>#NAME?</v>
      </c>
      <c r="F2033" s="28" t="e">
        <f ca="1">[1]!BexGetData("DP_1","003N8EMH8GTFRCSWKMPXRRRFI","GSON1112151064")</f>
        <v>#NAME?</v>
      </c>
      <c r="G2033" s="23" t="e">
        <f ca="1">[1]!BexGetData("DP_1","003N8EMH8GTFRCSWKMPXRRXR2","GSON1112151064")</f>
        <v>#NAME?</v>
      </c>
      <c r="H2033" s="23" t="e">
        <f ca="1">[1]!BexGetData("DP_1","003N8EMH8GTFRCSWKMPXRS42M","GSON1112151064")</f>
        <v>#NAME?</v>
      </c>
      <c r="I2033" s="28" t="e">
        <f ca="1">[1]!BexGetData("DP_1","003N8EMH8GTFRCSWKMPXRSAE6","GSON1112151064")</f>
        <v>#NAME?</v>
      </c>
      <c r="J2033" s="24" t="e">
        <f ca="1">[1]!BexGetData("DP_1","003N8EMH8GTFRCSWKMPXRSGPQ","GSON1112151064")</f>
        <v>#NAME?</v>
      </c>
      <c r="K2033" s="28" t="e">
        <f ca="1">[1]!BexGetData("DP_1","003N8EMH8GTFRIVNUPY288VJH","GSON1112151064")</f>
        <v>#NAME?</v>
      </c>
      <c r="L2033" s="28" t="e">
        <f ca="1">[1]!BexGetData("DP_1","003N8EMH8GTFRIVNUPY2891V1","GSON1112151064")</f>
        <v>#NAME?</v>
      </c>
      <c r="M2033" s="28" t="e">
        <f ca="1">[1]!BexGetData("DP_1","003N8EMH8GTFRIVOG7KG9IQXA","GSON1112151064")</f>
        <v>#NAME?</v>
      </c>
      <c r="N2033" s="28" t="e">
        <f ca="1">[1]!BexGetData("DP_1","003N8EMH8GTFRIVOG7KG9IX8U","GSON1112151064")</f>
        <v>#NAME?</v>
      </c>
      <c r="O2033" s="28" t="e">
        <f ca="1">[1]!BexGetData("DP_1","003N8EMH8GTFRIVOG7KG9J3KE","GSON1112151064")</f>
        <v>#NAME?</v>
      </c>
      <c r="P2033" s="28" t="e">
        <f ca="1">[1]!BexGetData("DP_1","003N8EMH8GTFRIVOG7KG9J9VY","GSON1112151064")</f>
        <v>#NAME?</v>
      </c>
      <c r="Q2033" s="24" t="e">
        <f ca="1">[1]!BexGetData("DP_1","00O2TNJGODT0G5Z4TTKYMM5MT","GSON1112151064")</f>
        <v>#NAME?</v>
      </c>
      <c r="R2033" s="28" t="e">
        <f ca="1">[1]!BexGetData("DP_1","00O2TNJGODT0G5Z4TTKYMMBYD","GSON1112151064")</f>
        <v>#NAME?</v>
      </c>
      <c r="S2033" s="28" t="e">
        <f ca="1">[1]!BexGetData("DP_1","00O2TNJGODT0G5Z4TTKYMMI9X","GSON1112151064")</f>
        <v>#NAME?</v>
      </c>
      <c r="T2033" s="28" t="e">
        <f ca="1">[1]!BexGetData("DP_1","00O2TNJGODT0G5Z4TTKYMMOLH","GSON1112151064")</f>
        <v>#NAME?</v>
      </c>
      <c r="U2033" s="28" t="e">
        <f ca="1">[1]!BexGetData("DP_1","00O2TNJGODT0G5Z4TTKYMMUX1","GSON1112151064")</f>
        <v>#NAME?</v>
      </c>
      <c r="V2033" s="28" t="e">
        <f ca="1">[1]!BexGetData("DP_1","00O2TNJGODT0G5Z4TTKYMN18L","GSON1112151064")</f>
        <v>#NAME?</v>
      </c>
      <c r="W2033" s="28" t="e">
        <f ca="1">[1]!BexGetData("DP_1","00O2TNJGODT0G5Z4TTKYMN7K5","GSON1112151064")</f>
        <v>#NAME?</v>
      </c>
    </row>
    <row r="2034" spans="1:23" x14ac:dyDescent="0.2">
      <c r="A2034" s="36" t="s">
        <v>5037</v>
      </c>
      <c r="B2034" s="27" t="s">
        <v>5038</v>
      </c>
      <c r="C2034" s="28" t="e">
        <f ca="1">[1]!BexGetData("DP_1","003N8EMH8GTFRCSWKMPXRR8GU","GSON1112151065")</f>
        <v>#NAME?</v>
      </c>
      <c r="D2034" s="28" t="e">
        <f ca="1">[1]!BexGetData("DP_1","003N8EMH8GTFRCSWKMPXRRESE","GSON1112151065")</f>
        <v>#NAME?</v>
      </c>
      <c r="E2034" s="28" t="e">
        <f ca="1">[1]!BexGetData("DP_1","003N8EMH8GTFRCSWKMPXRRL3Y","GSON1112151065")</f>
        <v>#NAME?</v>
      </c>
      <c r="F2034" s="28" t="e">
        <f ca="1">[1]!BexGetData("DP_1","003N8EMH8GTFRCSWKMPXRRRFI","GSON1112151065")</f>
        <v>#NAME?</v>
      </c>
      <c r="G2034" s="23" t="e">
        <f ca="1">[1]!BexGetData("DP_1","003N8EMH8GTFRCSWKMPXRRXR2","GSON1112151065")</f>
        <v>#NAME?</v>
      </c>
      <c r="H2034" s="23" t="e">
        <f ca="1">[1]!BexGetData("DP_1","003N8EMH8GTFRCSWKMPXRS42M","GSON1112151065")</f>
        <v>#NAME?</v>
      </c>
      <c r="I2034" s="28" t="e">
        <f ca="1">[1]!BexGetData("DP_1","003N8EMH8GTFRCSWKMPXRSAE6","GSON1112151065")</f>
        <v>#NAME?</v>
      </c>
      <c r="J2034" s="24" t="e">
        <f ca="1">[1]!BexGetData("DP_1","003N8EMH8GTFRCSWKMPXRSGPQ","GSON1112151065")</f>
        <v>#NAME?</v>
      </c>
      <c r="K2034" s="28" t="e">
        <f ca="1">[1]!BexGetData("DP_1","003N8EMH8GTFRIVNUPY288VJH","GSON1112151065")</f>
        <v>#NAME?</v>
      </c>
      <c r="L2034" s="28" t="e">
        <f ca="1">[1]!BexGetData("DP_1","003N8EMH8GTFRIVNUPY2891V1","GSON1112151065")</f>
        <v>#NAME?</v>
      </c>
      <c r="M2034" s="28" t="e">
        <f ca="1">[1]!BexGetData("DP_1","003N8EMH8GTFRIVOG7KG9IQXA","GSON1112151065")</f>
        <v>#NAME?</v>
      </c>
      <c r="N2034" s="28" t="e">
        <f ca="1">[1]!BexGetData("DP_1","003N8EMH8GTFRIVOG7KG9IX8U","GSON1112151065")</f>
        <v>#NAME?</v>
      </c>
      <c r="O2034" s="28" t="e">
        <f ca="1">[1]!BexGetData("DP_1","003N8EMH8GTFRIVOG7KG9J3KE","GSON1112151065")</f>
        <v>#NAME?</v>
      </c>
      <c r="P2034" s="28" t="e">
        <f ca="1">[1]!BexGetData("DP_1","003N8EMH8GTFRIVOG7KG9J9VY","GSON1112151065")</f>
        <v>#NAME?</v>
      </c>
      <c r="Q2034" s="24" t="e">
        <f ca="1">[1]!BexGetData("DP_1","00O2TNJGODT0G5Z4TTKYMM5MT","GSON1112151065")</f>
        <v>#NAME?</v>
      </c>
      <c r="R2034" s="28" t="e">
        <f ca="1">[1]!BexGetData("DP_1","00O2TNJGODT0G5Z4TTKYMMBYD","GSON1112151065")</f>
        <v>#NAME?</v>
      </c>
      <c r="S2034" s="28" t="e">
        <f ca="1">[1]!BexGetData("DP_1","00O2TNJGODT0G5Z4TTKYMMI9X","GSON1112151065")</f>
        <v>#NAME?</v>
      </c>
      <c r="T2034" s="28" t="e">
        <f ca="1">[1]!BexGetData("DP_1","00O2TNJGODT0G5Z4TTKYMMOLH","GSON1112151065")</f>
        <v>#NAME?</v>
      </c>
      <c r="U2034" s="28" t="e">
        <f ca="1">[1]!BexGetData("DP_1","00O2TNJGODT0G5Z4TTKYMMUX1","GSON1112151065")</f>
        <v>#NAME?</v>
      </c>
      <c r="V2034" s="28" t="e">
        <f ca="1">[1]!BexGetData("DP_1","00O2TNJGODT0G5Z4TTKYMN18L","GSON1112151065")</f>
        <v>#NAME?</v>
      </c>
      <c r="W2034" s="28" t="e">
        <f ca="1">[1]!BexGetData("DP_1","00O2TNJGODT0G5Z4TTKYMN7K5","GSON1112151065")</f>
        <v>#NAME?</v>
      </c>
    </row>
    <row r="2035" spans="1:23" x14ac:dyDescent="0.2">
      <c r="A2035" s="36" t="s">
        <v>5039</v>
      </c>
      <c r="B2035" s="27" t="s">
        <v>5040</v>
      </c>
      <c r="C2035" s="28" t="e">
        <f ca="1">[1]!BexGetData("DP_1","003N8EMH8GTFRCSWKMPXRR8GU","GSON1112151070")</f>
        <v>#NAME?</v>
      </c>
      <c r="D2035" s="28" t="e">
        <f ca="1">[1]!BexGetData("DP_1","003N8EMH8GTFRCSWKMPXRRESE","GSON1112151070")</f>
        <v>#NAME?</v>
      </c>
      <c r="E2035" s="28" t="e">
        <f ca="1">[1]!BexGetData("DP_1","003N8EMH8GTFRCSWKMPXRRL3Y","GSON1112151070")</f>
        <v>#NAME?</v>
      </c>
      <c r="F2035" s="28" t="e">
        <f ca="1">[1]!BexGetData("DP_1","003N8EMH8GTFRCSWKMPXRRRFI","GSON1112151070")</f>
        <v>#NAME?</v>
      </c>
      <c r="G2035" s="23" t="e">
        <f ca="1">[1]!BexGetData("DP_1","003N8EMH8GTFRCSWKMPXRRXR2","GSON1112151070")</f>
        <v>#NAME?</v>
      </c>
      <c r="H2035" s="23" t="e">
        <f ca="1">[1]!BexGetData("DP_1","003N8EMH8GTFRCSWKMPXRS42M","GSON1112151070")</f>
        <v>#NAME?</v>
      </c>
      <c r="I2035" s="28" t="e">
        <f ca="1">[1]!BexGetData("DP_1","003N8EMH8GTFRCSWKMPXRSAE6","GSON1112151070")</f>
        <v>#NAME?</v>
      </c>
      <c r="J2035" s="23" t="e">
        <f ca="1">[1]!BexGetData("DP_1","003N8EMH8GTFRCSWKMPXRSGPQ","GSON1112151070")</f>
        <v>#NAME?</v>
      </c>
      <c r="K2035" s="28" t="e">
        <f ca="1">[1]!BexGetData("DP_1","003N8EMH8GTFRIVNUPY288VJH","GSON1112151070")</f>
        <v>#NAME?</v>
      </c>
      <c r="L2035" s="28" t="e">
        <f ca="1">[1]!BexGetData("DP_1","003N8EMH8GTFRIVNUPY2891V1","GSON1112151070")</f>
        <v>#NAME?</v>
      </c>
      <c r="M2035" s="28" t="e">
        <f ca="1">[1]!BexGetData("DP_1","003N8EMH8GTFRIVOG7KG9IQXA","GSON1112151070")</f>
        <v>#NAME?</v>
      </c>
      <c r="N2035" s="28" t="e">
        <f ca="1">[1]!BexGetData("DP_1","003N8EMH8GTFRIVOG7KG9IX8U","GSON1112151070")</f>
        <v>#NAME?</v>
      </c>
      <c r="O2035" s="28" t="e">
        <f ca="1">[1]!BexGetData("DP_1","003N8EMH8GTFRIVOG7KG9J3KE","GSON1112151070")</f>
        <v>#NAME?</v>
      </c>
      <c r="P2035" s="28" t="e">
        <f ca="1">[1]!BexGetData("DP_1","003N8EMH8GTFRIVOG7KG9J9VY","GSON1112151070")</f>
        <v>#NAME?</v>
      </c>
      <c r="Q2035" s="23" t="e">
        <f ca="1">[1]!BexGetData("DP_1","00O2TNJGODT0G5Z4TTKYMM5MT","GSON1112151070")</f>
        <v>#NAME?</v>
      </c>
      <c r="R2035" s="23" t="e">
        <f ca="1">[1]!BexGetData("DP_1","00O2TNJGODT0G5Z4TTKYMMBYD","GSON1112151070")</f>
        <v>#NAME?</v>
      </c>
      <c r="S2035" s="23" t="e">
        <f ca="1">[1]!BexGetData("DP_1","00O2TNJGODT0G5Z4TTKYMMI9X","GSON1112151070")</f>
        <v>#NAME?</v>
      </c>
      <c r="T2035" s="23" t="e">
        <f ca="1">[1]!BexGetData("DP_1","00O2TNJGODT0G5Z4TTKYMMOLH","GSON1112151070")</f>
        <v>#NAME?</v>
      </c>
      <c r="U2035" s="28" t="e">
        <f ca="1">[1]!BexGetData("DP_1","00O2TNJGODT0G5Z4TTKYMMUX1","GSON1112151070")</f>
        <v>#NAME?</v>
      </c>
      <c r="V2035" s="23" t="e">
        <f ca="1">[1]!BexGetData("DP_1","00O2TNJGODT0G5Z4TTKYMN18L","GSON1112151070")</f>
        <v>#NAME?</v>
      </c>
      <c r="W2035" s="28" t="e">
        <f ca="1">[1]!BexGetData("DP_1","00O2TNJGODT0G5Z4TTKYMN7K5","GSON1112151070")</f>
        <v>#NAME?</v>
      </c>
    </row>
    <row r="2036" spans="1:23" x14ac:dyDescent="0.2">
      <c r="A2036" s="36" t="s">
        <v>5041</v>
      </c>
      <c r="B2036" s="27" t="s">
        <v>5042</v>
      </c>
      <c r="C2036" s="28" t="e">
        <f ca="1">[1]!BexGetData("DP_1","003N8EMH8GTFRCSWKMPXRR8GU","GSON1112151071")</f>
        <v>#NAME?</v>
      </c>
      <c r="D2036" s="28" t="e">
        <f ca="1">[1]!BexGetData("DP_1","003N8EMH8GTFRCSWKMPXRRESE","GSON1112151071")</f>
        <v>#NAME?</v>
      </c>
      <c r="E2036" s="28" t="e">
        <f ca="1">[1]!BexGetData("DP_1","003N8EMH8GTFRCSWKMPXRRL3Y","GSON1112151071")</f>
        <v>#NAME?</v>
      </c>
      <c r="F2036" s="28" t="e">
        <f ca="1">[1]!BexGetData("DP_1","003N8EMH8GTFRCSWKMPXRRRFI","GSON1112151071")</f>
        <v>#NAME?</v>
      </c>
      <c r="G2036" s="23" t="e">
        <f ca="1">[1]!BexGetData("DP_1","003N8EMH8GTFRCSWKMPXRRXR2","GSON1112151071")</f>
        <v>#NAME?</v>
      </c>
      <c r="H2036" s="23" t="e">
        <f ca="1">[1]!BexGetData("DP_1","003N8EMH8GTFRCSWKMPXRS42M","GSON1112151071")</f>
        <v>#NAME?</v>
      </c>
      <c r="I2036" s="28" t="e">
        <f ca="1">[1]!BexGetData("DP_1","003N8EMH8GTFRCSWKMPXRSAE6","GSON1112151071")</f>
        <v>#NAME?</v>
      </c>
      <c r="J2036" s="24" t="e">
        <f ca="1">[1]!BexGetData("DP_1","003N8EMH8GTFRCSWKMPXRSGPQ","GSON1112151071")</f>
        <v>#NAME?</v>
      </c>
      <c r="K2036" s="28" t="e">
        <f ca="1">[1]!BexGetData("DP_1","003N8EMH8GTFRIVNUPY288VJH","GSON1112151071")</f>
        <v>#NAME?</v>
      </c>
      <c r="L2036" s="28" t="e">
        <f ca="1">[1]!BexGetData("DP_1","003N8EMH8GTFRIVNUPY2891V1","GSON1112151071")</f>
        <v>#NAME?</v>
      </c>
      <c r="M2036" s="28" t="e">
        <f ca="1">[1]!BexGetData("DP_1","003N8EMH8GTFRIVOG7KG9IQXA","GSON1112151071")</f>
        <v>#NAME?</v>
      </c>
      <c r="N2036" s="28" t="e">
        <f ca="1">[1]!BexGetData("DP_1","003N8EMH8GTFRIVOG7KG9IX8U","GSON1112151071")</f>
        <v>#NAME?</v>
      </c>
      <c r="O2036" s="28" t="e">
        <f ca="1">[1]!BexGetData("DP_1","003N8EMH8GTFRIVOG7KG9J3KE","GSON1112151071")</f>
        <v>#NAME?</v>
      </c>
      <c r="P2036" s="28" t="e">
        <f ca="1">[1]!BexGetData("DP_1","003N8EMH8GTFRIVOG7KG9J9VY","GSON1112151071")</f>
        <v>#NAME?</v>
      </c>
      <c r="Q2036" s="24" t="e">
        <f ca="1">[1]!BexGetData("DP_1","00O2TNJGODT0G5Z4TTKYMM5MT","GSON1112151071")</f>
        <v>#NAME?</v>
      </c>
      <c r="R2036" s="28" t="e">
        <f ca="1">[1]!BexGetData("DP_1","00O2TNJGODT0G5Z4TTKYMMBYD","GSON1112151071")</f>
        <v>#NAME?</v>
      </c>
      <c r="S2036" s="28" t="e">
        <f ca="1">[1]!BexGetData("DP_1","00O2TNJGODT0G5Z4TTKYMMI9X","GSON1112151071")</f>
        <v>#NAME?</v>
      </c>
      <c r="T2036" s="28" t="e">
        <f ca="1">[1]!BexGetData("DP_1","00O2TNJGODT0G5Z4TTKYMMOLH","GSON1112151071")</f>
        <v>#NAME?</v>
      </c>
      <c r="U2036" s="28" t="e">
        <f ca="1">[1]!BexGetData("DP_1","00O2TNJGODT0G5Z4TTKYMMUX1","GSON1112151071")</f>
        <v>#NAME?</v>
      </c>
      <c r="V2036" s="28" t="e">
        <f ca="1">[1]!BexGetData("DP_1","00O2TNJGODT0G5Z4TTKYMN18L","GSON1112151071")</f>
        <v>#NAME?</v>
      </c>
      <c r="W2036" s="28" t="e">
        <f ca="1">[1]!BexGetData("DP_1","00O2TNJGODT0G5Z4TTKYMN7K5","GSON1112151071")</f>
        <v>#NAME?</v>
      </c>
    </row>
    <row r="2037" spans="1:23" x14ac:dyDescent="0.2">
      <c r="A2037" s="36" t="s">
        <v>5043</v>
      </c>
      <c r="B2037" s="27" t="s">
        <v>5044</v>
      </c>
      <c r="C2037" s="24" t="e">
        <f ca="1">[1]!BexGetData("DP_1","003N8EMH8GTFRCSWKMPXRR8GU","GSON1112151074")</f>
        <v>#NAME?</v>
      </c>
      <c r="D2037" s="24" t="e">
        <f ca="1">[1]!BexGetData("DP_1","003N8EMH8GTFRCSWKMPXRRESE","GSON1112151074")</f>
        <v>#NAME?</v>
      </c>
      <c r="E2037" s="24" t="e">
        <f ca="1">[1]!BexGetData("DP_1","003N8EMH8GTFRCSWKMPXRRL3Y","GSON1112151074")</f>
        <v>#NAME?</v>
      </c>
      <c r="F2037" s="28" t="e">
        <f ca="1">[1]!BexGetData("DP_1","003N8EMH8GTFRCSWKMPXRRRFI","GSON1112151074")</f>
        <v>#NAME?</v>
      </c>
      <c r="G2037" s="23" t="e">
        <f ca="1">[1]!BexGetData("DP_1","003N8EMH8GTFRCSWKMPXRRXR2","GSON1112151074")</f>
        <v>#NAME?</v>
      </c>
      <c r="H2037" s="23" t="e">
        <f ca="1">[1]!BexGetData("DP_1","003N8EMH8GTFRCSWKMPXRS42M","GSON1112151074")</f>
        <v>#NAME?</v>
      </c>
      <c r="I2037" s="28" t="e">
        <f ca="1">[1]!BexGetData("DP_1","003N8EMH8GTFRCSWKMPXRSAE6","GSON1112151074")</f>
        <v>#NAME?</v>
      </c>
      <c r="J2037" s="24" t="e">
        <f ca="1">[1]!BexGetData("DP_1","003N8EMH8GTFRCSWKMPXRSGPQ","GSON1112151074")</f>
        <v>#NAME?</v>
      </c>
      <c r="K2037" s="28" t="e">
        <f ca="1">[1]!BexGetData("DP_1","003N8EMH8GTFRIVNUPY288VJH","GSON1112151074")</f>
        <v>#NAME?</v>
      </c>
      <c r="L2037" s="28" t="e">
        <f ca="1">[1]!BexGetData("DP_1","003N8EMH8GTFRIVNUPY2891V1","GSON1112151074")</f>
        <v>#NAME?</v>
      </c>
      <c r="M2037" s="28" t="e">
        <f ca="1">[1]!BexGetData("DP_1","003N8EMH8GTFRIVOG7KG9IQXA","GSON1112151074")</f>
        <v>#NAME?</v>
      </c>
      <c r="N2037" s="28" t="e">
        <f ca="1">[1]!BexGetData("DP_1","003N8EMH8GTFRIVOG7KG9IX8U","GSON1112151074")</f>
        <v>#NAME?</v>
      </c>
      <c r="O2037" s="28" t="e">
        <f ca="1">[1]!BexGetData("DP_1","003N8EMH8GTFRIVOG7KG9J3KE","GSON1112151074")</f>
        <v>#NAME?</v>
      </c>
      <c r="P2037" s="28" t="e">
        <f ca="1">[1]!BexGetData("DP_1","003N8EMH8GTFRIVOG7KG9J9VY","GSON1112151074")</f>
        <v>#NAME?</v>
      </c>
      <c r="Q2037" s="24" t="e">
        <f ca="1">[1]!BexGetData("DP_1","00O2TNJGODT0G5Z4TTKYMM5MT","GSON1112151074")</f>
        <v>#NAME?</v>
      </c>
      <c r="R2037" s="28" t="e">
        <f ca="1">[1]!BexGetData("DP_1","00O2TNJGODT0G5Z4TTKYMMBYD","GSON1112151074")</f>
        <v>#NAME?</v>
      </c>
      <c r="S2037" s="28" t="e">
        <f ca="1">[1]!BexGetData("DP_1","00O2TNJGODT0G5Z4TTKYMMI9X","GSON1112151074")</f>
        <v>#NAME?</v>
      </c>
      <c r="T2037" s="28" t="e">
        <f ca="1">[1]!BexGetData("DP_1","00O2TNJGODT0G5Z4TTKYMMOLH","GSON1112151074")</f>
        <v>#NAME?</v>
      </c>
      <c r="U2037" s="28" t="e">
        <f ca="1">[1]!BexGetData("DP_1","00O2TNJGODT0G5Z4TTKYMMUX1","GSON1112151074")</f>
        <v>#NAME?</v>
      </c>
      <c r="V2037" s="28" t="e">
        <f ca="1">[1]!BexGetData("DP_1","00O2TNJGODT0G5Z4TTKYMN18L","GSON1112151074")</f>
        <v>#NAME?</v>
      </c>
      <c r="W2037" s="28" t="e">
        <f ca="1">[1]!BexGetData("DP_1","00O2TNJGODT0G5Z4TTKYMN7K5","GSON1112151074")</f>
        <v>#NAME?</v>
      </c>
    </row>
    <row r="2038" spans="1:23" x14ac:dyDescent="0.2">
      <c r="A2038" s="36" t="s">
        <v>5045</v>
      </c>
      <c r="B2038" s="27" t="s">
        <v>5046</v>
      </c>
      <c r="C2038" s="28" t="e">
        <f ca="1">[1]!BexGetData("DP_1","003N8EMH8GTFRCSWKMPXRR8GU","GSON1112151075")</f>
        <v>#NAME?</v>
      </c>
      <c r="D2038" s="28" t="e">
        <f ca="1">[1]!BexGetData("DP_1","003N8EMH8GTFRCSWKMPXRRESE","GSON1112151075")</f>
        <v>#NAME?</v>
      </c>
      <c r="E2038" s="28" t="e">
        <f ca="1">[1]!BexGetData("DP_1","003N8EMH8GTFRCSWKMPXRRL3Y","GSON1112151075")</f>
        <v>#NAME?</v>
      </c>
      <c r="F2038" s="28" t="e">
        <f ca="1">[1]!BexGetData("DP_1","003N8EMH8GTFRCSWKMPXRRRFI","GSON1112151075")</f>
        <v>#NAME?</v>
      </c>
      <c r="G2038" s="23" t="e">
        <f ca="1">[1]!BexGetData("DP_1","003N8EMH8GTFRCSWKMPXRRXR2","GSON1112151075")</f>
        <v>#NAME?</v>
      </c>
      <c r="H2038" s="23" t="e">
        <f ca="1">[1]!BexGetData("DP_1","003N8EMH8GTFRCSWKMPXRS42M","GSON1112151075")</f>
        <v>#NAME?</v>
      </c>
      <c r="I2038" s="28" t="e">
        <f ca="1">[1]!BexGetData("DP_1","003N8EMH8GTFRCSWKMPXRSAE6","GSON1112151075")</f>
        <v>#NAME?</v>
      </c>
      <c r="J2038" s="24" t="e">
        <f ca="1">[1]!BexGetData("DP_1","003N8EMH8GTFRCSWKMPXRSGPQ","GSON1112151075")</f>
        <v>#NAME?</v>
      </c>
      <c r="K2038" s="28" t="e">
        <f ca="1">[1]!BexGetData("DP_1","003N8EMH8GTFRIVNUPY288VJH","GSON1112151075")</f>
        <v>#NAME?</v>
      </c>
      <c r="L2038" s="28" t="e">
        <f ca="1">[1]!BexGetData("DP_1","003N8EMH8GTFRIVNUPY2891V1","GSON1112151075")</f>
        <v>#NAME?</v>
      </c>
      <c r="M2038" s="28" t="e">
        <f ca="1">[1]!BexGetData("DP_1","003N8EMH8GTFRIVOG7KG9IQXA","GSON1112151075")</f>
        <v>#NAME?</v>
      </c>
      <c r="N2038" s="28" t="e">
        <f ca="1">[1]!BexGetData("DP_1","003N8EMH8GTFRIVOG7KG9IX8U","GSON1112151075")</f>
        <v>#NAME?</v>
      </c>
      <c r="O2038" s="28" t="e">
        <f ca="1">[1]!BexGetData("DP_1","003N8EMH8GTFRIVOG7KG9J3KE","GSON1112151075")</f>
        <v>#NAME?</v>
      </c>
      <c r="P2038" s="28" t="e">
        <f ca="1">[1]!BexGetData("DP_1","003N8EMH8GTFRIVOG7KG9J9VY","GSON1112151075")</f>
        <v>#NAME?</v>
      </c>
      <c r="Q2038" s="24" t="e">
        <f ca="1">[1]!BexGetData("DP_1","00O2TNJGODT0G5Z4TTKYMM5MT","GSON1112151075")</f>
        <v>#NAME?</v>
      </c>
      <c r="R2038" s="28" t="e">
        <f ca="1">[1]!BexGetData("DP_1","00O2TNJGODT0G5Z4TTKYMMBYD","GSON1112151075")</f>
        <v>#NAME?</v>
      </c>
      <c r="S2038" s="28" t="e">
        <f ca="1">[1]!BexGetData("DP_1","00O2TNJGODT0G5Z4TTKYMMI9X","GSON1112151075")</f>
        <v>#NAME?</v>
      </c>
      <c r="T2038" s="28" t="e">
        <f ca="1">[1]!BexGetData("DP_1","00O2TNJGODT0G5Z4TTKYMMOLH","GSON1112151075")</f>
        <v>#NAME?</v>
      </c>
      <c r="U2038" s="28" t="e">
        <f ca="1">[1]!BexGetData("DP_1","00O2TNJGODT0G5Z4TTKYMMUX1","GSON1112151075")</f>
        <v>#NAME?</v>
      </c>
      <c r="V2038" s="28" t="e">
        <f ca="1">[1]!BexGetData("DP_1","00O2TNJGODT0G5Z4TTKYMN18L","GSON1112151075")</f>
        <v>#NAME?</v>
      </c>
      <c r="W2038" s="28" t="e">
        <f ca="1">[1]!BexGetData("DP_1","00O2TNJGODT0G5Z4TTKYMN7K5","GSON1112151075")</f>
        <v>#NAME?</v>
      </c>
    </row>
    <row r="2039" spans="1:23" x14ac:dyDescent="0.2">
      <c r="A2039" s="36" t="s">
        <v>5047</v>
      </c>
      <c r="B2039" s="27" t="s">
        <v>5048</v>
      </c>
      <c r="C2039" s="23" t="e">
        <f ca="1">[1]!BexGetData("DP_1","003N8EMH8GTFRCSWKMPXRR8GU","GSON1112151100")</f>
        <v>#NAME?</v>
      </c>
      <c r="D2039" s="23" t="e">
        <f ca="1">[1]!BexGetData("DP_1","003N8EMH8GTFRCSWKMPXRRESE","GSON1112151100")</f>
        <v>#NAME?</v>
      </c>
      <c r="E2039" s="23" t="e">
        <f ca="1">[1]!BexGetData("DP_1","003N8EMH8GTFRCSWKMPXRRL3Y","GSON1112151100")</f>
        <v>#NAME?</v>
      </c>
      <c r="F2039" s="23" t="e">
        <f ca="1">[1]!BexGetData("DP_1","003N8EMH8GTFRCSWKMPXRRRFI","GSON1112151100")</f>
        <v>#NAME?</v>
      </c>
      <c r="G2039" s="23" t="e">
        <f ca="1">[1]!BexGetData("DP_1","003N8EMH8GTFRCSWKMPXRRXR2","GSON1112151100")</f>
        <v>#NAME?</v>
      </c>
      <c r="H2039" s="23" t="e">
        <f ca="1">[1]!BexGetData("DP_1","003N8EMH8GTFRCSWKMPXRS42M","GSON1112151100")</f>
        <v>#NAME?</v>
      </c>
      <c r="I2039" s="23" t="e">
        <f ca="1">[1]!BexGetData("DP_1","003N8EMH8GTFRCSWKMPXRSAE6","GSON1112151100")</f>
        <v>#NAME?</v>
      </c>
      <c r="J2039" s="23" t="e">
        <f ca="1">[1]!BexGetData("DP_1","003N8EMH8GTFRCSWKMPXRSGPQ","GSON1112151100")</f>
        <v>#NAME?</v>
      </c>
      <c r="K2039" s="23" t="e">
        <f ca="1">[1]!BexGetData("DP_1","003N8EMH8GTFRIVNUPY288VJH","GSON1112151100")</f>
        <v>#NAME?</v>
      </c>
      <c r="L2039" s="23" t="e">
        <f ca="1">[1]!BexGetData("DP_1","003N8EMH8GTFRIVNUPY2891V1","GSON1112151100")</f>
        <v>#NAME?</v>
      </c>
      <c r="M2039" s="23" t="e">
        <f ca="1">[1]!BexGetData("DP_1","003N8EMH8GTFRIVOG7KG9IQXA","GSON1112151100")</f>
        <v>#NAME?</v>
      </c>
      <c r="N2039" s="28" t="e">
        <f ca="1">[1]!BexGetData("DP_1","003N8EMH8GTFRIVOG7KG9IX8U","GSON1112151100")</f>
        <v>#NAME?</v>
      </c>
      <c r="O2039" s="23" t="e">
        <f ca="1">[1]!BexGetData("DP_1","003N8EMH8GTFRIVOG7KG9J3KE","GSON1112151100")</f>
        <v>#NAME?</v>
      </c>
      <c r="P2039" s="28" t="e">
        <f ca="1">[1]!BexGetData("DP_1","003N8EMH8GTFRIVOG7KG9J9VY","GSON1112151100")</f>
        <v>#NAME?</v>
      </c>
      <c r="Q2039" s="23" t="e">
        <f ca="1">[1]!BexGetData("DP_1","00O2TNJGODT0G5Z4TTKYMM5MT","GSON1112151100")</f>
        <v>#NAME?</v>
      </c>
      <c r="R2039" s="23" t="e">
        <f ca="1">[1]!BexGetData("DP_1","00O2TNJGODT0G5Z4TTKYMMBYD","GSON1112151100")</f>
        <v>#NAME?</v>
      </c>
      <c r="S2039" s="23" t="e">
        <f ca="1">[1]!BexGetData("DP_1","00O2TNJGODT0G5Z4TTKYMMI9X","GSON1112151100")</f>
        <v>#NAME?</v>
      </c>
      <c r="T2039" s="28" t="e">
        <f ca="1">[1]!BexGetData("DP_1","00O2TNJGODT0G5Z4TTKYMMOLH","GSON1112151100")</f>
        <v>#NAME?</v>
      </c>
      <c r="U2039" s="23" t="e">
        <f ca="1">[1]!BexGetData("DP_1","00O2TNJGODT0G5Z4TTKYMMUX1","GSON1112151100")</f>
        <v>#NAME?</v>
      </c>
      <c r="V2039" s="28" t="e">
        <f ca="1">[1]!BexGetData("DP_1","00O2TNJGODT0G5Z4TTKYMN18L","GSON1112151100")</f>
        <v>#NAME?</v>
      </c>
      <c r="W2039" s="23" t="e">
        <f ca="1">[1]!BexGetData("DP_1","00O2TNJGODT0G5Z4TTKYMN7K5","GSON1112151100")</f>
        <v>#NAME?</v>
      </c>
    </row>
    <row r="2040" spans="1:23" x14ac:dyDescent="0.2">
      <c r="A2040" s="36" t="s">
        <v>5049</v>
      </c>
      <c r="B2040" s="27" t="s">
        <v>5050</v>
      </c>
      <c r="C2040" s="23" t="e">
        <f ca="1">[1]!BexGetData("DP_1","003N8EMH8GTFRCSWKMPXRR8GU","GSON1112151101")</f>
        <v>#NAME?</v>
      </c>
      <c r="D2040" s="23" t="e">
        <f ca="1">[1]!BexGetData("DP_1","003N8EMH8GTFRCSWKMPXRRESE","GSON1112151101")</f>
        <v>#NAME?</v>
      </c>
      <c r="E2040" s="28" t="e">
        <f ca="1">[1]!BexGetData("DP_1","003N8EMH8GTFRCSWKMPXRRL3Y","GSON1112151101")</f>
        <v>#NAME?</v>
      </c>
      <c r="F2040" s="28" t="e">
        <f ca="1">[1]!BexGetData("DP_1","003N8EMH8GTFRCSWKMPXRRRFI","GSON1112151101")</f>
        <v>#NAME?</v>
      </c>
      <c r="G2040" s="23" t="e">
        <f ca="1">[1]!BexGetData("DP_1","003N8EMH8GTFRCSWKMPXRRXR2","GSON1112151101")</f>
        <v>#NAME?</v>
      </c>
      <c r="H2040" s="23" t="e">
        <f ca="1">[1]!BexGetData("DP_1","003N8EMH8GTFRCSWKMPXRS42M","GSON1112151101")</f>
        <v>#NAME?</v>
      </c>
      <c r="I2040" s="28" t="e">
        <f ca="1">[1]!BexGetData("DP_1","003N8EMH8GTFRCSWKMPXRSAE6","GSON1112151101")</f>
        <v>#NAME?</v>
      </c>
      <c r="J2040" s="23" t="e">
        <f ca="1">[1]!BexGetData("DP_1","003N8EMH8GTFRCSWKMPXRSGPQ","GSON1112151101")</f>
        <v>#NAME?</v>
      </c>
      <c r="K2040" s="28" t="e">
        <f ca="1">[1]!BexGetData("DP_1","003N8EMH8GTFRIVNUPY288VJH","GSON1112151101")</f>
        <v>#NAME?</v>
      </c>
      <c r="L2040" s="28" t="e">
        <f ca="1">[1]!BexGetData("DP_1","003N8EMH8GTFRIVNUPY2891V1","GSON1112151101")</f>
        <v>#NAME?</v>
      </c>
      <c r="M2040" s="28" t="e">
        <f ca="1">[1]!BexGetData("DP_1","003N8EMH8GTFRIVOG7KG9IQXA","GSON1112151101")</f>
        <v>#NAME?</v>
      </c>
      <c r="N2040" s="28" t="e">
        <f ca="1">[1]!BexGetData("DP_1","003N8EMH8GTFRIVOG7KG9IX8U","GSON1112151101")</f>
        <v>#NAME?</v>
      </c>
      <c r="O2040" s="28" t="e">
        <f ca="1">[1]!BexGetData("DP_1","003N8EMH8GTFRIVOG7KG9J3KE","GSON1112151101")</f>
        <v>#NAME?</v>
      </c>
      <c r="P2040" s="28" t="e">
        <f ca="1">[1]!BexGetData("DP_1","003N8EMH8GTFRIVOG7KG9J9VY","GSON1112151101")</f>
        <v>#NAME?</v>
      </c>
      <c r="Q2040" s="23" t="e">
        <f ca="1">[1]!BexGetData("DP_1","00O2TNJGODT0G5Z4TTKYMM5MT","GSON1112151101")</f>
        <v>#NAME?</v>
      </c>
      <c r="R2040" s="23" t="e">
        <f ca="1">[1]!BexGetData("DP_1","00O2TNJGODT0G5Z4TTKYMMBYD","GSON1112151101")</f>
        <v>#NAME?</v>
      </c>
      <c r="S2040" s="23" t="e">
        <f ca="1">[1]!BexGetData("DP_1","00O2TNJGODT0G5Z4TTKYMMI9X","GSON1112151101")</f>
        <v>#NAME?</v>
      </c>
      <c r="T2040" s="23" t="e">
        <f ca="1">[1]!BexGetData("DP_1","00O2TNJGODT0G5Z4TTKYMMOLH","GSON1112151101")</f>
        <v>#NAME?</v>
      </c>
      <c r="U2040" s="28" t="e">
        <f ca="1">[1]!BexGetData("DP_1","00O2TNJGODT0G5Z4TTKYMMUX1","GSON1112151101")</f>
        <v>#NAME?</v>
      </c>
      <c r="V2040" s="23" t="e">
        <f ca="1">[1]!BexGetData("DP_1","00O2TNJGODT0G5Z4TTKYMN18L","GSON1112151101")</f>
        <v>#NAME?</v>
      </c>
      <c r="W2040" s="28" t="e">
        <f ca="1">[1]!BexGetData("DP_1","00O2TNJGODT0G5Z4TTKYMN7K5","GSON1112151101")</f>
        <v>#NAME?</v>
      </c>
    </row>
    <row r="2041" spans="1:23" x14ac:dyDescent="0.2">
      <c r="A2041" s="36" t="s">
        <v>5051</v>
      </c>
      <c r="B2041" s="27" t="s">
        <v>5052</v>
      </c>
      <c r="C2041" s="28" t="e">
        <f ca="1">[1]!BexGetData("DP_1","003N8EMH8GTFRCSWKMPXRR8GU","GSON1112151102")</f>
        <v>#NAME?</v>
      </c>
      <c r="D2041" s="28" t="e">
        <f ca="1">[1]!BexGetData("DP_1","003N8EMH8GTFRCSWKMPXRRESE","GSON1112151102")</f>
        <v>#NAME?</v>
      </c>
      <c r="E2041" s="28" t="e">
        <f ca="1">[1]!BexGetData("DP_1","003N8EMH8GTFRCSWKMPXRRL3Y","GSON1112151102")</f>
        <v>#NAME?</v>
      </c>
      <c r="F2041" s="28" t="e">
        <f ca="1">[1]!BexGetData("DP_1","003N8EMH8GTFRCSWKMPXRRRFI","GSON1112151102")</f>
        <v>#NAME?</v>
      </c>
      <c r="G2041" s="23" t="e">
        <f ca="1">[1]!BexGetData("DP_1","003N8EMH8GTFRCSWKMPXRRXR2","GSON1112151102")</f>
        <v>#NAME?</v>
      </c>
      <c r="H2041" s="23" t="e">
        <f ca="1">[1]!BexGetData("DP_1","003N8EMH8GTFRCSWKMPXRS42M","GSON1112151102")</f>
        <v>#NAME?</v>
      </c>
      <c r="I2041" s="28" t="e">
        <f ca="1">[1]!BexGetData("DP_1","003N8EMH8GTFRCSWKMPXRSAE6","GSON1112151102")</f>
        <v>#NAME?</v>
      </c>
      <c r="J2041" s="24" t="e">
        <f ca="1">[1]!BexGetData("DP_1","003N8EMH8GTFRCSWKMPXRSGPQ","GSON1112151102")</f>
        <v>#NAME?</v>
      </c>
      <c r="K2041" s="28" t="e">
        <f ca="1">[1]!BexGetData("DP_1","003N8EMH8GTFRIVNUPY288VJH","GSON1112151102")</f>
        <v>#NAME?</v>
      </c>
      <c r="L2041" s="28" t="e">
        <f ca="1">[1]!BexGetData("DP_1","003N8EMH8GTFRIVNUPY2891V1","GSON1112151102")</f>
        <v>#NAME?</v>
      </c>
      <c r="M2041" s="28" t="e">
        <f ca="1">[1]!BexGetData("DP_1","003N8EMH8GTFRIVOG7KG9IQXA","GSON1112151102")</f>
        <v>#NAME?</v>
      </c>
      <c r="N2041" s="28" t="e">
        <f ca="1">[1]!BexGetData("DP_1","003N8EMH8GTFRIVOG7KG9IX8U","GSON1112151102")</f>
        <v>#NAME?</v>
      </c>
      <c r="O2041" s="28" t="e">
        <f ca="1">[1]!BexGetData("DP_1","003N8EMH8GTFRIVOG7KG9J3KE","GSON1112151102")</f>
        <v>#NAME?</v>
      </c>
      <c r="P2041" s="28" t="e">
        <f ca="1">[1]!BexGetData("DP_1","003N8EMH8GTFRIVOG7KG9J9VY","GSON1112151102")</f>
        <v>#NAME?</v>
      </c>
      <c r="Q2041" s="24" t="e">
        <f ca="1">[1]!BexGetData("DP_1","00O2TNJGODT0G5Z4TTKYMM5MT","GSON1112151102")</f>
        <v>#NAME?</v>
      </c>
      <c r="R2041" s="28" t="e">
        <f ca="1">[1]!BexGetData("DP_1","00O2TNJGODT0G5Z4TTKYMMBYD","GSON1112151102")</f>
        <v>#NAME?</v>
      </c>
      <c r="S2041" s="28" t="e">
        <f ca="1">[1]!BexGetData("DP_1","00O2TNJGODT0G5Z4TTKYMMI9X","GSON1112151102")</f>
        <v>#NAME?</v>
      </c>
      <c r="T2041" s="28" t="e">
        <f ca="1">[1]!BexGetData("DP_1","00O2TNJGODT0G5Z4TTKYMMOLH","GSON1112151102")</f>
        <v>#NAME?</v>
      </c>
      <c r="U2041" s="28" t="e">
        <f ca="1">[1]!BexGetData("DP_1","00O2TNJGODT0G5Z4TTKYMMUX1","GSON1112151102")</f>
        <v>#NAME?</v>
      </c>
      <c r="V2041" s="28" t="e">
        <f ca="1">[1]!BexGetData("DP_1","00O2TNJGODT0G5Z4TTKYMN18L","GSON1112151102")</f>
        <v>#NAME?</v>
      </c>
      <c r="W2041" s="28" t="e">
        <f ca="1">[1]!BexGetData("DP_1","00O2TNJGODT0G5Z4TTKYMN7K5","GSON1112151102")</f>
        <v>#NAME?</v>
      </c>
    </row>
    <row r="2042" spans="1:23" x14ac:dyDescent="0.2">
      <c r="A2042" s="36" t="s">
        <v>5053</v>
      </c>
      <c r="B2042" s="27" t="s">
        <v>5054</v>
      </c>
      <c r="C2042" s="23" t="e">
        <f ca="1">[1]!BexGetData("DP_1","003N8EMH8GTFRCSWKMPXRR8GU","GSON1112151103")</f>
        <v>#NAME?</v>
      </c>
      <c r="D2042" s="23" t="e">
        <f ca="1">[1]!BexGetData("DP_1","003N8EMH8GTFRCSWKMPXRRESE","GSON1112151103")</f>
        <v>#NAME?</v>
      </c>
      <c r="E2042" s="28" t="e">
        <f ca="1">[1]!BexGetData("DP_1","003N8EMH8GTFRCSWKMPXRRL3Y","GSON1112151103")</f>
        <v>#NAME?</v>
      </c>
      <c r="F2042" s="28" t="e">
        <f ca="1">[1]!BexGetData("DP_1","003N8EMH8GTFRCSWKMPXRRRFI","GSON1112151103")</f>
        <v>#NAME?</v>
      </c>
      <c r="G2042" s="23" t="e">
        <f ca="1">[1]!BexGetData("DP_1","003N8EMH8GTFRCSWKMPXRRXR2","GSON1112151103")</f>
        <v>#NAME?</v>
      </c>
      <c r="H2042" s="23" t="e">
        <f ca="1">[1]!BexGetData("DP_1","003N8EMH8GTFRCSWKMPXRS42M","GSON1112151103")</f>
        <v>#NAME?</v>
      </c>
      <c r="I2042" s="28" t="e">
        <f ca="1">[1]!BexGetData("DP_1","003N8EMH8GTFRCSWKMPXRSAE6","GSON1112151103")</f>
        <v>#NAME?</v>
      </c>
      <c r="J2042" s="23" t="e">
        <f ca="1">[1]!BexGetData("DP_1","003N8EMH8GTFRCSWKMPXRSGPQ","GSON1112151103")</f>
        <v>#NAME?</v>
      </c>
      <c r="K2042" s="28" t="e">
        <f ca="1">[1]!BexGetData("DP_1","003N8EMH8GTFRIVNUPY288VJH","GSON1112151103")</f>
        <v>#NAME?</v>
      </c>
      <c r="L2042" s="28" t="e">
        <f ca="1">[1]!BexGetData("DP_1","003N8EMH8GTFRIVNUPY2891V1","GSON1112151103")</f>
        <v>#NAME?</v>
      </c>
      <c r="M2042" s="28" t="e">
        <f ca="1">[1]!BexGetData("DP_1","003N8EMH8GTFRIVOG7KG9IQXA","GSON1112151103")</f>
        <v>#NAME?</v>
      </c>
      <c r="N2042" s="28" t="e">
        <f ca="1">[1]!BexGetData("DP_1","003N8EMH8GTFRIVOG7KG9IX8U","GSON1112151103")</f>
        <v>#NAME?</v>
      </c>
      <c r="O2042" s="28" t="e">
        <f ca="1">[1]!BexGetData("DP_1","003N8EMH8GTFRIVOG7KG9J3KE","GSON1112151103")</f>
        <v>#NAME?</v>
      </c>
      <c r="P2042" s="28" t="e">
        <f ca="1">[1]!BexGetData("DP_1","003N8EMH8GTFRIVOG7KG9J9VY","GSON1112151103")</f>
        <v>#NAME?</v>
      </c>
      <c r="Q2042" s="23" t="e">
        <f ca="1">[1]!BexGetData("DP_1","00O2TNJGODT0G5Z4TTKYMM5MT","GSON1112151103")</f>
        <v>#NAME?</v>
      </c>
      <c r="R2042" s="23" t="e">
        <f ca="1">[1]!BexGetData("DP_1","00O2TNJGODT0G5Z4TTKYMMBYD","GSON1112151103")</f>
        <v>#NAME?</v>
      </c>
      <c r="S2042" s="23" t="e">
        <f ca="1">[1]!BexGetData("DP_1","00O2TNJGODT0G5Z4TTKYMMI9X","GSON1112151103")</f>
        <v>#NAME?</v>
      </c>
      <c r="T2042" s="28" t="e">
        <f ca="1">[1]!BexGetData("DP_1","00O2TNJGODT0G5Z4TTKYMMOLH","GSON1112151103")</f>
        <v>#NAME?</v>
      </c>
      <c r="U2042" s="23" t="e">
        <f ca="1">[1]!BexGetData("DP_1","00O2TNJGODT0G5Z4TTKYMMUX1","GSON1112151103")</f>
        <v>#NAME?</v>
      </c>
      <c r="V2042" s="28" t="e">
        <f ca="1">[1]!BexGetData("DP_1","00O2TNJGODT0G5Z4TTKYMN18L","GSON1112151103")</f>
        <v>#NAME?</v>
      </c>
      <c r="W2042" s="23" t="e">
        <f ca="1">[1]!BexGetData("DP_1","00O2TNJGODT0G5Z4TTKYMN7K5","GSON1112151103")</f>
        <v>#NAME?</v>
      </c>
    </row>
    <row r="2043" spans="1:23" x14ac:dyDescent="0.2">
      <c r="A2043" s="36" t="s">
        <v>5055</v>
      </c>
      <c r="B2043" s="27" t="s">
        <v>5056</v>
      </c>
      <c r="C2043" s="23" t="e">
        <f ca="1">[1]!BexGetData("DP_1","003N8EMH8GTFRCSWKMPXRR8GU","GSON1112151104")</f>
        <v>#NAME?</v>
      </c>
      <c r="D2043" s="23" t="e">
        <f ca="1">[1]!BexGetData("DP_1","003N8EMH8GTFRCSWKMPXRRESE","GSON1112151104")</f>
        <v>#NAME?</v>
      </c>
      <c r="E2043" s="28" t="e">
        <f ca="1">[1]!BexGetData("DP_1","003N8EMH8GTFRCSWKMPXRRL3Y","GSON1112151104")</f>
        <v>#NAME?</v>
      </c>
      <c r="F2043" s="28" t="e">
        <f ca="1">[1]!BexGetData("DP_1","003N8EMH8GTFRCSWKMPXRRRFI","GSON1112151104")</f>
        <v>#NAME?</v>
      </c>
      <c r="G2043" s="23" t="e">
        <f ca="1">[1]!BexGetData("DP_1","003N8EMH8GTFRCSWKMPXRRXR2","GSON1112151104")</f>
        <v>#NAME?</v>
      </c>
      <c r="H2043" s="23" t="e">
        <f ca="1">[1]!BexGetData("DP_1","003N8EMH8GTFRCSWKMPXRS42M","GSON1112151104")</f>
        <v>#NAME?</v>
      </c>
      <c r="I2043" s="28" t="e">
        <f ca="1">[1]!BexGetData("DP_1","003N8EMH8GTFRCSWKMPXRSAE6","GSON1112151104")</f>
        <v>#NAME?</v>
      </c>
      <c r="J2043" s="24" t="e">
        <f ca="1">[1]!BexGetData("DP_1","003N8EMH8GTFRCSWKMPXRSGPQ","GSON1112151104")</f>
        <v>#NAME?</v>
      </c>
      <c r="K2043" s="28" t="e">
        <f ca="1">[1]!BexGetData("DP_1","003N8EMH8GTFRIVNUPY288VJH","GSON1112151104")</f>
        <v>#NAME?</v>
      </c>
      <c r="L2043" s="28" t="e">
        <f ca="1">[1]!BexGetData("DP_1","003N8EMH8GTFRIVNUPY2891V1","GSON1112151104")</f>
        <v>#NAME?</v>
      </c>
      <c r="M2043" s="28" t="e">
        <f ca="1">[1]!BexGetData("DP_1","003N8EMH8GTFRIVOG7KG9IQXA","GSON1112151104")</f>
        <v>#NAME?</v>
      </c>
      <c r="N2043" s="28" t="e">
        <f ca="1">[1]!BexGetData("DP_1","003N8EMH8GTFRIVOG7KG9IX8U","GSON1112151104")</f>
        <v>#NAME?</v>
      </c>
      <c r="O2043" s="28" t="e">
        <f ca="1">[1]!BexGetData("DP_1","003N8EMH8GTFRIVOG7KG9J3KE","GSON1112151104")</f>
        <v>#NAME?</v>
      </c>
      <c r="P2043" s="28" t="e">
        <f ca="1">[1]!BexGetData("DP_1","003N8EMH8GTFRIVOG7KG9J9VY","GSON1112151104")</f>
        <v>#NAME?</v>
      </c>
      <c r="Q2043" s="24" t="e">
        <f ca="1">[1]!BexGetData("DP_1","00O2TNJGODT0G5Z4TTKYMM5MT","GSON1112151104")</f>
        <v>#NAME?</v>
      </c>
      <c r="R2043" s="28" t="e">
        <f ca="1">[1]!BexGetData("DP_1","00O2TNJGODT0G5Z4TTKYMMBYD","GSON1112151104")</f>
        <v>#NAME?</v>
      </c>
      <c r="S2043" s="28" t="e">
        <f ca="1">[1]!BexGetData("DP_1","00O2TNJGODT0G5Z4TTKYMMI9X","GSON1112151104")</f>
        <v>#NAME?</v>
      </c>
      <c r="T2043" s="28" t="e">
        <f ca="1">[1]!BexGetData("DP_1","00O2TNJGODT0G5Z4TTKYMMOLH","GSON1112151104")</f>
        <v>#NAME?</v>
      </c>
      <c r="U2043" s="28" t="e">
        <f ca="1">[1]!BexGetData("DP_1","00O2TNJGODT0G5Z4TTKYMMUX1","GSON1112151104")</f>
        <v>#NAME?</v>
      </c>
      <c r="V2043" s="28" t="e">
        <f ca="1">[1]!BexGetData("DP_1","00O2TNJGODT0G5Z4TTKYMN18L","GSON1112151104")</f>
        <v>#NAME?</v>
      </c>
      <c r="W2043" s="28" t="e">
        <f ca="1">[1]!BexGetData("DP_1","00O2TNJGODT0G5Z4TTKYMN7K5","GSON1112151104")</f>
        <v>#NAME?</v>
      </c>
    </row>
    <row r="2044" spans="1:23" x14ac:dyDescent="0.2">
      <c r="A2044" s="36" t="s">
        <v>5057</v>
      </c>
      <c r="B2044" s="27" t="s">
        <v>5058</v>
      </c>
      <c r="C2044" s="23" t="e">
        <f ca="1">[1]!BexGetData("DP_1","003N8EMH8GTFRCSWKMPXRR8GU","GSON1112151105")</f>
        <v>#NAME?</v>
      </c>
      <c r="D2044" s="23" t="e">
        <f ca="1">[1]!BexGetData("DP_1","003N8EMH8GTFRCSWKMPXRRESE","GSON1112151105")</f>
        <v>#NAME?</v>
      </c>
      <c r="E2044" s="28" t="e">
        <f ca="1">[1]!BexGetData("DP_1","003N8EMH8GTFRCSWKMPXRRL3Y","GSON1112151105")</f>
        <v>#NAME?</v>
      </c>
      <c r="F2044" s="28" t="e">
        <f ca="1">[1]!BexGetData("DP_1","003N8EMH8GTFRCSWKMPXRRRFI","GSON1112151105")</f>
        <v>#NAME?</v>
      </c>
      <c r="G2044" s="23" t="e">
        <f ca="1">[1]!BexGetData("DP_1","003N8EMH8GTFRCSWKMPXRRXR2","GSON1112151105")</f>
        <v>#NAME?</v>
      </c>
      <c r="H2044" s="23" t="e">
        <f ca="1">[1]!BexGetData("DP_1","003N8EMH8GTFRCSWKMPXRS42M","GSON1112151105")</f>
        <v>#NAME?</v>
      </c>
      <c r="I2044" s="28" t="e">
        <f ca="1">[1]!BexGetData("DP_1","003N8EMH8GTFRCSWKMPXRSAE6","GSON1112151105")</f>
        <v>#NAME?</v>
      </c>
      <c r="J2044" s="24" t="e">
        <f ca="1">[1]!BexGetData("DP_1","003N8EMH8GTFRCSWKMPXRSGPQ","GSON1112151105")</f>
        <v>#NAME?</v>
      </c>
      <c r="K2044" s="28" t="e">
        <f ca="1">[1]!BexGetData("DP_1","003N8EMH8GTFRIVNUPY288VJH","GSON1112151105")</f>
        <v>#NAME?</v>
      </c>
      <c r="L2044" s="28" t="e">
        <f ca="1">[1]!BexGetData("DP_1","003N8EMH8GTFRIVNUPY2891V1","GSON1112151105")</f>
        <v>#NAME?</v>
      </c>
      <c r="M2044" s="28" t="e">
        <f ca="1">[1]!BexGetData("DP_1","003N8EMH8GTFRIVOG7KG9IQXA","GSON1112151105")</f>
        <v>#NAME?</v>
      </c>
      <c r="N2044" s="28" t="e">
        <f ca="1">[1]!BexGetData("DP_1","003N8EMH8GTFRIVOG7KG9IX8U","GSON1112151105")</f>
        <v>#NAME?</v>
      </c>
      <c r="O2044" s="28" t="e">
        <f ca="1">[1]!BexGetData("DP_1","003N8EMH8GTFRIVOG7KG9J3KE","GSON1112151105")</f>
        <v>#NAME?</v>
      </c>
      <c r="P2044" s="28" t="e">
        <f ca="1">[1]!BexGetData("DP_1","003N8EMH8GTFRIVOG7KG9J9VY","GSON1112151105")</f>
        <v>#NAME?</v>
      </c>
      <c r="Q2044" s="24" t="e">
        <f ca="1">[1]!BexGetData("DP_1","00O2TNJGODT0G5Z4TTKYMM5MT","GSON1112151105")</f>
        <v>#NAME?</v>
      </c>
      <c r="R2044" s="28" t="e">
        <f ca="1">[1]!BexGetData("DP_1","00O2TNJGODT0G5Z4TTKYMMBYD","GSON1112151105")</f>
        <v>#NAME?</v>
      </c>
      <c r="S2044" s="28" t="e">
        <f ca="1">[1]!BexGetData("DP_1","00O2TNJGODT0G5Z4TTKYMMI9X","GSON1112151105")</f>
        <v>#NAME?</v>
      </c>
      <c r="T2044" s="28" t="e">
        <f ca="1">[1]!BexGetData("DP_1","00O2TNJGODT0G5Z4TTKYMMOLH","GSON1112151105")</f>
        <v>#NAME?</v>
      </c>
      <c r="U2044" s="28" t="e">
        <f ca="1">[1]!BexGetData("DP_1","00O2TNJGODT0G5Z4TTKYMMUX1","GSON1112151105")</f>
        <v>#NAME?</v>
      </c>
      <c r="V2044" s="28" t="e">
        <f ca="1">[1]!BexGetData("DP_1","00O2TNJGODT0G5Z4TTKYMN18L","GSON1112151105")</f>
        <v>#NAME?</v>
      </c>
      <c r="W2044" s="28" t="e">
        <f ca="1">[1]!BexGetData("DP_1","00O2TNJGODT0G5Z4TTKYMN7K5","GSON1112151105")</f>
        <v>#NAME?</v>
      </c>
    </row>
    <row r="2045" spans="1:23" x14ac:dyDescent="0.2">
      <c r="A2045" s="36" t="s">
        <v>5059</v>
      </c>
      <c r="B2045" s="27" t="s">
        <v>5060</v>
      </c>
      <c r="C2045" s="23" t="e">
        <f ca="1">[1]!BexGetData("DP_1","003N8EMH8GTFRCSWKMPXRR8GU","GSON1112151110")</f>
        <v>#NAME?</v>
      </c>
      <c r="D2045" s="23" t="e">
        <f ca="1">[1]!BexGetData("DP_1","003N8EMH8GTFRCSWKMPXRRESE","GSON1112151110")</f>
        <v>#NAME?</v>
      </c>
      <c r="E2045" s="23" t="e">
        <f ca="1">[1]!BexGetData("DP_1","003N8EMH8GTFRCSWKMPXRRL3Y","GSON1112151110")</f>
        <v>#NAME?</v>
      </c>
      <c r="F2045" s="23" t="e">
        <f ca="1">[1]!BexGetData("DP_1","003N8EMH8GTFRCSWKMPXRRRFI","GSON1112151110")</f>
        <v>#NAME?</v>
      </c>
      <c r="G2045" s="23" t="e">
        <f ca="1">[1]!BexGetData("DP_1","003N8EMH8GTFRCSWKMPXRRXR2","GSON1112151110")</f>
        <v>#NAME?</v>
      </c>
      <c r="H2045" s="23" t="e">
        <f ca="1">[1]!BexGetData("DP_1","003N8EMH8GTFRCSWKMPXRS42M","GSON1112151110")</f>
        <v>#NAME?</v>
      </c>
      <c r="I2045" s="23" t="e">
        <f ca="1">[1]!BexGetData("DP_1","003N8EMH8GTFRCSWKMPXRSAE6","GSON1112151110")</f>
        <v>#NAME?</v>
      </c>
      <c r="J2045" s="23" t="e">
        <f ca="1">[1]!BexGetData("DP_1","003N8EMH8GTFRCSWKMPXRSGPQ","GSON1112151110")</f>
        <v>#NAME?</v>
      </c>
      <c r="K2045" s="23" t="e">
        <f ca="1">[1]!BexGetData("DP_1","003N8EMH8GTFRIVNUPY288VJH","GSON1112151110")</f>
        <v>#NAME?</v>
      </c>
      <c r="L2045" s="23" t="e">
        <f ca="1">[1]!BexGetData("DP_1","003N8EMH8GTFRIVNUPY2891V1","GSON1112151110")</f>
        <v>#NAME?</v>
      </c>
      <c r="M2045" s="28" t="e">
        <f ca="1">[1]!BexGetData("DP_1","003N8EMH8GTFRIVOG7KG9IQXA","GSON1112151110")</f>
        <v>#NAME?</v>
      </c>
      <c r="N2045" s="23" t="e">
        <f ca="1">[1]!BexGetData("DP_1","003N8EMH8GTFRIVOG7KG9IX8U","GSON1112151110")</f>
        <v>#NAME?</v>
      </c>
      <c r="O2045" s="28" t="e">
        <f ca="1">[1]!BexGetData("DP_1","003N8EMH8GTFRIVOG7KG9J3KE","GSON1112151110")</f>
        <v>#NAME?</v>
      </c>
      <c r="P2045" s="23" t="e">
        <f ca="1">[1]!BexGetData("DP_1","003N8EMH8GTFRIVOG7KG9J9VY","GSON1112151110")</f>
        <v>#NAME?</v>
      </c>
      <c r="Q2045" s="23" t="e">
        <f ca="1">[1]!BexGetData("DP_1","00O2TNJGODT0G5Z4TTKYMM5MT","GSON1112151110")</f>
        <v>#NAME?</v>
      </c>
      <c r="R2045" s="23" t="e">
        <f ca="1">[1]!BexGetData("DP_1","00O2TNJGODT0G5Z4TTKYMMBYD","GSON1112151110")</f>
        <v>#NAME?</v>
      </c>
      <c r="S2045" s="23" t="e">
        <f ca="1">[1]!BexGetData("DP_1","00O2TNJGODT0G5Z4TTKYMMI9X","GSON1112151110")</f>
        <v>#NAME?</v>
      </c>
      <c r="T2045" s="28" t="e">
        <f ca="1">[1]!BexGetData("DP_1","00O2TNJGODT0G5Z4TTKYMMOLH","GSON1112151110")</f>
        <v>#NAME?</v>
      </c>
      <c r="U2045" s="23" t="e">
        <f ca="1">[1]!BexGetData("DP_1","00O2TNJGODT0G5Z4TTKYMMUX1","GSON1112151110")</f>
        <v>#NAME?</v>
      </c>
      <c r="V2045" s="28" t="e">
        <f ca="1">[1]!BexGetData("DP_1","00O2TNJGODT0G5Z4TTKYMN18L","GSON1112151110")</f>
        <v>#NAME?</v>
      </c>
      <c r="W2045" s="23" t="e">
        <f ca="1">[1]!BexGetData("DP_1","00O2TNJGODT0G5Z4TTKYMN7K5","GSON1112151110")</f>
        <v>#NAME?</v>
      </c>
    </row>
    <row r="2046" spans="1:23" x14ac:dyDescent="0.2">
      <c r="A2046" s="36" t="s">
        <v>5061</v>
      </c>
      <c r="B2046" s="27" t="s">
        <v>5062</v>
      </c>
      <c r="C2046" s="23" t="e">
        <f ca="1">[1]!BexGetData("DP_1","003N8EMH8GTFRCSWKMPXRR8GU","GSON1112151111")</f>
        <v>#NAME?</v>
      </c>
      <c r="D2046" s="23" t="e">
        <f ca="1">[1]!BexGetData("DP_1","003N8EMH8GTFRCSWKMPXRRESE","GSON1112151111")</f>
        <v>#NAME?</v>
      </c>
      <c r="E2046" s="28" t="e">
        <f ca="1">[1]!BexGetData("DP_1","003N8EMH8GTFRCSWKMPXRRL3Y","GSON1112151111")</f>
        <v>#NAME?</v>
      </c>
      <c r="F2046" s="28" t="e">
        <f ca="1">[1]!BexGetData("DP_1","003N8EMH8GTFRCSWKMPXRRRFI","GSON1112151111")</f>
        <v>#NAME?</v>
      </c>
      <c r="G2046" s="23" t="e">
        <f ca="1">[1]!BexGetData("DP_1","003N8EMH8GTFRCSWKMPXRRXR2","GSON1112151111")</f>
        <v>#NAME?</v>
      </c>
      <c r="H2046" s="23" t="e">
        <f ca="1">[1]!BexGetData("DP_1","003N8EMH8GTFRCSWKMPXRS42M","GSON1112151111")</f>
        <v>#NAME?</v>
      </c>
      <c r="I2046" s="28" t="e">
        <f ca="1">[1]!BexGetData("DP_1","003N8EMH8GTFRCSWKMPXRSAE6","GSON1112151111")</f>
        <v>#NAME?</v>
      </c>
      <c r="J2046" s="24" t="e">
        <f ca="1">[1]!BexGetData("DP_1","003N8EMH8GTFRCSWKMPXRSGPQ","GSON1112151111")</f>
        <v>#NAME?</v>
      </c>
      <c r="K2046" s="28" t="e">
        <f ca="1">[1]!BexGetData("DP_1","003N8EMH8GTFRIVNUPY288VJH","GSON1112151111")</f>
        <v>#NAME?</v>
      </c>
      <c r="L2046" s="28" t="e">
        <f ca="1">[1]!BexGetData("DP_1","003N8EMH8GTFRIVNUPY2891V1","GSON1112151111")</f>
        <v>#NAME?</v>
      </c>
      <c r="M2046" s="28" t="e">
        <f ca="1">[1]!BexGetData("DP_1","003N8EMH8GTFRIVOG7KG9IQXA","GSON1112151111")</f>
        <v>#NAME?</v>
      </c>
      <c r="N2046" s="28" t="e">
        <f ca="1">[1]!BexGetData("DP_1","003N8EMH8GTFRIVOG7KG9IX8U","GSON1112151111")</f>
        <v>#NAME?</v>
      </c>
      <c r="O2046" s="28" t="e">
        <f ca="1">[1]!BexGetData("DP_1","003N8EMH8GTFRIVOG7KG9J3KE","GSON1112151111")</f>
        <v>#NAME?</v>
      </c>
      <c r="P2046" s="28" t="e">
        <f ca="1">[1]!BexGetData("DP_1","003N8EMH8GTFRIVOG7KG9J9VY","GSON1112151111")</f>
        <v>#NAME?</v>
      </c>
      <c r="Q2046" s="24" t="e">
        <f ca="1">[1]!BexGetData("DP_1","00O2TNJGODT0G5Z4TTKYMM5MT","GSON1112151111")</f>
        <v>#NAME?</v>
      </c>
      <c r="R2046" s="28" t="e">
        <f ca="1">[1]!BexGetData("DP_1","00O2TNJGODT0G5Z4TTKYMMBYD","GSON1112151111")</f>
        <v>#NAME?</v>
      </c>
      <c r="S2046" s="28" t="e">
        <f ca="1">[1]!BexGetData("DP_1","00O2TNJGODT0G5Z4TTKYMMI9X","GSON1112151111")</f>
        <v>#NAME?</v>
      </c>
      <c r="T2046" s="28" t="e">
        <f ca="1">[1]!BexGetData("DP_1","00O2TNJGODT0G5Z4TTKYMMOLH","GSON1112151111")</f>
        <v>#NAME?</v>
      </c>
      <c r="U2046" s="28" t="e">
        <f ca="1">[1]!BexGetData("DP_1","00O2TNJGODT0G5Z4TTKYMMUX1","GSON1112151111")</f>
        <v>#NAME?</v>
      </c>
      <c r="V2046" s="28" t="e">
        <f ca="1">[1]!BexGetData("DP_1","00O2TNJGODT0G5Z4TTKYMN18L","GSON1112151111")</f>
        <v>#NAME?</v>
      </c>
      <c r="W2046" s="28" t="e">
        <f ca="1">[1]!BexGetData("DP_1","00O2TNJGODT0G5Z4TTKYMN7K5","GSON1112151111")</f>
        <v>#NAME?</v>
      </c>
    </row>
    <row r="2047" spans="1:23" x14ac:dyDescent="0.2">
      <c r="A2047" s="36" t="s">
        <v>5063</v>
      </c>
      <c r="B2047" s="27" t="s">
        <v>5064</v>
      </c>
      <c r="C2047" s="23" t="e">
        <f ca="1">[1]!BexGetData("DP_1","003N8EMH8GTFRCSWKMPXRR8GU","GSON1112151114")</f>
        <v>#NAME?</v>
      </c>
      <c r="D2047" s="23" t="e">
        <f ca="1">[1]!BexGetData("DP_1","003N8EMH8GTFRCSWKMPXRRESE","GSON1112151114")</f>
        <v>#NAME?</v>
      </c>
      <c r="E2047" s="28" t="e">
        <f ca="1">[1]!BexGetData("DP_1","003N8EMH8GTFRCSWKMPXRRL3Y","GSON1112151114")</f>
        <v>#NAME?</v>
      </c>
      <c r="F2047" s="28" t="e">
        <f ca="1">[1]!BexGetData("DP_1","003N8EMH8GTFRCSWKMPXRRRFI","GSON1112151114")</f>
        <v>#NAME?</v>
      </c>
      <c r="G2047" s="23" t="e">
        <f ca="1">[1]!BexGetData("DP_1","003N8EMH8GTFRCSWKMPXRRXR2","GSON1112151114")</f>
        <v>#NAME?</v>
      </c>
      <c r="H2047" s="23" t="e">
        <f ca="1">[1]!BexGetData("DP_1","003N8EMH8GTFRCSWKMPXRS42M","GSON1112151114")</f>
        <v>#NAME?</v>
      </c>
      <c r="I2047" s="28" t="e">
        <f ca="1">[1]!BexGetData("DP_1","003N8EMH8GTFRCSWKMPXRSAE6","GSON1112151114")</f>
        <v>#NAME?</v>
      </c>
      <c r="J2047" s="24" t="e">
        <f ca="1">[1]!BexGetData("DP_1","003N8EMH8GTFRCSWKMPXRSGPQ","GSON1112151114")</f>
        <v>#NAME?</v>
      </c>
      <c r="K2047" s="28" t="e">
        <f ca="1">[1]!BexGetData("DP_1","003N8EMH8GTFRIVNUPY288VJH","GSON1112151114")</f>
        <v>#NAME?</v>
      </c>
      <c r="L2047" s="28" t="e">
        <f ca="1">[1]!BexGetData("DP_1","003N8EMH8GTFRIVNUPY2891V1","GSON1112151114")</f>
        <v>#NAME?</v>
      </c>
      <c r="M2047" s="28" t="e">
        <f ca="1">[1]!BexGetData("DP_1","003N8EMH8GTFRIVOG7KG9IQXA","GSON1112151114")</f>
        <v>#NAME?</v>
      </c>
      <c r="N2047" s="28" t="e">
        <f ca="1">[1]!BexGetData("DP_1","003N8EMH8GTFRIVOG7KG9IX8U","GSON1112151114")</f>
        <v>#NAME?</v>
      </c>
      <c r="O2047" s="28" t="e">
        <f ca="1">[1]!BexGetData("DP_1","003N8EMH8GTFRIVOG7KG9J3KE","GSON1112151114")</f>
        <v>#NAME?</v>
      </c>
      <c r="P2047" s="28" t="e">
        <f ca="1">[1]!BexGetData("DP_1","003N8EMH8GTFRIVOG7KG9J9VY","GSON1112151114")</f>
        <v>#NAME?</v>
      </c>
      <c r="Q2047" s="24" t="e">
        <f ca="1">[1]!BexGetData("DP_1","00O2TNJGODT0G5Z4TTKYMM5MT","GSON1112151114")</f>
        <v>#NAME?</v>
      </c>
      <c r="R2047" s="28" t="e">
        <f ca="1">[1]!BexGetData("DP_1","00O2TNJGODT0G5Z4TTKYMMBYD","GSON1112151114")</f>
        <v>#NAME?</v>
      </c>
      <c r="S2047" s="28" t="e">
        <f ca="1">[1]!BexGetData("DP_1","00O2TNJGODT0G5Z4TTKYMMI9X","GSON1112151114")</f>
        <v>#NAME?</v>
      </c>
      <c r="T2047" s="28" t="e">
        <f ca="1">[1]!BexGetData("DP_1","00O2TNJGODT0G5Z4TTKYMMOLH","GSON1112151114")</f>
        <v>#NAME?</v>
      </c>
      <c r="U2047" s="28" t="e">
        <f ca="1">[1]!BexGetData("DP_1","00O2TNJGODT0G5Z4TTKYMMUX1","GSON1112151114")</f>
        <v>#NAME?</v>
      </c>
      <c r="V2047" s="28" t="e">
        <f ca="1">[1]!BexGetData("DP_1","00O2TNJGODT0G5Z4TTKYMN18L","GSON1112151114")</f>
        <v>#NAME?</v>
      </c>
      <c r="W2047" s="28" t="e">
        <f ca="1">[1]!BexGetData("DP_1","00O2TNJGODT0G5Z4TTKYMN7K5","GSON1112151114")</f>
        <v>#NAME?</v>
      </c>
    </row>
    <row r="2048" spans="1:23" x14ac:dyDescent="0.2">
      <c r="A2048" s="36" t="s">
        <v>5065</v>
      </c>
      <c r="B2048" s="27" t="s">
        <v>5066</v>
      </c>
      <c r="C2048" s="23" t="e">
        <f ca="1">[1]!BexGetData("DP_1","003N8EMH8GTFRCSWKMPXRR8GU","GSON1112151120")</f>
        <v>#NAME?</v>
      </c>
      <c r="D2048" s="23" t="e">
        <f ca="1">[1]!BexGetData("DP_1","003N8EMH8GTFRCSWKMPXRRESE","GSON1112151120")</f>
        <v>#NAME?</v>
      </c>
      <c r="E2048" s="23" t="e">
        <f ca="1">[1]!BexGetData("DP_1","003N8EMH8GTFRCSWKMPXRRL3Y","GSON1112151120")</f>
        <v>#NAME?</v>
      </c>
      <c r="F2048" s="23" t="e">
        <f ca="1">[1]!BexGetData("DP_1","003N8EMH8GTFRCSWKMPXRRRFI","GSON1112151120")</f>
        <v>#NAME?</v>
      </c>
      <c r="G2048" s="23" t="e">
        <f ca="1">[1]!BexGetData("DP_1","003N8EMH8GTFRCSWKMPXRRXR2","GSON1112151120")</f>
        <v>#NAME?</v>
      </c>
      <c r="H2048" s="23" t="e">
        <f ca="1">[1]!BexGetData("DP_1","003N8EMH8GTFRCSWKMPXRS42M","GSON1112151120")</f>
        <v>#NAME?</v>
      </c>
      <c r="I2048" s="23" t="e">
        <f ca="1">[1]!BexGetData("DP_1","003N8EMH8GTFRCSWKMPXRSAE6","GSON1112151120")</f>
        <v>#NAME?</v>
      </c>
      <c r="J2048" s="23" t="e">
        <f ca="1">[1]!BexGetData("DP_1","003N8EMH8GTFRCSWKMPXRSGPQ","GSON1112151120")</f>
        <v>#NAME?</v>
      </c>
      <c r="K2048" s="23" t="e">
        <f ca="1">[1]!BexGetData("DP_1","003N8EMH8GTFRIVNUPY288VJH","GSON1112151120")</f>
        <v>#NAME?</v>
      </c>
      <c r="L2048" s="23" t="e">
        <f ca="1">[1]!BexGetData("DP_1","003N8EMH8GTFRIVNUPY2891V1","GSON1112151120")</f>
        <v>#NAME?</v>
      </c>
      <c r="M2048" s="23" t="e">
        <f ca="1">[1]!BexGetData("DP_1","003N8EMH8GTFRIVOG7KG9IQXA","GSON1112151120")</f>
        <v>#NAME?</v>
      </c>
      <c r="N2048" s="28" t="e">
        <f ca="1">[1]!BexGetData("DP_1","003N8EMH8GTFRIVOG7KG9IX8U","GSON1112151120")</f>
        <v>#NAME?</v>
      </c>
      <c r="O2048" s="23" t="e">
        <f ca="1">[1]!BexGetData("DP_1","003N8EMH8GTFRIVOG7KG9J3KE","GSON1112151120")</f>
        <v>#NAME?</v>
      </c>
      <c r="P2048" s="28" t="e">
        <f ca="1">[1]!BexGetData("DP_1","003N8EMH8GTFRIVOG7KG9J9VY","GSON1112151120")</f>
        <v>#NAME?</v>
      </c>
      <c r="Q2048" s="23" t="e">
        <f ca="1">[1]!BexGetData("DP_1","00O2TNJGODT0G5Z4TTKYMM5MT","GSON1112151120")</f>
        <v>#NAME?</v>
      </c>
      <c r="R2048" s="23" t="e">
        <f ca="1">[1]!BexGetData("DP_1","00O2TNJGODT0G5Z4TTKYMMBYD","GSON1112151120")</f>
        <v>#NAME?</v>
      </c>
      <c r="S2048" s="23" t="e">
        <f ca="1">[1]!BexGetData("DP_1","00O2TNJGODT0G5Z4TTKYMMI9X","GSON1112151120")</f>
        <v>#NAME?</v>
      </c>
      <c r="T2048" s="23" t="e">
        <f ca="1">[1]!BexGetData("DP_1","00O2TNJGODT0G5Z4TTKYMMOLH","GSON1112151120")</f>
        <v>#NAME?</v>
      </c>
      <c r="U2048" s="28" t="e">
        <f ca="1">[1]!BexGetData("DP_1","00O2TNJGODT0G5Z4TTKYMMUX1","GSON1112151120")</f>
        <v>#NAME?</v>
      </c>
      <c r="V2048" s="23" t="e">
        <f ca="1">[1]!BexGetData("DP_1","00O2TNJGODT0G5Z4TTKYMN18L","GSON1112151120")</f>
        <v>#NAME?</v>
      </c>
      <c r="W2048" s="28" t="e">
        <f ca="1">[1]!BexGetData("DP_1","00O2TNJGODT0G5Z4TTKYMN7K5","GSON1112151120")</f>
        <v>#NAME?</v>
      </c>
    </row>
    <row r="2049" spans="1:23" x14ac:dyDescent="0.2">
      <c r="A2049" s="36" t="s">
        <v>5067</v>
      </c>
      <c r="B2049" s="27" t="s">
        <v>5068</v>
      </c>
      <c r="C2049" s="23" t="e">
        <f ca="1">[1]!BexGetData("DP_1","003N8EMH8GTFRCSWKMPXRR8GU","GSON1112151122")</f>
        <v>#NAME?</v>
      </c>
      <c r="D2049" s="23" t="e">
        <f ca="1">[1]!BexGetData("DP_1","003N8EMH8GTFRCSWKMPXRRESE","GSON1112151122")</f>
        <v>#NAME?</v>
      </c>
      <c r="E2049" s="28" t="e">
        <f ca="1">[1]!BexGetData("DP_1","003N8EMH8GTFRCSWKMPXRRL3Y","GSON1112151122")</f>
        <v>#NAME?</v>
      </c>
      <c r="F2049" s="28" t="e">
        <f ca="1">[1]!BexGetData("DP_1","003N8EMH8GTFRCSWKMPXRRRFI","GSON1112151122")</f>
        <v>#NAME?</v>
      </c>
      <c r="G2049" s="23" t="e">
        <f ca="1">[1]!BexGetData("DP_1","003N8EMH8GTFRCSWKMPXRRXR2","GSON1112151122")</f>
        <v>#NAME?</v>
      </c>
      <c r="H2049" s="23" t="e">
        <f ca="1">[1]!BexGetData("DP_1","003N8EMH8GTFRCSWKMPXRS42M","GSON1112151122")</f>
        <v>#NAME?</v>
      </c>
      <c r="I2049" s="28" t="e">
        <f ca="1">[1]!BexGetData("DP_1","003N8EMH8GTFRCSWKMPXRSAE6","GSON1112151122")</f>
        <v>#NAME?</v>
      </c>
      <c r="J2049" s="23" t="e">
        <f ca="1">[1]!BexGetData("DP_1","003N8EMH8GTFRCSWKMPXRSGPQ","GSON1112151122")</f>
        <v>#NAME?</v>
      </c>
      <c r="K2049" s="28" t="e">
        <f ca="1">[1]!BexGetData("DP_1","003N8EMH8GTFRIVNUPY288VJH","GSON1112151122")</f>
        <v>#NAME?</v>
      </c>
      <c r="L2049" s="28" t="e">
        <f ca="1">[1]!BexGetData("DP_1","003N8EMH8GTFRIVNUPY2891V1","GSON1112151122")</f>
        <v>#NAME?</v>
      </c>
      <c r="M2049" s="28" t="e">
        <f ca="1">[1]!BexGetData("DP_1","003N8EMH8GTFRIVOG7KG9IQXA","GSON1112151122")</f>
        <v>#NAME?</v>
      </c>
      <c r="N2049" s="28" t="e">
        <f ca="1">[1]!BexGetData("DP_1","003N8EMH8GTFRIVOG7KG9IX8U","GSON1112151122")</f>
        <v>#NAME?</v>
      </c>
      <c r="O2049" s="28" t="e">
        <f ca="1">[1]!BexGetData("DP_1","003N8EMH8GTFRIVOG7KG9J3KE","GSON1112151122")</f>
        <v>#NAME?</v>
      </c>
      <c r="P2049" s="28" t="e">
        <f ca="1">[1]!BexGetData("DP_1","003N8EMH8GTFRIVOG7KG9J9VY","GSON1112151122")</f>
        <v>#NAME?</v>
      </c>
      <c r="Q2049" s="23" t="e">
        <f ca="1">[1]!BexGetData("DP_1","00O2TNJGODT0G5Z4TTKYMM5MT","GSON1112151122")</f>
        <v>#NAME?</v>
      </c>
      <c r="R2049" s="23" t="e">
        <f ca="1">[1]!BexGetData("DP_1","00O2TNJGODT0G5Z4TTKYMMBYD","GSON1112151122")</f>
        <v>#NAME?</v>
      </c>
      <c r="S2049" s="23" t="e">
        <f ca="1">[1]!BexGetData("DP_1","00O2TNJGODT0G5Z4TTKYMMI9X","GSON1112151122")</f>
        <v>#NAME?</v>
      </c>
      <c r="T2049" s="28" t="e">
        <f ca="1">[1]!BexGetData("DP_1","00O2TNJGODT0G5Z4TTKYMMOLH","GSON1112151122")</f>
        <v>#NAME?</v>
      </c>
      <c r="U2049" s="23" t="e">
        <f ca="1">[1]!BexGetData("DP_1","00O2TNJGODT0G5Z4TTKYMMUX1","GSON1112151122")</f>
        <v>#NAME?</v>
      </c>
      <c r="V2049" s="28" t="e">
        <f ca="1">[1]!BexGetData("DP_1","00O2TNJGODT0G5Z4TTKYMN18L","GSON1112151122")</f>
        <v>#NAME?</v>
      </c>
      <c r="W2049" s="23" t="e">
        <f ca="1">[1]!BexGetData("DP_1","00O2TNJGODT0G5Z4TTKYMN7K5","GSON1112151122")</f>
        <v>#NAME?</v>
      </c>
    </row>
    <row r="2050" spans="1:23" x14ac:dyDescent="0.2">
      <c r="A2050" s="36" t="s">
        <v>5069</v>
      </c>
      <c r="B2050" s="27" t="s">
        <v>5070</v>
      </c>
      <c r="C2050" s="24" t="e">
        <f ca="1">[1]!BexGetData("DP_1","003N8EMH8GTFRCSWKMPXRR8GU","GSON1112151123")</f>
        <v>#NAME?</v>
      </c>
      <c r="D2050" s="24" t="e">
        <f ca="1">[1]!BexGetData("DP_1","003N8EMH8GTFRCSWKMPXRRESE","GSON1112151123")</f>
        <v>#NAME?</v>
      </c>
      <c r="E2050" s="24" t="e">
        <f ca="1">[1]!BexGetData("DP_1","003N8EMH8GTFRCSWKMPXRRL3Y","GSON1112151123")</f>
        <v>#NAME?</v>
      </c>
      <c r="F2050" s="28" t="e">
        <f ca="1">[1]!BexGetData("DP_1","003N8EMH8GTFRCSWKMPXRRRFI","GSON1112151123")</f>
        <v>#NAME?</v>
      </c>
      <c r="G2050" s="23" t="e">
        <f ca="1">[1]!BexGetData("DP_1","003N8EMH8GTFRCSWKMPXRRXR2","GSON1112151123")</f>
        <v>#NAME?</v>
      </c>
      <c r="H2050" s="23" t="e">
        <f ca="1">[1]!BexGetData("DP_1","003N8EMH8GTFRCSWKMPXRS42M","GSON1112151123")</f>
        <v>#NAME?</v>
      </c>
      <c r="I2050" s="28" t="e">
        <f ca="1">[1]!BexGetData("DP_1","003N8EMH8GTFRCSWKMPXRSAE6","GSON1112151123")</f>
        <v>#NAME?</v>
      </c>
      <c r="J2050" s="24" t="e">
        <f ca="1">[1]!BexGetData("DP_1","003N8EMH8GTFRCSWKMPXRSGPQ","GSON1112151123")</f>
        <v>#NAME?</v>
      </c>
      <c r="K2050" s="28" t="e">
        <f ca="1">[1]!BexGetData("DP_1","003N8EMH8GTFRIVNUPY288VJH","GSON1112151123")</f>
        <v>#NAME?</v>
      </c>
      <c r="L2050" s="28" t="e">
        <f ca="1">[1]!BexGetData("DP_1","003N8EMH8GTFRIVNUPY2891V1","GSON1112151123")</f>
        <v>#NAME?</v>
      </c>
      <c r="M2050" s="28" t="e">
        <f ca="1">[1]!BexGetData("DP_1","003N8EMH8GTFRIVOG7KG9IQXA","GSON1112151123")</f>
        <v>#NAME?</v>
      </c>
      <c r="N2050" s="28" t="e">
        <f ca="1">[1]!BexGetData("DP_1","003N8EMH8GTFRIVOG7KG9IX8U","GSON1112151123")</f>
        <v>#NAME?</v>
      </c>
      <c r="O2050" s="28" t="e">
        <f ca="1">[1]!BexGetData("DP_1","003N8EMH8GTFRIVOG7KG9J3KE","GSON1112151123")</f>
        <v>#NAME?</v>
      </c>
      <c r="P2050" s="28" t="e">
        <f ca="1">[1]!BexGetData("DP_1","003N8EMH8GTFRIVOG7KG9J9VY","GSON1112151123")</f>
        <v>#NAME?</v>
      </c>
      <c r="Q2050" s="24" t="e">
        <f ca="1">[1]!BexGetData("DP_1","00O2TNJGODT0G5Z4TTKYMM5MT","GSON1112151123")</f>
        <v>#NAME?</v>
      </c>
      <c r="R2050" s="28" t="e">
        <f ca="1">[1]!BexGetData("DP_1","00O2TNJGODT0G5Z4TTKYMMBYD","GSON1112151123")</f>
        <v>#NAME?</v>
      </c>
      <c r="S2050" s="28" t="e">
        <f ca="1">[1]!BexGetData("DP_1","00O2TNJGODT0G5Z4TTKYMMI9X","GSON1112151123")</f>
        <v>#NAME?</v>
      </c>
      <c r="T2050" s="28" t="e">
        <f ca="1">[1]!BexGetData("DP_1","00O2TNJGODT0G5Z4TTKYMMOLH","GSON1112151123")</f>
        <v>#NAME?</v>
      </c>
      <c r="U2050" s="28" t="e">
        <f ca="1">[1]!BexGetData("DP_1","00O2TNJGODT0G5Z4TTKYMMUX1","GSON1112151123")</f>
        <v>#NAME?</v>
      </c>
      <c r="V2050" s="28" t="e">
        <f ca="1">[1]!BexGetData("DP_1","00O2TNJGODT0G5Z4TTKYMN18L","GSON1112151123")</f>
        <v>#NAME?</v>
      </c>
      <c r="W2050" s="28" t="e">
        <f ca="1">[1]!BexGetData("DP_1","00O2TNJGODT0G5Z4TTKYMN7K5","GSON1112151123")</f>
        <v>#NAME?</v>
      </c>
    </row>
    <row r="2051" spans="1:23" x14ac:dyDescent="0.2">
      <c r="A2051" s="36" t="s">
        <v>5071</v>
      </c>
      <c r="B2051" s="27" t="s">
        <v>5072</v>
      </c>
      <c r="C2051" s="23" t="e">
        <f ca="1">[1]!BexGetData("DP_1","003N8EMH8GTFRCSWKMPXRR8GU","GSON1112151124")</f>
        <v>#NAME?</v>
      </c>
      <c r="D2051" s="23" t="e">
        <f ca="1">[1]!BexGetData("DP_1","003N8EMH8GTFRCSWKMPXRRESE","GSON1112151124")</f>
        <v>#NAME?</v>
      </c>
      <c r="E2051" s="28" t="e">
        <f ca="1">[1]!BexGetData("DP_1","003N8EMH8GTFRCSWKMPXRRL3Y","GSON1112151124")</f>
        <v>#NAME?</v>
      </c>
      <c r="F2051" s="28" t="e">
        <f ca="1">[1]!BexGetData("DP_1","003N8EMH8GTFRCSWKMPXRRRFI","GSON1112151124")</f>
        <v>#NAME?</v>
      </c>
      <c r="G2051" s="23" t="e">
        <f ca="1">[1]!BexGetData("DP_1","003N8EMH8GTFRCSWKMPXRRXR2","GSON1112151124")</f>
        <v>#NAME?</v>
      </c>
      <c r="H2051" s="23" t="e">
        <f ca="1">[1]!BexGetData("DP_1","003N8EMH8GTFRCSWKMPXRS42M","GSON1112151124")</f>
        <v>#NAME?</v>
      </c>
      <c r="I2051" s="28" t="e">
        <f ca="1">[1]!BexGetData("DP_1","003N8EMH8GTFRCSWKMPXRSAE6","GSON1112151124")</f>
        <v>#NAME?</v>
      </c>
      <c r="J2051" s="24" t="e">
        <f ca="1">[1]!BexGetData("DP_1","003N8EMH8GTFRCSWKMPXRSGPQ","GSON1112151124")</f>
        <v>#NAME?</v>
      </c>
      <c r="K2051" s="28" t="e">
        <f ca="1">[1]!BexGetData("DP_1","003N8EMH8GTFRIVNUPY288VJH","GSON1112151124")</f>
        <v>#NAME?</v>
      </c>
      <c r="L2051" s="28" t="e">
        <f ca="1">[1]!BexGetData("DP_1","003N8EMH8GTFRIVNUPY2891V1","GSON1112151124")</f>
        <v>#NAME?</v>
      </c>
      <c r="M2051" s="28" t="e">
        <f ca="1">[1]!BexGetData("DP_1","003N8EMH8GTFRIVOG7KG9IQXA","GSON1112151124")</f>
        <v>#NAME?</v>
      </c>
      <c r="N2051" s="28" t="e">
        <f ca="1">[1]!BexGetData("DP_1","003N8EMH8GTFRIVOG7KG9IX8U","GSON1112151124")</f>
        <v>#NAME?</v>
      </c>
      <c r="O2051" s="28" t="e">
        <f ca="1">[1]!BexGetData("DP_1","003N8EMH8GTFRIVOG7KG9J3KE","GSON1112151124")</f>
        <v>#NAME?</v>
      </c>
      <c r="P2051" s="28" t="e">
        <f ca="1">[1]!BexGetData("DP_1","003N8EMH8GTFRIVOG7KG9J9VY","GSON1112151124")</f>
        <v>#NAME?</v>
      </c>
      <c r="Q2051" s="24" t="e">
        <f ca="1">[1]!BexGetData("DP_1","00O2TNJGODT0G5Z4TTKYMM5MT","GSON1112151124")</f>
        <v>#NAME?</v>
      </c>
      <c r="R2051" s="28" t="e">
        <f ca="1">[1]!BexGetData("DP_1","00O2TNJGODT0G5Z4TTKYMMBYD","GSON1112151124")</f>
        <v>#NAME?</v>
      </c>
      <c r="S2051" s="28" t="e">
        <f ca="1">[1]!BexGetData("DP_1","00O2TNJGODT0G5Z4TTKYMMI9X","GSON1112151124")</f>
        <v>#NAME?</v>
      </c>
      <c r="T2051" s="28" t="e">
        <f ca="1">[1]!BexGetData("DP_1","00O2TNJGODT0G5Z4TTKYMMOLH","GSON1112151124")</f>
        <v>#NAME?</v>
      </c>
      <c r="U2051" s="28" t="e">
        <f ca="1">[1]!BexGetData("DP_1","00O2TNJGODT0G5Z4TTKYMMUX1","GSON1112151124")</f>
        <v>#NAME?</v>
      </c>
      <c r="V2051" s="28" t="e">
        <f ca="1">[1]!BexGetData("DP_1","00O2TNJGODT0G5Z4TTKYMN18L","GSON1112151124")</f>
        <v>#NAME?</v>
      </c>
      <c r="W2051" s="28" t="e">
        <f ca="1">[1]!BexGetData("DP_1","00O2TNJGODT0G5Z4TTKYMN7K5","GSON1112151124")</f>
        <v>#NAME?</v>
      </c>
    </row>
    <row r="2052" spans="1:23" x14ac:dyDescent="0.2">
      <c r="A2052" s="36" t="s">
        <v>5073</v>
      </c>
      <c r="B2052" s="27" t="s">
        <v>5074</v>
      </c>
      <c r="C2052" s="23" t="e">
        <f ca="1">[1]!BexGetData("DP_1","003N8EMH8GTFRCSWKMPXRR8GU","GSON1112151125")</f>
        <v>#NAME?</v>
      </c>
      <c r="D2052" s="23" t="e">
        <f ca="1">[1]!BexGetData("DP_1","003N8EMH8GTFRCSWKMPXRRESE","GSON1112151125")</f>
        <v>#NAME?</v>
      </c>
      <c r="E2052" s="28" t="e">
        <f ca="1">[1]!BexGetData("DP_1","003N8EMH8GTFRCSWKMPXRRL3Y","GSON1112151125")</f>
        <v>#NAME?</v>
      </c>
      <c r="F2052" s="28" t="e">
        <f ca="1">[1]!BexGetData("DP_1","003N8EMH8GTFRCSWKMPXRRRFI","GSON1112151125")</f>
        <v>#NAME?</v>
      </c>
      <c r="G2052" s="23" t="e">
        <f ca="1">[1]!BexGetData("DP_1","003N8EMH8GTFRCSWKMPXRRXR2","GSON1112151125")</f>
        <v>#NAME?</v>
      </c>
      <c r="H2052" s="23" t="e">
        <f ca="1">[1]!BexGetData("DP_1","003N8EMH8GTFRCSWKMPXRS42M","GSON1112151125")</f>
        <v>#NAME?</v>
      </c>
      <c r="I2052" s="28" t="e">
        <f ca="1">[1]!BexGetData("DP_1","003N8EMH8GTFRCSWKMPXRSAE6","GSON1112151125")</f>
        <v>#NAME?</v>
      </c>
      <c r="J2052" s="24" t="e">
        <f ca="1">[1]!BexGetData("DP_1","003N8EMH8GTFRCSWKMPXRSGPQ","GSON1112151125")</f>
        <v>#NAME?</v>
      </c>
      <c r="K2052" s="28" t="e">
        <f ca="1">[1]!BexGetData("DP_1","003N8EMH8GTFRIVNUPY288VJH","GSON1112151125")</f>
        <v>#NAME?</v>
      </c>
      <c r="L2052" s="28" t="e">
        <f ca="1">[1]!BexGetData("DP_1","003N8EMH8GTFRIVNUPY2891V1","GSON1112151125")</f>
        <v>#NAME?</v>
      </c>
      <c r="M2052" s="28" t="e">
        <f ca="1">[1]!BexGetData("DP_1","003N8EMH8GTFRIVOG7KG9IQXA","GSON1112151125")</f>
        <v>#NAME?</v>
      </c>
      <c r="N2052" s="28" t="e">
        <f ca="1">[1]!BexGetData("DP_1","003N8EMH8GTFRIVOG7KG9IX8U","GSON1112151125")</f>
        <v>#NAME?</v>
      </c>
      <c r="O2052" s="28" t="e">
        <f ca="1">[1]!BexGetData("DP_1","003N8EMH8GTFRIVOG7KG9J3KE","GSON1112151125")</f>
        <v>#NAME?</v>
      </c>
      <c r="P2052" s="28" t="e">
        <f ca="1">[1]!BexGetData("DP_1","003N8EMH8GTFRIVOG7KG9J9VY","GSON1112151125")</f>
        <v>#NAME?</v>
      </c>
      <c r="Q2052" s="24" t="e">
        <f ca="1">[1]!BexGetData("DP_1","00O2TNJGODT0G5Z4TTKYMM5MT","GSON1112151125")</f>
        <v>#NAME?</v>
      </c>
      <c r="R2052" s="28" t="e">
        <f ca="1">[1]!BexGetData("DP_1","00O2TNJGODT0G5Z4TTKYMMBYD","GSON1112151125")</f>
        <v>#NAME?</v>
      </c>
      <c r="S2052" s="28" t="e">
        <f ca="1">[1]!BexGetData("DP_1","00O2TNJGODT0G5Z4TTKYMMI9X","GSON1112151125")</f>
        <v>#NAME?</v>
      </c>
      <c r="T2052" s="28" t="e">
        <f ca="1">[1]!BexGetData("DP_1","00O2TNJGODT0G5Z4TTKYMMOLH","GSON1112151125")</f>
        <v>#NAME?</v>
      </c>
      <c r="U2052" s="28" t="e">
        <f ca="1">[1]!BexGetData("DP_1","00O2TNJGODT0G5Z4TTKYMMUX1","GSON1112151125")</f>
        <v>#NAME?</v>
      </c>
      <c r="V2052" s="28" t="e">
        <f ca="1">[1]!BexGetData("DP_1","00O2TNJGODT0G5Z4TTKYMN18L","GSON1112151125")</f>
        <v>#NAME?</v>
      </c>
      <c r="W2052" s="28" t="e">
        <f ca="1">[1]!BexGetData("DP_1","00O2TNJGODT0G5Z4TTKYMN7K5","GSON1112151125")</f>
        <v>#NAME?</v>
      </c>
    </row>
    <row r="2053" spans="1:23" x14ac:dyDescent="0.2">
      <c r="A2053" s="36" t="s">
        <v>5075</v>
      </c>
      <c r="B2053" s="27" t="s">
        <v>5076</v>
      </c>
      <c r="C2053" s="28" t="e">
        <f ca="1">[1]!BexGetData("DP_1","003N8EMH8GTFRCSWKMPXRR8GU","GSON1112151130")</f>
        <v>#NAME?</v>
      </c>
      <c r="D2053" s="28" t="e">
        <f ca="1">[1]!BexGetData("DP_1","003N8EMH8GTFRCSWKMPXRRESE","GSON1112151130")</f>
        <v>#NAME?</v>
      </c>
      <c r="E2053" s="28" t="e">
        <f ca="1">[1]!BexGetData("DP_1","003N8EMH8GTFRCSWKMPXRRL3Y","GSON1112151130")</f>
        <v>#NAME?</v>
      </c>
      <c r="F2053" s="28" t="e">
        <f ca="1">[1]!BexGetData("DP_1","003N8EMH8GTFRCSWKMPXRRRFI","GSON1112151130")</f>
        <v>#NAME?</v>
      </c>
      <c r="G2053" s="28" t="e">
        <f ca="1">[1]!BexGetData("DP_1","003N8EMH8GTFRCSWKMPXRRXR2","GSON1112151130")</f>
        <v>#NAME?</v>
      </c>
      <c r="H2053" s="23" t="e">
        <f ca="1">[1]!BexGetData("DP_1","003N8EMH8GTFRCSWKMPXRS42M","GSON1112151130")</f>
        <v>#NAME?</v>
      </c>
      <c r="I2053" s="28" t="e">
        <f ca="1">[1]!BexGetData("DP_1","003N8EMH8GTFRCSWKMPXRSAE6","GSON1112151130")</f>
        <v>#NAME?</v>
      </c>
      <c r="J2053" s="23" t="e">
        <f ca="1">[1]!BexGetData("DP_1","003N8EMH8GTFRCSWKMPXRSGPQ","GSON1112151130")</f>
        <v>#NAME?</v>
      </c>
      <c r="K2053" s="28" t="e">
        <f ca="1">[1]!BexGetData("DP_1","003N8EMH8GTFRIVNUPY288VJH","GSON1112151130")</f>
        <v>#NAME?</v>
      </c>
      <c r="L2053" s="28" t="e">
        <f ca="1">[1]!BexGetData("DP_1","003N8EMH8GTFRIVNUPY2891V1","GSON1112151130")</f>
        <v>#NAME?</v>
      </c>
      <c r="M2053" s="28" t="e">
        <f ca="1">[1]!BexGetData("DP_1","003N8EMH8GTFRIVOG7KG9IQXA","GSON1112151130")</f>
        <v>#NAME?</v>
      </c>
      <c r="N2053" s="28" t="e">
        <f ca="1">[1]!BexGetData("DP_1","003N8EMH8GTFRIVOG7KG9IX8U","GSON1112151130")</f>
        <v>#NAME?</v>
      </c>
      <c r="O2053" s="28" t="e">
        <f ca="1">[1]!BexGetData("DP_1","003N8EMH8GTFRIVOG7KG9J3KE","GSON1112151130")</f>
        <v>#NAME?</v>
      </c>
      <c r="P2053" s="28" t="e">
        <f ca="1">[1]!BexGetData("DP_1","003N8EMH8GTFRIVOG7KG9J9VY","GSON1112151130")</f>
        <v>#NAME?</v>
      </c>
      <c r="Q2053" s="23" t="e">
        <f ca="1">[1]!BexGetData("DP_1","00O2TNJGODT0G5Z4TTKYMM5MT","GSON1112151130")</f>
        <v>#NAME?</v>
      </c>
      <c r="R2053" s="23" t="e">
        <f ca="1">[1]!BexGetData("DP_1","00O2TNJGODT0G5Z4TTKYMMBYD","GSON1112151130")</f>
        <v>#NAME?</v>
      </c>
      <c r="S2053" s="23" t="e">
        <f ca="1">[1]!BexGetData("DP_1","00O2TNJGODT0G5Z4TTKYMMI9X","GSON1112151130")</f>
        <v>#NAME?</v>
      </c>
      <c r="T2053" s="23" t="e">
        <f ca="1">[1]!BexGetData("DP_1","00O2TNJGODT0G5Z4TTKYMMOLH","GSON1112151130")</f>
        <v>#NAME?</v>
      </c>
      <c r="U2053" s="28" t="e">
        <f ca="1">[1]!BexGetData("DP_1","00O2TNJGODT0G5Z4TTKYMMUX1","GSON1112151130")</f>
        <v>#NAME?</v>
      </c>
      <c r="V2053" s="23" t="e">
        <f ca="1">[1]!BexGetData("DP_1","00O2TNJGODT0G5Z4TTKYMN18L","GSON1112151130")</f>
        <v>#NAME?</v>
      </c>
      <c r="W2053" s="28" t="e">
        <f ca="1">[1]!BexGetData("DP_1","00O2TNJGODT0G5Z4TTKYMN7K5","GSON1112151130")</f>
        <v>#NAME?</v>
      </c>
    </row>
    <row r="2054" spans="1:23" x14ac:dyDescent="0.2">
      <c r="A2054" s="36" t="s">
        <v>5077</v>
      </c>
      <c r="B2054" s="27" t="s">
        <v>5078</v>
      </c>
      <c r="C2054" s="24" t="e">
        <f ca="1">[1]!BexGetData("DP_1","003N8EMH8GTFRCSWKMPXRR8GU","GSON1112151133")</f>
        <v>#NAME?</v>
      </c>
      <c r="D2054" s="24" t="e">
        <f ca="1">[1]!BexGetData("DP_1","003N8EMH8GTFRCSWKMPXRRESE","GSON1112151133")</f>
        <v>#NAME?</v>
      </c>
      <c r="E2054" s="24" t="e">
        <f ca="1">[1]!BexGetData("DP_1","003N8EMH8GTFRCSWKMPXRRL3Y","GSON1112151133")</f>
        <v>#NAME?</v>
      </c>
      <c r="F2054" s="28" t="e">
        <f ca="1">[1]!BexGetData("DP_1","003N8EMH8GTFRCSWKMPXRRRFI","GSON1112151133")</f>
        <v>#NAME?</v>
      </c>
      <c r="G2054" s="23" t="e">
        <f ca="1">[1]!BexGetData("DP_1","003N8EMH8GTFRCSWKMPXRRXR2","GSON1112151133")</f>
        <v>#NAME?</v>
      </c>
      <c r="H2054" s="23" t="e">
        <f ca="1">[1]!BexGetData("DP_1","003N8EMH8GTFRCSWKMPXRS42M","GSON1112151133")</f>
        <v>#NAME?</v>
      </c>
      <c r="I2054" s="28" t="e">
        <f ca="1">[1]!BexGetData("DP_1","003N8EMH8GTFRCSWKMPXRSAE6","GSON1112151133")</f>
        <v>#NAME?</v>
      </c>
      <c r="J2054" s="24" t="e">
        <f ca="1">[1]!BexGetData("DP_1","003N8EMH8GTFRCSWKMPXRSGPQ","GSON1112151133")</f>
        <v>#NAME?</v>
      </c>
      <c r="K2054" s="28" t="e">
        <f ca="1">[1]!BexGetData("DP_1","003N8EMH8GTFRIVNUPY288VJH","GSON1112151133")</f>
        <v>#NAME?</v>
      </c>
      <c r="L2054" s="28" t="e">
        <f ca="1">[1]!BexGetData("DP_1","003N8EMH8GTFRIVNUPY2891V1","GSON1112151133")</f>
        <v>#NAME?</v>
      </c>
      <c r="M2054" s="28" t="e">
        <f ca="1">[1]!BexGetData("DP_1","003N8EMH8GTFRIVOG7KG9IQXA","GSON1112151133")</f>
        <v>#NAME?</v>
      </c>
      <c r="N2054" s="28" t="e">
        <f ca="1">[1]!BexGetData("DP_1","003N8EMH8GTFRIVOG7KG9IX8U","GSON1112151133")</f>
        <v>#NAME?</v>
      </c>
      <c r="O2054" s="28" t="e">
        <f ca="1">[1]!BexGetData("DP_1","003N8EMH8GTFRIVOG7KG9J3KE","GSON1112151133")</f>
        <v>#NAME?</v>
      </c>
      <c r="P2054" s="28" t="e">
        <f ca="1">[1]!BexGetData("DP_1","003N8EMH8GTFRIVOG7KG9J9VY","GSON1112151133")</f>
        <v>#NAME?</v>
      </c>
      <c r="Q2054" s="24" t="e">
        <f ca="1">[1]!BexGetData("DP_1","00O2TNJGODT0G5Z4TTKYMM5MT","GSON1112151133")</f>
        <v>#NAME?</v>
      </c>
      <c r="R2054" s="28" t="e">
        <f ca="1">[1]!BexGetData("DP_1","00O2TNJGODT0G5Z4TTKYMMBYD","GSON1112151133")</f>
        <v>#NAME?</v>
      </c>
      <c r="S2054" s="28" t="e">
        <f ca="1">[1]!BexGetData("DP_1","00O2TNJGODT0G5Z4TTKYMMI9X","GSON1112151133")</f>
        <v>#NAME?</v>
      </c>
      <c r="T2054" s="28" t="e">
        <f ca="1">[1]!BexGetData("DP_1","00O2TNJGODT0G5Z4TTKYMMOLH","GSON1112151133")</f>
        <v>#NAME?</v>
      </c>
      <c r="U2054" s="28" t="e">
        <f ca="1">[1]!BexGetData("DP_1","00O2TNJGODT0G5Z4TTKYMMUX1","GSON1112151133")</f>
        <v>#NAME?</v>
      </c>
      <c r="V2054" s="28" t="e">
        <f ca="1">[1]!BexGetData("DP_1","00O2TNJGODT0G5Z4TTKYMN18L","GSON1112151133")</f>
        <v>#NAME?</v>
      </c>
      <c r="W2054" s="28" t="e">
        <f ca="1">[1]!BexGetData("DP_1","00O2TNJGODT0G5Z4TTKYMN7K5","GSON1112151133")</f>
        <v>#NAME?</v>
      </c>
    </row>
    <row r="2055" spans="1:23" x14ac:dyDescent="0.2">
      <c r="A2055" s="36" t="s">
        <v>5079</v>
      </c>
      <c r="B2055" s="27" t="s">
        <v>5080</v>
      </c>
      <c r="C2055" s="28" t="e">
        <f ca="1">[1]!BexGetData("DP_1","003N8EMH8GTFRCSWKMPXRR8GU","GSON1112151135")</f>
        <v>#NAME?</v>
      </c>
      <c r="D2055" s="28" t="e">
        <f ca="1">[1]!BexGetData("DP_1","003N8EMH8GTFRCSWKMPXRRESE","GSON1112151135")</f>
        <v>#NAME?</v>
      </c>
      <c r="E2055" s="28" t="e">
        <f ca="1">[1]!BexGetData("DP_1","003N8EMH8GTFRCSWKMPXRRL3Y","GSON1112151135")</f>
        <v>#NAME?</v>
      </c>
      <c r="F2055" s="28" t="e">
        <f ca="1">[1]!BexGetData("DP_1","003N8EMH8GTFRCSWKMPXRRRFI","GSON1112151135")</f>
        <v>#NAME?</v>
      </c>
      <c r="G2055" s="23" t="e">
        <f ca="1">[1]!BexGetData("DP_1","003N8EMH8GTFRCSWKMPXRRXR2","GSON1112151135")</f>
        <v>#NAME?</v>
      </c>
      <c r="H2055" s="23" t="e">
        <f ca="1">[1]!BexGetData("DP_1","003N8EMH8GTFRCSWKMPXRS42M","GSON1112151135")</f>
        <v>#NAME?</v>
      </c>
      <c r="I2055" s="28" t="e">
        <f ca="1">[1]!BexGetData("DP_1","003N8EMH8GTFRCSWKMPXRSAE6","GSON1112151135")</f>
        <v>#NAME?</v>
      </c>
      <c r="J2055" s="24" t="e">
        <f ca="1">[1]!BexGetData("DP_1","003N8EMH8GTFRCSWKMPXRSGPQ","GSON1112151135")</f>
        <v>#NAME?</v>
      </c>
      <c r="K2055" s="28" t="e">
        <f ca="1">[1]!BexGetData("DP_1","003N8EMH8GTFRIVNUPY288VJH","GSON1112151135")</f>
        <v>#NAME?</v>
      </c>
      <c r="L2055" s="28" t="e">
        <f ca="1">[1]!BexGetData("DP_1","003N8EMH8GTFRIVNUPY2891V1","GSON1112151135")</f>
        <v>#NAME?</v>
      </c>
      <c r="M2055" s="28" t="e">
        <f ca="1">[1]!BexGetData("DP_1","003N8EMH8GTFRIVOG7KG9IQXA","GSON1112151135")</f>
        <v>#NAME?</v>
      </c>
      <c r="N2055" s="28" t="e">
        <f ca="1">[1]!BexGetData("DP_1","003N8EMH8GTFRIVOG7KG9IX8U","GSON1112151135")</f>
        <v>#NAME?</v>
      </c>
      <c r="O2055" s="28" t="e">
        <f ca="1">[1]!BexGetData("DP_1","003N8EMH8GTFRIVOG7KG9J3KE","GSON1112151135")</f>
        <v>#NAME?</v>
      </c>
      <c r="P2055" s="28" t="e">
        <f ca="1">[1]!BexGetData("DP_1","003N8EMH8GTFRIVOG7KG9J9VY","GSON1112151135")</f>
        <v>#NAME?</v>
      </c>
      <c r="Q2055" s="24" t="e">
        <f ca="1">[1]!BexGetData("DP_1","00O2TNJGODT0G5Z4TTKYMM5MT","GSON1112151135")</f>
        <v>#NAME?</v>
      </c>
      <c r="R2055" s="28" t="e">
        <f ca="1">[1]!BexGetData("DP_1","00O2TNJGODT0G5Z4TTKYMMBYD","GSON1112151135")</f>
        <v>#NAME?</v>
      </c>
      <c r="S2055" s="28" t="e">
        <f ca="1">[1]!BexGetData("DP_1","00O2TNJGODT0G5Z4TTKYMMI9X","GSON1112151135")</f>
        <v>#NAME?</v>
      </c>
      <c r="T2055" s="28" t="e">
        <f ca="1">[1]!BexGetData("DP_1","00O2TNJGODT0G5Z4TTKYMMOLH","GSON1112151135")</f>
        <v>#NAME?</v>
      </c>
      <c r="U2055" s="28" t="e">
        <f ca="1">[1]!BexGetData("DP_1","00O2TNJGODT0G5Z4TTKYMMUX1","GSON1112151135")</f>
        <v>#NAME?</v>
      </c>
      <c r="V2055" s="28" t="e">
        <f ca="1">[1]!BexGetData("DP_1","00O2TNJGODT0G5Z4TTKYMN18L","GSON1112151135")</f>
        <v>#NAME?</v>
      </c>
      <c r="W2055" s="28" t="e">
        <f ca="1">[1]!BexGetData("DP_1","00O2TNJGODT0G5Z4TTKYMN7K5","GSON1112151135")</f>
        <v>#NAME?</v>
      </c>
    </row>
    <row r="2056" spans="1:23" x14ac:dyDescent="0.2">
      <c r="A2056" s="36" t="s">
        <v>5081</v>
      </c>
      <c r="B2056" s="27" t="s">
        <v>5082</v>
      </c>
      <c r="C2056" s="28" t="e">
        <f ca="1">[1]!BexGetData("DP_1","003N8EMH8GTFRCSWKMPXRR8GU","GSON1112151140")</f>
        <v>#NAME?</v>
      </c>
      <c r="D2056" s="28" t="e">
        <f ca="1">[1]!BexGetData("DP_1","003N8EMH8GTFRCSWKMPXRRESE","GSON1112151140")</f>
        <v>#NAME?</v>
      </c>
      <c r="E2056" s="28" t="e">
        <f ca="1">[1]!BexGetData("DP_1","003N8EMH8GTFRCSWKMPXRRL3Y","GSON1112151140")</f>
        <v>#NAME?</v>
      </c>
      <c r="F2056" s="28" t="e">
        <f ca="1">[1]!BexGetData("DP_1","003N8EMH8GTFRCSWKMPXRRRFI","GSON1112151140")</f>
        <v>#NAME?</v>
      </c>
      <c r="G2056" s="28" t="e">
        <f ca="1">[1]!BexGetData("DP_1","003N8EMH8GTFRCSWKMPXRRXR2","GSON1112151140")</f>
        <v>#NAME?</v>
      </c>
      <c r="H2056" s="23" t="e">
        <f ca="1">[1]!BexGetData("DP_1","003N8EMH8GTFRCSWKMPXRS42M","GSON1112151140")</f>
        <v>#NAME?</v>
      </c>
      <c r="I2056" s="28" t="e">
        <f ca="1">[1]!BexGetData("DP_1","003N8EMH8GTFRCSWKMPXRSAE6","GSON1112151140")</f>
        <v>#NAME?</v>
      </c>
      <c r="J2056" s="23" t="e">
        <f ca="1">[1]!BexGetData("DP_1","003N8EMH8GTFRCSWKMPXRSGPQ","GSON1112151140")</f>
        <v>#NAME?</v>
      </c>
      <c r="K2056" s="28" t="e">
        <f ca="1">[1]!BexGetData("DP_1","003N8EMH8GTFRIVNUPY288VJH","GSON1112151140")</f>
        <v>#NAME?</v>
      </c>
      <c r="L2056" s="28" t="e">
        <f ca="1">[1]!BexGetData("DP_1","003N8EMH8GTFRIVNUPY2891V1","GSON1112151140")</f>
        <v>#NAME?</v>
      </c>
      <c r="M2056" s="28" t="e">
        <f ca="1">[1]!BexGetData("DP_1","003N8EMH8GTFRIVOG7KG9IQXA","GSON1112151140")</f>
        <v>#NAME?</v>
      </c>
      <c r="N2056" s="28" t="e">
        <f ca="1">[1]!BexGetData("DP_1","003N8EMH8GTFRIVOG7KG9IX8U","GSON1112151140")</f>
        <v>#NAME?</v>
      </c>
      <c r="O2056" s="28" t="e">
        <f ca="1">[1]!BexGetData("DP_1","003N8EMH8GTFRIVOG7KG9J3KE","GSON1112151140")</f>
        <v>#NAME?</v>
      </c>
      <c r="P2056" s="28" t="e">
        <f ca="1">[1]!BexGetData("DP_1","003N8EMH8GTFRIVOG7KG9J9VY","GSON1112151140")</f>
        <v>#NAME?</v>
      </c>
      <c r="Q2056" s="23" t="e">
        <f ca="1">[1]!BexGetData("DP_1","00O2TNJGODT0G5Z4TTKYMM5MT","GSON1112151140")</f>
        <v>#NAME?</v>
      </c>
      <c r="R2056" s="23" t="e">
        <f ca="1">[1]!BexGetData("DP_1","00O2TNJGODT0G5Z4TTKYMMBYD","GSON1112151140")</f>
        <v>#NAME?</v>
      </c>
      <c r="S2056" s="23" t="e">
        <f ca="1">[1]!BexGetData("DP_1","00O2TNJGODT0G5Z4TTKYMMI9X","GSON1112151140")</f>
        <v>#NAME?</v>
      </c>
      <c r="T2056" s="23" t="e">
        <f ca="1">[1]!BexGetData("DP_1","00O2TNJGODT0G5Z4TTKYMMOLH","GSON1112151140")</f>
        <v>#NAME?</v>
      </c>
      <c r="U2056" s="28" t="e">
        <f ca="1">[1]!BexGetData("DP_1","00O2TNJGODT0G5Z4TTKYMMUX1","GSON1112151140")</f>
        <v>#NAME?</v>
      </c>
      <c r="V2056" s="23" t="e">
        <f ca="1">[1]!BexGetData("DP_1","00O2TNJGODT0G5Z4TTKYMN18L","GSON1112151140")</f>
        <v>#NAME?</v>
      </c>
      <c r="W2056" s="28" t="e">
        <f ca="1">[1]!BexGetData("DP_1","00O2TNJGODT0G5Z4TTKYMN7K5","GSON1112151140")</f>
        <v>#NAME?</v>
      </c>
    </row>
    <row r="2057" spans="1:23" x14ac:dyDescent="0.2">
      <c r="A2057" s="36" t="s">
        <v>5083</v>
      </c>
      <c r="B2057" s="27" t="s">
        <v>5084</v>
      </c>
      <c r="C2057" s="24" t="e">
        <f ca="1">[1]!BexGetData("DP_1","003N8EMH8GTFRCSWKMPXRR8GU","GSON1112151143")</f>
        <v>#NAME?</v>
      </c>
      <c r="D2057" s="24" t="e">
        <f ca="1">[1]!BexGetData("DP_1","003N8EMH8GTFRCSWKMPXRRESE","GSON1112151143")</f>
        <v>#NAME?</v>
      </c>
      <c r="E2057" s="24" t="e">
        <f ca="1">[1]!BexGetData("DP_1","003N8EMH8GTFRCSWKMPXRRL3Y","GSON1112151143")</f>
        <v>#NAME?</v>
      </c>
      <c r="F2057" s="28" t="e">
        <f ca="1">[1]!BexGetData("DP_1","003N8EMH8GTFRCSWKMPXRRRFI","GSON1112151143")</f>
        <v>#NAME?</v>
      </c>
      <c r="G2057" s="23" t="e">
        <f ca="1">[1]!BexGetData("DP_1","003N8EMH8GTFRCSWKMPXRRXR2","GSON1112151143")</f>
        <v>#NAME?</v>
      </c>
      <c r="H2057" s="23" t="e">
        <f ca="1">[1]!BexGetData("DP_1","003N8EMH8GTFRCSWKMPXRS42M","GSON1112151143")</f>
        <v>#NAME?</v>
      </c>
      <c r="I2057" s="28" t="e">
        <f ca="1">[1]!BexGetData("DP_1","003N8EMH8GTFRCSWKMPXRSAE6","GSON1112151143")</f>
        <v>#NAME?</v>
      </c>
      <c r="J2057" s="24" t="e">
        <f ca="1">[1]!BexGetData("DP_1","003N8EMH8GTFRCSWKMPXRSGPQ","GSON1112151143")</f>
        <v>#NAME?</v>
      </c>
      <c r="K2057" s="28" t="e">
        <f ca="1">[1]!BexGetData("DP_1","003N8EMH8GTFRIVNUPY288VJH","GSON1112151143")</f>
        <v>#NAME?</v>
      </c>
      <c r="L2057" s="28" t="e">
        <f ca="1">[1]!BexGetData("DP_1","003N8EMH8GTFRIVNUPY2891V1","GSON1112151143")</f>
        <v>#NAME?</v>
      </c>
      <c r="M2057" s="28" t="e">
        <f ca="1">[1]!BexGetData("DP_1","003N8EMH8GTFRIVOG7KG9IQXA","GSON1112151143")</f>
        <v>#NAME?</v>
      </c>
      <c r="N2057" s="28" t="e">
        <f ca="1">[1]!BexGetData("DP_1","003N8EMH8GTFRIVOG7KG9IX8U","GSON1112151143")</f>
        <v>#NAME?</v>
      </c>
      <c r="O2057" s="28" t="e">
        <f ca="1">[1]!BexGetData("DP_1","003N8EMH8GTFRIVOG7KG9J3KE","GSON1112151143")</f>
        <v>#NAME?</v>
      </c>
      <c r="P2057" s="28" t="e">
        <f ca="1">[1]!BexGetData("DP_1","003N8EMH8GTFRIVOG7KG9J9VY","GSON1112151143")</f>
        <v>#NAME?</v>
      </c>
      <c r="Q2057" s="24" t="e">
        <f ca="1">[1]!BexGetData("DP_1","00O2TNJGODT0G5Z4TTKYMM5MT","GSON1112151143")</f>
        <v>#NAME?</v>
      </c>
      <c r="R2057" s="28" t="e">
        <f ca="1">[1]!BexGetData("DP_1","00O2TNJGODT0G5Z4TTKYMMBYD","GSON1112151143")</f>
        <v>#NAME?</v>
      </c>
      <c r="S2057" s="28" t="e">
        <f ca="1">[1]!BexGetData("DP_1","00O2TNJGODT0G5Z4TTKYMMI9X","GSON1112151143")</f>
        <v>#NAME?</v>
      </c>
      <c r="T2057" s="28" t="e">
        <f ca="1">[1]!BexGetData("DP_1","00O2TNJGODT0G5Z4TTKYMMOLH","GSON1112151143")</f>
        <v>#NAME?</v>
      </c>
      <c r="U2057" s="28" t="e">
        <f ca="1">[1]!BexGetData("DP_1","00O2TNJGODT0G5Z4TTKYMMUX1","GSON1112151143")</f>
        <v>#NAME?</v>
      </c>
      <c r="V2057" s="28" t="e">
        <f ca="1">[1]!BexGetData("DP_1","00O2TNJGODT0G5Z4TTKYMN18L","GSON1112151143")</f>
        <v>#NAME?</v>
      </c>
      <c r="W2057" s="28" t="e">
        <f ca="1">[1]!BexGetData("DP_1","00O2TNJGODT0G5Z4TTKYMN7K5","GSON1112151143")</f>
        <v>#NAME?</v>
      </c>
    </row>
    <row r="2058" spans="1:23" x14ac:dyDescent="0.2">
      <c r="A2058" s="36" t="s">
        <v>5085</v>
      </c>
      <c r="B2058" s="27" t="s">
        <v>5086</v>
      </c>
      <c r="C2058" s="28" t="e">
        <f ca="1">[1]!BexGetData("DP_1","003N8EMH8GTFRCSWKMPXRR8GU","GSON1112151150")</f>
        <v>#NAME?</v>
      </c>
      <c r="D2058" s="28" t="e">
        <f ca="1">[1]!BexGetData("DP_1","003N8EMH8GTFRCSWKMPXRRESE","GSON1112151150")</f>
        <v>#NAME?</v>
      </c>
      <c r="E2058" s="28" t="e">
        <f ca="1">[1]!BexGetData("DP_1","003N8EMH8GTFRCSWKMPXRRL3Y","GSON1112151150")</f>
        <v>#NAME?</v>
      </c>
      <c r="F2058" s="28" t="e">
        <f ca="1">[1]!BexGetData("DP_1","003N8EMH8GTFRCSWKMPXRRRFI","GSON1112151150")</f>
        <v>#NAME?</v>
      </c>
      <c r="G2058" s="28" t="e">
        <f ca="1">[1]!BexGetData("DP_1","003N8EMH8GTFRCSWKMPXRRXR2","GSON1112151150")</f>
        <v>#NAME?</v>
      </c>
      <c r="H2058" s="23" t="e">
        <f ca="1">[1]!BexGetData("DP_1","003N8EMH8GTFRCSWKMPXRS42M","GSON1112151150")</f>
        <v>#NAME?</v>
      </c>
      <c r="I2058" s="28" t="e">
        <f ca="1">[1]!BexGetData("DP_1","003N8EMH8GTFRCSWKMPXRSAE6","GSON1112151150")</f>
        <v>#NAME?</v>
      </c>
      <c r="J2058" s="23" t="e">
        <f ca="1">[1]!BexGetData("DP_1","003N8EMH8GTFRCSWKMPXRSGPQ","GSON1112151150")</f>
        <v>#NAME?</v>
      </c>
      <c r="K2058" s="28" t="e">
        <f ca="1">[1]!BexGetData("DP_1","003N8EMH8GTFRIVNUPY288VJH","GSON1112151150")</f>
        <v>#NAME?</v>
      </c>
      <c r="L2058" s="28" t="e">
        <f ca="1">[1]!BexGetData("DP_1","003N8EMH8GTFRIVNUPY2891V1","GSON1112151150")</f>
        <v>#NAME?</v>
      </c>
      <c r="M2058" s="28" t="e">
        <f ca="1">[1]!BexGetData("DP_1","003N8EMH8GTFRIVOG7KG9IQXA","GSON1112151150")</f>
        <v>#NAME?</v>
      </c>
      <c r="N2058" s="28" t="e">
        <f ca="1">[1]!BexGetData("DP_1","003N8EMH8GTFRIVOG7KG9IX8U","GSON1112151150")</f>
        <v>#NAME?</v>
      </c>
      <c r="O2058" s="28" t="e">
        <f ca="1">[1]!BexGetData("DP_1","003N8EMH8GTFRIVOG7KG9J3KE","GSON1112151150")</f>
        <v>#NAME?</v>
      </c>
      <c r="P2058" s="28" t="e">
        <f ca="1">[1]!BexGetData("DP_1","003N8EMH8GTFRIVOG7KG9J9VY","GSON1112151150")</f>
        <v>#NAME?</v>
      </c>
      <c r="Q2058" s="23" t="e">
        <f ca="1">[1]!BexGetData("DP_1","00O2TNJGODT0G5Z4TTKYMM5MT","GSON1112151150")</f>
        <v>#NAME?</v>
      </c>
      <c r="R2058" s="23" t="e">
        <f ca="1">[1]!BexGetData("DP_1","00O2TNJGODT0G5Z4TTKYMMBYD","GSON1112151150")</f>
        <v>#NAME?</v>
      </c>
      <c r="S2058" s="23" t="e">
        <f ca="1">[1]!BexGetData("DP_1","00O2TNJGODT0G5Z4TTKYMMI9X","GSON1112151150")</f>
        <v>#NAME?</v>
      </c>
      <c r="T2058" s="23" t="e">
        <f ca="1">[1]!BexGetData("DP_1","00O2TNJGODT0G5Z4TTKYMMOLH","GSON1112151150")</f>
        <v>#NAME?</v>
      </c>
      <c r="U2058" s="28" t="e">
        <f ca="1">[1]!BexGetData("DP_1","00O2TNJGODT0G5Z4TTKYMMUX1","GSON1112151150")</f>
        <v>#NAME?</v>
      </c>
      <c r="V2058" s="23" t="e">
        <f ca="1">[1]!BexGetData("DP_1","00O2TNJGODT0G5Z4TTKYMN18L","GSON1112151150")</f>
        <v>#NAME?</v>
      </c>
      <c r="W2058" s="28" t="e">
        <f ca="1">[1]!BexGetData("DP_1","00O2TNJGODT0G5Z4TTKYMN7K5","GSON1112151150")</f>
        <v>#NAME?</v>
      </c>
    </row>
    <row r="2059" spans="1:23" x14ac:dyDescent="0.2">
      <c r="A2059" s="36" t="s">
        <v>5087</v>
      </c>
      <c r="B2059" s="27" t="s">
        <v>5088</v>
      </c>
      <c r="C2059" s="24" t="e">
        <f ca="1">[1]!BexGetData("DP_1","003N8EMH8GTFRCSWKMPXRR8GU","GSON1112151152")</f>
        <v>#NAME?</v>
      </c>
      <c r="D2059" s="24" t="e">
        <f ca="1">[1]!BexGetData("DP_1","003N8EMH8GTFRCSWKMPXRRESE","GSON1112151152")</f>
        <v>#NAME?</v>
      </c>
      <c r="E2059" s="24" t="e">
        <f ca="1">[1]!BexGetData("DP_1","003N8EMH8GTFRCSWKMPXRRL3Y","GSON1112151152")</f>
        <v>#NAME?</v>
      </c>
      <c r="F2059" s="28" t="e">
        <f ca="1">[1]!BexGetData("DP_1","003N8EMH8GTFRCSWKMPXRRRFI","GSON1112151152")</f>
        <v>#NAME?</v>
      </c>
      <c r="G2059" s="23" t="e">
        <f ca="1">[1]!BexGetData("DP_1","003N8EMH8GTFRCSWKMPXRRXR2","GSON1112151152")</f>
        <v>#NAME?</v>
      </c>
      <c r="H2059" s="23" t="e">
        <f ca="1">[1]!BexGetData("DP_1","003N8EMH8GTFRCSWKMPXRS42M","GSON1112151152")</f>
        <v>#NAME?</v>
      </c>
      <c r="I2059" s="28" t="e">
        <f ca="1">[1]!BexGetData("DP_1","003N8EMH8GTFRCSWKMPXRSAE6","GSON1112151152")</f>
        <v>#NAME?</v>
      </c>
      <c r="J2059" s="23" t="e">
        <f ca="1">[1]!BexGetData("DP_1","003N8EMH8GTFRCSWKMPXRSGPQ","GSON1112151152")</f>
        <v>#NAME?</v>
      </c>
      <c r="K2059" s="28" t="e">
        <f ca="1">[1]!BexGetData("DP_1","003N8EMH8GTFRIVNUPY288VJH","GSON1112151152")</f>
        <v>#NAME?</v>
      </c>
      <c r="L2059" s="28" t="e">
        <f ca="1">[1]!BexGetData("DP_1","003N8EMH8GTFRIVNUPY2891V1","GSON1112151152")</f>
        <v>#NAME?</v>
      </c>
      <c r="M2059" s="28" t="e">
        <f ca="1">[1]!BexGetData("DP_1","003N8EMH8GTFRIVOG7KG9IQXA","GSON1112151152")</f>
        <v>#NAME?</v>
      </c>
      <c r="N2059" s="28" t="e">
        <f ca="1">[1]!BexGetData("DP_1","003N8EMH8GTFRIVOG7KG9IX8U","GSON1112151152")</f>
        <v>#NAME?</v>
      </c>
      <c r="O2059" s="28" t="e">
        <f ca="1">[1]!BexGetData("DP_1","003N8EMH8GTFRIVOG7KG9J3KE","GSON1112151152")</f>
        <v>#NAME?</v>
      </c>
      <c r="P2059" s="28" t="e">
        <f ca="1">[1]!BexGetData("DP_1","003N8EMH8GTFRIVOG7KG9J9VY","GSON1112151152")</f>
        <v>#NAME?</v>
      </c>
      <c r="Q2059" s="23" t="e">
        <f ca="1">[1]!BexGetData("DP_1","00O2TNJGODT0G5Z4TTKYMM5MT","GSON1112151152")</f>
        <v>#NAME?</v>
      </c>
      <c r="R2059" s="23" t="e">
        <f ca="1">[1]!BexGetData("DP_1","00O2TNJGODT0G5Z4TTKYMMBYD","GSON1112151152")</f>
        <v>#NAME?</v>
      </c>
      <c r="S2059" s="23" t="e">
        <f ca="1">[1]!BexGetData("DP_1","00O2TNJGODT0G5Z4TTKYMMI9X","GSON1112151152")</f>
        <v>#NAME?</v>
      </c>
      <c r="T2059" s="28" t="e">
        <f ca="1">[1]!BexGetData("DP_1","00O2TNJGODT0G5Z4TTKYMMOLH","GSON1112151152")</f>
        <v>#NAME?</v>
      </c>
      <c r="U2059" s="23" t="e">
        <f ca="1">[1]!BexGetData("DP_1","00O2TNJGODT0G5Z4TTKYMMUX1","GSON1112151152")</f>
        <v>#NAME?</v>
      </c>
      <c r="V2059" s="28" t="e">
        <f ca="1">[1]!BexGetData("DP_1","00O2TNJGODT0G5Z4TTKYMN18L","GSON1112151152")</f>
        <v>#NAME?</v>
      </c>
      <c r="W2059" s="23" t="e">
        <f ca="1">[1]!BexGetData("DP_1","00O2TNJGODT0G5Z4TTKYMN7K5","GSON1112151152")</f>
        <v>#NAME?</v>
      </c>
    </row>
    <row r="2060" spans="1:23" x14ac:dyDescent="0.2">
      <c r="A2060" s="36" t="s">
        <v>5089</v>
      </c>
      <c r="B2060" s="27" t="s">
        <v>5090</v>
      </c>
      <c r="C2060" s="24" t="e">
        <f ca="1">[1]!BexGetData("DP_1","003N8EMH8GTFRCSWKMPXRR8GU","GSON1112151154")</f>
        <v>#NAME?</v>
      </c>
      <c r="D2060" s="24" t="e">
        <f ca="1">[1]!BexGetData("DP_1","003N8EMH8GTFRCSWKMPXRRESE","GSON1112151154")</f>
        <v>#NAME?</v>
      </c>
      <c r="E2060" s="24" t="e">
        <f ca="1">[1]!BexGetData("DP_1","003N8EMH8GTFRCSWKMPXRRL3Y","GSON1112151154")</f>
        <v>#NAME?</v>
      </c>
      <c r="F2060" s="28" t="e">
        <f ca="1">[1]!BexGetData("DP_1","003N8EMH8GTFRCSWKMPXRRRFI","GSON1112151154")</f>
        <v>#NAME?</v>
      </c>
      <c r="G2060" s="23" t="e">
        <f ca="1">[1]!BexGetData("DP_1","003N8EMH8GTFRCSWKMPXRRXR2","GSON1112151154")</f>
        <v>#NAME?</v>
      </c>
      <c r="H2060" s="23" t="e">
        <f ca="1">[1]!BexGetData("DP_1","003N8EMH8GTFRCSWKMPXRS42M","GSON1112151154")</f>
        <v>#NAME?</v>
      </c>
      <c r="I2060" s="28" t="e">
        <f ca="1">[1]!BexGetData("DP_1","003N8EMH8GTFRCSWKMPXRSAE6","GSON1112151154")</f>
        <v>#NAME?</v>
      </c>
      <c r="J2060" s="24" t="e">
        <f ca="1">[1]!BexGetData("DP_1","003N8EMH8GTFRCSWKMPXRSGPQ","GSON1112151154")</f>
        <v>#NAME?</v>
      </c>
      <c r="K2060" s="28" t="e">
        <f ca="1">[1]!BexGetData("DP_1","003N8EMH8GTFRIVNUPY288VJH","GSON1112151154")</f>
        <v>#NAME?</v>
      </c>
      <c r="L2060" s="28" t="e">
        <f ca="1">[1]!BexGetData("DP_1","003N8EMH8GTFRIVNUPY2891V1","GSON1112151154")</f>
        <v>#NAME?</v>
      </c>
      <c r="M2060" s="28" t="e">
        <f ca="1">[1]!BexGetData("DP_1","003N8EMH8GTFRIVOG7KG9IQXA","GSON1112151154")</f>
        <v>#NAME?</v>
      </c>
      <c r="N2060" s="28" t="e">
        <f ca="1">[1]!BexGetData("DP_1","003N8EMH8GTFRIVOG7KG9IX8U","GSON1112151154")</f>
        <v>#NAME?</v>
      </c>
      <c r="O2060" s="28" t="e">
        <f ca="1">[1]!BexGetData("DP_1","003N8EMH8GTFRIVOG7KG9J3KE","GSON1112151154")</f>
        <v>#NAME?</v>
      </c>
      <c r="P2060" s="28" t="e">
        <f ca="1">[1]!BexGetData("DP_1","003N8EMH8GTFRIVOG7KG9J9VY","GSON1112151154")</f>
        <v>#NAME?</v>
      </c>
      <c r="Q2060" s="24" t="e">
        <f ca="1">[1]!BexGetData("DP_1","00O2TNJGODT0G5Z4TTKYMM5MT","GSON1112151154")</f>
        <v>#NAME?</v>
      </c>
      <c r="R2060" s="28" t="e">
        <f ca="1">[1]!BexGetData("DP_1","00O2TNJGODT0G5Z4TTKYMMBYD","GSON1112151154")</f>
        <v>#NAME?</v>
      </c>
      <c r="S2060" s="28" t="e">
        <f ca="1">[1]!BexGetData("DP_1","00O2TNJGODT0G5Z4TTKYMMI9X","GSON1112151154")</f>
        <v>#NAME?</v>
      </c>
      <c r="T2060" s="28" t="e">
        <f ca="1">[1]!BexGetData("DP_1","00O2TNJGODT0G5Z4TTKYMMOLH","GSON1112151154")</f>
        <v>#NAME?</v>
      </c>
      <c r="U2060" s="28" t="e">
        <f ca="1">[1]!BexGetData("DP_1","00O2TNJGODT0G5Z4TTKYMMUX1","GSON1112151154")</f>
        <v>#NAME?</v>
      </c>
      <c r="V2060" s="28" t="e">
        <f ca="1">[1]!BexGetData("DP_1","00O2TNJGODT0G5Z4TTKYMN18L","GSON1112151154")</f>
        <v>#NAME?</v>
      </c>
      <c r="W2060" s="28" t="e">
        <f ca="1">[1]!BexGetData("DP_1","00O2TNJGODT0G5Z4TTKYMN7K5","GSON1112151154")</f>
        <v>#NAME?</v>
      </c>
    </row>
    <row r="2061" spans="1:23" x14ac:dyDescent="0.2">
      <c r="A2061" s="36" t="s">
        <v>5091</v>
      </c>
      <c r="B2061" s="27" t="s">
        <v>5092</v>
      </c>
      <c r="C2061" s="28" t="e">
        <f ca="1">[1]!BexGetData("DP_1","003N8EMH8GTFRCSWKMPXRR8GU","GSON1112151160")</f>
        <v>#NAME?</v>
      </c>
      <c r="D2061" s="28" t="e">
        <f ca="1">[1]!BexGetData("DP_1","003N8EMH8GTFRCSWKMPXRRESE","GSON1112151160")</f>
        <v>#NAME?</v>
      </c>
      <c r="E2061" s="28" t="e">
        <f ca="1">[1]!BexGetData("DP_1","003N8EMH8GTFRCSWKMPXRRL3Y","GSON1112151160")</f>
        <v>#NAME?</v>
      </c>
      <c r="F2061" s="28" t="e">
        <f ca="1">[1]!BexGetData("DP_1","003N8EMH8GTFRCSWKMPXRRRFI","GSON1112151160")</f>
        <v>#NAME?</v>
      </c>
      <c r="G2061" s="23" t="e">
        <f ca="1">[1]!BexGetData("DP_1","003N8EMH8GTFRCSWKMPXRRXR2","GSON1112151160")</f>
        <v>#NAME?</v>
      </c>
      <c r="H2061" s="23" t="e">
        <f ca="1">[1]!BexGetData("DP_1","003N8EMH8GTFRCSWKMPXRS42M","GSON1112151160")</f>
        <v>#NAME?</v>
      </c>
      <c r="I2061" s="28" t="e">
        <f ca="1">[1]!BexGetData("DP_1","003N8EMH8GTFRCSWKMPXRSAE6","GSON1112151160")</f>
        <v>#NAME?</v>
      </c>
      <c r="J2061" s="23" t="e">
        <f ca="1">[1]!BexGetData("DP_1","003N8EMH8GTFRCSWKMPXRSGPQ","GSON1112151160")</f>
        <v>#NAME?</v>
      </c>
      <c r="K2061" s="28" t="e">
        <f ca="1">[1]!BexGetData("DP_1","003N8EMH8GTFRIVNUPY288VJH","GSON1112151160")</f>
        <v>#NAME?</v>
      </c>
      <c r="L2061" s="28" t="e">
        <f ca="1">[1]!BexGetData("DP_1","003N8EMH8GTFRIVNUPY2891V1","GSON1112151160")</f>
        <v>#NAME?</v>
      </c>
      <c r="M2061" s="28" t="e">
        <f ca="1">[1]!BexGetData("DP_1","003N8EMH8GTFRIVOG7KG9IQXA","GSON1112151160")</f>
        <v>#NAME?</v>
      </c>
      <c r="N2061" s="28" t="e">
        <f ca="1">[1]!BexGetData("DP_1","003N8EMH8GTFRIVOG7KG9IX8U","GSON1112151160")</f>
        <v>#NAME?</v>
      </c>
      <c r="O2061" s="28" t="e">
        <f ca="1">[1]!BexGetData("DP_1","003N8EMH8GTFRIVOG7KG9J3KE","GSON1112151160")</f>
        <v>#NAME?</v>
      </c>
      <c r="P2061" s="28" t="e">
        <f ca="1">[1]!BexGetData("DP_1","003N8EMH8GTFRIVOG7KG9J9VY","GSON1112151160")</f>
        <v>#NAME?</v>
      </c>
      <c r="Q2061" s="23" t="e">
        <f ca="1">[1]!BexGetData("DP_1","00O2TNJGODT0G5Z4TTKYMM5MT","GSON1112151160")</f>
        <v>#NAME?</v>
      </c>
      <c r="R2061" s="23" t="e">
        <f ca="1">[1]!BexGetData("DP_1","00O2TNJGODT0G5Z4TTKYMMBYD","GSON1112151160")</f>
        <v>#NAME?</v>
      </c>
      <c r="S2061" s="23" t="e">
        <f ca="1">[1]!BexGetData("DP_1","00O2TNJGODT0G5Z4TTKYMMI9X","GSON1112151160")</f>
        <v>#NAME?</v>
      </c>
      <c r="T2061" s="23" t="e">
        <f ca="1">[1]!BexGetData("DP_1","00O2TNJGODT0G5Z4TTKYMMOLH","GSON1112151160")</f>
        <v>#NAME?</v>
      </c>
      <c r="U2061" s="28" t="e">
        <f ca="1">[1]!BexGetData("DP_1","00O2TNJGODT0G5Z4TTKYMMUX1","GSON1112151160")</f>
        <v>#NAME?</v>
      </c>
      <c r="V2061" s="23" t="e">
        <f ca="1">[1]!BexGetData("DP_1","00O2TNJGODT0G5Z4TTKYMN18L","GSON1112151160")</f>
        <v>#NAME?</v>
      </c>
      <c r="W2061" s="28" t="e">
        <f ca="1">[1]!BexGetData("DP_1","00O2TNJGODT0G5Z4TTKYMN7K5","GSON1112151160")</f>
        <v>#NAME?</v>
      </c>
    </row>
    <row r="2062" spans="1:23" x14ac:dyDescent="0.2">
      <c r="A2062" s="36" t="s">
        <v>5093</v>
      </c>
      <c r="B2062" s="27" t="s">
        <v>5094</v>
      </c>
      <c r="C2062" s="24" t="e">
        <f ca="1">[1]!BexGetData("DP_1","003N8EMH8GTFRCSWKMPXRR8GU","GSON1112151162")</f>
        <v>#NAME?</v>
      </c>
      <c r="D2062" s="24" t="e">
        <f ca="1">[1]!BexGetData("DP_1","003N8EMH8GTFRCSWKMPXRRESE","GSON1112151162")</f>
        <v>#NAME?</v>
      </c>
      <c r="E2062" s="24" t="e">
        <f ca="1">[1]!BexGetData("DP_1","003N8EMH8GTFRCSWKMPXRRL3Y","GSON1112151162")</f>
        <v>#NAME?</v>
      </c>
      <c r="F2062" s="28" t="e">
        <f ca="1">[1]!BexGetData("DP_1","003N8EMH8GTFRCSWKMPXRRRFI","GSON1112151162")</f>
        <v>#NAME?</v>
      </c>
      <c r="G2062" s="23" t="e">
        <f ca="1">[1]!BexGetData("DP_1","003N8EMH8GTFRCSWKMPXRRXR2","GSON1112151162")</f>
        <v>#NAME?</v>
      </c>
      <c r="H2062" s="23" t="e">
        <f ca="1">[1]!BexGetData("DP_1","003N8EMH8GTFRCSWKMPXRS42M","GSON1112151162")</f>
        <v>#NAME?</v>
      </c>
      <c r="I2062" s="28" t="e">
        <f ca="1">[1]!BexGetData("DP_1","003N8EMH8GTFRCSWKMPXRSAE6","GSON1112151162")</f>
        <v>#NAME?</v>
      </c>
      <c r="J2062" s="23" t="e">
        <f ca="1">[1]!BexGetData("DP_1","003N8EMH8GTFRCSWKMPXRSGPQ","GSON1112151162")</f>
        <v>#NAME?</v>
      </c>
      <c r="K2062" s="28" t="e">
        <f ca="1">[1]!BexGetData("DP_1","003N8EMH8GTFRIVNUPY288VJH","GSON1112151162")</f>
        <v>#NAME?</v>
      </c>
      <c r="L2062" s="28" t="e">
        <f ca="1">[1]!BexGetData("DP_1","003N8EMH8GTFRIVNUPY2891V1","GSON1112151162")</f>
        <v>#NAME?</v>
      </c>
      <c r="M2062" s="28" t="e">
        <f ca="1">[1]!BexGetData("DP_1","003N8EMH8GTFRIVOG7KG9IQXA","GSON1112151162")</f>
        <v>#NAME?</v>
      </c>
      <c r="N2062" s="28" t="e">
        <f ca="1">[1]!BexGetData("DP_1","003N8EMH8GTFRIVOG7KG9IX8U","GSON1112151162")</f>
        <v>#NAME?</v>
      </c>
      <c r="O2062" s="28" t="e">
        <f ca="1">[1]!BexGetData("DP_1","003N8EMH8GTFRIVOG7KG9J3KE","GSON1112151162")</f>
        <v>#NAME?</v>
      </c>
      <c r="P2062" s="28" t="e">
        <f ca="1">[1]!BexGetData("DP_1","003N8EMH8GTFRIVOG7KG9J9VY","GSON1112151162")</f>
        <v>#NAME?</v>
      </c>
      <c r="Q2062" s="23" t="e">
        <f ca="1">[1]!BexGetData("DP_1","00O2TNJGODT0G5Z4TTKYMM5MT","GSON1112151162")</f>
        <v>#NAME?</v>
      </c>
      <c r="R2062" s="23" t="e">
        <f ca="1">[1]!BexGetData("DP_1","00O2TNJGODT0G5Z4TTKYMMBYD","GSON1112151162")</f>
        <v>#NAME?</v>
      </c>
      <c r="S2062" s="23" t="e">
        <f ca="1">[1]!BexGetData("DP_1","00O2TNJGODT0G5Z4TTKYMMI9X","GSON1112151162")</f>
        <v>#NAME?</v>
      </c>
      <c r="T2062" s="28" t="e">
        <f ca="1">[1]!BexGetData("DP_1","00O2TNJGODT0G5Z4TTKYMMOLH","GSON1112151162")</f>
        <v>#NAME?</v>
      </c>
      <c r="U2062" s="23" t="e">
        <f ca="1">[1]!BexGetData("DP_1","00O2TNJGODT0G5Z4TTKYMMUX1","GSON1112151162")</f>
        <v>#NAME?</v>
      </c>
      <c r="V2062" s="28" t="e">
        <f ca="1">[1]!BexGetData("DP_1","00O2TNJGODT0G5Z4TTKYMN18L","GSON1112151162")</f>
        <v>#NAME?</v>
      </c>
      <c r="W2062" s="23" t="e">
        <f ca="1">[1]!BexGetData("DP_1","00O2TNJGODT0G5Z4TTKYMN7K5","GSON1112151162")</f>
        <v>#NAME?</v>
      </c>
    </row>
    <row r="2063" spans="1:23" x14ac:dyDescent="0.2">
      <c r="A2063" s="36" t="s">
        <v>5095</v>
      </c>
      <c r="B2063" s="27" t="s">
        <v>5096</v>
      </c>
      <c r="C2063" s="24" t="e">
        <f ca="1">[1]!BexGetData("DP_1","003N8EMH8GTFRCSWKMPXRR8GU","GSON1112151164")</f>
        <v>#NAME?</v>
      </c>
      <c r="D2063" s="24" t="e">
        <f ca="1">[1]!BexGetData("DP_1","003N8EMH8GTFRCSWKMPXRRESE","GSON1112151164")</f>
        <v>#NAME?</v>
      </c>
      <c r="E2063" s="24" t="e">
        <f ca="1">[1]!BexGetData("DP_1","003N8EMH8GTFRCSWKMPXRRL3Y","GSON1112151164")</f>
        <v>#NAME?</v>
      </c>
      <c r="F2063" s="28" t="e">
        <f ca="1">[1]!BexGetData("DP_1","003N8EMH8GTFRCSWKMPXRRRFI","GSON1112151164")</f>
        <v>#NAME?</v>
      </c>
      <c r="G2063" s="23" t="e">
        <f ca="1">[1]!BexGetData("DP_1","003N8EMH8GTFRCSWKMPXRRXR2","GSON1112151164")</f>
        <v>#NAME?</v>
      </c>
      <c r="H2063" s="23" t="e">
        <f ca="1">[1]!BexGetData("DP_1","003N8EMH8GTFRCSWKMPXRS42M","GSON1112151164")</f>
        <v>#NAME?</v>
      </c>
      <c r="I2063" s="28" t="e">
        <f ca="1">[1]!BexGetData("DP_1","003N8EMH8GTFRCSWKMPXRSAE6","GSON1112151164")</f>
        <v>#NAME?</v>
      </c>
      <c r="J2063" s="24" t="e">
        <f ca="1">[1]!BexGetData("DP_1","003N8EMH8GTFRCSWKMPXRSGPQ","GSON1112151164")</f>
        <v>#NAME?</v>
      </c>
      <c r="K2063" s="28" t="e">
        <f ca="1">[1]!BexGetData("DP_1","003N8EMH8GTFRIVNUPY288VJH","GSON1112151164")</f>
        <v>#NAME?</v>
      </c>
      <c r="L2063" s="28" t="e">
        <f ca="1">[1]!BexGetData("DP_1","003N8EMH8GTFRIVNUPY2891V1","GSON1112151164")</f>
        <v>#NAME?</v>
      </c>
      <c r="M2063" s="28" t="e">
        <f ca="1">[1]!BexGetData("DP_1","003N8EMH8GTFRIVOG7KG9IQXA","GSON1112151164")</f>
        <v>#NAME?</v>
      </c>
      <c r="N2063" s="28" t="e">
        <f ca="1">[1]!BexGetData("DP_1","003N8EMH8GTFRIVOG7KG9IX8U","GSON1112151164")</f>
        <v>#NAME?</v>
      </c>
      <c r="O2063" s="28" t="e">
        <f ca="1">[1]!BexGetData("DP_1","003N8EMH8GTFRIVOG7KG9J3KE","GSON1112151164")</f>
        <v>#NAME?</v>
      </c>
      <c r="P2063" s="28" t="e">
        <f ca="1">[1]!BexGetData("DP_1","003N8EMH8GTFRIVOG7KG9J9VY","GSON1112151164")</f>
        <v>#NAME?</v>
      </c>
      <c r="Q2063" s="24" t="e">
        <f ca="1">[1]!BexGetData("DP_1","00O2TNJGODT0G5Z4TTKYMM5MT","GSON1112151164")</f>
        <v>#NAME?</v>
      </c>
      <c r="R2063" s="28" t="e">
        <f ca="1">[1]!BexGetData("DP_1","00O2TNJGODT0G5Z4TTKYMMBYD","GSON1112151164")</f>
        <v>#NAME?</v>
      </c>
      <c r="S2063" s="28" t="e">
        <f ca="1">[1]!BexGetData("DP_1","00O2TNJGODT0G5Z4TTKYMMI9X","GSON1112151164")</f>
        <v>#NAME?</v>
      </c>
      <c r="T2063" s="28" t="e">
        <f ca="1">[1]!BexGetData("DP_1","00O2TNJGODT0G5Z4TTKYMMOLH","GSON1112151164")</f>
        <v>#NAME?</v>
      </c>
      <c r="U2063" s="28" t="e">
        <f ca="1">[1]!BexGetData("DP_1","00O2TNJGODT0G5Z4TTKYMMUX1","GSON1112151164")</f>
        <v>#NAME?</v>
      </c>
      <c r="V2063" s="28" t="e">
        <f ca="1">[1]!BexGetData("DP_1","00O2TNJGODT0G5Z4TTKYMN18L","GSON1112151164")</f>
        <v>#NAME?</v>
      </c>
      <c r="W2063" s="28" t="e">
        <f ca="1">[1]!BexGetData("DP_1","00O2TNJGODT0G5Z4TTKYMN7K5","GSON1112151164")</f>
        <v>#NAME?</v>
      </c>
    </row>
    <row r="2064" spans="1:23" x14ac:dyDescent="0.2">
      <c r="A2064" s="36" t="s">
        <v>5097</v>
      </c>
      <c r="B2064" s="27" t="s">
        <v>5098</v>
      </c>
      <c r="C2064" s="28" t="e">
        <f ca="1">[1]!BexGetData("DP_1","003N8EMH8GTFRCSWKMPXRR8GU","GSON1112151165")</f>
        <v>#NAME?</v>
      </c>
      <c r="D2064" s="28" t="e">
        <f ca="1">[1]!BexGetData("DP_1","003N8EMH8GTFRCSWKMPXRRESE","GSON1112151165")</f>
        <v>#NAME?</v>
      </c>
      <c r="E2064" s="28" t="e">
        <f ca="1">[1]!BexGetData("DP_1","003N8EMH8GTFRCSWKMPXRRL3Y","GSON1112151165")</f>
        <v>#NAME?</v>
      </c>
      <c r="F2064" s="28" t="e">
        <f ca="1">[1]!BexGetData("DP_1","003N8EMH8GTFRCSWKMPXRRRFI","GSON1112151165")</f>
        <v>#NAME?</v>
      </c>
      <c r="G2064" s="23" t="e">
        <f ca="1">[1]!BexGetData("DP_1","003N8EMH8GTFRCSWKMPXRRXR2","GSON1112151165")</f>
        <v>#NAME?</v>
      </c>
      <c r="H2064" s="23" t="e">
        <f ca="1">[1]!BexGetData("DP_1","003N8EMH8GTFRCSWKMPXRS42M","GSON1112151165")</f>
        <v>#NAME?</v>
      </c>
      <c r="I2064" s="28" t="e">
        <f ca="1">[1]!BexGetData("DP_1","003N8EMH8GTFRCSWKMPXRSAE6","GSON1112151165")</f>
        <v>#NAME?</v>
      </c>
      <c r="J2064" s="24" t="e">
        <f ca="1">[1]!BexGetData("DP_1","003N8EMH8GTFRCSWKMPXRSGPQ","GSON1112151165")</f>
        <v>#NAME?</v>
      </c>
      <c r="K2064" s="28" t="e">
        <f ca="1">[1]!BexGetData("DP_1","003N8EMH8GTFRIVNUPY288VJH","GSON1112151165")</f>
        <v>#NAME?</v>
      </c>
      <c r="L2064" s="28" t="e">
        <f ca="1">[1]!BexGetData("DP_1","003N8EMH8GTFRIVNUPY2891V1","GSON1112151165")</f>
        <v>#NAME?</v>
      </c>
      <c r="M2064" s="28" t="e">
        <f ca="1">[1]!BexGetData("DP_1","003N8EMH8GTFRIVOG7KG9IQXA","GSON1112151165")</f>
        <v>#NAME?</v>
      </c>
      <c r="N2064" s="28" t="e">
        <f ca="1">[1]!BexGetData("DP_1","003N8EMH8GTFRIVOG7KG9IX8U","GSON1112151165")</f>
        <v>#NAME?</v>
      </c>
      <c r="O2064" s="28" t="e">
        <f ca="1">[1]!BexGetData("DP_1","003N8EMH8GTFRIVOG7KG9J3KE","GSON1112151165")</f>
        <v>#NAME?</v>
      </c>
      <c r="P2064" s="28" t="e">
        <f ca="1">[1]!BexGetData("DP_1","003N8EMH8GTFRIVOG7KG9J9VY","GSON1112151165")</f>
        <v>#NAME?</v>
      </c>
      <c r="Q2064" s="24" t="e">
        <f ca="1">[1]!BexGetData("DP_1","00O2TNJGODT0G5Z4TTKYMM5MT","GSON1112151165")</f>
        <v>#NAME?</v>
      </c>
      <c r="R2064" s="28" t="e">
        <f ca="1">[1]!BexGetData("DP_1","00O2TNJGODT0G5Z4TTKYMMBYD","GSON1112151165")</f>
        <v>#NAME?</v>
      </c>
      <c r="S2064" s="28" t="e">
        <f ca="1">[1]!BexGetData("DP_1","00O2TNJGODT0G5Z4TTKYMMI9X","GSON1112151165")</f>
        <v>#NAME?</v>
      </c>
      <c r="T2064" s="28" t="e">
        <f ca="1">[1]!BexGetData("DP_1","00O2TNJGODT0G5Z4TTKYMMOLH","GSON1112151165")</f>
        <v>#NAME?</v>
      </c>
      <c r="U2064" s="28" t="e">
        <f ca="1">[1]!BexGetData("DP_1","00O2TNJGODT0G5Z4TTKYMMUX1","GSON1112151165")</f>
        <v>#NAME?</v>
      </c>
      <c r="V2064" s="28" t="e">
        <f ca="1">[1]!BexGetData("DP_1","00O2TNJGODT0G5Z4TTKYMN18L","GSON1112151165")</f>
        <v>#NAME?</v>
      </c>
      <c r="W2064" s="28" t="e">
        <f ca="1">[1]!BexGetData("DP_1","00O2TNJGODT0G5Z4TTKYMN7K5","GSON1112151165")</f>
        <v>#NAME?</v>
      </c>
    </row>
    <row r="2065" spans="1:23" x14ac:dyDescent="0.2">
      <c r="A2065" s="36" t="s">
        <v>5099</v>
      </c>
      <c r="B2065" s="27" t="s">
        <v>5100</v>
      </c>
      <c r="C2065" s="28" t="e">
        <f ca="1">[1]!BexGetData("DP_1","003N8EMH8GTFRCSWKMPXRR8GU","GSON1112151210")</f>
        <v>#NAME?</v>
      </c>
      <c r="D2065" s="28" t="e">
        <f ca="1">[1]!BexGetData("DP_1","003N8EMH8GTFRCSWKMPXRRESE","GSON1112151210")</f>
        <v>#NAME?</v>
      </c>
      <c r="E2065" s="28" t="e">
        <f ca="1">[1]!BexGetData("DP_1","003N8EMH8GTFRCSWKMPXRRL3Y","GSON1112151210")</f>
        <v>#NAME?</v>
      </c>
      <c r="F2065" s="28" t="e">
        <f ca="1">[1]!BexGetData("DP_1","003N8EMH8GTFRCSWKMPXRRRFI","GSON1112151210")</f>
        <v>#NAME?</v>
      </c>
      <c r="G2065" s="23" t="e">
        <f ca="1">[1]!BexGetData("DP_1","003N8EMH8GTFRCSWKMPXRRXR2","GSON1112151210")</f>
        <v>#NAME?</v>
      </c>
      <c r="H2065" s="23" t="e">
        <f ca="1">[1]!BexGetData("DP_1","003N8EMH8GTFRCSWKMPXRS42M","GSON1112151210")</f>
        <v>#NAME?</v>
      </c>
      <c r="I2065" s="28" t="e">
        <f ca="1">[1]!BexGetData("DP_1","003N8EMH8GTFRCSWKMPXRSAE6","GSON1112151210")</f>
        <v>#NAME?</v>
      </c>
      <c r="J2065" s="23" t="e">
        <f ca="1">[1]!BexGetData("DP_1","003N8EMH8GTFRCSWKMPXRSGPQ","GSON1112151210")</f>
        <v>#NAME?</v>
      </c>
      <c r="K2065" s="28" t="e">
        <f ca="1">[1]!BexGetData("DP_1","003N8EMH8GTFRIVNUPY288VJH","GSON1112151210")</f>
        <v>#NAME?</v>
      </c>
      <c r="L2065" s="28" t="e">
        <f ca="1">[1]!BexGetData("DP_1","003N8EMH8GTFRIVNUPY2891V1","GSON1112151210")</f>
        <v>#NAME?</v>
      </c>
      <c r="M2065" s="28" t="e">
        <f ca="1">[1]!BexGetData("DP_1","003N8EMH8GTFRIVOG7KG9IQXA","GSON1112151210")</f>
        <v>#NAME?</v>
      </c>
      <c r="N2065" s="28" t="e">
        <f ca="1">[1]!BexGetData("DP_1","003N8EMH8GTFRIVOG7KG9IX8U","GSON1112151210")</f>
        <v>#NAME?</v>
      </c>
      <c r="O2065" s="28" t="e">
        <f ca="1">[1]!BexGetData("DP_1","003N8EMH8GTFRIVOG7KG9J3KE","GSON1112151210")</f>
        <v>#NAME?</v>
      </c>
      <c r="P2065" s="28" t="e">
        <f ca="1">[1]!BexGetData("DP_1","003N8EMH8GTFRIVOG7KG9J9VY","GSON1112151210")</f>
        <v>#NAME?</v>
      </c>
      <c r="Q2065" s="23" t="e">
        <f ca="1">[1]!BexGetData("DP_1","00O2TNJGODT0G5Z4TTKYMM5MT","GSON1112151210")</f>
        <v>#NAME?</v>
      </c>
      <c r="R2065" s="23" t="e">
        <f ca="1">[1]!BexGetData("DP_1","00O2TNJGODT0G5Z4TTKYMMBYD","GSON1112151210")</f>
        <v>#NAME?</v>
      </c>
      <c r="S2065" s="23" t="e">
        <f ca="1">[1]!BexGetData("DP_1","00O2TNJGODT0G5Z4TTKYMMI9X","GSON1112151210")</f>
        <v>#NAME?</v>
      </c>
      <c r="T2065" s="23" t="e">
        <f ca="1">[1]!BexGetData("DP_1","00O2TNJGODT0G5Z4TTKYMMOLH","GSON1112151210")</f>
        <v>#NAME?</v>
      </c>
      <c r="U2065" s="28" t="e">
        <f ca="1">[1]!BexGetData("DP_1","00O2TNJGODT0G5Z4TTKYMMUX1","GSON1112151210")</f>
        <v>#NAME?</v>
      </c>
      <c r="V2065" s="23" t="e">
        <f ca="1">[1]!BexGetData("DP_1","00O2TNJGODT0G5Z4TTKYMN18L","GSON1112151210")</f>
        <v>#NAME?</v>
      </c>
      <c r="W2065" s="28" t="e">
        <f ca="1">[1]!BexGetData("DP_1","00O2TNJGODT0G5Z4TTKYMN7K5","GSON1112151210")</f>
        <v>#NAME?</v>
      </c>
    </row>
    <row r="2066" spans="1:23" x14ac:dyDescent="0.2">
      <c r="A2066" s="36" t="s">
        <v>5101</v>
      </c>
      <c r="B2066" s="27" t="s">
        <v>5102</v>
      </c>
      <c r="C2066" s="28" t="e">
        <f ca="1">[1]!BexGetData("DP_1","003N8EMH8GTFRCSWKMPXRR8GU","GSON1112151211")</f>
        <v>#NAME?</v>
      </c>
      <c r="D2066" s="28" t="e">
        <f ca="1">[1]!BexGetData("DP_1","003N8EMH8GTFRCSWKMPXRRESE","GSON1112151211")</f>
        <v>#NAME?</v>
      </c>
      <c r="E2066" s="28" t="e">
        <f ca="1">[1]!BexGetData("DP_1","003N8EMH8GTFRCSWKMPXRRL3Y","GSON1112151211")</f>
        <v>#NAME?</v>
      </c>
      <c r="F2066" s="28" t="e">
        <f ca="1">[1]!BexGetData("DP_1","003N8EMH8GTFRCSWKMPXRRRFI","GSON1112151211")</f>
        <v>#NAME?</v>
      </c>
      <c r="G2066" s="23" t="e">
        <f ca="1">[1]!BexGetData("DP_1","003N8EMH8GTFRCSWKMPXRRXR2","GSON1112151211")</f>
        <v>#NAME?</v>
      </c>
      <c r="H2066" s="23" t="e">
        <f ca="1">[1]!BexGetData("DP_1","003N8EMH8GTFRCSWKMPXRS42M","GSON1112151211")</f>
        <v>#NAME?</v>
      </c>
      <c r="I2066" s="28" t="e">
        <f ca="1">[1]!BexGetData("DP_1","003N8EMH8GTFRCSWKMPXRSAE6","GSON1112151211")</f>
        <v>#NAME?</v>
      </c>
      <c r="J2066" s="24" t="e">
        <f ca="1">[1]!BexGetData("DP_1","003N8EMH8GTFRCSWKMPXRSGPQ","GSON1112151211")</f>
        <v>#NAME?</v>
      </c>
      <c r="K2066" s="28" t="e">
        <f ca="1">[1]!BexGetData("DP_1","003N8EMH8GTFRIVNUPY288VJH","GSON1112151211")</f>
        <v>#NAME?</v>
      </c>
      <c r="L2066" s="28" t="e">
        <f ca="1">[1]!BexGetData("DP_1","003N8EMH8GTFRIVNUPY2891V1","GSON1112151211")</f>
        <v>#NAME?</v>
      </c>
      <c r="M2066" s="28" t="e">
        <f ca="1">[1]!BexGetData("DP_1","003N8EMH8GTFRIVOG7KG9IQXA","GSON1112151211")</f>
        <v>#NAME?</v>
      </c>
      <c r="N2066" s="28" t="e">
        <f ca="1">[1]!BexGetData("DP_1","003N8EMH8GTFRIVOG7KG9IX8U","GSON1112151211")</f>
        <v>#NAME?</v>
      </c>
      <c r="O2066" s="28" t="e">
        <f ca="1">[1]!BexGetData("DP_1","003N8EMH8GTFRIVOG7KG9J3KE","GSON1112151211")</f>
        <v>#NAME?</v>
      </c>
      <c r="P2066" s="28" t="e">
        <f ca="1">[1]!BexGetData("DP_1","003N8EMH8GTFRIVOG7KG9J9VY","GSON1112151211")</f>
        <v>#NAME?</v>
      </c>
      <c r="Q2066" s="24" t="e">
        <f ca="1">[1]!BexGetData("DP_1","00O2TNJGODT0G5Z4TTKYMM5MT","GSON1112151211")</f>
        <v>#NAME?</v>
      </c>
      <c r="R2066" s="28" t="e">
        <f ca="1">[1]!BexGetData("DP_1","00O2TNJGODT0G5Z4TTKYMMBYD","GSON1112151211")</f>
        <v>#NAME?</v>
      </c>
      <c r="S2066" s="28" t="e">
        <f ca="1">[1]!BexGetData("DP_1","00O2TNJGODT0G5Z4TTKYMMI9X","GSON1112151211")</f>
        <v>#NAME?</v>
      </c>
      <c r="T2066" s="28" t="e">
        <f ca="1">[1]!BexGetData("DP_1","00O2TNJGODT0G5Z4TTKYMMOLH","GSON1112151211")</f>
        <v>#NAME?</v>
      </c>
      <c r="U2066" s="28" t="e">
        <f ca="1">[1]!BexGetData("DP_1","00O2TNJGODT0G5Z4TTKYMMUX1","GSON1112151211")</f>
        <v>#NAME?</v>
      </c>
      <c r="V2066" s="28" t="e">
        <f ca="1">[1]!BexGetData("DP_1","00O2TNJGODT0G5Z4TTKYMN18L","GSON1112151211")</f>
        <v>#NAME?</v>
      </c>
      <c r="W2066" s="28" t="e">
        <f ca="1">[1]!BexGetData("DP_1","00O2TNJGODT0G5Z4TTKYMN7K5","GSON1112151211")</f>
        <v>#NAME?</v>
      </c>
    </row>
    <row r="2067" spans="1:23" x14ac:dyDescent="0.2">
      <c r="A2067" s="36" t="s">
        <v>5103</v>
      </c>
      <c r="B2067" s="27" t="s">
        <v>5104</v>
      </c>
      <c r="C2067" s="24" t="e">
        <f ca="1">[1]!BexGetData("DP_1","003N8EMH8GTFRCSWKMPXRR8GU","GSON1112151213")</f>
        <v>#NAME?</v>
      </c>
      <c r="D2067" s="24" t="e">
        <f ca="1">[1]!BexGetData("DP_1","003N8EMH8GTFRCSWKMPXRRESE","GSON1112151213")</f>
        <v>#NAME?</v>
      </c>
      <c r="E2067" s="24" t="e">
        <f ca="1">[1]!BexGetData("DP_1","003N8EMH8GTFRCSWKMPXRRL3Y","GSON1112151213")</f>
        <v>#NAME?</v>
      </c>
      <c r="F2067" s="28" t="e">
        <f ca="1">[1]!BexGetData("DP_1","003N8EMH8GTFRCSWKMPXRRRFI","GSON1112151213")</f>
        <v>#NAME?</v>
      </c>
      <c r="G2067" s="23" t="e">
        <f ca="1">[1]!BexGetData("DP_1","003N8EMH8GTFRCSWKMPXRRXR2","GSON1112151213")</f>
        <v>#NAME?</v>
      </c>
      <c r="H2067" s="23" t="e">
        <f ca="1">[1]!BexGetData("DP_1","003N8EMH8GTFRCSWKMPXRS42M","GSON1112151213")</f>
        <v>#NAME?</v>
      </c>
      <c r="I2067" s="28" t="e">
        <f ca="1">[1]!BexGetData("DP_1","003N8EMH8GTFRCSWKMPXRSAE6","GSON1112151213")</f>
        <v>#NAME?</v>
      </c>
      <c r="J2067" s="24" t="e">
        <f ca="1">[1]!BexGetData("DP_1","003N8EMH8GTFRCSWKMPXRSGPQ","GSON1112151213")</f>
        <v>#NAME?</v>
      </c>
      <c r="K2067" s="28" t="e">
        <f ca="1">[1]!BexGetData("DP_1","003N8EMH8GTFRIVNUPY288VJH","GSON1112151213")</f>
        <v>#NAME?</v>
      </c>
      <c r="L2067" s="28" t="e">
        <f ca="1">[1]!BexGetData("DP_1","003N8EMH8GTFRIVNUPY2891V1","GSON1112151213")</f>
        <v>#NAME?</v>
      </c>
      <c r="M2067" s="28" t="e">
        <f ca="1">[1]!BexGetData("DP_1","003N8EMH8GTFRIVOG7KG9IQXA","GSON1112151213")</f>
        <v>#NAME?</v>
      </c>
      <c r="N2067" s="28" t="e">
        <f ca="1">[1]!BexGetData("DP_1","003N8EMH8GTFRIVOG7KG9IX8U","GSON1112151213")</f>
        <v>#NAME?</v>
      </c>
      <c r="O2067" s="28" t="e">
        <f ca="1">[1]!BexGetData("DP_1","003N8EMH8GTFRIVOG7KG9J3KE","GSON1112151213")</f>
        <v>#NAME?</v>
      </c>
      <c r="P2067" s="28" t="e">
        <f ca="1">[1]!BexGetData("DP_1","003N8EMH8GTFRIVOG7KG9J9VY","GSON1112151213")</f>
        <v>#NAME?</v>
      </c>
      <c r="Q2067" s="24" t="e">
        <f ca="1">[1]!BexGetData("DP_1","00O2TNJGODT0G5Z4TTKYMM5MT","GSON1112151213")</f>
        <v>#NAME?</v>
      </c>
      <c r="R2067" s="28" t="e">
        <f ca="1">[1]!BexGetData("DP_1","00O2TNJGODT0G5Z4TTKYMMBYD","GSON1112151213")</f>
        <v>#NAME?</v>
      </c>
      <c r="S2067" s="28" t="e">
        <f ca="1">[1]!BexGetData("DP_1","00O2TNJGODT0G5Z4TTKYMMI9X","GSON1112151213")</f>
        <v>#NAME?</v>
      </c>
      <c r="T2067" s="28" t="e">
        <f ca="1">[1]!BexGetData("DP_1","00O2TNJGODT0G5Z4TTKYMMOLH","GSON1112151213")</f>
        <v>#NAME?</v>
      </c>
      <c r="U2067" s="28" t="e">
        <f ca="1">[1]!BexGetData("DP_1","00O2TNJGODT0G5Z4TTKYMMUX1","GSON1112151213")</f>
        <v>#NAME?</v>
      </c>
      <c r="V2067" s="28" t="e">
        <f ca="1">[1]!BexGetData("DP_1","00O2TNJGODT0G5Z4TTKYMN18L","GSON1112151213")</f>
        <v>#NAME?</v>
      </c>
      <c r="W2067" s="28" t="e">
        <f ca="1">[1]!BexGetData("DP_1","00O2TNJGODT0G5Z4TTKYMN7K5","GSON1112151213")</f>
        <v>#NAME?</v>
      </c>
    </row>
    <row r="2068" spans="1:23" x14ac:dyDescent="0.2">
      <c r="A2068" s="36" t="s">
        <v>5105</v>
      </c>
      <c r="B2068" s="27" t="s">
        <v>5106</v>
      </c>
      <c r="C2068" s="24" t="e">
        <f ca="1">[1]!BexGetData("DP_1","003N8EMH8GTFRCSWKMPXRR8GU","GSON1112151214")</f>
        <v>#NAME?</v>
      </c>
      <c r="D2068" s="24" t="e">
        <f ca="1">[1]!BexGetData("DP_1","003N8EMH8GTFRCSWKMPXRRESE","GSON1112151214")</f>
        <v>#NAME?</v>
      </c>
      <c r="E2068" s="24" t="e">
        <f ca="1">[1]!BexGetData("DP_1","003N8EMH8GTFRCSWKMPXRRL3Y","GSON1112151214")</f>
        <v>#NAME?</v>
      </c>
      <c r="F2068" s="28" t="e">
        <f ca="1">[1]!BexGetData("DP_1","003N8EMH8GTFRCSWKMPXRRRFI","GSON1112151214")</f>
        <v>#NAME?</v>
      </c>
      <c r="G2068" s="23" t="e">
        <f ca="1">[1]!BexGetData("DP_1","003N8EMH8GTFRCSWKMPXRRXR2","GSON1112151214")</f>
        <v>#NAME?</v>
      </c>
      <c r="H2068" s="23" t="e">
        <f ca="1">[1]!BexGetData("DP_1","003N8EMH8GTFRCSWKMPXRS42M","GSON1112151214")</f>
        <v>#NAME?</v>
      </c>
      <c r="I2068" s="28" t="e">
        <f ca="1">[1]!BexGetData("DP_1","003N8EMH8GTFRCSWKMPXRSAE6","GSON1112151214")</f>
        <v>#NAME?</v>
      </c>
      <c r="J2068" s="24" t="e">
        <f ca="1">[1]!BexGetData("DP_1","003N8EMH8GTFRCSWKMPXRSGPQ","GSON1112151214")</f>
        <v>#NAME?</v>
      </c>
      <c r="K2068" s="28" t="e">
        <f ca="1">[1]!BexGetData("DP_1","003N8EMH8GTFRIVNUPY288VJH","GSON1112151214")</f>
        <v>#NAME?</v>
      </c>
      <c r="L2068" s="28" t="e">
        <f ca="1">[1]!BexGetData("DP_1","003N8EMH8GTFRIVNUPY2891V1","GSON1112151214")</f>
        <v>#NAME?</v>
      </c>
      <c r="M2068" s="28" t="e">
        <f ca="1">[1]!BexGetData("DP_1","003N8EMH8GTFRIVOG7KG9IQXA","GSON1112151214")</f>
        <v>#NAME?</v>
      </c>
      <c r="N2068" s="28" t="e">
        <f ca="1">[1]!BexGetData("DP_1","003N8EMH8GTFRIVOG7KG9IX8U","GSON1112151214")</f>
        <v>#NAME?</v>
      </c>
      <c r="O2068" s="28" t="e">
        <f ca="1">[1]!BexGetData("DP_1","003N8EMH8GTFRIVOG7KG9J3KE","GSON1112151214")</f>
        <v>#NAME?</v>
      </c>
      <c r="P2068" s="28" t="e">
        <f ca="1">[1]!BexGetData("DP_1","003N8EMH8GTFRIVOG7KG9J9VY","GSON1112151214")</f>
        <v>#NAME?</v>
      </c>
      <c r="Q2068" s="24" t="e">
        <f ca="1">[1]!BexGetData("DP_1","00O2TNJGODT0G5Z4TTKYMM5MT","GSON1112151214")</f>
        <v>#NAME?</v>
      </c>
      <c r="R2068" s="28" t="e">
        <f ca="1">[1]!BexGetData("DP_1","00O2TNJGODT0G5Z4TTKYMMBYD","GSON1112151214")</f>
        <v>#NAME?</v>
      </c>
      <c r="S2068" s="28" t="e">
        <f ca="1">[1]!BexGetData("DP_1","00O2TNJGODT0G5Z4TTKYMMI9X","GSON1112151214")</f>
        <v>#NAME?</v>
      </c>
      <c r="T2068" s="28" t="e">
        <f ca="1">[1]!BexGetData("DP_1","00O2TNJGODT0G5Z4TTKYMMOLH","GSON1112151214")</f>
        <v>#NAME?</v>
      </c>
      <c r="U2068" s="28" t="e">
        <f ca="1">[1]!BexGetData("DP_1","00O2TNJGODT0G5Z4TTKYMMUX1","GSON1112151214")</f>
        <v>#NAME?</v>
      </c>
      <c r="V2068" s="28" t="e">
        <f ca="1">[1]!BexGetData("DP_1","00O2TNJGODT0G5Z4TTKYMN18L","GSON1112151214")</f>
        <v>#NAME?</v>
      </c>
      <c r="W2068" s="28" t="e">
        <f ca="1">[1]!BexGetData("DP_1","00O2TNJGODT0G5Z4TTKYMN7K5","GSON1112151214")</f>
        <v>#NAME?</v>
      </c>
    </row>
    <row r="2069" spans="1:23" x14ac:dyDescent="0.2">
      <c r="A2069" s="36" t="s">
        <v>5107</v>
      </c>
      <c r="B2069" s="27" t="s">
        <v>5108</v>
      </c>
      <c r="C2069" s="28" t="e">
        <f ca="1">[1]!BexGetData("DP_1","003N8EMH8GTFRCSWKMPXRR8GU","GSON1112151215")</f>
        <v>#NAME?</v>
      </c>
      <c r="D2069" s="28" t="e">
        <f ca="1">[1]!BexGetData("DP_1","003N8EMH8GTFRCSWKMPXRRESE","GSON1112151215")</f>
        <v>#NAME?</v>
      </c>
      <c r="E2069" s="28" t="e">
        <f ca="1">[1]!BexGetData("DP_1","003N8EMH8GTFRCSWKMPXRRL3Y","GSON1112151215")</f>
        <v>#NAME?</v>
      </c>
      <c r="F2069" s="28" t="e">
        <f ca="1">[1]!BexGetData("DP_1","003N8EMH8GTFRCSWKMPXRRRFI","GSON1112151215")</f>
        <v>#NAME?</v>
      </c>
      <c r="G2069" s="23" t="e">
        <f ca="1">[1]!BexGetData("DP_1","003N8EMH8GTFRCSWKMPXRRXR2","GSON1112151215")</f>
        <v>#NAME?</v>
      </c>
      <c r="H2069" s="23" t="e">
        <f ca="1">[1]!BexGetData("DP_1","003N8EMH8GTFRCSWKMPXRS42M","GSON1112151215")</f>
        <v>#NAME?</v>
      </c>
      <c r="I2069" s="28" t="e">
        <f ca="1">[1]!BexGetData("DP_1","003N8EMH8GTFRCSWKMPXRSAE6","GSON1112151215")</f>
        <v>#NAME?</v>
      </c>
      <c r="J2069" s="24" t="e">
        <f ca="1">[1]!BexGetData("DP_1","003N8EMH8GTFRCSWKMPXRSGPQ","GSON1112151215")</f>
        <v>#NAME?</v>
      </c>
      <c r="K2069" s="28" t="e">
        <f ca="1">[1]!BexGetData("DP_1","003N8EMH8GTFRIVNUPY288VJH","GSON1112151215")</f>
        <v>#NAME?</v>
      </c>
      <c r="L2069" s="28" t="e">
        <f ca="1">[1]!BexGetData("DP_1","003N8EMH8GTFRIVNUPY2891V1","GSON1112151215")</f>
        <v>#NAME?</v>
      </c>
      <c r="M2069" s="28" t="e">
        <f ca="1">[1]!BexGetData("DP_1","003N8EMH8GTFRIVOG7KG9IQXA","GSON1112151215")</f>
        <v>#NAME?</v>
      </c>
      <c r="N2069" s="28" t="e">
        <f ca="1">[1]!BexGetData("DP_1","003N8EMH8GTFRIVOG7KG9IX8U","GSON1112151215")</f>
        <v>#NAME?</v>
      </c>
      <c r="O2069" s="28" t="e">
        <f ca="1">[1]!BexGetData("DP_1","003N8EMH8GTFRIVOG7KG9J3KE","GSON1112151215")</f>
        <v>#NAME?</v>
      </c>
      <c r="P2069" s="28" t="e">
        <f ca="1">[1]!BexGetData("DP_1","003N8EMH8GTFRIVOG7KG9J9VY","GSON1112151215")</f>
        <v>#NAME?</v>
      </c>
      <c r="Q2069" s="24" t="e">
        <f ca="1">[1]!BexGetData("DP_1","00O2TNJGODT0G5Z4TTKYMM5MT","GSON1112151215")</f>
        <v>#NAME?</v>
      </c>
      <c r="R2069" s="28" t="e">
        <f ca="1">[1]!BexGetData("DP_1","00O2TNJGODT0G5Z4TTKYMMBYD","GSON1112151215")</f>
        <v>#NAME?</v>
      </c>
      <c r="S2069" s="28" t="e">
        <f ca="1">[1]!BexGetData("DP_1","00O2TNJGODT0G5Z4TTKYMMI9X","GSON1112151215")</f>
        <v>#NAME?</v>
      </c>
      <c r="T2069" s="28" t="e">
        <f ca="1">[1]!BexGetData("DP_1","00O2TNJGODT0G5Z4TTKYMMOLH","GSON1112151215")</f>
        <v>#NAME?</v>
      </c>
      <c r="U2069" s="28" t="e">
        <f ca="1">[1]!BexGetData("DP_1","00O2TNJGODT0G5Z4TTKYMMUX1","GSON1112151215")</f>
        <v>#NAME?</v>
      </c>
      <c r="V2069" s="28" t="e">
        <f ca="1">[1]!BexGetData("DP_1","00O2TNJGODT0G5Z4TTKYMN18L","GSON1112151215")</f>
        <v>#NAME?</v>
      </c>
      <c r="W2069" s="28" t="e">
        <f ca="1">[1]!BexGetData("DP_1","00O2TNJGODT0G5Z4TTKYMN7K5","GSON1112151215")</f>
        <v>#NAME?</v>
      </c>
    </row>
    <row r="2070" spans="1:23" x14ac:dyDescent="0.2">
      <c r="A2070" s="36" t="s">
        <v>5109</v>
      </c>
      <c r="B2070" s="27" t="s">
        <v>5110</v>
      </c>
      <c r="C2070" s="23" t="e">
        <f ca="1">[1]!BexGetData("DP_1","003N8EMH8GTFRCSWKMPXRR8GU","GSON1112151220")</f>
        <v>#NAME?</v>
      </c>
      <c r="D2070" s="28" t="e">
        <f ca="1">[1]!BexGetData("DP_1","003N8EMH8GTFRCSWKMPXRRESE","GSON1112151220")</f>
        <v>#NAME?</v>
      </c>
      <c r="E2070" s="23" t="e">
        <f ca="1">[1]!BexGetData("DP_1","003N8EMH8GTFRCSWKMPXRRL3Y","GSON1112151220")</f>
        <v>#NAME?</v>
      </c>
      <c r="F2070" s="23" t="e">
        <f ca="1">[1]!BexGetData("DP_1","003N8EMH8GTFRCSWKMPXRRRFI","GSON1112151220")</f>
        <v>#NAME?</v>
      </c>
      <c r="G2070" s="23" t="e">
        <f ca="1">[1]!BexGetData("DP_1","003N8EMH8GTFRCSWKMPXRRXR2","GSON1112151220")</f>
        <v>#NAME?</v>
      </c>
      <c r="H2070" s="23" t="e">
        <f ca="1">[1]!BexGetData("DP_1","003N8EMH8GTFRCSWKMPXRS42M","GSON1112151220")</f>
        <v>#NAME?</v>
      </c>
      <c r="I2070" s="23" t="e">
        <f ca="1">[1]!BexGetData("DP_1","003N8EMH8GTFRCSWKMPXRSAE6","GSON1112151220")</f>
        <v>#NAME?</v>
      </c>
      <c r="J2070" s="23" t="e">
        <f ca="1">[1]!BexGetData("DP_1","003N8EMH8GTFRCSWKMPXRSGPQ","GSON1112151220")</f>
        <v>#NAME?</v>
      </c>
      <c r="K2070" s="23" t="e">
        <f ca="1">[1]!BexGetData("DP_1","003N8EMH8GTFRIVNUPY288VJH","GSON1112151220")</f>
        <v>#NAME?</v>
      </c>
      <c r="L2070" s="23" t="e">
        <f ca="1">[1]!BexGetData("DP_1","003N8EMH8GTFRIVNUPY2891V1","GSON1112151220")</f>
        <v>#NAME?</v>
      </c>
      <c r="M2070" s="28" t="e">
        <f ca="1">[1]!BexGetData("DP_1","003N8EMH8GTFRIVOG7KG9IQXA","GSON1112151220")</f>
        <v>#NAME?</v>
      </c>
      <c r="N2070" s="23" t="e">
        <f ca="1">[1]!BexGetData("DP_1","003N8EMH8GTFRIVOG7KG9IX8U","GSON1112151220")</f>
        <v>#NAME?</v>
      </c>
      <c r="O2070" s="28" t="e">
        <f ca="1">[1]!BexGetData("DP_1","003N8EMH8GTFRIVOG7KG9J3KE","GSON1112151220")</f>
        <v>#NAME?</v>
      </c>
      <c r="P2070" s="23" t="e">
        <f ca="1">[1]!BexGetData("DP_1","003N8EMH8GTFRIVOG7KG9J9VY","GSON1112151220")</f>
        <v>#NAME?</v>
      </c>
      <c r="Q2070" s="23" t="e">
        <f ca="1">[1]!BexGetData("DP_1","00O2TNJGODT0G5Z4TTKYMM5MT","GSON1112151220")</f>
        <v>#NAME?</v>
      </c>
      <c r="R2070" s="23" t="e">
        <f ca="1">[1]!BexGetData("DP_1","00O2TNJGODT0G5Z4TTKYMMBYD","GSON1112151220")</f>
        <v>#NAME?</v>
      </c>
      <c r="S2070" s="23" t="e">
        <f ca="1">[1]!BexGetData("DP_1","00O2TNJGODT0G5Z4TTKYMMI9X","GSON1112151220")</f>
        <v>#NAME?</v>
      </c>
      <c r="T2070" s="23" t="e">
        <f ca="1">[1]!BexGetData("DP_1","00O2TNJGODT0G5Z4TTKYMMOLH","GSON1112151220")</f>
        <v>#NAME?</v>
      </c>
      <c r="U2070" s="28" t="e">
        <f ca="1">[1]!BexGetData("DP_1","00O2TNJGODT0G5Z4TTKYMMUX1","GSON1112151220")</f>
        <v>#NAME?</v>
      </c>
      <c r="V2070" s="23" t="e">
        <f ca="1">[1]!BexGetData("DP_1","00O2TNJGODT0G5Z4TTKYMN18L","GSON1112151220")</f>
        <v>#NAME?</v>
      </c>
      <c r="W2070" s="28" t="e">
        <f ca="1">[1]!BexGetData("DP_1","00O2TNJGODT0G5Z4TTKYMN7K5","GSON1112151220")</f>
        <v>#NAME?</v>
      </c>
    </row>
    <row r="2071" spans="1:23" x14ac:dyDescent="0.2">
      <c r="A2071" s="36" t="s">
        <v>5111</v>
      </c>
      <c r="B2071" s="27" t="s">
        <v>5112</v>
      </c>
      <c r="C2071" s="28" t="e">
        <f ca="1">[1]!BexGetData("DP_1","003N8EMH8GTFRCSWKMPXRR8GU","GSON1112151222")</f>
        <v>#NAME?</v>
      </c>
      <c r="D2071" s="28" t="e">
        <f ca="1">[1]!BexGetData("DP_1","003N8EMH8GTFRCSWKMPXRRESE","GSON1112151222")</f>
        <v>#NAME?</v>
      </c>
      <c r="E2071" s="28" t="e">
        <f ca="1">[1]!BexGetData("DP_1","003N8EMH8GTFRCSWKMPXRRL3Y","GSON1112151222")</f>
        <v>#NAME?</v>
      </c>
      <c r="F2071" s="28" t="e">
        <f ca="1">[1]!BexGetData("DP_1","003N8EMH8GTFRCSWKMPXRRRFI","GSON1112151222")</f>
        <v>#NAME?</v>
      </c>
      <c r="G2071" s="23" t="e">
        <f ca="1">[1]!BexGetData("DP_1","003N8EMH8GTFRCSWKMPXRRXR2","GSON1112151222")</f>
        <v>#NAME?</v>
      </c>
      <c r="H2071" s="23" t="e">
        <f ca="1">[1]!BexGetData("DP_1","003N8EMH8GTFRCSWKMPXRS42M","GSON1112151222")</f>
        <v>#NAME?</v>
      </c>
      <c r="I2071" s="28" t="e">
        <f ca="1">[1]!BexGetData("DP_1","003N8EMH8GTFRCSWKMPXRSAE6","GSON1112151222")</f>
        <v>#NAME?</v>
      </c>
      <c r="J2071" s="23" t="e">
        <f ca="1">[1]!BexGetData("DP_1","003N8EMH8GTFRCSWKMPXRSGPQ","GSON1112151222")</f>
        <v>#NAME?</v>
      </c>
      <c r="K2071" s="28" t="e">
        <f ca="1">[1]!BexGetData("DP_1","003N8EMH8GTFRIVNUPY288VJH","GSON1112151222")</f>
        <v>#NAME?</v>
      </c>
      <c r="L2071" s="28" t="e">
        <f ca="1">[1]!BexGetData("DP_1","003N8EMH8GTFRIVNUPY2891V1","GSON1112151222")</f>
        <v>#NAME?</v>
      </c>
      <c r="M2071" s="28" t="e">
        <f ca="1">[1]!BexGetData("DP_1","003N8EMH8GTFRIVOG7KG9IQXA","GSON1112151222")</f>
        <v>#NAME?</v>
      </c>
      <c r="N2071" s="28" t="e">
        <f ca="1">[1]!BexGetData("DP_1","003N8EMH8GTFRIVOG7KG9IX8U","GSON1112151222")</f>
        <v>#NAME?</v>
      </c>
      <c r="O2071" s="28" t="e">
        <f ca="1">[1]!BexGetData("DP_1","003N8EMH8GTFRIVOG7KG9J3KE","GSON1112151222")</f>
        <v>#NAME?</v>
      </c>
      <c r="P2071" s="28" t="e">
        <f ca="1">[1]!BexGetData("DP_1","003N8EMH8GTFRIVOG7KG9J9VY","GSON1112151222")</f>
        <v>#NAME?</v>
      </c>
      <c r="Q2071" s="23" t="e">
        <f ca="1">[1]!BexGetData("DP_1","00O2TNJGODT0G5Z4TTKYMM5MT","GSON1112151222")</f>
        <v>#NAME?</v>
      </c>
      <c r="R2071" s="23" t="e">
        <f ca="1">[1]!BexGetData("DP_1","00O2TNJGODT0G5Z4TTKYMMBYD","GSON1112151222")</f>
        <v>#NAME?</v>
      </c>
      <c r="S2071" s="23" t="e">
        <f ca="1">[1]!BexGetData("DP_1","00O2TNJGODT0G5Z4TTKYMMI9X","GSON1112151222")</f>
        <v>#NAME?</v>
      </c>
      <c r="T2071" s="28" t="e">
        <f ca="1">[1]!BexGetData("DP_1","00O2TNJGODT0G5Z4TTKYMMOLH","GSON1112151222")</f>
        <v>#NAME?</v>
      </c>
      <c r="U2071" s="23" t="e">
        <f ca="1">[1]!BexGetData("DP_1","00O2TNJGODT0G5Z4TTKYMMUX1","GSON1112151222")</f>
        <v>#NAME?</v>
      </c>
      <c r="V2071" s="28" t="e">
        <f ca="1">[1]!BexGetData("DP_1","00O2TNJGODT0G5Z4TTKYMN18L","GSON1112151222")</f>
        <v>#NAME?</v>
      </c>
      <c r="W2071" s="23" t="e">
        <f ca="1">[1]!BexGetData("DP_1","00O2TNJGODT0G5Z4TTKYMN7K5","GSON1112151222")</f>
        <v>#NAME?</v>
      </c>
    </row>
    <row r="2072" spans="1:23" x14ac:dyDescent="0.2">
      <c r="A2072" s="36" t="s">
        <v>5113</v>
      </c>
      <c r="B2072" s="27" t="s">
        <v>5114</v>
      </c>
      <c r="C2072" s="24" t="e">
        <f ca="1">[1]!BexGetData("DP_1","003N8EMH8GTFRCSWKMPXRR8GU","GSON1112151223")</f>
        <v>#NAME?</v>
      </c>
      <c r="D2072" s="24" t="e">
        <f ca="1">[1]!BexGetData("DP_1","003N8EMH8GTFRCSWKMPXRRESE","GSON1112151223")</f>
        <v>#NAME?</v>
      </c>
      <c r="E2072" s="24" t="e">
        <f ca="1">[1]!BexGetData("DP_1","003N8EMH8GTFRCSWKMPXRRL3Y","GSON1112151223")</f>
        <v>#NAME?</v>
      </c>
      <c r="F2072" s="28" t="e">
        <f ca="1">[1]!BexGetData("DP_1","003N8EMH8GTFRCSWKMPXRRRFI","GSON1112151223")</f>
        <v>#NAME?</v>
      </c>
      <c r="G2072" s="23" t="e">
        <f ca="1">[1]!BexGetData("DP_1","003N8EMH8GTFRCSWKMPXRRXR2","GSON1112151223")</f>
        <v>#NAME?</v>
      </c>
      <c r="H2072" s="23" t="e">
        <f ca="1">[1]!BexGetData("DP_1","003N8EMH8GTFRCSWKMPXRS42M","GSON1112151223")</f>
        <v>#NAME?</v>
      </c>
      <c r="I2072" s="28" t="e">
        <f ca="1">[1]!BexGetData("DP_1","003N8EMH8GTFRCSWKMPXRSAE6","GSON1112151223")</f>
        <v>#NAME?</v>
      </c>
      <c r="J2072" s="24" t="e">
        <f ca="1">[1]!BexGetData("DP_1","003N8EMH8GTFRCSWKMPXRSGPQ","GSON1112151223")</f>
        <v>#NAME?</v>
      </c>
      <c r="K2072" s="28" t="e">
        <f ca="1">[1]!BexGetData("DP_1","003N8EMH8GTFRIVNUPY288VJH","GSON1112151223")</f>
        <v>#NAME?</v>
      </c>
      <c r="L2072" s="28" t="e">
        <f ca="1">[1]!BexGetData("DP_1","003N8EMH8GTFRIVNUPY2891V1","GSON1112151223")</f>
        <v>#NAME?</v>
      </c>
      <c r="M2072" s="28" t="e">
        <f ca="1">[1]!BexGetData("DP_1","003N8EMH8GTFRIVOG7KG9IQXA","GSON1112151223")</f>
        <v>#NAME?</v>
      </c>
      <c r="N2072" s="28" t="e">
        <f ca="1">[1]!BexGetData("DP_1","003N8EMH8GTFRIVOG7KG9IX8U","GSON1112151223")</f>
        <v>#NAME?</v>
      </c>
      <c r="O2072" s="28" t="e">
        <f ca="1">[1]!BexGetData("DP_1","003N8EMH8GTFRIVOG7KG9J3KE","GSON1112151223")</f>
        <v>#NAME?</v>
      </c>
      <c r="P2072" s="28" t="e">
        <f ca="1">[1]!BexGetData("DP_1","003N8EMH8GTFRIVOG7KG9J9VY","GSON1112151223")</f>
        <v>#NAME?</v>
      </c>
      <c r="Q2072" s="24" t="e">
        <f ca="1">[1]!BexGetData("DP_1","00O2TNJGODT0G5Z4TTKYMM5MT","GSON1112151223")</f>
        <v>#NAME?</v>
      </c>
      <c r="R2072" s="28" t="e">
        <f ca="1">[1]!BexGetData("DP_1","00O2TNJGODT0G5Z4TTKYMMBYD","GSON1112151223")</f>
        <v>#NAME?</v>
      </c>
      <c r="S2072" s="28" t="e">
        <f ca="1">[1]!BexGetData("DP_1","00O2TNJGODT0G5Z4TTKYMMI9X","GSON1112151223")</f>
        <v>#NAME?</v>
      </c>
      <c r="T2072" s="28" t="e">
        <f ca="1">[1]!BexGetData("DP_1","00O2TNJGODT0G5Z4TTKYMMOLH","GSON1112151223")</f>
        <v>#NAME?</v>
      </c>
      <c r="U2072" s="28" t="e">
        <f ca="1">[1]!BexGetData("DP_1","00O2TNJGODT0G5Z4TTKYMMUX1","GSON1112151223")</f>
        <v>#NAME?</v>
      </c>
      <c r="V2072" s="28" t="e">
        <f ca="1">[1]!BexGetData("DP_1","00O2TNJGODT0G5Z4TTKYMN18L","GSON1112151223")</f>
        <v>#NAME?</v>
      </c>
      <c r="W2072" s="28" t="e">
        <f ca="1">[1]!BexGetData("DP_1","00O2TNJGODT0G5Z4TTKYMN7K5","GSON1112151223")</f>
        <v>#NAME?</v>
      </c>
    </row>
    <row r="2073" spans="1:23" x14ac:dyDescent="0.2">
      <c r="A2073" s="36" t="s">
        <v>5115</v>
      </c>
      <c r="B2073" s="27" t="s">
        <v>5116</v>
      </c>
      <c r="C2073" s="24" t="e">
        <f ca="1">[1]!BexGetData("DP_1","003N8EMH8GTFRCSWKMPXRR8GU","GSON1112151224")</f>
        <v>#NAME?</v>
      </c>
      <c r="D2073" s="24" t="e">
        <f ca="1">[1]!BexGetData("DP_1","003N8EMH8GTFRCSWKMPXRRESE","GSON1112151224")</f>
        <v>#NAME?</v>
      </c>
      <c r="E2073" s="24" t="e">
        <f ca="1">[1]!BexGetData("DP_1","003N8EMH8GTFRCSWKMPXRRL3Y","GSON1112151224")</f>
        <v>#NAME?</v>
      </c>
      <c r="F2073" s="28" t="e">
        <f ca="1">[1]!BexGetData("DP_1","003N8EMH8GTFRCSWKMPXRRRFI","GSON1112151224")</f>
        <v>#NAME?</v>
      </c>
      <c r="G2073" s="23" t="e">
        <f ca="1">[1]!BexGetData("DP_1","003N8EMH8GTFRCSWKMPXRRXR2","GSON1112151224")</f>
        <v>#NAME?</v>
      </c>
      <c r="H2073" s="23" t="e">
        <f ca="1">[1]!BexGetData("DP_1","003N8EMH8GTFRCSWKMPXRS42M","GSON1112151224")</f>
        <v>#NAME?</v>
      </c>
      <c r="I2073" s="28" t="e">
        <f ca="1">[1]!BexGetData("DP_1","003N8EMH8GTFRCSWKMPXRSAE6","GSON1112151224")</f>
        <v>#NAME?</v>
      </c>
      <c r="J2073" s="24" t="e">
        <f ca="1">[1]!BexGetData("DP_1","003N8EMH8GTFRCSWKMPXRSGPQ","GSON1112151224")</f>
        <v>#NAME?</v>
      </c>
      <c r="K2073" s="28" t="e">
        <f ca="1">[1]!BexGetData("DP_1","003N8EMH8GTFRIVNUPY288VJH","GSON1112151224")</f>
        <v>#NAME?</v>
      </c>
      <c r="L2073" s="28" t="e">
        <f ca="1">[1]!BexGetData("DP_1","003N8EMH8GTFRIVNUPY2891V1","GSON1112151224")</f>
        <v>#NAME?</v>
      </c>
      <c r="M2073" s="28" t="e">
        <f ca="1">[1]!BexGetData("DP_1","003N8EMH8GTFRIVOG7KG9IQXA","GSON1112151224")</f>
        <v>#NAME?</v>
      </c>
      <c r="N2073" s="28" t="e">
        <f ca="1">[1]!BexGetData("DP_1","003N8EMH8GTFRIVOG7KG9IX8U","GSON1112151224")</f>
        <v>#NAME?</v>
      </c>
      <c r="O2073" s="28" t="e">
        <f ca="1">[1]!BexGetData("DP_1","003N8EMH8GTFRIVOG7KG9J3KE","GSON1112151224")</f>
        <v>#NAME?</v>
      </c>
      <c r="P2073" s="28" t="e">
        <f ca="1">[1]!BexGetData("DP_1","003N8EMH8GTFRIVOG7KG9J9VY","GSON1112151224")</f>
        <v>#NAME?</v>
      </c>
      <c r="Q2073" s="24" t="e">
        <f ca="1">[1]!BexGetData("DP_1","00O2TNJGODT0G5Z4TTKYMM5MT","GSON1112151224")</f>
        <v>#NAME?</v>
      </c>
      <c r="R2073" s="28" t="e">
        <f ca="1">[1]!BexGetData("DP_1","00O2TNJGODT0G5Z4TTKYMMBYD","GSON1112151224")</f>
        <v>#NAME?</v>
      </c>
      <c r="S2073" s="28" t="e">
        <f ca="1">[1]!BexGetData("DP_1","00O2TNJGODT0G5Z4TTKYMMI9X","GSON1112151224")</f>
        <v>#NAME?</v>
      </c>
      <c r="T2073" s="28" t="e">
        <f ca="1">[1]!BexGetData("DP_1","00O2TNJGODT0G5Z4TTKYMMOLH","GSON1112151224")</f>
        <v>#NAME?</v>
      </c>
      <c r="U2073" s="28" t="e">
        <f ca="1">[1]!BexGetData("DP_1","00O2TNJGODT0G5Z4TTKYMMUX1","GSON1112151224")</f>
        <v>#NAME?</v>
      </c>
      <c r="V2073" s="28" t="e">
        <f ca="1">[1]!BexGetData("DP_1","00O2TNJGODT0G5Z4TTKYMN18L","GSON1112151224")</f>
        <v>#NAME?</v>
      </c>
      <c r="W2073" s="28" t="e">
        <f ca="1">[1]!BexGetData("DP_1","00O2TNJGODT0G5Z4TTKYMN7K5","GSON1112151224")</f>
        <v>#NAME?</v>
      </c>
    </row>
    <row r="2074" spans="1:23" x14ac:dyDescent="0.2">
      <c r="A2074" s="36" t="s">
        <v>5117</v>
      </c>
      <c r="B2074" s="27" t="s">
        <v>5118</v>
      </c>
      <c r="C2074" s="23" t="e">
        <f ca="1">[1]!BexGetData("DP_1","003N8EMH8GTFRCSWKMPXRR8GU","GSON1112151225")</f>
        <v>#NAME?</v>
      </c>
      <c r="D2074" s="23" t="e">
        <f ca="1">[1]!BexGetData("DP_1","003N8EMH8GTFRCSWKMPXRRESE","GSON1112151225")</f>
        <v>#NAME?</v>
      </c>
      <c r="E2074" s="28" t="e">
        <f ca="1">[1]!BexGetData("DP_1","003N8EMH8GTFRCSWKMPXRRL3Y","GSON1112151225")</f>
        <v>#NAME?</v>
      </c>
      <c r="F2074" s="28" t="e">
        <f ca="1">[1]!BexGetData("DP_1","003N8EMH8GTFRCSWKMPXRRRFI","GSON1112151225")</f>
        <v>#NAME?</v>
      </c>
      <c r="G2074" s="23" t="e">
        <f ca="1">[1]!BexGetData("DP_1","003N8EMH8GTFRCSWKMPXRRXR2","GSON1112151225")</f>
        <v>#NAME?</v>
      </c>
      <c r="H2074" s="23" t="e">
        <f ca="1">[1]!BexGetData("DP_1","003N8EMH8GTFRCSWKMPXRS42M","GSON1112151225")</f>
        <v>#NAME?</v>
      </c>
      <c r="I2074" s="28" t="e">
        <f ca="1">[1]!BexGetData("DP_1","003N8EMH8GTFRCSWKMPXRSAE6","GSON1112151225")</f>
        <v>#NAME?</v>
      </c>
      <c r="J2074" s="24" t="e">
        <f ca="1">[1]!BexGetData("DP_1","003N8EMH8GTFRCSWKMPXRSGPQ","GSON1112151225")</f>
        <v>#NAME?</v>
      </c>
      <c r="K2074" s="28" t="e">
        <f ca="1">[1]!BexGetData("DP_1","003N8EMH8GTFRIVNUPY288VJH","GSON1112151225")</f>
        <v>#NAME?</v>
      </c>
      <c r="L2074" s="28" t="e">
        <f ca="1">[1]!BexGetData("DP_1","003N8EMH8GTFRIVNUPY2891V1","GSON1112151225")</f>
        <v>#NAME?</v>
      </c>
      <c r="M2074" s="28" t="e">
        <f ca="1">[1]!BexGetData("DP_1","003N8EMH8GTFRIVOG7KG9IQXA","GSON1112151225")</f>
        <v>#NAME?</v>
      </c>
      <c r="N2074" s="28" t="e">
        <f ca="1">[1]!BexGetData("DP_1","003N8EMH8GTFRIVOG7KG9IX8U","GSON1112151225")</f>
        <v>#NAME?</v>
      </c>
      <c r="O2074" s="28" t="e">
        <f ca="1">[1]!BexGetData("DP_1","003N8EMH8GTFRIVOG7KG9J3KE","GSON1112151225")</f>
        <v>#NAME?</v>
      </c>
      <c r="P2074" s="28" t="e">
        <f ca="1">[1]!BexGetData("DP_1","003N8EMH8GTFRIVOG7KG9J9VY","GSON1112151225")</f>
        <v>#NAME?</v>
      </c>
      <c r="Q2074" s="24" t="e">
        <f ca="1">[1]!BexGetData("DP_1","00O2TNJGODT0G5Z4TTKYMM5MT","GSON1112151225")</f>
        <v>#NAME?</v>
      </c>
      <c r="R2074" s="28" t="e">
        <f ca="1">[1]!BexGetData("DP_1","00O2TNJGODT0G5Z4TTKYMMBYD","GSON1112151225")</f>
        <v>#NAME?</v>
      </c>
      <c r="S2074" s="28" t="e">
        <f ca="1">[1]!BexGetData("DP_1","00O2TNJGODT0G5Z4TTKYMMI9X","GSON1112151225")</f>
        <v>#NAME?</v>
      </c>
      <c r="T2074" s="28" t="e">
        <f ca="1">[1]!BexGetData("DP_1","00O2TNJGODT0G5Z4TTKYMMOLH","GSON1112151225")</f>
        <v>#NAME?</v>
      </c>
      <c r="U2074" s="28" t="e">
        <f ca="1">[1]!BexGetData("DP_1","00O2TNJGODT0G5Z4TTKYMMUX1","GSON1112151225")</f>
        <v>#NAME?</v>
      </c>
      <c r="V2074" s="28" t="e">
        <f ca="1">[1]!BexGetData("DP_1","00O2TNJGODT0G5Z4TTKYMN18L","GSON1112151225")</f>
        <v>#NAME?</v>
      </c>
      <c r="W2074" s="28" t="e">
        <f ca="1">[1]!BexGetData("DP_1","00O2TNJGODT0G5Z4TTKYMN7K5","GSON1112151225")</f>
        <v>#NAME?</v>
      </c>
    </row>
    <row r="2075" spans="1:23" x14ac:dyDescent="0.2">
      <c r="A2075" s="36" t="s">
        <v>5119</v>
      </c>
      <c r="B2075" s="27" t="s">
        <v>5120</v>
      </c>
      <c r="C2075" s="28" t="e">
        <f ca="1">[1]!BexGetData("DP_1","003N8EMH8GTFRCSWKMPXRR8GU","GSON1112151230")</f>
        <v>#NAME?</v>
      </c>
      <c r="D2075" s="28" t="e">
        <f ca="1">[1]!BexGetData("DP_1","003N8EMH8GTFRCSWKMPXRRESE","GSON1112151230")</f>
        <v>#NAME?</v>
      </c>
      <c r="E2075" s="28" t="e">
        <f ca="1">[1]!BexGetData("DP_1","003N8EMH8GTFRCSWKMPXRRL3Y","GSON1112151230")</f>
        <v>#NAME?</v>
      </c>
      <c r="F2075" s="28" t="e">
        <f ca="1">[1]!BexGetData("DP_1","003N8EMH8GTFRCSWKMPXRRRFI","GSON1112151230")</f>
        <v>#NAME?</v>
      </c>
      <c r="G2075" s="23" t="e">
        <f ca="1">[1]!BexGetData("DP_1","003N8EMH8GTFRCSWKMPXRRXR2","GSON1112151230")</f>
        <v>#NAME?</v>
      </c>
      <c r="H2075" s="23" t="e">
        <f ca="1">[1]!BexGetData("DP_1","003N8EMH8GTFRCSWKMPXRS42M","GSON1112151230")</f>
        <v>#NAME?</v>
      </c>
      <c r="I2075" s="28" t="e">
        <f ca="1">[1]!BexGetData("DP_1","003N8EMH8GTFRCSWKMPXRSAE6","GSON1112151230")</f>
        <v>#NAME?</v>
      </c>
      <c r="J2075" s="23" t="e">
        <f ca="1">[1]!BexGetData("DP_1","003N8EMH8GTFRCSWKMPXRSGPQ","GSON1112151230")</f>
        <v>#NAME?</v>
      </c>
      <c r="K2075" s="28" t="e">
        <f ca="1">[1]!BexGetData("DP_1","003N8EMH8GTFRIVNUPY288VJH","GSON1112151230")</f>
        <v>#NAME?</v>
      </c>
      <c r="L2075" s="28" t="e">
        <f ca="1">[1]!BexGetData("DP_1","003N8EMH8GTFRIVNUPY2891V1","GSON1112151230")</f>
        <v>#NAME?</v>
      </c>
      <c r="M2075" s="28" t="e">
        <f ca="1">[1]!BexGetData("DP_1","003N8EMH8GTFRIVOG7KG9IQXA","GSON1112151230")</f>
        <v>#NAME?</v>
      </c>
      <c r="N2075" s="28" t="e">
        <f ca="1">[1]!BexGetData("DP_1","003N8EMH8GTFRIVOG7KG9IX8U","GSON1112151230")</f>
        <v>#NAME?</v>
      </c>
      <c r="O2075" s="28" t="e">
        <f ca="1">[1]!BexGetData("DP_1","003N8EMH8GTFRIVOG7KG9J3KE","GSON1112151230")</f>
        <v>#NAME?</v>
      </c>
      <c r="P2075" s="28" t="e">
        <f ca="1">[1]!BexGetData("DP_1","003N8EMH8GTFRIVOG7KG9J9VY","GSON1112151230")</f>
        <v>#NAME?</v>
      </c>
      <c r="Q2075" s="23" t="e">
        <f ca="1">[1]!BexGetData("DP_1","00O2TNJGODT0G5Z4TTKYMM5MT","GSON1112151230")</f>
        <v>#NAME?</v>
      </c>
      <c r="R2075" s="23" t="e">
        <f ca="1">[1]!BexGetData("DP_1","00O2TNJGODT0G5Z4TTKYMMBYD","GSON1112151230")</f>
        <v>#NAME?</v>
      </c>
      <c r="S2075" s="23" t="e">
        <f ca="1">[1]!BexGetData("DP_1","00O2TNJGODT0G5Z4TTKYMMI9X","GSON1112151230")</f>
        <v>#NAME?</v>
      </c>
      <c r="T2075" s="23" t="e">
        <f ca="1">[1]!BexGetData("DP_1","00O2TNJGODT0G5Z4TTKYMMOLH","GSON1112151230")</f>
        <v>#NAME?</v>
      </c>
      <c r="U2075" s="28" t="e">
        <f ca="1">[1]!BexGetData("DP_1","00O2TNJGODT0G5Z4TTKYMMUX1","GSON1112151230")</f>
        <v>#NAME?</v>
      </c>
      <c r="V2075" s="23" t="e">
        <f ca="1">[1]!BexGetData("DP_1","00O2TNJGODT0G5Z4TTKYMN18L","GSON1112151230")</f>
        <v>#NAME?</v>
      </c>
      <c r="W2075" s="28" t="e">
        <f ca="1">[1]!BexGetData("DP_1","00O2TNJGODT0G5Z4TTKYMN7K5","GSON1112151230")</f>
        <v>#NAME?</v>
      </c>
    </row>
    <row r="2076" spans="1:23" x14ac:dyDescent="0.2">
      <c r="A2076" s="36" t="s">
        <v>5121</v>
      </c>
      <c r="B2076" s="27" t="s">
        <v>5122</v>
      </c>
      <c r="C2076" s="24" t="e">
        <f ca="1">[1]!BexGetData("DP_1","003N8EMH8GTFRCSWKMPXRR8GU","GSON1112151232")</f>
        <v>#NAME?</v>
      </c>
      <c r="D2076" s="24" t="e">
        <f ca="1">[1]!BexGetData("DP_1","003N8EMH8GTFRCSWKMPXRRESE","GSON1112151232")</f>
        <v>#NAME?</v>
      </c>
      <c r="E2076" s="24" t="e">
        <f ca="1">[1]!BexGetData("DP_1","003N8EMH8GTFRCSWKMPXRRL3Y","GSON1112151232")</f>
        <v>#NAME?</v>
      </c>
      <c r="F2076" s="28" t="e">
        <f ca="1">[1]!BexGetData("DP_1","003N8EMH8GTFRCSWKMPXRRRFI","GSON1112151232")</f>
        <v>#NAME?</v>
      </c>
      <c r="G2076" s="23" t="e">
        <f ca="1">[1]!BexGetData("DP_1","003N8EMH8GTFRCSWKMPXRRXR2","GSON1112151232")</f>
        <v>#NAME?</v>
      </c>
      <c r="H2076" s="23" t="e">
        <f ca="1">[1]!BexGetData("DP_1","003N8EMH8GTFRCSWKMPXRS42M","GSON1112151232")</f>
        <v>#NAME?</v>
      </c>
      <c r="I2076" s="28" t="e">
        <f ca="1">[1]!BexGetData("DP_1","003N8EMH8GTFRCSWKMPXRSAE6","GSON1112151232")</f>
        <v>#NAME?</v>
      </c>
      <c r="J2076" s="23" t="e">
        <f ca="1">[1]!BexGetData("DP_1","003N8EMH8GTFRCSWKMPXRSGPQ","GSON1112151232")</f>
        <v>#NAME?</v>
      </c>
      <c r="K2076" s="28" t="e">
        <f ca="1">[1]!BexGetData("DP_1","003N8EMH8GTFRIVNUPY288VJH","GSON1112151232")</f>
        <v>#NAME?</v>
      </c>
      <c r="L2076" s="28" t="e">
        <f ca="1">[1]!BexGetData("DP_1","003N8EMH8GTFRIVNUPY2891V1","GSON1112151232")</f>
        <v>#NAME?</v>
      </c>
      <c r="M2076" s="28" t="e">
        <f ca="1">[1]!BexGetData("DP_1","003N8EMH8GTFRIVOG7KG9IQXA","GSON1112151232")</f>
        <v>#NAME?</v>
      </c>
      <c r="N2076" s="28" t="e">
        <f ca="1">[1]!BexGetData("DP_1","003N8EMH8GTFRIVOG7KG9IX8U","GSON1112151232")</f>
        <v>#NAME?</v>
      </c>
      <c r="O2076" s="28" t="e">
        <f ca="1">[1]!BexGetData("DP_1","003N8EMH8GTFRIVOG7KG9J3KE","GSON1112151232")</f>
        <v>#NAME?</v>
      </c>
      <c r="P2076" s="28" t="e">
        <f ca="1">[1]!BexGetData("DP_1","003N8EMH8GTFRIVOG7KG9J9VY","GSON1112151232")</f>
        <v>#NAME?</v>
      </c>
      <c r="Q2076" s="23" t="e">
        <f ca="1">[1]!BexGetData("DP_1","00O2TNJGODT0G5Z4TTKYMM5MT","GSON1112151232")</f>
        <v>#NAME?</v>
      </c>
      <c r="R2076" s="23" t="e">
        <f ca="1">[1]!BexGetData("DP_1","00O2TNJGODT0G5Z4TTKYMMBYD","GSON1112151232")</f>
        <v>#NAME?</v>
      </c>
      <c r="S2076" s="23" t="e">
        <f ca="1">[1]!BexGetData("DP_1","00O2TNJGODT0G5Z4TTKYMMI9X","GSON1112151232")</f>
        <v>#NAME?</v>
      </c>
      <c r="T2076" s="28" t="e">
        <f ca="1">[1]!BexGetData("DP_1","00O2TNJGODT0G5Z4TTKYMMOLH","GSON1112151232")</f>
        <v>#NAME?</v>
      </c>
      <c r="U2076" s="23" t="e">
        <f ca="1">[1]!BexGetData("DP_1","00O2TNJGODT0G5Z4TTKYMMUX1","GSON1112151232")</f>
        <v>#NAME?</v>
      </c>
      <c r="V2076" s="28" t="e">
        <f ca="1">[1]!BexGetData("DP_1","00O2TNJGODT0G5Z4TTKYMN18L","GSON1112151232")</f>
        <v>#NAME?</v>
      </c>
      <c r="W2076" s="23" t="e">
        <f ca="1">[1]!BexGetData("DP_1","00O2TNJGODT0G5Z4TTKYMN7K5","GSON1112151232")</f>
        <v>#NAME?</v>
      </c>
    </row>
    <row r="2077" spans="1:23" x14ac:dyDescent="0.2">
      <c r="A2077" s="36" t="s">
        <v>5123</v>
      </c>
      <c r="B2077" s="27" t="s">
        <v>5124</v>
      </c>
      <c r="C2077" s="24" t="e">
        <f ca="1">[1]!BexGetData("DP_1","003N8EMH8GTFRCSWKMPXRR8GU","GSON1112151234")</f>
        <v>#NAME?</v>
      </c>
      <c r="D2077" s="24" t="e">
        <f ca="1">[1]!BexGetData("DP_1","003N8EMH8GTFRCSWKMPXRRESE","GSON1112151234")</f>
        <v>#NAME?</v>
      </c>
      <c r="E2077" s="24" t="e">
        <f ca="1">[1]!BexGetData("DP_1","003N8EMH8GTFRCSWKMPXRRL3Y","GSON1112151234")</f>
        <v>#NAME?</v>
      </c>
      <c r="F2077" s="28" t="e">
        <f ca="1">[1]!BexGetData("DP_1","003N8EMH8GTFRCSWKMPXRRRFI","GSON1112151234")</f>
        <v>#NAME?</v>
      </c>
      <c r="G2077" s="23" t="e">
        <f ca="1">[1]!BexGetData("DP_1","003N8EMH8GTFRCSWKMPXRRXR2","GSON1112151234")</f>
        <v>#NAME?</v>
      </c>
      <c r="H2077" s="23" t="e">
        <f ca="1">[1]!BexGetData("DP_1","003N8EMH8GTFRCSWKMPXRS42M","GSON1112151234")</f>
        <v>#NAME?</v>
      </c>
      <c r="I2077" s="28" t="e">
        <f ca="1">[1]!BexGetData("DP_1","003N8EMH8GTFRCSWKMPXRSAE6","GSON1112151234")</f>
        <v>#NAME?</v>
      </c>
      <c r="J2077" s="24" t="e">
        <f ca="1">[1]!BexGetData("DP_1","003N8EMH8GTFRCSWKMPXRSGPQ","GSON1112151234")</f>
        <v>#NAME?</v>
      </c>
      <c r="K2077" s="28" t="e">
        <f ca="1">[1]!BexGetData("DP_1","003N8EMH8GTFRIVNUPY288VJH","GSON1112151234")</f>
        <v>#NAME?</v>
      </c>
      <c r="L2077" s="28" t="e">
        <f ca="1">[1]!BexGetData("DP_1","003N8EMH8GTFRIVNUPY2891V1","GSON1112151234")</f>
        <v>#NAME?</v>
      </c>
      <c r="M2077" s="28" t="e">
        <f ca="1">[1]!BexGetData("DP_1","003N8EMH8GTFRIVOG7KG9IQXA","GSON1112151234")</f>
        <v>#NAME?</v>
      </c>
      <c r="N2077" s="28" t="e">
        <f ca="1">[1]!BexGetData("DP_1","003N8EMH8GTFRIVOG7KG9IX8U","GSON1112151234")</f>
        <v>#NAME?</v>
      </c>
      <c r="O2077" s="28" t="e">
        <f ca="1">[1]!BexGetData("DP_1","003N8EMH8GTFRIVOG7KG9J3KE","GSON1112151234")</f>
        <v>#NAME?</v>
      </c>
      <c r="P2077" s="28" t="e">
        <f ca="1">[1]!BexGetData("DP_1","003N8EMH8GTFRIVOG7KG9J9VY","GSON1112151234")</f>
        <v>#NAME?</v>
      </c>
      <c r="Q2077" s="24" t="e">
        <f ca="1">[1]!BexGetData("DP_1","00O2TNJGODT0G5Z4TTKYMM5MT","GSON1112151234")</f>
        <v>#NAME?</v>
      </c>
      <c r="R2077" s="28" t="e">
        <f ca="1">[1]!BexGetData("DP_1","00O2TNJGODT0G5Z4TTKYMMBYD","GSON1112151234")</f>
        <v>#NAME?</v>
      </c>
      <c r="S2077" s="28" t="e">
        <f ca="1">[1]!BexGetData("DP_1","00O2TNJGODT0G5Z4TTKYMMI9X","GSON1112151234")</f>
        <v>#NAME?</v>
      </c>
      <c r="T2077" s="28" t="e">
        <f ca="1">[1]!BexGetData("DP_1","00O2TNJGODT0G5Z4TTKYMMOLH","GSON1112151234")</f>
        <v>#NAME?</v>
      </c>
      <c r="U2077" s="28" t="e">
        <f ca="1">[1]!BexGetData("DP_1","00O2TNJGODT0G5Z4TTKYMMUX1","GSON1112151234")</f>
        <v>#NAME?</v>
      </c>
      <c r="V2077" s="28" t="e">
        <f ca="1">[1]!BexGetData("DP_1","00O2TNJGODT0G5Z4TTKYMN18L","GSON1112151234")</f>
        <v>#NAME?</v>
      </c>
      <c r="W2077" s="28" t="e">
        <f ca="1">[1]!BexGetData("DP_1","00O2TNJGODT0G5Z4TTKYMN7K5","GSON1112151234")</f>
        <v>#NAME?</v>
      </c>
    </row>
    <row r="2078" spans="1:23" x14ac:dyDescent="0.2">
      <c r="A2078" s="36" t="s">
        <v>5125</v>
      </c>
      <c r="B2078" s="27" t="s">
        <v>5126</v>
      </c>
      <c r="C2078" s="28" t="e">
        <f ca="1">[1]!BexGetData("DP_1","003N8EMH8GTFRCSWKMPXRR8GU","GSON1112151235")</f>
        <v>#NAME?</v>
      </c>
      <c r="D2078" s="28" t="e">
        <f ca="1">[1]!BexGetData("DP_1","003N8EMH8GTFRCSWKMPXRRESE","GSON1112151235")</f>
        <v>#NAME?</v>
      </c>
      <c r="E2078" s="28" t="e">
        <f ca="1">[1]!BexGetData("DP_1","003N8EMH8GTFRCSWKMPXRRL3Y","GSON1112151235")</f>
        <v>#NAME?</v>
      </c>
      <c r="F2078" s="28" t="e">
        <f ca="1">[1]!BexGetData("DP_1","003N8EMH8GTFRCSWKMPXRRRFI","GSON1112151235")</f>
        <v>#NAME?</v>
      </c>
      <c r="G2078" s="23" t="e">
        <f ca="1">[1]!BexGetData("DP_1","003N8EMH8GTFRCSWKMPXRRXR2","GSON1112151235")</f>
        <v>#NAME?</v>
      </c>
      <c r="H2078" s="23" t="e">
        <f ca="1">[1]!BexGetData("DP_1","003N8EMH8GTFRCSWKMPXRS42M","GSON1112151235")</f>
        <v>#NAME?</v>
      </c>
      <c r="I2078" s="28" t="e">
        <f ca="1">[1]!BexGetData("DP_1","003N8EMH8GTFRCSWKMPXRSAE6","GSON1112151235")</f>
        <v>#NAME?</v>
      </c>
      <c r="J2078" s="24" t="e">
        <f ca="1">[1]!BexGetData("DP_1","003N8EMH8GTFRCSWKMPXRSGPQ","GSON1112151235")</f>
        <v>#NAME?</v>
      </c>
      <c r="K2078" s="28" t="e">
        <f ca="1">[1]!BexGetData("DP_1","003N8EMH8GTFRIVNUPY288VJH","GSON1112151235")</f>
        <v>#NAME?</v>
      </c>
      <c r="L2078" s="28" t="e">
        <f ca="1">[1]!BexGetData("DP_1","003N8EMH8GTFRIVNUPY2891V1","GSON1112151235")</f>
        <v>#NAME?</v>
      </c>
      <c r="M2078" s="28" t="e">
        <f ca="1">[1]!BexGetData("DP_1","003N8EMH8GTFRIVOG7KG9IQXA","GSON1112151235")</f>
        <v>#NAME?</v>
      </c>
      <c r="N2078" s="28" t="e">
        <f ca="1">[1]!BexGetData("DP_1","003N8EMH8GTFRIVOG7KG9IX8U","GSON1112151235")</f>
        <v>#NAME?</v>
      </c>
      <c r="O2078" s="28" t="e">
        <f ca="1">[1]!BexGetData("DP_1","003N8EMH8GTFRIVOG7KG9J3KE","GSON1112151235")</f>
        <v>#NAME?</v>
      </c>
      <c r="P2078" s="28" t="e">
        <f ca="1">[1]!BexGetData("DP_1","003N8EMH8GTFRIVOG7KG9J9VY","GSON1112151235")</f>
        <v>#NAME?</v>
      </c>
      <c r="Q2078" s="24" t="e">
        <f ca="1">[1]!BexGetData("DP_1","00O2TNJGODT0G5Z4TTKYMM5MT","GSON1112151235")</f>
        <v>#NAME?</v>
      </c>
      <c r="R2078" s="28" t="e">
        <f ca="1">[1]!BexGetData("DP_1","00O2TNJGODT0G5Z4TTKYMMBYD","GSON1112151235")</f>
        <v>#NAME?</v>
      </c>
      <c r="S2078" s="28" t="e">
        <f ca="1">[1]!BexGetData("DP_1","00O2TNJGODT0G5Z4TTKYMMI9X","GSON1112151235")</f>
        <v>#NAME?</v>
      </c>
      <c r="T2078" s="28" t="e">
        <f ca="1">[1]!BexGetData("DP_1","00O2TNJGODT0G5Z4TTKYMMOLH","GSON1112151235")</f>
        <v>#NAME?</v>
      </c>
      <c r="U2078" s="28" t="e">
        <f ca="1">[1]!BexGetData("DP_1","00O2TNJGODT0G5Z4TTKYMMUX1","GSON1112151235")</f>
        <v>#NAME?</v>
      </c>
      <c r="V2078" s="28" t="e">
        <f ca="1">[1]!BexGetData("DP_1","00O2TNJGODT0G5Z4TTKYMN18L","GSON1112151235")</f>
        <v>#NAME?</v>
      </c>
      <c r="W2078" s="28" t="e">
        <f ca="1">[1]!BexGetData("DP_1","00O2TNJGODT0G5Z4TTKYMN7K5","GSON1112151235")</f>
        <v>#NAME?</v>
      </c>
    </row>
    <row r="2079" spans="1:23" x14ac:dyDescent="0.2">
      <c r="A2079" s="36" t="s">
        <v>5127</v>
      </c>
      <c r="B2079" s="27" t="s">
        <v>5128</v>
      </c>
      <c r="C2079" s="23" t="e">
        <f ca="1">[1]!BexGetData("DP_1","003N8EMH8GTFRCSWKMPXRR8GU","GSON1112151240")</f>
        <v>#NAME?</v>
      </c>
      <c r="D2079" s="23" t="e">
        <f ca="1">[1]!BexGetData("DP_1","003N8EMH8GTFRCSWKMPXRRESE","GSON1112151240")</f>
        <v>#NAME?</v>
      </c>
      <c r="E2079" s="23" t="e">
        <f ca="1">[1]!BexGetData("DP_1","003N8EMH8GTFRCSWKMPXRRL3Y","GSON1112151240")</f>
        <v>#NAME?</v>
      </c>
      <c r="F2079" s="23" t="e">
        <f ca="1">[1]!BexGetData("DP_1","003N8EMH8GTFRCSWKMPXRRRFI","GSON1112151240")</f>
        <v>#NAME?</v>
      </c>
      <c r="G2079" s="23" t="e">
        <f ca="1">[1]!BexGetData("DP_1","003N8EMH8GTFRCSWKMPXRRXR2","GSON1112151240")</f>
        <v>#NAME?</v>
      </c>
      <c r="H2079" s="23" t="e">
        <f ca="1">[1]!BexGetData("DP_1","003N8EMH8GTFRCSWKMPXRS42M","GSON1112151240")</f>
        <v>#NAME?</v>
      </c>
      <c r="I2079" s="23" t="e">
        <f ca="1">[1]!BexGetData("DP_1","003N8EMH8GTFRCSWKMPXRSAE6","GSON1112151240")</f>
        <v>#NAME?</v>
      </c>
      <c r="J2079" s="24" t="e">
        <f ca="1">[1]!BexGetData("DP_1","003N8EMH8GTFRCSWKMPXRSGPQ","GSON1112151240")</f>
        <v>#NAME?</v>
      </c>
      <c r="K2079" s="23" t="e">
        <f ca="1">[1]!BexGetData("DP_1","003N8EMH8GTFRIVNUPY288VJH","GSON1112151240")</f>
        <v>#NAME?</v>
      </c>
      <c r="L2079" s="23" t="e">
        <f ca="1">[1]!BexGetData("DP_1","003N8EMH8GTFRIVNUPY2891V1","GSON1112151240")</f>
        <v>#NAME?</v>
      </c>
      <c r="M2079" s="23" t="e">
        <f ca="1">[1]!BexGetData("DP_1","003N8EMH8GTFRIVOG7KG9IQXA","GSON1112151240")</f>
        <v>#NAME?</v>
      </c>
      <c r="N2079" s="28" t="e">
        <f ca="1">[1]!BexGetData("DP_1","003N8EMH8GTFRIVOG7KG9IX8U","GSON1112151240")</f>
        <v>#NAME?</v>
      </c>
      <c r="O2079" s="23" t="e">
        <f ca="1">[1]!BexGetData("DP_1","003N8EMH8GTFRIVOG7KG9J3KE","GSON1112151240")</f>
        <v>#NAME?</v>
      </c>
      <c r="P2079" s="28" t="e">
        <f ca="1">[1]!BexGetData("DP_1","003N8EMH8GTFRIVOG7KG9J9VY","GSON1112151240")</f>
        <v>#NAME?</v>
      </c>
      <c r="Q2079" s="24" t="e">
        <f ca="1">[1]!BexGetData("DP_1","00O2TNJGODT0G5Z4TTKYMM5MT","GSON1112151240")</f>
        <v>#NAME?</v>
      </c>
      <c r="R2079" s="23" t="e">
        <f ca="1">[1]!BexGetData("DP_1","00O2TNJGODT0G5Z4TTKYMMBYD","GSON1112151240")</f>
        <v>#NAME?</v>
      </c>
      <c r="S2079" s="23" t="e">
        <f ca="1">[1]!BexGetData("DP_1","00O2TNJGODT0G5Z4TTKYMMI9X","GSON1112151240")</f>
        <v>#NAME?</v>
      </c>
      <c r="T2079" s="28" t="e">
        <f ca="1">[1]!BexGetData("DP_1","00O2TNJGODT0G5Z4TTKYMMOLH","GSON1112151240")</f>
        <v>#NAME?</v>
      </c>
      <c r="U2079" s="23" t="e">
        <f ca="1">[1]!BexGetData("DP_1","00O2TNJGODT0G5Z4TTKYMMUX1","GSON1112151240")</f>
        <v>#NAME?</v>
      </c>
      <c r="V2079" s="28" t="e">
        <f ca="1">[1]!BexGetData("DP_1","00O2TNJGODT0G5Z4TTKYMN18L","GSON1112151240")</f>
        <v>#NAME?</v>
      </c>
      <c r="W2079" s="23" t="e">
        <f ca="1">[1]!BexGetData("DP_1","00O2TNJGODT0G5Z4TTKYMN7K5","GSON1112151240")</f>
        <v>#NAME?</v>
      </c>
    </row>
    <row r="2080" spans="1:23" x14ac:dyDescent="0.2">
      <c r="A2080" s="36" t="s">
        <v>5129</v>
      </c>
      <c r="B2080" s="27" t="s">
        <v>5130</v>
      </c>
      <c r="C2080" s="23" t="e">
        <f ca="1">[1]!BexGetData("DP_1","003N8EMH8GTFRCSWKMPXRR8GU","GSON1112151241")</f>
        <v>#NAME?</v>
      </c>
      <c r="D2080" s="23" t="e">
        <f ca="1">[1]!BexGetData("DP_1","003N8EMH8GTFRCSWKMPXRRESE","GSON1112151241")</f>
        <v>#NAME?</v>
      </c>
      <c r="E2080" s="28" t="e">
        <f ca="1">[1]!BexGetData("DP_1","003N8EMH8GTFRCSWKMPXRRL3Y","GSON1112151241")</f>
        <v>#NAME?</v>
      </c>
      <c r="F2080" s="28" t="e">
        <f ca="1">[1]!BexGetData("DP_1","003N8EMH8GTFRCSWKMPXRRRFI","GSON1112151241")</f>
        <v>#NAME?</v>
      </c>
      <c r="G2080" s="23" t="e">
        <f ca="1">[1]!BexGetData("DP_1","003N8EMH8GTFRCSWKMPXRRXR2","GSON1112151241")</f>
        <v>#NAME?</v>
      </c>
      <c r="H2080" s="23" t="e">
        <f ca="1">[1]!BexGetData("DP_1","003N8EMH8GTFRCSWKMPXRS42M","GSON1112151241")</f>
        <v>#NAME?</v>
      </c>
      <c r="I2080" s="28" t="e">
        <f ca="1">[1]!BexGetData("DP_1","003N8EMH8GTFRCSWKMPXRSAE6","GSON1112151241")</f>
        <v>#NAME?</v>
      </c>
      <c r="J2080" s="24" t="e">
        <f ca="1">[1]!BexGetData("DP_1","003N8EMH8GTFRCSWKMPXRSGPQ","GSON1112151241")</f>
        <v>#NAME?</v>
      </c>
      <c r="K2080" s="28" t="e">
        <f ca="1">[1]!BexGetData("DP_1","003N8EMH8GTFRIVNUPY288VJH","GSON1112151241")</f>
        <v>#NAME?</v>
      </c>
      <c r="L2080" s="28" t="e">
        <f ca="1">[1]!BexGetData("DP_1","003N8EMH8GTFRIVNUPY2891V1","GSON1112151241")</f>
        <v>#NAME?</v>
      </c>
      <c r="M2080" s="28" t="e">
        <f ca="1">[1]!BexGetData("DP_1","003N8EMH8GTFRIVOG7KG9IQXA","GSON1112151241")</f>
        <v>#NAME?</v>
      </c>
      <c r="N2080" s="28" t="e">
        <f ca="1">[1]!BexGetData("DP_1","003N8EMH8GTFRIVOG7KG9IX8U","GSON1112151241")</f>
        <v>#NAME?</v>
      </c>
      <c r="O2080" s="28" t="e">
        <f ca="1">[1]!BexGetData("DP_1","003N8EMH8GTFRIVOG7KG9J3KE","GSON1112151241")</f>
        <v>#NAME?</v>
      </c>
      <c r="P2080" s="28" t="e">
        <f ca="1">[1]!BexGetData("DP_1","003N8EMH8GTFRIVOG7KG9J9VY","GSON1112151241")</f>
        <v>#NAME?</v>
      </c>
      <c r="Q2080" s="24" t="e">
        <f ca="1">[1]!BexGetData("DP_1","00O2TNJGODT0G5Z4TTKYMM5MT","GSON1112151241")</f>
        <v>#NAME?</v>
      </c>
      <c r="R2080" s="28" t="e">
        <f ca="1">[1]!BexGetData("DP_1","00O2TNJGODT0G5Z4TTKYMMBYD","GSON1112151241")</f>
        <v>#NAME?</v>
      </c>
      <c r="S2080" s="28" t="e">
        <f ca="1">[1]!BexGetData("DP_1","00O2TNJGODT0G5Z4TTKYMMI9X","GSON1112151241")</f>
        <v>#NAME?</v>
      </c>
      <c r="T2080" s="28" t="e">
        <f ca="1">[1]!BexGetData("DP_1","00O2TNJGODT0G5Z4TTKYMMOLH","GSON1112151241")</f>
        <v>#NAME?</v>
      </c>
      <c r="U2080" s="28" t="e">
        <f ca="1">[1]!BexGetData("DP_1","00O2TNJGODT0G5Z4TTKYMMUX1","GSON1112151241")</f>
        <v>#NAME?</v>
      </c>
      <c r="V2080" s="28" t="e">
        <f ca="1">[1]!BexGetData("DP_1","00O2TNJGODT0G5Z4TTKYMN18L","GSON1112151241")</f>
        <v>#NAME?</v>
      </c>
      <c r="W2080" s="28" t="e">
        <f ca="1">[1]!BexGetData("DP_1","00O2TNJGODT0G5Z4TTKYMN7K5","GSON1112151241")</f>
        <v>#NAME?</v>
      </c>
    </row>
    <row r="2081" spans="1:23" x14ac:dyDescent="0.2">
      <c r="A2081" s="36" t="s">
        <v>5131</v>
      </c>
      <c r="B2081" s="27" t="s">
        <v>5132</v>
      </c>
      <c r="C2081" s="23" t="e">
        <f ca="1">[1]!BexGetData("DP_1","003N8EMH8GTFRCSWKMPXRR8GU","GSON1112151243")</f>
        <v>#NAME?</v>
      </c>
      <c r="D2081" s="23" t="e">
        <f ca="1">[1]!BexGetData("DP_1","003N8EMH8GTFRCSWKMPXRRESE","GSON1112151243")</f>
        <v>#NAME?</v>
      </c>
      <c r="E2081" s="28" t="e">
        <f ca="1">[1]!BexGetData("DP_1","003N8EMH8GTFRCSWKMPXRRL3Y","GSON1112151243")</f>
        <v>#NAME?</v>
      </c>
      <c r="F2081" s="28" t="e">
        <f ca="1">[1]!BexGetData("DP_1","003N8EMH8GTFRCSWKMPXRRRFI","GSON1112151243")</f>
        <v>#NAME?</v>
      </c>
      <c r="G2081" s="23" t="e">
        <f ca="1">[1]!BexGetData("DP_1","003N8EMH8GTFRCSWKMPXRRXR2","GSON1112151243")</f>
        <v>#NAME?</v>
      </c>
      <c r="H2081" s="23" t="e">
        <f ca="1">[1]!BexGetData("DP_1","003N8EMH8GTFRCSWKMPXRS42M","GSON1112151243")</f>
        <v>#NAME?</v>
      </c>
      <c r="I2081" s="28" t="e">
        <f ca="1">[1]!BexGetData("DP_1","003N8EMH8GTFRCSWKMPXRSAE6","GSON1112151243")</f>
        <v>#NAME?</v>
      </c>
      <c r="J2081" s="24" t="e">
        <f ca="1">[1]!BexGetData("DP_1","003N8EMH8GTFRCSWKMPXRSGPQ","GSON1112151243")</f>
        <v>#NAME?</v>
      </c>
      <c r="K2081" s="28" t="e">
        <f ca="1">[1]!BexGetData("DP_1","003N8EMH8GTFRIVNUPY288VJH","GSON1112151243")</f>
        <v>#NAME?</v>
      </c>
      <c r="L2081" s="28" t="e">
        <f ca="1">[1]!BexGetData("DP_1","003N8EMH8GTFRIVNUPY2891V1","GSON1112151243")</f>
        <v>#NAME?</v>
      </c>
      <c r="M2081" s="28" t="e">
        <f ca="1">[1]!BexGetData("DP_1","003N8EMH8GTFRIVOG7KG9IQXA","GSON1112151243")</f>
        <v>#NAME?</v>
      </c>
      <c r="N2081" s="28" t="e">
        <f ca="1">[1]!BexGetData("DP_1","003N8EMH8GTFRIVOG7KG9IX8U","GSON1112151243")</f>
        <v>#NAME?</v>
      </c>
      <c r="O2081" s="28" t="e">
        <f ca="1">[1]!BexGetData("DP_1","003N8EMH8GTFRIVOG7KG9J3KE","GSON1112151243")</f>
        <v>#NAME?</v>
      </c>
      <c r="P2081" s="28" t="e">
        <f ca="1">[1]!BexGetData("DP_1","003N8EMH8GTFRIVOG7KG9J9VY","GSON1112151243")</f>
        <v>#NAME?</v>
      </c>
      <c r="Q2081" s="24" t="e">
        <f ca="1">[1]!BexGetData("DP_1","00O2TNJGODT0G5Z4TTKYMM5MT","GSON1112151243")</f>
        <v>#NAME?</v>
      </c>
      <c r="R2081" s="28" t="e">
        <f ca="1">[1]!BexGetData("DP_1","00O2TNJGODT0G5Z4TTKYMMBYD","GSON1112151243")</f>
        <v>#NAME?</v>
      </c>
      <c r="S2081" s="28" t="e">
        <f ca="1">[1]!BexGetData("DP_1","00O2TNJGODT0G5Z4TTKYMMI9X","GSON1112151243")</f>
        <v>#NAME?</v>
      </c>
      <c r="T2081" s="28" t="e">
        <f ca="1">[1]!BexGetData("DP_1","00O2TNJGODT0G5Z4TTKYMMOLH","GSON1112151243")</f>
        <v>#NAME?</v>
      </c>
      <c r="U2081" s="28" t="e">
        <f ca="1">[1]!BexGetData("DP_1","00O2TNJGODT0G5Z4TTKYMMUX1","GSON1112151243")</f>
        <v>#NAME?</v>
      </c>
      <c r="V2081" s="28" t="e">
        <f ca="1">[1]!BexGetData("DP_1","00O2TNJGODT0G5Z4TTKYMN18L","GSON1112151243")</f>
        <v>#NAME?</v>
      </c>
      <c r="W2081" s="28" t="e">
        <f ca="1">[1]!BexGetData("DP_1","00O2TNJGODT0G5Z4TTKYMN7K5","GSON1112151243")</f>
        <v>#NAME?</v>
      </c>
    </row>
    <row r="2082" spans="1:23" x14ac:dyDescent="0.2">
      <c r="A2082" s="36" t="s">
        <v>5133</v>
      </c>
      <c r="B2082" s="27" t="s">
        <v>5134</v>
      </c>
      <c r="C2082" s="23" t="e">
        <f ca="1">[1]!BexGetData("DP_1","003N8EMH8GTFRCSWKMPXRR8GU","GSON1112151245")</f>
        <v>#NAME?</v>
      </c>
      <c r="D2082" s="23" t="e">
        <f ca="1">[1]!BexGetData("DP_1","003N8EMH8GTFRCSWKMPXRRESE","GSON1112151245")</f>
        <v>#NAME?</v>
      </c>
      <c r="E2082" s="28" t="e">
        <f ca="1">[1]!BexGetData("DP_1","003N8EMH8GTFRCSWKMPXRRL3Y","GSON1112151245")</f>
        <v>#NAME?</v>
      </c>
      <c r="F2082" s="28" t="e">
        <f ca="1">[1]!BexGetData("DP_1","003N8EMH8GTFRCSWKMPXRRRFI","GSON1112151245")</f>
        <v>#NAME?</v>
      </c>
      <c r="G2082" s="23" t="e">
        <f ca="1">[1]!BexGetData("DP_1","003N8EMH8GTFRCSWKMPXRRXR2","GSON1112151245")</f>
        <v>#NAME?</v>
      </c>
      <c r="H2082" s="23" t="e">
        <f ca="1">[1]!BexGetData("DP_1","003N8EMH8GTFRCSWKMPXRS42M","GSON1112151245")</f>
        <v>#NAME?</v>
      </c>
      <c r="I2082" s="28" t="e">
        <f ca="1">[1]!BexGetData("DP_1","003N8EMH8GTFRCSWKMPXRSAE6","GSON1112151245")</f>
        <v>#NAME?</v>
      </c>
      <c r="J2082" s="24" t="e">
        <f ca="1">[1]!BexGetData("DP_1","003N8EMH8GTFRCSWKMPXRSGPQ","GSON1112151245")</f>
        <v>#NAME?</v>
      </c>
      <c r="K2082" s="28" t="e">
        <f ca="1">[1]!BexGetData("DP_1","003N8EMH8GTFRIVNUPY288VJH","GSON1112151245")</f>
        <v>#NAME?</v>
      </c>
      <c r="L2082" s="28" t="e">
        <f ca="1">[1]!BexGetData("DP_1","003N8EMH8GTFRIVNUPY2891V1","GSON1112151245")</f>
        <v>#NAME?</v>
      </c>
      <c r="M2082" s="28" t="e">
        <f ca="1">[1]!BexGetData("DP_1","003N8EMH8GTFRIVOG7KG9IQXA","GSON1112151245")</f>
        <v>#NAME?</v>
      </c>
      <c r="N2082" s="28" t="e">
        <f ca="1">[1]!BexGetData("DP_1","003N8EMH8GTFRIVOG7KG9IX8U","GSON1112151245")</f>
        <v>#NAME?</v>
      </c>
      <c r="O2082" s="28" t="e">
        <f ca="1">[1]!BexGetData("DP_1","003N8EMH8GTFRIVOG7KG9J3KE","GSON1112151245")</f>
        <v>#NAME?</v>
      </c>
      <c r="P2082" s="28" t="e">
        <f ca="1">[1]!BexGetData("DP_1","003N8EMH8GTFRIVOG7KG9J9VY","GSON1112151245")</f>
        <v>#NAME?</v>
      </c>
      <c r="Q2082" s="24" t="e">
        <f ca="1">[1]!BexGetData("DP_1","00O2TNJGODT0G5Z4TTKYMM5MT","GSON1112151245")</f>
        <v>#NAME?</v>
      </c>
      <c r="R2082" s="28" t="e">
        <f ca="1">[1]!BexGetData("DP_1","00O2TNJGODT0G5Z4TTKYMMBYD","GSON1112151245")</f>
        <v>#NAME?</v>
      </c>
      <c r="S2082" s="28" t="e">
        <f ca="1">[1]!BexGetData("DP_1","00O2TNJGODT0G5Z4TTKYMMI9X","GSON1112151245")</f>
        <v>#NAME?</v>
      </c>
      <c r="T2082" s="28" t="e">
        <f ca="1">[1]!BexGetData("DP_1","00O2TNJGODT0G5Z4TTKYMMOLH","GSON1112151245")</f>
        <v>#NAME?</v>
      </c>
      <c r="U2082" s="28" t="e">
        <f ca="1">[1]!BexGetData("DP_1","00O2TNJGODT0G5Z4TTKYMMUX1","GSON1112151245")</f>
        <v>#NAME?</v>
      </c>
      <c r="V2082" s="28" t="e">
        <f ca="1">[1]!BexGetData("DP_1","00O2TNJGODT0G5Z4TTKYMN18L","GSON1112151245")</f>
        <v>#NAME?</v>
      </c>
      <c r="W2082" s="28" t="e">
        <f ca="1">[1]!BexGetData("DP_1","00O2TNJGODT0G5Z4TTKYMN7K5","GSON1112151245")</f>
        <v>#NAME?</v>
      </c>
    </row>
    <row r="2083" spans="1:23" x14ac:dyDescent="0.2">
      <c r="A2083" s="36" t="s">
        <v>5135</v>
      </c>
      <c r="B2083" s="27" t="s">
        <v>5136</v>
      </c>
      <c r="C2083" s="23" t="e">
        <f ca="1">[1]!BexGetData("DP_1","003N8EMH8GTFRCSWKMPXRR8GU","GSON1112151260")</f>
        <v>#NAME?</v>
      </c>
      <c r="D2083" s="23" t="e">
        <f ca="1">[1]!BexGetData("DP_1","003N8EMH8GTFRCSWKMPXRRESE","GSON1112151260")</f>
        <v>#NAME?</v>
      </c>
      <c r="E2083" s="23" t="e">
        <f ca="1">[1]!BexGetData("DP_1","003N8EMH8GTFRCSWKMPXRRL3Y","GSON1112151260")</f>
        <v>#NAME?</v>
      </c>
      <c r="F2083" s="23" t="e">
        <f ca="1">[1]!BexGetData("DP_1","003N8EMH8GTFRCSWKMPXRRRFI","GSON1112151260")</f>
        <v>#NAME?</v>
      </c>
      <c r="G2083" s="23" t="e">
        <f ca="1">[1]!BexGetData("DP_1","003N8EMH8GTFRCSWKMPXRRXR2","GSON1112151260")</f>
        <v>#NAME?</v>
      </c>
      <c r="H2083" s="23" t="e">
        <f ca="1">[1]!BexGetData("DP_1","003N8EMH8GTFRCSWKMPXRS42M","GSON1112151260")</f>
        <v>#NAME?</v>
      </c>
      <c r="I2083" s="23" t="e">
        <f ca="1">[1]!BexGetData("DP_1","003N8EMH8GTFRCSWKMPXRSAE6","GSON1112151260")</f>
        <v>#NAME?</v>
      </c>
      <c r="J2083" s="24" t="e">
        <f ca="1">[1]!BexGetData("DP_1","003N8EMH8GTFRCSWKMPXRSGPQ","GSON1112151260")</f>
        <v>#NAME?</v>
      </c>
      <c r="K2083" s="23" t="e">
        <f ca="1">[1]!BexGetData("DP_1","003N8EMH8GTFRIVNUPY288VJH","GSON1112151260")</f>
        <v>#NAME?</v>
      </c>
      <c r="L2083" s="23" t="e">
        <f ca="1">[1]!BexGetData("DP_1","003N8EMH8GTFRIVNUPY2891V1","GSON1112151260")</f>
        <v>#NAME?</v>
      </c>
      <c r="M2083" s="23" t="e">
        <f ca="1">[1]!BexGetData("DP_1","003N8EMH8GTFRIVOG7KG9IQXA","GSON1112151260")</f>
        <v>#NAME?</v>
      </c>
      <c r="N2083" s="28" t="e">
        <f ca="1">[1]!BexGetData("DP_1","003N8EMH8GTFRIVOG7KG9IX8U","GSON1112151260")</f>
        <v>#NAME?</v>
      </c>
      <c r="O2083" s="23" t="e">
        <f ca="1">[1]!BexGetData("DP_1","003N8EMH8GTFRIVOG7KG9J3KE","GSON1112151260")</f>
        <v>#NAME?</v>
      </c>
      <c r="P2083" s="28" t="e">
        <f ca="1">[1]!BexGetData("DP_1","003N8EMH8GTFRIVOG7KG9J9VY","GSON1112151260")</f>
        <v>#NAME?</v>
      </c>
      <c r="Q2083" s="24" t="e">
        <f ca="1">[1]!BexGetData("DP_1","00O2TNJGODT0G5Z4TTKYMM5MT","GSON1112151260")</f>
        <v>#NAME?</v>
      </c>
      <c r="R2083" s="23" t="e">
        <f ca="1">[1]!BexGetData("DP_1","00O2TNJGODT0G5Z4TTKYMMBYD","GSON1112151260")</f>
        <v>#NAME?</v>
      </c>
      <c r="S2083" s="23" t="e">
        <f ca="1">[1]!BexGetData("DP_1","00O2TNJGODT0G5Z4TTKYMMI9X","GSON1112151260")</f>
        <v>#NAME?</v>
      </c>
      <c r="T2083" s="28" t="e">
        <f ca="1">[1]!BexGetData("DP_1","00O2TNJGODT0G5Z4TTKYMMOLH","GSON1112151260")</f>
        <v>#NAME?</v>
      </c>
      <c r="U2083" s="23" t="e">
        <f ca="1">[1]!BexGetData("DP_1","00O2TNJGODT0G5Z4TTKYMMUX1","GSON1112151260")</f>
        <v>#NAME?</v>
      </c>
      <c r="V2083" s="28" t="e">
        <f ca="1">[1]!BexGetData("DP_1","00O2TNJGODT0G5Z4TTKYMN18L","GSON1112151260")</f>
        <v>#NAME?</v>
      </c>
      <c r="W2083" s="23" t="e">
        <f ca="1">[1]!BexGetData("DP_1","00O2TNJGODT0G5Z4TTKYMN7K5","GSON1112151260")</f>
        <v>#NAME?</v>
      </c>
    </row>
    <row r="2084" spans="1:23" x14ac:dyDescent="0.2">
      <c r="A2084" s="36" t="s">
        <v>5137</v>
      </c>
      <c r="B2084" s="27" t="s">
        <v>5138</v>
      </c>
      <c r="C2084" s="23" t="e">
        <f ca="1">[1]!BexGetData("DP_1","003N8EMH8GTFRCSWKMPXRR8GU","GSON1112151261")</f>
        <v>#NAME?</v>
      </c>
      <c r="D2084" s="23" t="e">
        <f ca="1">[1]!BexGetData("DP_1","003N8EMH8GTFRCSWKMPXRRESE","GSON1112151261")</f>
        <v>#NAME?</v>
      </c>
      <c r="E2084" s="28" t="e">
        <f ca="1">[1]!BexGetData("DP_1","003N8EMH8GTFRCSWKMPXRRL3Y","GSON1112151261")</f>
        <v>#NAME?</v>
      </c>
      <c r="F2084" s="28" t="e">
        <f ca="1">[1]!BexGetData("DP_1","003N8EMH8GTFRCSWKMPXRRRFI","GSON1112151261")</f>
        <v>#NAME?</v>
      </c>
      <c r="G2084" s="23" t="e">
        <f ca="1">[1]!BexGetData("DP_1","003N8EMH8GTFRCSWKMPXRRXR2","GSON1112151261")</f>
        <v>#NAME?</v>
      </c>
      <c r="H2084" s="23" t="e">
        <f ca="1">[1]!BexGetData("DP_1","003N8EMH8GTFRCSWKMPXRS42M","GSON1112151261")</f>
        <v>#NAME?</v>
      </c>
      <c r="I2084" s="28" t="e">
        <f ca="1">[1]!BexGetData("DP_1","003N8EMH8GTFRCSWKMPXRSAE6","GSON1112151261")</f>
        <v>#NAME?</v>
      </c>
      <c r="J2084" s="24" t="e">
        <f ca="1">[1]!BexGetData("DP_1","003N8EMH8GTFRCSWKMPXRSGPQ","GSON1112151261")</f>
        <v>#NAME?</v>
      </c>
      <c r="K2084" s="28" t="e">
        <f ca="1">[1]!BexGetData("DP_1","003N8EMH8GTFRIVNUPY288VJH","GSON1112151261")</f>
        <v>#NAME?</v>
      </c>
      <c r="L2084" s="28" t="e">
        <f ca="1">[1]!BexGetData("DP_1","003N8EMH8GTFRIVNUPY2891V1","GSON1112151261")</f>
        <v>#NAME?</v>
      </c>
      <c r="M2084" s="28" t="e">
        <f ca="1">[1]!BexGetData("DP_1","003N8EMH8GTFRIVOG7KG9IQXA","GSON1112151261")</f>
        <v>#NAME?</v>
      </c>
      <c r="N2084" s="28" t="e">
        <f ca="1">[1]!BexGetData("DP_1","003N8EMH8GTFRIVOG7KG9IX8U","GSON1112151261")</f>
        <v>#NAME?</v>
      </c>
      <c r="O2084" s="28" t="e">
        <f ca="1">[1]!BexGetData("DP_1","003N8EMH8GTFRIVOG7KG9J3KE","GSON1112151261")</f>
        <v>#NAME?</v>
      </c>
      <c r="P2084" s="28" t="e">
        <f ca="1">[1]!BexGetData("DP_1","003N8EMH8GTFRIVOG7KG9J9VY","GSON1112151261")</f>
        <v>#NAME?</v>
      </c>
      <c r="Q2084" s="24" t="e">
        <f ca="1">[1]!BexGetData("DP_1","00O2TNJGODT0G5Z4TTKYMM5MT","GSON1112151261")</f>
        <v>#NAME?</v>
      </c>
      <c r="R2084" s="28" t="e">
        <f ca="1">[1]!BexGetData("DP_1","00O2TNJGODT0G5Z4TTKYMMBYD","GSON1112151261")</f>
        <v>#NAME?</v>
      </c>
      <c r="S2084" s="28" t="e">
        <f ca="1">[1]!BexGetData("DP_1","00O2TNJGODT0G5Z4TTKYMMI9X","GSON1112151261")</f>
        <v>#NAME?</v>
      </c>
      <c r="T2084" s="28" t="e">
        <f ca="1">[1]!BexGetData("DP_1","00O2TNJGODT0G5Z4TTKYMMOLH","GSON1112151261")</f>
        <v>#NAME?</v>
      </c>
      <c r="U2084" s="28" t="e">
        <f ca="1">[1]!BexGetData("DP_1","00O2TNJGODT0G5Z4TTKYMMUX1","GSON1112151261")</f>
        <v>#NAME?</v>
      </c>
      <c r="V2084" s="28" t="e">
        <f ca="1">[1]!BexGetData("DP_1","00O2TNJGODT0G5Z4TTKYMN18L","GSON1112151261")</f>
        <v>#NAME?</v>
      </c>
      <c r="W2084" s="28" t="e">
        <f ca="1">[1]!BexGetData("DP_1","00O2TNJGODT0G5Z4TTKYMN7K5","GSON1112151261")</f>
        <v>#NAME?</v>
      </c>
    </row>
    <row r="2085" spans="1:23" x14ac:dyDescent="0.2">
      <c r="A2085" s="36" t="s">
        <v>5139</v>
      </c>
      <c r="B2085" s="27" t="s">
        <v>5140</v>
      </c>
      <c r="C2085" s="23" t="e">
        <f ca="1">[1]!BexGetData("DP_1","003N8EMH8GTFRCSWKMPXRR8GU","GSON1112151263")</f>
        <v>#NAME?</v>
      </c>
      <c r="D2085" s="23" t="e">
        <f ca="1">[1]!BexGetData("DP_1","003N8EMH8GTFRCSWKMPXRRESE","GSON1112151263")</f>
        <v>#NAME?</v>
      </c>
      <c r="E2085" s="28" t="e">
        <f ca="1">[1]!BexGetData("DP_1","003N8EMH8GTFRCSWKMPXRRL3Y","GSON1112151263")</f>
        <v>#NAME?</v>
      </c>
      <c r="F2085" s="28" t="e">
        <f ca="1">[1]!BexGetData("DP_1","003N8EMH8GTFRCSWKMPXRRRFI","GSON1112151263")</f>
        <v>#NAME?</v>
      </c>
      <c r="G2085" s="23" t="e">
        <f ca="1">[1]!BexGetData("DP_1","003N8EMH8GTFRCSWKMPXRRXR2","GSON1112151263")</f>
        <v>#NAME?</v>
      </c>
      <c r="H2085" s="23" t="e">
        <f ca="1">[1]!BexGetData("DP_1","003N8EMH8GTFRCSWKMPXRS42M","GSON1112151263")</f>
        <v>#NAME?</v>
      </c>
      <c r="I2085" s="28" t="e">
        <f ca="1">[1]!BexGetData("DP_1","003N8EMH8GTFRCSWKMPXRSAE6","GSON1112151263")</f>
        <v>#NAME?</v>
      </c>
      <c r="J2085" s="24" t="e">
        <f ca="1">[1]!BexGetData("DP_1","003N8EMH8GTFRCSWKMPXRSGPQ","GSON1112151263")</f>
        <v>#NAME?</v>
      </c>
      <c r="K2085" s="28" t="e">
        <f ca="1">[1]!BexGetData("DP_1","003N8EMH8GTFRIVNUPY288VJH","GSON1112151263")</f>
        <v>#NAME?</v>
      </c>
      <c r="L2085" s="28" t="e">
        <f ca="1">[1]!BexGetData("DP_1","003N8EMH8GTFRIVNUPY2891V1","GSON1112151263")</f>
        <v>#NAME?</v>
      </c>
      <c r="M2085" s="28" t="e">
        <f ca="1">[1]!BexGetData("DP_1","003N8EMH8GTFRIVOG7KG9IQXA","GSON1112151263")</f>
        <v>#NAME?</v>
      </c>
      <c r="N2085" s="28" t="e">
        <f ca="1">[1]!BexGetData("DP_1","003N8EMH8GTFRIVOG7KG9IX8U","GSON1112151263")</f>
        <v>#NAME?</v>
      </c>
      <c r="O2085" s="28" t="e">
        <f ca="1">[1]!BexGetData("DP_1","003N8EMH8GTFRIVOG7KG9J3KE","GSON1112151263")</f>
        <v>#NAME?</v>
      </c>
      <c r="P2085" s="28" t="e">
        <f ca="1">[1]!BexGetData("DP_1","003N8EMH8GTFRIVOG7KG9J9VY","GSON1112151263")</f>
        <v>#NAME?</v>
      </c>
      <c r="Q2085" s="24" t="e">
        <f ca="1">[1]!BexGetData("DP_1","00O2TNJGODT0G5Z4TTKYMM5MT","GSON1112151263")</f>
        <v>#NAME?</v>
      </c>
      <c r="R2085" s="28" t="e">
        <f ca="1">[1]!BexGetData("DP_1","00O2TNJGODT0G5Z4TTKYMMBYD","GSON1112151263")</f>
        <v>#NAME?</v>
      </c>
      <c r="S2085" s="28" t="e">
        <f ca="1">[1]!BexGetData("DP_1","00O2TNJGODT0G5Z4TTKYMMI9X","GSON1112151263")</f>
        <v>#NAME?</v>
      </c>
      <c r="T2085" s="28" t="e">
        <f ca="1">[1]!BexGetData("DP_1","00O2TNJGODT0G5Z4TTKYMMOLH","GSON1112151263")</f>
        <v>#NAME?</v>
      </c>
      <c r="U2085" s="28" t="e">
        <f ca="1">[1]!BexGetData("DP_1","00O2TNJGODT0G5Z4TTKYMMUX1","GSON1112151263")</f>
        <v>#NAME?</v>
      </c>
      <c r="V2085" s="28" t="e">
        <f ca="1">[1]!BexGetData("DP_1","00O2TNJGODT0G5Z4TTKYMN18L","GSON1112151263")</f>
        <v>#NAME?</v>
      </c>
      <c r="W2085" s="28" t="e">
        <f ca="1">[1]!BexGetData("DP_1","00O2TNJGODT0G5Z4TTKYMN7K5","GSON1112151263")</f>
        <v>#NAME?</v>
      </c>
    </row>
    <row r="2086" spans="1:23" x14ac:dyDescent="0.2">
      <c r="A2086" s="36" t="s">
        <v>5141</v>
      </c>
      <c r="B2086" s="27" t="s">
        <v>5142</v>
      </c>
      <c r="C2086" s="23" t="e">
        <f ca="1">[1]!BexGetData("DP_1","003N8EMH8GTFRCSWKMPXRR8GU","GSON1112151265")</f>
        <v>#NAME?</v>
      </c>
      <c r="D2086" s="23" t="e">
        <f ca="1">[1]!BexGetData("DP_1","003N8EMH8GTFRCSWKMPXRRESE","GSON1112151265")</f>
        <v>#NAME?</v>
      </c>
      <c r="E2086" s="28" t="e">
        <f ca="1">[1]!BexGetData("DP_1","003N8EMH8GTFRCSWKMPXRRL3Y","GSON1112151265")</f>
        <v>#NAME?</v>
      </c>
      <c r="F2086" s="28" t="e">
        <f ca="1">[1]!BexGetData("DP_1","003N8EMH8GTFRCSWKMPXRRRFI","GSON1112151265")</f>
        <v>#NAME?</v>
      </c>
      <c r="G2086" s="23" t="e">
        <f ca="1">[1]!BexGetData("DP_1","003N8EMH8GTFRCSWKMPXRRXR2","GSON1112151265")</f>
        <v>#NAME?</v>
      </c>
      <c r="H2086" s="23" t="e">
        <f ca="1">[1]!BexGetData("DP_1","003N8EMH8GTFRCSWKMPXRS42M","GSON1112151265")</f>
        <v>#NAME?</v>
      </c>
      <c r="I2086" s="28" t="e">
        <f ca="1">[1]!BexGetData("DP_1","003N8EMH8GTFRCSWKMPXRSAE6","GSON1112151265")</f>
        <v>#NAME?</v>
      </c>
      <c r="J2086" s="24" t="e">
        <f ca="1">[1]!BexGetData("DP_1","003N8EMH8GTFRCSWKMPXRSGPQ","GSON1112151265")</f>
        <v>#NAME?</v>
      </c>
      <c r="K2086" s="28" t="e">
        <f ca="1">[1]!BexGetData("DP_1","003N8EMH8GTFRIVNUPY288VJH","GSON1112151265")</f>
        <v>#NAME?</v>
      </c>
      <c r="L2086" s="28" t="e">
        <f ca="1">[1]!BexGetData("DP_1","003N8EMH8GTFRIVNUPY2891V1","GSON1112151265")</f>
        <v>#NAME?</v>
      </c>
      <c r="M2086" s="28" t="e">
        <f ca="1">[1]!BexGetData("DP_1","003N8EMH8GTFRIVOG7KG9IQXA","GSON1112151265")</f>
        <v>#NAME?</v>
      </c>
      <c r="N2086" s="28" t="e">
        <f ca="1">[1]!BexGetData("DP_1","003N8EMH8GTFRIVOG7KG9IX8U","GSON1112151265")</f>
        <v>#NAME?</v>
      </c>
      <c r="O2086" s="28" t="e">
        <f ca="1">[1]!BexGetData("DP_1","003N8EMH8GTFRIVOG7KG9J3KE","GSON1112151265")</f>
        <v>#NAME?</v>
      </c>
      <c r="P2086" s="28" t="e">
        <f ca="1">[1]!BexGetData("DP_1","003N8EMH8GTFRIVOG7KG9J9VY","GSON1112151265")</f>
        <v>#NAME?</v>
      </c>
      <c r="Q2086" s="24" t="e">
        <f ca="1">[1]!BexGetData("DP_1","00O2TNJGODT0G5Z4TTKYMM5MT","GSON1112151265")</f>
        <v>#NAME?</v>
      </c>
      <c r="R2086" s="28" t="e">
        <f ca="1">[1]!BexGetData("DP_1","00O2TNJGODT0G5Z4TTKYMMBYD","GSON1112151265")</f>
        <v>#NAME?</v>
      </c>
      <c r="S2086" s="28" t="e">
        <f ca="1">[1]!BexGetData("DP_1","00O2TNJGODT0G5Z4TTKYMMI9X","GSON1112151265")</f>
        <v>#NAME?</v>
      </c>
      <c r="T2086" s="28" t="e">
        <f ca="1">[1]!BexGetData("DP_1","00O2TNJGODT0G5Z4TTKYMMOLH","GSON1112151265")</f>
        <v>#NAME?</v>
      </c>
      <c r="U2086" s="28" t="e">
        <f ca="1">[1]!BexGetData("DP_1","00O2TNJGODT0G5Z4TTKYMMUX1","GSON1112151265")</f>
        <v>#NAME?</v>
      </c>
      <c r="V2086" s="28" t="e">
        <f ca="1">[1]!BexGetData("DP_1","00O2TNJGODT0G5Z4TTKYMN18L","GSON1112151265")</f>
        <v>#NAME?</v>
      </c>
      <c r="W2086" s="28" t="e">
        <f ca="1">[1]!BexGetData("DP_1","00O2TNJGODT0G5Z4TTKYMN7K5","GSON1112151265")</f>
        <v>#NAME?</v>
      </c>
    </row>
    <row r="2087" spans="1:23" x14ac:dyDescent="0.2">
      <c r="A2087" s="36" t="s">
        <v>5143</v>
      </c>
      <c r="B2087" s="27" t="s">
        <v>5144</v>
      </c>
      <c r="C2087" s="23" t="e">
        <f ca="1">[1]!BexGetData("DP_1","003N8EMH8GTFRCSWKMPXRR8GU","GSON1112151270")</f>
        <v>#NAME?</v>
      </c>
      <c r="D2087" s="23" t="e">
        <f ca="1">[1]!BexGetData("DP_1","003N8EMH8GTFRCSWKMPXRRESE","GSON1112151270")</f>
        <v>#NAME?</v>
      </c>
      <c r="E2087" s="23" t="e">
        <f ca="1">[1]!BexGetData("DP_1","003N8EMH8GTFRCSWKMPXRRL3Y","GSON1112151270")</f>
        <v>#NAME?</v>
      </c>
      <c r="F2087" s="23" t="e">
        <f ca="1">[1]!BexGetData("DP_1","003N8EMH8GTFRCSWKMPXRRRFI","GSON1112151270")</f>
        <v>#NAME?</v>
      </c>
      <c r="G2087" s="23" t="e">
        <f ca="1">[1]!BexGetData("DP_1","003N8EMH8GTFRCSWKMPXRRXR2","GSON1112151270")</f>
        <v>#NAME?</v>
      </c>
      <c r="H2087" s="23" t="e">
        <f ca="1">[1]!BexGetData("DP_1","003N8EMH8GTFRCSWKMPXRS42M","GSON1112151270")</f>
        <v>#NAME?</v>
      </c>
      <c r="I2087" s="23" t="e">
        <f ca="1">[1]!BexGetData("DP_1","003N8EMH8GTFRCSWKMPXRSAE6","GSON1112151270")</f>
        <v>#NAME?</v>
      </c>
      <c r="J2087" s="24" t="e">
        <f ca="1">[1]!BexGetData("DP_1","003N8EMH8GTFRCSWKMPXRSGPQ","GSON1112151270")</f>
        <v>#NAME?</v>
      </c>
      <c r="K2087" s="23" t="e">
        <f ca="1">[1]!BexGetData("DP_1","003N8EMH8GTFRIVNUPY288VJH","GSON1112151270")</f>
        <v>#NAME?</v>
      </c>
      <c r="L2087" s="23" t="e">
        <f ca="1">[1]!BexGetData("DP_1","003N8EMH8GTFRIVNUPY2891V1","GSON1112151270")</f>
        <v>#NAME?</v>
      </c>
      <c r="M2087" s="23" t="e">
        <f ca="1">[1]!BexGetData("DP_1","003N8EMH8GTFRIVOG7KG9IQXA","GSON1112151270")</f>
        <v>#NAME?</v>
      </c>
      <c r="N2087" s="28" t="e">
        <f ca="1">[1]!BexGetData("DP_1","003N8EMH8GTFRIVOG7KG9IX8U","GSON1112151270")</f>
        <v>#NAME?</v>
      </c>
      <c r="O2087" s="23" t="e">
        <f ca="1">[1]!BexGetData("DP_1","003N8EMH8GTFRIVOG7KG9J3KE","GSON1112151270")</f>
        <v>#NAME?</v>
      </c>
      <c r="P2087" s="28" t="e">
        <f ca="1">[1]!BexGetData("DP_1","003N8EMH8GTFRIVOG7KG9J9VY","GSON1112151270")</f>
        <v>#NAME?</v>
      </c>
      <c r="Q2087" s="24" t="e">
        <f ca="1">[1]!BexGetData("DP_1","00O2TNJGODT0G5Z4TTKYMM5MT","GSON1112151270")</f>
        <v>#NAME?</v>
      </c>
      <c r="R2087" s="23" t="e">
        <f ca="1">[1]!BexGetData("DP_1","00O2TNJGODT0G5Z4TTKYMMBYD","GSON1112151270")</f>
        <v>#NAME?</v>
      </c>
      <c r="S2087" s="23" t="e">
        <f ca="1">[1]!BexGetData("DP_1","00O2TNJGODT0G5Z4TTKYMMI9X","GSON1112151270")</f>
        <v>#NAME?</v>
      </c>
      <c r="T2087" s="28" t="e">
        <f ca="1">[1]!BexGetData("DP_1","00O2TNJGODT0G5Z4TTKYMMOLH","GSON1112151270")</f>
        <v>#NAME?</v>
      </c>
      <c r="U2087" s="23" t="e">
        <f ca="1">[1]!BexGetData("DP_1","00O2TNJGODT0G5Z4TTKYMMUX1","GSON1112151270")</f>
        <v>#NAME?</v>
      </c>
      <c r="V2087" s="28" t="e">
        <f ca="1">[1]!BexGetData("DP_1","00O2TNJGODT0G5Z4TTKYMN18L","GSON1112151270")</f>
        <v>#NAME?</v>
      </c>
      <c r="W2087" s="23" t="e">
        <f ca="1">[1]!BexGetData("DP_1","00O2TNJGODT0G5Z4TTKYMN7K5","GSON1112151270")</f>
        <v>#NAME?</v>
      </c>
    </row>
    <row r="2088" spans="1:23" x14ac:dyDescent="0.2">
      <c r="A2088" s="36" t="s">
        <v>5145</v>
      </c>
      <c r="B2088" s="27" t="s">
        <v>5146</v>
      </c>
      <c r="C2088" s="28" t="e">
        <f ca="1">[1]!BexGetData("DP_1","003N8EMH8GTFRCSWKMPXRR8GU","GSON1112151271")</f>
        <v>#NAME?</v>
      </c>
      <c r="D2088" s="28" t="e">
        <f ca="1">[1]!BexGetData("DP_1","003N8EMH8GTFRCSWKMPXRRESE","GSON1112151271")</f>
        <v>#NAME?</v>
      </c>
      <c r="E2088" s="28" t="e">
        <f ca="1">[1]!BexGetData("DP_1","003N8EMH8GTFRCSWKMPXRRL3Y","GSON1112151271")</f>
        <v>#NAME?</v>
      </c>
      <c r="F2088" s="28" t="e">
        <f ca="1">[1]!BexGetData("DP_1","003N8EMH8GTFRCSWKMPXRRRFI","GSON1112151271")</f>
        <v>#NAME?</v>
      </c>
      <c r="G2088" s="23" t="e">
        <f ca="1">[1]!BexGetData("DP_1","003N8EMH8GTFRCSWKMPXRRXR2","GSON1112151271")</f>
        <v>#NAME?</v>
      </c>
      <c r="H2088" s="23" t="e">
        <f ca="1">[1]!BexGetData("DP_1","003N8EMH8GTFRCSWKMPXRS42M","GSON1112151271")</f>
        <v>#NAME?</v>
      </c>
      <c r="I2088" s="28" t="e">
        <f ca="1">[1]!BexGetData("DP_1","003N8EMH8GTFRCSWKMPXRSAE6","GSON1112151271")</f>
        <v>#NAME?</v>
      </c>
      <c r="J2088" s="24" t="e">
        <f ca="1">[1]!BexGetData("DP_1","003N8EMH8GTFRCSWKMPXRSGPQ","GSON1112151271")</f>
        <v>#NAME?</v>
      </c>
      <c r="K2088" s="28" t="e">
        <f ca="1">[1]!BexGetData("DP_1","003N8EMH8GTFRIVNUPY288VJH","GSON1112151271")</f>
        <v>#NAME?</v>
      </c>
      <c r="L2088" s="28" t="e">
        <f ca="1">[1]!BexGetData("DP_1","003N8EMH8GTFRIVNUPY2891V1","GSON1112151271")</f>
        <v>#NAME?</v>
      </c>
      <c r="M2088" s="28" t="e">
        <f ca="1">[1]!BexGetData("DP_1","003N8EMH8GTFRIVOG7KG9IQXA","GSON1112151271")</f>
        <v>#NAME?</v>
      </c>
      <c r="N2088" s="28" t="e">
        <f ca="1">[1]!BexGetData("DP_1","003N8EMH8GTFRIVOG7KG9IX8U","GSON1112151271")</f>
        <v>#NAME?</v>
      </c>
      <c r="O2088" s="28" t="e">
        <f ca="1">[1]!BexGetData("DP_1","003N8EMH8GTFRIVOG7KG9J3KE","GSON1112151271")</f>
        <v>#NAME?</v>
      </c>
      <c r="P2088" s="28" t="e">
        <f ca="1">[1]!BexGetData("DP_1","003N8EMH8GTFRIVOG7KG9J9VY","GSON1112151271")</f>
        <v>#NAME?</v>
      </c>
      <c r="Q2088" s="24" t="e">
        <f ca="1">[1]!BexGetData("DP_1","00O2TNJGODT0G5Z4TTKYMM5MT","GSON1112151271")</f>
        <v>#NAME?</v>
      </c>
      <c r="R2088" s="28" t="e">
        <f ca="1">[1]!BexGetData("DP_1","00O2TNJGODT0G5Z4TTKYMMBYD","GSON1112151271")</f>
        <v>#NAME?</v>
      </c>
      <c r="S2088" s="28" t="e">
        <f ca="1">[1]!BexGetData("DP_1","00O2TNJGODT0G5Z4TTKYMMI9X","GSON1112151271")</f>
        <v>#NAME?</v>
      </c>
      <c r="T2088" s="28" t="e">
        <f ca="1">[1]!BexGetData("DP_1","00O2TNJGODT0G5Z4TTKYMMOLH","GSON1112151271")</f>
        <v>#NAME?</v>
      </c>
      <c r="U2088" s="28" t="e">
        <f ca="1">[1]!BexGetData("DP_1","00O2TNJGODT0G5Z4TTKYMMUX1","GSON1112151271")</f>
        <v>#NAME?</v>
      </c>
      <c r="V2088" s="28" t="e">
        <f ca="1">[1]!BexGetData("DP_1","00O2TNJGODT0G5Z4TTKYMN18L","GSON1112151271")</f>
        <v>#NAME?</v>
      </c>
      <c r="W2088" s="28" t="e">
        <f ca="1">[1]!BexGetData("DP_1","00O2TNJGODT0G5Z4TTKYMN7K5","GSON1112151271")</f>
        <v>#NAME?</v>
      </c>
    </row>
    <row r="2089" spans="1:23" x14ac:dyDescent="0.2">
      <c r="A2089" s="36" t="s">
        <v>5147</v>
      </c>
      <c r="B2089" s="27" t="s">
        <v>5148</v>
      </c>
      <c r="C2089" s="23" t="e">
        <f ca="1">[1]!BexGetData("DP_1","003N8EMH8GTFRCSWKMPXRR8GU","GSON1112151273")</f>
        <v>#NAME?</v>
      </c>
      <c r="D2089" s="23" t="e">
        <f ca="1">[1]!BexGetData("DP_1","003N8EMH8GTFRCSWKMPXRRESE","GSON1112151273")</f>
        <v>#NAME?</v>
      </c>
      <c r="E2089" s="28" t="e">
        <f ca="1">[1]!BexGetData("DP_1","003N8EMH8GTFRCSWKMPXRRL3Y","GSON1112151273")</f>
        <v>#NAME?</v>
      </c>
      <c r="F2089" s="28" t="e">
        <f ca="1">[1]!BexGetData("DP_1","003N8EMH8GTFRCSWKMPXRRRFI","GSON1112151273")</f>
        <v>#NAME?</v>
      </c>
      <c r="G2089" s="23" t="e">
        <f ca="1">[1]!BexGetData("DP_1","003N8EMH8GTFRCSWKMPXRRXR2","GSON1112151273")</f>
        <v>#NAME?</v>
      </c>
      <c r="H2089" s="23" t="e">
        <f ca="1">[1]!BexGetData("DP_1","003N8EMH8GTFRCSWKMPXRS42M","GSON1112151273")</f>
        <v>#NAME?</v>
      </c>
      <c r="I2089" s="28" t="e">
        <f ca="1">[1]!BexGetData("DP_1","003N8EMH8GTFRCSWKMPXRSAE6","GSON1112151273")</f>
        <v>#NAME?</v>
      </c>
      <c r="J2089" s="24" t="e">
        <f ca="1">[1]!BexGetData("DP_1","003N8EMH8GTFRCSWKMPXRSGPQ","GSON1112151273")</f>
        <v>#NAME?</v>
      </c>
      <c r="K2089" s="28" t="e">
        <f ca="1">[1]!BexGetData("DP_1","003N8EMH8GTFRIVNUPY288VJH","GSON1112151273")</f>
        <v>#NAME?</v>
      </c>
      <c r="L2089" s="28" t="e">
        <f ca="1">[1]!BexGetData("DP_1","003N8EMH8GTFRIVNUPY2891V1","GSON1112151273")</f>
        <v>#NAME?</v>
      </c>
      <c r="M2089" s="28" t="e">
        <f ca="1">[1]!BexGetData("DP_1","003N8EMH8GTFRIVOG7KG9IQXA","GSON1112151273")</f>
        <v>#NAME?</v>
      </c>
      <c r="N2089" s="28" t="e">
        <f ca="1">[1]!BexGetData("DP_1","003N8EMH8GTFRIVOG7KG9IX8U","GSON1112151273")</f>
        <v>#NAME?</v>
      </c>
      <c r="O2089" s="28" t="e">
        <f ca="1">[1]!BexGetData("DP_1","003N8EMH8GTFRIVOG7KG9J3KE","GSON1112151273")</f>
        <v>#NAME?</v>
      </c>
      <c r="P2089" s="28" t="e">
        <f ca="1">[1]!BexGetData("DP_1","003N8EMH8GTFRIVOG7KG9J9VY","GSON1112151273")</f>
        <v>#NAME?</v>
      </c>
      <c r="Q2089" s="24" t="e">
        <f ca="1">[1]!BexGetData("DP_1","00O2TNJGODT0G5Z4TTKYMM5MT","GSON1112151273")</f>
        <v>#NAME?</v>
      </c>
      <c r="R2089" s="28" t="e">
        <f ca="1">[1]!BexGetData("DP_1","00O2TNJGODT0G5Z4TTKYMMBYD","GSON1112151273")</f>
        <v>#NAME?</v>
      </c>
      <c r="S2089" s="28" t="e">
        <f ca="1">[1]!BexGetData("DP_1","00O2TNJGODT0G5Z4TTKYMMI9X","GSON1112151273")</f>
        <v>#NAME?</v>
      </c>
      <c r="T2089" s="28" t="e">
        <f ca="1">[1]!BexGetData("DP_1","00O2TNJGODT0G5Z4TTKYMMOLH","GSON1112151273")</f>
        <v>#NAME?</v>
      </c>
      <c r="U2089" s="28" t="e">
        <f ca="1">[1]!BexGetData("DP_1","00O2TNJGODT0G5Z4TTKYMMUX1","GSON1112151273")</f>
        <v>#NAME?</v>
      </c>
      <c r="V2089" s="28" t="e">
        <f ca="1">[1]!BexGetData("DP_1","00O2TNJGODT0G5Z4TTKYMN18L","GSON1112151273")</f>
        <v>#NAME?</v>
      </c>
      <c r="W2089" s="28" t="e">
        <f ca="1">[1]!BexGetData("DP_1","00O2TNJGODT0G5Z4TTKYMN7K5","GSON1112151273")</f>
        <v>#NAME?</v>
      </c>
    </row>
    <row r="2090" spans="1:23" x14ac:dyDescent="0.2">
      <c r="A2090" s="36" t="s">
        <v>5149</v>
      </c>
      <c r="B2090" s="27" t="s">
        <v>5150</v>
      </c>
      <c r="C2090" s="23" t="e">
        <f ca="1">[1]!BexGetData("DP_1","003N8EMH8GTFRCSWKMPXRR8GU","GSON1112151274")</f>
        <v>#NAME?</v>
      </c>
      <c r="D2090" s="23" t="e">
        <f ca="1">[1]!BexGetData("DP_1","003N8EMH8GTFRCSWKMPXRRESE","GSON1112151274")</f>
        <v>#NAME?</v>
      </c>
      <c r="E2090" s="28" t="e">
        <f ca="1">[1]!BexGetData("DP_1","003N8EMH8GTFRCSWKMPXRRL3Y","GSON1112151274")</f>
        <v>#NAME?</v>
      </c>
      <c r="F2090" s="28" t="e">
        <f ca="1">[1]!BexGetData("DP_1","003N8EMH8GTFRCSWKMPXRRRFI","GSON1112151274")</f>
        <v>#NAME?</v>
      </c>
      <c r="G2090" s="23" t="e">
        <f ca="1">[1]!BexGetData("DP_1","003N8EMH8GTFRCSWKMPXRRXR2","GSON1112151274")</f>
        <v>#NAME?</v>
      </c>
      <c r="H2090" s="23" t="e">
        <f ca="1">[1]!BexGetData("DP_1","003N8EMH8GTFRCSWKMPXRS42M","GSON1112151274")</f>
        <v>#NAME?</v>
      </c>
      <c r="I2090" s="28" t="e">
        <f ca="1">[1]!BexGetData("DP_1","003N8EMH8GTFRCSWKMPXRSAE6","GSON1112151274")</f>
        <v>#NAME?</v>
      </c>
      <c r="J2090" s="24" t="e">
        <f ca="1">[1]!BexGetData("DP_1","003N8EMH8GTFRCSWKMPXRSGPQ","GSON1112151274")</f>
        <v>#NAME?</v>
      </c>
      <c r="K2090" s="28" t="e">
        <f ca="1">[1]!BexGetData("DP_1","003N8EMH8GTFRIVNUPY288VJH","GSON1112151274")</f>
        <v>#NAME?</v>
      </c>
      <c r="L2090" s="28" t="e">
        <f ca="1">[1]!BexGetData("DP_1","003N8EMH8GTFRIVNUPY2891V1","GSON1112151274")</f>
        <v>#NAME?</v>
      </c>
      <c r="M2090" s="28" t="e">
        <f ca="1">[1]!BexGetData("DP_1","003N8EMH8GTFRIVOG7KG9IQXA","GSON1112151274")</f>
        <v>#NAME?</v>
      </c>
      <c r="N2090" s="28" t="e">
        <f ca="1">[1]!BexGetData("DP_1","003N8EMH8GTFRIVOG7KG9IX8U","GSON1112151274")</f>
        <v>#NAME?</v>
      </c>
      <c r="O2090" s="28" t="e">
        <f ca="1">[1]!BexGetData("DP_1","003N8EMH8GTFRIVOG7KG9J3KE","GSON1112151274")</f>
        <v>#NAME?</v>
      </c>
      <c r="P2090" s="28" t="e">
        <f ca="1">[1]!BexGetData("DP_1","003N8EMH8GTFRIVOG7KG9J9VY","GSON1112151274")</f>
        <v>#NAME?</v>
      </c>
      <c r="Q2090" s="24" t="e">
        <f ca="1">[1]!BexGetData("DP_1","00O2TNJGODT0G5Z4TTKYMM5MT","GSON1112151274")</f>
        <v>#NAME?</v>
      </c>
      <c r="R2090" s="28" t="e">
        <f ca="1">[1]!BexGetData("DP_1","00O2TNJGODT0G5Z4TTKYMMBYD","GSON1112151274")</f>
        <v>#NAME?</v>
      </c>
      <c r="S2090" s="28" t="e">
        <f ca="1">[1]!BexGetData("DP_1","00O2TNJGODT0G5Z4TTKYMMI9X","GSON1112151274")</f>
        <v>#NAME?</v>
      </c>
      <c r="T2090" s="28" t="e">
        <f ca="1">[1]!BexGetData("DP_1","00O2TNJGODT0G5Z4TTKYMMOLH","GSON1112151274")</f>
        <v>#NAME?</v>
      </c>
      <c r="U2090" s="28" t="e">
        <f ca="1">[1]!BexGetData("DP_1","00O2TNJGODT0G5Z4TTKYMMUX1","GSON1112151274")</f>
        <v>#NAME?</v>
      </c>
      <c r="V2090" s="28" t="e">
        <f ca="1">[1]!BexGetData("DP_1","00O2TNJGODT0G5Z4TTKYMN18L","GSON1112151274")</f>
        <v>#NAME?</v>
      </c>
      <c r="W2090" s="28" t="e">
        <f ca="1">[1]!BexGetData("DP_1","00O2TNJGODT0G5Z4TTKYMN7K5","GSON1112151274")</f>
        <v>#NAME?</v>
      </c>
    </row>
    <row r="2091" spans="1:23" x14ac:dyDescent="0.2">
      <c r="A2091" s="36" t="s">
        <v>5151</v>
      </c>
      <c r="B2091" s="27" t="s">
        <v>5152</v>
      </c>
      <c r="C2091" s="23" t="e">
        <f ca="1">[1]!BexGetData("DP_1","003N8EMH8GTFRCSWKMPXRR8GU","GSON1112151275")</f>
        <v>#NAME?</v>
      </c>
      <c r="D2091" s="23" t="e">
        <f ca="1">[1]!BexGetData("DP_1","003N8EMH8GTFRCSWKMPXRRESE","GSON1112151275")</f>
        <v>#NAME?</v>
      </c>
      <c r="E2091" s="28" t="e">
        <f ca="1">[1]!BexGetData("DP_1","003N8EMH8GTFRCSWKMPXRRL3Y","GSON1112151275")</f>
        <v>#NAME?</v>
      </c>
      <c r="F2091" s="28" t="e">
        <f ca="1">[1]!BexGetData("DP_1","003N8EMH8GTFRCSWKMPXRRRFI","GSON1112151275")</f>
        <v>#NAME?</v>
      </c>
      <c r="G2091" s="23" t="e">
        <f ca="1">[1]!BexGetData("DP_1","003N8EMH8GTFRCSWKMPXRRXR2","GSON1112151275")</f>
        <v>#NAME?</v>
      </c>
      <c r="H2091" s="23" t="e">
        <f ca="1">[1]!BexGetData("DP_1","003N8EMH8GTFRCSWKMPXRS42M","GSON1112151275")</f>
        <v>#NAME?</v>
      </c>
      <c r="I2091" s="28" t="e">
        <f ca="1">[1]!BexGetData("DP_1","003N8EMH8GTFRCSWKMPXRSAE6","GSON1112151275")</f>
        <v>#NAME?</v>
      </c>
      <c r="J2091" s="24" t="e">
        <f ca="1">[1]!BexGetData("DP_1","003N8EMH8GTFRCSWKMPXRSGPQ","GSON1112151275")</f>
        <v>#NAME?</v>
      </c>
      <c r="K2091" s="28" t="e">
        <f ca="1">[1]!BexGetData("DP_1","003N8EMH8GTFRIVNUPY288VJH","GSON1112151275")</f>
        <v>#NAME?</v>
      </c>
      <c r="L2091" s="28" t="e">
        <f ca="1">[1]!BexGetData("DP_1","003N8EMH8GTFRIVNUPY2891V1","GSON1112151275")</f>
        <v>#NAME?</v>
      </c>
      <c r="M2091" s="28" t="e">
        <f ca="1">[1]!BexGetData("DP_1","003N8EMH8GTFRIVOG7KG9IQXA","GSON1112151275")</f>
        <v>#NAME?</v>
      </c>
      <c r="N2091" s="28" t="e">
        <f ca="1">[1]!BexGetData("DP_1","003N8EMH8GTFRIVOG7KG9IX8U","GSON1112151275")</f>
        <v>#NAME?</v>
      </c>
      <c r="O2091" s="28" t="e">
        <f ca="1">[1]!BexGetData("DP_1","003N8EMH8GTFRIVOG7KG9J3KE","GSON1112151275")</f>
        <v>#NAME?</v>
      </c>
      <c r="P2091" s="28" t="e">
        <f ca="1">[1]!BexGetData("DP_1","003N8EMH8GTFRIVOG7KG9J9VY","GSON1112151275")</f>
        <v>#NAME?</v>
      </c>
      <c r="Q2091" s="24" t="e">
        <f ca="1">[1]!BexGetData("DP_1","00O2TNJGODT0G5Z4TTKYMM5MT","GSON1112151275")</f>
        <v>#NAME?</v>
      </c>
      <c r="R2091" s="28" t="e">
        <f ca="1">[1]!BexGetData("DP_1","00O2TNJGODT0G5Z4TTKYMMBYD","GSON1112151275")</f>
        <v>#NAME?</v>
      </c>
      <c r="S2091" s="28" t="e">
        <f ca="1">[1]!BexGetData("DP_1","00O2TNJGODT0G5Z4TTKYMMI9X","GSON1112151275")</f>
        <v>#NAME?</v>
      </c>
      <c r="T2091" s="28" t="e">
        <f ca="1">[1]!BexGetData("DP_1","00O2TNJGODT0G5Z4TTKYMMOLH","GSON1112151275")</f>
        <v>#NAME?</v>
      </c>
      <c r="U2091" s="28" t="e">
        <f ca="1">[1]!BexGetData("DP_1","00O2TNJGODT0G5Z4TTKYMMUX1","GSON1112151275")</f>
        <v>#NAME?</v>
      </c>
      <c r="V2091" s="28" t="e">
        <f ca="1">[1]!BexGetData("DP_1","00O2TNJGODT0G5Z4TTKYMN18L","GSON1112151275")</f>
        <v>#NAME?</v>
      </c>
      <c r="W2091" s="28" t="e">
        <f ca="1">[1]!BexGetData("DP_1","00O2TNJGODT0G5Z4TTKYMN7K5","GSON1112151275")</f>
        <v>#NAME?</v>
      </c>
    </row>
    <row r="2092" spans="1:23" x14ac:dyDescent="0.2">
      <c r="A2092" s="36" t="s">
        <v>5153</v>
      </c>
      <c r="B2092" s="27" t="s">
        <v>5154</v>
      </c>
      <c r="C2092" s="28" t="e">
        <f ca="1">[1]!BexGetData("DP_1","003N8EMH8GTFRCSWKMPXRR8GU","GSON1112151290")</f>
        <v>#NAME?</v>
      </c>
      <c r="D2092" s="23" t="e">
        <f ca="1">[1]!BexGetData("DP_1","003N8EMH8GTFRCSWKMPXRRESE","GSON1112151290")</f>
        <v>#NAME?</v>
      </c>
      <c r="E2092" s="28" t="e">
        <f ca="1">[1]!BexGetData("DP_1","003N8EMH8GTFRCSWKMPXRRL3Y","GSON1112151290")</f>
        <v>#NAME?</v>
      </c>
      <c r="F2092" s="23" t="e">
        <f ca="1">[1]!BexGetData("DP_1","003N8EMH8GTFRCSWKMPXRRRFI","GSON1112151290")</f>
        <v>#NAME?</v>
      </c>
      <c r="G2092" s="23" t="e">
        <f ca="1">[1]!BexGetData("DP_1","003N8EMH8GTFRCSWKMPXRRXR2","GSON1112151290")</f>
        <v>#NAME?</v>
      </c>
      <c r="H2092" s="23" t="e">
        <f ca="1">[1]!BexGetData("DP_1","003N8EMH8GTFRCSWKMPXRS42M","GSON1112151290")</f>
        <v>#NAME?</v>
      </c>
      <c r="I2092" s="23" t="e">
        <f ca="1">[1]!BexGetData("DP_1","003N8EMH8GTFRCSWKMPXRSAE6","GSON1112151290")</f>
        <v>#NAME?</v>
      </c>
      <c r="J2092" s="24" t="e">
        <f ca="1">[1]!BexGetData("DP_1","003N8EMH8GTFRCSWKMPXRSGPQ","GSON1112151290")</f>
        <v>#NAME?</v>
      </c>
      <c r="K2092" s="23" t="e">
        <f ca="1">[1]!BexGetData("DP_1","003N8EMH8GTFRIVNUPY288VJH","GSON1112151290")</f>
        <v>#NAME?</v>
      </c>
      <c r="L2092" s="23" t="e">
        <f ca="1">[1]!BexGetData("DP_1","003N8EMH8GTFRIVNUPY2891V1","GSON1112151290")</f>
        <v>#NAME?</v>
      </c>
      <c r="M2092" s="23" t="e">
        <f ca="1">[1]!BexGetData("DP_1","003N8EMH8GTFRIVOG7KG9IQXA","GSON1112151290")</f>
        <v>#NAME?</v>
      </c>
      <c r="N2092" s="28" t="e">
        <f ca="1">[1]!BexGetData("DP_1","003N8EMH8GTFRIVOG7KG9IX8U","GSON1112151290")</f>
        <v>#NAME?</v>
      </c>
      <c r="O2092" s="23" t="e">
        <f ca="1">[1]!BexGetData("DP_1","003N8EMH8GTFRIVOG7KG9J3KE","GSON1112151290")</f>
        <v>#NAME?</v>
      </c>
      <c r="P2092" s="28" t="e">
        <f ca="1">[1]!BexGetData("DP_1","003N8EMH8GTFRIVOG7KG9J9VY","GSON1112151290")</f>
        <v>#NAME?</v>
      </c>
      <c r="Q2092" s="24" t="e">
        <f ca="1">[1]!BexGetData("DP_1","00O2TNJGODT0G5Z4TTKYMM5MT","GSON1112151290")</f>
        <v>#NAME?</v>
      </c>
      <c r="R2092" s="23" t="e">
        <f ca="1">[1]!BexGetData("DP_1","00O2TNJGODT0G5Z4TTKYMMBYD","GSON1112151290")</f>
        <v>#NAME?</v>
      </c>
      <c r="S2092" s="23" t="e">
        <f ca="1">[1]!BexGetData("DP_1","00O2TNJGODT0G5Z4TTKYMMI9X","GSON1112151290")</f>
        <v>#NAME?</v>
      </c>
      <c r="T2092" s="28" t="e">
        <f ca="1">[1]!BexGetData("DP_1","00O2TNJGODT0G5Z4TTKYMMOLH","GSON1112151290")</f>
        <v>#NAME?</v>
      </c>
      <c r="U2092" s="23" t="e">
        <f ca="1">[1]!BexGetData("DP_1","00O2TNJGODT0G5Z4TTKYMMUX1","GSON1112151290")</f>
        <v>#NAME?</v>
      </c>
      <c r="V2092" s="28" t="e">
        <f ca="1">[1]!BexGetData("DP_1","00O2TNJGODT0G5Z4TTKYMN18L","GSON1112151290")</f>
        <v>#NAME?</v>
      </c>
      <c r="W2092" s="23" t="e">
        <f ca="1">[1]!BexGetData("DP_1","00O2TNJGODT0G5Z4TTKYMN7K5","GSON1112151290")</f>
        <v>#NAME?</v>
      </c>
    </row>
    <row r="2093" spans="1:23" x14ac:dyDescent="0.2">
      <c r="A2093" s="36" t="s">
        <v>5155</v>
      </c>
      <c r="B2093" s="27" t="s">
        <v>5156</v>
      </c>
      <c r="C2093" s="28" t="e">
        <f ca="1">[1]!BexGetData("DP_1","003N8EMH8GTFRCSWKMPXRR8GU","GSON1112151291")</f>
        <v>#NAME?</v>
      </c>
      <c r="D2093" s="28" t="e">
        <f ca="1">[1]!BexGetData("DP_1","003N8EMH8GTFRCSWKMPXRRESE","GSON1112151291")</f>
        <v>#NAME?</v>
      </c>
      <c r="E2093" s="28" t="e">
        <f ca="1">[1]!BexGetData("DP_1","003N8EMH8GTFRCSWKMPXRRL3Y","GSON1112151291")</f>
        <v>#NAME?</v>
      </c>
      <c r="F2093" s="28" t="e">
        <f ca="1">[1]!BexGetData("DP_1","003N8EMH8GTFRCSWKMPXRRRFI","GSON1112151291")</f>
        <v>#NAME?</v>
      </c>
      <c r="G2093" s="23" t="e">
        <f ca="1">[1]!BexGetData("DP_1","003N8EMH8GTFRCSWKMPXRRXR2","GSON1112151291")</f>
        <v>#NAME?</v>
      </c>
      <c r="H2093" s="23" t="e">
        <f ca="1">[1]!BexGetData("DP_1","003N8EMH8GTFRCSWKMPXRS42M","GSON1112151291")</f>
        <v>#NAME?</v>
      </c>
      <c r="I2093" s="28" t="e">
        <f ca="1">[1]!BexGetData("DP_1","003N8EMH8GTFRCSWKMPXRSAE6","GSON1112151291")</f>
        <v>#NAME?</v>
      </c>
      <c r="J2093" s="24" t="e">
        <f ca="1">[1]!BexGetData("DP_1","003N8EMH8GTFRCSWKMPXRSGPQ","GSON1112151291")</f>
        <v>#NAME?</v>
      </c>
      <c r="K2093" s="28" t="e">
        <f ca="1">[1]!BexGetData("DP_1","003N8EMH8GTFRIVNUPY288VJH","GSON1112151291")</f>
        <v>#NAME?</v>
      </c>
      <c r="L2093" s="28" t="e">
        <f ca="1">[1]!BexGetData("DP_1","003N8EMH8GTFRIVNUPY2891V1","GSON1112151291")</f>
        <v>#NAME?</v>
      </c>
      <c r="M2093" s="28" t="e">
        <f ca="1">[1]!BexGetData("DP_1","003N8EMH8GTFRIVOG7KG9IQXA","GSON1112151291")</f>
        <v>#NAME?</v>
      </c>
      <c r="N2093" s="28" t="e">
        <f ca="1">[1]!BexGetData("DP_1","003N8EMH8GTFRIVOG7KG9IX8U","GSON1112151291")</f>
        <v>#NAME?</v>
      </c>
      <c r="O2093" s="28" t="e">
        <f ca="1">[1]!BexGetData("DP_1","003N8EMH8GTFRIVOG7KG9J3KE","GSON1112151291")</f>
        <v>#NAME?</v>
      </c>
      <c r="P2093" s="28" t="e">
        <f ca="1">[1]!BexGetData("DP_1","003N8EMH8GTFRIVOG7KG9J9VY","GSON1112151291")</f>
        <v>#NAME?</v>
      </c>
      <c r="Q2093" s="24" t="e">
        <f ca="1">[1]!BexGetData("DP_1","00O2TNJGODT0G5Z4TTKYMM5MT","GSON1112151291")</f>
        <v>#NAME?</v>
      </c>
      <c r="R2093" s="28" t="e">
        <f ca="1">[1]!BexGetData("DP_1","00O2TNJGODT0G5Z4TTKYMMBYD","GSON1112151291")</f>
        <v>#NAME?</v>
      </c>
      <c r="S2093" s="28" t="e">
        <f ca="1">[1]!BexGetData("DP_1","00O2TNJGODT0G5Z4TTKYMMI9X","GSON1112151291")</f>
        <v>#NAME?</v>
      </c>
      <c r="T2093" s="28" t="e">
        <f ca="1">[1]!BexGetData("DP_1","00O2TNJGODT0G5Z4TTKYMMOLH","GSON1112151291")</f>
        <v>#NAME?</v>
      </c>
      <c r="U2093" s="28" t="e">
        <f ca="1">[1]!BexGetData("DP_1","00O2TNJGODT0G5Z4TTKYMMUX1","GSON1112151291")</f>
        <v>#NAME?</v>
      </c>
      <c r="V2093" s="28" t="e">
        <f ca="1">[1]!BexGetData("DP_1","00O2TNJGODT0G5Z4TTKYMN18L","GSON1112151291")</f>
        <v>#NAME?</v>
      </c>
      <c r="W2093" s="28" t="e">
        <f ca="1">[1]!BexGetData("DP_1","00O2TNJGODT0G5Z4TTKYMN7K5","GSON1112151291")</f>
        <v>#NAME?</v>
      </c>
    </row>
    <row r="2094" spans="1:23" x14ac:dyDescent="0.2">
      <c r="A2094" s="36" t="s">
        <v>5157</v>
      </c>
      <c r="B2094" s="27" t="s">
        <v>5158</v>
      </c>
      <c r="C2094" s="23" t="e">
        <f ca="1">[1]!BexGetData("DP_1","003N8EMH8GTFRCSWKMPXRR8GU","GSON1112151293")</f>
        <v>#NAME?</v>
      </c>
      <c r="D2094" s="23" t="e">
        <f ca="1">[1]!BexGetData("DP_1","003N8EMH8GTFRCSWKMPXRRESE","GSON1112151293")</f>
        <v>#NAME?</v>
      </c>
      <c r="E2094" s="28" t="e">
        <f ca="1">[1]!BexGetData("DP_1","003N8EMH8GTFRCSWKMPXRRL3Y","GSON1112151293")</f>
        <v>#NAME?</v>
      </c>
      <c r="F2094" s="28" t="e">
        <f ca="1">[1]!BexGetData("DP_1","003N8EMH8GTFRCSWKMPXRRRFI","GSON1112151293")</f>
        <v>#NAME?</v>
      </c>
      <c r="G2094" s="23" t="e">
        <f ca="1">[1]!BexGetData("DP_1","003N8EMH8GTFRCSWKMPXRRXR2","GSON1112151293")</f>
        <v>#NAME?</v>
      </c>
      <c r="H2094" s="23" t="e">
        <f ca="1">[1]!BexGetData("DP_1","003N8EMH8GTFRCSWKMPXRS42M","GSON1112151293")</f>
        <v>#NAME?</v>
      </c>
      <c r="I2094" s="28" t="e">
        <f ca="1">[1]!BexGetData("DP_1","003N8EMH8GTFRCSWKMPXRSAE6","GSON1112151293")</f>
        <v>#NAME?</v>
      </c>
      <c r="J2094" s="24" t="e">
        <f ca="1">[1]!BexGetData("DP_1","003N8EMH8GTFRCSWKMPXRSGPQ","GSON1112151293")</f>
        <v>#NAME?</v>
      </c>
      <c r="K2094" s="28" t="e">
        <f ca="1">[1]!BexGetData("DP_1","003N8EMH8GTFRIVNUPY288VJH","GSON1112151293")</f>
        <v>#NAME?</v>
      </c>
      <c r="L2094" s="28" t="e">
        <f ca="1">[1]!BexGetData("DP_1","003N8EMH8GTFRIVNUPY2891V1","GSON1112151293")</f>
        <v>#NAME?</v>
      </c>
      <c r="M2094" s="28" t="e">
        <f ca="1">[1]!BexGetData("DP_1","003N8EMH8GTFRIVOG7KG9IQXA","GSON1112151293")</f>
        <v>#NAME?</v>
      </c>
      <c r="N2094" s="28" t="e">
        <f ca="1">[1]!BexGetData("DP_1","003N8EMH8GTFRIVOG7KG9IX8U","GSON1112151293")</f>
        <v>#NAME?</v>
      </c>
      <c r="O2094" s="28" t="e">
        <f ca="1">[1]!BexGetData("DP_1","003N8EMH8GTFRIVOG7KG9J3KE","GSON1112151293")</f>
        <v>#NAME?</v>
      </c>
      <c r="P2094" s="28" t="e">
        <f ca="1">[1]!BexGetData("DP_1","003N8EMH8GTFRIVOG7KG9J9VY","GSON1112151293")</f>
        <v>#NAME?</v>
      </c>
      <c r="Q2094" s="24" t="e">
        <f ca="1">[1]!BexGetData("DP_1","00O2TNJGODT0G5Z4TTKYMM5MT","GSON1112151293")</f>
        <v>#NAME?</v>
      </c>
      <c r="R2094" s="28" t="e">
        <f ca="1">[1]!BexGetData("DP_1","00O2TNJGODT0G5Z4TTKYMMBYD","GSON1112151293")</f>
        <v>#NAME?</v>
      </c>
      <c r="S2094" s="28" t="e">
        <f ca="1">[1]!BexGetData("DP_1","00O2TNJGODT0G5Z4TTKYMMI9X","GSON1112151293")</f>
        <v>#NAME?</v>
      </c>
      <c r="T2094" s="28" t="e">
        <f ca="1">[1]!BexGetData("DP_1","00O2TNJGODT0G5Z4TTKYMMOLH","GSON1112151293")</f>
        <v>#NAME?</v>
      </c>
      <c r="U2094" s="28" t="e">
        <f ca="1">[1]!BexGetData("DP_1","00O2TNJGODT0G5Z4TTKYMMUX1","GSON1112151293")</f>
        <v>#NAME?</v>
      </c>
      <c r="V2094" s="28" t="e">
        <f ca="1">[1]!BexGetData("DP_1","00O2TNJGODT0G5Z4TTKYMN18L","GSON1112151293")</f>
        <v>#NAME?</v>
      </c>
      <c r="W2094" s="28" t="e">
        <f ca="1">[1]!BexGetData("DP_1","00O2TNJGODT0G5Z4TTKYMN7K5","GSON1112151293")</f>
        <v>#NAME?</v>
      </c>
    </row>
    <row r="2095" spans="1:23" x14ac:dyDescent="0.2">
      <c r="A2095" s="36" t="s">
        <v>5159</v>
      </c>
      <c r="B2095" s="27" t="s">
        <v>5160</v>
      </c>
      <c r="C2095" s="28" t="e">
        <f ca="1">[1]!BexGetData("DP_1","003N8EMH8GTFRCSWKMPXRR8GU","GSON1112151295")</f>
        <v>#NAME?</v>
      </c>
      <c r="D2095" s="28" t="e">
        <f ca="1">[1]!BexGetData("DP_1","003N8EMH8GTFRCSWKMPXRRESE","GSON1112151295")</f>
        <v>#NAME?</v>
      </c>
      <c r="E2095" s="28" t="e">
        <f ca="1">[1]!BexGetData("DP_1","003N8EMH8GTFRCSWKMPXRRL3Y","GSON1112151295")</f>
        <v>#NAME?</v>
      </c>
      <c r="F2095" s="28" t="e">
        <f ca="1">[1]!BexGetData("DP_1","003N8EMH8GTFRCSWKMPXRRRFI","GSON1112151295")</f>
        <v>#NAME?</v>
      </c>
      <c r="G2095" s="23" t="e">
        <f ca="1">[1]!BexGetData("DP_1","003N8EMH8GTFRCSWKMPXRRXR2","GSON1112151295")</f>
        <v>#NAME?</v>
      </c>
      <c r="H2095" s="23" t="e">
        <f ca="1">[1]!BexGetData("DP_1","003N8EMH8GTFRCSWKMPXRS42M","GSON1112151295")</f>
        <v>#NAME?</v>
      </c>
      <c r="I2095" s="28" t="e">
        <f ca="1">[1]!BexGetData("DP_1","003N8EMH8GTFRCSWKMPXRSAE6","GSON1112151295")</f>
        <v>#NAME?</v>
      </c>
      <c r="J2095" s="24" t="e">
        <f ca="1">[1]!BexGetData("DP_1","003N8EMH8GTFRCSWKMPXRSGPQ","GSON1112151295")</f>
        <v>#NAME?</v>
      </c>
      <c r="K2095" s="28" t="e">
        <f ca="1">[1]!BexGetData("DP_1","003N8EMH8GTFRIVNUPY288VJH","GSON1112151295")</f>
        <v>#NAME?</v>
      </c>
      <c r="L2095" s="28" t="e">
        <f ca="1">[1]!BexGetData("DP_1","003N8EMH8GTFRIVNUPY2891V1","GSON1112151295")</f>
        <v>#NAME?</v>
      </c>
      <c r="M2095" s="28" t="e">
        <f ca="1">[1]!BexGetData("DP_1","003N8EMH8GTFRIVOG7KG9IQXA","GSON1112151295")</f>
        <v>#NAME?</v>
      </c>
      <c r="N2095" s="28" t="e">
        <f ca="1">[1]!BexGetData("DP_1","003N8EMH8GTFRIVOG7KG9IX8U","GSON1112151295")</f>
        <v>#NAME?</v>
      </c>
      <c r="O2095" s="28" t="e">
        <f ca="1">[1]!BexGetData("DP_1","003N8EMH8GTFRIVOG7KG9J3KE","GSON1112151295")</f>
        <v>#NAME?</v>
      </c>
      <c r="P2095" s="28" t="e">
        <f ca="1">[1]!BexGetData("DP_1","003N8EMH8GTFRIVOG7KG9J9VY","GSON1112151295")</f>
        <v>#NAME?</v>
      </c>
      <c r="Q2095" s="24" t="e">
        <f ca="1">[1]!BexGetData("DP_1","00O2TNJGODT0G5Z4TTKYMM5MT","GSON1112151295")</f>
        <v>#NAME?</v>
      </c>
      <c r="R2095" s="28" t="e">
        <f ca="1">[1]!BexGetData("DP_1","00O2TNJGODT0G5Z4TTKYMMBYD","GSON1112151295")</f>
        <v>#NAME?</v>
      </c>
      <c r="S2095" s="28" t="e">
        <f ca="1">[1]!BexGetData("DP_1","00O2TNJGODT0G5Z4TTKYMMI9X","GSON1112151295")</f>
        <v>#NAME?</v>
      </c>
      <c r="T2095" s="28" t="e">
        <f ca="1">[1]!BexGetData("DP_1","00O2TNJGODT0G5Z4TTKYMMOLH","GSON1112151295")</f>
        <v>#NAME?</v>
      </c>
      <c r="U2095" s="28" t="e">
        <f ca="1">[1]!BexGetData("DP_1","00O2TNJGODT0G5Z4TTKYMMUX1","GSON1112151295")</f>
        <v>#NAME?</v>
      </c>
      <c r="V2095" s="28" t="e">
        <f ca="1">[1]!BexGetData("DP_1","00O2TNJGODT0G5Z4TTKYMN18L","GSON1112151295")</f>
        <v>#NAME?</v>
      </c>
      <c r="W2095" s="28" t="e">
        <f ca="1">[1]!BexGetData("DP_1","00O2TNJGODT0G5Z4TTKYMN7K5","GSON1112151295")</f>
        <v>#NAME?</v>
      </c>
    </row>
    <row r="2096" spans="1:23" x14ac:dyDescent="0.2">
      <c r="A2096" s="36" t="s">
        <v>5161</v>
      </c>
      <c r="B2096" s="27" t="s">
        <v>5162</v>
      </c>
      <c r="C2096" s="23" t="e">
        <f ca="1">[1]!BexGetData("DP_1","003N8EMH8GTFRCSWKMPXRR8GU","GSON1112151300")</f>
        <v>#NAME?</v>
      </c>
      <c r="D2096" s="23" t="e">
        <f ca="1">[1]!BexGetData("DP_1","003N8EMH8GTFRCSWKMPXRRESE","GSON1112151300")</f>
        <v>#NAME?</v>
      </c>
      <c r="E2096" s="23" t="e">
        <f ca="1">[1]!BexGetData("DP_1","003N8EMH8GTFRCSWKMPXRRL3Y","GSON1112151300")</f>
        <v>#NAME?</v>
      </c>
      <c r="F2096" s="23" t="e">
        <f ca="1">[1]!BexGetData("DP_1","003N8EMH8GTFRCSWKMPXRRRFI","GSON1112151300")</f>
        <v>#NAME?</v>
      </c>
      <c r="G2096" s="23" t="e">
        <f ca="1">[1]!BexGetData("DP_1","003N8EMH8GTFRCSWKMPXRRXR2","GSON1112151300")</f>
        <v>#NAME?</v>
      </c>
      <c r="H2096" s="23" t="e">
        <f ca="1">[1]!BexGetData("DP_1","003N8EMH8GTFRCSWKMPXRS42M","GSON1112151300")</f>
        <v>#NAME?</v>
      </c>
      <c r="I2096" s="23" t="e">
        <f ca="1">[1]!BexGetData("DP_1","003N8EMH8GTFRCSWKMPXRSAE6","GSON1112151300")</f>
        <v>#NAME?</v>
      </c>
      <c r="J2096" s="24" t="e">
        <f ca="1">[1]!BexGetData("DP_1","003N8EMH8GTFRCSWKMPXRSGPQ","GSON1112151300")</f>
        <v>#NAME?</v>
      </c>
      <c r="K2096" s="23" t="e">
        <f ca="1">[1]!BexGetData("DP_1","003N8EMH8GTFRIVNUPY288VJH","GSON1112151300")</f>
        <v>#NAME?</v>
      </c>
      <c r="L2096" s="23" t="e">
        <f ca="1">[1]!BexGetData("DP_1","003N8EMH8GTFRIVNUPY2891V1","GSON1112151300")</f>
        <v>#NAME?</v>
      </c>
      <c r="M2096" s="23" t="e">
        <f ca="1">[1]!BexGetData("DP_1","003N8EMH8GTFRIVOG7KG9IQXA","GSON1112151300")</f>
        <v>#NAME?</v>
      </c>
      <c r="N2096" s="28" t="e">
        <f ca="1">[1]!BexGetData("DP_1","003N8EMH8GTFRIVOG7KG9IX8U","GSON1112151300")</f>
        <v>#NAME?</v>
      </c>
      <c r="O2096" s="23" t="e">
        <f ca="1">[1]!BexGetData("DP_1","003N8EMH8GTFRIVOG7KG9J3KE","GSON1112151300")</f>
        <v>#NAME?</v>
      </c>
      <c r="P2096" s="28" t="e">
        <f ca="1">[1]!BexGetData("DP_1","003N8EMH8GTFRIVOG7KG9J9VY","GSON1112151300")</f>
        <v>#NAME?</v>
      </c>
      <c r="Q2096" s="24" t="e">
        <f ca="1">[1]!BexGetData("DP_1","00O2TNJGODT0G5Z4TTKYMM5MT","GSON1112151300")</f>
        <v>#NAME?</v>
      </c>
      <c r="R2096" s="23" t="e">
        <f ca="1">[1]!BexGetData("DP_1","00O2TNJGODT0G5Z4TTKYMMBYD","GSON1112151300")</f>
        <v>#NAME?</v>
      </c>
      <c r="S2096" s="23" t="e">
        <f ca="1">[1]!BexGetData("DP_1","00O2TNJGODT0G5Z4TTKYMMI9X","GSON1112151300")</f>
        <v>#NAME?</v>
      </c>
      <c r="T2096" s="28" t="e">
        <f ca="1">[1]!BexGetData("DP_1","00O2TNJGODT0G5Z4TTKYMMOLH","GSON1112151300")</f>
        <v>#NAME?</v>
      </c>
      <c r="U2096" s="23" t="e">
        <f ca="1">[1]!BexGetData("DP_1","00O2TNJGODT0G5Z4TTKYMMUX1","GSON1112151300")</f>
        <v>#NAME?</v>
      </c>
      <c r="V2096" s="28" t="e">
        <f ca="1">[1]!BexGetData("DP_1","00O2TNJGODT0G5Z4TTKYMN18L","GSON1112151300")</f>
        <v>#NAME?</v>
      </c>
      <c r="W2096" s="23" t="e">
        <f ca="1">[1]!BexGetData("DP_1","00O2TNJGODT0G5Z4TTKYMN7K5","GSON1112151300")</f>
        <v>#NAME?</v>
      </c>
    </row>
    <row r="2097" spans="1:23" x14ac:dyDescent="0.2">
      <c r="A2097" s="36" t="s">
        <v>5163</v>
      </c>
      <c r="B2097" s="27" t="s">
        <v>5164</v>
      </c>
      <c r="C2097" s="23" t="e">
        <f ca="1">[1]!BexGetData("DP_1","003N8EMH8GTFRCSWKMPXRR8GU","GSON1112151301")</f>
        <v>#NAME?</v>
      </c>
      <c r="D2097" s="23" t="e">
        <f ca="1">[1]!BexGetData("DP_1","003N8EMH8GTFRCSWKMPXRRESE","GSON1112151301")</f>
        <v>#NAME?</v>
      </c>
      <c r="E2097" s="28" t="e">
        <f ca="1">[1]!BexGetData("DP_1","003N8EMH8GTFRCSWKMPXRRL3Y","GSON1112151301")</f>
        <v>#NAME?</v>
      </c>
      <c r="F2097" s="28" t="e">
        <f ca="1">[1]!BexGetData("DP_1","003N8EMH8GTFRCSWKMPXRRRFI","GSON1112151301")</f>
        <v>#NAME?</v>
      </c>
      <c r="G2097" s="23" t="e">
        <f ca="1">[1]!BexGetData("DP_1","003N8EMH8GTFRCSWKMPXRRXR2","GSON1112151301")</f>
        <v>#NAME?</v>
      </c>
      <c r="H2097" s="23" t="e">
        <f ca="1">[1]!BexGetData("DP_1","003N8EMH8GTFRCSWKMPXRS42M","GSON1112151301")</f>
        <v>#NAME?</v>
      </c>
      <c r="I2097" s="28" t="e">
        <f ca="1">[1]!BexGetData("DP_1","003N8EMH8GTFRCSWKMPXRSAE6","GSON1112151301")</f>
        <v>#NAME?</v>
      </c>
      <c r="J2097" s="24" t="e">
        <f ca="1">[1]!BexGetData("DP_1","003N8EMH8GTFRCSWKMPXRSGPQ","GSON1112151301")</f>
        <v>#NAME?</v>
      </c>
      <c r="K2097" s="28" t="e">
        <f ca="1">[1]!BexGetData("DP_1","003N8EMH8GTFRIVNUPY288VJH","GSON1112151301")</f>
        <v>#NAME?</v>
      </c>
      <c r="L2097" s="28" t="e">
        <f ca="1">[1]!BexGetData("DP_1","003N8EMH8GTFRIVNUPY2891V1","GSON1112151301")</f>
        <v>#NAME?</v>
      </c>
      <c r="M2097" s="28" t="e">
        <f ca="1">[1]!BexGetData("DP_1","003N8EMH8GTFRIVOG7KG9IQXA","GSON1112151301")</f>
        <v>#NAME?</v>
      </c>
      <c r="N2097" s="28" t="e">
        <f ca="1">[1]!BexGetData("DP_1","003N8EMH8GTFRIVOG7KG9IX8U","GSON1112151301")</f>
        <v>#NAME?</v>
      </c>
      <c r="O2097" s="28" t="e">
        <f ca="1">[1]!BexGetData("DP_1","003N8EMH8GTFRIVOG7KG9J3KE","GSON1112151301")</f>
        <v>#NAME?</v>
      </c>
      <c r="P2097" s="28" t="e">
        <f ca="1">[1]!BexGetData("DP_1","003N8EMH8GTFRIVOG7KG9J9VY","GSON1112151301")</f>
        <v>#NAME?</v>
      </c>
      <c r="Q2097" s="24" t="e">
        <f ca="1">[1]!BexGetData("DP_1","00O2TNJGODT0G5Z4TTKYMM5MT","GSON1112151301")</f>
        <v>#NAME?</v>
      </c>
      <c r="R2097" s="28" t="e">
        <f ca="1">[1]!BexGetData("DP_1","00O2TNJGODT0G5Z4TTKYMMBYD","GSON1112151301")</f>
        <v>#NAME?</v>
      </c>
      <c r="S2097" s="28" t="e">
        <f ca="1">[1]!BexGetData("DP_1","00O2TNJGODT0G5Z4TTKYMMI9X","GSON1112151301")</f>
        <v>#NAME?</v>
      </c>
      <c r="T2097" s="28" t="e">
        <f ca="1">[1]!BexGetData("DP_1","00O2TNJGODT0G5Z4TTKYMMOLH","GSON1112151301")</f>
        <v>#NAME?</v>
      </c>
      <c r="U2097" s="28" t="e">
        <f ca="1">[1]!BexGetData("DP_1","00O2TNJGODT0G5Z4TTKYMMUX1","GSON1112151301")</f>
        <v>#NAME?</v>
      </c>
      <c r="V2097" s="28" t="e">
        <f ca="1">[1]!BexGetData("DP_1","00O2TNJGODT0G5Z4TTKYMN18L","GSON1112151301")</f>
        <v>#NAME?</v>
      </c>
      <c r="W2097" s="28" t="e">
        <f ca="1">[1]!BexGetData("DP_1","00O2TNJGODT0G5Z4TTKYMN7K5","GSON1112151301")</f>
        <v>#NAME?</v>
      </c>
    </row>
    <row r="2098" spans="1:23" x14ac:dyDescent="0.2">
      <c r="A2098" s="36" t="s">
        <v>5165</v>
      </c>
      <c r="B2098" s="27" t="s">
        <v>5166</v>
      </c>
      <c r="C2098" s="23" t="e">
        <f ca="1">[1]!BexGetData("DP_1","003N8EMH8GTFRCSWKMPXRR8GU","GSON1112151303")</f>
        <v>#NAME?</v>
      </c>
      <c r="D2098" s="23" t="e">
        <f ca="1">[1]!BexGetData("DP_1","003N8EMH8GTFRCSWKMPXRRESE","GSON1112151303")</f>
        <v>#NAME?</v>
      </c>
      <c r="E2098" s="28" t="e">
        <f ca="1">[1]!BexGetData("DP_1","003N8EMH8GTFRCSWKMPXRRL3Y","GSON1112151303")</f>
        <v>#NAME?</v>
      </c>
      <c r="F2098" s="28" t="e">
        <f ca="1">[1]!BexGetData("DP_1","003N8EMH8GTFRCSWKMPXRRRFI","GSON1112151303")</f>
        <v>#NAME?</v>
      </c>
      <c r="G2098" s="23" t="e">
        <f ca="1">[1]!BexGetData("DP_1","003N8EMH8GTFRCSWKMPXRRXR2","GSON1112151303")</f>
        <v>#NAME?</v>
      </c>
      <c r="H2098" s="23" t="e">
        <f ca="1">[1]!BexGetData("DP_1","003N8EMH8GTFRCSWKMPXRS42M","GSON1112151303")</f>
        <v>#NAME?</v>
      </c>
      <c r="I2098" s="28" t="e">
        <f ca="1">[1]!BexGetData("DP_1","003N8EMH8GTFRCSWKMPXRSAE6","GSON1112151303")</f>
        <v>#NAME?</v>
      </c>
      <c r="J2098" s="24" t="e">
        <f ca="1">[1]!BexGetData("DP_1","003N8EMH8GTFRCSWKMPXRSGPQ","GSON1112151303")</f>
        <v>#NAME?</v>
      </c>
      <c r="K2098" s="28" t="e">
        <f ca="1">[1]!BexGetData("DP_1","003N8EMH8GTFRIVNUPY288VJH","GSON1112151303")</f>
        <v>#NAME?</v>
      </c>
      <c r="L2098" s="28" t="e">
        <f ca="1">[1]!BexGetData("DP_1","003N8EMH8GTFRIVNUPY2891V1","GSON1112151303")</f>
        <v>#NAME?</v>
      </c>
      <c r="M2098" s="28" t="e">
        <f ca="1">[1]!BexGetData("DP_1","003N8EMH8GTFRIVOG7KG9IQXA","GSON1112151303")</f>
        <v>#NAME?</v>
      </c>
      <c r="N2098" s="28" t="e">
        <f ca="1">[1]!BexGetData("DP_1","003N8EMH8GTFRIVOG7KG9IX8U","GSON1112151303")</f>
        <v>#NAME?</v>
      </c>
      <c r="O2098" s="28" t="e">
        <f ca="1">[1]!BexGetData("DP_1","003N8EMH8GTFRIVOG7KG9J3KE","GSON1112151303")</f>
        <v>#NAME?</v>
      </c>
      <c r="P2098" s="28" t="e">
        <f ca="1">[1]!BexGetData("DP_1","003N8EMH8GTFRIVOG7KG9J9VY","GSON1112151303")</f>
        <v>#NAME?</v>
      </c>
      <c r="Q2098" s="24" t="e">
        <f ca="1">[1]!BexGetData("DP_1","00O2TNJGODT0G5Z4TTKYMM5MT","GSON1112151303")</f>
        <v>#NAME?</v>
      </c>
      <c r="R2098" s="28" t="e">
        <f ca="1">[1]!BexGetData("DP_1","00O2TNJGODT0G5Z4TTKYMMBYD","GSON1112151303")</f>
        <v>#NAME?</v>
      </c>
      <c r="S2098" s="28" t="e">
        <f ca="1">[1]!BexGetData("DP_1","00O2TNJGODT0G5Z4TTKYMMI9X","GSON1112151303")</f>
        <v>#NAME?</v>
      </c>
      <c r="T2098" s="28" t="e">
        <f ca="1">[1]!BexGetData("DP_1","00O2TNJGODT0G5Z4TTKYMMOLH","GSON1112151303")</f>
        <v>#NAME?</v>
      </c>
      <c r="U2098" s="28" t="e">
        <f ca="1">[1]!BexGetData("DP_1","00O2TNJGODT0G5Z4TTKYMMUX1","GSON1112151303")</f>
        <v>#NAME?</v>
      </c>
      <c r="V2098" s="28" t="e">
        <f ca="1">[1]!BexGetData("DP_1","00O2TNJGODT0G5Z4TTKYMN18L","GSON1112151303")</f>
        <v>#NAME?</v>
      </c>
      <c r="W2098" s="28" t="e">
        <f ca="1">[1]!BexGetData("DP_1","00O2TNJGODT0G5Z4TTKYMN7K5","GSON1112151303")</f>
        <v>#NAME?</v>
      </c>
    </row>
    <row r="2099" spans="1:23" x14ac:dyDescent="0.2">
      <c r="A2099" s="36" t="s">
        <v>5167</v>
      </c>
      <c r="B2099" s="27" t="s">
        <v>5168</v>
      </c>
      <c r="C2099" s="23" t="e">
        <f ca="1">[1]!BexGetData("DP_1","003N8EMH8GTFRCSWKMPXRR8GU","GSON1112151305")</f>
        <v>#NAME?</v>
      </c>
      <c r="D2099" s="23" t="e">
        <f ca="1">[1]!BexGetData("DP_1","003N8EMH8GTFRCSWKMPXRRESE","GSON1112151305")</f>
        <v>#NAME?</v>
      </c>
      <c r="E2099" s="28" t="e">
        <f ca="1">[1]!BexGetData("DP_1","003N8EMH8GTFRCSWKMPXRRL3Y","GSON1112151305")</f>
        <v>#NAME?</v>
      </c>
      <c r="F2099" s="28" t="e">
        <f ca="1">[1]!BexGetData("DP_1","003N8EMH8GTFRCSWKMPXRRRFI","GSON1112151305")</f>
        <v>#NAME?</v>
      </c>
      <c r="G2099" s="23" t="e">
        <f ca="1">[1]!BexGetData("DP_1","003N8EMH8GTFRCSWKMPXRRXR2","GSON1112151305")</f>
        <v>#NAME?</v>
      </c>
      <c r="H2099" s="23" t="e">
        <f ca="1">[1]!BexGetData("DP_1","003N8EMH8GTFRCSWKMPXRS42M","GSON1112151305")</f>
        <v>#NAME?</v>
      </c>
      <c r="I2099" s="28" t="e">
        <f ca="1">[1]!BexGetData("DP_1","003N8EMH8GTFRCSWKMPXRSAE6","GSON1112151305")</f>
        <v>#NAME?</v>
      </c>
      <c r="J2099" s="24" t="e">
        <f ca="1">[1]!BexGetData("DP_1","003N8EMH8GTFRCSWKMPXRSGPQ","GSON1112151305")</f>
        <v>#NAME?</v>
      </c>
      <c r="K2099" s="28" t="e">
        <f ca="1">[1]!BexGetData("DP_1","003N8EMH8GTFRIVNUPY288VJH","GSON1112151305")</f>
        <v>#NAME?</v>
      </c>
      <c r="L2099" s="28" t="e">
        <f ca="1">[1]!BexGetData("DP_1","003N8EMH8GTFRIVNUPY2891V1","GSON1112151305")</f>
        <v>#NAME?</v>
      </c>
      <c r="M2099" s="28" t="e">
        <f ca="1">[1]!BexGetData("DP_1","003N8EMH8GTFRIVOG7KG9IQXA","GSON1112151305")</f>
        <v>#NAME?</v>
      </c>
      <c r="N2099" s="28" t="e">
        <f ca="1">[1]!BexGetData("DP_1","003N8EMH8GTFRIVOG7KG9IX8U","GSON1112151305")</f>
        <v>#NAME?</v>
      </c>
      <c r="O2099" s="28" t="e">
        <f ca="1">[1]!BexGetData("DP_1","003N8EMH8GTFRIVOG7KG9J3KE","GSON1112151305")</f>
        <v>#NAME?</v>
      </c>
      <c r="P2099" s="28" t="e">
        <f ca="1">[1]!BexGetData("DP_1","003N8EMH8GTFRIVOG7KG9J9VY","GSON1112151305")</f>
        <v>#NAME?</v>
      </c>
      <c r="Q2099" s="24" t="e">
        <f ca="1">[1]!BexGetData("DP_1","00O2TNJGODT0G5Z4TTKYMM5MT","GSON1112151305")</f>
        <v>#NAME?</v>
      </c>
      <c r="R2099" s="28" t="e">
        <f ca="1">[1]!BexGetData("DP_1","00O2TNJGODT0G5Z4TTKYMMBYD","GSON1112151305")</f>
        <v>#NAME?</v>
      </c>
      <c r="S2099" s="28" t="e">
        <f ca="1">[1]!BexGetData("DP_1","00O2TNJGODT0G5Z4TTKYMMI9X","GSON1112151305")</f>
        <v>#NAME?</v>
      </c>
      <c r="T2099" s="28" t="e">
        <f ca="1">[1]!BexGetData("DP_1","00O2TNJGODT0G5Z4TTKYMMOLH","GSON1112151305")</f>
        <v>#NAME?</v>
      </c>
      <c r="U2099" s="28" t="e">
        <f ca="1">[1]!BexGetData("DP_1","00O2TNJGODT0G5Z4TTKYMMUX1","GSON1112151305")</f>
        <v>#NAME?</v>
      </c>
      <c r="V2099" s="28" t="e">
        <f ca="1">[1]!BexGetData("DP_1","00O2TNJGODT0G5Z4TTKYMN18L","GSON1112151305")</f>
        <v>#NAME?</v>
      </c>
      <c r="W2099" s="28" t="e">
        <f ca="1">[1]!BexGetData("DP_1","00O2TNJGODT0G5Z4TTKYMN7K5","GSON1112151305")</f>
        <v>#NAME?</v>
      </c>
    </row>
    <row r="2100" spans="1:23" x14ac:dyDescent="0.2">
      <c r="A2100" s="36" t="s">
        <v>5169</v>
      </c>
      <c r="B2100" s="27" t="s">
        <v>5170</v>
      </c>
      <c r="C2100" s="23" t="e">
        <f ca="1">[1]!BexGetData("DP_1","003N8EMH8GTFRCSWKMPXRR8GU","GSON1112151310")</f>
        <v>#NAME?</v>
      </c>
      <c r="D2100" s="23" t="e">
        <f ca="1">[1]!BexGetData("DP_1","003N8EMH8GTFRCSWKMPXRRESE","GSON1112151310")</f>
        <v>#NAME?</v>
      </c>
      <c r="E2100" s="28" t="e">
        <f ca="1">[1]!BexGetData("DP_1","003N8EMH8GTFRCSWKMPXRRL3Y","GSON1112151310")</f>
        <v>#NAME?</v>
      </c>
      <c r="F2100" s="23" t="e">
        <f ca="1">[1]!BexGetData("DP_1","003N8EMH8GTFRCSWKMPXRRRFI","GSON1112151310")</f>
        <v>#NAME?</v>
      </c>
      <c r="G2100" s="23" t="e">
        <f ca="1">[1]!BexGetData("DP_1","003N8EMH8GTFRCSWKMPXRRXR2","GSON1112151310")</f>
        <v>#NAME?</v>
      </c>
      <c r="H2100" s="23" t="e">
        <f ca="1">[1]!BexGetData("DP_1","003N8EMH8GTFRCSWKMPXRS42M","GSON1112151310")</f>
        <v>#NAME?</v>
      </c>
      <c r="I2100" s="23" t="e">
        <f ca="1">[1]!BexGetData("DP_1","003N8EMH8GTFRCSWKMPXRSAE6","GSON1112151310")</f>
        <v>#NAME?</v>
      </c>
      <c r="J2100" s="24" t="e">
        <f ca="1">[1]!BexGetData("DP_1","003N8EMH8GTFRCSWKMPXRSGPQ","GSON1112151310")</f>
        <v>#NAME?</v>
      </c>
      <c r="K2100" s="23" t="e">
        <f ca="1">[1]!BexGetData("DP_1","003N8EMH8GTFRIVNUPY288VJH","GSON1112151310")</f>
        <v>#NAME?</v>
      </c>
      <c r="L2100" s="23" t="e">
        <f ca="1">[1]!BexGetData("DP_1","003N8EMH8GTFRIVNUPY2891V1","GSON1112151310")</f>
        <v>#NAME?</v>
      </c>
      <c r="M2100" s="23" t="e">
        <f ca="1">[1]!BexGetData("DP_1","003N8EMH8GTFRIVOG7KG9IQXA","GSON1112151310")</f>
        <v>#NAME?</v>
      </c>
      <c r="N2100" s="28" t="e">
        <f ca="1">[1]!BexGetData("DP_1","003N8EMH8GTFRIVOG7KG9IX8U","GSON1112151310")</f>
        <v>#NAME?</v>
      </c>
      <c r="O2100" s="23" t="e">
        <f ca="1">[1]!BexGetData("DP_1","003N8EMH8GTFRIVOG7KG9J3KE","GSON1112151310")</f>
        <v>#NAME?</v>
      </c>
      <c r="P2100" s="28" t="e">
        <f ca="1">[1]!BexGetData("DP_1","003N8EMH8GTFRIVOG7KG9J9VY","GSON1112151310")</f>
        <v>#NAME?</v>
      </c>
      <c r="Q2100" s="24" t="e">
        <f ca="1">[1]!BexGetData("DP_1","00O2TNJGODT0G5Z4TTKYMM5MT","GSON1112151310")</f>
        <v>#NAME?</v>
      </c>
      <c r="R2100" s="23" t="e">
        <f ca="1">[1]!BexGetData("DP_1","00O2TNJGODT0G5Z4TTKYMMBYD","GSON1112151310")</f>
        <v>#NAME?</v>
      </c>
      <c r="S2100" s="23" t="e">
        <f ca="1">[1]!BexGetData("DP_1","00O2TNJGODT0G5Z4TTKYMMI9X","GSON1112151310")</f>
        <v>#NAME?</v>
      </c>
      <c r="T2100" s="28" t="e">
        <f ca="1">[1]!BexGetData("DP_1","00O2TNJGODT0G5Z4TTKYMMOLH","GSON1112151310")</f>
        <v>#NAME?</v>
      </c>
      <c r="U2100" s="23" t="e">
        <f ca="1">[1]!BexGetData("DP_1","00O2TNJGODT0G5Z4TTKYMMUX1","GSON1112151310")</f>
        <v>#NAME?</v>
      </c>
      <c r="V2100" s="28" t="e">
        <f ca="1">[1]!BexGetData("DP_1","00O2TNJGODT0G5Z4TTKYMN18L","GSON1112151310")</f>
        <v>#NAME?</v>
      </c>
      <c r="W2100" s="23" t="e">
        <f ca="1">[1]!BexGetData("DP_1","00O2TNJGODT0G5Z4TTKYMN7K5","GSON1112151310")</f>
        <v>#NAME?</v>
      </c>
    </row>
    <row r="2101" spans="1:23" x14ac:dyDescent="0.2">
      <c r="A2101" s="36" t="s">
        <v>5171</v>
      </c>
      <c r="B2101" s="27" t="s">
        <v>5172</v>
      </c>
      <c r="C2101" s="28" t="e">
        <f ca="1">[1]!BexGetData("DP_1","003N8EMH8GTFRCSWKMPXRR8GU","GSON1112151311")</f>
        <v>#NAME?</v>
      </c>
      <c r="D2101" s="28" t="e">
        <f ca="1">[1]!BexGetData("DP_1","003N8EMH8GTFRCSWKMPXRRESE","GSON1112151311")</f>
        <v>#NAME?</v>
      </c>
      <c r="E2101" s="28" t="e">
        <f ca="1">[1]!BexGetData("DP_1","003N8EMH8GTFRCSWKMPXRRL3Y","GSON1112151311")</f>
        <v>#NAME?</v>
      </c>
      <c r="F2101" s="28" t="e">
        <f ca="1">[1]!BexGetData("DP_1","003N8EMH8GTFRCSWKMPXRRRFI","GSON1112151311")</f>
        <v>#NAME?</v>
      </c>
      <c r="G2101" s="23" t="e">
        <f ca="1">[1]!BexGetData("DP_1","003N8EMH8GTFRCSWKMPXRRXR2","GSON1112151311")</f>
        <v>#NAME?</v>
      </c>
      <c r="H2101" s="23" t="e">
        <f ca="1">[1]!BexGetData("DP_1","003N8EMH8GTFRCSWKMPXRS42M","GSON1112151311")</f>
        <v>#NAME?</v>
      </c>
      <c r="I2101" s="28" t="e">
        <f ca="1">[1]!BexGetData("DP_1","003N8EMH8GTFRCSWKMPXRSAE6","GSON1112151311")</f>
        <v>#NAME?</v>
      </c>
      <c r="J2101" s="24" t="e">
        <f ca="1">[1]!BexGetData("DP_1","003N8EMH8GTFRCSWKMPXRSGPQ","GSON1112151311")</f>
        <v>#NAME?</v>
      </c>
      <c r="K2101" s="28" t="e">
        <f ca="1">[1]!BexGetData("DP_1","003N8EMH8GTFRIVNUPY288VJH","GSON1112151311")</f>
        <v>#NAME?</v>
      </c>
      <c r="L2101" s="28" t="e">
        <f ca="1">[1]!BexGetData("DP_1","003N8EMH8GTFRIVNUPY2891V1","GSON1112151311")</f>
        <v>#NAME?</v>
      </c>
      <c r="M2101" s="28" t="e">
        <f ca="1">[1]!BexGetData("DP_1","003N8EMH8GTFRIVOG7KG9IQXA","GSON1112151311")</f>
        <v>#NAME?</v>
      </c>
      <c r="N2101" s="28" t="e">
        <f ca="1">[1]!BexGetData("DP_1","003N8EMH8GTFRIVOG7KG9IX8U","GSON1112151311")</f>
        <v>#NAME?</v>
      </c>
      <c r="O2101" s="28" t="e">
        <f ca="1">[1]!BexGetData("DP_1","003N8EMH8GTFRIVOG7KG9J3KE","GSON1112151311")</f>
        <v>#NAME?</v>
      </c>
      <c r="P2101" s="28" t="e">
        <f ca="1">[1]!BexGetData("DP_1","003N8EMH8GTFRIVOG7KG9J9VY","GSON1112151311")</f>
        <v>#NAME?</v>
      </c>
      <c r="Q2101" s="24" t="e">
        <f ca="1">[1]!BexGetData("DP_1","00O2TNJGODT0G5Z4TTKYMM5MT","GSON1112151311")</f>
        <v>#NAME?</v>
      </c>
      <c r="R2101" s="28" t="e">
        <f ca="1">[1]!BexGetData("DP_1","00O2TNJGODT0G5Z4TTKYMMBYD","GSON1112151311")</f>
        <v>#NAME?</v>
      </c>
      <c r="S2101" s="28" t="e">
        <f ca="1">[1]!BexGetData("DP_1","00O2TNJGODT0G5Z4TTKYMMI9X","GSON1112151311")</f>
        <v>#NAME?</v>
      </c>
      <c r="T2101" s="28" t="e">
        <f ca="1">[1]!BexGetData("DP_1","00O2TNJGODT0G5Z4TTKYMMOLH","GSON1112151311")</f>
        <v>#NAME?</v>
      </c>
      <c r="U2101" s="28" t="e">
        <f ca="1">[1]!BexGetData("DP_1","00O2TNJGODT0G5Z4TTKYMMUX1","GSON1112151311")</f>
        <v>#NAME?</v>
      </c>
      <c r="V2101" s="28" t="e">
        <f ca="1">[1]!BexGetData("DP_1","00O2TNJGODT0G5Z4TTKYMN18L","GSON1112151311")</f>
        <v>#NAME?</v>
      </c>
      <c r="W2101" s="28" t="e">
        <f ca="1">[1]!BexGetData("DP_1","00O2TNJGODT0G5Z4TTKYMN7K5","GSON1112151311")</f>
        <v>#NAME?</v>
      </c>
    </row>
    <row r="2102" spans="1:23" x14ac:dyDescent="0.2">
      <c r="A2102" s="36" t="s">
        <v>5173</v>
      </c>
      <c r="B2102" s="27" t="s">
        <v>5174</v>
      </c>
      <c r="C2102" s="23" t="e">
        <f ca="1">[1]!BexGetData("DP_1","003N8EMH8GTFRCSWKMPXRR8GU","GSON1112151313")</f>
        <v>#NAME?</v>
      </c>
      <c r="D2102" s="23" t="e">
        <f ca="1">[1]!BexGetData("DP_1","003N8EMH8GTFRCSWKMPXRRESE","GSON1112151313")</f>
        <v>#NAME?</v>
      </c>
      <c r="E2102" s="28" t="e">
        <f ca="1">[1]!BexGetData("DP_1","003N8EMH8GTFRCSWKMPXRRL3Y","GSON1112151313")</f>
        <v>#NAME?</v>
      </c>
      <c r="F2102" s="28" t="e">
        <f ca="1">[1]!BexGetData("DP_1","003N8EMH8GTFRCSWKMPXRRRFI","GSON1112151313")</f>
        <v>#NAME?</v>
      </c>
      <c r="G2102" s="23" t="e">
        <f ca="1">[1]!BexGetData("DP_1","003N8EMH8GTFRCSWKMPXRRXR2","GSON1112151313")</f>
        <v>#NAME?</v>
      </c>
      <c r="H2102" s="23" t="e">
        <f ca="1">[1]!BexGetData("DP_1","003N8EMH8GTFRCSWKMPXRS42M","GSON1112151313")</f>
        <v>#NAME?</v>
      </c>
      <c r="I2102" s="28" t="e">
        <f ca="1">[1]!BexGetData("DP_1","003N8EMH8GTFRCSWKMPXRSAE6","GSON1112151313")</f>
        <v>#NAME?</v>
      </c>
      <c r="J2102" s="24" t="e">
        <f ca="1">[1]!BexGetData("DP_1","003N8EMH8GTFRCSWKMPXRSGPQ","GSON1112151313")</f>
        <v>#NAME?</v>
      </c>
      <c r="K2102" s="28" t="e">
        <f ca="1">[1]!BexGetData("DP_1","003N8EMH8GTFRIVNUPY288VJH","GSON1112151313")</f>
        <v>#NAME?</v>
      </c>
      <c r="L2102" s="28" t="e">
        <f ca="1">[1]!BexGetData("DP_1","003N8EMH8GTFRIVNUPY2891V1","GSON1112151313")</f>
        <v>#NAME?</v>
      </c>
      <c r="M2102" s="28" t="e">
        <f ca="1">[1]!BexGetData("DP_1","003N8EMH8GTFRIVOG7KG9IQXA","GSON1112151313")</f>
        <v>#NAME?</v>
      </c>
      <c r="N2102" s="28" t="e">
        <f ca="1">[1]!BexGetData("DP_1","003N8EMH8GTFRIVOG7KG9IX8U","GSON1112151313")</f>
        <v>#NAME?</v>
      </c>
      <c r="O2102" s="28" t="e">
        <f ca="1">[1]!BexGetData("DP_1","003N8EMH8GTFRIVOG7KG9J3KE","GSON1112151313")</f>
        <v>#NAME?</v>
      </c>
      <c r="P2102" s="28" t="e">
        <f ca="1">[1]!BexGetData("DP_1","003N8EMH8GTFRIVOG7KG9J9VY","GSON1112151313")</f>
        <v>#NAME?</v>
      </c>
      <c r="Q2102" s="24" t="e">
        <f ca="1">[1]!BexGetData("DP_1","00O2TNJGODT0G5Z4TTKYMM5MT","GSON1112151313")</f>
        <v>#NAME?</v>
      </c>
      <c r="R2102" s="28" t="e">
        <f ca="1">[1]!BexGetData("DP_1","00O2TNJGODT0G5Z4TTKYMMBYD","GSON1112151313")</f>
        <v>#NAME?</v>
      </c>
      <c r="S2102" s="28" t="e">
        <f ca="1">[1]!BexGetData("DP_1","00O2TNJGODT0G5Z4TTKYMMI9X","GSON1112151313")</f>
        <v>#NAME?</v>
      </c>
      <c r="T2102" s="28" t="e">
        <f ca="1">[1]!BexGetData("DP_1","00O2TNJGODT0G5Z4TTKYMMOLH","GSON1112151313")</f>
        <v>#NAME?</v>
      </c>
      <c r="U2102" s="28" t="e">
        <f ca="1">[1]!BexGetData("DP_1","00O2TNJGODT0G5Z4TTKYMMUX1","GSON1112151313")</f>
        <v>#NAME?</v>
      </c>
      <c r="V2102" s="28" t="e">
        <f ca="1">[1]!BexGetData("DP_1","00O2TNJGODT0G5Z4TTKYMN18L","GSON1112151313")</f>
        <v>#NAME?</v>
      </c>
      <c r="W2102" s="28" t="e">
        <f ca="1">[1]!BexGetData("DP_1","00O2TNJGODT0G5Z4TTKYMN7K5","GSON1112151313")</f>
        <v>#NAME?</v>
      </c>
    </row>
    <row r="2103" spans="1:23" x14ac:dyDescent="0.2">
      <c r="A2103" s="36" t="s">
        <v>5175</v>
      </c>
      <c r="B2103" s="27" t="s">
        <v>5176</v>
      </c>
      <c r="C2103" s="23" t="e">
        <f ca="1">[1]!BexGetData("DP_1","003N8EMH8GTFRCSWKMPXRR8GU","GSON1112151315")</f>
        <v>#NAME?</v>
      </c>
      <c r="D2103" s="23" t="e">
        <f ca="1">[1]!BexGetData("DP_1","003N8EMH8GTFRCSWKMPXRRESE","GSON1112151315")</f>
        <v>#NAME?</v>
      </c>
      <c r="E2103" s="28" t="e">
        <f ca="1">[1]!BexGetData("DP_1","003N8EMH8GTFRCSWKMPXRRL3Y","GSON1112151315")</f>
        <v>#NAME?</v>
      </c>
      <c r="F2103" s="28" t="e">
        <f ca="1">[1]!BexGetData("DP_1","003N8EMH8GTFRCSWKMPXRRRFI","GSON1112151315")</f>
        <v>#NAME?</v>
      </c>
      <c r="G2103" s="23" t="e">
        <f ca="1">[1]!BexGetData("DP_1","003N8EMH8GTFRCSWKMPXRRXR2","GSON1112151315")</f>
        <v>#NAME?</v>
      </c>
      <c r="H2103" s="23" t="e">
        <f ca="1">[1]!BexGetData("DP_1","003N8EMH8GTFRCSWKMPXRS42M","GSON1112151315")</f>
        <v>#NAME?</v>
      </c>
      <c r="I2103" s="28" t="e">
        <f ca="1">[1]!BexGetData("DP_1","003N8EMH8GTFRCSWKMPXRSAE6","GSON1112151315")</f>
        <v>#NAME?</v>
      </c>
      <c r="J2103" s="24" t="e">
        <f ca="1">[1]!BexGetData("DP_1","003N8EMH8GTFRCSWKMPXRSGPQ","GSON1112151315")</f>
        <v>#NAME?</v>
      </c>
      <c r="K2103" s="28" t="e">
        <f ca="1">[1]!BexGetData("DP_1","003N8EMH8GTFRIVNUPY288VJH","GSON1112151315")</f>
        <v>#NAME?</v>
      </c>
      <c r="L2103" s="28" t="e">
        <f ca="1">[1]!BexGetData("DP_1","003N8EMH8GTFRIVNUPY2891V1","GSON1112151315")</f>
        <v>#NAME?</v>
      </c>
      <c r="M2103" s="28" t="e">
        <f ca="1">[1]!BexGetData("DP_1","003N8EMH8GTFRIVOG7KG9IQXA","GSON1112151315")</f>
        <v>#NAME?</v>
      </c>
      <c r="N2103" s="28" t="e">
        <f ca="1">[1]!BexGetData("DP_1","003N8EMH8GTFRIVOG7KG9IX8U","GSON1112151315")</f>
        <v>#NAME?</v>
      </c>
      <c r="O2103" s="28" t="e">
        <f ca="1">[1]!BexGetData("DP_1","003N8EMH8GTFRIVOG7KG9J3KE","GSON1112151315")</f>
        <v>#NAME?</v>
      </c>
      <c r="P2103" s="28" t="e">
        <f ca="1">[1]!BexGetData("DP_1","003N8EMH8GTFRIVOG7KG9J9VY","GSON1112151315")</f>
        <v>#NAME?</v>
      </c>
      <c r="Q2103" s="24" t="e">
        <f ca="1">[1]!BexGetData("DP_1","00O2TNJGODT0G5Z4TTKYMM5MT","GSON1112151315")</f>
        <v>#NAME?</v>
      </c>
      <c r="R2103" s="28" t="e">
        <f ca="1">[1]!BexGetData("DP_1","00O2TNJGODT0G5Z4TTKYMMBYD","GSON1112151315")</f>
        <v>#NAME?</v>
      </c>
      <c r="S2103" s="28" t="e">
        <f ca="1">[1]!BexGetData("DP_1","00O2TNJGODT0G5Z4TTKYMMI9X","GSON1112151315")</f>
        <v>#NAME?</v>
      </c>
      <c r="T2103" s="28" t="e">
        <f ca="1">[1]!BexGetData("DP_1","00O2TNJGODT0G5Z4TTKYMMOLH","GSON1112151315")</f>
        <v>#NAME?</v>
      </c>
      <c r="U2103" s="28" t="e">
        <f ca="1">[1]!BexGetData("DP_1","00O2TNJGODT0G5Z4TTKYMMUX1","GSON1112151315")</f>
        <v>#NAME?</v>
      </c>
      <c r="V2103" s="28" t="e">
        <f ca="1">[1]!BexGetData("DP_1","00O2TNJGODT0G5Z4TTKYMN18L","GSON1112151315")</f>
        <v>#NAME?</v>
      </c>
      <c r="W2103" s="28" t="e">
        <f ca="1">[1]!BexGetData("DP_1","00O2TNJGODT0G5Z4TTKYMN7K5","GSON1112151315")</f>
        <v>#NAME?</v>
      </c>
    </row>
    <row r="2104" spans="1:23" x14ac:dyDescent="0.2">
      <c r="A2104" s="36" t="s">
        <v>5177</v>
      </c>
      <c r="B2104" s="27" t="s">
        <v>5178</v>
      </c>
      <c r="C2104" s="28" t="e">
        <f ca="1">[1]!BexGetData("DP_1","003N8EMH8GTFRCSWKMPXRR8GU","GSON1112151320")</f>
        <v>#NAME?</v>
      </c>
      <c r="D2104" s="28" t="e">
        <f ca="1">[1]!BexGetData("DP_1","003N8EMH8GTFRCSWKMPXRRESE","GSON1112151320")</f>
        <v>#NAME?</v>
      </c>
      <c r="E2104" s="28" t="e">
        <f ca="1">[1]!BexGetData("DP_1","003N8EMH8GTFRCSWKMPXRRL3Y","GSON1112151320")</f>
        <v>#NAME?</v>
      </c>
      <c r="F2104" s="28" t="e">
        <f ca="1">[1]!BexGetData("DP_1","003N8EMH8GTFRCSWKMPXRRRFI","GSON1112151320")</f>
        <v>#NAME?</v>
      </c>
      <c r="G2104" s="23" t="e">
        <f ca="1">[1]!BexGetData("DP_1","003N8EMH8GTFRCSWKMPXRRXR2","GSON1112151320")</f>
        <v>#NAME?</v>
      </c>
      <c r="H2104" s="23" t="e">
        <f ca="1">[1]!BexGetData("DP_1","003N8EMH8GTFRCSWKMPXRS42M","GSON1112151320")</f>
        <v>#NAME?</v>
      </c>
      <c r="I2104" s="28" t="e">
        <f ca="1">[1]!BexGetData("DP_1","003N8EMH8GTFRCSWKMPXRSAE6","GSON1112151320")</f>
        <v>#NAME?</v>
      </c>
      <c r="J2104" s="24" t="e">
        <f ca="1">[1]!BexGetData("DP_1","003N8EMH8GTFRCSWKMPXRSGPQ","GSON1112151320")</f>
        <v>#NAME?</v>
      </c>
      <c r="K2104" s="28" t="e">
        <f ca="1">[1]!BexGetData("DP_1","003N8EMH8GTFRIVNUPY288VJH","GSON1112151320")</f>
        <v>#NAME?</v>
      </c>
      <c r="L2104" s="28" t="e">
        <f ca="1">[1]!BexGetData("DP_1","003N8EMH8GTFRIVNUPY2891V1","GSON1112151320")</f>
        <v>#NAME?</v>
      </c>
      <c r="M2104" s="28" t="e">
        <f ca="1">[1]!BexGetData("DP_1","003N8EMH8GTFRIVOG7KG9IQXA","GSON1112151320")</f>
        <v>#NAME?</v>
      </c>
      <c r="N2104" s="28" t="e">
        <f ca="1">[1]!BexGetData("DP_1","003N8EMH8GTFRIVOG7KG9IX8U","GSON1112151320")</f>
        <v>#NAME?</v>
      </c>
      <c r="O2104" s="28" t="e">
        <f ca="1">[1]!BexGetData("DP_1","003N8EMH8GTFRIVOG7KG9J3KE","GSON1112151320")</f>
        <v>#NAME?</v>
      </c>
      <c r="P2104" s="28" t="e">
        <f ca="1">[1]!BexGetData("DP_1","003N8EMH8GTFRIVOG7KG9J9VY","GSON1112151320")</f>
        <v>#NAME?</v>
      </c>
      <c r="Q2104" s="24" t="e">
        <f ca="1">[1]!BexGetData("DP_1","00O2TNJGODT0G5Z4TTKYMM5MT","GSON1112151320")</f>
        <v>#NAME?</v>
      </c>
      <c r="R2104" s="28" t="e">
        <f ca="1">[1]!BexGetData("DP_1","00O2TNJGODT0G5Z4TTKYMMBYD","GSON1112151320")</f>
        <v>#NAME?</v>
      </c>
      <c r="S2104" s="28" t="e">
        <f ca="1">[1]!BexGetData("DP_1","00O2TNJGODT0G5Z4TTKYMMI9X","GSON1112151320")</f>
        <v>#NAME?</v>
      </c>
      <c r="T2104" s="28" t="e">
        <f ca="1">[1]!BexGetData("DP_1","00O2TNJGODT0G5Z4TTKYMMOLH","GSON1112151320")</f>
        <v>#NAME?</v>
      </c>
      <c r="U2104" s="28" t="e">
        <f ca="1">[1]!BexGetData("DP_1","00O2TNJGODT0G5Z4TTKYMMUX1","GSON1112151320")</f>
        <v>#NAME?</v>
      </c>
      <c r="V2104" s="28" t="e">
        <f ca="1">[1]!BexGetData("DP_1","00O2TNJGODT0G5Z4TTKYMN18L","GSON1112151320")</f>
        <v>#NAME?</v>
      </c>
      <c r="W2104" s="28" t="e">
        <f ca="1">[1]!BexGetData("DP_1","00O2TNJGODT0G5Z4TTKYMN7K5","GSON1112151320")</f>
        <v>#NAME?</v>
      </c>
    </row>
    <row r="2105" spans="1:23" x14ac:dyDescent="0.2">
      <c r="A2105" s="36" t="s">
        <v>5179</v>
      </c>
      <c r="B2105" s="27" t="s">
        <v>5180</v>
      </c>
      <c r="C2105" s="28" t="e">
        <f ca="1">[1]!BexGetData("DP_1","003N8EMH8GTFRCSWKMPXRR8GU","GSON1112151321")</f>
        <v>#NAME?</v>
      </c>
      <c r="D2105" s="28" t="e">
        <f ca="1">[1]!BexGetData("DP_1","003N8EMH8GTFRCSWKMPXRRESE","GSON1112151321")</f>
        <v>#NAME?</v>
      </c>
      <c r="E2105" s="28" t="e">
        <f ca="1">[1]!BexGetData("DP_1","003N8EMH8GTFRCSWKMPXRRL3Y","GSON1112151321")</f>
        <v>#NAME?</v>
      </c>
      <c r="F2105" s="28" t="e">
        <f ca="1">[1]!BexGetData("DP_1","003N8EMH8GTFRCSWKMPXRRRFI","GSON1112151321")</f>
        <v>#NAME?</v>
      </c>
      <c r="G2105" s="23" t="e">
        <f ca="1">[1]!BexGetData("DP_1","003N8EMH8GTFRCSWKMPXRRXR2","GSON1112151321")</f>
        <v>#NAME?</v>
      </c>
      <c r="H2105" s="23" t="e">
        <f ca="1">[1]!BexGetData("DP_1","003N8EMH8GTFRCSWKMPXRS42M","GSON1112151321")</f>
        <v>#NAME?</v>
      </c>
      <c r="I2105" s="28" t="e">
        <f ca="1">[1]!BexGetData("DP_1","003N8EMH8GTFRCSWKMPXRSAE6","GSON1112151321")</f>
        <v>#NAME?</v>
      </c>
      <c r="J2105" s="24" t="e">
        <f ca="1">[1]!BexGetData("DP_1","003N8EMH8GTFRCSWKMPXRSGPQ","GSON1112151321")</f>
        <v>#NAME?</v>
      </c>
      <c r="K2105" s="28" t="e">
        <f ca="1">[1]!BexGetData("DP_1","003N8EMH8GTFRIVNUPY288VJH","GSON1112151321")</f>
        <v>#NAME?</v>
      </c>
      <c r="L2105" s="28" t="e">
        <f ca="1">[1]!BexGetData("DP_1","003N8EMH8GTFRIVNUPY2891V1","GSON1112151321")</f>
        <v>#NAME?</v>
      </c>
      <c r="M2105" s="28" t="e">
        <f ca="1">[1]!BexGetData("DP_1","003N8EMH8GTFRIVOG7KG9IQXA","GSON1112151321")</f>
        <v>#NAME?</v>
      </c>
      <c r="N2105" s="28" t="e">
        <f ca="1">[1]!BexGetData("DP_1","003N8EMH8GTFRIVOG7KG9IX8U","GSON1112151321")</f>
        <v>#NAME?</v>
      </c>
      <c r="O2105" s="28" t="e">
        <f ca="1">[1]!BexGetData("DP_1","003N8EMH8GTFRIVOG7KG9J3KE","GSON1112151321")</f>
        <v>#NAME?</v>
      </c>
      <c r="P2105" s="28" t="e">
        <f ca="1">[1]!BexGetData("DP_1","003N8EMH8GTFRIVOG7KG9J9VY","GSON1112151321")</f>
        <v>#NAME?</v>
      </c>
      <c r="Q2105" s="24" t="e">
        <f ca="1">[1]!BexGetData("DP_1","00O2TNJGODT0G5Z4TTKYMM5MT","GSON1112151321")</f>
        <v>#NAME?</v>
      </c>
      <c r="R2105" s="28" t="e">
        <f ca="1">[1]!BexGetData("DP_1","00O2TNJGODT0G5Z4TTKYMMBYD","GSON1112151321")</f>
        <v>#NAME?</v>
      </c>
      <c r="S2105" s="28" t="e">
        <f ca="1">[1]!BexGetData("DP_1","00O2TNJGODT0G5Z4TTKYMMI9X","GSON1112151321")</f>
        <v>#NAME?</v>
      </c>
      <c r="T2105" s="28" t="e">
        <f ca="1">[1]!BexGetData("DP_1","00O2TNJGODT0G5Z4TTKYMMOLH","GSON1112151321")</f>
        <v>#NAME?</v>
      </c>
      <c r="U2105" s="28" t="e">
        <f ca="1">[1]!BexGetData("DP_1","00O2TNJGODT0G5Z4TTKYMMUX1","GSON1112151321")</f>
        <v>#NAME?</v>
      </c>
      <c r="V2105" s="28" t="e">
        <f ca="1">[1]!BexGetData("DP_1","00O2TNJGODT0G5Z4TTKYMN18L","GSON1112151321")</f>
        <v>#NAME?</v>
      </c>
      <c r="W2105" s="28" t="e">
        <f ca="1">[1]!BexGetData("DP_1","00O2TNJGODT0G5Z4TTKYMN7K5","GSON1112151321")</f>
        <v>#NAME?</v>
      </c>
    </row>
    <row r="2106" spans="1:23" x14ac:dyDescent="0.2">
      <c r="A2106" s="36" t="s">
        <v>5181</v>
      </c>
      <c r="B2106" s="27" t="s">
        <v>5182</v>
      </c>
      <c r="C2106" s="28" t="e">
        <f ca="1">[1]!BexGetData("DP_1","003N8EMH8GTFRCSWKMPXRR8GU","GSON1112151323")</f>
        <v>#NAME?</v>
      </c>
      <c r="D2106" s="28" t="e">
        <f ca="1">[1]!BexGetData("DP_1","003N8EMH8GTFRCSWKMPXRRESE","GSON1112151323")</f>
        <v>#NAME?</v>
      </c>
      <c r="E2106" s="28" t="e">
        <f ca="1">[1]!BexGetData("DP_1","003N8EMH8GTFRCSWKMPXRRL3Y","GSON1112151323")</f>
        <v>#NAME?</v>
      </c>
      <c r="F2106" s="28" t="e">
        <f ca="1">[1]!BexGetData("DP_1","003N8EMH8GTFRCSWKMPXRRRFI","GSON1112151323")</f>
        <v>#NAME?</v>
      </c>
      <c r="G2106" s="23" t="e">
        <f ca="1">[1]!BexGetData("DP_1","003N8EMH8GTFRCSWKMPXRRXR2","GSON1112151323")</f>
        <v>#NAME?</v>
      </c>
      <c r="H2106" s="23" t="e">
        <f ca="1">[1]!BexGetData("DP_1","003N8EMH8GTFRCSWKMPXRS42M","GSON1112151323")</f>
        <v>#NAME?</v>
      </c>
      <c r="I2106" s="28" t="e">
        <f ca="1">[1]!BexGetData("DP_1","003N8EMH8GTFRCSWKMPXRSAE6","GSON1112151323")</f>
        <v>#NAME?</v>
      </c>
      <c r="J2106" s="24" t="e">
        <f ca="1">[1]!BexGetData("DP_1","003N8EMH8GTFRCSWKMPXRSGPQ","GSON1112151323")</f>
        <v>#NAME?</v>
      </c>
      <c r="K2106" s="28" t="e">
        <f ca="1">[1]!BexGetData("DP_1","003N8EMH8GTFRIVNUPY288VJH","GSON1112151323")</f>
        <v>#NAME?</v>
      </c>
      <c r="L2106" s="28" t="e">
        <f ca="1">[1]!BexGetData("DP_1","003N8EMH8GTFRIVNUPY2891V1","GSON1112151323")</f>
        <v>#NAME?</v>
      </c>
      <c r="M2106" s="28" t="e">
        <f ca="1">[1]!BexGetData("DP_1","003N8EMH8GTFRIVOG7KG9IQXA","GSON1112151323")</f>
        <v>#NAME?</v>
      </c>
      <c r="N2106" s="28" t="e">
        <f ca="1">[1]!BexGetData("DP_1","003N8EMH8GTFRIVOG7KG9IX8U","GSON1112151323")</f>
        <v>#NAME?</v>
      </c>
      <c r="O2106" s="28" t="e">
        <f ca="1">[1]!BexGetData("DP_1","003N8EMH8GTFRIVOG7KG9J3KE","GSON1112151323")</f>
        <v>#NAME?</v>
      </c>
      <c r="P2106" s="28" t="e">
        <f ca="1">[1]!BexGetData("DP_1","003N8EMH8GTFRIVOG7KG9J9VY","GSON1112151323")</f>
        <v>#NAME?</v>
      </c>
      <c r="Q2106" s="24" t="e">
        <f ca="1">[1]!BexGetData("DP_1","00O2TNJGODT0G5Z4TTKYMM5MT","GSON1112151323")</f>
        <v>#NAME?</v>
      </c>
      <c r="R2106" s="28" t="e">
        <f ca="1">[1]!BexGetData("DP_1","00O2TNJGODT0G5Z4TTKYMMBYD","GSON1112151323")</f>
        <v>#NAME?</v>
      </c>
      <c r="S2106" s="28" t="e">
        <f ca="1">[1]!BexGetData("DP_1","00O2TNJGODT0G5Z4TTKYMMI9X","GSON1112151323")</f>
        <v>#NAME?</v>
      </c>
      <c r="T2106" s="28" t="e">
        <f ca="1">[1]!BexGetData("DP_1","00O2TNJGODT0G5Z4TTKYMMOLH","GSON1112151323")</f>
        <v>#NAME?</v>
      </c>
      <c r="U2106" s="28" t="e">
        <f ca="1">[1]!BexGetData("DP_1","00O2TNJGODT0G5Z4TTKYMMUX1","GSON1112151323")</f>
        <v>#NAME?</v>
      </c>
      <c r="V2106" s="28" t="e">
        <f ca="1">[1]!BexGetData("DP_1","00O2TNJGODT0G5Z4TTKYMN18L","GSON1112151323")</f>
        <v>#NAME?</v>
      </c>
      <c r="W2106" s="28" t="e">
        <f ca="1">[1]!BexGetData("DP_1","00O2TNJGODT0G5Z4TTKYMN7K5","GSON1112151323")</f>
        <v>#NAME?</v>
      </c>
    </row>
    <row r="2107" spans="1:23" x14ac:dyDescent="0.2">
      <c r="A2107" s="36" t="s">
        <v>5183</v>
      </c>
      <c r="B2107" s="27" t="s">
        <v>5184</v>
      </c>
      <c r="C2107" s="28" t="e">
        <f ca="1">[1]!BexGetData("DP_1","003N8EMH8GTFRCSWKMPXRR8GU","GSON1112151324")</f>
        <v>#NAME?</v>
      </c>
      <c r="D2107" s="28" t="e">
        <f ca="1">[1]!BexGetData("DP_1","003N8EMH8GTFRCSWKMPXRRESE","GSON1112151324")</f>
        <v>#NAME?</v>
      </c>
      <c r="E2107" s="28" t="e">
        <f ca="1">[1]!BexGetData("DP_1","003N8EMH8GTFRCSWKMPXRRL3Y","GSON1112151324")</f>
        <v>#NAME?</v>
      </c>
      <c r="F2107" s="28" t="e">
        <f ca="1">[1]!BexGetData("DP_1","003N8EMH8GTFRCSWKMPXRRRFI","GSON1112151324")</f>
        <v>#NAME?</v>
      </c>
      <c r="G2107" s="23" t="e">
        <f ca="1">[1]!BexGetData("DP_1","003N8EMH8GTFRCSWKMPXRRXR2","GSON1112151324")</f>
        <v>#NAME?</v>
      </c>
      <c r="H2107" s="23" t="e">
        <f ca="1">[1]!BexGetData("DP_1","003N8EMH8GTFRCSWKMPXRS42M","GSON1112151324")</f>
        <v>#NAME?</v>
      </c>
      <c r="I2107" s="28" t="e">
        <f ca="1">[1]!BexGetData("DP_1","003N8EMH8GTFRCSWKMPXRSAE6","GSON1112151324")</f>
        <v>#NAME?</v>
      </c>
      <c r="J2107" s="24" t="e">
        <f ca="1">[1]!BexGetData("DP_1","003N8EMH8GTFRCSWKMPXRSGPQ","GSON1112151324")</f>
        <v>#NAME?</v>
      </c>
      <c r="K2107" s="28" t="e">
        <f ca="1">[1]!BexGetData("DP_1","003N8EMH8GTFRIVNUPY288VJH","GSON1112151324")</f>
        <v>#NAME?</v>
      </c>
      <c r="L2107" s="28" t="e">
        <f ca="1">[1]!BexGetData("DP_1","003N8EMH8GTFRIVNUPY2891V1","GSON1112151324")</f>
        <v>#NAME?</v>
      </c>
      <c r="M2107" s="28" t="e">
        <f ca="1">[1]!BexGetData("DP_1","003N8EMH8GTFRIVOG7KG9IQXA","GSON1112151324")</f>
        <v>#NAME?</v>
      </c>
      <c r="N2107" s="28" t="e">
        <f ca="1">[1]!BexGetData("DP_1","003N8EMH8GTFRIVOG7KG9IX8U","GSON1112151324")</f>
        <v>#NAME?</v>
      </c>
      <c r="O2107" s="28" t="e">
        <f ca="1">[1]!BexGetData("DP_1","003N8EMH8GTFRIVOG7KG9J3KE","GSON1112151324")</f>
        <v>#NAME?</v>
      </c>
      <c r="P2107" s="28" t="e">
        <f ca="1">[1]!BexGetData("DP_1","003N8EMH8GTFRIVOG7KG9J9VY","GSON1112151324")</f>
        <v>#NAME?</v>
      </c>
      <c r="Q2107" s="24" t="e">
        <f ca="1">[1]!BexGetData("DP_1","00O2TNJGODT0G5Z4TTKYMM5MT","GSON1112151324")</f>
        <v>#NAME?</v>
      </c>
      <c r="R2107" s="28" t="e">
        <f ca="1">[1]!BexGetData("DP_1","00O2TNJGODT0G5Z4TTKYMMBYD","GSON1112151324")</f>
        <v>#NAME?</v>
      </c>
      <c r="S2107" s="28" t="e">
        <f ca="1">[1]!BexGetData("DP_1","00O2TNJGODT0G5Z4TTKYMMI9X","GSON1112151324")</f>
        <v>#NAME?</v>
      </c>
      <c r="T2107" s="28" t="e">
        <f ca="1">[1]!BexGetData("DP_1","00O2TNJGODT0G5Z4TTKYMMOLH","GSON1112151324")</f>
        <v>#NAME?</v>
      </c>
      <c r="U2107" s="28" t="e">
        <f ca="1">[1]!BexGetData("DP_1","00O2TNJGODT0G5Z4TTKYMMUX1","GSON1112151324")</f>
        <v>#NAME?</v>
      </c>
      <c r="V2107" s="28" t="e">
        <f ca="1">[1]!BexGetData("DP_1","00O2TNJGODT0G5Z4TTKYMN18L","GSON1112151324")</f>
        <v>#NAME?</v>
      </c>
      <c r="W2107" s="28" t="e">
        <f ca="1">[1]!BexGetData("DP_1","00O2TNJGODT0G5Z4TTKYMN7K5","GSON1112151324")</f>
        <v>#NAME?</v>
      </c>
    </row>
    <row r="2108" spans="1:23" x14ac:dyDescent="0.2">
      <c r="A2108" s="36" t="s">
        <v>5185</v>
      </c>
      <c r="B2108" s="27" t="s">
        <v>5186</v>
      </c>
      <c r="C2108" s="23" t="e">
        <f ca="1">[1]!BexGetData("DP_1","003N8EMH8GTFRCSWKMPXRR8GU","GSON1112151325")</f>
        <v>#NAME?</v>
      </c>
      <c r="D2108" s="23" t="e">
        <f ca="1">[1]!BexGetData("DP_1","003N8EMH8GTFRCSWKMPXRRESE","GSON1112151325")</f>
        <v>#NAME?</v>
      </c>
      <c r="E2108" s="28" t="e">
        <f ca="1">[1]!BexGetData("DP_1","003N8EMH8GTFRCSWKMPXRRL3Y","GSON1112151325")</f>
        <v>#NAME?</v>
      </c>
      <c r="F2108" s="28" t="e">
        <f ca="1">[1]!BexGetData("DP_1","003N8EMH8GTFRCSWKMPXRRRFI","GSON1112151325")</f>
        <v>#NAME?</v>
      </c>
      <c r="G2108" s="23" t="e">
        <f ca="1">[1]!BexGetData("DP_1","003N8EMH8GTFRCSWKMPXRRXR2","GSON1112151325")</f>
        <v>#NAME?</v>
      </c>
      <c r="H2108" s="23" t="e">
        <f ca="1">[1]!BexGetData("DP_1","003N8EMH8GTFRCSWKMPXRS42M","GSON1112151325")</f>
        <v>#NAME?</v>
      </c>
      <c r="I2108" s="28" t="e">
        <f ca="1">[1]!BexGetData("DP_1","003N8EMH8GTFRCSWKMPXRSAE6","GSON1112151325")</f>
        <v>#NAME?</v>
      </c>
      <c r="J2108" s="24" t="e">
        <f ca="1">[1]!BexGetData("DP_1","003N8EMH8GTFRCSWKMPXRSGPQ","GSON1112151325")</f>
        <v>#NAME?</v>
      </c>
      <c r="K2108" s="28" t="e">
        <f ca="1">[1]!BexGetData("DP_1","003N8EMH8GTFRIVNUPY288VJH","GSON1112151325")</f>
        <v>#NAME?</v>
      </c>
      <c r="L2108" s="28" t="e">
        <f ca="1">[1]!BexGetData("DP_1","003N8EMH8GTFRIVNUPY2891V1","GSON1112151325")</f>
        <v>#NAME?</v>
      </c>
      <c r="M2108" s="28" t="e">
        <f ca="1">[1]!BexGetData("DP_1","003N8EMH8GTFRIVOG7KG9IQXA","GSON1112151325")</f>
        <v>#NAME?</v>
      </c>
      <c r="N2108" s="28" t="e">
        <f ca="1">[1]!BexGetData("DP_1","003N8EMH8GTFRIVOG7KG9IX8U","GSON1112151325")</f>
        <v>#NAME?</v>
      </c>
      <c r="O2108" s="28" t="e">
        <f ca="1">[1]!BexGetData("DP_1","003N8EMH8GTFRIVOG7KG9J3KE","GSON1112151325")</f>
        <v>#NAME?</v>
      </c>
      <c r="P2108" s="28" t="e">
        <f ca="1">[1]!BexGetData("DP_1","003N8EMH8GTFRIVOG7KG9J9VY","GSON1112151325")</f>
        <v>#NAME?</v>
      </c>
      <c r="Q2108" s="24" t="e">
        <f ca="1">[1]!BexGetData("DP_1","00O2TNJGODT0G5Z4TTKYMM5MT","GSON1112151325")</f>
        <v>#NAME?</v>
      </c>
      <c r="R2108" s="28" t="e">
        <f ca="1">[1]!BexGetData("DP_1","00O2TNJGODT0G5Z4TTKYMMBYD","GSON1112151325")</f>
        <v>#NAME?</v>
      </c>
      <c r="S2108" s="28" t="e">
        <f ca="1">[1]!BexGetData("DP_1","00O2TNJGODT0G5Z4TTKYMMI9X","GSON1112151325")</f>
        <v>#NAME?</v>
      </c>
      <c r="T2108" s="28" t="e">
        <f ca="1">[1]!BexGetData("DP_1","00O2TNJGODT0G5Z4TTKYMMOLH","GSON1112151325")</f>
        <v>#NAME?</v>
      </c>
      <c r="U2108" s="28" t="e">
        <f ca="1">[1]!BexGetData("DP_1","00O2TNJGODT0G5Z4TTKYMMUX1","GSON1112151325")</f>
        <v>#NAME?</v>
      </c>
      <c r="V2108" s="28" t="e">
        <f ca="1">[1]!BexGetData("DP_1","00O2TNJGODT0G5Z4TTKYMN18L","GSON1112151325")</f>
        <v>#NAME?</v>
      </c>
      <c r="W2108" s="28" t="e">
        <f ca="1">[1]!BexGetData("DP_1","00O2TNJGODT0G5Z4TTKYMN7K5","GSON1112151325")</f>
        <v>#NAME?</v>
      </c>
    </row>
    <row r="2109" spans="1:23" x14ac:dyDescent="0.2">
      <c r="A2109" s="36" t="s">
        <v>5187</v>
      </c>
      <c r="B2109" s="27" t="s">
        <v>5188</v>
      </c>
      <c r="C2109" s="23" t="e">
        <f ca="1">[1]!BexGetData("DP_1","003N8EMH8GTFRCSWKMPXRR8GU","GSON1112151330")</f>
        <v>#NAME?</v>
      </c>
      <c r="D2109" s="23" t="e">
        <f ca="1">[1]!BexGetData("DP_1","003N8EMH8GTFRCSWKMPXRRESE","GSON1112151330")</f>
        <v>#NAME?</v>
      </c>
      <c r="E2109" s="28" t="e">
        <f ca="1">[1]!BexGetData("DP_1","003N8EMH8GTFRCSWKMPXRRL3Y","GSON1112151330")</f>
        <v>#NAME?</v>
      </c>
      <c r="F2109" s="23" t="e">
        <f ca="1">[1]!BexGetData("DP_1","003N8EMH8GTFRCSWKMPXRRRFI","GSON1112151330")</f>
        <v>#NAME?</v>
      </c>
      <c r="G2109" s="23" t="e">
        <f ca="1">[1]!BexGetData("DP_1","003N8EMH8GTFRCSWKMPXRRXR2","GSON1112151330")</f>
        <v>#NAME?</v>
      </c>
      <c r="H2109" s="23" t="e">
        <f ca="1">[1]!BexGetData("DP_1","003N8EMH8GTFRCSWKMPXRS42M","GSON1112151330")</f>
        <v>#NAME?</v>
      </c>
      <c r="I2109" s="23" t="e">
        <f ca="1">[1]!BexGetData("DP_1","003N8EMH8GTFRCSWKMPXRSAE6","GSON1112151330")</f>
        <v>#NAME?</v>
      </c>
      <c r="J2109" s="24" t="e">
        <f ca="1">[1]!BexGetData("DP_1","003N8EMH8GTFRCSWKMPXRSGPQ","GSON1112151330")</f>
        <v>#NAME?</v>
      </c>
      <c r="K2109" s="23" t="e">
        <f ca="1">[1]!BexGetData("DP_1","003N8EMH8GTFRIVNUPY288VJH","GSON1112151330")</f>
        <v>#NAME?</v>
      </c>
      <c r="L2109" s="23" t="e">
        <f ca="1">[1]!BexGetData("DP_1","003N8EMH8GTFRIVNUPY2891V1","GSON1112151330")</f>
        <v>#NAME?</v>
      </c>
      <c r="M2109" s="23" t="e">
        <f ca="1">[1]!BexGetData("DP_1","003N8EMH8GTFRIVOG7KG9IQXA","GSON1112151330")</f>
        <v>#NAME?</v>
      </c>
      <c r="N2109" s="28" t="e">
        <f ca="1">[1]!BexGetData("DP_1","003N8EMH8GTFRIVOG7KG9IX8U","GSON1112151330")</f>
        <v>#NAME?</v>
      </c>
      <c r="O2109" s="23" t="e">
        <f ca="1">[1]!BexGetData("DP_1","003N8EMH8GTFRIVOG7KG9J3KE","GSON1112151330")</f>
        <v>#NAME?</v>
      </c>
      <c r="P2109" s="28" t="e">
        <f ca="1">[1]!BexGetData("DP_1","003N8EMH8GTFRIVOG7KG9J9VY","GSON1112151330")</f>
        <v>#NAME?</v>
      </c>
      <c r="Q2109" s="24" t="e">
        <f ca="1">[1]!BexGetData("DP_1","00O2TNJGODT0G5Z4TTKYMM5MT","GSON1112151330")</f>
        <v>#NAME?</v>
      </c>
      <c r="R2109" s="23" t="e">
        <f ca="1">[1]!BexGetData("DP_1","00O2TNJGODT0G5Z4TTKYMMBYD","GSON1112151330")</f>
        <v>#NAME?</v>
      </c>
      <c r="S2109" s="23" t="e">
        <f ca="1">[1]!BexGetData("DP_1","00O2TNJGODT0G5Z4TTKYMMI9X","GSON1112151330")</f>
        <v>#NAME?</v>
      </c>
      <c r="T2109" s="28" t="e">
        <f ca="1">[1]!BexGetData("DP_1","00O2TNJGODT0G5Z4TTKYMMOLH","GSON1112151330")</f>
        <v>#NAME?</v>
      </c>
      <c r="U2109" s="23" t="e">
        <f ca="1">[1]!BexGetData("DP_1","00O2TNJGODT0G5Z4TTKYMMUX1","GSON1112151330")</f>
        <v>#NAME?</v>
      </c>
      <c r="V2109" s="28" t="e">
        <f ca="1">[1]!BexGetData("DP_1","00O2TNJGODT0G5Z4TTKYMN18L","GSON1112151330")</f>
        <v>#NAME?</v>
      </c>
      <c r="W2109" s="23" t="e">
        <f ca="1">[1]!BexGetData("DP_1","00O2TNJGODT0G5Z4TTKYMN7K5","GSON1112151330")</f>
        <v>#NAME?</v>
      </c>
    </row>
    <row r="2110" spans="1:23" x14ac:dyDescent="0.2">
      <c r="A2110" s="36" t="s">
        <v>5189</v>
      </c>
      <c r="B2110" s="27" t="s">
        <v>5190</v>
      </c>
      <c r="C2110" s="28" t="e">
        <f ca="1">[1]!BexGetData("DP_1","003N8EMH8GTFRCSWKMPXRR8GU","GSON1112151331")</f>
        <v>#NAME?</v>
      </c>
      <c r="D2110" s="28" t="e">
        <f ca="1">[1]!BexGetData("DP_1","003N8EMH8GTFRCSWKMPXRRESE","GSON1112151331")</f>
        <v>#NAME?</v>
      </c>
      <c r="E2110" s="28" t="e">
        <f ca="1">[1]!BexGetData("DP_1","003N8EMH8GTFRCSWKMPXRRL3Y","GSON1112151331")</f>
        <v>#NAME?</v>
      </c>
      <c r="F2110" s="28" t="e">
        <f ca="1">[1]!BexGetData("DP_1","003N8EMH8GTFRCSWKMPXRRRFI","GSON1112151331")</f>
        <v>#NAME?</v>
      </c>
      <c r="G2110" s="23" t="e">
        <f ca="1">[1]!BexGetData("DP_1","003N8EMH8GTFRCSWKMPXRRXR2","GSON1112151331")</f>
        <v>#NAME?</v>
      </c>
      <c r="H2110" s="23" t="e">
        <f ca="1">[1]!BexGetData("DP_1","003N8EMH8GTFRCSWKMPXRS42M","GSON1112151331")</f>
        <v>#NAME?</v>
      </c>
      <c r="I2110" s="28" t="e">
        <f ca="1">[1]!BexGetData("DP_1","003N8EMH8GTFRCSWKMPXRSAE6","GSON1112151331")</f>
        <v>#NAME?</v>
      </c>
      <c r="J2110" s="24" t="e">
        <f ca="1">[1]!BexGetData("DP_1","003N8EMH8GTFRCSWKMPXRSGPQ","GSON1112151331")</f>
        <v>#NAME?</v>
      </c>
      <c r="K2110" s="28" t="e">
        <f ca="1">[1]!BexGetData("DP_1","003N8EMH8GTFRIVNUPY288VJH","GSON1112151331")</f>
        <v>#NAME?</v>
      </c>
      <c r="L2110" s="28" t="e">
        <f ca="1">[1]!BexGetData("DP_1","003N8EMH8GTFRIVNUPY2891V1","GSON1112151331")</f>
        <v>#NAME?</v>
      </c>
      <c r="M2110" s="28" t="e">
        <f ca="1">[1]!BexGetData("DP_1","003N8EMH8GTFRIVOG7KG9IQXA","GSON1112151331")</f>
        <v>#NAME?</v>
      </c>
      <c r="N2110" s="28" t="e">
        <f ca="1">[1]!BexGetData("DP_1","003N8EMH8GTFRIVOG7KG9IX8U","GSON1112151331")</f>
        <v>#NAME?</v>
      </c>
      <c r="O2110" s="28" t="e">
        <f ca="1">[1]!BexGetData("DP_1","003N8EMH8GTFRIVOG7KG9J3KE","GSON1112151331")</f>
        <v>#NAME?</v>
      </c>
      <c r="P2110" s="28" t="e">
        <f ca="1">[1]!BexGetData("DP_1","003N8EMH8GTFRIVOG7KG9J9VY","GSON1112151331")</f>
        <v>#NAME?</v>
      </c>
      <c r="Q2110" s="24" t="e">
        <f ca="1">[1]!BexGetData("DP_1","00O2TNJGODT0G5Z4TTKYMM5MT","GSON1112151331")</f>
        <v>#NAME?</v>
      </c>
      <c r="R2110" s="28" t="e">
        <f ca="1">[1]!BexGetData("DP_1","00O2TNJGODT0G5Z4TTKYMMBYD","GSON1112151331")</f>
        <v>#NAME?</v>
      </c>
      <c r="S2110" s="28" t="e">
        <f ca="1">[1]!BexGetData("DP_1","00O2TNJGODT0G5Z4TTKYMMI9X","GSON1112151331")</f>
        <v>#NAME?</v>
      </c>
      <c r="T2110" s="28" t="e">
        <f ca="1">[1]!BexGetData("DP_1","00O2TNJGODT0G5Z4TTKYMMOLH","GSON1112151331")</f>
        <v>#NAME?</v>
      </c>
      <c r="U2110" s="28" t="e">
        <f ca="1">[1]!BexGetData("DP_1","00O2TNJGODT0G5Z4TTKYMMUX1","GSON1112151331")</f>
        <v>#NAME?</v>
      </c>
      <c r="V2110" s="28" t="e">
        <f ca="1">[1]!BexGetData("DP_1","00O2TNJGODT0G5Z4TTKYMN18L","GSON1112151331")</f>
        <v>#NAME?</v>
      </c>
      <c r="W2110" s="28" t="e">
        <f ca="1">[1]!BexGetData("DP_1","00O2TNJGODT0G5Z4TTKYMN7K5","GSON1112151331")</f>
        <v>#NAME?</v>
      </c>
    </row>
    <row r="2111" spans="1:23" x14ac:dyDescent="0.2">
      <c r="A2111" s="36" t="s">
        <v>5191</v>
      </c>
      <c r="B2111" s="27" t="s">
        <v>5192</v>
      </c>
      <c r="C2111" s="23" t="e">
        <f ca="1">[1]!BexGetData("DP_1","003N8EMH8GTFRCSWKMPXRR8GU","GSON1112151333")</f>
        <v>#NAME?</v>
      </c>
      <c r="D2111" s="23" t="e">
        <f ca="1">[1]!BexGetData("DP_1","003N8EMH8GTFRCSWKMPXRRESE","GSON1112151333")</f>
        <v>#NAME?</v>
      </c>
      <c r="E2111" s="28" t="e">
        <f ca="1">[1]!BexGetData("DP_1","003N8EMH8GTFRCSWKMPXRRL3Y","GSON1112151333")</f>
        <v>#NAME?</v>
      </c>
      <c r="F2111" s="28" t="e">
        <f ca="1">[1]!BexGetData("DP_1","003N8EMH8GTFRCSWKMPXRRRFI","GSON1112151333")</f>
        <v>#NAME?</v>
      </c>
      <c r="G2111" s="23" t="e">
        <f ca="1">[1]!BexGetData("DP_1","003N8EMH8GTFRCSWKMPXRRXR2","GSON1112151333")</f>
        <v>#NAME?</v>
      </c>
      <c r="H2111" s="23" t="e">
        <f ca="1">[1]!BexGetData("DP_1","003N8EMH8GTFRCSWKMPXRS42M","GSON1112151333")</f>
        <v>#NAME?</v>
      </c>
      <c r="I2111" s="28" t="e">
        <f ca="1">[1]!BexGetData("DP_1","003N8EMH8GTFRCSWKMPXRSAE6","GSON1112151333")</f>
        <v>#NAME?</v>
      </c>
      <c r="J2111" s="24" t="e">
        <f ca="1">[1]!BexGetData("DP_1","003N8EMH8GTFRCSWKMPXRSGPQ","GSON1112151333")</f>
        <v>#NAME?</v>
      </c>
      <c r="K2111" s="28" t="e">
        <f ca="1">[1]!BexGetData("DP_1","003N8EMH8GTFRIVNUPY288VJH","GSON1112151333")</f>
        <v>#NAME?</v>
      </c>
      <c r="L2111" s="28" t="e">
        <f ca="1">[1]!BexGetData("DP_1","003N8EMH8GTFRIVNUPY2891V1","GSON1112151333")</f>
        <v>#NAME?</v>
      </c>
      <c r="M2111" s="28" t="e">
        <f ca="1">[1]!BexGetData("DP_1","003N8EMH8GTFRIVOG7KG9IQXA","GSON1112151333")</f>
        <v>#NAME?</v>
      </c>
      <c r="N2111" s="28" t="e">
        <f ca="1">[1]!BexGetData("DP_1","003N8EMH8GTFRIVOG7KG9IX8U","GSON1112151333")</f>
        <v>#NAME?</v>
      </c>
      <c r="O2111" s="28" t="e">
        <f ca="1">[1]!BexGetData("DP_1","003N8EMH8GTFRIVOG7KG9J3KE","GSON1112151333")</f>
        <v>#NAME?</v>
      </c>
      <c r="P2111" s="28" t="e">
        <f ca="1">[1]!BexGetData("DP_1","003N8EMH8GTFRIVOG7KG9J9VY","GSON1112151333")</f>
        <v>#NAME?</v>
      </c>
      <c r="Q2111" s="24" t="e">
        <f ca="1">[1]!BexGetData("DP_1","00O2TNJGODT0G5Z4TTKYMM5MT","GSON1112151333")</f>
        <v>#NAME?</v>
      </c>
      <c r="R2111" s="28" t="e">
        <f ca="1">[1]!BexGetData("DP_1","00O2TNJGODT0G5Z4TTKYMMBYD","GSON1112151333")</f>
        <v>#NAME?</v>
      </c>
      <c r="S2111" s="28" t="e">
        <f ca="1">[1]!BexGetData("DP_1","00O2TNJGODT0G5Z4TTKYMMI9X","GSON1112151333")</f>
        <v>#NAME?</v>
      </c>
      <c r="T2111" s="28" t="e">
        <f ca="1">[1]!BexGetData("DP_1","00O2TNJGODT0G5Z4TTKYMMOLH","GSON1112151333")</f>
        <v>#NAME?</v>
      </c>
      <c r="U2111" s="28" t="e">
        <f ca="1">[1]!BexGetData("DP_1","00O2TNJGODT0G5Z4TTKYMMUX1","GSON1112151333")</f>
        <v>#NAME?</v>
      </c>
      <c r="V2111" s="28" t="e">
        <f ca="1">[1]!BexGetData("DP_1","00O2TNJGODT0G5Z4TTKYMN18L","GSON1112151333")</f>
        <v>#NAME?</v>
      </c>
      <c r="W2111" s="28" t="e">
        <f ca="1">[1]!BexGetData("DP_1","00O2TNJGODT0G5Z4TTKYMN7K5","GSON1112151333")</f>
        <v>#NAME?</v>
      </c>
    </row>
    <row r="2112" spans="1:23" x14ac:dyDescent="0.2">
      <c r="A2112" s="36" t="s">
        <v>5193</v>
      </c>
      <c r="B2112" s="27" t="s">
        <v>5194</v>
      </c>
      <c r="C2112" s="24" t="e">
        <f ca="1">[1]!BexGetData("DP_1","003N8EMH8GTFRCSWKMPXRR8GU","GSON1112151334")</f>
        <v>#NAME?</v>
      </c>
      <c r="D2112" s="24" t="e">
        <f ca="1">[1]!BexGetData("DP_1","003N8EMH8GTFRCSWKMPXRRESE","GSON1112151334")</f>
        <v>#NAME?</v>
      </c>
      <c r="E2112" s="24" t="e">
        <f ca="1">[1]!BexGetData("DP_1","003N8EMH8GTFRCSWKMPXRRL3Y","GSON1112151334")</f>
        <v>#NAME?</v>
      </c>
      <c r="F2112" s="28" t="e">
        <f ca="1">[1]!BexGetData("DP_1","003N8EMH8GTFRCSWKMPXRRRFI","GSON1112151334")</f>
        <v>#NAME?</v>
      </c>
      <c r="G2112" s="23" t="e">
        <f ca="1">[1]!BexGetData("DP_1","003N8EMH8GTFRCSWKMPXRRXR2","GSON1112151334")</f>
        <v>#NAME?</v>
      </c>
      <c r="H2112" s="23" t="e">
        <f ca="1">[1]!BexGetData("DP_1","003N8EMH8GTFRCSWKMPXRS42M","GSON1112151334")</f>
        <v>#NAME?</v>
      </c>
      <c r="I2112" s="28" t="e">
        <f ca="1">[1]!BexGetData("DP_1","003N8EMH8GTFRCSWKMPXRSAE6","GSON1112151334")</f>
        <v>#NAME?</v>
      </c>
      <c r="J2112" s="24" t="e">
        <f ca="1">[1]!BexGetData("DP_1","003N8EMH8GTFRCSWKMPXRSGPQ","GSON1112151334")</f>
        <v>#NAME?</v>
      </c>
      <c r="K2112" s="28" t="e">
        <f ca="1">[1]!BexGetData("DP_1","003N8EMH8GTFRIVNUPY288VJH","GSON1112151334")</f>
        <v>#NAME?</v>
      </c>
      <c r="L2112" s="28" t="e">
        <f ca="1">[1]!BexGetData("DP_1","003N8EMH8GTFRIVNUPY2891V1","GSON1112151334")</f>
        <v>#NAME?</v>
      </c>
      <c r="M2112" s="28" t="e">
        <f ca="1">[1]!BexGetData("DP_1","003N8EMH8GTFRIVOG7KG9IQXA","GSON1112151334")</f>
        <v>#NAME?</v>
      </c>
      <c r="N2112" s="28" t="e">
        <f ca="1">[1]!BexGetData("DP_1","003N8EMH8GTFRIVOG7KG9IX8U","GSON1112151334")</f>
        <v>#NAME?</v>
      </c>
      <c r="O2112" s="28" t="e">
        <f ca="1">[1]!BexGetData("DP_1","003N8EMH8GTFRIVOG7KG9J3KE","GSON1112151334")</f>
        <v>#NAME?</v>
      </c>
      <c r="P2112" s="28" t="e">
        <f ca="1">[1]!BexGetData("DP_1","003N8EMH8GTFRIVOG7KG9J9VY","GSON1112151334")</f>
        <v>#NAME?</v>
      </c>
      <c r="Q2112" s="24" t="e">
        <f ca="1">[1]!BexGetData("DP_1","00O2TNJGODT0G5Z4TTKYMM5MT","GSON1112151334")</f>
        <v>#NAME?</v>
      </c>
      <c r="R2112" s="28" t="e">
        <f ca="1">[1]!BexGetData("DP_1","00O2TNJGODT0G5Z4TTKYMMBYD","GSON1112151334")</f>
        <v>#NAME?</v>
      </c>
      <c r="S2112" s="28" t="e">
        <f ca="1">[1]!BexGetData("DP_1","00O2TNJGODT0G5Z4TTKYMMI9X","GSON1112151334")</f>
        <v>#NAME?</v>
      </c>
      <c r="T2112" s="28" t="e">
        <f ca="1">[1]!BexGetData("DP_1","00O2TNJGODT0G5Z4TTKYMMOLH","GSON1112151334")</f>
        <v>#NAME?</v>
      </c>
      <c r="U2112" s="28" t="e">
        <f ca="1">[1]!BexGetData("DP_1","00O2TNJGODT0G5Z4TTKYMMUX1","GSON1112151334")</f>
        <v>#NAME?</v>
      </c>
      <c r="V2112" s="28" t="e">
        <f ca="1">[1]!BexGetData("DP_1","00O2TNJGODT0G5Z4TTKYMN18L","GSON1112151334")</f>
        <v>#NAME?</v>
      </c>
      <c r="W2112" s="28" t="e">
        <f ca="1">[1]!BexGetData("DP_1","00O2TNJGODT0G5Z4TTKYMN7K5","GSON1112151334")</f>
        <v>#NAME?</v>
      </c>
    </row>
    <row r="2113" spans="1:23" x14ac:dyDescent="0.2">
      <c r="A2113" s="36" t="s">
        <v>5195</v>
      </c>
      <c r="B2113" s="27" t="s">
        <v>5196</v>
      </c>
      <c r="C2113" s="23" t="e">
        <f ca="1">[1]!BexGetData("DP_1","003N8EMH8GTFRCSWKMPXRR8GU","GSON1112151335")</f>
        <v>#NAME?</v>
      </c>
      <c r="D2113" s="23" t="e">
        <f ca="1">[1]!BexGetData("DP_1","003N8EMH8GTFRCSWKMPXRRESE","GSON1112151335")</f>
        <v>#NAME?</v>
      </c>
      <c r="E2113" s="28" t="e">
        <f ca="1">[1]!BexGetData("DP_1","003N8EMH8GTFRCSWKMPXRRL3Y","GSON1112151335")</f>
        <v>#NAME?</v>
      </c>
      <c r="F2113" s="28" t="e">
        <f ca="1">[1]!BexGetData("DP_1","003N8EMH8GTFRCSWKMPXRRRFI","GSON1112151335")</f>
        <v>#NAME?</v>
      </c>
      <c r="G2113" s="23" t="e">
        <f ca="1">[1]!BexGetData("DP_1","003N8EMH8GTFRCSWKMPXRRXR2","GSON1112151335")</f>
        <v>#NAME?</v>
      </c>
      <c r="H2113" s="23" t="e">
        <f ca="1">[1]!BexGetData("DP_1","003N8EMH8GTFRCSWKMPXRS42M","GSON1112151335")</f>
        <v>#NAME?</v>
      </c>
      <c r="I2113" s="28" t="e">
        <f ca="1">[1]!BexGetData("DP_1","003N8EMH8GTFRCSWKMPXRSAE6","GSON1112151335")</f>
        <v>#NAME?</v>
      </c>
      <c r="J2113" s="24" t="e">
        <f ca="1">[1]!BexGetData("DP_1","003N8EMH8GTFRCSWKMPXRSGPQ","GSON1112151335")</f>
        <v>#NAME?</v>
      </c>
      <c r="K2113" s="28" t="e">
        <f ca="1">[1]!BexGetData("DP_1","003N8EMH8GTFRIVNUPY288VJH","GSON1112151335")</f>
        <v>#NAME?</v>
      </c>
      <c r="L2113" s="28" t="e">
        <f ca="1">[1]!BexGetData("DP_1","003N8EMH8GTFRIVNUPY2891V1","GSON1112151335")</f>
        <v>#NAME?</v>
      </c>
      <c r="M2113" s="28" t="e">
        <f ca="1">[1]!BexGetData("DP_1","003N8EMH8GTFRIVOG7KG9IQXA","GSON1112151335")</f>
        <v>#NAME?</v>
      </c>
      <c r="N2113" s="28" t="e">
        <f ca="1">[1]!BexGetData("DP_1","003N8EMH8GTFRIVOG7KG9IX8U","GSON1112151335")</f>
        <v>#NAME?</v>
      </c>
      <c r="O2113" s="28" t="e">
        <f ca="1">[1]!BexGetData("DP_1","003N8EMH8GTFRIVOG7KG9J3KE","GSON1112151335")</f>
        <v>#NAME?</v>
      </c>
      <c r="P2113" s="28" t="e">
        <f ca="1">[1]!BexGetData("DP_1","003N8EMH8GTFRIVOG7KG9J9VY","GSON1112151335")</f>
        <v>#NAME?</v>
      </c>
      <c r="Q2113" s="24" t="e">
        <f ca="1">[1]!BexGetData("DP_1","00O2TNJGODT0G5Z4TTKYMM5MT","GSON1112151335")</f>
        <v>#NAME?</v>
      </c>
      <c r="R2113" s="28" t="e">
        <f ca="1">[1]!BexGetData("DP_1","00O2TNJGODT0G5Z4TTKYMMBYD","GSON1112151335")</f>
        <v>#NAME?</v>
      </c>
      <c r="S2113" s="28" t="e">
        <f ca="1">[1]!BexGetData("DP_1","00O2TNJGODT0G5Z4TTKYMMI9X","GSON1112151335")</f>
        <v>#NAME?</v>
      </c>
      <c r="T2113" s="28" t="e">
        <f ca="1">[1]!BexGetData("DP_1","00O2TNJGODT0G5Z4TTKYMMOLH","GSON1112151335")</f>
        <v>#NAME?</v>
      </c>
      <c r="U2113" s="28" t="e">
        <f ca="1">[1]!BexGetData("DP_1","00O2TNJGODT0G5Z4TTKYMMUX1","GSON1112151335")</f>
        <v>#NAME?</v>
      </c>
      <c r="V2113" s="28" t="e">
        <f ca="1">[1]!BexGetData("DP_1","00O2TNJGODT0G5Z4TTKYMN18L","GSON1112151335")</f>
        <v>#NAME?</v>
      </c>
      <c r="W2113" s="28" t="e">
        <f ca="1">[1]!BexGetData("DP_1","00O2TNJGODT0G5Z4TTKYMN7K5","GSON1112151335")</f>
        <v>#NAME?</v>
      </c>
    </row>
    <row r="2114" spans="1:23" x14ac:dyDescent="0.2">
      <c r="A2114" s="36" t="s">
        <v>5197</v>
      </c>
      <c r="B2114" s="27" t="s">
        <v>5198</v>
      </c>
      <c r="C2114" s="28" t="e">
        <f ca="1">[1]!BexGetData("DP_1","003N8EMH8GTFRCSWKMPXRR8GU","GSON1112151340")</f>
        <v>#NAME?</v>
      </c>
      <c r="D2114" s="23" t="e">
        <f ca="1">[1]!BexGetData("DP_1","003N8EMH8GTFRCSWKMPXRRESE","GSON1112151340")</f>
        <v>#NAME?</v>
      </c>
      <c r="E2114" s="28" t="e">
        <f ca="1">[1]!BexGetData("DP_1","003N8EMH8GTFRCSWKMPXRRL3Y","GSON1112151340")</f>
        <v>#NAME?</v>
      </c>
      <c r="F2114" s="23" t="e">
        <f ca="1">[1]!BexGetData("DP_1","003N8EMH8GTFRCSWKMPXRRRFI","GSON1112151340")</f>
        <v>#NAME?</v>
      </c>
      <c r="G2114" s="23" t="e">
        <f ca="1">[1]!BexGetData("DP_1","003N8EMH8GTFRCSWKMPXRRXR2","GSON1112151340")</f>
        <v>#NAME?</v>
      </c>
      <c r="H2114" s="23" t="e">
        <f ca="1">[1]!BexGetData("DP_1","003N8EMH8GTFRCSWKMPXRS42M","GSON1112151340")</f>
        <v>#NAME?</v>
      </c>
      <c r="I2114" s="23" t="e">
        <f ca="1">[1]!BexGetData("DP_1","003N8EMH8GTFRCSWKMPXRSAE6","GSON1112151340")</f>
        <v>#NAME?</v>
      </c>
      <c r="J2114" s="24" t="e">
        <f ca="1">[1]!BexGetData("DP_1","003N8EMH8GTFRCSWKMPXRSGPQ","GSON1112151340")</f>
        <v>#NAME?</v>
      </c>
      <c r="K2114" s="23" t="e">
        <f ca="1">[1]!BexGetData("DP_1","003N8EMH8GTFRIVNUPY288VJH","GSON1112151340")</f>
        <v>#NAME?</v>
      </c>
      <c r="L2114" s="23" t="e">
        <f ca="1">[1]!BexGetData("DP_1","003N8EMH8GTFRIVNUPY2891V1","GSON1112151340")</f>
        <v>#NAME?</v>
      </c>
      <c r="M2114" s="23" t="e">
        <f ca="1">[1]!BexGetData("DP_1","003N8EMH8GTFRIVOG7KG9IQXA","GSON1112151340")</f>
        <v>#NAME?</v>
      </c>
      <c r="N2114" s="28" t="e">
        <f ca="1">[1]!BexGetData("DP_1","003N8EMH8GTFRIVOG7KG9IX8U","GSON1112151340")</f>
        <v>#NAME?</v>
      </c>
      <c r="O2114" s="23" t="e">
        <f ca="1">[1]!BexGetData("DP_1","003N8EMH8GTFRIVOG7KG9J3KE","GSON1112151340")</f>
        <v>#NAME?</v>
      </c>
      <c r="P2114" s="28" t="e">
        <f ca="1">[1]!BexGetData("DP_1","003N8EMH8GTFRIVOG7KG9J9VY","GSON1112151340")</f>
        <v>#NAME?</v>
      </c>
      <c r="Q2114" s="24" t="e">
        <f ca="1">[1]!BexGetData("DP_1","00O2TNJGODT0G5Z4TTKYMM5MT","GSON1112151340")</f>
        <v>#NAME?</v>
      </c>
      <c r="R2114" s="23" t="e">
        <f ca="1">[1]!BexGetData("DP_1","00O2TNJGODT0G5Z4TTKYMMBYD","GSON1112151340")</f>
        <v>#NAME?</v>
      </c>
      <c r="S2114" s="23" t="e">
        <f ca="1">[1]!BexGetData("DP_1","00O2TNJGODT0G5Z4TTKYMMI9X","GSON1112151340")</f>
        <v>#NAME?</v>
      </c>
      <c r="T2114" s="28" t="e">
        <f ca="1">[1]!BexGetData("DP_1","00O2TNJGODT0G5Z4TTKYMMOLH","GSON1112151340")</f>
        <v>#NAME?</v>
      </c>
      <c r="U2114" s="23" t="e">
        <f ca="1">[1]!BexGetData("DP_1","00O2TNJGODT0G5Z4TTKYMMUX1","GSON1112151340")</f>
        <v>#NAME?</v>
      </c>
      <c r="V2114" s="28" t="e">
        <f ca="1">[1]!BexGetData("DP_1","00O2TNJGODT0G5Z4TTKYMN18L","GSON1112151340")</f>
        <v>#NAME?</v>
      </c>
      <c r="W2114" s="23" t="e">
        <f ca="1">[1]!BexGetData("DP_1","00O2TNJGODT0G5Z4TTKYMN7K5","GSON1112151340")</f>
        <v>#NAME?</v>
      </c>
    </row>
    <row r="2115" spans="1:23" x14ac:dyDescent="0.2">
      <c r="A2115" s="36" t="s">
        <v>5199</v>
      </c>
      <c r="B2115" s="27" t="s">
        <v>5200</v>
      </c>
      <c r="C2115" s="28" t="e">
        <f ca="1">[1]!BexGetData("DP_1","003N8EMH8GTFRCSWKMPXRR8GU","GSON1112151341")</f>
        <v>#NAME?</v>
      </c>
      <c r="D2115" s="28" t="e">
        <f ca="1">[1]!BexGetData("DP_1","003N8EMH8GTFRCSWKMPXRRESE","GSON1112151341")</f>
        <v>#NAME?</v>
      </c>
      <c r="E2115" s="28" t="e">
        <f ca="1">[1]!BexGetData("DP_1","003N8EMH8GTFRCSWKMPXRRL3Y","GSON1112151341")</f>
        <v>#NAME?</v>
      </c>
      <c r="F2115" s="28" t="e">
        <f ca="1">[1]!BexGetData("DP_1","003N8EMH8GTFRCSWKMPXRRRFI","GSON1112151341")</f>
        <v>#NAME?</v>
      </c>
      <c r="G2115" s="23" t="e">
        <f ca="1">[1]!BexGetData("DP_1","003N8EMH8GTFRCSWKMPXRRXR2","GSON1112151341")</f>
        <v>#NAME?</v>
      </c>
      <c r="H2115" s="23" t="e">
        <f ca="1">[1]!BexGetData("DP_1","003N8EMH8GTFRCSWKMPXRS42M","GSON1112151341")</f>
        <v>#NAME?</v>
      </c>
      <c r="I2115" s="28" t="e">
        <f ca="1">[1]!BexGetData("DP_1","003N8EMH8GTFRCSWKMPXRSAE6","GSON1112151341")</f>
        <v>#NAME?</v>
      </c>
      <c r="J2115" s="24" t="e">
        <f ca="1">[1]!BexGetData("DP_1","003N8EMH8GTFRCSWKMPXRSGPQ","GSON1112151341")</f>
        <v>#NAME?</v>
      </c>
      <c r="K2115" s="28" t="e">
        <f ca="1">[1]!BexGetData("DP_1","003N8EMH8GTFRIVNUPY288VJH","GSON1112151341")</f>
        <v>#NAME?</v>
      </c>
      <c r="L2115" s="28" t="e">
        <f ca="1">[1]!BexGetData("DP_1","003N8EMH8GTFRIVNUPY2891V1","GSON1112151341")</f>
        <v>#NAME?</v>
      </c>
      <c r="M2115" s="28" t="e">
        <f ca="1">[1]!BexGetData("DP_1","003N8EMH8GTFRIVOG7KG9IQXA","GSON1112151341")</f>
        <v>#NAME?</v>
      </c>
      <c r="N2115" s="28" t="e">
        <f ca="1">[1]!BexGetData("DP_1","003N8EMH8GTFRIVOG7KG9IX8U","GSON1112151341")</f>
        <v>#NAME?</v>
      </c>
      <c r="O2115" s="28" t="e">
        <f ca="1">[1]!BexGetData("DP_1","003N8EMH8GTFRIVOG7KG9J3KE","GSON1112151341")</f>
        <v>#NAME?</v>
      </c>
      <c r="P2115" s="28" t="e">
        <f ca="1">[1]!BexGetData("DP_1","003N8EMH8GTFRIVOG7KG9J9VY","GSON1112151341")</f>
        <v>#NAME?</v>
      </c>
      <c r="Q2115" s="24" t="e">
        <f ca="1">[1]!BexGetData("DP_1","00O2TNJGODT0G5Z4TTKYMM5MT","GSON1112151341")</f>
        <v>#NAME?</v>
      </c>
      <c r="R2115" s="28" t="e">
        <f ca="1">[1]!BexGetData("DP_1","00O2TNJGODT0G5Z4TTKYMMBYD","GSON1112151341")</f>
        <v>#NAME?</v>
      </c>
      <c r="S2115" s="28" t="e">
        <f ca="1">[1]!BexGetData("DP_1","00O2TNJGODT0G5Z4TTKYMMI9X","GSON1112151341")</f>
        <v>#NAME?</v>
      </c>
      <c r="T2115" s="28" t="e">
        <f ca="1">[1]!BexGetData("DP_1","00O2TNJGODT0G5Z4TTKYMMOLH","GSON1112151341")</f>
        <v>#NAME?</v>
      </c>
      <c r="U2115" s="28" t="e">
        <f ca="1">[1]!BexGetData("DP_1","00O2TNJGODT0G5Z4TTKYMMUX1","GSON1112151341")</f>
        <v>#NAME?</v>
      </c>
      <c r="V2115" s="28" t="e">
        <f ca="1">[1]!BexGetData("DP_1","00O2TNJGODT0G5Z4TTKYMN18L","GSON1112151341")</f>
        <v>#NAME?</v>
      </c>
      <c r="W2115" s="28" t="e">
        <f ca="1">[1]!BexGetData("DP_1","00O2TNJGODT0G5Z4TTKYMN7K5","GSON1112151341")</f>
        <v>#NAME?</v>
      </c>
    </row>
    <row r="2116" spans="1:23" x14ac:dyDescent="0.2">
      <c r="A2116" s="36" t="s">
        <v>5201</v>
      </c>
      <c r="B2116" s="27" t="s">
        <v>5202</v>
      </c>
      <c r="C2116" s="23" t="e">
        <f ca="1">[1]!BexGetData("DP_1","003N8EMH8GTFRCSWKMPXRR8GU","GSON1112151343")</f>
        <v>#NAME?</v>
      </c>
      <c r="D2116" s="23" t="e">
        <f ca="1">[1]!BexGetData("DP_1","003N8EMH8GTFRCSWKMPXRRESE","GSON1112151343")</f>
        <v>#NAME?</v>
      </c>
      <c r="E2116" s="28" t="e">
        <f ca="1">[1]!BexGetData("DP_1","003N8EMH8GTFRCSWKMPXRRL3Y","GSON1112151343")</f>
        <v>#NAME?</v>
      </c>
      <c r="F2116" s="28" t="e">
        <f ca="1">[1]!BexGetData("DP_1","003N8EMH8GTFRCSWKMPXRRRFI","GSON1112151343")</f>
        <v>#NAME?</v>
      </c>
      <c r="G2116" s="23" t="e">
        <f ca="1">[1]!BexGetData("DP_1","003N8EMH8GTFRCSWKMPXRRXR2","GSON1112151343")</f>
        <v>#NAME?</v>
      </c>
      <c r="H2116" s="23" t="e">
        <f ca="1">[1]!BexGetData("DP_1","003N8EMH8GTFRCSWKMPXRS42M","GSON1112151343")</f>
        <v>#NAME?</v>
      </c>
      <c r="I2116" s="28" t="e">
        <f ca="1">[1]!BexGetData("DP_1","003N8EMH8GTFRCSWKMPXRSAE6","GSON1112151343")</f>
        <v>#NAME?</v>
      </c>
      <c r="J2116" s="24" t="e">
        <f ca="1">[1]!BexGetData("DP_1","003N8EMH8GTFRCSWKMPXRSGPQ","GSON1112151343")</f>
        <v>#NAME?</v>
      </c>
      <c r="K2116" s="28" t="e">
        <f ca="1">[1]!BexGetData("DP_1","003N8EMH8GTFRIVNUPY288VJH","GSON1112151343")</f>
        <v>#NAME?</v>
      </c>
      <c r="L2116" s="28" t="e">
        <f ca="1">[1]!BexGetData("DP_1","003N8EMH8GTFRIVNUPY2891V1","GSON1112151343")</f>
        <v>#NAME?</v>
      </c>
      <c r="M2116" s="28" t="e">
        <f ca="1">[1]!BexGetData("DP_1","003N8EMH8GTFRIVOG7KG9IQXA","GSON1112151343")</f>
        <v>#NAME?</v>
      </c>
      <c r="N2116" s="28" t="e">
        <f ca="1">[1]!BexGetData("DP_1","003N8EMH8GTFRIVOG7KG9IX8U","GSON1112151343")</f>
        <v>#NAME?</v>
      </c>
      <c r="O2116" s="28" t="e">
        <f ca="1">[1]!BexGetData("DP_1","003N8EMH8GTFRIVOG7KG9J3KE","GSON1112151343")</f>
        <v>#NAME?</v>
      </c>
      <c r="P2116" s="28" t="e">
        <f ca="1">[1]!BexGetData("DP_1","003N8EMH8GTFRIVOG7KG9J9VY","GSON1112151343")</f>
        <v>#NAME?</v>
      </c>
      <c r="Q2116" s="24" t="e">
        <f ca="1">[1]!BexGetData("DP_1","00O2TNJGODT0G5Z4TTKYMM5MT","GSON1112151343")</f>
        <v>#NAME?</v>
      </c>
      <c r="R2116" s="28" t="e">
        <f ca="1">[1]!BexGetData("DP_1","00O2TNJGODT0G5Z4TTKYMMBYD","GSON1112151343")</f>
        <v>#NAME?</v>
      </c>
      <c r="S2116" s="28" t="e">
        <f ca="1">[1]!BexGetData("DP_1","00O2TNJGODT0G5Z4TTKYMMI9X","GSON1112151343")</f>
        <v>#NAME?</v>
      </c>
      <c r="T2116" s="28" t="e">
        <f ca="1">[1]!BexGetData("DP_1","00O2TNJGODT0G5Z4TTKYMMOLH","GSON1112151343")</f>
        <v>#NAME?</v>
      </c>
      <c r="U2116" s="28" t="e">
        <f ca="1">[1]!BexGetData("DP_1","00O2TNJGODT0G5Z4TTKYMMUX1","GSON1112151343")</f>
        <v>#NAME?</v>
      </c>
      <c r="V2116" s="28" t="e">
        <f ca="1">[1]!BexGetData("DP_1","00O2TNJGODT0G5Z4TTKYMN18L","GSON1112151343")</f>
        <v>#NAME?</v>
      </c>
      <c r="W2116" s="28" t="e">
        <f ca="1">[1]!BexGetData("DP_1","00O2TNJGODT0G5Z4TTKYMN7K5","GSON1112151343")</f>
        <v>#NAME?</v>
      </c>
    </row>
    <row r="2117" spans="1:23" x14ac:dyDescent="0.2">
      <c r="A2117" s="36" t="s">
        <v>5203</v>
      </c>
      <c r="B2117" s="27" t="s">
        <v>5204</v>
      </c>
      <c r="C2117" s="24" t="e">
        <f ca="1">[1]!BexGetData("DP_1","003N8EMH8GTFRCSWKMPXRR8GU","GSON1112151344")</f>
        <v>#NAME?</v>
      </c>
      <c r="D2117" s="24" t="e">
        <f ca="1">[1]!BexGetData("DP_1","003N8EMH8GTFRCSWKMPXRRESE","GSON1112151344")</f>
        <v>#NAME?</v>
      </c>
      <c r="E2117" s="24" t="e">
        <f ca="1">[1]!BexGetData("DP_1","003N8EMH8GTFRCSWKMPXRRL3Y","GSON1112151344")</f>
        <v>#NAME?</v>
      </c>
      <c r="F2117" s="28" t="e">
        <f ca="1">[1]!BexGetData("DP_1","003N8EMH8GTFRCSWKMPXRRRFI","GSON1112151344")</f>
        <v>#NAME?</v>
      </c>
      <c r="G2117" s="23" t="e">
        <f ca="1">[1]!BexGetData("DP_1","003N8EMH8GTFRCSWKMPXRRXR2","GSON1112151344")</f>
        <v>#NAME?</v>
      </c>
      <c r="H2117" s="23" t="e">
        <f ca="1">[1]!BexGetData("DP_1","003N8EMH8GTFRCSWKMPXRS42M","GSON1112151344")</f>
        <v>#NAME?</v>
      </c>
      <c r="I2117" s="28" t="e">
        <f ca="1">[1]!BexGetData("DP_1","003N8EMH8GTFRCSWKMPXRSAE6","GSON1112151344")</f>
        <v>#NAME?</v>
      </c>
      <c r="J2117" s="24" t="e">
        <f ca="1">[1]!BexGetData("DP_1","003N8EMH8GTFRCSWKMPXRSGPQ","GSON1112151344")</f>
        <v>#NAME?</v>
      </c>
      <c r="K2117" s="28" t="e">
        <f ca="1">[1]!BexGetData("DP_1","003N8EMH8GTFRIVNUPY288VJH","GSON1112151344")</f>
        <v>#NAME?</v>
      </c>
      <c r="L2117" s="28" t="e">
        <f ca="1">[1]!BexGetData("DP_1","003N8EMH8GTFRIVNUPY2891V1","GSON1112151344")</f>
        <v>#NAME?</v>
      </c>
      <c r="M2117" s="28" t="e">
        <f ca="1">[1]!BexGetData("DP_1","003N8EMH8GTFRIVOG7KG9IQXA","GSON1112151344")</f>
        <v>#NAME?</v>
      </c>
      <c r="N2117" s="28" t="e">
        <f ca="1">[1]!BexGetData("DP_1","003N8EMH8GTFRIVOG7KG9IX8U","GSON1112151344")</f>
        <v>#NAME?</v>
      </c>
      <c r="O2117" s="28" t="e">
        <f ca="1">[1]!BexGetData("DP_1","003N8EMH8GTFRIVOG7KG9J3KE","GSON1112151344")</f>
        <v>#NAME?</v>
      </c>
      <c r="P2117" s="28" t="e">
        <f ca="1">[1]!BexGetData("DP_1","003N8EMH8GTFRIVOG7KG9J9VY","GSON1112151344")</f>
        <v>#NAME?</v>
      </c>
      <c r="Q2117" s="24" t="e">
        <f ca="1">[1]!BexGetData("DP_1","00O2TNJGODT0G5Z4TTKYMM5MT","GSON1112151344")</f>
        <v>#NAME?</v>
      </c>
      <c r="R2117" s="28" t="e">
        <f ca="1">[1]!BexGetData("DP_1","00O2TNJGODT0G5Z4TTKYMMBYD","GSON1112151344")</f>
        <v>#NAME?</v>
      </c>
      <c r="S2117" s="28" t="e">
        <f ca="1">[1]!BexGetData("DP_1","00O2TNJGODT0G5Z4TTKYMMI9X","GSON1112151344")</f>
        <v>#NAME?</v>
      </c>
      <c r="T2117" s="28" t="e">
        <f ca="1">[1]!BexGetData("DP_1","00O2TNJGODT0G5Z4TTKYMMOLH","GSON1112151344")</f>
        <v>#NAME?</v>
      </c>
      <c r="U2117" s="28" t="e">
        <f ca="1">[1]!BexGetData("DP_1","00O2TNJGODT0G5Z4TTKYMMUX1","GSON1112151344")</f>
        <v>#NAME?</v>
      </c>
      <c r="V2117" s="28" t="e">
        <f ca="1">[1]!BexGetData("DP_1","00O2TNJGODT0G5Z4TTKYMN18L","GSON1112151344")</f>
        <v>#NAME?</v>
      </c>
      <c r="W2117" s="28" t="e">
        <f ca="1">[1]!BexGetData("DP_1","00O2TNJGODT0G5Z4TTKYMN7K5","GSON1112151344")</f>
        <v>#NAME?</v>
      </c>
    </row>
    <row r="2118" spans="1:23" x14ac:dyDescent="0.2">
      <c r="A2118" s="36" t="s">
        <v>5205</v>
      </c>
      <c r="B2118" s="27" t="s">
        <v>5206</v>
      </c>
      <c r="C2118" s="28" t="e">
        <f ca="1">[1]!BexGetData("DP_1","003N8EMH8GTFRCSWKMPXRR8GU","GSON1112151345")</f>
        <v>#NAME?</v>
      </c>
      <c r="D2118" s="28" t="e">
        <f ca="1">[1]!BexGetData("DP_1","003N8EMH8GTFRCSWKMPXRRESE","GSON1112151345")</f>
        <v>#NAME?</v>
      </c>
      <c r="E2118" s="28" t="e">
        <f ca="1">[1]!BexGetData("DP_1","003N8EMH8GTFRCSWKMPXRRL3Y","GSON1112151345")</f>
        <v>#NAME?</v>
      </c>
      <c r="F2118" s="28" t="e">
        <f ca="1">[1]!BexGetData("DP_1","003N8EMH8GTFRCSWKMPXRRRFI","GSON1112151345")</f>
        <v>#NAME?</v>
      </c>
      <c r="G2118" s="23" t="e">
        <f ca="1">[1]!BexGetData("DP_1","003N8EMH8GTFRCSWKMPXRRXR2","GSON1112151345")</f>
        <v>#NAME?</v>
      </c>
      <c r="H2118" s="23" t="e">
        <f ca="1">[1]!BexGetData("DP_1","003N8EMH8GTFRCSWKMPXRS42M","GSON1112151345")</f>
        <v>#NAME?</v>
      </c>
      <c r="I2118" s="28" t="e">
        <f ca="1">[1]!BexGetData("DP_1","003N8EMH8GTFRCSWKMPXRSAE6","GSON1112151345")</f>
        <v>#NAME?</v>
      </c>
      <c r="J2118" s="24" t="e">
        <f ca="1">[1]!BexGetData("DP_1","003N8EMH8GTFRCSWKMPXRSGPQ","GSON1112151345")</f>
        <v>#NAME?</v>
      </c>
      <c r="K2118" s="28" t="e">
        <f ca="1">[1]!BexGetData("DP_1","003N8EMH8GTFRIVNUPY288VJH","GSON1112151345")</f>
        <v>#NAME?</v>
      </c>
      <c r="L2118" s="28" t="e">
        <f ca="1">[1]!BexGetData("DP_1","003N8EMH8GTFRIVNUPY2891V1","GSON1112151345")</f>
        <v>#NAME?</v>
      </c>
      <c r="M2118" s="28" t="e">
        <f ca="1">[1]!BexGetData("DP_1","003N8EMH8GTFRIVOG7KG9IQXA","GSON1112151345")</f>
        <v>#NAME?</v>
      </c>
      <c r="N2118" s="28" t="e">
        <f ca="1">[1]!BexGetData("DP_1","003N8EMH8GTFRIVOG7KG9IX8U","GSON1112151345")</f>
        <v>#NAME?</v>
      </c>
      <c r="O2118" s="28" t="e">
        <f ca="1">[1]!BexGetData("DP_1","003N8EMH8GTFRIVOG7KG9J3KE","GSON1112151345")</f>
        <v>#NAME?</v>
      </c>
      <c r="P2118" s="28" t="e">
        <f ca="1">[1]!BexGetData("DP_1","003N8EMH8GTFRIVOG7KG9J9VY","GSON1112151345")</f>
        <v>#NAME?</v>
      </c>
      <c r="Q2118" s="24" t="e">
        <f ca="1">[1]!BexGetData("DP_1","00O2TNJGODT0G5Z4TTKYMM5MT","GSON1112151345")</f>
        <v>#NAME?</v>
      </c>
      <c r="R2118" s="28" t="e">
        <f ca="1">[1]!BexGetData("DP_1","00O2TNJGODT0G5Z4TTKYMMBYD","GSON1112151345")</f>
        <v>#NAME?</v>
      </c>
      <c r="S2118" s="28" t="e">
        <f ca="1">[1]!BexGetData("DP_1","00O2TNJGODT0G5Z4TTKYMMI9X","GSON1112151345")</f>
        <v>#NAME?</v>
      </c>
      <c r="T2118" s="28" t="e">
        <f ca="1">[1]!BexGetData("DP_1","00O2TNJGODT0G5Z4TTKYMMOLH","GSON1112151345")</f>
        <v>#NAME?</v>
      </c>
      <c r="U2118" s="28" t="e">
        <f ca="1">[1]!BexGetData("DP_1","00O2TNJGODT0G5Z4TTKYMMUX1","GSON1112151345")</f>
        <v>#NAME?</v>
      </c>
      <c r="V2118" s="28" t="e">
        <f ca="1">[1]!BexGetData("DP_1","00O2TNJGODT0G5Z4TTKYMN18L","GSON1112151345")</f>
        <v>#NAME?</v>
      </c>
      <c r="W2118" s="28" t="e">
        <f ca="1">[1]!BexGetData("DP_1","00O2TNJGODT0G5Z4TTKYMN7K5","GSON1112151345")</f>
        <v>#NAME?</v>
      </c>
    </row>
    <row r="2119" spans="1:23" x14ac:dyDescent="0.2">
      <c r="A2119" s="36" t="s">
        <v>5207</v>
      </c>
      <c r="B2119" s="27" t="s">
        <v>5208</v>
      </c>
      <c r="C2119" s="24" t="e">
        <f ca="1">[1]!BexGetData("DP_1","003N8EMH8GTFRCSWKMPXRR8GU","GSON1112151350")</f>
        <v>#NAME?</v>
      </c>
      <c r="D2119" s="24" t="e">
        <f ca="1">[1]!BexGetData("DP_1","003N8EMH8GTFRCSWKMPXRRESE","GSON1112151350")</f>
        <v>#NAME?</v>
      </c>
      <c r="E2119" s="24" t="e">
        <f ca="1">[1]!BexGetData("DP_1","003N8EMH8GTFRCSWKMPXRRL3Y","GSON1112151350")</f>
        <v>#NAME?</v>
      </c>
      <c r="F2119" s="28" t="e">
        <f ca="1">[1]!BexGetData("DP_1","003N8EMH8GTFRCSWKMPXRRRFI","GSON1112151350")</f>
        <v>#NAME?</v>
      </c>
      <c r="G2119" s="23" t="e">
        <f ca="1">[1]!BexGetData("DP_1","003N8EMH8GTFRCSWKMPXRRXR2","GSON1112151350")</f>
        <v>#NAME?</v>
      </c>
      <c r="H2119" s="23" t="e">
        <f ca="1">[1]!BexGetData("DP_1","003N8EMH8GTFRCSWKMPXRS42M","GSON1112151350")</f>
        <v>#NAME?</v>
      </c>
      <c r="I2119" s="28" t="e">
        <f ca="1">[1]!BexGetData("DP_1","003N8EMH8GTFRCSWKMPXRSAE6","GSON1112151350")</f>
        <v>#NAME?</v>
      </c>
      <c r="J2119" s="24" t="e">
        <f ca="1">[1]!BexGetData("DP_1","003N8EMH8GTFRCSWKMPXRSGPQ","GSON1112151350")</f>
        <v>#NAME?</v>
      </c>
      <c r="K2119" s="28" t="e">
        <f ca="1">[1]!BexGetData("DP_1","003N8EMH8GTFRIVNUPY288VJH","GSON1112151350")</f>
        <v>#NAME?</v>
      </c>
      <c r="L2119" s="28" t="e">
        <f ca="1">[1]!BexGetData("DP_1","003N8EMH8GTFRIVNUPY2891V1","GSON1112151350")</f>
        <v>#NAME?</v>
      </c>
      <c r="M2119" s="28" t="e">
        <f ca="1">[1]!BexGetData("DP_1","003N8EMH8GTFRIVOG7KG9IQXA","GSON1112151350")</f>
        <v>#NAME?</v>
      </c>
      <c r="N2119" s="28" t="e">
        <f ca="1">[1]!BexGetData("DP_1","003N8EMH8GTFRIVOG7KG9IX8U","GSON1112151350")</f>
        <v>#NAME?</v>
      </c>
      <c r="O2119" s="28" t="e">
        <f ca="1">[1]!BexGetData("DP_1","003N8EMH8GTFRIVOG7KG9J3KE","GSON1112151350")</f>
        <v>#NAME?</v>
      </c>
      <c r="P2119" s="28" t="e">
        <f ca="1">[1]!BexGetData("DP_1","003N8EMH8GTFRIVOG7KG9J9VY","GSON1112151350")</f>
        <v>#NAME?</v>
      </c>
      <c r="Q2119" s="24" t="e">
        <f ca="1">[1]!BexGetData("DP_1","00O2TNJGODT0G5Z4TTKYMM5MT","GSON1112151350")</f>
        <v>#NAME?</v>
      </c>
      <c r="R2119" s="28" t="e">
        <f ca="1">[1]!BexGetData("DP_1","00O2TNJGODT0G5Z4TTKYMMBYD","GSON1112151350")</f>
        <v>#NAME?</v>
      </c>
      <c r="S2119" s="28" t="e">
        <f ca="1">[1]!BexGetData("DP_1","00O2TNJGODT0G5Z4TTKYMMI9X","GSON1112151350")</f>
        <v>#NAME?</v>
      </c>
      <c r="T2119" s="28" t="e">
        <f ca="1">[1]!BexGetData("DP_1","00O2TNJGODT0G5Z4TTKYMMOLH","GSON1112151350")</f>
        <v>#NAME?</v>
      </c>
      <c r="U2119" s="28" t="e">
        <f ca="1">[1]!BexGetData("DP_1","00O2TNJGODT0G5Z4TTKYMMUX1","GSON1112151350")</f>
        <v>#NAME?</v>
      </c>
      <c r="V2119" s="28" t="e">
        <f ca="1">[1]!BexGetData("DP_1","00O2TNJGODT0G5Z4TTKYMN18L","GSON1112151350")</f>
        <v>#NAME?</v>
      </c>
      <c r="W2119" s="28" t="e">
        <f ca="1">[1]!BexGetData("DP_1","00O2TNJGODT0G5Z4TTKYMN7K5","GSON1112151350")</f>
        <v>#NAME?</v>
      </c>
    </row>
    <row r="2120" spans="1:23" x14ac:dyDescent="0.2">
      <c r="A2120" s="36" t="s">
        <v>5209</v>
      </c>
      <c r="B2120" s="27" t="s">
        <v>5210</v>
      </c>
      <c r="C2120" s="28" t="e">
        <f ca="1">[1]!BexGetData("DP_1","003N8EMH8GTFRCSWKMPXRR8GU","GSON1112151351")</f>
        <v>#NAME?</v>
      </c>
      <c r="D2120" s="28" t="e">
        <f ca="1">[1]!BexGetData("DP_1","003N8EMH8GTFRCSWKMPXRRESE","GSON1112151351")</f>
        <v>#NAME?</v>
      </c>
      <c r="E2120" s="28" t="e">
        <f ca="1">[1]!BexGetData("DP_1","003N8EMH8GTFRCSWKMPXRRL3Y","GSON1112151351")</f>
        <v>#NAME?</v>
      </c>
      <c r="F2120" s="28" t="e">
        <f ca="1">[1]!BexGetData("DP_1","003N8EMH8GTFRCSWKMPXRRRFI","GSON1112151351")</f>
        <v>#NAME?</v>
      </c>
      <c r="G2120" s="23" t="e">
        <f ca="1">[1]!BexGetData("DP_1","003N8EMH8GTFRCSWKMPXRRXR2","GSON1112151351")</f>
        <v>#NAME?</v>
      </c>
      <c r="H2120" s="23" t="e">
        <f ca="1">[1]!BexGetData("DP_1","003N8EMH8GTFRCSWKMPXRS42M","GSON1112151351")</f>
        <v>#NAME?</v>
      </c>
      <c r="I2120" s="28" t="e">
        <f ca="1">[1]!BexGetData("DP_1","003N8EMH8GTFRCSWKMPXRSAE6","GSON1112151351")</f>
        <v>#NAME?</v>
      </c>
      <c r="J2120" s="24" t="e">
        <f ca="1">[1]!BexGetData("DP_1","003N8EMH8GTFRCSWKMPXRSGPQ","GSON1112151351")</f>
        <v>#NAME?</v>
      </c>
      <c r="K2120" s="28" t="e">
        <f ca="1">[1]!BexGetData("DP_1","003N8EMH8GTFRIVNUPY288VJH","GSON1112151351")</f>
        <v>#NAME?</v>
      </c>
      <c r="L2120" s="28" t="e">
        <f ca="1">[1]!BexGetData("DP_1","003N8EMH8GTFRIVNUPY2891V1","GSON1112151351")</f>
        <v>#NAME?</v>
      </c>
      <c r="M2120" s="28" t="e">
        <f ca="1">[1]!BexGetData("DP_1","003N8EMH8GTFRIVOG7KG9IQXA","GSON1112151351")</f>
        <v>#NAME?</v>
      </c>
      <c r="N2120" s="28" t="e">
        <f ca="1">[1]!BexGetData("DP_1","003N8EMH8GTFRIVOG7KG9IX8U","GSON1112151351")</f>
        <v>#NAME?</v>
      </c>
      <c r="O2120" s="28" t="e">
        <f ca="1">[1]!BexGetData("DP_1","003N8EMH8GTFRIVOG7KG9J3KE","GSON1112151351")</f>
        <v>#NAME?</v>
      </c>
      <c r="P2120" s="28" t="e">
        <f ca="1">[1]!BexGetData("DP_1","003N8EMH8GTFRIVOG7KG9J9VY","GSON1112151351")</f>
        <v>#NAME?</v>
      </c>
      <c r="Q2120" s="24" t="e">
        <f ca="1">[1]!BexGetData("DP_1","00O2TNJGODT0G5Z4TTKYMM5MT","GSON1112151351")</f>
        <v>#NAME?</v>
      </c>
      <c r="R2120" s="28" t="e">
        <f ca="1">[1]!BexGetData("DP_1","00O2TNJGODT0G5Z4TTKYMMBYD","GSON1112151351")</f>
        <v>#NAME?</v>
      </c>
      <c r="S2120" s="28" t="e">
        <f ca="1">[1]!BexGetData("DP_1","00O2TNJGODT0G5Z4TTKYMMI9X","GSON1112151351")</f>
        <v>#NAME?</v>
      </c>
      <c r="T2120" s="28" t="e">
        <f ca="1">[1]!BexGetData("DP_1","00O2TNJGODT0G5Z4TTKYMMOLH","GSON1112151351")</f>
        <v>#NAME?</v>
      </c>
      <c r="U2120" s="28" t="e">
        <f ca="1">[1]!BexGetData("DP_1","00O2TNJGODT0G5Z4TTKYMMUX1","GSON1112151351")</f>
        <v>#NAME?</v>
      </c>
      <c r="V2120" s="28" t="e">
        <f ca="1">[1]!BexGetData("DP_1","00O2TNJGODT0G5Z4TTKYMN18L","GSON1112151351")</f>
        <v>#NAME?</v>
      </c>
      <c r="W2120" s="28" t="e">
        <f ca="1">[1]!BexGetData("DP_1","00O2TNJGODT0G5Z4TTKYMN7K5","GSON1112151351")</f>
        <v>#NAME?</v>
      </c>
    </row>
    <row r="2121" spans="1:23" x14ac:dyDescent="0.2">
      <c r="A2121" s="36" t="s">
        <v>5211</v>
      </c>
      <c r="B2121" s="27" t="s">
        <v>5212</v>
      </c>
      <c r="C2121" s="24" t="e">
        <f ca="1">[1]!BexGetData("DP_1","003N8EMH8GTFRCSWKMPXRR8GU","GSON1112151353")</f>
        <v>#NAME?</v>
      </c>
      <c r="D2121" s="24" t="e">
        <f ca="1">[1]!BexGetData("DP_1","003N8EMH8GTFRCSWKMPXRRESE","GSON1112151353")</f>
        <v>#NAME?</v>
      </c>
      <c r="E2121" s="24" t="e">
        <f ca="1">[1]!BexGetData("DP_1","003N8EMH8GTFRCSWKMPXRRL3Y","GSON1112151353")</f>
        <v>#NAME?</v>
      </c>
      <c r="F2121" s="28" t="e">
        <f ca="1">[1]!BexGetData("DP_1","003N8EMH8GTFRCSWKMPXRRRFI","GSON1112151353")</f>
        <v>#NAME?</v>
      </c>
      <c r="G2121" s="23" t="e">
        <f ca="1">[1]!BexGetData("DP_1","003N8EMH8GTFRCSWKMPXRRXR2","GSON1112151353")</f>
        <v>#NAME?</v>
      </c>
      <c r="H2121" s="23" t="e">
        <f ca="1">[1]!BexGetData("DP_1","003N8EMH8GTFRCSWKMPXRS42M","GSON1112151353")</f>
        <v>#NAME?</v>
      </c>
      <c r="I2121" s="28" t="e">
        <f ca="1">[1]!BexGetData("DP_1","003N8EMH8GTFRCSWKMPXRSAE6","GSON1112151353")</f>
        <v>#NAME?</v>
      </c>
      <c r="J2121" s="24" t="e">
        <f ca="1">[1]!BexGetData("DP_1","003N8EMH8GTFRCSWKMPXRSGPQ","GSON1112151353")</f>
        <v>#NAME?</v>
      </c>
      <c r="K2121" s="28" t="e">
        <f ca="1">[1]!BexGetData("DP_1","003N8EMH8GTFRIVNUPY288VJH","GSON1112151353")</f>
        <v>#NAME?</v>
      </c>
      <c r="L2121" s="28" t="e">
        <f ca="1">[1]!BexGetData("DP_1","003N8EMH8GTFRIVNUPY2891V1","GSON1112151353")</f>
        <v>#NAME?</v>
      </c>
      <c r="M2121" s="28" t="e">
        <f ca="1">[1]!BexGetData("DP_1","003N8EMH8GTFRIVOG7KG9IQXA","GSON1112151353")</f>
        <v>#NAME?</v>
      </c>
      <c r="N2121" s="28" t="e">
        <f ca="1">[1]!BexGetData("DP_1","003N8EMH8GTFRIVOG7KG9IX8U","GSON1112151353")</f>
        <v>#NAME?</v>
      </c>
      <c r="O2121" s="28" t="e">
        <f ca="1">[1]!BexGetData("DP_1","003N8EMH8GTFRIVOG7KG9J3KE","GSON1112151353")</f>
        <v>#NAME?</v>
      </c>
      <c r="P2121" s="28" t="e">
        <f ca="1">[1]!BexGetData("DP_1","003N8EMH8GTFRIVOG7KG9J9VY","GSON1112151353")</f>
        <v>#NAME?</v>
      </c>
      <c r="Q2121" s="24" t="e">
        <f ca="1">[1]!BexGetData("DP_1","00O2TNJGODT0G5Z4TTKYMM5MT","GSON1112151353")</f>
        <v>#NAME?</v>
      </c>
      <c r="R2121" s="28" t="e">
        <f ca="1">[1]!BexGetData("DP_1","00O2TNJGODT0G5Z4TTKYMMBYD","GSON1112151353")</f>
        <v>#NAME?</v>
      </c>
      <c r="S2121" s="28" t="e">
        <f ca="1">[1]!BexGetData("DP_1","00O2TNJGODT0G5Z4TTKYMMI9X","GSON1112151353")</f>
        <v>#NAME?</v>
      </c>
      <c r="T2121" s="28" t="e">
        <f ca="1">[1]!BexGetData("DP_1","00O2TNJGODT0G5Z4TTKYMMOLH","GSON1112151353")</f>
        <v>#NAME?</v>
      </c>
      <c r="U2121" s="28" t="e">
        <f ca="1">[1]!BexGetData("DP_1","00O2TNJGODT0G5Z4TTKYMMUX1","GSON1112151353")</f>
        <v>#NAME?</v>
      </c>
      <c r="V2121" s="28" t="e">
        <f ca="1">[1]!BexGetData("DP_1","00O2TNJGODT0G5Z4TTKYMN18L","GSON1112151353")</f>
        <v>#NAME?</v>
      </c>
      <c r="W2121" s="28" t="e">
        <f ca="1">[1]!BexGetData("DP_1","00O2TNJGODT0G5Z4TTKYMN7K5","GSON1112151353")</f>
        <v>#NAME?</v>
      </c>
    </row>
    <row r="2122" spans="1:23" x14ac:dyDescent="0.2">
      <c r="A2122" s="36" t="s">
        <v>5213</v>
      </c>
      <c r="B2122" s="27" t="s">
        <v>5214</v>
      </c>
      <c r="C2122" s="24" t="e">
        <f ca="1">[1]!BexGetData("DP_1","003N8EMH8GTFRCSWKMPXRR8GU","GSON1112151354")</f>
        <v>#NAME?</v>
      </c>
      <c r="D2122" s="24" t="e">
        <f ca="1">[1]!BexGetData("DP_1","003N8EMH8GTFRCSWKMPXRRESE","GSON1112151354")</f>
        <v>#NAME?</v>
      </c>
      <c r="E2122" s="24" t="e">
        <f ca="1">[1]!BexGetData("DP_1","003N8EMH8GTFRCSWKMPXRRL3Y","GSON1112151354")</f>
        <v>#NAME?</v>
      </c>
      <c r="F2122" s="28" t="e">
        <f ca="1">[1]!BexGetData("DP_1","003N8EMH8GTFRCSWKMPXRRRFI","GSON1112151354")</f>
        <v>#NAME?</v>
      </c>
      <c r="G2122" s="23" t="e">
        <f ca="1">[1]!BexGetData("DP_1","003N8EMH8GTFRCSWKMPXRRXR2","GSON1112151354")</f>
        <v>#NAME?</v>
      </c>
      <c r="H2122" s="23" t="e">
        <f ca="1">[1]!BexGetData("DP_1","003N8EMH8GTFRCSWKMPXRS42M","GSON1112151354")</f>
        <v>#NAME?</v>
      </c>
      <c r="I2122" s="28" t="e">
        <f ca="1">[1]!BexGetData("DP_1","003N8EMH8GTFRCSWKMPXRSAE6","GSON1112151354")</f>
        <v>#NAME?</v>
      </c>
      <c r="J2122" s="24" t="e">
        <f ca="1">[1]!BexGetData("DP_1","003N8EMH8GTFRCSWKMPXRSGPQ","GSON1112151354")</f>
        <v>#NAME?</v>
      </c>
      <c r="K2122" s="28" t="e">
        <f ca="1">[1]!BexGetData("DP_1","003N8EMH8GTFRIVNUPY288VJH","GSON1112151354")</f>
        <v>#NAME?</v>
      </c>
      <c r="L2122" s="28" t="e">
        <f ca="1">[1]!BexGetData("DP_1","003N8EMH8GTFRIVNUPY2891V1","GSON1112151354")</f>
        <v>#NAME?</v>
      </c>
      <c r="M2122" s="28" t="e">
        <f ca="1">[1]!BexGetData("DP_1","003N8EMH8GTFRIVOG7KG9IQXA","GSON1112151354")</f>
        <v>#NAME?</v>
      </c>
      <c r="N2122" s="28" t="e">
        <f ca="1">[1]!BexGetData("DP_1","003N8EMH8GTFRIVOG7KG9IX8U","GSON1112151354")</f>
        <v>#NAME?</v>
      </c>
      <c r="O2122" s="28" t="e">
        <f ca="1">[1]!BexGetData("DP_1","003N8EMH8GTFRIVOG7KG9J3KE","GSON1112151354")</f>
        <v>#NAME?</v>
      </c>
      <c r="P2122" s="28" t="e">
        <f ca="1">[1]!BexGetData("DP_1","003N8EMH8GTFRIVOG7KG9J9VY","GSON1112151354")</f>
        <v>#NAME?</v>
      </c>
      <c r="Q2122" s="24" t="e">
        <f ca="1">[1]!BexGetData("DP_1","00O2TNJGODT0G5Z4TTKYMM5MT","GSON1112151354")</f>
        <v>#NAME?</v>
      </c>
      <c r="R2122" s="28" t="e">
        <f ca="1">[1]!BexGetData("DP_1","00O2TNJGODT0G5Z4TTKYMMBYD","GSON1112151354")</f>
        <v>#NAME?</v>
      </c>
      <c r="S2122" s="28" t="e">
        <f ca="1">[1]!BexGetData("DP_1","00O2TNJGODT0G5Z4TTKYMMI9X","GSON1112151354")</f>
        <v>#NAME?</v>
      </c>
      <c r="T2122" s="28" t="e">
        <f ca="1">[1]!BexGetData("DP_1","00O2TNJGODT0G5Z4TTKYMMOLH","GSON1112151354")</f>
        <v>#NAME?</v>
      </c>
      <c r="U2122" s="28" t="e">
        <f ca="1">[1]!BexGetData("DP_1","00O2TNJGODT0G5Z4TTKYMMUX1","GSON1112151354")</f>
        <v>#NAME?</v>
      </c>
      <c r="V2122" s="28" t="e">
        <f ca="1">[1]!BexGetData("DP_1","00O2TNJGODT0G5Z4TTKYMN18L","GSON1112151354")</f>
        <v>#NAME?</v>
      </c>
      <c r="W2122" s="28" t="e">
        <f ca="1">[1]!BexGetData("DP_1","00O2TNJGODT0G5Z4TTKYMN7K5","GSON1112151354")</f>
        <v>#NAME?</v>
      </c>
    </row>
    <row r="2123" spans="1:23" x14ac:dyDescent="0.2">
      <c r="A2123" s="36" t="s">
        <v>5215</v>
      </c>
      <c r="B2123" s="27" t="s">
        <v>5216</v>
      </c>
      <c r="C2123" s="28" t="e">
        <f ca="1">[1]!BexGetData("DP_1","003N8EMH8GTFRCSWKMPXRR8GU","GSON1112151355")</f>
        <v>#NAME?</v>
      </c>
      <c r="D2123" s="28" t="e">
        <f ca="1">[1]!BexGetData("DP_1","003N8EMH8GTFRCSWKMPXRRESE","GSON1112151355")</f>
        <v>#NAME?</v>
      </c>
      <c r="E2123" s="28" t="e">
        <f ca="1">[1]!BexGetData("DP_1","003N8EMH8GTFRCSWKMPXRRL3Y","GSON1112151355")</f>
        <v>#NAME?</v>
      </c>
      <c r="F2123" s="28" t="e">
        <f ca="1">[1]!BexGetData("DP_1","003N8EMH8GTFRCSWKMPXRRRFI","GSON1112151355")</f>
        <v>#NAME?</v>
      </c>
      <c r="G2123" s="23" t="e">
        <f ca="1">[1]!BexGetData("DP_1","003N8EMH8GTFRCSWKMPXRRXR2","GSON1112151355")</f>
        <v>#NAME?</v>
      </c>
      <c r="H2123" s="23" t="e">
        <f ca="1">[1]!BexGetData("DP_1","003N8EMH8GTFRCSWKMPXRS42M","GSON1112151355")</f>
        <v>#NAME?</v>
      </c>
      <c r="I2123" s="28" t="e">
        <f ca="1">[1]!BexGetData("DP_1","003N8EMH8GTFRCSWKMPXRSAE6","GSON1112151355")</f>
        <v>#NAME?</v>
      </c>
      <c r="J2123" s="24" t="e">
        <f ca="1">[1]!BexGetData("DP_1","003N8EMH8GTFRCSWKMPXRSGPQ","GSON1112151355")</f>
        <v>#NAME?</v>
      </c>
      <c r="K2123" s="28" t="e">
        <f ca="1">[1]!BexGetData("DP_1","003N8EMH8GTFRIVNUPY288VJH","GSON1112151355")</f>
        <v>#NAME?</v>
      </c>
      <c r="L2123" s="28" t="e">
        <f ca="1">[1]!BexGetData("DP_1","003N8EMH8GTFRIVNUPY2891V1","GSON1112151355")</f>
        <v>#NAME?</v>
      </c>
      <c r="M2123" s="28" t="e">
        <f ca="1">[1]!BexGetData("DP_1","003N8EMH8GTFRIVOG7KG9IQXA","GSON1112151355")</f>
        <v>#NAME?</v>
      </c>
      <c r="N2123" s="28" t="e">
        <f ca="1">[1]!BexGetData("DP_1","003N8EMH8GTFRIVOG7KG9IX8U","GSON1112151355")</f>
        <v>#NAME?</v>
      </c>
      <c r="O2123" s="28" t="e">
        <f ca="1">[1]!BexGetData("DP_1","003N8EMH8GTFRIVOG7KG9J3KE","GSON1112151355")</f>
        <v>#NAME?</v>
      </c>
      <c r="P2123" s="28" t="e">
        <f ca="1">[1]!BexGetData("DP_1","003N8EMH8GTFRIVOG7KG9J9VY","GSON1112151355")</f>
        <v>#NAME?</v>
      </c>
      <c r="Q2123" s="24" t="e">
        <f ca="1">[1]!BexGetData("DP_1","00O2TNJGODT0G5Z4TTKYMM5MT","GSON1112151355")</f>
        <v>#NAME?</v>
      </c>
      <c r="R2123" s="28" t="e">
        <f ca="1">[1]!BexGetData("DP_1","00O2TNJGODT0G5Z4TTKYMMBYD","GSON1112151355")</f>
        <v>#NAME?</v>
      </c>
      <c r="S2123" s="28" t="e">
        <f ca="1">[1]!BexGetData("DP_1","00O2TNJGODT0G5Z4TTKYMMI9X","GSON1112151355")</f>
        <v>#NAME?</v>
      </c>
      <c r="T2123" s="28" t="e">
        <f ca="1">[1]!BexGetData("DP_1","00O2TNJGODT0G5Z4TTKYMMOLH","GSON1112151355")</f>
        <v>#NAME?</v>
      </c>
      <c r="U2123" s="28" t="e">
        <f ca="1">[1]!BexGetData("DP_1","00O2TNJGODT0G5Z4TTKYMMUX1","GSON1112151355")</f>
        <v>#NAME?</v>
      </c>
      <c r="V2123" s="28" t="e">
        <f ca="1">[1]!BexGetData("DP_1","00O2TNJGODT0G5Z4TTKYMN18L","GSON1112151355")</f>
        <v>#NAME?</v>
      </c>
      <c r="W2123" s="28" t="e">
        <f ca="1">[1]!BexGetData("DP_1","00O2TNJGODT0G5Z4TTKYMN7K5","GSON1112151355")</f>
        <v>#NAME?</v>
      </c>
    </row>
    <row r="2124" spans="1:23" x14ac:dyDescent="0.2">
      <c r="A2124" s="36" t="s">
        <v>5217</v>
      </c>
      <c r="B2124" s="27" t="s">
        <v>5218</v>
      </c>
      <c r="C2124" s="28" t="e">
        <f ca="1">[1]!BexGetData("DP_1","003N8EMH8GTFRCSWKMPXRR8GU","GSON1112151360")</f>
        <v>#NAME?</v>
      </c>
      <c r="D2124" s="23" t="e">
        <f ca="1">[1]!BexGetData("DP_1","003N8EMH8GTFRCSWKMPXRRESE","GSON1112151360")</f>
        <v>#NAME?</v>
      </c>
      <c r="E2124" s="28" t="e">
        <f ca="1">[1]!BexGetData("DP_1","003N8EMH8GTFRCSWKMPXRRL3Y","GSON1112151360")</f>
        <v>#NAME?</v>
      </c>
      <c r="F2124" s="23" t="e">
        <f ca="1">[1]!BexGetData("DP_1","003N8EMH8GTFRCSWKMPXRRRFI","GSON1112151360")</f>
        <v>#NAME?</v>
      </c>
      <c r="G2124" s="23" t="e">
        <f ca="1">[1]!BexGetData("DP_1","003N8EMH8GTFRCSWKMPXRRXR2","GSON1112151360")</f>
        <v>#NAME?</v>
      </c>
      <c r="H2124" s="23" t="e">
        <f ca="1">[1]!BexGetData("DP_1","003N8EMH8GTFRCSWKMPXRS42M","GSON1112151360")</f>
        <v>#NAME?</v>
      </c>
      <c r="I2124" s="23" t="e">
        <f ca="1">[1]!BexGetData("DP_1","003N8EMH8GTFRCSWKMPXRSAE6","GSON1112151360")</f>
        <v>#NAME?</v>
      </c>
      <c r="J2124" s="24" t="e">
        <f ca="1">[1]!BexGetData("DP_1","003N8EMH8GTFRCSWKMPXRSGPQ","GSON1112151360")</f>
        <v>#NAME?</v>
      </c>
      <c r="K2124" s="23" t="e">
        <f ca="1">[1]!BexGetData("DP_1","003N8EMH8GTFRIVNUPY288VJH","GSON1112151360")</f>
        <v>#NAME?</v>
      </c>
      <c r="L2124" s="23" t="e">
        <f ca="1">[1]!BexGetData("DP_1","003N8EMH8GTFRIVNUPY2891V1","GSON1112151360")</f>
        <v>#NAME?</v>
      </c>
      <c r="M2124" s="23" t="e">
        <f ca="1">[1]!BexGetData("DP_1","003N8EMH8GTFRIVOG7KG9IQXA","GSON1112151360")</f>
        <v>#NAME?</v>
      </c>
      <c r="N2124" s="28" t="e">
        <f ca="1">[1]!BexGetData("DP_1","003N8EMH8GTFRIVOG7KG9IX8U","GSON1112151360")</f>
        <v>#NAME?</v>
      </c>
      <c r="O2124" s="23" t="e">
        <f ca="1">[1]!BexGetData("DP_1","003N8EMH8GTFRIVOG7KG9J3KE","GSON1112151360")</f>
        <v>#NAME?</v>
      </c>
      <c r="P2124" s="28" t="e">
        <f ca="1">[1]!BexGetData("DP_1","003N8EMH8GTFRIVOG7KG9J9VY","GSON1112151360")</f>
        <v>#NAME?</v>
      </c>
      <c r="Q2124" s="24" t="e">
        <f ca="1">[1]!BexGetData("DP_1","00O2TNJGODT0G5Z4TTKYMM5MT","GSON1112151360")</f>
        <v>#NAME?</v>
      </c>
      <c r="R2124" s="23" t="e">
        <f ca="1">[1]!BexGetData("DP_1","00O2TNJGODT0G5Z4TTKYMMBYD","GSON1112151360")</f>
        <v>#NAME?</v>
      </c>
      <c r="S2124" s="23" t="e">
        <f ca="1">[1]!BexGetData("DP_1","00O2TNJGODT0G5Z4TTKYMMI9X","GSON1112151360")</f>
        <v>#NAME?</v>
      </c>
      <c r="T2124" s="28" t="e">
        <f ca="1">[1]!BexGetData("DP_1","00O2TNJGODT0G5Z4TTKYMMOLH","GSON1112151360")</f>
        <v>#NAME?</v>
      </c>
      <c r="U2124" s="23" t="e">
        <f ca="1">[1]!BexGetData("DP_1","00O2TNJGODT0G5Z4TTKYMMUX1","GSON1112151360")</f>
        <v>#NAME?</v>
      </c>
      <c r="V2124" s="28" t="e">
        <f ca="1">[1]!BexGetData("DP_1","00O2TNJGODT0G5Z4TTKYMN18L","GSON1112151360")</f>
        <v>#NAME?</v>
      </c>
      <c r="W2124" s="23" t="e">
        <f ca="1">[1]!BexGetData("DP_1","00O2TNJGODT0G5Z4TTKYMN7K5","GSON1112151360")</f>
        <v>#NAME?</v>
      </c>
    </row>
    <row r="2125" spans="1:23" x14ac:dyDescent="0.2">
      <c r="A2125" s="36" t="s">
        <v>5219</v>
      </c>
      <c r="B2125" s="27" t="s">
        <v>5220</v>
      </c>
      <c r="C2125" s="28" t="e">
        <f ca="1">[1]!BexGetData("DP_1","003N8EMH8GTFRCSWKMPXRR8GU","GSON1112151361")</f>
        <v>#NAME?</v>
      </c>
      <c r="D2125" s="28" t="e">
        <f ca="1">[1]!BexGetData("DP_1","003N8EMH8GTFRCSWKMPXRRESE","GSON1112151361")</f>
        <v>#NAME?</v>
      </c>
      <c r="E2125" s="28" t="e">
        <f ca="1">[1]!BexGetData("DP_1","003N8EMH8GTFRCSWKMPXRRL3Y","GSON1112151361")</f>
        <v>#NAME?</v>
      </c>
      <c r="F2125" s="28" t="e">
        <f ca="1">[1]!BexGetData("DP_1","003N8EMH8GTFRCSWKMPXRRRFI","GSON1112151361")</f>
        <v>#NAME?</v>
      </c>
      <c r="G2125" s="23" t="e">
        <f ca="1">[1]!BexGetData("DP_1","003N8EMH8GTFRCSWKMPXRRXR2","GSON1112151361")</f>
        <v>#NAME?</v>
      </c>
      <c r="H2125" s="23" t="e">
        <f ca="1">[1]!BexGetData("DP_1","003N8EMH8GTFRCSWKMPXRS42M","GSON1112151361")</f>
        <v>#NAME?</v>
      </c>
      <c r="I2125" s="28" t="e">
        <f ca="1">[1]!BexGetData("DP_1","003N8EMH8GTFRCSWKMPXRSAE6","GSON1112151361")</f>
        <v>#NAME?</v>
      </c>
      <c r="J2125" s="24" t="e">
        <f ca="1">[1]!BexGetData("DP_1","003N8EMH8GTFRCSWKMPXRSGPQ","GSON1112151361")</f>
        <v>#NAME?</v>
      </c>
      <c r="K2125" s="28" t="e">
        <f ca="1">[1]!BexGetData("DP_1","003N8EMH8GTFRIVNUPY288VJH","GSON1112151361")</f>
        <v>#NAME?</v>
      </c>
      <c r="L2125" s="28" t="e">
        <f ca="1">[1]!BexGetData("DP_1","003N8EMH8GTFRIVNUPY2891V1","GSON1112151361")</f>
        <v>#NAME?</v>
      </c>
      <c r="M2125" s="28" t="e">
        <f ca="1">[1]!BexGetData("DP_1","003N8EMH8GTFRIVOG7KG9IQXA","GSON1112151361")</f>
        <v>#NAME?</v>
      </c>
      <c r="N2125" s="28" t="e">
        <f ca="1">[1]!BexGetData("DP_1","003N8EMH8GTFRIVOG7KG9IX8U","GSON1112151361")</f>
        <v>#NAME?</v>
      </c>
      <c r="O2125" s="28" t="e">
        <f ca="1">[1]!BexGetData("DP_1","003N8EMH8GTFRIVOG7KG9J3KE","GSON1112151361")</f>
        <v>#NAME?</v>
      </c>
      <c r="P2125" s="28" t="e">
        <f ca="1">[1]!BexGetData("DP_1","003N8EMH8GTFRIVOG7KG9J9VY","GSON1112151361")</f>
        <v>#NAME?</v>
      </c>
      <c r="Q2125" s="24" t="e">
        <f ca="1">[1]!BexGetData("DP_1","00O2TNJGODT0G5Z4TTKYMM5MT","GSON1112151361")</f>
        <v>#NAME?</v>
      </c>
      <c r="R2125" s="28" t="e">
        <f ca="1">[1]!BexGetData("DP_1","00O2TNJGODT0G5Z4TTKYMMBYD","GSON1112151361")</f>
        <v>#NAME?</v>
      </c>
      <c r="S2125" s="28" t="e">
        <f ca="1">[1]!BexGetData("DP_1","00O2TNJGODT0G5Z4TTKYMMI9X","GSON1112151361")</f>
        <v>#NAME?</v>
      </c>
      <c r="T2125" s="28" t="e">
        <f ca="1">[1]!BexGetData("DP_1","00O2TNJGODT0G5Z4TTKYMMOLH","GSON1112151361")</f>
        <v>#NAME?</v>
      </c>
      <c r="U2125" s="28" t="e">
        <f ca="1">[1]!BexGetData("DP_1","00O2TNJGODT0G5Z4TTKYMMUX1","GSON1112151361")</f>
        <v>#NAME?</v>
      </c>
      <c r="V2125" s="28" t="e">
        <f ca="1">[1]!BexGetData("DP_1","00O2TNJGODT0G5Z4TTKYMN18L","GSON1112151361")</f>
        <v>#NAME?</v>
      </c>
      <c r="W2125" s="28" t="e">
        <f ca="1">[1]!BexGetData("DP_1","00O2TNJGODT0G5Z4TTKYMN7K5","GSON1112151361")</f>
        <v>#NAME?</v>
      </c>
    </row>
    <row r="2126" spans="1:23" x14ac:dyDescent="0.2">
      <c r="A2126" s="36" t="s">
        <v>5221</v>
      </c>
      <c r="B2126" s="27" t="s">
        <v>5222</v>
      </c>
      <c r="C2126" s="23" t="e">
        <f ca="1">[1]!BexGetData("DP_1","003N8EMH8GTFRCSWKMPXRR8GU","GSON1112151363")</f>
        <v>#NAME?</v>
      </c>
      <c r="D2126" s="23" t="e">
        <f ca="1">[1]!BexGetData("DP_1","003N8EMH8GTFRCSWKMPXRRESE","GSON1112151363")</f>
        <v>#NAME?</v>
      </c>
      <c r="E2126" s="28" t="e">
        <f ca="1">[1]!BexGetData("DP_1","003N8EMH8GTFRCSWKMPXRRL3Y","GSON1112151363")</f>
        <v>#NAME?</v>
      </c>
      <c r="F2126" s="28" t="e">
        <f ca="1">[1]!BexGetData("DP_1","003N8EMH8GTFRCSWKMPXRRRFI","GSON1112151363")</f>
        <v>#NAME?</v>
      </c>
      <c r="G2126" s="23" t="e">
        <f ca="1">[1]!BexGetData("DP_1","003N8EMH8GTFRCSWKMPXRRXR2","GSON1112151363")</f>
        <v>#NAME?</v>
      </c>
      <c r="H2126" s="23" t="e">
        <f ca="1">[1]!BexGetData("DP_1","003N8EMH8GTFRCSWKMPXRS42M","GSON1112151363")</f>
        <v>#NAME?</v>
      </c>
      <c r="I2126" s="28" t="e">
        <f ca="1">[1]!BexGetData("DP_1","003N8EMH8GTFRCSWKMPXRSAE6","GSON1112151363")</f>
        <v>#NAME?</v>
      </c>
      <c r="J2126" s="24" t="e">
        <f ca="1">[1]!BexGetData("DP_1","003N8EMH8GTFRCSWKMPXRSGPQ","GSON1112151363")</f>
        <v>#NAME?</v>
      </c>
      <c r="K2126" s="28" t="e">
        <f ca="1">[1]!BexGetData("DP_1","003N8EMH8GTFRIVNUPY288VJH","GSON1112151363")</f>
        <v>#NAME?</v>
      </c>
      <c r="L2126" s="28" t="e">
        <f ca="1">[1]!BexGetData("DP_1","003N8EMH8GTFRIVNUPY2891V1","GSON1112151363")</f>
        <v>#NAME?</v>
      </c>
      <c r="M2126" s="28" t="e">
        <f ca="1">[1]!BexGetData("DP_1","003N8EMH8GTFRIVOG7KG9IQXA","GSON1112151363")</f>
        <v>#NAME?</v>
      </c>
      <c r="N2126" s="28" t="e">
        <f ca="1">[1]!BexGetData("DP_1","003N8EMH8GTFRIVOG7KG9IX8U","GSON1112151363")</f>
        <v>#NAME?</v>
      </c>
      <c r="O2126" s="28" t="e">
        <f ca="1">[1]!BexGetData("DP_1","003N8EMH8GTFRIVOG7KG9J3KE","GSON1112151363")</f>
        <v>#NAME?</v>
      </c>
      <c r="P2126" s="28" t="e">
        <f ca="1">[1]!BexGetData("DP_1","003N8EMH8GTFRIVOG7KG9J9VY","GSON1112151363")</f>
        <v>#NAME?</v>
      </c>
      <c r="Q2126" s="24" t="e">
        <f ca="1">[1]!BexGetData("DP_1","00O2TNJGODT0G5Z4TTKYMM5MT","GSON1112151363")</f>
        <v>#NAME?</v>
      </c>
      <c r="R2126" s="28" t="e">
        <f ca="1">[1]!BexGetData("DP_1","00O2TNJGODT0G5Z4TTKYMMBYD","GSON1112151363")</f>
        <v>#NAME?</v>
      </c>
      <c r="S2126" s="28" t="e">
        <f ca="1">[1]!BexGetData("DP_1","00O2TNJGODT0G5Z4TTKYMMI9X","GSON1112151363")</f>
        <v>#NAME?</v>
      </c>
      <c r="T2126" s="28" t="e">
        <f ca="1">[1]!BexGetData("DP_1","00O2TNJGODT0G5Z4TTKYMMOLH","GSON1112151363")</f>
        <v>#NAME?</v>
      </c>
      <c r="U2126" s="28" t="e">
        <f ca="1">[1]!BexGetData("DP_1","00O2TNJGODT0G5Z4TTKYMMUX1","GSON1112151363")</f>
        <v>#NAME?</v>
      </c>
      <c r="V2126" s="28" t="e">
        <f ca="1">[1]!BexGetData("DP_1","00O2TNJGODT0G5Z4TTKYMN18L","GSON1112151363")</f>
        <v>#NAME?</v>
      </c>
      <c r="W2126" s="28" t="e">
        <f ca="1">[1]!BexGetData("DP_1","00O2TNJGODT0G5Z4TTKYMN7K5","GSON1112151363")</f>
        <v>#NAME?</v>
      </c>
    </row>
    <row r="2127" spans="1:23" x14ac:dyDescent="0.2">
      <c r="A2127" s="36" t="s">
        <v>5223</v>
      </c>
      <c r="B2127" s="27" t="s">
        <v>5224</v>
      </c>
      <c r="C2127" s="28" t="e">
        <f ca="1">[1]!BexGetData("DP_1","003N8EMH8GTFRCSWKMPXRR8GU","GSON1112151365")</f>
        <v>#NAME?</v>
      </c>
      <c r="D2127" s="28" t="e">
        <f ca="1">[1]!BexGetData("DP_1","003N8EMH8GTFRCSWKMPXRRESE","GSON1112151365")</f>
        <v>#NAME?</v>
      </c>
      <c r="E2127" s="28" t="e">
        <f ca="1">[1]!BexGetData("DP_1","003N8EMH8GTFRCSWKMPXRRL3Y","GSON1112151365")</f>
        <v>#NAME?</v>
      </c>
      <c r="F2127" s="28" t="e">
        <f ca="1">[1]!BexGetData("DP_1","003N8EMH8GTFRCSWKMPXRRRFI","GSON1112151365")</f>
        <v>#NAME?</v>
      </c>
      <c r="G2127" s="23" t="e">
        <f ca="1">[1]!BexGetData("DP_1","003N8EMH8GTFRCSWKMPXRRXR2","GSON1112151365")</f>
        <v>#NAME?</v>
      </c>
      <c r="H2127" s="23" t="e">
        <f ca="1">[1]!BexGetData("DP_1","003N8EMH8GTFRCSWKMPXRS42M","GSON1112151365")</f>
        <v>#NAME?</v>
      </c>
      <c r="I2127" s="28" t="e">
        <f ca="1">[1]!BexGetData("DP_1","003N8EMH8GTFRCSWKMPXRSAE6","GSON1112151365")</f>
        <v>#NAME?</v>
      </c>
      <c r="J2127" s="24" t="e">
        <f ca="1">[1]!BexGetData("DP_1","003N8EMH8GTFRCSWKMPXRSGPQ","GSON1112151365")</f>
        <v>#NAME?</v>
      </c>
      <c r="K2127" s="28" t="e">
        <f ca="1">[1]!BexGetData("DP_1","003N8EMH8GTFRIVNUPY288VJH","GSON1112151365")</f>
        <v>#NAME?</v>
      </c>
      <c r="L2127" s="28" t="e">
        <f ca="1">[1]!BexGetData("DP_1","003N8EMH8GTFRIVNUPY2891V1","GSON1112151365")</f>
        <v>#NAME?</v>
      </c>
      <c r="M2127" s="28" t="e">
        <f ca="1">[1]!BexGetData("DP_1","003N8EMH8GTFRIVOG7KG9IQXA","GSON1112151365")</f>
        <v>#NAME?</v>
      </c>
      <c r="N2127" s="28" t="e">
        <f ca="1">[1]!BexGetData("DP_1","003N8EMH8GTFRIVOG7KG9IX8U","GSON1112151365")</f>
        <v>#NAME?</v>
      </c>
      <c r="O2127" s="28" t="e">
        <f ca="1">[1]!BexGetData("DP_1","003N8EMH8GTFRIVOG7KG9J3KE","GSON1112151365")</f>
        <v>#NAME?</v>
      </c>
      <c r="P2127" s="28" t="e">
        <f ca="1">[1]!BexGetData("DP_1","003N8EMH8GTFRIVOG7KG9J9VY","GSON1112151365")</f>
        <v>#NAME?</v>
      </c>
      <c r="Q2127" s="24" t="e">
        <f ca="1">[1]!BexGetData("DP_1","00O2TNJGODT0G5Z4TTKYMM5MT","GSON1112151365")</f>
        <v>#NAME?</v>
      </c>
      <c r="R2127" s="28" t="e">
        <f ca="1">[1]!BexGetData("DP_1","00O2TNJGODT0G5Z4TTKYMMBYD","GSON1112151365")</f>
        <v>#NAME?</v>
      </c>
      <c r="S2127" s="28" t="e">
        <f ca="1">[1]!BexGetData("DP_1","00O2TNJGODT0G5Z4TTKYMMI9X","GSON1112151365")</f>
        <v>#NAME?</v>
      </c>
      <c r="T2127" s="28" t="e">
        <f ca="1">[1]!BexGetData("DP_1","00O2TNJGODT0G5Z4TTKYMMOLH","GSON1112151365")</f>
        <v>#NAME?</v>
      </c>
      <c r="U2127" s="28" t="e">
        <f ca="1">[1]!BexGetData("DP_1","00O2TNJGODT0G5Z4TTKYMMUX1","GSON1112151365")</f>
        <v>#NAME?</v>
      </c>
      <c r="V2127" s="28" t="e">
        <f ca="1">[1]!BexGetData("DP_1","00O2TNJGODT0G5Z4TTKYMN18L","GSON1112151365")</f>
        <v>#NAME?</v>
      </c>
      <c r="W2127" s="28" t="e">
        <f ca="1">[1]!BexGetData("DP_1","00O2TNJGODT0G5Z4TTKYMN7K5","GSON1112151365")</f>
        <v>#NAME?</v>
      </c>
    </row>
    <row r="2128" spans="1:23" x14ac:dyDescent="0.2">
      <c r="A2128" s="36" t="s">
        <v>5225</v>
      </c>
      <c r="B2128" s="27" t="s">
        <v>5226</v>
      </c>
      <c r="C2128" s="28" t="e">
        <f ca="1">[1]!BexGetData("DP_1","003N8EMH8GTFRCSWKMPXRR8GU","GSON1112151370")</f>
        <v>#NAME?</v>
      </c>
      <c r="D2128" s="23" t="e">
        <f ca="1">[1]!BexGetData("DP_1","003N8EMH8GTFRCSWKMPXRRESE","GSON1112151370")</f>
        <v>#NAME?</v>
      </c>
      <c r="E2128" s="28" t="e">
        <f ca="1">[1]!BexGetData("DP_1","003N8EMH8GTFRCSWKMPXRRL3Y","GSON1112151370")</f>
        <v>#NAME?</v>
      </c>
      <c r="F2128" s="23" t="e">
        <f ca="1">[1]!BexGetData("DP_1","003N8EMH8GTFRCSWKMPXRRRFI","GSON1112151370")</f>
        <v>#NAME?</v>
      </c>
      <c r="G2128" s="23" t="e">
        <f ca="1">[1]!BexGetData("DP_1","003N8EMH8GTFRCSWKMPXRRXR2","GSON1112151370")</f>
        <v>#NAME?</v>
      </c>
      <c r="H2128" s="23" t="e">
        <f ca="1">[1]!BexGetData("DP_1","003N8EMH8GTFRCSWKMPXRS42M","GSON1112151370")</f>
        <v>#NAME?</v>
      </c>
      <c r="I2128" s="23" t="e">
        <f ca="1">[1]!BexGetData("DP_1","003N8EMH8GTFRCSWKMPXRSAE6","GSON1112151370")</f>
        <v>#NAME?</v>
      </c>
      <c r="J2128" s="24" t="e">
        <f ca="1">[1]!BexGetData("DP_1","003N8EMH8GTFRCSWKMPXRSGPQ","GSON1112151370")</f>
        <v>#NAME?</v>
      </c>
      <c r="K2128" s="23" t="e">
        <f ca="1">[1]!BexGetData("DP_1","003N8EMH8GTFRIVNUPY288VJH","GSON1112151370")</f>
        <v>#NAME?</v>
      </c>
      <c r="L2128" s="23" t="e">
        <f ca="1">[1]!BexGetData("DP_1","003N8EMH8GTFRIVNUPY2891V1","GSON1112151370")</f>
        <v>#NAME?</v>
      </c>
      <c r="M2128" s="23" t="e">
        <f ca="1">[1]!BexGetData("DP_1","003N8EMH8GTFRIVOG7KG9IQXA","GSON1112151370")</f>
        <v>#NAME?</v>
      </c>
      <c r="N2128" s="28" t="e">
        <f ca="1">[1]!BexGetData("DP_1","003N8EMH8GTFRIVOG7KG9IX8U","GSON1112151370")</f>
        <v>#NAME?</v>
      </c>
      <c r="O2128" s="23" t="e">
        <f ca="1">[1]!BexGetData("DP_1","003N8EMH8GTFRIVOG7KG9J3KE","GSON1112151370")</f>
        <v>#NAME?</v>
      </c>
      <c r="P2128" s="28" t="e">
        <f ca="1">[1]!BexGetData("DP_1","003N8EMH8GTFRIVOG7KG9J9VY","GSON1112151370")</f>
        <v>#NAME?</v>
      </c>
      <c r="Q2128" s="24" t="e">
        <f ca="1">[1]!BexGetData("DP_1","00O2TNJGODT0G5Z4TTKYMM5MT","GSON1112151370")</f>
        <v>#NAME?</v>
      </c>
      <c r="R2128" s="23" t="e">
        <f ca="1">[1]!BexGetData("DP_1","00O2TNJGODT0G5Z4TTKYMMBYD","GSON1112151370")</f>
        <v>#NAME?</v>
      </c>
      <c r="S2128" s="23" t="e">
        <f ca="1">[1]!BexGetData("DP_1","00O2TNJGODT0G5Z4TTKYMMI9X","GSON1112151370")</f>
        <v>#NAME?</v>
      </c>
      <c r="T2128" s="28" t="e">
        <f ca="1">[1]!BexGetData("DP_1","00O2TNJGODT0G5Z4TTKYMMOLH","GSON1112151370")</f>
        <v>#NAME?</v>
      </c>
      <c r="U2128" s="23" t="e">
        <f ca="1">[1]!BexGetData("DP_1","00O2TNJGODT0G5Z4TTKYMMUX1","GSON1112151370")</f>
        <v>#NAME?</v>
      </c>
      <c r="V2128" s="28" t="e">
        <f ca="1">[1]!BexGetData("DP_1","00O2TNJGODT0G5Z4TTKYMN18L","GSON1112151370")</f>
        <v>#NAME?</v>
      </c>
      <c r="W2128" s="23" t="e">
        <f ca="1">[1]!BexGetData("DP_1","00O2TNJGODT0G5Z4TTKYMN7K5","GSON1112151370")</f>
        <v>#NAME?</v>
      </c>
    </row>
    <row r="2129" spans="1:23" x14ac:dyDescent="0.2">
      <c r="A2129" s="36" t="s">
        <v>5227</v>
      </c>
      <c r="B2129" s="27" t="s">
        <v>5228</v>
      </c>
      <c r="C2129" s="28" t="e">
        <f ca="1">[1]!BexGetData("DP_1","003N8EMH8GTFRCSWKMPXRR8GU","GSON1112151371")</f>
        <v>#NAME?</v>
      </c>
      <c r="D2129" s="28" t="e">
        <f ca="1">[1]!BexGetData("DP_1","003N8EMH8GTFRCSWKMPXRRESE","GSON1112151371")</f>
        <v>#NAME?</v>
      </c>
      <c r="E2129" s="28" t="e">
        <f ca="1">[1]!BexGetData("DP_1","003N8EMH8GTFRCSWKMPXRRL3Y","GSON1112151371")</f>
        <v>#NAME?</v>
      </c>
      <c r="F2129" s="28" t="e">
        <f ca="1">[1]!BexGetData("DP_1","003N8EMH8GTFRCSWKMPXRRRFI","GSON1112151371")</f>
        <v>#NAME?</v>
      </c>
      <c r="G2129" s="23" t="e">
        <f ca="1">[1]!BexGetData("DP_1","003N8EMH8GTFRCSWKMPXRRXR2","GSON1112151371")</f>
        <v>#NAME?</v>
      </c>
      <c r="H2129" s="23" t="e">
        <f ca="1">[1]!BexGetData("DP_1","003N8EMH8GTFRCSWKMPXRS42M","GSON1112151371")</f>
        <v>#NAME?</v>
      </c>
      <c r="I2129" s="28" t="e">
        <f ca="1">[1]!BexGetData("DP_1","003N8EMH8GTFRCSWKMPXRSAE6","GSON1112151371")</f>
        <v>#NAME?</v>
      </c>
      <c r="J2129" s="24" t="e">
        <f ca="1">[1]!BexGetData("DP_1","003N8EMH8GTFRCSWKMPXRSGPQ","GSON1112151371")</f>
        <v>#NAME?</v>
      </c>
      <c r="K2129" s="28" t="e">
        <f ca="1">[1]!BexGetData("DP_1","003N8EMH8GTFRIVNUPY288VJH","GSON1112151371")</f>
        <v>#NAME?</v>
      </c>
      <c r="L2129" s="28" t="e">
        <f ca="1">[1]!BexGetData("DP_1","003N8EMH8GTFRIVNUPY2891V1","GSON1112151371")</f>
        <v>#NAME?</v>
      </c>
      <c r="M2129" s="28" t="e">
        <f ca="1">[1]!BexGetData("DP_1","003N8EMH8GTFRIVOG7KG9IQXA","GSON1112151371")</f>
        <v>#NAME?</v>
      </c>
      <c r="N2129" s="28" t="e">
        <f ca="1">[1]!BexGetData("DP_1","003N8EMH8GTFRIVOG7KG9IX8U","GSON1112151371")</f>
        <v>#NAME?</v>
      </c>
      <c r="O2129" s="28" t="e">
        <f ca="1">[1]!BexGetData("DP_1","003N8EMH8GTFRIVOG7KG9J3KE","GSON1112151371")</f>
        <v>#NAME?</v>
      </c>
      <c r="P2129" s="28" t="e">
        <f ca="1">[1]!BexGetData("DP_1","003N8EMH8GTFRIVOG7KG9J9VY","GSON1112151371")</f>
        <v>#NAME?</v>
      </c>
      <c r="Q2129" s="24" t="e">
        <f ca="1">[1]!BexGetData("DP_1","00O2TNJGODT0G5Z4TTKYMM5MT","GSON1112151371")</f>
        <v>#NAME?</v>
      </c>
      <c r="R2129" s="28" t="e">
        <f ca="1">[1]!BexGetData("DP_1","00O2TNJGODT0G5Z4TTKYMMBYD","GSON1112151371")</f>
        <v>#NAME?</v>
      </c>
      <c r="S2129" s="28" t="e">
        <f ca="1">[1]!BexGetData("DP_1","00O2TNJGODT0G5Z4TTKYMMI9X","GSON1112151371")</f>
        <v>#NAME?</v>
      </c>
      <c r="T2129" s="28" t="e">
        <f ca="1">[1]!BexGetData("DP_1","00O2TNJGODT0G5Z4TTKYMMOLH","GSON1112151371")</f>
        <v>#NAME?</v>
      </c>
      <c r="U2129" s="28" t="e">
        <f ca="1">[1]!BexGetData("DP_1","00O2TNJGODT0G5Z4TTKYMMUX1","GSON1112151371")</f>
        <v>#NAME?</v>
      </c>
      <c r="V2129" s="28" t="e">
        <f ca="1">[1]!BexGetData("DP_1","00O2TNJGODT0G5Z4TTKYMN18L","GSON1112151371")</f>
        <v>#NAME?</v>
      </c>
      <c r="W2129" s="28" t="e">
        <f ca="1">[1]!BexGetData("DP_1","00O2TNJGODT0G5Z4TTKYMN7K5","GSON1112151371")</f>
        <v>#NAME?</v>
      </c>
    </row>
    <row r="2130" spans="1:23" x14ac:dyDescent="0.2">
      <c r="A2130" s="36" t="s">
        <v>5229</v>
      </c>
      <c r="B2130" s="27" t="s">
        <v>5230</v>
      </c>
      <c r="C2130" s="23" t="e">
        <f ca="1">[1]!BexGetData("DP_1","003N8EMH8GTFRCSWKMPXRR8GU","GSON1112151373")</f>
        <v>#NAME?</v>
      </c>
      <c r="D2130" s="23" t="e">
        <f ca="1">[1]!BexGetData("DP_1","003N8EMH8GTFRCSWKMPXRRESE","GSON1112151373")</f>
        <v>#NAME?</v>
      </c>
      <c r="E2130" s="28" t="e">
        <f ca="1">[1]!BexGetData("DP_1","003N8EMH8GTFRCSWKMPXRRL3Y","GSON1112151373")</f>
        <v>#NAME?</v>
      </c>
      <c r="F2130" s="28" t="e">
        <f ca="1">[1]!BexGetData("DP_1","003N8EMH8GTFRCSWKMPXRRRFI","GSON1112151373")</f>
        <v>#NAME?</v>
      </c>
      <c r="G2130" s="23" t="e">
        <f ca="1">[1]!BexGetData("DP_1","003N8EMH8GTFRCSWKMPXRRXR2","GSON1112151373")</f>
        <v>#NAME?</v>
      </c>
      <c r="H2130" s="23" t="e">
        <f ca="1">[1]!BexGetData("DP_1","003N8EMH8GTFRCSWKMPXRS42M","GSON1112151373")</f>
        <v>#NAME?</v>
      </c>
      <c r="I2130" s="28" t="e">
        <f ca="1">[1]!BexGetData("DP_1","003N8EMH8GTFRCSWKMPXRSAE6","GSON1112151373")</f>
        <v>#NAME?</v>
      </c>
      <c r="J2130" s="24" t="e">
        <f ca="1">[1]!BexGetData("DP_1","003N8EMH8GTFRCSWKMPXRSGPQ","GSON1112151373")</f>
        <v>#NAME?</v>
      </c>
      <c r="K2130" s="28" t="e">
        <f ca="1">[1]!BexGetData("DP_1","003N8EMH8GTFRIVNUPY288VJH","GSON1112151373")</f>
        <v>#NAME?</v>
      </c>
      <c r="L2130" s="28" t="e">
        <f ca="1">[1]!BexGetData("DP_1","003N8EMH8GTFRIVNUPY2891V1","GSON1112151373")</f>
        <v>#NAME?</v>
      </c>
      <c r="M2130" s="28" t="e">
        <f ca="1">[1]!BexGetData("DP_1","003N8EMH8GTFRIVOG7KG9IQXA","GSON1112151373")</f>
        <v>#NAME?</v>
      </c>
      <c r="N2130" s="28" t="e">
        <f ca="1">[1]!BexGetData("DP_1","003N8EMH8GTFRIVOG7KG9IX8U","GSON1112151373")</f>
        <v>#NAME?</v>
      </c>
      <c r="O2130" s="28" t="e">
        <f ca="1">[1]!BexGetData("DP_1","003N8EMH8GTFRIVOG7KG9J3KE","GSON1112151373")</f>
        <v>#NAME?</v>
      </c>
      <c r="P2130" s="28" t="e">
        <f ca="1">[1]!BexGetData("DP_1","003N8EMH8GTFRIVOG7KG9J9VY","GSON1112151373")</f>
        <v>#NAME?</v>
      </c>
      <c r="Q2130" s="24" t="e">
        <f ca="1">[1]!BexGetData("DP_1","00O2TNJGODT0G5Z4TTKYMM5MT","GSON1112151373")</f>
        <v>#NAME?</v>
      </c>
      <c r="R2130" s="28" t="e">
        <f ca="1">[1]!BexGetData("DP_1","00O2TNJGODT0G5Z4TTKYMMBYD","GSON1112151373")</f>
        <v>#NAME?</v>
      </c>
      <c r="S2130" s="28" t="e">
        <f ca="1">[1]!BexGetData("DP_1","00O2TNJGODT0G5Z4TTKYMMI9X","GSON1112151373")</f>
        <v>#NAME?</v>
      </c>
      <c r="T2130" s="28" t="e">
        <f ca="1">[1]!BexGetData("DP_1","00O2TNJGODT0G5Z4TTKYMMOLH","GSON1112151373")</f>
        <v>#NAME?</v>
      </c>
      <c r="U2130" s="28" t="e">
        <f ca="1">[1]!BexGetData("DP_1","00O2TNJGODT0G5Z4TTKYMMUX1","GSON1112151373")</f>
        <v>#NAME?</v>
      </c>
      <c r="V2130" s="28" t="e">
        <f ca="1">[1]!BexGetData("DP_1","00O2TNJGODT0G5Z4TTKYMN18L","GSON1112151373")</f>
        <v>#NAME?</v>
      </c>
      <c r="W2130" s="28" t="e">
        <f ca="1">[1]!BexGetData("DP_1","00O2TNJGODT0G5Z4TTKYMN7K5","GSON1112151373")</f>
        <v>#NAME?</v>
      </c>
    </row>
    <row r="2131" spans="1:23" x14ac:dyDescent="0.2">
      <c r="A2131" s="36" t="s">
        <v>5231</v>
      </c>
      <c r="B2131" s="27" t="s">
        <v>5232</v>
      </c>
      <c r="C2131" s="28" t="e">
        <f ca="1">[1]!BexGetData("DP_1","003N8EMH8GTFRCSWKMPXRR8GU","GSON1112151375")</f>
        <v>#NAME?</v>
      </c>
      <c r="D2131" s="28" t="e">
        <f ca="1">[1]!BexGetData("DP_1","003N8EMH8GTFRCSWKMPXRRESE","GSON1112151375")</f>
        <v>#NAME?</v>
      </c>
      <c r="E2131" s="28" t="e">
        <f ca="1">[1]!BexGetData("DP_1","003N8EMH8GTFRCSWKMPXRRL3Y","GSON1112151375")</f>
        <v>#NAME?</v>
      </c>
      <c r="F2131" s="28" t="e">
        <f ca="1">[1]!BexGetData("DP_1","003N8EMH8GTFRCSWKMPXRRRFI","GSON1112151375")</f>
        <v>#NAME?</v>
      </c>
      <c r="G2131" s="23" t="e">
        <f ca="1">[1]!BexGetData("DP_1","003N8EMH8GTFRCSWKMPXRRXR2","GSON1112151375")</f>
        <v>#NAME?</v>
      </c>
      <c r="H2131" s="23" t="e">
        <f ca="1">[1]!BexGetData("DP_1","003N8EMH8GTFRCSWKMPXRS42M","GSON1112151375")</f>
        <v>#NAME?</v>
      </c>
      <c r="I2131" s="28" t="e">
        <f ca="1">[1]!BexGetData("DP_1","003N8EMH8GTFRCSWKMPXRSAE6","GSON1112151375")</f>
        <v>#NAME?</v>
      </c>
      <c r="J2131" s="24" t="e">
        <f ca="1">[1]!BexGetData("DP_1","003N8EMH8GTFRCSWKMPXRSGPQ","GSON1112151375")</f>
        <v>#NAME?</v>
      </c>
      <c r="K2131" s="28" t="e">
        <f ca="1">[1]!BexGetData("DP_1","003N8EMH8GTFRIVNUPY288VJH","GSON1112151375")</f>
        <v>#NAME?</v>
      </c>
      <c r="L2131" s="28" t="e">
        <f ca="1">[1]!BexGetData("DP_1","003N8EMH8GTFRIVNUPY2891V1","GSON1112151375")</f>
        <v>#NAME?</v>
      </c>
      <c r="M2131" s="28" t="e">
        <f ca="1">[1]!BexGetData("DP_1","003N8EMH8GTFRIVOG7KG9IQXA","GSON1112151375")</f>
        <v>#NAME?</v>
      </c>
      <c r="N2131" s="28" t="e">
        <f ca="1">[1]!BexGetData("DP_1","003N8EMH8GTFRIVOG7KG9IX8U","GSON1112151375")</f>
        <v>#NAME?</v>
      </c>
      <c r="O2131" s="28" t="e">
        <f ca="1">[1]!BexGetData("DP_1","003N8EMH8GTFRIVOG7KG9J3KE","GSON1112151375")</f>
        <v>#NAME?</v>
      </c>
      <c r="P2131" s="28" t="e">
        <f ca="1">[1]!BexGetData("DP_1","003N8EMH8GTFRIVOG7KG9J9VY","GSON1112151375")</f>
        <v>#NAME?</v>
      </c>
      <c r="Q2131" s="24" t="e">
        <f ca="1">[1]!BexGetData("DP_1","00O2TNJGODT0G5Z4TTKYMM5MT","GSON1112151375")</f>
        <v>#NAME?</v>
      </c>
      <c r="R2131" s="28" t="e">
        <f ca="1">[1]!BexGetData("DP_1","00O2TNJGODT0G5Z4TTKYMMBYD","GSON1112151375")</f>
        <v>#NAME?</v>
      </c>
      <c r="S2131" s="28" t="e">
        <f ca="1">[1]!BexGetData("DP_1","00O2TNJGODT0G5Z4TTKYMMI9X","GSON1112151375")</f>
        <v>#NAME?</v>
      </c>
      <c r="T2131" s="28" t="e">
        <f ca="1">[1]!BexGetData("DP_1","00O2TNJGODT0G5Z4TTKYMMOLH","GSON1112151375")</f>
        <v>#NAME?</v>
      </c>
      <c r="U2131" s="28" t="e">
        <f ca="1">[1]!BexGetData("DP_1","00O2TNJGODT0G5Z4TTKYMMUX1","GSON1112151375")</f>
        <v>#NAME?</v>
      </c>
      <c r="V2131" s="28" t="e">
        <f ca="1">[1]!BexGetData("DP_1","00O2TNJGODT0G5Z4TTKYMN18L","GSON1112151375")</f>
        <v>#NAME?</v>
      </c>
      <c r="W2131" s="28" t="e">
        <f ca="1">[1]!BexGetData("DP_1","00O2TNJGODT0G5Z4TTKYMN7K5","GSON1112151375")</f>
        <v>#NAME?</v>
      </c>
    </row>
    <row r="2132" spans="1:23" x14ac:dyDescent="0.2">
      <c r="A2132" s="36" t="s">
        <v>5233</v>
      </c>
      <c r="B2132" s="27" t="s">
        <v>5234</v>
      </c>
      <c r="C2132" s="23" t="e">
        <f ca="1">[1]!BexGetData("DP_1","003N8EMH8GTFRCSWKMPXRR8GU","GSON1112151380")</f>
        <v>#NAME?</v>
      </c>
      <c r="D2132" s="23" t="e">
        <f ca="1">[1]!BexGetData("DP_1","003N8EMH8GTFRCSWKMPXRRESE","GSON1112151380")</f>
        <v>#NAME?</v>
      </c>
      <c r="E2132" s="23" t="e">
        <f ca="1">[1]!BexGetData("DP_1","003N8EMH8GTFRCSWKMPXRRL3Y","GSON1112151380")</f>
        <v>#NAME?</v>
      </c>
      <c r="F2132" s="23" t="e">
        <f ca="1">[1]!BexGetData("DP_1","003N8EMH8GTFRCSWKMPXRRRFI","GSON1112151380")</f>
        <v>#NAME?</v>
      </c>
      <c r="G2132" s="23" t="e">
        <f ca="1">[1]!BexGetData("DP_1","003N8EMH8GTFRCSWKMPXRRXR2","GSON1112151380")</f>
        <v>#NAME?</v>
      </c>
      <c r="H2132" s="23" t="e">
        <f ca="1">[1]!BexGetData("DP_1","003N8EMH8GTFRCSWKMPXRS42M","GSON1112151380")</f>
        <v>#NAME?</v>
      </c>
      <c r="I2132" s="23" t="e">
        <f ca="1">[1]!BexGetData("DP_1","003N8EMH8GTFRCSWKMPXRSAE6","GSON1112151380")</f>
        <v>#NAME?</v>
      </c>
      <c r="J2132" s="24" t="e">
        <f ca="1">[1]!BexGetData("DP_1","003N8EMH8GTFRCSWKMPXRSGPQ","GSON1112151380")</f>
        <v>#NAME?</v>
      </c>
      <c r="K2132" s="23" t="e">
        <f ca="1">[1]!BexGetData("DP_1","003N8EMH8GTFRIVNUPY288VJH","GSON1112151380")</f>
        <v>#NAME?</v>
      </c>
      <c r="L2132" s="23" t="e">
        <f ca="1">[1]!BexGetData("DP_1","003N8EMH8GTFRIVNUPY2891V1","GSON1112151380")</f>
        <v>#NAME?</v>
      </c>
      <c r="M2132" s="23" t="e">
        <f ca="1">[1]!BexGetData("DP_1","003N8EMH8GTFRIVOG7KG9IQXA","GSON1112151380")</f>
        <v>#NAME?</v>
      </c>
      <c r="N2132" s="28" t="e">
        <f ca="1">[1]!BexGetData("DP_1","003N8EMH8GTFRIVOG7KG9IX8U","GSON1112151380")</f>
        <v>#NAME?</v>
      </c>
      <c r="O2132" s="23" t="e">
        <f ca="1">[1]!BexGetData("DP_1","003N8EMH8GTFRIVOG7KG9J3KE","GSON1112151380")</f>
        <v>#NAME?</v>
      </c>
      <c r="P2132" s="28" t="e">
        <f ca="1">[1]!BexGetData("DP_1","003N8EMH8GTFRIVOG7KG9J9VY","GSON1112151380")</f>
        <v>#NAME?</v>
      </c>
      <c r="Q2132" s="24" t="e">
        <f ca="1">[1]!BexGetData("DP_1","00O2TNJGODT0G5Z4TTKYMM5MT","GSON1112151380")</f>
        <v>#NAME?</v>
      </c>
      <c r="R2132" s="23" t="e">
        <f ca="1">[1]!BexGetData("DP_1","00O2TNJGODT0G5Z4TTKYMMBYD","GSON1112151380")</f>
        <v>#NAME?</v>
      </c>
      <c r="S2132" s="23" t="e">
        <f ca="1">[1]!BexGetData("DP_1","00O2TNJGODT0G5Z4TTKYMMI9X","GSON1112151380")</f>
        <v>#NAME?</v>
      </c>
      <c r="T2132" s="28" t="e">
        <f ca="1">[1]!BexGetData("DP_1","00O2TNJGODT0G5Z4TTKYMMOLH","GSON1112151380")</f>
        <v>#NAME?</v>
      </c>
      <c r="U2132" s="23" t="e">
        <f ca="1">[1]!BexGetData("DP_1","00O2TNJGODT0G5Z4TTKYMMUX1","GSON1112151380")</f>
        <v>#NAME?</v>
      </c>
      <c r="V2132" s="28" t="e">
        <f ca="1">[1]!BexGetData("DP_1","00O2TNJGODT0G5Z4TTKYMN18L","GSON1112151380")</f>
        <v>#NAME?</v>
      </c>
      <c r="W2132" s="23" t="e">
        <f ca="1">[1]!BexGetData("DP_1","00O2TNJGODT0G5Z4TTKYMN7K5","GSON1112151380")</f>
        <v>#NAME?</v>
      </c>
    </row>
    <row r="2133" spans="1:23" x14ac:dyDescent="0.2">
      <c r="A2133" s="36" t="s">
        <v>5235</v>
      </c>
      <c r="B2133" s="27" t="s">
        <v>5236</v>
      </c>
      <c r="C2133" s="28" t="e">
        <f ca="1">[1]!BexGetData("DP_1","003N8EMH8GTFRCSWKMPXRR8GU","GSON1112151381")</f>
        <v>#NAME?</v>
      </c>
      <c r="D2133" s="28" t="e">
        <f ca="1">[1]!BexGetData("DP_1","003N8EMH8GTFRCSWKMPXRRESE","GSON1112151381")</f>
        <v>#NAME?</v>
      </c>
      <c r="E2133" s="28" t="e">
        <f ca="1">[1]!BexGetData("DP_1","003N8EMH8GTFRCSWKMPXRRL3Y","GSON1112151381")</f>
        <v>#NAME?</v>
      </c>
      <c r="F2133" s="28" t="e">
        <f ca="1">[1]!BexGetData("DP_1","003N8EMH8GTFRCSWKMPXRRRFI","GSON1112151381")</f>
        <v>#NAME?</v>
      </c>
      <c r="G2133" s="23" t="e">
        <f ca="1">[1]!BexGetData("DP_1","003N8EMH8GTFRCSWKMPXRRXR2","GSON1112151381")</f>
        <v>#NAME?</v>
      </c>
      <c r="H2133" s="23" t="e">
        <f ca="1">[1]!BexGetData("DP_1","003N8EMH8GTFRCSWKMPXRS42M","GSON1112151381")</f>
        <v>#NAME?</v>
      </c>
      <c r="I2133" s="28" t="e">
        <f ca="1">[1]!BexGetData("DP_1","003N8EMH8GTFRCSWKMPXRSAE6","GSON1112151381")</f>
        <v>#NAME?</v>
      </c>
      <c r="J2133" s="24" t="e">
        <f ca="1">[1]!BexGetData("DP_1","003N8EMH8GTFRCSWKMPXRSGPQ","GSON1112151381")</f>
        <v>#NAME?</v>
      </c>
      <c r="K2133" s="28" t="e">
        <f ca="1">[1]!BexGetData("DP_1","003N8EMH8GTFRIVNUPY288VJH","GSON1112151381")</f>
        <v>#NAME?</v>
      </c>
      <c r="L2133" s="28" t="e">
        <f ca="1">[1]!BexGetData("DP_1","003N8EMH8GTFRIVNUPY2891V1","GSON1112151381")</f>
        <v>#NAME?</v>
      </c>
      <c r="M2133" s="28" t="e">
        <f ca="1">[1]!BexGetData("DP_1","003N8EMH8GTFRIVOG7KG9IQXA","GSON1112151381")</f>
        <v>#NAME?</v>
      </c>
      <c r="N2133" s="28" t="e">
        <f ca="1">[1]!BexGetData("DP_1","003N8EMH8GTFRIVOG7KG9IX8U","GSON1112151381")</f>
        <v>#NAME?</v>
      </c>
      <c r="O2133" s="28" t="e">
        <f ca="1">[1]!BexGetData("DP_1","003N8EMH8GTFRIVOG7KG9J3KE","GSON1112151381")</f>
        <v>#NAME?</v>
      </c>
      <c r="P2133" s="28" t="e">
        <f ca="1">[1]!BexGetData("DP_1","003N8EMH8GTFRIVOG7KG9J9VY","GSON1112151381")</f>
        <v>#NAME?</v>
      </c>
      <c r="Q2133" s="24" t="e">
        <f ca="1">[1]!BexGetData("DP_1","00O2TNJGODT0G5Z4TTKYMM5MT","GSON1112151381")</f>
        <v>#NAME?</v>
      </c>
      <c r="R2133" s="28" t="e">
        <f ca="1">[1]!BexGetData("DP_1","00O2TNJGODT0G5Z4TTKYMMBYD","GSON1112151381")</f>
        <v>#NAME?</v>
      </c>
      <c r="S2133" s="28" t="e">
        <f ca="1">[1]!BexGetData("DP_1","00O2TNJGODT0G5Z4TTKYMMI9X","GSON1112151381")</f>
        <v>#NAME?</v>
      </c>
      <c r="T2133" s="28" t="e">
        <f ca="1">[1]!BexGetData("DP_1","00O2TNJGODT0G5Z4TTKYMMOLH","GSON1112151381")</f>
        <v>#NAME?</v>
      </c>
      <c r="U2133" s="28" t="e">
        <f ca="1">[1]!BexGetData("DP_1","00O2TNJGODT0G5Z4TTKYMMUX1","GSON1112151381")</f>
        <v>#NAME?</v>
      </c>
      <c r="V2133" s="28" t="e">
        <f ca="1">[1]!BexGetData("DP_1","00O2TNJGODT0G5Z4TTKYMN18L","GSON1112151381")</f>
        <v>#NAME?</v>
      </c>
      <c r="W2133" s="28" t="e">
        <f ca="1">[1]!BexGetData("DP_1","00O2TNJGODT0G5Z4TTKYMN7K5","GSON1112151381")</f>
        <v>#NAME?</v>
      </c>
    </row>
    <row r="2134" spans="1:23" x14ac:dyDescent="0.2">
      <c r="A2134" s="36" t="s">
        <v>5237</v>
      </c>
      <c r="B2134" s="27" t="s">
        <v>5238</v>
      </c>
      <c r="C2134" s="23" t="e">
        <f ca="1">[1]!BexGetData("DP_1","003N8EMH8GTFRCSWKMPXRR8GU","GSON1112151382")</f>
        <v>#NAME?</v>
      </c>
      <c r="D2134" s="23" t="e">
        <f ca="1">[1]!BexGetData("DP_1","003N8EMH8GTFRCSWKMPXRRESE","GSON1112151382")</f>
        <v>#NAME?</v>
      </c>
      <c r="E2134" s="23" t="e">
        <f ca="1">[1]!BexGetData("DP_1","003N8EMH8GTFRCSWKMPXRRL3Y","GSON1112151382")</f>
        <v>#NAME?</v>
      </c>
      <c r="F2134" s="23" t="e">
        <f ca="1">[1]!BexGetData("DP_1","003N8EMH8GTFRCSWKMPXRRRFI","GSON1112151382")</f>
        <v>#NAME?</v>
      </c>
      <c r="G2134" s="23" t="e">
        <f ca="1">[1]!BexGetData("DP_1","003N8EMH8GTFRCSWKMPXRRXR2","GSON1112151382")</f>
        <v>#NAME?</v>
      </c>
      <c r="H2134" s="23" t="e">
        <f ca="1">[1]!BexGetData("DP_1","003N8EMH8GTFRCSWKMPXRS42M","GSON1112151382")</f>
        <v>#NAME?</v>
      </c>
      <c r="I2134" s="23" t="e">
        <f ca="1">[1]!BexGetData("DP_1","003N8EMH8GTFRCSWKMPXRSAE6","GSON1112151382")</f>
        <v>#NAME?</v>
      </c>
      <c r="J2134" s="24" t="e">
        <f ca="1">[1]!BexGetData("DP_1","003N8EMH8GTFRCSWKMPXRSGPQ","GSON1112151382")</f>
        <v>#NAME?</v>
      </c>
      <c r="K2134" s="23" t="e">
        <f ca="1">[1]!BexGetData("DP_1","003N8EMH8GTFRIVNUPY288VJH","GSON1112151382")</f>
        <v>#NAME?</v>
      </c>
      <c r="L2134" s="23" t="e">
        <f ca="1">[1]!BexGetData("DP_1","003N8EMH8GTFRIVNUPY2891V1","GSON1112151382")</f>
        <v>#NAME?</v>
      </c>
      <c r="M2134" s="28" t="e">
        <f ca="1">[1]!BexGetData("DP_1","003N8EMH8GTFRIVOG7KG9IQXA","GSON1112151382")</f>
        <v>#NAME?</v>
      </c>
      <c r="N2134" s="23" t="e">
        <f ca="1">[1]!BexGetData("DP_1","003N8EMH8GTFRIVOG7KG9IX8U","GSON1112151382")</f>
        <v>#NAME?</v>
      </c>
      <c r="O2134" s="28" t="e">
        <f ca="1">[1]!BexGetData("DP_1","003N8EMH8GTFRIVOG7KG9J3KE","GSON1112151382")</f>
        <v>#NAME?</v>
      </c>
      <c r="P2134" s="23" t="e">
        <f ca="1">[1]!BexGetData("DP_1","003N8EMH8GTFRIVOG7KG9J9VY","GSON1112151382")</f>
        <v>#NAME?</v>
      </c>
      <c r="Q2134" s="24" t="e">
        <f ca="1">[1]!BexGetData("DP_1","00O2TNJGODT0G5Z4TTKYMM5MT","GSON1112151382")</f>
        <v>#NAME?</v>
      </c>
      <c r="R2134" s="23" t="e">
        <f ca="1">[1]!BexGetData("DP_1","00O2TNJGODT0G5Z4TTKYMMBYD","GSON1112151382")</f>
        <v>#NAME?</v>
      </c>
      <c r="S2134" s="23" t="e">
        <f ca="1">[1]!BexGetData("DP_1","00O2TNJGODT0G5Z4TTKYMMI9X","GSON1112151382")</f>
        <v>#NAME?</v>
      </c>
      <c r="T2134" s="23" t="e">
        <f ca="1">[1]!BexGetData("DP_1","00O2TNJGODT0G5Z4TTKYMMOLH","GSON1112151382")</f>
        <v>#NAME?</v>
      </c>
      <c r="U2134" s="28" t="e">
        <f ca="1">[1]!BexGetData("DP_1","00O2TNJGODT0G5Z4TTKYMMUX1","GSON1112151382")</f>
        <v>#NAME?</v>
      </c>
      <c r="V2134" s="23" t="e">
        <f ca="1">[1]!BexGetData("DP_1","00O2TNJGODT0G5Z4TTKYMN18L","GSON1112151382")</f>
        <v>#NAME?</v>
      </c>
      <c r="W2134" s="28" t="e">
        <f ca="1">[1]!BexGetData("DP_1","00O2TNJGODT0G5Z4TTKYMN7K5","GSON1112151382")</f>
        <v>#NAME?</v>
      </c>
    </row>
    <row r="2135" spans="1:23" x14ac:dyDescent="0.2">
      <c r="A2135" s="36" t="s">
        <v>5239</v>
      </c>
      <c r="B2135" s="27" t="s">
        <v>5240</v>
      </c>
      <c r="C2135" s="23" t="e">
        <f ca="1">[1]!BexGetData("DP_1","003N8EMH8GTFRCSWKMPXRR8GU","GSON1112151383")</f>
        <v>#NAME?</v>
      </c>
      <c r="D2135" s="23" t="e">
        <f ca="1">[1]!BexGetData("DP_1","003N8EMH8GTFRCSWKMPXRRESE","GSON1112151383")</f>
        <v>#NAME?</v>
      </c>
      <c r="E2135" s="28" t="e">
        <f ca="1">[1]!BexGetData("DP_1","003N8EMH8GTFRCSWKMPXRRL3Y","GSON1112151383")</f>
        <v>#NAME?</v>
      </c>
      <c r="F2135" s="28" t="e">
        <f ca="1">[1]!BexGetData("DP_1","003N8EMH8GTFRCSWKMPXRRRFI","GSON1112151383")</f>
        <v>#NAME?</v>
      </c>
      <c r="G2135" s="23" t="e">
        <f ca="1">[1]!BexGetData("DP_1","003N8EMH8GTFRCSWKMPXRRXR2","GSON1112151383")</f>
        <v>#NAME?</v>
      </c>
      <c r="H2135" s="23" t="e">
        <f ca="1">[1]!BexGetData("DP_1","003N8EMH8GTFRCSWKMPXRS42M","GSON1112151383")</f>
        <v>#NAME?</v>
      </c>
      <c r="I2135" s="28" t="e">
        <f ca="1">[1]!BexGetData("DP_1","003N8EMH8GTFRCSWKMPXRSAE6","GSON1112151383")</f>
        <v>#NAME?</v>
      </c>
      <c r="J2135" s="24" t="e">
        <f ca="1">[1]!BexGetData("DP_1","003N8EMH8GTFRCSWKMPXRSGPQ","GSON1112151383")</f>
        <v>#NAME?</v>
      </c>
      <c r="K2135" s="28" t="e">
        <f ca="1">[1]!BexGetData("DP_1","003N8EMH8GTFRIVNUPY288VJH","GSON1112151383")</f>
        <v>#NAME?</v>
      </c>
      <c r="L2135" s="28" t="e">
        <f ca="1">[1]!BexGetData("DP_1","003N8EMH8GTFRIVNUPY2891V1","GSON1112151383")</f>
        <v>#NAME?</v>
      </c>
      <c r="M2135" s="28" t="e">
        <f ca="1">[1]!BexGetData("DP_1","003N8EMH8GTFRIVOG7KG9IQXA","GSON1112151383")</f>
        <v>#NAME?</v>
      </c>
      <c r="N2135" s="28" t="e">
        <f ca="1">[1]!BexGetData("DP_1","003N8EMH8GTFRIVOG7KG9IX8U","GSON1112151383")</f>
        <v>#NAME?</v>
      </c>
      <c r="O2135" s="28" t="e">
        <f ca="1">[1]!BexGetData("DP_1","003N8EMH8GTFRIVOG7KG9J3KE","GSON1112151383")</f>
        <v>#NAME?</v>
      </c>
      <c r="P2135" s="28" t="e">
        <f ca="1">[1]!BexGetData("DP_1","003N8EMH8GTFRIVOG7KG9J9VY","GSON1112151383")</f>
        <v>#NAME?</v>
      </c>
      <c r="Q2135" s="24" t="e">
        <f ca="1">[1]!BexGetData("DP_1","00O2TNJGODT0G5Z4TTKYMM5MT","GSON1112151383")</f>
        <v>#NAME?</v>
      </c>
      <c r="R2135" s="28" t="e">
        <f ca="1">[1]!BexGetData("DP_1","00O2TNJGODT0G5Z4TTKYMMBYD","GSON1112151383")</f>
        <v>#NAME?</v>
      </c>
      <c r="S2135" s="28" t="e">
        <f ca="1">[1]!BexGetData("DP_1","00O2TNJGODT0G5Z4TTKYMMI9X","GSON1112151383")</f>
        <v>#NAME?</v>
      </c>
      <c r="T2135" s="28" t="e">
        <f ca="1">[1]!BexGetData("DP_1","00O2TNJGODT0G5Z4TTKYMMOLH","GSON1112151383")</f>
        <v>#NAME?</v>
      </c>
      <c r="U2135" s="28" t="e">
        <f ca="1">[1]!BexGetData("DP_1","00O2TNJGODT0G5Z4TTKYMMUX1","GSON1112151383")</f>
        <v>#NAME?</v>
      </c>
      <c r="V2135" s="28" t="e">
        <f ca="1">[1]!BexGetData("DP_1","00O2TNJGODT0G5Z4TTKYMN18L","GSON1112151383")</f>
        <v>#NAME?</v>
      </c>
      <c r="W2135" s="28" t="e">
        <f ca="1">[1]!BexGetData("DP_1","00O2TNJGODT0G5Z4TTKYMN7K5","GSON1112151383")</f>
        <v>#NAME?</v>
      </c>
    </row>
    <row r="2136" spans="1:23" x14ac:dyDescent="0.2">
      <c r="A2136" s="36" t="s">
        <v>5241</v>
      </c>
      <c r="B2136" s="27" t="s">
        <v>5242</v>
      </c>
      <c r="C2136" s="23" t="e">
        <f ca="1">[1]!BexGetData("DP_1","003N8EMH8GTFRCSWKMPXRR8GU","GSON1112151384")</f>
        <v>#NAME?</v>
      </c>
      <c r="D2136" s="23" t="e">
        <f ca="1">[1]!BexGetData("DP_1","003N8EMH8GTFRCSWKMPXRRESE","GSON1112151384")</f>
        <v>#NAME?</v>
      </c>
      <c r="E2136" s="28" t="e">
        <f ca="1">[1]!BexGetData("DP_1","003N8EMH8GTFRCSWKMPXRRL3Y","GSON1112151384")</f>
        <v>#NAME?</v>
      </c>
      <c r="F2136" s="28" t="e">
        <f ca="1">[1]!BexGetData("DP_1","003N8EMH8GTFRCSWKMPXRRRFI","GSON1112151384")</f>
        <v>#NAME?</v>
      </c>
      <c r="G2136" s="23" t="e">
        <f ca="1">[1]!BexGetData("DP_1","003N8EMH8GTFRCSWKMPXRRXR2","GSON1112151384")</f>
        <v>#NAME?</v>
      </c>
      <c r="H2136" s="23" t="e">
        <f ca="1">[1]!BexGetData("DP_1","003N8EMH8GTFRCSWKMPXRS42M","GSON1112151384")</f>
        <v>#NAME?</v>
      </c>
      <c r="I2136" s="28" t="e">
        <f ca="1">[1]!BexGetData("DP_1","003N8EMH8GTFRCSWKMPXRSAE6","GSON1112151384")</f>
        <v>#NAME?</v>
      </c>
      <c r="J2136" s="24" t="e">
        <f ca="1">[1]!BexGetData("DP_1","003N8EMH8GTFRCSWKMPXRSGPQ","GSON1112151384")</f>
        <v>#NAME?</v>
      </c>
      <c r="K2136" s="28" t="e">
        <f ca="1">[1]!BexGetData("DP_1","003N8EMH8GTFRIVNUPY288VJH","GSON1112151384")</f>
        <v>#NAME?</v>
      </c>
      <c r="L2136" s="28" t="e">
        <f ca="1">[1]!BexGetData("DP_1","003N8EMH8GTFRIVNUPY2891V1","GSON1112151384")</f>
        <v>#NAME?</v>
      </c>
      <c r="M2136" s="28" t="e">
        <f ca="1">[1]!BexGetData("DP_1","003N8EMH8GTFRIVOG7KG9IQXA","GSON1112151384")</f>
        <v>#NAME?</v>
      </c>
      <c r="N2136" s="28" t="e">
        <f ca="1">[1]!BexGetData("DP_1","003N8EMH8GTFRIVOG7KG9IX8U","GSON1112151384")</f>
        <v>#NAME?</v>
      </c>
      <c r="O2136" s="28" t="e">
        <f ca="1">[1]!BexGetData("DP_1","003N8EMH8GTFRIVOG7KG9J3KE","GSON1112151384")</f>
        <v>#NAME?</v>
      </c>
      <c r="P2136" s="28" t="e">
        <f ca="1">[1]!BexGetData("DP_1","003N8EMH8GTFRIVOG7KG9J9VY","GSON1112151384")</f>
        <v>#NAME?</v>
      </c>
      <c r="Q2136" s="24" t="e">
        <f ca="1">[1]!BexGetData("DP_1","00O2TNJGODT0G5Z4TTKYMM5MT","GSON1112151384")</f>
        <v>#NAME?</v>
      </c>
      <c r="R2136" s="28" t="e">
        <f ca="1">[1]!BexGetData("DP_1","00O2TNJGODT0G5Z4TTKYMMBYD","GSON1112151384")</f>
        <v>#NAME?</v>
      </c>
      <c r="S2136" s="28" t="e">
        <f ca="1">[1]!BexGetData("DP_1","00O2TNJGODT0G5Z4TTKYMMI9X","GSON1112151384")</f>
        <v>#NAME?</v>
      </c>
      <c r="T2136" s="28" t="e">
        <f ca="1">[1]!BexGetData("DP_1","00O2TNJGODT0G5Z4TTKYMMOLH","GSON1112151384")</f>
        <v>#NAME?</v>
      </c>
      <c r="U2136" s="28" t="e">
        <f ca="1">[1]!BexGetData("DP_1","00O2TNJGODT0G5Z4TTKYMMUX1","GSON1112151384")</f>
        <v>#NAME?</v>
      </c>
      <c r="V2136" s="28" t="e">
        <f ca="1">[1]!BexGetData("DP_1","00O2TNJGODT0G5Z4TTKYMN18L","GSON1112151384")</f>
        <v>#NAME?</v>
      </c>
      <c r="W2136" s="28" t="e">
        <f ca="1">[1]!BexGetData("DP_1","00O2TNJGODT0G5Z4TTKYMN7K5","GSON1112151384")</f>
        <v>#NAME?</v>
      </c>
    </row>
    <row r="2137" spans="1:23" x14ac:dyDescent="0.2">
      <c r="A2137" s="36" t="s">
        <v>5243</v>
      </c>
      <c r="B2137" s="27" t="s">
        <v>5244</v>
      </c>
      <c r="C2137" s="23" t="e">
        <f ca="1">[1]!BexGetData("DP_1","003N8EMH8GTFRCSWKMPXRR8GU","GSON1112151385")</f>
        <v>#NAME?</v>
      </c>
      <c r="D2137" s="23" t="e">
        <f ca="1">[1]!BexGetData("DP_1","003N8EMH8GTFRCSWKMPXRRESE","GSON1112151385")</f>
        <v>#NAME?</v>
      </c>
      <c r="E2137" s="28" t="e">
        <f ca="1">[1]!BexGetData("DP_1","003N8EMH8GTFRCSWKMPXRRL3Y","GSON1112151385")</f>
        <v>#NAME?</v>
      </c>
      <c r="F2137" s="28" t="e">
        <f ca="1">[1]!BexGetData("DP_1","003N8EMH8GTFRCSWKMPXRRRFI","GSON1112151385")</f>
        <v>#NAME?</v>
      </c>
      <c r="G2137" s="23" t="e">
        <f ca="1">[1]!BexGetData("DP_1","003N8EMH8GTFRCSWKMPXRRXR2","GSON1112151385")</f>
        <v>#NAME?</v>
      </c>
      <c r="H2137" s="23" t="e">
        <f ca="1">[1]!BexGetData("DP_1","003N8EMH8GTFRCSWKMPXRS42M","GSON1112151385")</f>
        <v>#NAME?</v>
      </c>
      <c r="I2137" s="28" t="e">
        <f ca="1">[1]!BexGetData("DP_1","003N8EMH8GTFRCSWKMPXRSAE6","GSON1112151385")</f>
        <v>#NAME?</v>
      </c>
      <c r="J2137" s="24" t="e">
        <f ca="1">[1]!BexGetData("DP_1","003N8EMH8GTFRCSWKMPXRSGPQ","GSON1112151385")</f>
        <v>#NAME?</v>
      </c>
      <c r="K2137" s="28" t="e">
        <f ca="1">[1]!BexGetData("DP_1","003N8EMH8GTFRIVNUPY288VJH","GSON1112151385")</f>
        <v>#NAME?</v>
      </c>
      <c r="L2137" s="28" t="e">
        <f ca="1">[1]!BexGetData("DP_1","003N8EMH8GTFRIVNUPY2891V1","GSON1112151385")</f>
        <v>#NAME?</v>
      </c>
      <c r="M2137" s="28" t="e">
        <f ca="1">[1]!BexGetData("DP_1","003N8EMH8GTFRIVOG7KG9IQXA","GSON1112151385")</f>
        <v>#NAME?</v>
      </c>
      <c r="N2137" s="28" t="e">
        <f ca="1">[1]!BexGetData("DP_1","003N8EMH8GTFRIVOG7KG9IX8U","GSON1112151385")</f>
        <v>#NAME?</v>
      </c>
      <c r="O2137" s="28" t="e">
        <f ca="1">[1]!BexGetData("DP_1","003N8EMH8GTFRIVOG7KG9J3KE","GSON1112151385")</f>
        <v>#NAME?</v>
      </c>
      <c r="P2137" s="28" t="e">
        <f ca="1">[1]!BexGetData("DP_1","003N8EMH8GTFRIVOG7KG9J9VY","GSON1112151385")</f>
        <v>#NAME?</v>
      </c>
      <c r="Q2137" s="24" t="e">
        <f ca="1">[1]!BexGetData("DP_1","00O2TNJGODT0G5Z4TTKYMM5MT","GSON1112151385")</f>
        <v>#NAME?</v>
      </c>
      <c r="R2137" s="28" t="e">
        <f ca="1">[1]!BexGetData("DP_1","00O2TNJGODT0G5Z4TTKYMMBYD","GSON1112151385")</f>
        <v>#NAME?</v>
      </c>
      <c r="S2137" s="28" t="e">
        <f ca="1">[1]!BexGetData("DP_1","00O2TNJGODT0G5Z4TTKYMMI9X","GSON1112151385")</f>
        <v>#NAME?</v>
      </c>
      <c r="T2137" s="28" t="e">
        <f ca="1">[1]!BexGetData("DP_1","00O2TNJGODT0G5Z4TTKYMMOLH","GSON1112151385")</f>
        <v>#NAME?</v>
      </c>
      <c r="U2137" s="28" t="e">
        <f ca="1">[1]!BexGetData("DP_1","00O2TNJGODT0G5Z4TTKYMMUX1","GSON1112151385")</f>
        <v>#NAME?</v>
      </c>
      <c r="V2137" s="28" t="e">
        <f ca="1">[1]!BexGetData("DP_1","00O2TNJGODT0G5Z4TTKYMN18L","GSON1112151385")</f>
        <v>#NAME?</v>
      </c>
      <c r="W2137" s="28" t="e">
        <f ca="1">[1]!BexGetData("DP_1","00O2TNJGODT0G5Z4TTKYMN7K5","GSON1112151385")</f>
        <v>#NAME?</v>
      </c>
    </row>
    <row r="2138" spans="1:23" x14ac:dyDescent="0.2">
      <c r="A2138" s="36" t="s">
        <v>5245</v>
      </c>
      <c r="B2138" s="27" t="s">
        <v>5246</v>
      </c>
      <c r="C2138" s="23" t="e">
        <f ca="1">[1]!BexGetData("DP_1","003N8EMH8GTFRCSWKMPXRR8GU","GSON1112151390")</f>
        <v>#NAME?</v>
      </c>
      <c r="D2138" s="23" t="e">
        <f ca="1">[1]!BexGetData("DP_1","003N8EMH8GTFRCSWKMPXRRESE","GSON1112151390")</f>
        <v>#NAME?</v>
      </c>
      <c r="E2138" s="28" t="e">
        <f ca="1">[1]!BexGetData("DP_1","003N8EMH8GTFRCSWKMPXRRL3Y","GSON1112151390")</f>
        <v>#NAME?</v>
      </c>
      <c r="F2138" s="23" t="e">
        <f ca="1">[1]!BexGetData("DP_1","003N8EMH8GTFRCSWKMPXRRRFI","GSON1112151390")</f>
        <v>#NAME?</v>
      </c>
      <c r="G2138" s="23" t="e">
        <f ca="1">[1]!BexGetData("DP_1","003N8EMH8GTFRCSWKMPXRRXR2","GSON1112151390")</f>
        <v>#NAME?</v>
      </c>
      <c r="H2138" s="23" t="e">
        <f ca="1">[1]!BexGetData("DP_1","003N8EMH8GTFRCSWKMPXRS42M","GSON1112151390")</f>
        <v>#NAME?</v>
      </c>
      <c r="I2138" s="23" t="e">
        <f ca="1">[1]!BexGetData("DP_1","003N8EMH8GTFRCSWKMPXRSAE6","GSON1112151390")</f>
        <v>#NAME?</v>
      </c>
      <c r="J2138" s="24" t="e">
        <f ca="1">[1]!BexGetData("DP_1","003N8EMH8GTFRCSWKMPXRSGPQ","GSON1112151390")</f>
        <v>#NAME?</v>
      </c>
      <c r="K2138" s="23" t="e">
        <f ca="1">[1]!BexGetData("DP_1","003N8EMH8GTFRIVNUPY288VJH","GSON1112151390")</f>
        <v>#NAME?</v>
      </c>
      <c r="L2138" s="23" t="e">
        <f ca="1">[1]!BexGetData("DP_1","003N8EMH8GTFRIVNUPY2891V1","GSON1112151390")</f>
        <v>#NAME?</v>
      </c>
      <c r="M2138" s="23" t="e">
        <f ca="1">[1]!BexGetData("DP_1","003N8EMH8GTFRIVOG7KG9IQXA","GSON1112151390")</f>
        <v>#NAME?</v>
      </c>
      <c r="N2138" s="28" t="e">
        <f ca="1">[1]!BexGetData("DP_1","003N8EMH8GTFRIVOG7KG9IX8U","GSON1112151390")</f>
        <v>#NAME?</v>
      </c>
      <c r="O2138" s="23" t="e">
        <f ca="1">[1]!BexGetData("DP_1","003N8EMH8GTFRIVOG7KG9J3KE","GSON1112151390")</f>
        <v>#NAME?</v>
      </c>
      <c r="P2138" s="28" t="e">
        <f ca="1">[1]!BexGetData("DP_1","003N8EMH8GTFRIVOG7KG9J9VY","GSON1112151390")</f>
        <v>#NAME?</v>
      </c>
      <c r="Q2138" s="24" t="e">
        <f ca="1">[1]!BexGetData("DP_1","00O2TNJGODT0G5Z4TTKYMM5MT","GSON1112151390")</f>
        <v>#NAME?</v>
      </c>
      <c r="R2138" s="23" t="e">
        <f ca="1">[1]!BexGetData("DP_1","00O2TNJGODT0G5Z4TTKYMMBYD","GSON1112151390")</f>
        <v>#NAME?</v>
      </c>
      <c r="S2138" s="23" t="e">
        <f ca="1">[1]!BexGetData("DP_1","00O2TNJGODT0G5Z4TTKYMMI9X","GSON1112151390")</f>
        <v>#NAME?</v>
      </c>
      <c r="T2138" s="28" t="e">
        <f ca="1">[1]!BexGetData("DP_1","00O2TNJGODT0G5Z4TTKYMMOLH","GSON1112151390")</f>
        <v>#NAME?</v>
      </c>
      <c r="U2138" s="23" t="e">
        <f ca="1">[1]!BexGetData("DP_1","00O2TNJGODT0G5Z4TTKYMMUX1","GSON1112151390")</f>
        <v>#NAME?</v>
      </c>
      <c r="V2138" s="28" t="e">
        <f ca="1">[1]!BexGetData("DP_1","00O2TNJGODT0G5Z4TTKYMN18L","GSON1112151390")</f>
        <v>#NAME?</v>
      </c>
      <c r="W2138" s="23" t="e">
        <f ca="1">[1]!BexGetData("DP_1","00O2TNJGODT0G5Z4TTKYMN7K5","GSON1112151390")</f>
        <v>#NAME?</v>
      </c>
    </row>
    <row r="2139" spans="1:23" x14ac:dyDescent="0.2">
      <c r="A2139" s="36" t="s">
        <v>5247</v>
      </c>
      <c r="B2139" s="27" t="s">
        <v>5248</v>
      </c>
      <c r="C2139" s="23" t="e">
        <f ca="1">[1]!BexGetData("DP_1","003N8EMH8GTFRCSWKMPXRR8GU","GSON1112151391")</f>
        <v>#NAME?</v>
      </c>
      <c r="D2139" s="23" t="e">
        <f ca="1">[1]!BexGetData("DP_1","003N8EMH8GTFRCSWKMPXRRESE","GSON1112151391")</f>
        <v>#NAME?</v>
      </c>
      <c r="E2139" s="28" t="e">
        <f ca="1">[1]!BexGetData("DP_1","003N8EMH8GTFRCSWKMPXRRL3Y","GSON1112151391")</f>
        <v>#NAME?</v>
      </c>
      <c r="F2139" s="28" t="e">
        <f ca="1">[1]!BexGetData("DP_1","003N8EMH8GTFRCSWKMPXRRRFI","GSON1112151391")</f>
        <v>#NAME?</v>
      </c>
      <c r="G2139" s="23" t="e">
        <f ca="1">[1]!BexGetData("DP_1","003N8EMH8GTFRCSWKMPXRRXR2","GSON1112151391")</f>
        <v>#NAME?</v>
      </c>
      <c r="H2139" s="23" t="e">
        <f ca="1">[1]!BexGetData("DP_1","003N8EMH8GTFRCSWKMPXRS42M","GSON1112151391")</f>
        <v>#NAME?</v>
      </c>
      <c r="I2139" s="28" t="e">
        <f ca="1">[1]!BexGetData("DP_1","003N8EMH8GTFRCSWKMPXRSAE6","GSON1112151391")</f>
        <v>#NAME?</v>
      </c>
      <c r="J2139" s="24" t="e">
        <f ca="1">[1]!BexGetData("DP_1","003N8EMH8GTFRCSWKMPXRSGPQ","GSON1112151391")</f>
        <v>#NAME?</v>
      </c>
      <c r="K2139" s="28" t="e">
        <f ca="1">[1]!BexGetData("DP_1","003N8EMH8GTFRIVNUPY288VJH","GSON1112151391")</f>
        <v>#NAME?</v>
      </c>
      <c r="L2139" s="28" t="e">
        <f ca="1">[1]!BexGetData("DP_1","003N8EMH8GTFRIVNUPY2891V1","GSON1112151391")</f>
        <v>#NAME?</v>
      </c>
      <c r="M2139" s="28" t="e">
        <f ca="1">[1]!BexGetData("DP_1","003N8EMH8GTFRIVOG7KG9IQXA","GSON1112151391")</f>
        <v>#NAME?</v>
      </c>
      <c r="N2139" s="28" t="e">
        <f ca="1">[1]!BexGetData("DP_1","003N8EMH8GTFRIVOG7KG9IX8U","GSON1112151391")</f>
        <v>#NAME?</v>
      </c>
      <c r="O2139" s="28" t="e">
        <f ca="1">[1]!BexGetData("DP_1","003N8EMH8GTFRIVOG7KG9J3KE","GSON1112151391")</f>
        <v>#NAME?</v>
      </c>
      <c r="P2139" s="28" t="e">
        <f ca="1">[1]!BexGetData("DP_1","003N8EMH8GTFRIVOG7KG9J9VY","GSON1112151391")</f>
        <v>#NAME?</v>
      </c>
      <c r="Q2139" s="24" t="e">
        <f ca="1">[1]!BexGetData("DP_1","00O2TNJGODT0G5Z4TTKYMM5MT","GSON1112151391")</f>
        <v>#NAME?</v>
      </c>
      <c r="R2139" s="28" t="e">
        <f ca="1">[1]!BexGetData("DP_1","00O2TNJGODT0G5Z4TTKYMMBYD","GSON1112151391")</f>
        <v>#NAME?</v>
      </c>
      <c r="S2139" s="28" t="e">
        <f ca="1">[1]!BexGetData("DP_1","00O2TNJGODT0G5Z4TTKYMMI9X","GSON1112151391")</f>
        <v>#NAME?</v>
      </c>
      <c r="T2139" s="28" t="e">
        <f ca="1">[1]!BexGetData("DP_1","00O2TNJGODT0G5Z4TTKYMMOLH","GSON1112151391")</f>
        <v>#NAME?</v>
      </c>
      <c r="U2139" s="28" t="e">
        <f ca="1">[1]!BexGetData("DP_1","00O2TNJGODT0G5Z4TTKYMMUX1","GSON1112151391")</f>
        <v>#NAME?</v>
      </c>
      <c r="V2139" s="28" t="e">
        <f ca="1">[1]!BexGetData("DP_1","00O2TNJGODT0G5Z4TTKYMN18L","GSON1112151391")</f>
        <v>#NAME?</v>
      </c>
      <c r="W2139" s="28" t="e">
        <f ca="1">[1]!BexGetData("DP_1","00O2TNJGODT0G5Z4TTKYMN7K5","GSON1112151391")</f>
        <v>#NAME?</v>
      </c>
    </row>
    <row r="2140" spans="1:23" x14ac:dyDescent="0.2">
      <c r="A2140" s="36" t="s">
        <v>5249</v>
      </c>
      <c r="B2140" s="27" t="s">
        <v>5250</v>
      </c>
      <c r="C2140" s="23" t="e">
        <f ca="1">[1]!BexGetData("DP_1","003N8EMH8GTFRCSWKMPXRR8GU","GSON1112151393")</f>
        <v>#NAME?</v>
      </c>
      <c r="D2140" s="23" t="e">
        <f ca="1">[1]!BexGetData("DP_1","003N8EMH8GTFRCSWKMPXRRESE","GSON1112151393")</f>
        <v>#NAME?</v>
      </c>
      <c r="E2140" s="28" t="e">
        <f ca="1">[1]!BexGetData("DP_1","003N8EMH8GTFRCSWKMPXRRL3Y","GSON1112151393")</f>
        <v>#NAME?</v>
      </c>
      <c r="F2140" s="28" t="e">
        <f ca="1">[1]!BexGetData("DP_1","003N8EMH8GTFRCSWKMPXRRRFI","GSON1112151393")</f>
        <v>#NAME?</v>
      </c>
      <c r="G2140" s="23" t="e">
        <f ca="1">[1]!BexGetData("DP_1","003N8EMH8GTFRCSWKMPXRRXR2","GSON1112151393")</f>
        <v>#NAME?</v>
      </c>
      <c r="H2140" s="23" t="e">
        <f ca="1">[1]!BexGetData("DP_1","003N8EMH8GTFRCSWKMPXRS42M","GSON1112151393")</f>
        <v>#NAME?</v>
      </c>
      <c r="I2140" s="28" t="e">
        <f ca="1">[1]!BexGetData("DP_1","003N8EMH8GTFRCSWKMPXRSAE6","GSON1112151393")</f>
        <v>#NAME?</v>
      </c>
      <c r="J2140" s="24" t="e">
        <f ca="1">[1]!BexGetData("DP_1","003N8EMH8GTFRCSWKMPXRSGPQ","GSON1112151393")</f>
        <v>#NAME?</v>
      </c>
      <c r="K2140" s="28" t="e">
        <f ca="1">[1]!BexGetData("DP_1","003N8EMH8GTFRIVNUPY288VJH","GSON1112151393")</f>
        <v>#NAME?</v>
      </c>
      <c r="L2140" s="28" t="e">
        <f ca="1">[1]!BexGetData("DP_1","003N8EMH8GTFRIVNUPY2891V1","GSON1112151393")</f>
        <v>#NAME?</v>
      </c>
      <c r="M2140" s="28" t="e">
        <f ca="1">[1]!BexGetData("DP_1","003N8EMH8GTFRIVOG7KG9IQXA","GSON1112151393")</f>
        <v>#NAME?</v>
      </c>
      <c r="N2140" s="28" t="e">
        <f ca="1">[1]!BexGetData("DP_1","003N8EMH8GTFRIVOG7KG9IX8U","GSON1112151393")</f>
        <v>#NAME?</v>
      </c>
      <c r="O2140" s="28" t="e">
        <f ca="1">[1]!BexGetData("DP_1","003N8EMH8GTFRIVOG7KG9J3KE","GSON1112151393")</f>
        <v>#NAME?</v>
      </c>
      <c r="P2140" s="28" t="e">
        <f ca="1">[1]!BexGetData("DP_1","003N8EMH8GTFRIVOG7KG9J9VY","GSON1112151393")</f>
        <v>#NAME?</v>
      </c>
      <c r="Q2140" s="24" t="e">
        <f ca="1">[1]!BexGetData("DP_1","00O2TNJGODT0G5Z4TTKYMM5MT","GSON1112151393")</f>
        <v>#NAME?</v>
      </c>
      <c r="R2140" s="28" t="e">
        <f ca="1">[1]!BexGetData("DP_1","00O2TNJGODT0G5Z4TTKYMMBYD","GSON1112151393")</f>
        <v>#NAME?</v>
      </c>
      <c r="S2140" s="28" t="e">
        <f ca="1">[1]!BexGetData("DP_1","00O2TNJGODT0G5Z4TTKYMMI9X","GSON1112151393")</f>
        <v>#NAME?</v>
      </c>
      <c r="T2140" s="28" t="e">
        <f ca="1">[1]!BexGetData("DP_1","00O2TNJGODT0G5Z4TTKYMMOLH","GSON1112151393")</f>
        <v>#NAME?</v>
      </c>
      <c r="U2140" s="28" t="e">
        <f ca="1">[1]!BexGetData("DP_1","00O2TNJGODT0G5Z4TTKYMMUX1","GSON1112151393")</f>
        <v>#NAME?</v>
      </c>
      <c r="V2140" s="28" t="e">
        <f ca="1">[1]!BexGetData("DP_1","00O2TNJGODT0G5Z4TTKYMN18L","GSON1112151393")</f>
        <v>#NAME?</v>
      </c>
      <c r="W2140" s="28" t="e">
        <f ca="1">[1]!BexGetData("DP_1","00O2TNJGODT0G5Z4TTKYMN7K5","GSON1112151393")</f>
        <v>#NAME?</v>
      </c>
    </row>
    <row r="2141" spans="1:23" x14ac:dyDescent="0.2">
      <c r="A2141" s="36" t="s">
        <v>5251</v>
      </c>
      <c r="B2141" s="27" t="s">
        <v>5252</v>
      </c>
      <c r="C2141" s="24" t="e">
        <f ca="1">[1]!BexGetData("DP_1","003N8EMH8GTFRCSWKMPXRR8GU","GSON1112151394")</f>
        <v>#NAME?</v>
      </c>
      <c r="D2141" s="24" t="e">
        <f ca="1">[1]!BexGetData("DP_1","003N8EMH8GTFRCSWKMPXRRESE","GSON1112151394")</f>
        <v>#NAME?</v>
      </c>
      <c r="E2141" s="24" t="e">
        <f ca="1">[1]!BexGetData("DP_1","003N8EMH8GTFRCSWKMPXRRL3Y","GSON1112151394")</f>
        <v>#NAME?</v>
      </c>
      <c r="F2141" s="28" t="e">
        <f ca="1">[1]!BexGetData("DP_1","003N8EMH8GTFRCSWKMPXRRRFI","GSON1112151394")</f>
        <v>#NAME?</v>
      </c>
      <c r="G2141" s="23" t="e">
        <f ca="1">[1]!BexGetData("DP_1","003N8EMH8GTFRCSWKMPXRRXR2","GSON1112151394")</f>
        <v>#NAME?</v>
      </c>
      <c r="H2141" s="23" t="e">
        <f ca="1">[1]!BexGetData("DP_1","003N8EMH8GTFRCSWKMPXRS42M","GSON1112151394")</f>
        <v>#NAME?</v>
      </c>
      <c r="I2141" s="28" t="e">
        <f ca="1">[1]!BexGetData("DP_1","003N8EMH8GTFRCSWKMPXRSAE6","GSON1112151394")</f>
        <v>#NAME?</v>
      </c>
      <c r="J2141" s="24" t="e">
        <f ca="1">[1]!BexGetData("DP_1","003N8EMH8GTFRCSWKMPXRSGPQ","GSON1112151394")</f>
        <v>#NAME?</v>
      </c>
      <c r="K2141" s="28" t="e">
        <f ca="1">[1]!BexGetData("DP_1","003N8EMH8GTFRIVNUPY288VJH","GSON1112151394")</f>
        <v>#NAME?</v>
      </c>
      <c r="L2141" s="28" t="e">
        <f ca="1">[1]!BexGetData("DP_1","003N8EMH8GTFRIVNUPY2891V1","GSON1112151394")</f>
        <v>#NAME?</v>
      </c>
      <c r="M2141" s="28" t="e">
        <f ca="1">[1]!BexGetData("DP_1","003N8EMH8GTFRIVOG7KG9IQXA","GSON1112151394")</f>
        <v>#NAME?</v>
      </c>
      <c r="N2141" s="28" t="e">
        <f ca="1">[1]!BexGetData("DP_1","003N8EMH8GTFRIVOG7KG9IX8U","GSON1112151394")</f>
        <v>#NAME?</v>
      </c>
      <c r="O2141" s="28" t="e">
        <f ca="1">[1]!BexGetData("DP_1","003N8EMH8GTFRIVOG7KG9J3KE","GSON1112151394")</f>
        <v>#NAME?</v>
      </c>
      <c r="P2141" s="28" t="e">
        <f ca="1">[1]!BexGetData("DP_1","003N8EMH8GTFRIVOG7KG9J9VY","GSON1112151394")</f>
        <v>#NAME?</v>
      </c>
      <c r="Q2141" s="24" t="e">
        <f ca="1">[1]!BexGetData("DP_1","00O2TNJGODT0G5Z4TTKYMM5MT","GSON1112151394")</f>
        <v>#NAME?</v>
      </c>
      <c r="R2141" s="28" t="e">
        <f ca="1">[1]!BexGetData("DP_1","00O2TNJGODT0G5Z4TTKYMMBYD","GSON1112151394")</f>
        <v>#NAME?</v>
      </c>
      <c r="S2141" s="28" t="e">
        <f ca="1">[1]!BexGetData("DP_1","00O2TNJGODT0G5Z4TTKYMMI9X","GSON1112151394")</f>
        <v>#NAME?</v>
      </c>
      <c r="T2141" s="28" t="e">
        <f ca="1">[1]!BexGetData("DP_1","00O2TNJGODT0G5Z4TTKYMMOLH","GSON1112151394")</f>
        <v>#NAME?</v>
      </c>
      <c r="U2141" s="28" t="e">
        <f ca="1">[1]!BexGetData("DP_1","00O2TNJGODT0G5Z4TTKYMMUX1","GSON1112151394")</f>
        <v>#NAME?</v>
      </c>
      <c r="V2141" s="28" t="e">
        <f ca="1">[1]!BexGetData("DP_1","00O2TNJGODT0G5Z4TTKYMN18L","GSON1112151394")</f>
        <v>#NAME?</v>
      </c>
      <c r="W2141" s="28" t="e">
        <f ca="1">[1]!BexGetData("DP_1","00O2TNJGODT0G5Z4TTKYMN7K5","GSON1112151394")</f>
        <v>#NAME?</v>
      </c>
    </row>
    <row r="2142" spans="1:23" x14ac:dyDescent="0.2">
      <c r="A2142" s="36" t="s">
        <v>5253</v>
      </c>
      <c r="B2142" s="27" t="s">
        <v>5254</v>
      </c>
      <c r="C2142" s="23" t="e">
        <f ca="1">[1]!BexGetData("DP_1","003N8EMH8GTFRCSWKMPXRR8GU","GSON1112151395")</f>
        <v>#NAME?</v>
      </c>
      <c r="D2142" s="23" t="e">
        <f ca="1">[1]!BexGetData("DP_1","003N8EMH8GTFRCSWKMPXRRESE","GSON1112151395")</f>
        <v>#NAME?</v>
      </c>
      <c r="E2142" s="28" t="e">
        <f ca="1">[1]!BexGetData("DP_1","003N8EMH8GTFRCSWKMPXRRL3Y","GSON1112151395")</f>
        <v>#NAME?</v>
      </c>
      <c r="F2142" s="28" t="e">
        <f ca="1">[1]!BexGetData("DP_1","003N8EMH8GTFRCSWKMPXRRRFI","GSON1112151395")</f>
        <v>#NAME?</v>
      </c>
      <c r="G2142" s="23" t="e">
        <f ca="1">[1]!BexGetData("DP_1","003N8EMH8GTFRCSWKMPXRRXR2","GSON1112151395")</f>
        <v>#NAME?</v>
      </c>
      <c r="H2142" s="23" t="e">
        <f ca="1">[1]!BexGetData("DP_1","003N8EMH8GTFRCSWKMPXRS42M","GSON1112151395")</f>
        <v>#NAME?</v>
      </c>
      <c r="I2142" s="28" t="e">
        <f ca="1">[1]!BexGetData("DP_1","003N8EMH8GTFRCSWKMPXRSAE6","GSON1112151395")</f>
        <v>#NAME?</v>
      </c>
      <c r="J2142" s="24" t="e">
        <f ca="1">[1]!BexGetData("DP_1","003N8EMH8GTFRCSWKMPXRSGPQ","GSON1112151395")</f>
        <v>#NAME?</v>
      </c>
      <c r="K2142" s="28" t="e">
        <f ca="1">[1]!BexGetData("DP_1","003N8EMH8GTFRIVNUPY288VJH","GSON1112151395")</f>
        <v>#NAME?</v>
      </c>
      <c r="L2142" s="28" t="e">
        <f ca="1">[1]!BexGetData("DP_1","003N8EMH8GTFRIVNUPY2891V1","GSON1112151395")</f>
        <v>#NAME?</v>
      </c>
      <c r="M2142" s="28" t="e">
        <f ca="1">[1]!BexGetData("DP_1","003N8EMH8GTFRIVOG7KG9IQXA","GSON1112151395")</f>
        <v>#NAME?</v>
      </c>
      <c r="N2142" s="28" t="e">
        <f ca="1">[1]!BexGetData("DP_1","003N8EMH8GTFRIVOG7KG9IX8U","GSON1112151395")</f>
        <v>#NAME?</v>
      </c>
      <c r="O2142" s="28" t="e">
        <f ca="1">[1]!BexGetData("DP_1","003N8EMH8GTFRIVOG7KG9J3KE","GSON1112151395")</f>
        <v>#NAME?</v>
      </c>
      <c r="P2142" s="28" t="e">
        <f ca="1">[1]!BexGetData("DP_1","003N8EMH8GTFRIVOG7KG9J9VY","GSON1112151395")</f>
        <v>#NAME?</v>
      </c>
      <c r="Q2142" s="24" t="e">
        <f ca="1">[1]!BexGetData("DP_1","00O2TNJGODT0G5Z4TTKYMM5MT","GSON1112151395")</f>
        <v>#NAME?</v>
      </c>
      <c r="R2142" s="28" t="e">
        <f ca="1">[1]!BexGetData("DP_1","00O2TNJGODT0G5Z4TTKYMMBYD","GSON1112151395")</f>
        <v>#NAME?</v>
      </c>
      <c r="S2142" s="28" t="e">
        <f ca="1">[1]!BexGetData("DP_1","00O2TNJGODT0G5Z4TTKYMMI9X","GSON1112151395")</f>
        <v>#NAME?</v>
      </c>
      <c r="T2142" s="28" t="e">
        <f ca="1">[1]!BexGetData("DP_1","00O2TNJGODT0G5Z4TTKYMMOLH","GSON1112151395")</f>
        <v>#NAME?</v>
      </c>
      <c r="U2142" s="28" t="e">
        <f ca="1">[1]!BexGetData("DP_1","00O2TNJGODT0G5Z4TTKYMMUX1","GSON1112151395")</f>
        <v>#NAME?</v>
      </c>
      <c r="V2142" s="28" t="e">
        <f ca="1">[1]!BexGetData("DP_1","00O2TNJGODT0G5Z4TTKYMN18L","GSON1112151395")</f>
        <v>#NAME?</v>
      </c>
      <c r="W2142" s="28" t="e">
        <f ca="1">[1]!BexGetData("DP_1","00O2TNJGODT0G5Z4TTKYMN7K5","GSON1112151395")</f>
        <v>#NAME?</v>
      </c>
    </row>
    <row r="2143" spans="1:23" x14ac:dyDescent="0.2">
      <c r="A2143" s="36" t="s">
        <v>5255</v>
      </c>
      <c r="B2143" s="27" t="s">
        <v>5256</v>
      </c>
      <c r="C2143" s="23" t="e">
        <f ca="1">[1]!BexGetData("DP_1","003N8EMH8GTFRCSWKMPXRR8GU","GSON1112151400")</f>
        <v>#NAME?</v>
      </c>
      <c r="D2143" s="23" t="e">
        <f ca="1">[1]!BexGetData("DP_1","003N8EMH8GTFRCSWKMPXRRESE","GSON1112151400")</f>
        <v>#NAME?</v>
      </c>
      <c r="E2143" s="23" t="e">
        <f ca="1">[1]!BexGetData("DP_1","003N8EMH8GTFRCSWKMPXRRL3Y","GSON1112151400")</f>
        <v>#NAME?</v>
      </c>
      <c r="F2143" s="23" t="e">
        <f ca="1">[1]!BexGetData("DP_1","003N8EMH8GTFRCSWKMPXRRRFI","GSON1112151400")</f>
        <v>#NAME?</v>
      </c>
      <c r="G2143" s="23" t="e">
        <f ca="1">[1]!BexGetData("DP_1","003N8EMH8GTFRCSWKMPXRRXR2","GSON1112151400")</f>
        <v>#NAME?</v>
      </c>
      <c r="H2143" s="23" t="e">
        <f ca="1">[1]!BexGetData("DP_1","003N8EMH8GTFRCSWKMPXRS42M","GSON1112151400")</f>
        <v>#NAME?</v>
      </c>
      <c r="I2143" s="23" t="e">
        <f ca="1">[1]!BexGetData("DP_1","003N8EMH8GTFRCSWKMPXRSAE6","GSON1112151400")</f>
        <v>#NAME?</v>
      </c>
      <c r="J2143" s="24" t="e">
        <f ca="1">[1]!BexGetData("DP_1","003N8EMH8GTFRCSWKMPXRSGPQ","GSON1112151400")</f>
        <v>#NAME?</v>
      </c>
      <c r="K2143" s="23" t="e">
        <f ca="1">[1]!BexGetData("DP_1","003N8EMH8GTFRIVNUPY288VJH","GSON1112151400")</f>
        <v>#NAME?</v>
      </c>
      <c r="L2143" s="23" t="e">
        <f ca="1">[1]!BexGetData("DP_1","003N8EMH8GTFRIVNUPY2891V1","GSON1112151400")</f>
        <v>#NAME?</v>
      </c>
      <c r="M2143" s="23" t="e">
        <f ca="1">[1]!BexGetData("DP_1","003N8EMH8GTFRIVOG7KG9IQXA","GSON1112151400")</f>
        <v>#NAME?</v>
      </c>
      <c r="N2143" s="28" t="e">
        <f ca="1">[1]!BexGetData("DP_1","003N8EMH8GTFRIVOG7KG9IX8U","GSON1112151400")</f>
        <v>#NAME?</v>
      </c>
      <c r="O2143" s="23" t="e">
        <f ca="1">[1]!BexGetData("DP_1","003N8EMH8GTFRIVOG7KG9J3KE","GSON1112151400")</f>
        <v>#NAME?</v>
      </c>
      <c r="P2143" s="28" t="e">
        <f ca="1">[1]!BexGetData("DP_1","003N8EMH8GTFRIVOG7KG9J9VY","GSON1112151400")</f>
        <v>#NAME?</v>
      </c>
      <c r="Q2143" s="24" t="e">
        <f ca="1">[1]!BexGetData("DP_1","00O2TNJGODT0G5Z4TTKYMM5MT","GSON1112151400")</f>
        <v>#NAME?</v>
      </c>
      <c r="R2143" s="23" t="e">
        <f ca="1">[1]!BexGetData("DP_1","00O2TNJGODT0G5Z4TTKYMMBYD","GSON1112151400")</f>
        <v>#NAME?</v>
      </c>
      <c r="S2143" s="23" t="e">
        <f ca="1">[1]!BexGetData("DP_1","00O2TNJGODT0G5Z4TTKYMMI9X","GSON1112151400")</f>
        <v>#NAME?</v>
      </c>
      <c r="T2143" s="28" t="e">
        <f ca="1">[1]!BexGetData("DP_1","00O2TNJGODT0G5Z4TTKYMMOLH","GSON1112151400")</f>
        <v>#NAME?</v>
      </c>
      <c r="U2143" s="23" t="e">
        <f ca="1">[1]!BexGetData("DP_1","00O2TNJGODT0G5Z4TTKYMMUX1","GSON1112151400")</f>
        <v>#NAME?</v>
      </c>
      <c r="V2143" s="28" t="e">
        <f ca="1">[1]!BexGetData("DP_1","00O2TNJGODT0G5Z4TTKYMN18L","GSON1112151400")</f>
        <v>#NAME?</v>
      </c>
      <c r="W2143" s="23" t="e">
        <f ca="1">[1]!BexGetData("DP_1","00O2TNJGODT0G5Z4TTKYMN7K5","GSON1112151400")</f>
        <v>#NAME?</v>
      </c>
    </row>
    <row r="2144" spans="1:23" x14ac:dyDescent="0.2">
      <c r="A2144" s="36" t="s">
        <v>5257</v>
      </c>
      <c r="B2144" s="27" t="s">
        <v>5258</v>
      </c>
      <c r="C2144" s="23" t="e">
        <f ca="1">[1]!BexGetData("DP_1","003N8EMH8GTFRCSWKMPXRR8GU","GSON1112151401")</f>
        <v>#NAME?</v>
      </c>
      <c r="D2144" s="23" t="e">
        <f ca="1">[1]!BexGetData("DP_1","003N8EMH8GTFRCSWKMPXRRESE","GSON1112151401")</f>
        <v>#NAME?</v>
      </c>
      <c r="E2144" s="28" t="e">
        <f ca="1">[1]!BexGetData("DP_1","003N8EMH8GTFRCSWKMPXRRL3Y","GSON1112151401")</f>
        <v>#NAME?</v>
      </c>
      <c r="F2144" s="28" t="e">
        <f ca="1">[1]!BexGetData("DP_1","003N8EMH8GTFRCSWKMPXRRRFI","GSON1112151401")</f>
        <v>#NAME?</v>
      </c>
      <c r="G2144" s="23" t="e">
        <f ca="1">[1]!BexGetData("DP_1","003N8EMH8GTFRCSWKMPXRRXR2","GSON1112151401")</f>
        <v>#NAME?</v>
      </c>
      <c r="H2144" s="23" t="e">
        <f ca="1">[1]!BexGetData("DP_1","003N8EMH8GTFRCSWKMPXRS42M","GSON1112151401")</f>
        <v>#NAME?</v>
      </c>
      <c r="I2144" s="28" t="e">
        <f ca="1">[1]!BexGetData("DP_1","003N8EMH8GTFRCSWKMPXRSAE6","GSON1112151401")</f>
        <v>#NAME?</v>
      </c>
      <c r="J2144" s="24" t="e">
        <f ca="1">[1]!BexGetData("DP_1","003N8EMH8GTFRCSWKMPXRSGPQ","GSON1112151401")</f>
        <v>#NAME?</v>
      </c>
      <c r="K2144" s="28" t="e">
        <f ca="1">[1]!BexGetData("DP_1","003N8EMH8GTFRIVNUPY288VJH","GSON1112151401")</f>
        <v>#NAME?</v>
      </c>
      <c r="L2144" s="28" t="e">
        <f ca="1">[1]!BexGetData("DP_1","003N8EMH8GTFRIVNUPY2891V1","GSON1112151401")</f>
        <v>#NAME?</v>
      </c>
      <c r="M2144" s="28" t="e">
        <f ca="1">[1]!BexGetData("DP_1","003N8EMH8GTFRIVOG7KG9IQXA","GSON1112151401")</f>
        <v>#NAME?</v>
      </c>
      <c r="N2144" s="28" t="e">
        <f ca="1">[1]!BexGetData("DP_1","003N8EMH8GTFRIVOG7KG9IX8U","GSON1112151401")</f>
        <v>#NAME?</v>
      </c>
      <c r="O2144" s="28" t="e">
        <f ca="1">[1]!BexGetData("DP_1","003N8EMH8GTFRIVOG7KG9J3KE","GSON1112151401")</f>
        <v>#NAME?</v>
      </c>
      <c r="P2144" s="28" t="e">
        <f ca="1">[1]!BexGetData("DP_1","003N8EMH8GTFRIVOG7KG9J9VY","GSON1112151401")</f>
        <v>#NAME?</v>
      </c>
      <c r="Q2144" s="24" t="e">
        <f ca="1">[1]!BexGetData("DP_1","00O2TNJGODT0G5Z4TTKYMM5MT","GSON1112151401")</f>
        <v>#NAME?</v>
      </c>
      <c r="R2144" s="28" t="e">
        <f ca="1">[1]!BexGetData("DP_1","00O2TNJGODT0G5Z4TTKYMMBYD","GSON1112151401")</f>
        <v>#NAME?</v>
      </c>
      <c r="S2144" s="28" t="e">
        <f ca="1">[1]!BexGetData("DP_1","00O2TNJGODT0G5Z4TTKYMMI9X","GSON1112151401")</f>
        <v>#NAME?</v>
      </c>
      <c r="T2144" s="28" t="e">
        <f ca="1">[1]!BexGetData("DP_1","00O2TNJGODT0G5Z4TTKYMMOLH","GSON1112151401")</f>
        <v>#NAME?</v>
      </c>
      <c r="U2144" s="28" t="e">
        <f ca="1">[1]!BexGetData("DP_1","00O2TNJGODT0G5Z4TTKYMMUX1","GSON1112151401")</f>
        <v>#NAME?</v>
      </c>
      <c r="V2144" s="28" t="e">
        <f ca="1">[1]!BexGetData("DP_1","00O2TNJGODT0G5Z4TTKYMN18L","GSON1112151401")</f>
        <v>#NAME?</v>
      </c>
      <c r="W2144" s="28" t="e">
        <f ca="1">[1]!BexGetData("DP_1","00O2TNJGODT0G5Z4TTKYMN7K5","GSON1112151401")</f>
        <v>#NAME?</v>
      </c>
    </row>
    <row r="2145" spans="1:23" x14ac:dyDescent="0.2">
      <c r="A2145" s="36" t="s">
        <v>5259</v>
      </c>
      <c r="B2145" s="27" t="s">
        <v>5260</v>
      </c>
      <c r="C2145" s="23" t="e">
        <f ca="1">[1]!BexGetData("DP_1","003N8EMH8GTFRCSWKMPXRR8GU","GSON1112151403")</f>
        <v>#NAME?</v>
      </c>
      <c r="D2145" s="23" t="e">
        <f ca="1">[1]!BexGetData("DP_1","003N8EMH8GTFRCSWKMPXRRESE","GSON1112151403")</f>
        <v>#NAME?</v>
      </c>
      <c r="E2145" s="28" t="e">
        <f ca="1">[1]!BexGetData("DP_1","003N8EMH8GTFRCSWKMPXRRL3Y","GSON1112151403")</f>
        <v>#NAME?</v>
      </c>
      <c r="F2145" s="28" t="e">
        <f ca="1">[1]!BexGetData("DP_1","003N8EMH8GTFRCSWKMPXRRRFI","GSON1112151403")</f>
        <v>#NAME?</v>
      </c>
      <c r="G2145" s="23" t="e">
        <f ca="1">[1]!BexGetData("DP_1","003N8EMH8GTFRCSWKMPXRRXR2","GSON1112151403")</f>
        <v>#NAME?</v>
      </c>
      <c r="H2145" s="23" t="e">
        <f ca="1">[1]!BexGetData("DP_1","003N8EMH8GTFRCSWKMPXRS42M","GSON1112151403")</f>
        <v>#NAME?</v>
      </c>
      <c r="I2145" s="28" t="e">
        <f ca="1">[1]!BexGetData("DP_1","003N8EMH8GTFRCSWKMPXRSAE6","GSON1112151403")</f>
        <v>#NAME?</v>
      </c>
      <c r="J2145" s="24" t="e">
        <f ca="1">[1]!BexGetData("DP_1","003N8EMH8GTFRCSWKMPXRSGPQ","GSON1112151403")</f>
        <v>#NAME?</v>
      </c>
      <c r="K2145" s="28" t="e">
        <f ca="1">[1]!BexGetData("DP_1","003N8EMH8GTFRIVNUPY288VJH","GSON1112151403")</f>
        <v>#NAME?</v>
      </c>
      <c r="L2145" s="28" t="e">
        <f ca="1">[1]!BexGetData("DP_1","003N8EMH8GTFRIVNUPY2891V1","GSON1112151403")</f>
        <v>#NAME?</v>
      </c>
      <c r="M2145" s="28" t="e">
        <f ca="1">[1]!BexGetData("DP_1","003N8EMH8GTFRIVOG7KG9IQXA","GSON1112151403")</f>
        <v>#NAME?</v>
      </c>
      <c r="N2145" s="28" t="e">
        <f ca="1">[1]!BexGetData("DP_1","003N8EMH8GTFRIVOG7KG9IX8U","GSON1112151403")</f>
        <v>#NAME?</v>
      </c>
      <c r="O2145" s="28" t="e">
        <f ca="1">[1]!BexGetData("DP_1","003N8EMH8GTFRIVOG7KG9J3KE","GSON1112151403")</f>
        <v>#NAME?</v>
      </c>
      <c r="P2145" s="28" t="e">
        <f ca="1">[1]!BexGetData("DP_1","003N8EMH8GTFRIVOG7KG9J9VY","GSON1112151403")</f>
        <v>#NAME?</v>
      </c>
      <c r="Q2145" s="24" t="e">
        <f ca="1">[1]!BexGetData("DP_1","00O2TNJGODT0G5Z4TTKYMM5MT","GSON1112151403")</f>
        <v>#NAME?</v>
      </c>
      <c r="R2145" s="28" t="e">
        <f ca="1">[1]!BexGetData("DP_1","00O2TNJGODT0G5Z4TTKYMMBYD","GSON1112151403")</f>
        <v>#NAME?</v>
      </c>
      <c r="S2145" s="28" t="e">
        <f ca="1">[1]!BexGetData("DP_1","00O2TNJGODT0G5Z4TTKYMMI9X","GSON1112151403")</f>
        <v>#NAME?</v>
      </c>
      <c r="T2145" s="28" t="e">
        <f ca="1">[1]!BexGetData("DP_1","00O2TNJGODT0G5Z4TTKYMMOLH","GSON1112151403")</f>
        <v>#NAME?</v>
      </c>
      <c r="U2145" s="28" t="e">
        <f ca="1">[1]!BexGetData("DP_1","00O2TNJGODT0G5Z4TTKYMMUX1","GSON1112151403")</f>
        <v>#NAME?</v>
      </c>
      <c r="V2145" s="28" t="e">
        <f ca="1">[1]!BexGetData("DP_1","00O2TNJGODT0G5Z4TTKYMN18L","GSON1112151403")</f>
        <v>#NAME?</v>
      </c>
      <c r="W2145" s="28" t="e">
        <f ca="1">[1]!BexGetData("DP_1","00O2TNJGODT0G5Z4TTKYMN7K5","GSON1112151403")</f>
        <v>#NAME?</v>
      </c>
    </row>
    <row r="2146" spans="1:23" x14ac:dyDescent="0.2">
      <c r="A2146" s="36" t="s">
        <v>5261</v>
      </c>
      <c r="B2146" s="27" t="s">
        <v>5262</v>
      </c>
      <c r="C2146" s="24" t="e">
        <f ca="1">[1]!BexGetData("DP_1","003N8EMH8GTFRCSWKMPXRR8GU","GSON1112151404")</f>
        <v>#NAME?</v>
      </c>
      <c r="D2146" s="24" t="e">
        <f ca="1">[1]!BexGetData("DP_1","003N8EMH8GTFRCSWKMPXRRESE","GSON1112151404")</f>
        <v>#NAME?</v>
      </c>
      <c r="E2146" s="24" t="e">
        <f ca="1">[1]!BexGetData("DP_1","003N8EMH8GTFRCSWKMPXRRL3Y","GSON1112151404")</f>
        <v>#NAME?</v>
      </c>
      <c r="F2146" s="28" t="e">
        <f ca="1">[1]!BexGetData("DP_1","003N8EMH8GTFRCSWKMPXRRRFI","GSON1112151404")</f>
        <v>#NAME?</v>
      </c>
      <c r="G2146" s="23" t="e">
        <f ca="1">[1]!BexGetData("DP_1","003N8EMH8GTFRCSWKMPXRRXR2","GSON1112151404")</f>
        <v>#NAME?</v>
      </c>
      <c r="H2146" s="23" t="e">
        <f ca="1">[1]!BexGetData("DP_1","003N8EMH8GTFRCSWKMPXRS42M","GSON1112151404")</f>
        <v>#NAME?</v>
      </c>
      <c r="I2146" s="28" t="e">
        <f ca="1">[1]!BexGetData("DP_1","003N8EMH8GTFRCSWKMPXRSAE6","GSON1112151404")</f>
        <v>#NAME?</v>
      </c>
      <c r="J2146" s="24" t="e">
        <f ca="1">[1]!BexGetData("DP_1","003N8EMH8GTFRCSWKMPXRSGPQ","GSON1112151404")</f>
        <v>#NAME?</v>
      </c>
      <c r="K2146" s="28" t="e">
        <f ca="1">[1]!BexGetData("DP_1","003N8EMH8GTFRIVNUPY288VJH","GSON1112151404")</f>
        <v>#NAME?</v>
      </c>
      <c r="L2146" s="28" t="e">
        <f ca="1">[1]!BexGetData("DP_1","003N8EMH8GTFRIVNUPY2891V1","GSON1112151404")</f>
        <v>#NAME?</v>
      </c>
      <c r="M2146" s="28" t="e">
        <f ca="1">[1]!BexGetData("DP_1","003N8EMH8GTFRIVOG7KG9IQXA","GSON1112151404")</f>
        <v>#NAME?</v>
      </c>
      <c r="N2146" s="28" t="e">
        <f ca="1">[1]!BexGetData("DP_1","003N8EMH8GTFRIVOG7KG9IX8U","GSON1112151404")</f>
        <v>#NAME?</v>
      </c>
      <c r="O2146" s="28" t="e">
        <f ca="1">[1]!BexGetData("DP_1","003N8EMH8GTFRIVOG7KG9J3KE","GSON1112151404")</f>
        <v>#NAME?</v>
      </c>
      <c r="P2146" s="28" t="e">
        <f ca="1">[1]!BexGetData("DP_1","003N8EMH8GTFRIVOG7KG9J9VY","GSON1112151404")</f>
        <v>#NAME?</v>
      </c>
      <c r="Q2146" s="24" t="e">
        <f ca="1">[1]!BexGetData("DP_1","00O2TNJGODT0G5Z4TTKYMM5MT","GSON1112151404")</f>
        <v>#NAME?</v>
      </c>
      <c r="R2146" s="28" t="e">
        <f ca="1">[1]!BexGetData("DP_1","00O2TNJGODT0G5Z4TTKYMMBYD","GSON1112151404")</f>
        <v>#NAME?</v>
      </c>
      <c r="S2146" s="28" t="e">
        <f ca="1">[1]!BexGetData("DP_1","00O2TNJGODT0G5Z4TTKYMMI9X","GSON1112151404")</f>
        <v>#NAME?</v>
      </c>
      <c r="T2146" s="28" t="e">
        <f ca="1">[1]!BexGetData("DP_1","00O2TNJGODT0G5Z4TTKYMMOLH","GSON1112151404")</f>
        <v>#NAME?</v>
      </c>
      <c r="U2146" s="28" t="e">
        <f ca="1">[1]!BexGetData("DP_1","00O2TNJGODT0G5Z4TTKYMMUX1","GSON1112151404")</f>
        <v>#NAME?</v>
      </c>
      <c r="V2146" s="28" t="e">
        <f ca="1">[1]!BexGetData("DP_1","00O2TNJGODT0G5Z4TTKYMN18L","GSON1112151404")</f>
        <v>#NAME?</v>
      </c>
      <c r="W2146" s="28" t="e">
        <f ca="1">[1]!BexGetData("DP_1","00O2TNJGODT0G5Z4TTKYMN7K5","GSON1112151404")</f>
        <v>#NAME?</v>
      </c>
    </row>
    <row r="2147" spans="1:23" x14ac:dyDescent="0.2">
      <c r="A2147" s="36" t="s">
        <v>5263</v>
      </c>
      <c r="B2147" s="27" t="s">
        <v>5264</v>
      </c>
      <c r="C2147" s="23" t="e">
        <f ca="1">[1]!BexGetData("DP_1","003N8EMH8GTFRCSWKMPXRR8GU","GSON1112151405")</f>
        <v>#NAME?</v>
      </c>
      <c r="D2147" s="23" t="e">
        <f ca="1">[1]!BexGetData("DP_1","003N8EMH8GTFRCSWKMPXRRESE","GSON1112151405")</f>
        <v>#NAME?</v>
      </c>
      <c r="E2147" s="28" t="e">
        <f ca="1">[1]!BexGetData("DP_1","003N8EMH8GTFRCSWKMPXRRL3Y","GSON1112151405")</f>
        <v>#NAME?</v>
      </c>
      <c r="F2147" s="28" t="e">
        <f ca="1">[1]!BexGetData("DP_1","003N8EMH8GTFRCSWKMPXRRRFI","GSON1112151405")</f>
        <v>#NAME?</v>
      </c>
      <c r="G2147" s="23" t="e">
        <f ca="1">[1]!BexGetData("DP_1","003N8EMH8GTFRCSWKMPXRRXR2","GSON1112151405")</f>
        <v>#NAME?</v>
      </c>
      <c r="H2147" s="23" t="e">
        <f ca="1">[1]!BexGetData("DP_1","003N8EMH8GTFRCSWKMPXRS42M","GSON1112151405")</f>
        <v>#NAME?</v>
      </c>
      <c r="I2147" s="28" t="e">
        <f ca="1">[1]!BexGetData("DP_1","003N8EMH8GTFRCSWKMPXRSAE6","GSON1112151405")</f>
        <v>#NAME?</v>
      </c>
      <c r="J2147" s="24" t="e">
        <f ca="1">[1]!BexGetData("DP_1","003N8EMH8GTFRCSWKMPXRSGPQ","GSON1112151405")</f>
        <v>#NAME?</v>
      </c>
      <c r="K2147" s="28" t="e">
        <f ca="1">[1]!BexGetData("DP_1","003N8EMH8GTFRIVNUPY288VJH","GSON1112151405")</f>
        <v>#NAME?</v>
      </c>
      <c r="L2147" s="28" t="e">
        <f ca="1">[1]!BexGetData("DP_1","003N8EMH8GTFRIVNUPY2891V1","GSON1112151405")</f>
        <v>#NAME?</v>
      </c>
      <c r="M2147" s="28" t="e">
        <f ca="1">[1]!BexGetData("DP_1","003N8EMH8GTFRIVOG7KG9IQXA","GSON1112151405")</f>
        <v>#NAME?</v>
      </c>
      <c r="N2147" s="28" t="e">
        <f ca="1">[1]!BexGetData("DP_1","003N8EMH8GTFRIVOG7KG9IX8U","GSON1112151405")</f>
        <v>#NAME?</v>
      </c>
      <c r="O2147" s="28" t="e">
        <f ca="1">[1]!BexGetData("DP_1","003N8EMH8GTFRIVOG7KG9J3KE","GSON1112151405")</f>
        <v>#NAME?</v>
      </c>
      <c r="P2147" s="28" t="e">
        <f ca="1">[1]!BexGetData("DP_1","003N8EMH8GTFRIVOG7KG9J9VY","GSON1112151405")</f>
        <v>#NAME?</v>
      </c>
      <c r="Q2147" s="24" t="e">
        <f ca="1">[1]!BexGetData("DP_1","00O2TNJGODT0G5Z4TTKYMM5MT","GSON1112151405")</f>
        <v>#NAME?</v>
      </c>
      <c r="R2147" s="28" t="e">
        <f ca="1">[1]!BexGetData("DP_1","00O2TNJGODT0G5Z4TTKYMMBYD","GSON1112151405")</f>
        <v>#NAME?</v>
      </c>
      <c r="S2147" s="28" t="e">
        <f ca="1">[1]!BexGetData("DP_1","00O2TNJGODT0G5Z4TTKYMMI9X","GSON1112151405")</f>
        <v>#NAME?</v>
      </c>
      <c r="T2147" s="28" t="e">
        <f ca="1">[1]!BexGetData("DP_1","00O2TNJGODT0G5Z4TTKYMMOLH","GSON1112151405")</f>
        <v>#NAME?</v>
      </c>
      <c r="U2147" s="28" t="e">
        <f ca="1">[1]!BexGetData("DP_1","00O2TNJGODT0G5Z4TTKYMMUX1","GSON1112151405")</f>
        <v>#NAME?</v>
      </c>
      <c r="V2147" s="28" t="e">
        <f ca="1">[1]!BexGetData("DP_1","00O2TNJGODT0G5Z4TTKYMN18L","GSON1112151405")</f>
        <v>#NAME?</v>
      </c>
      <c r="W2147" s="28" t="e">
        <f ca="1">[1]!BexGetData("DP_1","00O2TNJGODT0G5Z4TTKYMN7K5","GSON1112151405")</f>
        <v>#NAME?</v>
      </c>
    </row>
    <row r="2148" spans="1:23" x14ac:dyDescent="0.2">
      <c r="A2148" s="36" t="s">
        <v>5265</v>
      </c>
      <c r="B2148" s="27" t="s">
        <v>5266</v>
      </c>
      <c r="C2148" s="24" t="e">
        <f ca="1">[1]!BexGetData("DP_1","003N8EMH8GTFRCSWKMPXRR8GU","GSON1112151420")</f>
        <v>#NAME?</v>
      </c>
      <c r="D2148" s="24" t="e">
        <f ca="1">[1]!BexGetData("DP_1","003N8EMH8GTFRCSWKMPXRRESE","GSON1112151420")</f>
        <v>#NAME?</v>
      </c>
      <c r="E2148" s="24" t="e">
        <f ca="1">[1]!BexGetData("DP_1","003N8EMH8GTFRCSWKMPXRRL3Y","GSON1112151420")</f>
        <v>#NAME?</v>
      </c>
      <c r="F2148" s="28" t="e">
        <f ca="1">[1]!BexGetData("DP_1","003N8EMH8GTFRCSWKMPXRRRFI","GSON1112151420")</f>
        <v>#NAME?</v>
      </c>
      <c r="G2148" s="23" t="e">
        <f ca="1">[1]!BexGetData("DP_1","003N8EMH8GTFRCSWKMPXRRXR2","GSON1112151420")</f>
        <v>#NAME?</v>
      </c>
      <c r="H2148" s="23" t="e">
        <f ca="1">[1]!BexGetData("DP_1","003N8EMH8GTFRCSWKMPXRS42M","GSON1112151420")</f>
        <v>#NAME?</v>
      </c>
      <c r="I2148" s="28" t="e">
        <f ca="1">[1]!BexGetData("DP_1","003N8EMH8GTFRCSWKMPXRSAE6","GSON1112151420")</f>
        <v>#NAME?</v>
      </c>
      <c r="J2148" s="24" t="e">
        <f ca="1">[1]!BexGetData("DP_1","003N8EMH8GTFRCSWKMPXRSGPQ","GSON1112151420")</f>
        <v>#NAME?</v>
      </c>
      <c r="K2148" s="28" t="e">
        <f ca="1">[1]!BexGetData("DP_1","003N8EMH8GTFRIVNUPY288VJH","GSON1112151420")</f>
        <v>#NAME?</v>
      </c>
      <c r="L2148" s="28" t="e">
        <f ca="1">[1]!BexGetData("DP_1","003N8EMH8GTFRIVNUPY2891V1","GSON1112151420")</f>
        <v>#NAME?</v>
      </c>
      <c r="M2148" s="28" t="e">
        <f ca="1">[1]!BexGetData("DP_1","003N8EMH8GTFRIVOG7KG9IQXA","GSON1112151420")</f>
        <v>#NAME?</v>
      </c>
      <c r="N2148" s="28" t="e">
        <f ca="1">[1]!BexGetData("DP_1","003N8EMH8GTFRIVOG7KG9IX8U","GSON1112151420")</f>
        <v>#NAME?</v>
      </c>
      <c r="O2148" s="28" t="e">
        <f ca="1">[1]!BexGetData("DP_1","003N8EMH8GTFRIVOG7KG9J3KE","GSON1112151420")</f>
        <v>#NAME?</v>
      </c>
      <c r="P2148" s="28" t="e">
        <f ca="1">[1]!BexGetData("DP_1","003N8EMH8GTFRIVOG7KG9J9VY","GSON1112151420")</f>
        <v>#NAME?</v>
      </c>
      <c r="Q2148" s="24" t="e">
        <f ca="1">[1]!BexGetData("DP_1","00O2TNJGODT0G5Z4TTKYMM5MT","GSON1112151420")</f>
        <v>#NAME?</v>
      </c>
      <c r="R2148" s="28" t="e">
        <f ca="1">[1]!BexGetData("DP_1","00O2TNJGODT0G5Z4TTKYMMBYD","GSON1112151420")</f>
        <v>#NAME?</v>
      </c>
      <c r="S2148" s="28" t="e">
        <f ca="1">[1]!BexGetData("DP_1","00O2TNJGODT0G5Z4TTKYMMI9X","GSON1112151420")</f>
        <v>#NAME?</v>
      </c>
      <c r="T2148" s="28" t="e">
        <f ca="1">[1]!BexGetData("DP_1","00O2TNJGODT0G5Z4TTKYMMOLH","GSON1112151420")</f>
        <v>#NAME?</v>
      </c>
      <c r="U2148" s="28" t="e">
        <f ca="1">[1]!BexGetData("DP_1","00O2TNJGODT0G5Z4TTKYMMUX1","GSON1112151420")</f>
        <v>#NAME?</v>
      </c>
      <c r="V2148" s="28" t="e">
        <f ca="1">[1]!BexGetData("DP_1","00O2TNJGODT0G5Z4TTKYMN18L","GSON1112151420")</f>
        <v>#NAME?</v>
      </c>
      <c r="W2148" s="28" t="e">
        <f ca="1">[1]!BexGetData("DP_1","00O2TNJGODT0G5Z4TTKYMN7K5","GSON1112151420")</f>
        <v>#NAME?</v>
      </c>
    </row>
    <row r="2149" spans="1:23" x14ac:dyDescent="0.2">
      <c r="A2149" s="36" t="s">
        <v>5267</v>
      </c>
      <c r="B2149" s="27" t="s">
        <v>5268</v>
      </c>
      <c r="C2149" s="28" t="e">
        <f ca="1">[1]!BexGetData("DP_1","003N8EMH8GTFRCSWKMPXRR8GU","GSON1112151421")</f>
        <v>#NAME?</v>
      </c>
      <c r="D2149" s="28" t="e">
        <f ca="1">[1]!BexGetData("DP_1","003N8EMH8GTFRCSWKMPXRRESE","GSON1112151421")</f>
        <v>#NAME?</v>
      </c>
      <c r="E2149" s="28" t="e">
        <f ca="1">[1]!BexGetData("DP_1","003N8EMH8GTFRCSWKMPXRRL3Y","GSON1112151421")</f>
        <v>#NAME?</v>
      </c>
      <c r="F2149" s="28" t="e">
        <f ca="1">[1]!BexGetData("DP_1","003N8EMH8GTFRCSWKMPXRRRFI","GSON1112151421")</f>
        <v>#NAME?</v>
      </c>
      <c r="G2149" s="23" t="e">
        <f ca="1">[1]!BexGetData("DP_1","003N8EMH8GTFRCSWKMPXRRXR2","GSON1112151421")</f>
        <v>#NAME?</v>
      </c>
      <c r="H2149" s="23" t="e">
        <f ca="1">[1]!BexGetData("DP_1","003N8EMH8GTFRCSWKMPXRS42M","GSON1112151421")</f>
        <v>#NAME?</v>
      </c>
      <c r="I2149" s="28" t="e">
        <f ca="1">[1]!BexGetData("DP_1","003N8EMH8GTFRCSWKMPXRSAE6","GSON1112151421")</f>
        <v>#NAME?</v>
      </c>
      <c r="J2149" s="24" t="e">
        <f ca="1">[1]!BexGetData("DP_1","003N8EMH8GTFRCSWKMPXRSGPQ","GSON1112151421")</f>
        <v>#NAME?</v>
      </c>
      <c r="K2149" s="28" t="e">
        <f ca="1">[1]!BexGetData("DP_1","003N8EMH8GTFRIVNUPY288VJH","GSON1112151421")</f>
        <v>#NAME?</v>
      </c>
      <c r="L2149" s="28" t="e">
        <f ca="1">[1]!BexGetData("DP_1","003N8EMH8GTFRIVNUPY2891V1","GSON1112151421")</f>
        <v>#NAME?</v>
      </c>
      <c r="M2149" s="28" t="e">
        <f ca="1">[1]!BexGetData("DP_1","003N8EMH8GTFRIVOG7KG9IQXA","GSON1112151421")</f>
        <v>#NAME?</v>
      </c>
      <c r="N2149" s="28" t="e">
        <f ca="1">[1]!BexGetData("DP_1","003N8EMH8GTFRIVOG7KG9IX8U","GSON1112151421")</f>
        <v>#NAME?</v>
      </c>
      <c r="O2149" s="28" t="e">
        <f ca="1">[1]!BexGetData("DP_1","003N8EMH8GTFRIVOG7KG9J3KE","GSON1112151421")</f>
        <v>#NAME?</v>
      </c>
      <c r="P2149" s="28" t="e">
        <f ca="1">[1]!BexGetData("DP_1","003N8EMH8GTFRIVOG7KG9J9VY","GSON1112151421")</f>
        <v>#NAME?</v>
      </c>
      <c r="Q2149" s="24" t="e">
        <f ca="1">[1]!BexGetData("DP_1","00O2TNJGODT0G5Z4TTKYMM5MT","GSON1112151421")</f>
        <v>#NAME?</v>
      </c>
      <c r="R2149" s="28" t="e">
        <f ca="1">[1]!BexGetData("DP_1","00O2TNJGODT0G5Z4TTKYMMBYD","GSON1112151421")</f>
        <v>#NAME?</v>
      </c>
      <c r="S2149" s="28" t="e">
        <f ca="1">[1]!BexGetData("DP_1","00O2TNJGODT0G5Z4TTKYMMI9X","GSON1112151421")</f>
        <v>#NAME?</v>
      </c>
      <c r="T2149" s="28" t="e">
        <f ca="1">[1]!BexGetData("DP_1","00O2TNJGODT0G5Z4TTKYMMOLH","GSON1112151421")</f>
        <v>#NAME?</v>
      </c>
      <c r="U2149" s="28" t="e">
        <f ca="1">[1]!BexGetData("DP_1","00O2TNJGODT0G5Z4TTKYMMUX1","GSON1112151421")</f>
        <v>#NAME?</v>
      </c>
      <c r="V2149" s="28" t="e">
        <f ca="1">[1]!BexGetData("DP_1","00O2TNJGODT0G5Z4TTKYMN18L","GSON1112151421")</f>
        <v>#NAME?</v>
      </c>
      <c r="W2149" s="28" t="e">
        <f ca="1">[1]!BexGetData("DP_1","00O2TNJGODT0G5Z4TTKYMN7K5","GSON1112151421")</f>
        <v>#NAME?</v>
      </c>
    </row>
    <row r="2150" spans="1:23" x14ac:dyDescent="0.2">
      <c r="A2150" s="36" t="s">
        <v>5269</v>
      </c>
      <c r="B2150" s="27" t="s">
        <v>5270</v>
      </c>
      <c r="C2150" s="24" t="e">
        <f ca="1">[1]!BexGetData("DP_1","003N8EMH8GTFRCSWKMPXRR8GU","GSON1112151423")</f>
        <v>#NAME?</v>
      </c>
      <c r="D2150" s="24" t="e">
        <f ca="1">[1]!BexGetData("DP_1","003N8EMH8GTFRCSWKMPXRRESE","GSON1112151423")</f>
        <v>#NAME?</v>
      </c>
      <c r="E2150" s="24" t="e">
        <f ca="1">[1]!BexGetData("DP_1","003N8EMH8GTFRCSWKMPXRRL3Y","GSON1112151423")</f>
        <v>#NAME?</v>
      </c>
      <c r="F2150" s="28" t="e">
        <f ca="1">[1]!BexGetData("DP_1","003N8EMH8GTFRCSWKMPXRRRFI","GSON1112151423")</f>
        <v>#NAME?</v>
      </c>
      <c r="G2150" s="23" t="e">
        <f ca="1">[1]!BexGetData("DP_1","003N8EMH8GTFRCSWKMPXRRXR2","GSON1112151423")</f>
        <v>#NAME?</v>
      </c>
      <c r="H2150" s="23" t="e">
        <f ca="1">[1]!BexGetData("DP_1","003N8EMH8GTFRCSWKMPXRS42M","GSON1112151423")</f>
        <v>#NAME?</v>
      </c>
      <c r="I2150" s="28" t="e">
        <f ca="1">[1]!BexGetData("DP_1","003N8EMH8GTFRCSWKMPXRSAE6","GSON1112151423")</f>
        <v>#NAME?</v>
      </c>
      <c r="J2150" s="24" t="e">
        <f ca="1">[1]!BexGetData("DP_1","003N8EMH8GTFRCSWKMPXRSGPQ","GSON1112151423")</f>
        <v>#NAME?</v>
      </c>
      <c r="K2150" s="28" t="e">
        <f ca="1">[1]!BexGetData("DP_1","003N8EMH8GTFRIVNUPY288VJH","GSON1112151423")</f>
        <v>#NAME?</v>
      </c>
      <c r="L2150" s="28" t="e">
        <f ca="1">[1]!BexGetData("DP_1","003N8EMH8GTFRIVNUPY2891V1","GSON1112151423")</f>
        <v>#NAME?</v>
      </c>
      <c r="M2150" s="28" t="e">
        <f ca="1">[1]!BexGetData("DP_1","003N8EMH8GTFRIVOG7KG9IQXA","GSON1112151423")</f>
        <v>#NAME?</v>
      </c>
      <c r="N2150" s="28" t="e">
        <f ca="1">[1]!BexGetData("DP_1","003N8EMH8GTFRIVOG7KG9IX8U","GSON1112151423")</f>
        <v>#NAME?</v>
      </c>
      <c r="O2150" s="28" t="e">
        <f ca="1">[1]!BexGetData("DP_1","003N8EMH8GTFRIVOG7KG9J3KE","GSON1112151423")</f>
        <v>#NAME?</v>
      </c>
      <c r="P2150" s="28" t="e">
        <f ca="1">[1]!BexGetData("DP_1","003N8EMH8GTFRIVOG7KG9J9VY","GSON1112151423")</f>
        <v>#NAME?</v>
      </c>
      <c r="Q2150" s="24" t="e">
        <f ca="1">[1]!BexGetData("DP_1","00O2TNJGODT0G5Z4TTKYMM5MT","GSON1112151423")</f>
        <v>#NAME?</v>
      </c>
      <c r="R2150" s="28" t="e">
        <f ca="1">[1]!BexGetData("DP_1","00O2TNJGODT0G5Z4TTKYMMBYD","GSON1112151423")</f>
        <v>#NAME?</v>
      </c>
      <c r="S2150" s="28" t="e">
        <f ca="1">[1]!BexGetData("DP_1","00O2TNJGODT0G5Z4TTKYMMI9X","GSON1112151423")</f>
        <v>#NAME?</v>
      </c>
      <c r="T2150" s="28" t="e">
        <f ca="1">[1]!BexGetData("DP_1","00O2TNJGODT0G5Z4TTKYMMOLH","GSON1112151423")</f>
        <v>#NAME?</v>
      </c>
      <c r="U2150" s="28" t="e">
        <f ca="1">[1]!BexGetData("DP_1","00O2TNJGODT0G5Z4TTKYMMUX1","GSON1112151423")</f>
        <v>#NAME?</v>
      </c>
      <c r="V2150" s="28" t="e">
        <f ca="1">[1]!BexGetData("DP_1","00O2TNJGODT0G5Z4TTKYMN18L","GSON1112151423")</f>
        <v>#NAME?</v>
      </c>
      <c r="W2150" s="28" t="e">
        <f ca="1">[1]!BexGetData("DP_1","00O2TNJGODT0G5Z4TTKYMN7K5","GSON1112151423")</f>
        <v>#NAME?</v>
      </c>
    </row>
    <row r="2151" spans="1:23" x14ac:dyDescent="0.2">
      <c r="A2151" s="36" t="s">
        <v>5271</v>
      </c>
      <c r="B2151" s="27" t="s">
        <v>5272</v>
      </c>
      <c r="C2151" s="24" t="e">
        <f ca="1">[1]!BexGetData("DP_1","003N8EMH8GTFRCSWKMPXRR8GU","GSON1112151424")</f>
        <v>#NAME?</v>
      </c>
      <c r="D2151" s="24" t="e">
        <f ca="1">[1]!BexGetData("DP_1","003N8EMH8GTFRCSWKMPXRRESE","GSON1112151424")</f>
        <v>#NAME?</v>
      </c>
      <c r="E2151" s="24" t="e">
        <f ca="1">[1]!BexGetData("DP_1","003N8EMH8GTFRCSWKMPXRRL3Y","GSON1112151424")</f>
        <v>#NAME?</v>
      </c>
      <c r="F2151" s="28" t="e">
        <f ca="1">[1]!BexGetData("DP_1","003N8EMH8GTFRCSWKMPXRRRFI","GSON1112151424")</f>
        <v>#NAME?</v>
      </c>
      <c r="G2151" s="23" t="e">
        <f ca="1">[1]!BexGetData("DP_1","003N8EMH8GTFRCSWKMPXRRXR2","GSON1112151424")</f>
        <v>#NAME?</v>
      </c>
      <c r="H2151" s="23" t="e">
        <f ca="1">[1]!BexGetData("DP_1","003N8EMH8GTFRCSWKMPXRS42M","GSON1112151424")</f>
        <v>#NAME?</v>
      </c>
      <c r="I2151" s="28" t="e">
        <f ca="1">[1]!BexGetData("DP_1","003N8EMH8GTFRCSWKMPXRSAE6","GSON1112151424")</f>
        <v>#NAME?</v>
      </c>
      <c r="J2151" s="24" t="e">
        <f ca="1">[1]!BexGetData("DP_1","003N8EMH8GTFRCSWKMPXRSGPQ","GSON1112151424")</f>
        <v>#NAME?</v>
      </c>
      <c r="K2151" s="28" t="e">
        <f ca="1">[1]!BexGetData("DP_1","003N8EMH8GTFRIVNUPY288VJH","GSON1112151424")</f>
        <v>#NAME?</v>
      </c>
      <c r="L2151" s="28" t="e">
        <f ca="1">[1]!BexGetData("DP_1","003N8EMH8GTFRIVNUPY2891V1","GSON1112151424")</f>
        <v>#NAME?</v>
      </c>
      <c r="M2151" s="28" t="e">
        <f ca="1">[1]!BexGetData("DP_1","003N8EMH8GTFRIVOG7KG9IQXA","GSON1112151424")</f>
        <v>#NAME?</v>
      </c>
      <c r="N2151" s="28" t="e">
        <f ca="1">[1]!BexGetData("DP_1","003N8EMH8GTFRIVOG7KG9IX8U","GSON1112151424")</f>
        <v>#NAME?</v>
      </c>
      <c r="O2151" s="28" t="e">
        <f ca="1">[1]!BexGetData("DP_1","003N8EMH8GTFRIVOG7KG9J3KE","GSON1112151424")</f>
        <v>#NAME?</v>
      </c>
      <c r="P2151" s="28" t="e">
        <f ca="1">[1]!BexGetData("DP_1","003N8EMH8GTFRIVOG7KG9J9VY","GSON1112151424")</f>
        <v>#NAME?</v>
      </c>
      <c r="Q2151" s="24" t="e">
        <f ca="1">[1]!BexGetData("DP_1","00O2TNJGODT0G5Z4TTKYMM5MT","GSON1112151424")</f>
        <v>#NAME?</v>
      </c>
      <c r="R2151" s="28" t="e">
        <f ca="1">[1]!BexGetData("DP_1","00O2TNJGODT0G5Z4TTKYMMBYD","GSON1112151424")</f>
        <v>#NAME?</v>
      </c>
      <c r="S2151" s="28" t="e">
        <f ca="1">[1]!BexGetData("DP_1","00O2TNJGODT0G5Z4TTKYMMI9X","GSON1112151424")</f>
        <v>#NAME?</v>
      </c>
      <c r="T2151" s="28" t="e">
        <f ca="1">[1]!BexGetData("DP_1","00O2TNJGODT0G5Z4TTKYMMOLH","GSON1112151424")</f>
        <v>#NAME?</v>
      </c>
      <c r="U2151" s="28" t="e">
        <f ca="1">[1]!BexGetData("DP_1","00O2TNJGODT0G5Z4TTKYMMUX1","GSON1112151424")</f>
        <v>#NAME?</v>
      </c>
      <c r="V2151" s="28" t="e">
        <f ca="1">[1]!BexGetData("DP_1","00O2TNJGODT0G5Z4TTKYMN18L","GSON1112151424")</f>
        <v>#NAME?</v>
      </c>
      <c r="W2151" s="28" t="e">
        <f ca="1">[1]!BexGetData("DP_1","00O2TNJGODT0G5Z4TTKYMN7K5","GSON1112151424")</f>
        <v>#NAME?</v>
      </c>
    </row>
    <row r="2152" spans="1:23" x14ac:dyDescent="0.2">
      <c r="A2152" s="36" t="s">
        <v>5273</v>
      </c>
      <c r="B2152" s="27" t="s">
        <v>5274</v>
      </c>
      <c r="C2152" s="28" t="e">
        <f ca="1">[1]!BexGetData("DP_1","003N8EMH8GTFRCSWKMPXRR8GU","GSON1112151425")</f>
        <v>#NAME?</v>
      </c>
      <c r="D2152" s="28" t="e">
        <f ca="1">[1]!BexGetData("DP_1","003N8EMH8GTFRCSWKMPXRRESE","GSON1112151425")</f>
        <v>#NAME?</v>
      </c>
      <c r="E2152" s="28" t="e">
        <f ca="1">[1]!BexGetData("DP_1","003N8EMH8GTFRCSWKMPXRRL3Y","GSON1112151425")</f>
        <v>#NAME?</v>
      </c>
      <c r="F2152" s="28" t="e">
        <f ca="1">[1]!BexGetData("DP_1","003N8EMH8GTFRCSWKMPXRRRFI","GSON1112151425")</f>
        <v>#NAME?</v>
      </c>
      <c r="G2152" s="23" t="e">
        <f ca="1">[1]!BexGetData("DP_1","003N8EMH8GTFRCSWKMPXRRXR2","GSON1112151425")</f>
        <v>#NAME?</v>
      </c>
      <c r="H2152" s="23" t="e">
        <f ca="1">[1]!BexGetData("DP_1","003N8EMH8GTFRCSWKMPXRS42M","GSON1112151425")</f>
        <v>#NAME?</v>
      </c>
      <c r="I2152" s="28" t="e">
        <f ca="1">[1]!BexGetData("DP_1","003N8EMH8GTFRCSWKMPXRSAE6","GSON1112151425")</f>
        <v>#NAME?</v>
      </c>
      <c r="J2152" s="24" t="e">
        <f ca="1">[1]!BexGetData("DP_1","003N8EMH8GTFRCSWKMPXRSGPQ","GSON1112151425")</f>
        <v>#NAME?</v>
      </c>
      <c r="K2152" s="28" t="e">
        <f ca="1">[1]!BexGetData("DP_1","003N8EMH8GTFRIVNUPY288VJH","GSON1112151425")</f>
        <v>#NAME?</v>
      </c>
      <c r="L2152" s="28" t="e">
        <f ca="1">[1]!BexGetData("DP_1","003N8EMH8GTFRIVNUPY2891V1","GSON1112151425")</f>
        <v>#NAME?</v>
      </c>
      <c r="M2152" s="28" t="e">
        <f ca="1">[1]!BexGetData("DP_1","003N8EMH8GTFRIVOG7KG9IQXA","GSON1112151425")</f>
        <v>#NAME?</v>
      </c>
      <c r="N2152" s="28" t="e">
        <f ca="1">[1]!BexGetData("DP_1","003N8EMH8GTFRIVOG7KG9IX8U","GSON1112151425")</f>
        <v>#NAME?</v>
      </c>
      <c r="O2152" s="28" t="e">
        <f ca="1">[1]!BexGetData("DP_1","003N8EMH8GTFRIVOG7KG9J3KE","GSON1112151425")</f>
        <v>#NAME?</v>
      </c>
      <c r="P2152" s="28" t="e">
        <f ca="1">[1]!BexGetData("DP_1","003N8EMH8GTFRIVOG7KG9J9VY","GSON1112151425")</f>
        <v>#NAME?</v>
      </c>
      <c r="Q2152" s="24" t="e">
        <f ca="1">[1]!BexGetData("DP_1","00O2TNJGODT0G5Z4TTKYMM5MT","GSON1112151425")</f>
        <v>#NAME?</v>
      </c>
      <c r="R2152" s="28" t="e">
        <f ca="1">[1]!BexGetData("DP_1","00O2TNJGODT0G5Z4TTKYMMBYD","GSON1112151425")</f>
        <v>#NAME?</v>
      </c>
      <c r="S2152" s="28" t="e">
        <f ca="1">[1]!BexGetData("DP_1","00O2TNJGODT0G5Z4TTKYMMI9X","GSON1112151425")</f>
        <v>#NAME?</v>
      </c>
      <c r="T2152" s="28" t="e">
        <f ca="1">[1]!BexGetData("DP_1","00O2TNJGODT0G5Z4TTKYMMOLH","GSON1112151425")</f>
        <v>#NAME?</v>
      </c>
      <c r="U2152" s="28" t="e">
        <f ca="1">[1]!BexGetData("DP_1","00O2TNJGODT0G5Z4TTKYMMUX1","GSON1112151425")</f>
        <v>#NAME?</v>
      </c>
      <c r="V2152" s="28" t="e">
        <f ca="1">[1]!BexGetData("DP_1","00O2TNJGODT0G5Z4TTKYMN18L","GSON1112151425")</f>
        <v>#NAME?</v>
      </c>
      <c r="W2152" s="28" t="e">
        <f ca="1">[1]!BexGetData("DP_1","00O2TNJGODT0G5Z4TTKYMN7K5","GSON1112151425")</f>
        <v>#NAME?</v>
      </c>
    </row>
    <row r="2153" spans="1:23" x14ac:dyDescent="0.2">
      <c r="A2153" s="36" t="s">
        <v>5275</v>
      </c>
      <c r="B2153" s="27" t="s">
        <v>5276</v>
      </c>
      <c r="C2153" s="23" t="e">
        <f ca="1">[1]!BexGetData("DP_1","003N8EMH8GTFRCSWKMPXRR8GU","GSON1112151430")</f>
        <v>#NAME?</v>
      </c>
      <c r="D2153" s="23" t="e">
        <f ca="1">[1]!BexGetData("DP_1","003N8EMH8GTFRCSWKMPXRRESE","GSON1112151430")</f>
        <v>#NAME?</v>
      </c>
      <c r="E2153" s="23" t="e">
        <f ca="1">[1]!BexGetData("DP_1","003N8EMH8GTFRCSWKMPXRRL3Y","GSON1112151430")</f>
        <v>#NAME?</v>
      </c>
      <c r="F2153" s="23" t="e">
        <f ca="1">[1]!BexGetData("DP_1","003N8EMH8GTFRCSWKMPXRRRFI","GSON1112151430")</f>
        <v>#NAME?</v>
      </c>
      <c r="G2153" s="23" t="e">
        <f ca="1">[1]!BexGetData("DP_1","003N8EMH8GTFRCSWKMPXRRXR2","GSON1112151430")</f>
        <v>#NAME?</v>
      </c>
      <c r="H2153" s="23" t="e">
        <f ca="1">[1]!BexGetData("DP_1","003N8EMH8GTFRCSWKMPXRS42M","GSON1112151430")</f>
        <v>#NAME?</v>
      </c>
      <c r="I2153" s="23" t="e">
        <f ca="1">[1]!BexGetData("DP_1","003N8EMH8GTFRCSWKMPXRSAE6","GSON1112151430")</f>
        <v>#NAME?</v>
      </c>
      <c r="J2153" s="24" t="e">
        <f ca="1">[1]!BexGetData("DP_1","003N8EMH8GTFRCSWKMPXRSGPQ","GSON1112151430")</f>
        <v>#NAME?</v>
      </c>
      <c r="K2153" s="23" t="e">
        <f ca="1">[1]!BexGetData("DP_1","003N8EMH8GTFRIVNUPY288VJH","GSON1112151430")</f>
        <v>#NAME?</v>
      </c>
      <c r="L2153" s="23" t="e">
        <f ca="1">[1]!BexGetData("DP_1","003N8EMH8GTFRIVNUPY2891V1","GSON1112151430")</f>
        <v>#NAME?</v>
      </c>
      <c r="M2153" s="23" t="e">
        <f ca="1">[1]!BexGetData("DP_1","003N8EMH8GTFRIVOG7KG9IQXA","GSON1112151430")</f>
        <v>#NAME?</v>
      </c>
      <c r="N2153" s="28" t="e">
        <f ca="1">[1]!BexGetData("DP_1","003N8EMH8GTFRIVOG7KG9IX8U","GSON1112151430")</f>
        <v>#NAME?</v>
      </c>
      <c r="O2153" s="23" t="e">
        <f ca="1">[1]!BexGetData("DP_1","003N8EMH8GTFRIVOG7KG9J3KE","GSON1112151430")</f>
        <v>#NAME?</v>
      </c>
      <c r="P2153" s="28" t="e">
        <f ca="1">[1]!BexGetData("DP_1","003N8EMH8GTFRIVOG7KG9J9VY","GSON1112151430")</f>
        <v>#NAME?</v>
      </c>
      <c r="Q2153" s="24" t="e">
        <f ca="1">[1]!BexGetData("DP_1","00O2TNJGODT0G5Z4TTKYMM5MT","GSON1112151430")</f>
        <v>#NAME?</v>
      </c>
      <c r="R2153" s="23" t="e">
        <f ca="1">[1]!BexGetData("DP_1","00O2TNJGODT0G5Z4TTKYMMBYD","GSON1112151430")</f>
        <v>#NAME?</v>
      </c>
      <c r="S2153" s="23" t="e">
        <f ca="1">[1]!BexGetData("DP_1","00O2TNJGODT0G5Z4TTKYMMI9X","GSON1112151430")</f>
        <v>#NAME?</v>
      </c>
      <c r="T2153" s="28" t="e">
        <f ca="1">[1]!BexGetData("DP_1","00O2TNJGODT0G5Z4TTKYMMOLH","GSON1112151430")</f>
        <v>#NAME?</v>
      </c>
      <c r="U2153" s="23" t="e">
        <f ca="1">[1]!BexGetData("DP_1","00O2TNJGODT0G5Z4TTKYMMUX1","GSON1112151430")</f>
        <v>#NAME?</v>
      </c>
      <c r="V2153" s="28" t="e">
        <f ca="1">[1]!BexGetData("DP_1","00O2TNJGODT0G5Z4TTKYMN18L","GSON1112151430")</f>
        <v>#NAME?</v>
      </c>
      <c r="W2153" s="23" t="e">
        <f ca="1">[1]!BexGetData("DP_1","00O2TNJGODT0G5Z4TTKYMN7K5","GSON1112151430")</f>
        <v>#NAME?</v>
      </c>
    </row>
    <row r="2154" spans="1:23" x14ac:dyDescent="0.2">
      <c r="A2154" s="36" t="s">
        <v>5277</v>
      </c>
      <c r="B2154" s="27" t="s">
        <v>5278</v>
      </c>
      <c r="C2154" s="23" t="e">
        <f ca="1">[1]!BexGetData("DP_1","003N8EMH8GTFRCSWKMPXRR8GU","GSON1112151431")</f>
        <v>#NAME?</v>
      </c>
      <c r="D2154" s="23" t="e">
        <f ca="1">[1]!BexGetData("DP_1","003N8EMH8GTFRCSWKMPXRRESE","GSON1112151431")</f>
        <v>#NAME?</v>
      </c>
      <c r="E2154" s="28" t="e">
        <f ca="1">[1]!BexGetData("DP_1","003N8EMH8GTFRCSWKMPXRRL3Y","GSON1112151431")</f>
        <v>#NAME?</v>
      </c>
      <c r="F2154" s="28" t="e">
        <f ca="1">[1]!BexGetData("DP_1","003N8EMH8GTFRCSWKMPXRRRFI","GSON1112151431")</f>
        <v>#NAME?</v>
      </c>
      <c r="G2154" s="23" t="e">
        <f ca="1">[1]!BexGetData("DP_1","003N8EMH8GTFRCSWKMPXRRXR2","GSON1112151431")</f>
        <v>#NAME?</v>
      </c>
      <c r="H2154" s="23" t="e">
        <f ca="1">[1]!BexGetData("DP_1","003N8EMH8GTFRCSWKMPXRS42M","GSON1112151431")</f>
        <v>#NAME?</v>
      </c>
      <c r="I2154" s="28" t="e">
        <f ca="1">[1]!BexGetData("DP_1","003N8EMH8GTFRCSWKMPXRSAE6","GSON1112151431")</f>
        <v>#NAME?</v>
      </c>
      <c r="J2154" s="24" t="e">
        <f ca="1">[1]!BexGetData("DP_1","003N8EMH8GTFRCSWKMPXRSGPQ","GSON1112151431")</f>
        <v>#NAME?</v>
      </c>
      <c r="K2154" s="28" t="e">
        <f ca="1">[1]!BexGetData("DP_1","003N8EMH8GTFRIVNUPY288VJH","GSON1112151431")</f>
        <v>#NAME?</v>
      </c>
      <c r="L2154" s="28" t="e">
        <f ca="1">[1]!BexGetData("DP_1","003N8EMH8GTFRIVNUPY2891V1","GSON1112151431")</f>
        <v>#NAME?</v>
      </c>
      <c r="M2154" s="28" t="e">
        <f ca="1">[1]!BexGetData("DP_1","003N8EMH8GTFRIVOG7KG9IQXA","GSON1112151431")</f>
        <v>#NAME?</v>
      </c>
      <c r="N2154" s="28" t="e">
        <f ca="1">[1]!BexGetData("DP_1","003N8EMH8GTFRIVOG7KG9IX8U","GSON1112151431")</f>
        <v>#NAME?</v>
      </c>
      <c r="O2154" s="28" t="e">
        <f ca="1">[1]!BexGetData("DP_1","003N8EMH8GTFRIVOG7KG9J3KE","GSON1112151431")</f>
        <v>#NAME?</v>
      </c>
      <c r="P2154" s="28" t="e">
        <f ca="1">[1]!BexGetData("DP_1","003N8EMH8GTFRIVOG7KG9J9VY","GSON1112151431")</f>
        <v>#NAME?</v>
      </c>
      <c r="Q2154" s="24" t="e">
        <f ca="1">[1]!BexGetData("DP_1","00O2TNJGODT0G5Z4TTKYMM5MT","GSON1112151431")</f>
        <v>#NAME?</v>
      </c>
      <c r="R2154" s="28" t="e">
        <f ca="1">[1]!BexGetData("DP_1","00O2TNJGODT0G5Z4TTKYMMBYD","GSON1112151431")</f>
        <v>#NAME?</v>
      </c>
      <c r="S2154" s="28" t="e">
        <f ca="1">[1]!BexGetData("DP_1","00O2TNJGODT0G5Z4TTKYMMI9X","GSON1112151431")</f>
        <v>#NAME?</v>
      </c>
      <c r="T2154" s="28" t="e">
        <f ca="1">[1]!BexGetData("DP_1","00O2TNJGODT0G5Z4TTKYMMOLH","GSON1112151431")</f>
        <v>#NAME?</v>
      </c>
      <c r="U2154" s="28" t="e">
        <f ca="1">[1]!BexGetData("DP_1","00O2TNJGODT0G5Z4TTKYMMUX1","GSON1112151431")</f>
        <v>#NAME?</v>
      </c>
      <c r="V2154" s="28" t="e">
        <f ca="1">[1]!BexGetData("DP_1","00O2TNJGODT0G5Z4TTKYMN18L","GSON1112151431")</f>
        <v>#NAME?</v>
      </c>
      <c r="W2154" s="28" t="e">
        <f ca="1">[1]!BexGetData("DP_1","00O2TNJGODT0G5Z4TTKYMN7K5","GSON1112151431")</f>
        <v>#NAME?</v>
      </c>
    </row>
    <row r="2155" spans="1:23" x14ac:dyDescent="0.2">
      <c r="A2155" s="36" t="s">
        <v>5279</v>
      </c>
      <c r="B2155" s="27" t="s">
        <v>5280</v>
      </c>
      <c r="C2155" s="23" t="e">
        <f ca="1">[1]!BexGetData("DP_1","003N8EMH8GTFRCSWKMPXRR8GU","GSON1112151432")</f>
        <v>#NAME?</v>
      </c>
      <c r="D2155" s="23" t="e">
        <f ca="1">[1]!BexGetData("DP_1","003N8EMH8GTFRCSWKMPXRRESE","GSON1112151432")</f>
        <v>#NAME?</v>
      </c>
      <c r="E2155" s="23" t="e">
        <f ca="1">[1]!BexGetData("DP_1","003N8EMH8GTFRCSWKMPXRRL3Y","GSON1112151432")</f>
        <v>#NAME?</v>
      </c>
      <c r="F2155" s="24" t="e">
        <f ca="1">[1]!BexGetData("DP_1","003N8EMH8GTFRCSWKMPXRRRFI","GSON1112151432")</f>
        <v>#NAME?</v>
      </c>
      <c r="G2155" s="24" t="e">
        <f ca="1">[1]!BexGetData("DP_1","003N8EMH8GTFRCSWKMPXRRXR2","GSON1112151432")</f>
        <v>#NAME?</v>
      </c>
      <c r="H2155" s="24" t="e">
        <f ca="1">[1]!BexGetData("DP_1","003N8EMH8GTFRCSWKMPXRS42M","GSON1112151432")</f>
        <v>#NAME?</v>
      </c>
      <c r="I2155" s="24" t="e">
        <f ca="1">[1]!BexGetData("DP_1","003N8EMH8GTFRCSWKMPXRSAE6","GSON1112151432")</f>
        <v>#NAME?</v>
      </c>
      <c r="J2155" s="24" t="e">
        <f ca="1">[1]!BexGetData("DP_1","003N8EMH8GTFRCSWKMPXRSGPQ","GSON1112151432")</f>
        <v>#NAME?</v>
      </c>
      <c r="K2155" s="23" t="e">
        <f ca="1">[1]!BexGetData("DP_1","003N8EMH8GTFRIVNUPY288VJH","GSON1112151432")</f>
        <v>#NAME?</v>
      </c>
      <c r="L2155" s="23" t="e">
        <f ca="1">[1]!BexGetData("DP_1","003N8EMH8GTFRIVNUPY2891V1","GSON1112151432")</f>
        <v>#NAME?</v>
      </c>
      <c r="M2155" s="23" t="e">
        <f ca="1">[1]!BexGetData("DP_1","003N8EMH8GTFRIVOG7KG9IQXA","GSON1112151432")</f>
        <v>#NAME?</v>
      </c>
      <c r="N2155" s="28" t="e">
        <f ca="1">[1]!BexGetData("DP_1","003N8EMH8GTFRIVOG7KG9IX8U","GSON1112151432")</f>
        <v>#NAME?</v>
      </c>
      <c r="O2155" s="23" t="e">
        <f ca="1">[1]!BexGetData("DP_1","003N8EMH8GTFRIVOG7KG9J3KE","GSON1112151432")</f>
        <v>#NAME?</v>
      </c>
      <c r="P2155" s="28" t="e">
        <f ca="1">[1]!BexGetData("DP_1","003N8EMH8GTFRIVOG7KG9J9VY","GSON1112151432")</f>
        <v>#NAME?</v>
      </c>
      <c r="Q2155" s="24" t="e">
        <f ca="1">[1]!BexGetData("DP_1","00O2TNJGODT0G5Z4TTKYMM5MT","GSON1112151432")</f>
        <v>#NAME?</v>
      </c>
      <c r="R2155" s="24" t="e">
        <f ca="1">[1]!BexGetData("DP_1","00O2TNJGODT0G5Z4TTKYMMBYD","GSON1112151432")</f>
        <v>#NAME?</v>
      </c>
      <c r="S2155" s="24" t="e">
        <f ca="1">[1]!BexGetData("DP_1","00O2TNJGODT0G5Z4TTKYMMI9X","GSON1112151432")</f>
        <v>#NAME?</v>
      </c>
      <c r="T2155" s="24" t="e">
        <f ca="1">[1]!BexGetData("DP_1","00O2TNJGODT0G5Z4TTKYMMOLH","GSON1112151432")</f>
        <v>#NAME?</v>
      </c>
      <c r="U2155" s="24" t="e">
        <f ca="1">[1]!BexGetData("DP_1","00O2TNJGODT0G5Z4TTKYMMUX1","GSON1112151432")</f>
        <v>#NAME?</v>
      </c>
      <c r="V2155" s="24" t="e">
        <f ca="1">[1]!BexGetData("DP_1","00O2TNJGODT0G5Z4TTKYMN18L","GSON1112151432")</f>
        <v>#NAME?</v>
      </c>
      <c r="W2155" s="24" t="e">
        <f ca="1">[1]!BexGetData("DP_1","00O2TNJGODT0G5Z4TTKYMN7K5","GSON1112151432")</f>
        <v>#NAME?</v>
      </c>
    </row>
    <row r="2156" spans="1:23" x14ac:dyDescent="0.2">
      <c r="A2156" s="36" t="s">
        <v>5281</v>
      </c>
      <c r="B2156" s="27" t="s">
        <v>5282</v>
      </c>
      <c r="C2156" s="23" t="e">
        <f ca="1">[1]!BexGetData("DP_1","003N8EMH8GTFRCSWKMPXRR8GU","GSON1112151433")</f>
        <v>#NAME?</v>
      </c>
      <c r="D2156" s="23" t="e">
        <f ca="1">[1]!BexGetData("DP_1","003N8EMH8GTFRCSWKMPXRRESE","GSON1112151433")</f>
        <v>#NAME?</v>
      </c>
      <c r="E2156" s="28" t="e">
        <f ca="1">[1]!BexGetData("DP_1","003N8EMH8GTFRCSWKMPXRRL3Y","GSON1112151433")</f>
        <v>#NAME?</v>
      </c>
      <c r="F2156" s="28" t="e">
        <f ca="1">[1]!BexGetData("DP_1","003N8EMH8GTFRCSWKMPXRRRFI","GSON1112151433")</f>
        <v>#NAME?</v>
      </c>
      <c r="G2156" s="23" t="e">
        <f ca="1">[1]!BexGetData("DP_1","003N8EMH8GTFRCSWKMPXRRXR2","GSON1112151433")</f>
        <v>#NAME?</v>
      </c>
      <c r="H2156" s="23" t="e">
        <f ca="1">[1]!BexGetData("DP_1","003N8EMH8GTFRCSWKMPXRS42M","GSON1112151433")</f>
        <v>#NAME?</v>
      </c>
      <c r="I2156" s="28" t="e">
        <f ca="1">[1]!BexGetData("DP_1","003N8EMH8GTFRCSWKMPXRSAE6","GSON1112151433")</f>
        <v>#NAME?</v>
      </c>
      <c r="J2156" s="24" t="e">
        <f ca="1">[1]!BexGetData("DP_1","003N8EMH8GTFRCSWKMPXRSGPQ","GSON1112151433")</f>
        <v>#NAME?</v>
      </c>
      <c r="K2156" s="28" t="e">
        <f ca="1">[1]!BexGetData("DP_1","003N8EMH8GTFRIVNUPY288VJH","GSON1112151433")</f>
        <v>#NAME?</v>
      </c>
      <c r="L2156" s="28" t="e">
        <f ca="1">[1]!BexGetData("DP_1","003N8EMH8GTFRIVNUPY2891V1","GSON1112151433")</f>
        <v>#NAME?</v>
      </c>
      <c r="M2156" s="28" t="e">
        <f ca="1">[1]!BexGetData("DP_1","003N8EMH8GTFRIVOG7KG9IQXA","GSON1112151433")</f>
        <v>#NAME?</v>
      </c>
      <c r="N2156" s="28" t="e">
        <f ca="1">[1]!BexGetData("DP_1","003N8EMH8GTFRIVOG7KG9IX8U","GSON1112151433")</f>
        <v>#NAME?</v>
      </c>
      <c r="O2156" s="28" t="e">
        <f ca="1">[1]!BexGetData("DP_1","003N8EMH8GTFRIVOG7KG9J3KE","GSON1112151433")</f>
        <v>#NAME?</v>
      </c>
      <c r="P2156" s="28" t="e">
        <f ca="1">[1]!BexGetData("DP_1","003N8EMH8GTFRIVOG7KG9J9VY","GSON1112151433")</f>
        <v>#NAME?</v>
      </c>
      <c r="Q2156" s="24" t="e">
        <f ca="1">[1]!BexGetData("DP_1","00O2TNJGODT0G5Z4TTKYMM5MT","GSON1112151433")</f>
        <v>#NAME?</v>
      </c>
      <c r="R2156" s="28" t="e">
        <f ca="1">[1]!BexGetData("DP_1","00O2TNJGODT0G5Z4TTKYMMBYD","GSON1112151433")</f>
        <v>#NAME?</v>
      </c>
      <c r="S2156" s="28" t="e">
        <f ca="1">[1]!BexGetData("DP_1","00O2TNJGODT0G5Z4TTKYMMI9X","GSON1112151433")</f>
        <v>#NAME?</v>
      </c>
      <c r="T2156" s="28" t="e">
        <f ca="1">[1]!BexGetData("DP_1","00O2TNJGODT0G5Z4TTKYMMOLH","GSON1112151433")</f>
        <v>#NAME?</v>
      </c>
      <c r="U2156" s="28" t="e">
        <f ca="1">[1]!BexGetData("DP_1","00O2TNJGODT0G5Z4TTKYMMUX1","GSON1112151433")</f>
        <v>#NAME?</v>
      </c>
      <c r="V2156" s="28" t="e">
        <f ca="1">[1]!BexGetData("DP_1","00O2TNJGODT0G5Z4TTKYMN18L","GSON1112151433")</f>
        <v>#NAME?</v>
      </c>
      <c r="W2156" s="28" t="e">
        <f ca="1">[1]!BexGetData("DP_1","00O2TNJGODT0G5Z4TTKYMN7K5","GSON1112151433")</f>
        <v>#NAME?</v>
      </c>
    </row>
    <row r="2157" spans="1:23" x14ac:dyDescent="0.2">
      <c r="A2157" s="36" t="s">
        <v>5283</v>
      </c>
      <c r="B2157" s="27" t="s">
        <v>5284</v>
      </c>
      <c r="C2157" s="23" t="e">
        <f ca="1">[1]!BexGetData("DP_1","003N8EMH8GTFRCSWKMPXRR8GU","GSON1112151434")</f>
        <v>#NAME?</v>
      </c>
      <c r="D2157" s="23" t="e">
        <f ca="1">[1]!BexGetData("DP_1","003N8EMH8GTFRCSWKMPXRRESE","GSON1112151434")</f>
        <v>#NAME?</v>
      </c>
      <c r="E2157" s="28" t="e">
        <f ca="1">[1]!BexGetData("DP_1","003N8EMH8GTFRCSWKMPXRRL3Y","GSON1112151434")</f>
        <v>#NAME?</v>
      </c>
      <c r="F2157" s="28" t="e">
        <f ca="1">[1]!BexGetData("DP_1","003N8EMH8GTFRCSWKMPXRRRFI","GSON1112151434")</f>
        <v>#NAME?</v>
      </c>
      <c r="G2157" s="23" t="e">
        <f ca="1">[1]!BexGetData("DP_1","003N8EMH8GTFRCSWKMPXRRXR2","GSON1112151434")</f>
        <v>#NAME?</v>
      </c>
      <c r="H2157" s="23" t="e">
        <f ca="1">[1]!BexGetData("DP_1","003N8EMH8GTFRCSWKMPXRS42M","GSON1112151434")</f>
        <v>#NAME?</v>
      </c>
      <c r="I2157" s="28" t="e">
        <f ca="1">[1]!BexGetData("DP_1","003N8EMH8GTFRCSWKMPXRSAE6","GSON1112151434")</f>
        <v>#NAME?</v>
      </c>
      <c r="J2157" s="24" t="e">
        <f ca="1">[1]!BexGetData("DP_1","003N8EMH8GTFRCSWKMPXRSGPQ","GSON1112151434")</f>
        <v>#NAME?</v>
      </c>
      <c r="K2157" s="28" t="e">
        <f ca="1">[1]!BexGetData("DP_1","003N8EMH8GTFRIVNUPY288VJH","GSON1112151434")</f>
        <v>#NAME?</v>
      </c>
      <c r="L2157" s="28" t="e">
        <f ca="1">[1]!BexGetData("DP_1","003N8EMH8GTFRIVNUPY2891V1","GSON1112151434")</f>
        <v>#NAME?</v>
      </c>
      <c r="M2157" s="28" t="e">
        <f ca="1">[1]!BexGetData("DP_1","003N8EMH8GTFRIVOG7KG9IQXA","GSON1112151434")</f>
        <v>#NAME?</v>
      </c>
      <c r="N2157" s="28" t="e">
        <f ca="1">[1]!BexGetData("DP_1","003N8EMH8GTFRIVOG7KG9IX8U","GSON1112151434")</f>
        <v>#NAME?</v>
      </c>
      <c r="O2157" s="28" t="e">
        <f ca="1">[1]!BexGetData("DP_1","003N8EMH8GTFRIVOG7KG9J3KE","GSON1112151434")</f>
        <v>#NAME?</v>
      </c>
      <c r="P2157" s="28" t="e">
        <f ca="1">[1]!BexGetData("DP_1","003N8EMH8GTFRIVOG7KG9J9VY","GSON1112151434")</f>
        <v>#NAME?</v>
      </c>
      <c r="Q2157" s="24" t="e">
        <f ca="1">[1]!BexGetData("DP_1","00O2TNJGODT0G5Z4TTKYMM5MT","GSON1112151434")</f>
        <v>#NAME?</v>
      </c>
      <c r="R2157" s="28" t="e">
        <f ca="1">[1]!BexGetData("DP_1","00O2TNJGODT0G5Z4TTKYMMBYD","GSON1112151434")</f>
        <v>#NAME?</v>
      </c>
      <c r="S2157" s="28" t="e">
        <f ca="1">[1]!BexGetData("DP_1","00O2TNJGODT0G5Z4TTKYMMI9X","GSON1112151434")</f>
        <v>#NAME?</v>
      </c>
      <c r="T2157" s="28" t="e">
        <f ca="1">[1]!BexGetData("DP_1","00O2TNJGODT0G5Z4TTKYMMOLH","GSON1112151434")</f>
        <v>#NAME?</v>
      </c>
      <c r="U2157" s="28" t="e">
        <f ca="1">[1]!BexGetData("DP_1","00O2TNJGODT0G5Z4TTKYMMUX1","GSON1112151434")</f>
        <v>#NAME?</v>
      </c>
      <c r="V2157" s="28" t="e">
        <f ca="1">[1]!BexGetData("DP_1","00O2TNJGODT0G5Z4TTKYMN18L","GSON1112151434")</f>
        <v>#NAME?</v>
      </c>
      <c r="W2157" s="28" t="e">
        <f ca="1">[1]!BexGetData("DP_1","00O2TNJGODT0G5Z4TTKYMN7K5","GSON1112151434")</f>
        <v>#NAME?</v>
      </c>
    </row>
    <row r="2158" spans="1:23" x14ac:dyDescent="0.2">
      <c r="A2158" s="36" t="s">
        <v>5285</v>
      </c>
      <c r="B2158" s="27" t="s">
        <v>5286</v>
      </c>
      <c r="C2158" s="23" t="e">
        <f ca="1">[1]!BexGetData("DP_1","003N8EMH8GTFRCSWKMPXRR8GU","GSON1112151435")</f>
        <v>#NAME?</v>
      </c>
      <c r="D2158" s="23" t="e">
        <f ca="1">[1]!BexGetData("DP_1","003N8EMH8GTFRCSWKMPXRRESE","GSON1112151435")</f>
        <v>#NAME?</v>
      </c>
      <c r="E2158" s="28" t="e">
        <f ca="1">[1]!BexGetData("DP_1","003N8EMH8GTFRCSWKMPXRRL3Y","GSON1112151435")</f>
        <v>#NAME?</v>
      </c>
      <c r="F2158" s="28" t="e">
        <f ca="1">[1]!BexGetData("DP_1","003N8EMH8GTFRCSWKMPXRRRFI","GSON1112151435")</f>
        <v>#NAME?</v>
      </c>
      <c r="G2158" s="23" t="e">
        <f ca="1">[1]!BexGetData("DP_1","003N8EMH8GTFRCSWKMPXRRXR2","GSON1112151435")</f>
        <v>#NAME?</v>
      </c>
      <c r="H2158" s="23" t="e">
        <f ca="1">[1]!BexGetData("DP_1","003N8EMH8GTFRCSWKMPXRS42M","GSON1112151435")</f>
        <v>#NAME?</v>
      </c>
      <c r="I2158" s="28" t="e">
        <f ca="1">[1]!BexGetData("DP_1","003N8EMH8GTFRCSWKMPXRSAE6","GSON1112151435")</f>
        <v>#NAME?</v>
      </c>
      <c r="J2158" s="24" t="e">
        <f ca="1">[1]!BexGetData("DP_1","003N8EMH8GTFRCSWKMPXRSGPQ","GSON1112151435")</f>
        <v>#NAME?</v>
      </c>
      <c r="K2158" s="28" t="e">
        <f ca="1">[1]!BexGetData("DP_1","003N8EMH8GTFRIVNUPY288VJH","GSON1112151435")</f>
        <v>#NAME?</v>
      </c>
      <c r="L2158" s="28" t="e">
        <f ca="1">[1]!BexGetData("DP_1","003N8EMH8GTFRIVNUPY2891V1","GSON1112151435")</f>
        <v>#NAME?</v>
      </c>
      <c r="M2158" s="28" t="e">
        <f ca="1">[1]!BexGetData("DP_1","003N8EMH8GTFRIVOG7KG9IQXA","GSON1112151435")</f>
        <v>#NAME?</v>
      </c>
      <c r="N2158" s="28" t="e">
        <f ca="1">[1]!BexGetData("DP_1","003N8EMH8GTFRIVOG7KG9IX8U","GSON1112151435")</f>
        <v>#NAME?</v>
      </c>
      <c r="O2158" s="28" t="e">
        <f ca="1">[1]!BexGetData("DP_1","003N8EMH8GTFRIVOG7KG9J3KE","GSON1112151435")</f>
        <v>#NAME?</v>
      </c>
      <c r="P2158" s="28" t="e">
        <f ca="1">[1]!BexGetData("DP_1","003N8EMH8GTFRIVOG7KG9J9VY","GSON1112151435")</f>
        <v>#NAME?</v>
      </c>
      <c r="Q2158" s="24" t="e">
        <f ca="1">[1]!BexGetData("DP_1","00O2TNJGODT0G5Z4TTKYMM5MT","GSON1112151435")</f>
        <v>#NAME?</v>
      </c>
      <c r="R2158" s="28" t="e">
        <f ca="1">[1]!BexGetData("DP_1","00O2TNJGODT0G5Z4TTKYMMBYD","GSON1112151435")</f>
        <v>#NAME?</v>
      </c>
      <c r="S2158" s="28" t="e">
        <f ca="1">[1]!BexGetData("DP_1","00O2TNJGODT0G5Z4TTKYMMI9X","GSON1112151435")</f>
        <v>#NAME?</v>
      </c>
      <c r="T2158" s="28" t="e">
        <f ca="1">[1]!BexGetData("DP_1","00O2TNJGODT0G5Z4TTKYMMOLH","GSON1112151435")</f>
        <v>#NAME?</v>
      </c>
      <c r="U2158" s="28" t="e">
        <f ca="1">[1]!BexGetData("DP_1","00O2TNJGODT0G5Z4TTKYMMUX1","GSON1112151435")</f>
        <v>#NAME?</v>
      </c>
      <c r="V2158" s="28" t="e">
        <f ca="1">[1]!BexGetData("DP_1","00O2TNJGODT0G5Z4TTKYMN18L","GSON1112151435")</f>
        <v>#NAME?</v>
      </c>
      <c r="W2158" s="28" t="e">
        <f ca="1">[1]!BexGetData("DP_1","00O2TNJGODT0G5Z4TTKYMN7K5","GSON1112151435")</f>
        <v>#NAME?</v>
      </c>
    </row>
    <row r="2159" spans="1:23" x14ac:dyDescent="0.2">
      <c r="A2159" s="36" t="s">
        <v>5287</v>
      </c>
      <c r="B2159" s="27" t="s">
        <v>5288</v>
      </c>
      <c r="C2159" s="23" t="e">
        <f ca="1">[1]!BexGetData("DP_1","003N8EMH8GTFRCSWKMPXRR8GU","GSON1112151450")</f>
        <v>#NAME?</v>
      </c>
      <c r="D2159" s="23" t="e">
        <f ca="1">[1]!BexGetData("DP_1","003N8EMH8GTFRCSWKMPXRRESE","GSON1112151450")</f>
        <v>#NAME?</v>
      </c>
      <c r="E2159" s="23" t="e">
        <f ca="1">[1]!BexGetData("DP_1","003N8EMH8GTFRCSWKMPXRRL3Y","GSON1112151450")</f>
        <v>#NAME?</v>
      </c>
      <c r="F2159" s="23" t="e">
        <f ca="1">[1]!BexGetData("DP_1","003N8EMH8GTFRCSWKMPXRRRFI","GSON1112151450")</f>
        <v>#NAME?</v>
      </c>
      <c r="G2159" s="23" t="e">
        <f ca="1">[1]!BexGetData("DP_1","003N8EMH8GTFRCSWKMPXRRXR2","GSON1112151450")</f>
        <v>#NAME?</v>
      </c>
      <c r="H2159" s="23" t="e">
        <f ca="1">[1]!BexGetData("DP_1","003N8EMH8GTFRCSWKMPXRS42M","GSON1112151450")</f>
        <v>#NAME?</v>
      </c>
      <c r="I2159" s="23" t="e">
        <f ca="1">[1]!BexGetData("DP_1","003N8EMH8GTFRCSWKMPXRSAE6","GSON1112151450")</f>
        <v>#NAME?</v>
      </c>
      <c r="J2159" s="24" t="e">
        <f ca="1">[1]!BexGetData("DP_1","003N8EMH8GTFRCSWKMPXRSGPQ","GSON1112151450")</f>
        <v>#NAME?</v>
      </c>
      <c r="K2159" s="23" t="e">
        <f ca="1">[1]!BexGetData("DP_1","003N8EMH8GTFRIVNUPY288VJH","GSON1112151450")</f>
        <v>#NAME?</v>
      </c>
      <c r="L2159" s="23" t="e">
        <f ca="1">[1]!BexGetData("DP_1","003N8EMH8GTFRIVNUPY2891V1","GSON1112151450")</f>
        <v>#NAME?</v>
      </c>
      <c r="M2159" s="23" t="e">
        <f ca="1">[1]!BexGetData("DP_1","003N8EMH8GTFRIVOG7KG9IQXA","GSON1112151450")</f>
        <v>#NAME?</v>
      </c>
      <c r="N2159" s="28" t="e">
        <f ca="1">[1]!BexGetData("DP_1","003N8EMH8GTFRIVOG7KG9IX8U","GSON1112151450")</f>
        <v>#NAME?</v>
      </c>
      <c r="O2159" s="23" t="e">
        <f ca="1">[1]!BexGetData("DP_1","003N8EMH8GTFRIVOG7KG9J3KE","GSON1112151450")</f>
        <v>#NAME?</v>
      </c>
      <c r="P2159" s="28" t="e">
        <f ca="1">[1]!BexGetData("DP_1","003N8EMH8GTFRIVOG7KG9J9VY","GSON1112151450")</f>
        <v>#NAME?</v>
      </c>
      <c r="Q2159" s="24" t="e">
        <f ca="1">[1]!BexGetData("DP_1","00O2TNJGODT0G5Z4TTKYMM5MT","GSON1112151450")</f>
        <v>#NAME?</v>
      </c>
      <c r="R2159" s="23" t="e">
        <f ca="1">[1]!BexGetData("DP_1","00O2TNJGODT0G5Z4TTKYMMBYD","GSON1112151450")</f>
        <v>#NAME?</v>
      </c>
      <c r="S2159" s="23" t="e">
        <f ca="1">[1]!BexGetData("DP_1","00O2TNJGODT0G5Z4TTKYMMI9X","GSON1112151450")</f>
        <v>#NAME?</v>
      </c>
      <c r="T2159" s="28" t="e">
        <f ca="1">[1]!BexGetData("DP_1","00O2TNJGODT0G5Z4TTKYMMOLH","GSON1112151450")</f>
        <v>#NAME?</v>
      </c>
      <c r="U2159" s="23" t="e">
        <f ca="1">[1]!BexGetData("DP_1","00O2TNJGODT0G5Z4TTKYMMUX1","GSON1112151450")</f>
        <v>#NAME?</v>
      </c>
      <c r="V2159" s="28" t="e">
        <f ca="1">[1]!BexGetData("DP_1","00O2TNJGODT0G5Z4TTKYMN18L","GSON1112151450")</f>
        <v>#NAME?</v>
      </c>
      <c r="W2159" s="23" t="e">
        <f ca="1">[1]!BexGetData("DP_1","00O2TNJGODT0G5Z4TTKYMN7K5","GSON1112151450")</f>
        <v>#NAME?</v>
      </c>
    </row>
    <row r="2160" spans="1:23" x14ac:dyDescent="0.2">
      <c r="A2160" s="36" t="s">
        <v>5289</v>
      </c>
      <c r="B2160" s="27" t="s">
        <v>5290</v>
      </c>
      <c r="C2160" s="28" t="e">
        <f ca="1">[1]!BexGetData("DP_1","003N8EMH8GTFRCSWKMPXRR8GU","GSON1112151451")</f>
        <v>#NAME?</v>
      </c>
      <c r="D2160" s="28" t="e">
        <f ca="1">[1]!BexGetData("DP_1","003N8EMH8GTFRCSWKMPXRRESE","GSON1112151451")</f>
        <v>#NAME?</v>
      </c>
      <c r="E2160" s="28" t="e">
        <f ca="1">[1]!BexGetData("DP_1","003N8EMH8GTFRCSWKMPXRRL3Y","GSON1112151451")</f>
        <v>#NAME?</v>
      </c>
      <c r="F2160" s="28" t="e">
        <f ca="1">[1]!BexGetData("DP_1","003N8EMH8GTFRCSWKMPXRRRFI","GSON1112151451")</f>
        <v>#NAME?</v>
      </c>
      <c r="G2160" s="23" t="e">
        <f ca="1">[1]!BexGetData("DP_1","003N8EMH8GTFRCSWKMPXRRXR2","GSON1112151451")</f>
        <v>#NAME?</v>
      </c>
      <c r="H2160" s="23" t="e">
        <f ca="1">[1]!BexGetData("DP_1","003N8EMH8GTFRCSWKMPXRS42M","GSON1112151451")</f>
        <v>#NAME?</v>
      </c>
      <c r="I2160" s="28" t="e">
        <f ca="1">[1]!BexGetData("DP_1","003N8EMH8GTFRCSWKMPXRSAE6","GSON1112151451")</f>
        <v>#NAME?</v>
      </c>
      <c r="J2160" s="24" t="e">
        <f ca="1">[1]!BexGetData("DP_1","003N8EMH8GTFRCSWKMPXRSGPQ","GSON1112151451")</f>
        <v>#NAME?</v>
      </c>
      <c r="K2160" s="28" t="e">
        <f ca="1">[1]!BexGetData("DP_1","003N8EMH8GTFRIVNUPY288VJH","GSON1112151451")</f>
        <v>#NAME?</v>
      </c>
      <c r="L2160" s="28" t="e">
        <f ca="1">[1]!BexGetData("DP_1","003N8EMH8GTFRIVNUPY2891V1","GSON1112151451")</f>
        <v>#NAME?</v>
      </c>
      <c r="M2160" s="28" t="e">
        <f ca="1">[1]!BexGetData("DP_1","003N8EMH8GTFRIVOG7KG9IQXA","GSON1112151451")</f>
        <v>#NAME?</v>
      </c>
      <c r="N2160" s="28" t="e">
        <f ca="1">[1]!BexGetData("DP_1","003N8EMH8GTFRIVOG7KG9IX8U","GSON1112151451")</f>
        <v>#NAME?</v>
      </c>
      <c r="O2160" s="28" t="e">
        <f ca="1">[1]!BexGetData("DP_1","003N8EMH8GTFRIVOG7KG9J3KE","GSON1112151451")</f>
        <v>#NAME?</v>
      </c>
      <c r="P2160" s="28" t="e">
        <f ca="1">[1]!BexGetData("DP_1","003N8EMH8GTFRIVOG7KG9J9VY","GSON1112151451")</f>
        <v>#NAME?</v>
      </c>
      <c r="Q2160" s="24" t="e">
        <f ca="1">[1]!BexGetData("DP_1","00O2TNJGODT0G5Z4TTKYMM5MT","GSON1112151451")</f>
        <v>#NAME?</v>
      </c>
      <c r="R2160" s="28" t="e">
        <f ca="1">[1]!BexGetData("DP_1","00O2TNJGODT0G5Z4TTKYMMBYD","GSON1112151451")</f>
        <v>#NAME?</v>
      </c>
      <c r="S2160" s="28" t="e">
        <f ca="1">[1]!BexGetData("DP_1","00O2TNJGODT0G5Z4TTKYMMI9X","GSON1112151451")</f>
        <v>#NAME?</v>
      </c>
      <c r="T2160" s="28" t="e">
        <f ca="1">[1]!BexGetData("DP_1","00O2TNJGODT0G5Z4TTKYMMOLH","GSON1112151451")</f>
        <v>#NAME?</v>
      </c>
      <c r="U2160" s="28" t="e">
        <f ca="1">[1]!BexGetData("DP_1","00O2TNJGODT0G5Z4TTKYMMUX1","GSON1112151451")</f>
        <v>#NAME?</v>
      </c>
      <c r="V2160" s="28" t="e">
        <f ca="1">[1]!BexGetData("DP_1","00O2TNJGODT0G5Z4TTKYMN18L","GSON1112151451")</f>
        <v>#NAME?</v>
      </c>
      <c r="W2160" s="28" t="e">
        <f ca="1">[1]!BexGetData("DP_1","00O2TNJGODT0G5Z4TTKYMN7K5","GSON1112151451")</f>
        <v>#NAME?</v>
      </c>
    </row>
    <row r="2161" spans="1:23" x14ac:dyDescent="0.2">
      <c r="A2161" s="36" t="s">
        <v>5291</v>
      </c>
      <c r="B2161" s="27" t="s">
        <v>5292</v>
      </c>
      <c r="C2161" s="23" t="e">
        <f ca="1">[1]!BexGetData("DP_1","003N8EMH8GTFRCSWKMPXRR8GU","GSON1112151453")</f>
        <v>#NAME?</v>
      </c>
      <c r="D2161" s="23" t="e">
        <f ca="1">[1]!BexGetData("DP_1","003N8EMH8GTFRCSWKMPXRRESE","GSON1112151453")</f>
        <v>#NAME?</v>
      </c>
      <c r="E2161" s="28" t="e">
        <f ca="1">[1]!BexGetData("DP_1","003N8EMH8GTFRCSWKMPXRRL3Y","GSON1112151453")</f>
        <v>#NAME?</v>
      </c>
      <c r="F2161" s="28" t="e">
        <f ca="1">[1]!BexGetData("DP_1","003N8EMH8GTFRCSWKMPXRRRFI","GSON1112151453")</f>
        <v>#NAME?</v>
      </c>
      <c r="G2161" s="23" t="e">
        <f ca="1">[1]!BexGetData("DP_1","003N8EMH8GTFRCSWKMPXRRXR2","GSON1112151453")</f>
        <v>#NAME?</v>
      </c>
      <c r="H2161" s="23" t="e">
        <f ca="1">[1]!BexGetData("DP_1","003N8EMH8GTFRCSWKMPXRS42M","GSON1112151453")</f>
        <v>#NAME?</v>
      </c>
      <c r="I2161" s="28" t="e">
        <f ca="1">[1]!BexGetData("DP_1","003N8EMH8GTFRCSWKMPXRSAE6","GSON1112151453")</f>
        <v>#NAME?</v>
      </c>
      <c r="J2161" s="24" t="e">
        <f ca="1">[1]!BexGetData("DP_1","003N8EMH8GTFRCSWKMPXRSGPQ","GSON1112151453")</f>
        <v>#NAME?</v>
      </c>
      <c r="K2161" s="28" t="e">
        <f ca="1">[1]!BexGetData("DP_1","003N8EMH8GTFRIVNUPY288VJH","GSON1112151453")</f>
        <v>#NAME?</v>
      </c>
      <c r="L2161" s="28" t="e">
        <f ca="1">[1]!BexGetData("DP_1","003N8EMH8GTFRIVNUPY2891V1","GSON1112151453")</f>
        <v>#NAME?</v>
      </c>
      <c r="M2161" s="28" t="e">
        <f ca="1">[1]!BexGetData("DP_1","003N8EMH8GTFRIVOG7KG9IQXA","GSON1112151453")</f>
        <v>#NAME?</v>
      </c>
      <c r="N2161" s="28" t="e">
        <f ca="1">[1]!BexGetData("DP_1","003N8EMH8GTFRIVOG7KG9IX8U","GSON1112151453")</f>
        <v>#NAME?</v>
      </c>
      <c r="O2161" s="28" t="e">
        <f ca="1">[1]!BexGetData("DP_1","003N8EMH8GTFRIVOG7KG9J3KE","GSON1112151453")</f>
        <v>#NAME?</v>
      </c>
      <c r="P2161" s="28" t="e">
        <f ca="1">[1]!BexGetData("DP_1","003N8EMH8GTFRIVOG7KG9J9VY","GSON1112151453")</f>
        <v>#NAME?</v>
      </c>
      <c r="Q2161" s="24" t="e">
        <f ca="1">[1]!BexGetData("DP_1","00O2TNJGODT0G5Z4TTKYMM5MT","GSON1112151453")</f>
        <v>#NAME?</v>
      </c>
      <c r="R2161" s="28" t="e">
        <f ca="1">[1]!BexGetData("DP_1","00O2TNJGODT0G5Z4TTKYMMBYD","GSON1112151453")</f>
        <v>#NAME?</v>
      </c>
      <c r="S2161" s="28" t="e">
        <f ca="1">[1]!BexGetData("DP_1","00O2TNJGODT0G5Z4TTKYMMI9X","GSON1112151453")</f>
        <v>#NAME?</v>
      </c>
      <c r="T2161" s="28" t="e">
        <f ca="1">[1]!BexGetData("DP_1","00O2TNJGODT0G5Z4TTKYMMOLH","GSON1112151453")</f>
        <v>#NAME?</v>
      </c>
      <c r="U2161" s="28" t="e">
        <f ca="1">[1]!BexGetData("DP_1","00O2TNJGODT0G5Z4TTKYMMUX1","GSON1112151453")</f>
        <v>#NAME?</v>
      </c>
      <c r="V2161" s="28" t="e">
        <f ca="1">[1]!BexGetData("DP_1","00O2TNJGODT0G5Z4TTKYMN18L","GSON1112151453")</f>
        <v>#NAME?</v>
      </c>
      <c r="W2161" s="28" t="e">
        <f ca="1">[1]!BexGetData("DP_1","00O2TNJGODT0G5Z4TTKYMN7K5","GSON1112151453")</f>
        <v>#NAME?</v>
      </c>
    </row>
    <row r="2162" spans="1:23" x14ac:dyDescent="0.2">
      <c r="A2162" s="36" t="s">
        <v>5293</v>
      </c>
      <c r="B2162" s="27" t="s">
        <v>5294</v>
      </c>
      <c r="C2162" s="23" t="e">
        <f ca="1">[1]!BexGetData("DP_1","003N8EMH8GTFRCSWKMPXRR8GU","GSON1112151454")</f>
        <v>#NAME?</v>
      </c>
      <c r="D2162" s="23" t="e">
        <f ca="1">[1]!BexGetData("DP_1","003N8EMH8GTFRCSWKMPXRRESE","GSON1112151454")</f>
        <v>#NAME?</v>
      </c>
      <c r="E2162" s="28" t="e">
        <f ca="1">[1]!BexGetData("DP_1","003N8EMH8GTFRCSWKMPXRRL3Y","GSON1112151454")</f>
        <v>#NAME?</v>
      </c>
      <c r="F2162" s="28" t="e">
        <f ca="1">[1]!BexGetData("DP_1","003N8EMH8GTFRCSWKMPXRRRFI","GSON1112151454")</f>
        <v>#NAME?</v>
      </c>
      <c r="G2162" s="23" t="e">
        <f ca="1">[1]!BexGetData("DP_1","003N8EMH8GTFRCSWKMPXRRXR2","GSON1112151454")</f>
        <v>#NAME?</v>
      </c>
      <c r="H2162" s="23" t="e">
        <f ca="1">[1]!BexGetData("DP_1","003N8EMH8GTFRCSWKMPXRS42M","GSON1112151454")</f>
        <v>#NAME?</v>
      </c>
      <c r="I2162" s="28" t="e">
        <f ca="1">[1]!BexGetData("DP_1","003N8EMH8GTFRCSWKMPXRSAE6","GSON1112151454")</f>
        <v>#NAME?</v>
      </c>
      <c r="J2162" s="24" t="e">
        <f ca="1">[1]!BexGetData("DP_1","003N8EMH8GTFRCSWKMPXRSGPQ","GSON1112151454")</f>
        <v>#NAME?</v>
      </c>
      <c r="K2162" s="28" t="e">
        <f ca="1">[1]!BexGetData("DP_1","003N8EMH8GTFRIVNUPY288VJH","GSON1112151454")</f>
        <v>#NAME?</v>
      </c>
      <c r="L2162" s="28" t="e">
        <f ca="1">[1]!BexGetData("DP_1","003N8EMH8GTFRIVNUPY2891V1","GSON1112151454")</f>
        <v>#NAME?</v>
      </c>
      <c r="M2162" s="28" t="e">
        <f ca="1">[1]!BexGetData("DP_1","003N8EMH8GTFRIVOG7KG9IQXA","GSON1112151454")</f>
        <v>#NAME?</v>
      </c>
      <c r="N2162" s="28" t="e">
        <f ca="1">[1]!BexGetData("DP_1","003N8EMH8GTFRIVOG7KG9IX8U","GSON1112151454")</f>
        <v>#NAME?</v>
      </c>
      <c r="O2162" s="28" t="e">
        <f ca="1">[1]!BexGetData("DP_1","003N8EMH8GTFRIVOG7KG9J3KE","GSON1112151454")</f>
        <v>#NAME?</v>
      </c>
      <c r="P2162" s="28" t="e">
        <f ca="1">[1]!BexGetData("DP_1","003N8EMH8GTFRIVOG7KG9J9VY","GSON1112151454")</f>
        <v>#NAME?</v>
      </c>
      <c r="Q2162" s="24" t="e">
        <f ca="1">[1]!BexGetData("DP_1","00O2TNJGODT0G5Z4TTKYMM5MT","GSON1112151454")</f>
        <v>#NAME?</v>
      </c>
      <c r="R2162" s="28" t="e">
        <f ca="1">[1]!BexGetData("DP_1","00O2TNJGODT0G5Z4TTKYMMBYD","GSON1112151454")</f>
        <v>#NAME?</v>
      </c>
      <c r="S2162" s="28" t="e">
        <f ca="1">[1]!BexGetData("DP_1","00O2TNJGODT0G5Z4TTKYMMI9X","GSON1112151454")</f>
        <v>#NAME?</v>
      </c>
      <c r="T2162" s="28" t="e">
        <f ca="1">[1]!BexGetData("DP_1","00O2TNJGODT0G5Z4TTKYMMOLH","GSON1112151454")</f>
        <v>#NAME?</v>
      </c>
      <c r="U2162" s="28" t="e">
        <f ca="1">[1]!BexGetData("DP_1","00O2TNJGODT0G5Z4TTKYMMUX1","GSON1112151454")</f>
        <v>#NAME?</v>
      </c>
      <c r="V2162" s="28" t="e">
        <f ca="1">[1]!BexGetData("DP_1","00O2TNJGODT0G5Z4TTKYMN18L","GSON1112151454")</f>
        <v>#NAME?</v>
      </c>
      <c r="W2162" s="28" t="e">
        <f ca="1">[1]!BexGetData("DP_1","00O2TNJGODT0G5Z4TTKYMN7K5","GSON1112151454")</f>
        <v>#NAME?</v>
      </c>
    </row>
    <row r="2163" spans="1:23" x14ac:dyDescent="0.2">
      <c r="A2163" s="36" t="s">
        <v>5295</v>
      </c>
      <c r="B2163" s="27" t="s">
        <v>5296</v>
      </c>
      <c r="C2163" s="23" t="e">
        <f ca="1">[1]!BexGetData("DP_1","003N8EMH8GTFRCSWKMPXRR8GU","GSON1112151455")</f>
        <v>#NAME?</v>
      </c>
      <c r="D2163" s="23" t="e">
        <f ca="1">[1]!BexGetData("DP_1","003N8EMH8GTFRCSWKMPXRRESE","GSON1112151455")</f>
        <v>#NAME?</v>
      </c>
      <c r="E2163" s="28" t="e">
        <f ca="1">[1]!BexGetData("DP_1","003N8EMH8GTFRCSWKMPXRRL3Y","GSON1112151455")</f>
        <v>#NAME?</v>
      </c>
      <c r="F2163" s="28" t="e">
        <f ca="1">[1]!BexGetData("DP_1","003N8EMH8GTFRCSWKMPXRRRFI","GSON1112151455")</f>
        <v>#NAME?</v>
      </c>
      <c r="G2163" s="23" t="e">
        <f ca="1">[1]!BexGetData("DP_1","003N8EMH8GTFRCSWKMPXRRXR2","GSON1112151455")</f>
        <v>#NAME?</v>
      </c>
      <c r="H2163" s="23" t="e">
        <f ca="1">[1]!BexGetData("DP_1","003N8EMH8GTFRCSWKMPXRS42M","GSON1112151455")</f>
        <v>#NAME?</v>
      </c>
      <c r="I2163" s="28" t="e">
        <f ca="1">[1]!BexGetData("DP_1","003N8EMH8GTFRCSWKMPXRSAE6","GSON1112151455")</f>
        <v>#NAME?</v>
      </c>
      <c r="J2163" s="24" t="e">
        <f ca="1">[1]!BexGetData("DP_1","003N8EMH8GTFRCSWKMPXRSGPQ","GSON1112151455")</f>
        <v>#NAME?</v>
      </c>
      <c r="K2163" s="28" t="e">
        <f ca="1">[1]!BexGetData("DP_1","003N8EMH8GTFRIVNUPY288VJH","GSON1112151455")</f>
        <v>#NAME?</v>
      </c>
      <c r="L2163" s="28" t="e">
        <f ca="1">[1]!BexGetData("DP_1","003N8EMH8GTFRIVNUPY2891V1","GSON1112151455")</f>
        <v>#NAME?</v>
      </c>
      <c r="M2163" s="28" t="e">
        <f ca="1">[1]!BexGetData("DP_1","003N8EMH8GTFRIVOG7KG9IQXA","GSON1112151455")</f>
        <v>#NAME?</v>
      </c>
      <c r="N2163" s="28" t="e">
        <f ca="1">[1]!BexGetData("DP_1","003N8EMH8GTFRIVOG7KG9IX8U","GSON1112151455")</f>
        <v>#NAME?</v>
      </c>
      <c r="O2163" s="28" t="e">
        <f ca="1">[1]!BexGetData("DP_1","003N8EMH8GTFRIVOG7KG9J3KE","GSON1112151455")</f>
        <v>#NAME?</v>
      </c>
      <c r="P2163" s="28" t="e">
        <f ca="1">[1]!BexGetData("DP_1","003N8EMH8GTFRIVOG7KG9J9VY","GSON1112151455")</f>
        <v>#NAME?</v>
      </c>
      <c r="Q2163" s="24" t="e">
        <f ca="1">[1]!BexGetData("DP_1","00O2TNJGODT0G5Z4TTKYMM5MT","GSON1112151455")</f>
        <v>#NAME?</v>
      </c>
      <c r="R2163" s="28" t="e">
        <f ca="1">[1]!BexGetData("DP_1","00O2TNJGODT0G5Z4TTKYMMBYD","GSON1112151455")</f>
        <v>#NAME?</v>
      </c>
      <c r="S2163" s="28" t="e">
        <f ca="1">[1]!BexGetData("DP_1","00O2TNJGODT0G5Z4TTKYMMI9X","GSON1112151455")</f>
        <v>#NAME?</v>
      </c>
      <c r="T2163" s="28" t="e">
        <f ca="1">[1]!BexGetData("DP_1","00O2TNJGODT0G5Z4TTKYMMOLH","GSON1112151455")</f>
        <v>#NAME?</v>
      </c>
      <c r="U2163" s="28" t="e">
        <f ca="1">[1]!BexGetData("DP_1","00O2TNJGODT0G5Z4TTKYMMUX1","GSON1112151455")</f>
        <v>#NAME?</v>
      </c>
      <c r="V2163" s="28" t="e">
        <f ca="1">[1]!BexGetData("DP_1","00O2TNJGODT0G5Z4TTKYMN18L","GSON1112151455")</f>
        <v>#NAME?</v>
      </c>
      <c r="W2163" s="28" t="e">
        <f ca="1">[1]!BexGetData("DP_1","00O2TNJGODT0G5Z4TTKYMN7K5","GSON1112151455")</f>
        <v>#NAME?</v>
      </c>
    </row>
    <row r="2164" spans="1:23" x14ac:dyDescent="0.2">
      <c r="A2164" s="36" t="s">
        <v>5297</v>
      </c>
      <c r="B2164" s="27" t="s">
        <v>5298</v>
      </c>
      <c r="C2164" s="23" t="e">
        <f ca="1">[1]!BexGetData("DP_1","003N8EMH8GTFRCSWKMPXRR8GU","GSON1112151490")</f>
        <v>#NAME?</v>
      </c>
      <c r="D2164" s="23" t="e">
        <f ca="1">[1]!BexGetData("DP_1","003N8EMH8GTFRCSWKMPXRRESE","GSON1112151490")</f>
        <v>#NAME?</v>
      </c>
      <c r="E2164" s="23" t="e">
        <f ca="1">[1]!BexGetData("DP_1","003N8EMH8GTFRCSWKMPXRRL3Y","GSON1112151490")</f>
        <v>#NAME?</v>
      </c>
      <c r="F2164" s="24" t="e">
        <f ca="1">[1]!BexGetData("DP_1","003N8EMH8GTFRCSWKMPXRRRFI","GSON1112151490")</f>
        <v>#NAME?</v>
      </c>
      <c r="G2164" s="24" t="e">
        <f ca="1">[1]!BexGetData("DP_1","003N8EMH8GTFRCSWKMPXRRXR2","GSON1112151490")</f>
        <v>#NAME?</v>
      </c>
      <c r="H2164" s="24" t="e">
        <f ca="1">[1]!BexGetData("DP_1","003N8EMH8GTFRCSWKMPXRS42M","GSON1112151490")</f>
        <v>#NAME?</v>
      </c>
      <c r="I2164" s="24" t="e">
        <f ca="1">[1]!BexGetData("DP_1","003N8EMH8GTFRCSWKMPXRSAE6","GSON1112151490")</f>
        <v>#NAME?</v>
      </c>
      <c r="J2164" s="24" t="e">
        <f ca="1">[1]!BexGetData("DP_1","003N8EMH8GTFRCSWKMPXRSGPQ","GSON1112151490")</f>
        <v>#NAME?</v>
      </c>
      <c r="K2164" s="23" t="e">
        <f ca="1">[1]!BexGetData("DP_1","003N8EMH8GTFRIVNUPY288VJH","GSON1112151490")</f>
        <v>#NAME?</v>
      </c>
      <c r="L2164" s="23" t="e">
        <f ca="1">[1]!BexGetData("DP_1","003N8EMH8GTFRIVNUPY2891V1","GSON1112151490")</f>
        <v>#NAME?</v>
      </c>
      <c r="M2164" s="28" t="e">
        <f ca="1">[1]!BexGetData("DP_1","003N8EMH8GTFRIVOG7KG9IQXA","GSON1112151490")</f>
        <v>#NAME?</v>
      </c>
      <c r="N2164" s="23" t="e">
        <f ca="1">[1]!BexGetData("DP_1","003N8EMH8GTFRIVOG7KG9IX8U","GSON1112151490")</f>
        <v>#NAME?</v>
      </c>
      <c r="O2164" s="28" t="e">
        <f ca="1">[1]!BexGetData("DP_1","003N8EMH8GTFRIVOG7KG9J3KE","GSON1112151490")</f>
        <v>#NAME?</v>
      </c>
      <c r="P2164" s="23" t="e">
        <f ca="1">[1]!BexGetData("DP_1","003N8EMH8GTFRIVOG7KG9J9VY","GSON1112151490")</f>
        <v>#NAME?</v>
      </c>
      <c r="Q2164" s="24" t="e">
        <f ca="1">[1]!BexGetData("DP_1","00O2TNJGODT0G5Z4TTKYMM5MT","GSON1112151490")</f>
        <v>#NAME?</v>
      </c>
      <c r="R2164" s="24" t="e">
        <f ca="1">[1]!BexGetData("DP_1","00O2TNJGODT0G5Z4TTKYMMBYD","GSON1112151490")</f>
        <v>#NAME?</v>
      </c>
      <c r="S2164" s="24" t="e">
        <f ca="1">[1]!BexGetData("DP_1","00O2TNJGODT0G5Z4TTKYMMI9X","GSON1112151490")</f>
        <v>#NAME?</v>
      </c>
      <c r="T2164" s="24" t="e">
        <f ca="1">[1]!BexGetData("DP_1","00O2TNJGODT0G5Z4TTKYMMOLH","GSON1112151490")</f>
        <v>#NAME?</v>
      </c>
      <c r="U2164" s="24" t="e">
        <f ca="1">[1]!BexGetData("DP_1","00O2TNJGODT0G5Z4TTKYMMUX1","GSON1112151490")</f>
        <v>#NAME?</v>
      </c>
      <c r="V2164" s="24" t="e">
        <f ca="1">[1]!BexGetData("DP_1","00O2TNJGODT0G5Z4TTKYMN18L","GSON1112151490")</f>
        <v>#NAME?</v>
      </c>
      <c r="W2164" s="24" t="e">
        <f ca="1">[1]!BexGetData("DP_1","00O2TNJGODT0G5Z4TTKYMN7K5","GSON1112151490")</f>
        <v>#NAME?</v>
      </c>
    </row>
    <row r="2165" spans="1:23" x14ac:dyDescent="0.2">
      <c r="A2165" s="36" t="s">
        <v>5299</v>
      </c>
      <c r="B2165" s="27" t="s">
        <v>5300</v>
      </c>
      <c r="C2165" s="23" t="e">
        <f ca="1">[1]!BexGetData("DP_1","003N8EMH8GTFRCSWKMPXRR8GU","GSON1112151491")</f>
        <v>#NAME?</v>
      </c>
      <c r="D2165" s="23" t="e">
        <f ca="1">[1]!BexGetData("DP_1","003N8EMH8GTFRCSWKMPXRRESE","GSON1112151491")</f>
        <v>#NAME?</v>
      </c>
      <c r="E2165" s="28" t="e">
        <f ca="1">[1]!BexGetData("DP_1","003N8EMH8GTFRCSWKMPXRRL3Y","GSON1112151491")</f>
        <v>#NAME?</v>
      </c>
      <c r="F2165" s="24" t="e">
        <f ca="1">[1]!BexGetData("DP_1","003N8EMH8GTFRCSWKMPXRRRFI","GSON1112151491")</f>
        <v>#NAME?</v>
      </c>
      <c r="G2165" s="24" t="e">
        <f ca="1">[1]!BexGetData("DP_1","003N8EMH8GTFRCSWKMPXRRXR2","GSON1112151491")</f>
        <v>#NAME?</v>
      </c>
      <c r="H2165" s="24" t="e">
        <f ca="1">[1]!BexGetData("DP_1","003N8EMH8GTFRCSWKMPXRS42M","GSON1112151491")</f>
        <v>#NAME?</v>
      </c>
      <c r="I2165" s="24" t="e">
        <f ca="1">[1]!BexGetData("DP_1","003N8EMH8GTFRCSWKMPXRSAE6","GSON1112151491")</f>
        <v>#NAME?</v>
      </c>
      <c r="J2165" s="24" t="e">
        <f ca="1">[1]!BexGetData("DP_1","003N8EMH8GTFRCSWKMPXRSGPQ","GSON1112151491")</f>
        <v>#NAME?</v>
      </c>
      <c r="K2165" s="28" t="e">
        <f ca="1">[1]!BexGetData("DP_1","003N8EMH8GTFRIVNUPY288VJH","GSON1112151491")</f>
        <v>#NAME?</v>
      </c>
      <c r="L2165" s="28" t="e">
        <f ca="1">[1]!BexGetData("DP_1","003N8EMH8GTFRIVNUPY2891V1","GSON1112151491")</f>
        <v>#NAME?</v>
      </c>
      <c r="M2165" s="28" t="e">
        <f ca="1">[1]!BexGetData("DP_1","003N8EMH8GTFRIVOG7KG9IQXA","GSON1112151491")</f>
        <v>#NAME?</v>
      </c>
      <c r="N2165" s="28" t="e">
        <f ca="1">[1]!BexGetData("DP_1","003N8EMH8GTFRIVOG7KG9IX8U","GSON1112151491")</f>
        <v>#NAME?</v>
      </c>
      <c r="O2165" s="28" t="e">
        <f ca="1">[1]!BexGetData("DP_1","003N8EMH8GTFRIVOG7KG9J3KE","GSON1112151491")</f>
        <v>#NAME?</v>
      </c>
      <c r="P2165" s="28" t="e">
        <f ca="1">[1]!BexGetData("DP_1","003N8EMH8GTFRIVOG7KG9J9VY","GSON1112151491")</f>
        <v>#NAME?</v>
      </c>
      <c r="Q2165" s="24" t="e">
        <f ca="1">[1]!BexGetData("DP_1","00O2TNJGODT0G5Z4TTKYMM5MT","GSON1112151491")</f>
        <v>#NAME?</v>
      </c>
      <c r="R2165" s="24" t="e">
        <f ca="1">[1]!BexGetData("DP_1","00O2TNJGODT0G5Z4TTKYMMBYD","GSON1112151491")</f>
        <v>#NAME?</v>
      </c>
      <c r="S2165" s="24" t="e">
        <f ca="1">[1]!BexGetData("DP_1","00O2TNJGODT0G5Z4TTKYMMI9X","GSON1112151491")</f>
        <v>#NAME?</v>
      </c>
      <c r="T2165" s="24" t="e">
        <f ca="1">[1]!BexGetData("DP_1","00O2TNJGODT0G5Z4TTKYMMOLH","GSON1112151491")</f>
        <v>#NAME?</v>
      </c>
      <c r="U2165" s="24" t="e">
        <f ca="1">[1]!BexGetData("DP_1","00O2TNJGODT0G5Z4TTKYMMUX1","GSON1112151491")</f>
        <v>#NAME?</v>
      </c>
      <c r="V2165" s="24" t="e">
        <f ca="1">[1]!BexGetData("DP_1","00O2TNJGODT0G5Z4TTKYMN18L","GSON1112151491")</f>
        <v>#NAME?</v>
      </c>
      <c r="W2165" s="24" t="e">
        <f ca="1">[1]!BexGetData("DP_1","00O2TNJGODT0G5Z4TTKYMN7K5","GSON1112151491")</f>
        <v>#NAME?</v>
      </c>
    </row>
    <row r="2166" spans="1:23" x14ac:dyDescent="0.2">
      <c r="A2166" s="36" t="s">
        <v>5301</v>
      </c>
      <c r="B2166" s="27" t="s">
        <v>5302</v>
      </c>
      <c r="C2166" s="23" t="e">
        <f ca="1">[1]!BexGetData("DP_1","003N8EMH8GTFRCSWKMPXRR8GU","GSON1112151493")</f>
        <v>#NAME?</v>
      </c>
      <c r="D2166" s="23" t="e">
        <f ca="1">[1]!BexGetData("DP_1","003N8EMH8GTFRCSWKMPXRRESE","GSON1112151493")</f>
        <v>#NAME?</v>
      </c>
      <c r="E2166" s="28" t="e">
        <f ca="1">[1]!BexGetData("DP_1","003N8EMH8GTFRCSWKMPXRRL3Y","GSON1112151493")</f>
        <v>#NAME?</v>
      </c>
      <c r="F2166" s="24" t="e">
        <f ca="1">[1]!BexGetData("DP_1","003N8EMH8GTFRCSWKMPXRRRFI","GSON1112151493")</f>
        <v>#NAME?</v>
      </c>
      <c r="G2166" s="24" t="e">
        <f ca="1">[1]!BexGetData("DP_1","003N8EMH8GTFRCSWKMPXRRXR2","GSON1112151493")</f>
        <v>#NAME?</v>
      </c>
      <c r="H2166" s="24" t="e">
        <f ca="1">[1]!BexGetData("DP_1","003N8EMH8GTFRCSWKMPXRS42M","GSON1112151493")</f>
        <v>#NAME?</v>
      </c>
      <c r="I2166" s="24" t="e">
        <f ca="1">[1]!BexGetData("DP_1","003N8EMH8GTFRCSWKMPXRSAE6","GSON1112151493")</f>
        <v>#NAME?</v>
      </c>
      <c r="J2166" s="24" t="e">
        <f ca="1">[1]!BexGetData("DP_1","003N8EMH8GTFRCSWKMPXRSGPQ","GSON1112151493")</f>
        <v>#NAME?</v>
      </c>
      <c r="K2166" s="28" t="e">
        <f ca="1">[1]!BexGetData("DP_1","003N8EMH8GTFRIVNUPY288VJH","GSON1112151493")</f>
        <v>#NAME?</v>
      </c>
      <c r="L2166" s="28" t="e">
        <f ca="1">[1]!BexGetData("DP_1","003N8EMH8GTFRIVNUPY2891V1","GSON1112151493")</f>
        <v>#NAME?</v>
      </c>
      <c r="M2166" s="28" t="e">
        <f ca="1">[1]!BexGetData("DP_1","003N8EMH8GTFRIVOG7KG9IQXA","GSON1112151493")</f>
        <v>#NAME?</v>
      </c>
      <c r="N2166" s="28" t="e">
        <f ca="1">[1]!BexGetData("DP_1","003N8EMH8GTFRIVOG7KG9IX8U","GSON1112151493")</f>
        <v>#NAME?</v>
      </c>
      <c r="O2166" s="28" t="e">
        <f ca="1">[1]!BexGetData("DP_1","003N8EMH8GTFRIVOG7KG9J3KE","GSON1112151493")</f>
        <v>#NAME?</v>
      </c>
      <c r="P2166" s="28" t="e">
        <f ca="1">[1]!BexGetData("DP_1","003N8EMH8GTFRIVOG7KG9J9VY","GSON1112151493")</f>
        <v>#NAME?</v>
      </c>
      <c r="Q2166" s="24" t="e">
        <f ca="1">[1]!BexGetData("DP_1","00O2TNJGODT0G5Z4TTKYMM5MT","GSON1112151493")</f>
        <v>#NAME?</v>
      </c>
      <c r="R2166" s="24" t="e">
        <f ca="1">[1]!BexGetData("DP_1","00O2TNJGODT0G5Z4TTKYMMBYD","GSON1112151493")</f>
        <v>#NAME?</v>
      </c>
      <c r="S2166" s="24" t="e">
        <f ca="1">[1]!BexGetData("DP_1","00O2TNJGODT0G5Z4TTKYMMI9X","GSON1112151493")</f>
        <v>#NAME?</v>
      </c>
      <c r="T2166" s="24" t="e">
        <f ca="1">[1]!BexGetData("DP_1","00O2TNJGODT0G5Z4TTKYMMOLH","GSON1112151493")</f>
        <v>#NAME?</v>
      </c>
      <c r="U2166" s="24" t="e">
        <f ca="1">[1]!BexGetData("DP_1","00O2TNJGODT0G5Z4TTKYMMUX1","GSON1112151493")</f>
        <v>#NAME?</v>
      </c>
      <c r="V2166" s="24" t="e">
        <f ca="1">[1]!BexGetData("DP_1","00O2TNJGODT0G5Z4TTKYMN18L","GSON1112151493")</f>
        <v>#NAME?</v>
      </c>
      <c r="W2166" s="24" t="e">
        <f ca="1">[1]!BexGetData("DP_1","00O2TNJGODT0G5Z4TTKYMN7K5","GSON1112151493")</f>
        <v>#NAME?</v>
      </c>
    </row>
    <row r="2167" spans="1:23" x14ac:dyDescent="0.2">
      <c r="A2167" s="36" t="s">
        <v>5303</v>
      </c>
      <c r="B2167" s="27" t="s">
        <v>5304</v>
      </c>
      <c r="C2167" s="23" t="e">
        <f ca="1">[1]!BexGetData("DP_1","003N8EMH8GTFRCSWKMPXRR8GU","GSON1112151494")</f>
        <v>#NAME?</v>
      </c>
      <c r="D2167" s="23" t="e">
        <f ca="1">[1]!BexGetData("DP_1","003N8EMH8GTFRCSWKMPXRRESE","GSON1112151494")</f>
        <v>#NAME?</v>
      </c>
      <c r="E2167" s="28" t="e">
        <f ca="1">[1]!BexGetData("DP_1","003N8EMH8GTFRCSWKMPXRRL3Y","GSON1112151494")</f>
        <v>#NAME?</v>
      </c>
      <c r="F2167" s="24" t="e">
        <f ca="1">[1]!BexGetData("DP_1","003N8EMH8GTFRCSWKMPXRRRFI","GSON1112151494")</f>
        <v>#NAME?</v>
      </c>
      <c r="G2167" s="24" t="e">
        <f ca="1">[1]!BexGetData("DP_1","003N8EMH8GTFRCSWKMPXRRXR2","GSON1112151494")</f>
        <v>#NAME?</v>
      </c>
      <c r="H2167" s="24" t="e">
        <f ca="1">[1]!BexGetData("DP_1","003N8EMH8GTFRCSWKMPXRS42M","GSON1112151494")</f>
        <v>#NAME?</v>
      </c>
      <c r="I2167" s="24" t="e">
        <f ca="1">[1]!BexGetData("DP_1","003N8EMH8GTFRCSWKMPXRSAE6","GSON1112151494")</f>
        <v>#NAME?</v>
      </c>
      <c r="J2167" s="24" t="e">
        <f ca="1">[1]!BexGetData("DP_1","003N8EMH8GTFRCSWKMPXRSGPQ","GSON1112151494")</f>
        <v>#NAME?</v>
      </c>
      <c r="K2167" s="28" t="e">
        <f ca="1">[1]!BexGetData("DP_1","003N8EMH8GTFRIVNUPY288VJH","GSON1112151494")</f>
        <v>#NAME?</v>
      </c>
      <c r="L2167" s="28" t="e">
        <f ca="1">[1]!BexGetData("DP_1","003N8EMH8GTFRIVNUPY2891V1","GSON1112151494")</f>
        <v>#NAME?</v>
      </c>
      <c r="M2167" s="28" t="e">
        <f ca="1">[1]!BexGetData("DP_1","003N8EMH8GTFRIVOG7KG9IQXA","GSON1112151494")</f>
        <v>#NAME?</v>
      </c>
      <c r="N2167" s="28" t="e">
        <f ca="1">[1]!BexGetData("DP_1","003N8EMH8GTFRIVOG7KG9IX8U","GSON1112151494")</f>
        <v>#NAME?</v>
      </c>
      <c r="O2167" s="28" t="e">
        <f ca="1">[1]!BexGetData("DP_1","003N8EMH8GTFRIVOG7KG9J3KE","GSON1112151494")</f>
        <v>#NAME?</v>
      </c>
      <c r="P2167" s="28" t="e">
        <f ca="1">[1]!BexGetData("DP_1","003N8EMH8GTFRIVOG7KG9J9VY","GSON1112151494")</f>
        <v>#NAME?</v>
      </c>
      <c r="Q2167" s="24" t="e">
        <f ca="1">[1]!BexGetData("DP_1","00O2TNJGODT0G5Z4TTKYMM5MT","GSON1112151494")</f>
        <v>#NAME?</v>
      </c>
      <c r="R2167" s="24" t="e">
        <f ca="1">[1]!BexGetData("DP_1","00O2TNJGODT0G5Z4TTKYMMBYD","GSON1112151494")</f>
        <v>#NAME?</v>
      </c>
      <c r="S2167" s="24" t="e">
        <f ca="1">[1]!BexGetData("DP_1","00O2TNJGODT0G5Z4TTKYMMI9X","GSON1112151494")</f>
        <v>#NAME?</v>
      </c>
      <c r="T2167" s="24" t="e">
        <f ca="1">[1]!BexGetData("DP_1","00O2TNJGODT0G5Z4TTKYMMOLH","GSON1112151494")</f>
        <v>#NAME?</v>
      </c>
      <c r="U2167" s="24" t="e">
        <f ca="1">[1]!BexGetData("DP_1","00O2TNJGODT0G5Z4TTKYMMUX1","GSON1112151494")</f>
        <v>#NAME?</v>
      </c>
      <c r="V2167" s="24" t="e">
        <f ca="1">[1]!BexGetData("DP_1","00O2TNJGODT0G5Z4TTKYMN18L","GSON1112151494")</f>
        <v>#NAME?</v>
      </c>
      <c r="W2167" s="24" t="e">
        <f ca="1">[1]!BexGetData("DP_1","00O2TNJGODT0G5Z4TTKYMN7K5","GSON1112151494")</f>
        <v>#NAME?</v>
      </c>
    </row>
    <row r="2168" spans="1:23" x14ac:dyDescent="0.2">
      <c r="A2168" s="36" t="s">
        <v>5305</v>
      </c>
      <c r="B2168" s="27" t="s">
        <v>5306</v>
      </c>
      <c r="C2168" s="23" t="e">
        <f ca="1">[1]!BexGetData("DP_1","003N8EMH8GTFRCSWKMPXRR8GU","GSON1112151495")</f>
        <v>#NAME?</v>
      </c>
      <c r="D2168" s="23" t="e">
        <f ca="1">[1]!BexGetData("DP_1","003N8EMH8GTFRCSWKMPXRRESE","GSON1112151495")</f>
        <v>#NAME?</v>
      </c>
      <c r="E2168" s="28" t="e">
        <f ca="1">[1]!BexGetData("DP_1","003N8EMH8GTFRCSWKMPXRRL3Y","GSON1112151495")</f>
        <v>#NAME?</v>
      </c>
      <c r="F2168" s="24" t="e">
        <f ca="1">[1]!BexGetData("DP_1","003N8EMH8GTFRCSWKMPXRRRFI","GSON1112151495")</f>
        <v>#NAME?</v>
      </c>
      <c r="G2168" s="24" t="e">
        <f ca="1">[1]!BexGetData("DP_1","003N8EMH8GTFRCSWKMPXRRXR2","GSON1112151495")</f>
        <v>#NAME?</v>
      </c>
      <c r="H2168" s="24" t="e">
        <f ca="1">[1]!BexGetData("DP_1","003N8EMH8GTFRCSWKMPXRS42M","GSON1112151495")</f>
        <v>#NAME?</v>
      </c>
      <c r="I2168" s="24" t="e">
        <f ca="1">[1]!BexGetData("DP_1","003N8EMH8GTFRCSWKMPXRSAE6","GSON1112151495")</f>
        <v>#NAME?</v>
      </c>
      <c r="J2168" s="24" t="e">
        <f ca="1">[1]!BexGetData("DP_1","003N8EMH8GTFRCSWKMPXRSGPQ","GSON1112151495")</f>
        <v>#NAME?</v>
      </c>
      <c r="K2168" s="28" t="e">
        <f ca="1">[1]!BexGetData("DP_1","003N8EMH8GTFRIVNUPY288VJH","GSON1112151495")</f>
        <v>#NAME?</v>
      </c>
      <c r="L2168" s="28" t="e">
        <f ca="1">[1]!BexGetData("DP_1","003N8EMH8GTFRIVNUPY2891V1","GSON1112151495")</f>
        <v>#NAME?</v>
      </c>
      <c r="M2168" s="28" t="e">
        <f ca="1">[1]!BexGetData("DP_1","003N8EMH8GTFRIVOG7KG9IQXA","GSON1112151495")</f>
        <v>#NAME?</v>
      </c>
      <c r="N2168" s="28" t="e">
        <f ca="1">[1]!BexGetData("DP_1","003N8EMH8GTFRIVOG7KG9IX8U","GSON1112151495")</f>
        <v>#NAME?</v>
      </c>
      <c r="O2168" s="28" t="e">
        <f ca="1">[1]!BexGetData("DP_1","003N8EMH8GTFRIVOG7KG9J3KE","GSON1112151495")</f>
        <v>#NAME?</v>
      </c>
      <c r="P2168" s="28" t="e">
        <f ca="1">[1]!BexGetData("DP_1","003N8EMH8GTFRIVOG7KG9J9VY","GSON1112151495")</f>
        <v>#NAME?</v>
      </c>
      <c r="Q2168" s="24" t="e">
        <f ca="1">[1]!BexGetData("DP_1","00O2TNJGODT0G5Z4TTKYMM5MT","GSON1112151495")</f>
        <v>#NAME?</v>
      </c>
      <c r="R2168" s="24" t="e">
        <f ca="1">[1]!BexGetData("DP_1","00O2TNJGODT0G5Z4TTKYMMBYD","GSON1112151495")</f>
        <v>#NAME?</v>
      </c>
      <c r="S2168" s="24" t="e">
        <f ca="1">[1]!BexGetData("DP_1","00O2TNJGODT0G5Z4TTKYMMI9X","GSON1112151495")</f>
        <v>#NAME?</v>
      </c>
      <c r="T2168" s="24" t="e">
        <f ca="1">[1]!BexGetData("DP_1","00O2TNJGODT0G5Z4TTKYMMOLH","GSON1112151495")</f>
        <v>#NAME?</v>
      </c>
      <c r="U2168" s="24" t="e">
        <f ca="1">[1]!BexGetData("DP_1","00O2TNJGODT0G5Z4TTKYMMUX1","GSON1112151495")</f>
        <v>#NAME?</v>
      </c>
      <c r="V2168" s="24" t="e">
        <f ca="1">[1]!BexGetData("DP_1","00O2TNJGODT0G5Z4TTKYMN18L","GSON1112151495")</f>
        <v>#NAME?</v>
      </c>
      <c r="W2168" s="24" t="e">
        <f ca="1">[1]!BexGetData("DP_1","00O2TNJGODT0G5Z4TTKYMN7K5","GSON1112151495")</f>
        <v>#NAME?</v>
      </c>
    </row>
    <row r="2169" spans="1:23" x14ac:dyDescent="0.2">
      <c r="A2169" s="36" t="s">
        <v>5307</v>
      </c>
      <c r="B2169" s="27" t="s">
        <v>5308</v>
      </c>
      <c r="C2169" s="23" t="e">
        <f ca="1">[1]!BexGetData("DP_1","003N8EMH8GTFRCSWKMPXRR8GU","GSON1112151500")</f>
        <v>#NAME?</v>
      </c>
      <c r="D2169" s="23" t="e">
        <f ca="1">[1]!BexGetData("DP_1","003N8EMH8GTFRCSWKMPXRRESE","GSON1112151500")</f>
        <v>#NAME?</v>
      </c>
      <c r="E2169" s="23" t="e">
        <f ca="1">[1]!BexGetData("DP_1","003N8EMH8GTFRCSWKMPXRRL3Y","GSON1112151500")</f>
        <v>#NAME?</v>
      </c>
      <c r="F2169" s="24" t="e">
        <f ca="1">[1]!BexGetData("DP_1","003N8EMH8GTFRCSWKMPXRRRFI","GSON1112151500")</f>
        <v>#NAME?</v>
      </c>
      <c r="G2169" s="24" t="e">
        <f ca="1">[1]!BexGetData("DP_1","003N8EMH8GTFRCSWKMPXRRXR2","GSON1112151500")</f>
        <v>#NAME?</v>
      </c>
      <c r="H2169" s="24" t="e">
        <f ca="1">[1]!BexGetData("DP_1","003N8EMH8GTFRCSWKMPXRS42M","GSON1112151500")</f>
        <v>#NAME?</v>
      </c>
      <c r="I2169" s="24" t="e">
        <f ca="1">[1]!BexGetData("DP_1","003N8EMH8GTFRCSWKMPXRSAE6","GSON1112151500")</f>
        <v>#NAME?</v>
      </c>
      <c r="J2169" s="24" t="e">
        <f ca="1">[1]!BexGetData("DP_1","003N8EMH8GTFRCSWKMPXRSGPQ","GSON1112151500")</f>
        <v>#NAME?</v>
      </c>
      <c r="K2169" s="23" t="e">
        <f ca="1">[1]!BexGetData("DP_1","003N8EMH8GTFRIVNUPY288VJH","GSON1112151500")</f>
        <v>#NAME?</v>
      </c>
      <c r="L2169" s="23" t="e">
        <f ca="1">[1]!BexGetData("DP_1","003N8EMH8GTFRIVNUPY2891V1","GSON1112151500")</f>
        <v>#NAME?</v>
      </c>
      <c r="M2169" s="28" t="e">
        <f ca="1">[1]!BexGetData("DP_1","003N8EMH8GTFRIVOG7KG9IQXA","GSON1112151500")</f>
        <v>#NAME?</v>
      </c>
      <c r="N2169" s="23" t="e">
        <f ca="1">[1]!BexGetData("DP_1","003N8EMH8GTFRIVOG7KG9IX8U","GSON1112151500")</f>
        <v>#NAME?</v>
      </c>
      <c r="O2169" s="28" t="e">
        <f ca="1">[1]!BexGetData("DP_1","003N8EMH8GTFRIVOG7KG9J3KE","GSON1112151500")</f>
        <v>#NAME?</v>
      </c>
      <c r="P2169" s="23" t="e">
        <f ca="1">[1]!BexGetData("DP_1","003N8EMH8GTFRIVOG7KG9J9VY","GSON1112151500")</f>
        <v>#NAME?</v>
      </c>
      <c r="Q2169" s="24" t="e">
        <f ca="1">[1]!BexGetData("DP_1","00O2TNJGODT0G5Z4TTKYMM5MT","GSON1112151500")</f>
        <v>#NAME?</v>
      </c>
      <c r="R2169" s="24" t="e">
        <f ca="1">[1]!BexGetData("DP_1","00O2TNJGODT0G5Z4TTKYMMBYD","GSON1112151500")</f>
        <v>#NAME?</v>
      </c>
      <c r="S2169" s="24" t="e">
        <f ca="1">[1]!BexGetData("DP_1","00O2TNJGODT0G5Z4TTKYMMI9X","GSON1112151500")</f>
        <v>#NAME?</v>
      </c>
      <c r="T2169" s="24" t="e">
        <f ca="1">[1]!BexGetData("DP_1","00O2TNJGODT0G5Z4TTKYMMOLH","GSON1112151500")</f>
        <v>#NAME?</v>
      </c>
      <c r="U2169" s="24" t="e">
        <f ca="1">[1]!BexGetData("DP_1","00O2TNJGODT0G5Z4TTKYMMUX1","GSON1112151500")</f>
        <v>#NAME?</v>
      </c>
      <c r="V2169" s="24" t="e">
        <f ca="1">[1]!BexGetData("DP_1","00O2TNJGODT0G5Z4TTKYMN18L","GSON1112151500")</f>
        <v>#NAME?</v>
      </c>
      <c r="W2169" s="24" t="e">
        <f ca="1">[1]!BexGetData("DP_1","00O2TNJGODT0G5Z4TTKYMN7K5","GSON1112151500")</f>
        <v>#NAME?</v>
      </c>
    </row>
    <row r="2170" spans="1:23" x14ac:dyDescent="0.2">
      <c r="A2170" s="36" t="s">
        <v>5309</v>
      </c>
      <c r="B2170" s="27" t="s">
        <v>5310</v>
      </c>
      <c r="C2170" s="23" t="e">
        <f ca="1">[1]!BexGetData("DP_1","003N8EMH8GTFRCSWKMPXRR8GU","GSON1112151501")</f>
        <v>#NAME?</v>
      </c>
      <c r="D2170" s="23" t="e">
        <f ca="1">[1]!BexGetData("DP_1","003N8EMH8GTFRCSWKMPXRRESE","GSON1112151501")</f>
        <v>#NAME?</v>
      </c>
      <c r="E2170" s="28" t="e">
        <f ca="1">[1]!BexGetData("DP_1","003N8EMH8GTFRCSWKMPXRRL3Y","GSON1112151501")</f>
        <v>#NAME?</v>
      </c>
      <c r="F2170" s="24" t="e">
        <f ca="1">[1]!BexGetData("DP_1","003N8EMH8GTFRCSWKMPXRRRFI","GSON1112151501")</f>
        <v>#NAME?</v>
      </c>
      <c r="G2170" s="24" t="e">
        <f ca="1">[1]!BexGetData("DP_1","003N8EMH8GTFRCSWKMPXRRXR2","GSON1112151501")</f>
        <v>#NAME?</v>
      </c>
      <c r="H2170" s="24" t="e">
        <f ca="1">[1]!BexGetData("DP_1","003N8EMH8GTFRCSWKMPXRS42M","GSON1112151501")</f>
        <v>#NAME?</v>
      </c>
      <c r="I2170" s="24" t="e">
        <f ca="1">[1]!BexGetData("DP_1","003N8EMH8GTFRCSWKMPXRSAE6","GSON1112151501")</f>
        <v>#NAME?</v>
      </c>
      <c r="J2170" s="24" t="e">
        <f ca="1">[1]!BexGetData("DP_1","003N8EMH8GTFRCSWKMPXRSGPQ","GSON1112151501")</f>
        <v>#NAME?</v>
      </c>
      <c r="K2170" s="28" t="e">
        <f ca="1">[1]!BexGetData("DP_1","003N8EMH8GTFRIVNUPY288VJH","GSON1112151501")</f>
        <v>#NAME?</v>
      </c>
      <c r="L2170" s="28" t="e">
        <f ca="1">[1]!BexGetData("DP_1","003N8EMH8GTFRIVNUPY2891V1","GSON1112151501")</f>
        <v>#NAME?</v>
      </c>
      <c r="M2170" s="28" t="e">
        <f ca="1">[1]!BexGetData("DP_1","003N8EMH8GTFRIVOG7KG9IQXA","GSON1112151501")</f>
        <v>#NAME?</v>
      </c>
      <c r="N2170" s="28" t="e">
        <f ca="1">[1]!BexGetData("DP_1","003N8EMH8GTFRIVOG7KG9IX8U","GSON1112151501")</f>
        <v>#NAME?</v>
      </c>
      <c r="O2170" s="28" t="e">
        <f ca="1">[1]!BexGetData("DP_1","003N8EMH8GTFRIVOG7KG9J3KE","GSON1112151501")</f>
        <v>#NAME?</v>
      </c>
      <c r="P2170" s="28" t="e">
        <f ca="1">[1]!BexGetData("DP_1","003N8EMH8GTFRIVOG7KG9J9VY","GSON1112151501")</f>
        <v>#NAME?</v>
      </c>
      <c r="Q2170" s="24" t="e">
        <f ca="1">[1]!BexGetData("DP_1","00O2TNJGODT0G5Z4TTKYMM5MT","GSON1112151501")</f>
        <v>#NAME?</v>
      </c>
      <c r="R2170" s="24" t="e">
        <f ca="1">[1]!BexGetData("DP_1","00O2TNJGODT0G5Z4TTKYMMBYD","GSON1112151501")</f>
        <v>#NAME?</v>
      </c>
      <c r="S2170" s="24" t="e">
        <f ca="1">[1]!BexGetData("DP_1","00O2TNJGODT0G5Z4TTKYMMI9X","GSON1112151501")</f>
        <v>#NAME?</v>
      </c>
      <c r="T2170" s="24" t="e">
        <f ca="1">[1]!BexGetData("DP_1","00O2TNJGODT0G5Z4TTKYMMOLH","GSON1112151501")</f>
        <v>#NAME?</v>
      </c>
      <c r="U2170" s="24" t="e">
        <f ca="1">[1]!BexGetData("DP_1","00O2TNJGODT0G5Z4TTKYMMUX1","GSON1112151501")</f>
        <v>#NAME?</v>
      </c>
      <c r="V2170" s="24" t="e">
        <f ca="1">[1]!BexGetData("DP_1","00O2TNJGODT0G5Z4TTKYMN18L","GSON1112151501")</f>
        <v>#NAME?</v>
      </c>
      <c r="W2170" s="24" t="e">
        <f ca="1">[1]!BexGetData("DP_1","00O2TNJGODT0G5Z4TTKYMN7K5","GSON1112151501")</f>
        <v>#NAME?</v>
      </c>
    </row>
    <row r="2171" spans="1:23" x14ac:dyDescent="0.2">
      <c r="A2171" s="36" t="s">
        <v>5311</v>
      </c>
      <c r="B2171" s="27" t="s">
        <v>5312</v>
      </c>
      <c r="C2171" s="23" t="e">
        <f ca="1">[1]!BexGetData("DP_1","003N8EMH8GTFRCSWKMPXRR8GU","GSON1112151503")</f>
        <v>#NAME?</v>
      </c>
      <c r="D2171" s="23" t="e">
        <f ca="1">[1]!BexGetData("DP_1","003N8EMH8GTFRCSWKMPXRRESE","GSON1112151503")</f>
        <v>#NAME?</v>
      </c>
      <c r="E2171" s="28" t="e">
        <f ca="1">[1]!BexGetData("DP_1","003N8EMH8GTFRCSWKMPXRRL3Y","GSON1112151503")</f>
        <v>#NAME?</v>
      </c>
      <c r="F2171" s="24" t="e">
        <f ca="1">[1]!BexGetData("DP_1","003N8EMH8GTFRCSWKMPXRRRFI","GSON1112151503")</f>
        <v>#NAME?</v>
      </c>
      <c r="G2171" s="24" t="e">
        <f ca="1">[1]!BexGetData("DP_1","003N8EMH8GTFRCSWKMPXRRXR2","GSON1112151503")</f>
        <v>#NAME?</v>
      </c>
      <c r="H2171" s="24" t="e">
        <f ca="1">[1]!BexGetData("DP_1","003N8EMH8GTFRCSWKMPXRS42M","GSON1112151503")</f>
        <v>#NAME?</v>
      </c>
      <c r="I2171" s="24" t="e">
        <f ca="1">[1]!BexGetData("DP_1","003N8EMH8GTFRCSWKMPXRSAE6","GSON1112151503")</f>
        <v>#NAME?</v>
      </c>
      <c r="J2171" s="24" t="e">
        <f ca="1">[1]!BexGetData("DP_1","003N8EMH8GTFRCSWKMPXRSGPQ","GSON1112151503")</f>
        <v>#NAME?</v>
      </c>
      <c r="K2171" s="28" t="e">
        <f ca="1">[1]!BexGetData("DP_1","003N8EMH8GTFRIVNUPY288VJH","GSON1112151503")</f>
        <v>#NAME?</v>
      </c>
      <c r="L2171" s="28" t="e">
        <f ca="1">[1]!BexGetData("DP_1","003N8EMH8GTFRIVNUPY2891V1","GSON1112151503")</f>
        <v>#NAME?</v>
      </c>
      <c r="M2171" s="28" t="e">
        <f ca="1">[1]!BexGetData("DP_1","003N8EMH8GTFRIVOG7KG9IQXA","GSON1112151503")</f>
        <v>#NAME?</v>
      </c>
      <c r="N2171" s="28" t="e">
        <f ca="1">[1]!BexGetData("DP_1","003N8EMH8GTFRIVOG7KG9IX8U","GSON1112151503")</f>
        <v>#NAME?</v>
      </c>
      <c r="O2171" s="28" t="e">
        <f ca="1">[1]!BexGetData("DP_1","003N8EMH8GTFRIVOG7KG9J3KE","GSON1112151503")</f>
        <v>#NAME?</v>
      </c>
      <c r="P2171" s="28" t="e">
        <f ca="1">[1]!BexGetData("DP_1","003N8EMH8GTFRIVOG7KG9J9VY","GSON1112151503")</f>
        <v>#NAME?</v>
      </c>
      <c r="Q2171" s="24" t="e">
        <f ca="1">[1]!BexGetData("DP_1","00O2TNJGODT0G5Z4TTKYMM5MT","GSON1112151503")</f>
        <v>#NAME?</v>
      </c>
      <c r="R2171" s="24" t="e">
        <f ca="1">[1]!BexGetData("DP_1","00O2TNJGODT0G5Z4TTKYMMBYD","GSON1112151503")</f>
        <v>#NAME?</v>
      </c>
      <c r="S2171" s="24" t="e">
        <f ca="1">[1]!BexGetData("DP_1","00O2TNJGODT0G5Z4TTKYMMI9X","GSON1112151503")</f>
        <v>#NAME?</v>
      </c>
      <c r="T2171" s="24" t="e">
        <f ca="1">[1]!BexGetData("DP_1","00O2TNJGODT0G5Z4TTKYMMOLH","GSON1112151503")</f>
        <v>#NAME?</v>
      </c>
      <c r="U2171" s="24" t="e">
        <f ca="1">[1]!BexGetData("DP_1","00O2TNJGODT0G5Z4TTKYMMUX1","GSON1112151503")</f>
        <v>#NAME?</v>
      </c>
      <c r="V2171" s="24" t="e">
        <f ca="1">[1]!BexGetData("DP_1","00O2TNJGODT0G5Z4TTKYMN18L","GSON1112151503")</f>
        <v>#NAME?</v>
      </c>
      <c r="W2171" s="24" t="e">
        <f ca="1">[1]!BexGetData("DP_1","00O2TNJGODT0G5Z4TTKYMN7K5","GSON1112151503")</f>
        <v>#NAME?</v>
      </c>
    </row>
    <row r="2172" spans="1:23" x14ac:dyDescent="0.2">
      <c r="A2172" s="36" t="s">
        <v>5313</v>
      </c>
      <c r="B2172" s="27" t="s">
        <v>5314</v>
      </c>
      <c r="C2172" s="23" t="e">
        <f ca="1">[1]!BexGetData("DP_1","003N8EMH8GTFRCSWKMPXRR8GU","GSON1112151504")</f>
        <v>#NAME?</v>
      </c>
      <c r="D2172" s="23" t="e">
        <f ca="1">[1]!BexGetData("DP_1","003N8EMH8GTFRCSWKMPXRRESE","GSON1112151504")</f>
        <v>#NAME?</v>
      </c>
      <c r="E2172" s="28" t="e">
        <f ca="1">[1]!BexGetData("DP_1","003N8EMH8GTFRCSWKMPXRRL3Y","GSON1112151504")</f>
        <v>#NAME?</v>
      </c>
      <c r="F2172" s="24" t="e">
        <f ca="1">[1]!BexGetData("DP_1","003N8EMH8GTFRCSWKMPXRRRFI","GSON1112151504")</f>
        <v>#NAME?</v>
      </c>
      <c r="G2172" s="24" t="e">
        <f ca="1">[1]!BexGetData("DP_1","003N8EMH8GTFRCSWKMPXRRXR2","GSON1112151504")</f>
        <v>#NAME?</v>
      </c>
      <c r="H2172" s="24" t="e">
        <f ca="1">[1]!BexGetData("DP_1","003N8EMH8GTFRCSWKMPXRS42M","GSON1112151504")</f>
        <v>#NAME?</v>
      </c>
      <c r="I2172" s="24" t="e">
        <f ca="1">[1]!BexGetData("DP_1","003N8EMH8GTFRCSWKMPXRSAE6","GSON1112151504")</f>
        <v>#NAME?</v>
      </c>
      <c r="J2172" s="24" t="e">
        <f ca="1">[1]!BexGetData("DP_1","003N8EMH8GTFRCSWKMPXRSGPQ","GSON1112151504")</f>
        <v>#NAME?</v>
      </c>
      <c r="K2172" s="28" t="e">
        <f ca="1">[1]!BexGetData("DP_1","003N8EMH8GTFRIVNUPY288VJH","GSON1112151504")</f>
        <v>#NAME?</v>
      </c>
      <c r="L2172" s="28" t="e">
        <f ca="1">[1]!BexGetData("DP_1","003N8EMH8GTFRIVNUPY2891V1","GSON1112151504")</f>
        <v>#NAME?</v>
      </c>
      <c r="M2172" s="28" t="e">
        <f ca="1">[1]!BexGetData("DP_1","003N8EMH8GTFRIVOG7KG9IQXA","GSON1112151504")</f>
        <v>#NAME?</v>
      </c>
      <c r="N2172" s="28" t="e">
        <f ca="1">[1]!BexGetData("DP_1","003N8EMH8GTFRIVOG7KG9IX8U","GSON1112151504")</f>
        <v>#NAME?</v>
      </c>
      <c r="O2172" s="28" t="e">
        <f ca="1">[1]!BexGetData("DP_1","003N8EMH8GTFRIVOG7KG9J3KE","GSON1112151504")</f>
        <v>#NAME?</v>
      </c>
      <c r="P2172" s="28" t="e">
        <f ca="1">[1]!BexGetData("DP_1","003N8EMH8GTFRIVOG7KG9J9VY","GSON1112151504")</f>
        <v>#NAME?</v>
      </c>
      <c r="Q2172" s="24" t="e">
        <f ca="1">[1]!BexGetData("DP_1","00O2TNJGODT0G5Z4TTKYMM5MT","GSON1112151504")</f>
        <v>#NAME?</v>
      </c>
      <c r="R2172" s="24" t="e">
        <f ca="1">[1]!BexGetData("DP_1","00O2TNJGODT0G5Z4TTKYMMBYD","GSON1112151504")</f>
        <v>#NAME?</v>
      </c>
      <c r="S2172" s="24" t="e">
        <f ca="1">[1]!BexGetData("DP_1","00O2TNJGODT0G5Z4TTKYMMI9X","GSON1112151504")</f>
        <v>#NAME?</v>
      </c>
      <c r="T2172" s="24" t="e">
        <f ca="1">[1]!BexGetData("DP_1","00O2TNJGODT0G5Z4TTKYMMOLH","GSON1112151504")</f>
        <v>#NAME?</v>
      </c>
      <c r="U2172" s="24" t="e">
        <f ca="1">[1]!BexGetData("DP_1","00O2TNJGODT0G5Z4TTKYMMUX1","GSON1112151504")</f>
        <v>#NAME?</v>
      </c>
      <c r="V2172" s="24" t="e">
        <f ca="1">[1]!BexGetData("DP_1","00O2TNJGODT0G5Z4TTKYMN18L","GSON1112151504")</f>
        <v>#NAME?</v>
      </c>
      <c r="W2172" s="24" t="e">
        <f ca="1">[1]!BexGetData("DP_1","00O2TNJGODT0G5Z4TTKYMN7K5","GSON1112151504")</f>
        <v>#NAME?</v>
      </c>
    </row>
    <row r="2173" spans="1:23" x14ac:dyDescent="0.2">
      <c r="A2173" s="36" t="s">
        <v>5315</v>
      </c>
      <c r="B2173" s="27" t="s">
        <v>5316</v>
      </c>
      <c r="C2173" s="23" t="e">
        <f ca="1">[1]!BexGetData("DP_1","003N8EMH8GTFRCSWKMPXRR8GU","GSON1112151505")</f>
        <v>#NAME?</v>
      </c>
      <c r="D2173" s="23" t="e">
        <f ca="1">[1]!BexGetData("DP_1","003N8EMH8GTFRCSWKMPXRRESE","GSON1112151505")</f>
        <v>#NAME?</v>
      </c>
      <c r="E2173" s="28" t="e">
        <f ca="1">[1]!BexGetData("DP_1","003N8EMH8GTFRCSWKMPXRRL3Y","GSON1112151505")</f>
        <v>#NAME?</v>
      </c>
      <c r="F2173" s="24" t="e">
        <f ca="1">[1]!BexGetData("DP_1","003N8EMH8GTFRCSWKMPXRRRFI","GSON1112151505")</f>
        <v>#NAME?</v>
      </c>
      <c r="G2173" s="24" t="e">
        <f ca="1">[1]!BexGetData("DP_1","003N8EMH8GTFRCSWKMPXRRXR2","GSON1112151505")</f>
        <v>#NAME?</v>
      </c>
      <c r="H2173" s="24" t="e">
        <f ca="1">[1]!BexGetData("DP_1","003N8EMH8GTFRCSWKMPXRS42M","GSON1112151505")</f>
        <v>#NAME?</v>
      </c>
      <c r="I2173" s="24" t="e">
        <f ca="1">[1]!BexGetData("DP_1","003N8EMH8GTFRCSWKMPXRSAE6","GSON1112151505")</f>
        <v>#NAME?</v>
      </c>
      <c r="J2173" s="24" t="e">
        <f ca="1">[1]!BexGetData("DP_1","003N8EMH8GTFRCSWKMPXRSGPQ","GSON1112151505")</f>
        <v>#NAME?</v>
      </c>
      <c r="K2173" s="28" t="e">
        <f ca="1">[1]!BexGetData("DP_1","003N8EMH8GTFRIVNUPY288VJH","GSON1112151505")</f>
        <v>#NAME?</v>
      </c>
      <c r="L2173" s="28" t="e">
        <f ca="1">[1]!BexGetData("DP_1","003N8EMH8GTFRIVNUPY2891V1","GSON1112151505")</f>
        <v>#NAME?</v>
      </c>
      <c r="M2173" s="28" t="e">
        <f ca="1">[1]!BexGetData("DP_1","003N8EMH8GTFRIVOG7KG9IQXA","GSON1112151505")</f>
        <v>#NAME?</v>
      </c>
      <c r="N2173" s="28" t="e">
        <f ca="1">[1]!BexGetData("DP_1","003N8EMH8GTFRIVOG7KG9IX8U","GSON1112151505")</f>
        <v>#NAME?</v>
      </c>
      <c r="O2173" s="28" t="e">
        <f ca="1">[1]!BexGetData("DP_1","003N8EMH8GTFRIVOG7KG9J3KE","GSON1112151505")</f>
        <v>#NAME?</v>
      </c>
      <c r="P2173" s="28" t="e">
        <f ca="1">[1]!BexGetData("DP_1","003N8EMH8GTFRIVOG7KG9J9VY","GSON1112151505")</f>
        <v>#NAME?</v>
      </c>
      <c r="Q2173" s="24" t="e">
        <f ca="1">[1]!BexGetData("DP_1","00O2TNJGODT0G5Z4TTKYMM5MT","GSON1112151505")</f>
        <v>#NAME?</v>
      </c>
      <c r="R2173" s="24" t="e">
        <f ca="1">[1]!BexGetData("DP_1","00O2TNJGODT0G5Z4TTKYMMBYD","GSON1112151505")</f>
        <v>#NAME?</v>
      </c>
      <c r="S2173" s="24" t="e">
        <f ca="1">[1]!BexGetData("DP_1","00O2TNJGODT0G5Z4TTKYMMI9X","GSON1112151505")</f>
        <v>#NAME?</v>
      </c>
      <c r="T2173" s="24" t="e">
        <f ca="1">[1]!BexGetData("DP_1","00O2TNJGODT0G5Z4TTKYMMOLH","GSON1112151505")</f>
        <v>#NAME?</v>
      </c>
      <c r="U2173" s="24" t="e">
        <f ca="1">[1]!BexGetData("DP_1","00O2TNJGODT0G5Z4TTKYMMUX1","GSON1112151505")</f>
        <v>#NAME?</v>
      </c>
      <c r="V2173" s="24" t="e">
        <f ca="1">[1]!BexGetData("DP_1","00O2TNJGODT0G5Z4TTKYMN18L","GSON1112151505")</f>
        <v>#NAME?</v>
      </c>
      <c r="W2173" s="24" t="e">
        <f ca="1">[1]!BexGetData("DP_1","00O2TNJGODT0G5Z4TTKYMN7K5","GSON1112151505")</f>
        <v>#NAME?</v>
      </c>
    </row>
    <row r="2174" spans="1:23" x14ac:dyDescent="0.2">
      <c r="A2174" s="36" t="s">
        <v>5317</v>
      </c>
      <c r="B2174" s="27" t="s">
        <v>5318</v>
      </c>
      <c r="C2174" s="23" t="e">
        <f ca="1">[1]!BexGetData("DP_1","003N8EMH8GTFRCSWKMPXRR8GU","GSON1112151510")</f>
        <v>#NAME?</v>
      </c>
      <c r="D2174" s="23" t="e">
        <f ca="1">[1]!BexGetData("DP_1","003N8EMH8GTFRCSWKMPXRRESE","GSON1112151510")</f>
        <v>#NAME?</v>
      </c>
      <c r="E2174" s="28" t="e">
        <f ca="1">[1]!BexGetData("DP_1","003N8EMH8GTFRCSWKMPXRRL3Y","GSON1112151510")</f>
        <v>#NAME?</v>
      </c>
      <c r="F2174" s="24" t="e">
        <f ca="1">[1]!BexGetData("DP_1","003N8EMH8GTFRCSWKMPXRRRFI","GSON1112151510")</f>
        <v>#NAME?</v>
      </c>
      <c r="G2174" s="24" t="e">
        <f ca="1">[1]!BexGetData("DP_1","003N8EMH8GTFRCSWKMPXRRXR2","GSON1112151510")</f>
        <v>#NAME?</v>
      </c>
      <c r="H2174" s="24" t="e">
        <f ca="1">[1]!BexGetData("DP_1","003N8EMH8GTFRCSWKMPXRS42M","GSON1112151510")</f>
        <v>#NAME?</v>
      </c>
      <c r="I2174" s="24" t="e">
        <f ca="1">[1]!BexGetData("DP_1","003N8EMH8GTFRCSWKMPXRSAE6","GSON1112151510")</f>
        <v>#NAME?</v>
      </c>
      <c r="J2174" s="24" t="e">
        <f ca="1">[1]!BexGetData("DP_1","003N8EMH8GTFRCSWKMPXRSGPQ","GSON1112151510")</f>
        <v>#NAME?</v>
      </c>
      <c r="K2174" s="28" t="e">
        <f ca="1">[1]!BexGetData("DP_1","003N8EMH8GTFRIVNUPY288VJH","GSON1112151510")</f>
        <v>#NAME?</v>
      </c>
      <c r="L2174" s="28" t="e">
        <f ca="1">[1]!BexGetData("DP_1","003N8EMH8GTFRIVNUPY2891V1","GSON1112151510")</f>
        <v>#NAME?</v>
      </c>
      <c r="M2174" s="28" t="e">
        <f ca="1">[1]!BexGetData("DP_1","003N8EMH8GTFRIVOG7KG9IQXA","GSON1112151510")</f>
        <v>#NAME?</v>
      </c>
      <c r="N2174" s="28" t="e">
        <f ca="1">[1]!BexGetData("DP_1","003N8EMH8GTFRIVOG7KG9IX8U","GSON1112151510")</f>
        <v>#NAME?</v>
      </c>
      <c r="O2174" s="28" t="e">
        <f ca="1">[1]!BexGetData("DP_1","003N8EMH8GTFRIVOG7KG9J3KE","GSON1112151510")</f>
        <v>#NAME?</v>
      </c>
      <c r="P2174" s="28" t="e">
        <f ca="1">[1]!BexGetData("DP_1","003N8EMH8GTFRIVOG7KG9J9VY","GSON1112151510")</f>
        <v>#NAME?</v>
      </c>
      <c r="Q2174" s="24" t="e">
        <f ca="1">[1]!BexGetData("DP_1","00O2TNJGODT0G5Z4TTKYMM5MT","GSON1112151510")</f>
        <v>#NAME?</v>
      </c>
      <c r="R2174" s="24" t="e">
        <f ca="1">[1]!BexGetData("DP_1","00O2TNJGODT0G5Z4TTKYMMBYD","GSON1112151510")</f>
        <v>#NAME?</v>
      </c>
      <c r="S2174" s="24" t="e">
        <f ca="1">[1]!BexGetData("DP_1","00O2TNJGODT0G5Z4TTKYMMI9X","GSON1112151510")</f>
        <v>#NAME?</v>
      </c>
      <c r="T2174" s="24" t="e">
        <f ca="1">[1]!BexGetData("DP_1","00O2TNJGODT0G5Z4TTKYMMOLH","GSON1112151510")</f>
        <v>#NAME?</v>
      </c>
      <c r="U2174" s="24" t="e">
        <f ca="1">[1]!BexGetData("DP_1","00O2TNJGODT0G5Z4TTKYMMUX1","GSON1112151510")</f>
        <v>#NAME?</v>
      </c>
      <c r="V2174" s="24" t="e">
        <f ca="1">[1]!BexGetData("DP_1","00O2TNJGODT0G5Z4TTKYMN18L","GSON1112151510")</f>
        <v>#NAME?</v>
      </c>
      <c r="W2174" s="24" t="e">
        <f ca="1">[1]!BexGetData("DP_1","00O2TNJGODT0G5Z4TTKYMN7K5","GSON1112151510")</f>
        <v>#NAME?</v>
      </c>
    </row>
    <row r="2175" spans="1:23" x14ac:dyDescent="0.2">
      <c r="A2175" s="36" t="s">
        <v>5319</v>
      </c>
      <c r="B2175" s="27" t="s">
        <v>5320</v>
      </c>
      <c r="C2175" s="23" t="e">
        <f ca="1">[1]!BexGetData("DP_1","003N8EMH8GTFRCSWKMPXRR8GU","GSON1112151511")</f>
        <v>#NAME?</v>
      </c>
      <c r="D2175" s="23" t="e">
        <f ca="1">[1]!BexGetData("DP_1","003N8EMH8GTFRCSWKMPXRRESE","GSON1112151511")</f>
        <v>#NAME?</v>
      </c>
      <c r="E2175" s="28" t="e">
        <f ca="1">[1]!BexGetData("DP_1","003N8EMH8GTFRCSWKMPXRRL3Y","GSON1112151511")</f>
        <v>#NAME?</v>
      </c>
      <c r="F2175" s="24" t="e">
        <f ca="1">[1]!BexGetData("DP_1","003N8EMH8GTFRCSWKMPXRRRFI","GSON1112151511")</f>
        <v>#NAME?</v>
      </c>
      <c r="G2175" s="24" t="e">
        <f ca="1">[1]!BexGetData("DP_1","003N8EMH8GTFRCSWKMPXRRXR2","GSON1112151511")</f>
        <v>#NAME?</v>
      </c>
      <c r="H2175" s="24" t="e">
        <f ca="1">[1]!BexGetData("DP_1","003N8EMH8GTFRCSWKMPXRS42M","GSON1112151511")</f>
        <v>#NAME?</v>
      </c>
      <c r="I2175" s="24" t="e">
        <f ca="1">[1]!BexGetData("DP_1","003N8EMH8GTFRCSWKMPXRSAE6","GSON1112151511")</f>
        <v>#NAME?</v>
      </c>
      <c r="J2175" s="24" t="e">
        <f ca="1">[1]!BexGetData("DP_1","003N8EMH8GTFRCSWKMPXRSGPQ","GSON1112151511")</f>
        <v>#NAME?</v>
      </c>
      <c r="K2175" s="28" t="e">
        <f ca="1">[1]!BexGetData("DP_1","003N8EMH8GTFRIVNUPY288VJH","GSON1112151511")</f>
        <v>#NAME?</v>
      </c>
      <c r="L2175" s="28" t="e">
        <f ca="1">[1]!BexGetData("DP_1","003N8EMH8GTFRIVNUPY2891V1","GSON1112151511")</f>
        <v>#NAME?</v>
      </c>
      <c r="M2175" s="28" t="e">
        <f ca="1">[1]!BexGetData("DP_1","003N8EMH8GTFRIVOG7KG9IQXA","GSON1112151511")</f>
        <v>#NAME?</v>
      </c>
      <c r="N2175" s="28" t="e">
        <f ca="1">[1]!BexGetData("DP_1","003N8EMH8GTFRIVOG7KG9IX8U","GSON1112151511")</f>
        <v>#NAME?</v>
      </c>
      <c r="O2175" s="28" t="e">
        <f ca="1">[1]!BexGetData("DP_1","003N8EMH8GTFRIVOG7KG9J3KE","GSON1112151511")</f>
        <v>#NAME?</v>
      </c>
      <c r="P2175" s="28" t="e">
        <f ca="1">[1]!BexGetData("DP_1","003N8EMH8GTFRIVOG7KG9J9VY","GSON1112151511")</f>
        <v>#NAME?</v>
      </c>
      <c r="Q2175" s="24" t="e">
        <f ca="1">[1]!BexGetData("DP_1","00O2TNJGODT0G5Z4TTKYMM5MT","GSON1112151511")</f>
        <v>#NAME?</v>
      </c>
      <c r="R2175" s="24" t="e">
        <f ca="1">[1]!BexGetData("DP_1","00O2TNJGODT0G5Z4TTKYMMBYD","GSON1112151511")</f>
        <v>#NAME?</v>
      </c>
      <c r="S2175" s="24" t="e">
        <f ca="1">[1]!BexGetData("DP_1","00O2TNJGODT0G5Z4TTKYMMI9X","GSON1112151511")</f>
        <v>#NAME?</v>
      </c>
      <c r="T2175" s="24" t="e">
        <f ca="1">[1]!BexGetData("DP_1","00O2TNJGODT0G5Z4TTKYMMOLH","GSON1112151511")</f>
        <v>#NAME?</v>
      </c>
      <c r="U2175" s="24" t="e">
        <f ca="1">[1]!BexGetData("DP_1","00O2TNJGODT0G5Z4TTKYMMUX1","GSON1112151511")</f>
        <v>#NAME?</v>
      </c>
      <c r="V2175" s="24" t="e">
        <f ca="1">[1]!BexGetData("DP_1","00O2TNJGODT0G5Z4TTKYMN18L","GSON1112151511")</f>
        <v>#NAME?</v>
      </c>
      <c r="W2175" s="24" t="e">
        <f ca="1">[1]!BexGetData("DP_1","00O2TNJGODT0G5Z4TTKYMN7K5","GSON1112151511")</f>
        <v>#NAME?</v>
      </c>
    </row>
    <row r="2176" spans="1:23" x14ac:dyDescent="0.2">
      <c r="A2176" s="36" t="s">
        <v>5321</v>
      </c>
      <c r="B2176" s="27" t="s">
        <v>5322</v>
      </c>
      <c r="C2176" s="23" t="e">
        <f ca="1">[1]!BexGetData("DP_1","003N8EMH8GTFRCSWKMPXRR8GU","GSON1112151513")</f>
        <v>#NAME?</v>
      </c>
      <c r="D2176" s="23" t="e">
        <f ca="1">[1]!BexGetData("DP_1","003N8EMH8GTFRCSWKMPXRRESE","GSON1112151513")</f>
        <v>#NAME?</v>
      </c>
      <c r="E2176" s="28" t="e">
        <f ca="1">[1]!BexGetData("DP_1","003N8EMH8GTFRCSWKMPXRRL3Y","GSON1112151513")</f>
        <v>#NAME?</v>
      </c>
      <c r="F2176" s="24" t="e">
        <f ca="1">[1]!BexGetData("DP_1","003N8EMH8GTFRCSWKMPXRRRFI","GSON1112151513")</f>
        <v>#NAME?</v>
      </c>
      <c r="G2176" s="24" t="e">
        <f ca="1">[1]!BexGetData("DP_1","003N8EMH8GTFRCSWKMPXRRXR2","GSON1112151513")</f>
        <v>#NAME?</v>
      </c>
      <c r="H2176" s="24" t="e">
        <f ca="1">[1]!BexGetData("DP_1","003N8EMH8GTFRCSWKMPXRS42M","GSON1112151513")</f>
        <v>#NAME?</v>
      </c>
      <c r="I2176" s="24" t="e">
        <f ca="1">[1]!BexGetData("DP_1","003N8EMH8GTFRCSWKMPXRSAE6","GSON1112151513")</f>
        <v>#NAME?</v>
      </c>
      <c r="J2176" s="24" t="e">
        <f ca="1">[1]!BexGetData("DP_1","003N8EMH8GTFRCSWKMPXRSGPQ","GSON1112151513")</f>
        <v>#NAME?</v>
      </c>
      <c r="K2176" s="28" t="e">
        <f ca="1">[1]!BexGetData("DP_1","003N8EMH8GTFRIVNUPY288VJH","GSON1112151513")</f>
        <v>#NAME?</v>
      </c>
      <c r="L2176" s="28" t="e">
        <f ca="1">[1]!BexGetData("DP_1","003N8EMH8GTFRIVNUPY2891V1","GSON1112151513")</f>
        <v>#NAME?</v>
      </c>
      <c r="M2176" s="28" t="e">
        <f ca="1">[1]!BexGetData("DP_1","003N8EMH8GTFRIVOG7KG9IQXA","GSON1112151513")</f>
        <v>#NAME?</v>
      </c>
      <c r="N2176" s="28" t="e">
        <f ca="1">[1]!BexGetData("DP_1","003N8EMH8GTFRIVOG7KG9IX8U","GSON1112151513")</f>
        <v>#NAME?</v>
      </c>
      <c r="O2176" s="28" t="e">
        <f ca="1">[1]!BexGetData("DP_1","003N8EMH8GTFRIVOG7KG9J3KE","GSON1112151513")</f>
        <v>#NAME?</v>
      </c>
      <c r="P2176" s="28" t="e">
        <f ca="1">[1]!BexGetData("DP_1","003N8EMH8GTFRIVOG7KG9J9VY","GSON1112151513")</f>
        <v>#NAME?</v>
      </c>
      <c r="Q2176" s="24" t="e">
        <f ca="1">[1]!BexGetData("DP_1","00O2TNJGODT0G5Z4TTKYMM5MT","GSON1112151513")</f>
        <v>#NAME?</v>
      </c>
      <c r="R2176" s="24" t="e">
        <f ca="1">[1]!BexGetData("DP_1","00O2TNJGODT0G5Z4TTKYMMBYD","GSON1112151513")</f>
        <v>#NAME?</v>
      </c>
      <c r="S2176" s="24" t="e">
        <f ca="1">[1]!BexGetData("DP_1","00O2TNJGODT0G5Z4TTKYMMI9X","GSON1112151513")</f>
        <v>#NAME?</v>
      </c>
      <c r="T2176" s="24" t="e">
        <f ca="1">[1]!BexGetData("DP_1","00O2TNJGODT0G5Z4TTKYMMOLH","GSON1112151513")</f>
        <v>#NAME?</v>
      </c>
      <c r="U2176" s="24" t="e">
        <f ca="1">[1]!BexGetData("DP_1","00O2TNJGODT0G5Z4TTKYMMUX1","GSON1112151513")</f>
        <v>#NAME?</v>
      </c>
      <c r="V2176" s="24" t="e">
        <f ca="1">[1]!BexGetData("DP_1","00O2TNJGODT0G5Z4TTKYMN18L","GSON1112151513")</f>
        <v>#NAME?</v>
      </c>
      <c r="W2176" s="24" t="e">
        <f ca="1">[1]!BexGetData("DP_1","00O2TNJGODT0G5Z4TTKYMN7K5","GSON1112151513")</f>
        <v>#NAME?</v>
      </c>
    </row>
    <row r="2177" spans="1:23" x14ac:dyDescent="0.2">
      <c r="A2177" s="36" t="s">
        <v>5323</v>
      </c>
      <c r="B2177" s="27" t="s">
        <v>5324</v>
      </c>
      <c r="C2177" s="23" t="e">
        <f ca="1">[1]!BexGetData("DP_1","003N8EMH8GTFRCSWKMPXRR8GU","GSON1112151514")</f>
        <v>#NAME?</v>
      </c>
      <c r="D2177" s="23" t="e">
        <f ca="1">[1]!BexGetData("DP_1","003N8EMH8GTFRCSWKMPXRRESE","GSON1112151514")</f>
        <v>#NAME?</v>
      </c>
      <c r="E2177" s="28" t="e">
        <f ca="1">[1]!BexGetData("DP_1","003N8EMH8GTFRCSWKMPXRRL3Y","GSON1112151514")</f>
        <v>#NAME?</v>
      </c>
      <c r="F2177" s="24" t="e">
        <f ca="1">[1]!BexGetData("DP_1","003N8EMH8GTFRCSWKMPXRRRFI","GSON1112151514")</f>
        <v>#NAME?</v>
      </c>
      <c r="G2177" s="24" t="e">
        <f ca="1">[1]!BexGetData("DP_1","003N8EMH8GTFRCSWKMPXRRXR2","GSON1112151514")</f>
        <v>#NAME?</v>
      </c>
      <c r="H2177" s="24" t="e">
        <f ca="1">[1]!BexGetData("DP_1","003N8EMH8GTFRCSWKMPXRS42M","GSON1112151514")</f>
        <v>#NAME?</v>
      </c>
      <c r="I2177" s="24" t="e">
        <f ca="1">[1]!BexGetData("DP_1","003N8EMH8GTFRCSWKMPXRSAE6","GSON1112151514")</f>
        <v>#NAME?</v>
      </c>
      <c r="J2177" s="24" t="e">
        <f ca="1">[1]!BexGetData("DP_1","003N8EMH8GTFRCSWKMPXRSGPQ","GSON1112151514")</f>
        <v>#NAME?</v>
      </c>
      <c r="K2177" s="28" t="e">
        <f ca="1">[1]!BexGetData("DP_1","003N8EMH8GTFRIVNUPY288VJH","GSON1112151514")</f>
        <v>#NAME?</v>
      </c>
      <c r="L2177" s="28" t="e">
        <f ca="1">[1]!BexGetData("DP_1","003N8EMH8GTFRIVNUPY2891V1","GSON1112151514")</f>
        <v>#NAME?</v>
      </c>
      <c r="M2177" s="28" t="e">
        <f ca="1">[1]!BexGetData("DP_1","003N8EMH8GTFRIVOG7KG9IQXA","GSON1112151514")</f>
        <v>#NAME?</v>
      </c>
      <c r="N2177" s="28" t="e">
        <f ca="1">[1]!BexGetData("DP_1","003N8EMH8GTFRIVOG7KG9IX8U","GSON1112151514")</f>
        <v>#NAME?</v>
      </c>
      <c r="O2177" s="28" t="e">
        <f ca="1">[1]!BexGetData("DP_1","003N8EMH8GTFRIVOG7KG9J3KE","GSON1112151514")</f>
        <v>#NAME?</v>
      </c>
      <c r="P2177" s="28" t="e">
        <f ca="1">[1]!BexGetData("DP_1","003N8EMH8GTFRIVOG7KG9J9VY","GSON1112151514")</f>
        <v>#NAME?</v>
      </c>
      <c r="Q2177" s="24" t="e">
        <f ca="1">[1]!BexGetData("DP_1","00O2TNJGODT0G5Z4TTKYMM5MT","GSON1112151514")</f>
        <v>#NAME?</v>
      </c>
      <c r="R2177" s="24" t="e">
        <f ca="1">[1]!BexGetData("DP_1","00O2TNJGODT0G5Z4TTKYMMBYD","GSON1112151514")</f>
        <v>#NAME?</v>
      </c>
      <c r="S2177" s="24" t="e">
        <f ca="1">[1]!BexGetData("DP_1","00O2TNJGODT0G5Z4TTKYMMI9X","GSON1112151514")</f>
        <v>#NAME?</v>
      </c>
      <c r="T2177" s="24" t="e">
        <f ca="1">[1]!BexGetData("DP_1","00O2TNJGODT0G5Z4TTKYMMOLH","GSON1112151514")</f>
        <v>#NAME?</v>
      </c>
      <c r="U2177" s="24" t="e">
        <f ca="1">[1]!BexGetData("DP_1","00O2TNJGODT0G5Z4TTKYMMUX1","GSON1112151514")</f>
        <v>#NAME?</v>
      </c>
      <c r="V2177" s="24" t="e">
        <f ca="1">[1]!BexGetData("DP_1","00O2TNJGODT0G5Z4TTKYMN18L","GSON1112151514")</f>
        <v>#NAME?</v>
      </c>
      <c r="W2177" s="24" t="e">
        <f ca="1">[1]!BexGetData("DP_1","00O2TNJGODT0G5Z4TTKYMN7K5","GSON1112151514")</f>
        <v>#NAME?</v>
      </c>
    </row>
    <row r="2178" spans="1:23" x14ac:dyDescent="0.2">
      <c r="A2178" s="36" t="s">
        <v>5325</v>
      </c>
      <c r="B2178" s="27" t="s">
        <v>5326</v>
      </c>
      <c r="C2178" s="23" t="e">
        <f ca="1">[1]!BexGetData("DP_1","003N8EMH8GTFRCSWKMPXRR8GU","GSON1112151515")</f>
        <v>#NAME?</v>
      </c>
      <c r="D2178" s="23" t="e">
        <f ca="1">[1]!BexGetData("DP_1","003N8EMH8GTFRCSWKMPXRRESE","GSON1112151515")</f>
        <v>#NAME?</v>
      </c>
      <c r="E2178" s="28" t="e">
        <f ca="1">[1]!BexGetData("DP_1","003N8EMH8GTFRCSWKMPXRRL3Y","GSON1112151515")</f>
        <v>#NAME?</v>
      </c>
      <c r="F2178" s="24" t="e">
        <f ca="1">[1]!BexGetData("DP_1","003N8EMH8GTFRCSWKMPXRRRFI","GSON1112151515")</f>
        <v>#NAME?</v>
      </c>
      <c r="G2178" s="24" t="e">
        <f ca="1">[1]!BexGetData("DP_1","003N8EMH8GTFRCSWKMPXRRXR2","GSON1112151515")</f>
        <v>#NAME?</v>
      </c>
      <c r="H2178" s="24" t="e">
        <f ca="1">[1]!BexGetData("DP_1","003N8EMH8GTFRCSWKMPXRS42M","GSON1112151515")</f>
        <v>#NAME?</v>
      </c>
      <c r="I2178" s="24" t="e">
        <f ca="1">[1]!BexGetData("DP_1","003N8EMH8GTFRCSWKMPXRSAE6","GSON1112151515")</f>
        <v>#NAME?</v>
      </c>
      <c r="J2178" s="24" t="e">
        <f ca="1">[1]!BexGetData("DP_1","003N8EMH8GTFRCSWKMPXRSGPQ","GSON1112151515")</f>
        <v>#NAME?</v>
      </c>
      <c r="K2178" s="28" t="e">
        <f ca="1">[1]!BexGetData("DP_1","003N8EMH8GTFRIVNUPY288VJH","GSON1112151515")</f>
        <v>#NAME?</v>
      </c>
      <c r="L2178" s="28" t="e">
        <f ca="1">[1]!BexGetData("DP_1","003N8EMH8GTFRIVNUPY2891V1","GSON1112151515")</f>
        <v>#NAME?</v>
      </c>
      <c r="M2178" s="28" t="e">
        <f ca="1">[1]!BexGetData("DP_1","003N8EMH8GTFRIVOG7KG9IQXA","GSON1112151515")</f>
        <v>#NAME?</v>
      </c>
      <c r="N2178" s="28" t="e">
        <f ca="1">[1]!BexGetData("DP_1","003N8EMH8GTFRIVOG7KG9IX8U","GSON1112151515")</f>
        <v>#NAME?</v>
      </c>
      <c r="O2178" s="28" t="e">
        <f ca="1">[1]!BexGetData("DP_1","003N8EMH8GTFRIVOG7KG9J3KE","GSON1112151515")</f>
        <v>#NAME?</v>
      </c>
      <c r="P2178" s="28" t="e">
        <f ca="1">[1]!BexGetData("DP_1","003N8EMH8GTFRIVOG7KG9J9VY","GSON1112151515")</f>
        <v>#NAME?</v>
      </c>
      <c r="Q2178" s="24" t="e">
        <f ca="1">[1]!BexGetData("DP_1","00O2TNJGODT0G5Z4TTKYMM5MT","GSON1112151515")</f>
        <v>#NAME?</v>
      </c>
      <c r="R2178" s="24" t="e">
        <f ca="1">[1]!BexGetData("DP_1","00O2TNJGODT0G5Z4TTKYMMBYD","GSON1112151515")</f>
        <v>#NAME?</v>
      </c>
      <c r="S2178" s="24" t="e">
        <f ca="1">[1]!BexGetData("DP_1","00O2TNJGODT0G5Z4TTKYMMI9X","GSON1112151515")</f>
        <v>#NAME?</v>
      </c>
      <c r="T2178" s="24" t="e">
        <f ca="1">[1]!BexGetData("DP_1","00O2TNJGODT0G5Z4TTKYMMOLH","GSON1112151515")</f>
        <v>#NAME?</v>
      </c>
      <c r="U2178" s="24" t="e">
        <f ca="1">[1]!BexGetData("DP_1","00O2TNJGODT0G5Z4TTKYMMUX1","GSON1112151515")</f>
        <v>#NAME?</v>
      </c>
      <c r="V2178" s="24" t="e">
        <f ca="1">[1]!BexGetData("DP_1","00O2TNJGODT0G5Z4TTKYMN18L","GSON1112151515")</f>
        <v>#NAME?</v>
      </c>
      <c r="W2178" s="24" t="e">
        <f ca="1">[1]!BexGetData("DP_1","00O2TNJGODT0G5Z4TTKYMN7K5","GSON1112151515")</f>
        <v>#NAME?</v>
      </c>
    </row>
    <row r="2179" spans="1:23" x14ac:dyDescent="0.2">
      <c r="A2179" s="36" t="s">
        <v>5327</v>
      </c>
      <c r="B2179" s="27" t="s">
        <v>5328</v>
      </c>
      <c r="C2179" s="23" t="e">
        <f ca="1">[1]!BexGetData("DP_1","003N8EMH8GTFRCSWKMPXRR8GU","GSON1112151520")</f>
        <v>#NAME?</v>
      </c>
      <c r="D2179" s="23" t="e">
        <f ca="1">[1]!BexGetData("DP_1","003N8EMH8GTFRCSWKMPXRRESE","GSON1112151520")</f>
        <v>#NAME?</v>
      </c>
      <c r="E2179" s="23" t="e">
        <f ca="1">[1]!BexGetData("DP_1","003N8EMH8GTFRCSWKMPXRRL3Y","GSON1112151520")</f>
        <v>#NAME?</v>
      </c>
      <c r="F2179" s="24" t="e">
        <f ca="1">[1]!BexGetData("DP_1","003N8EMH8GTFRCSWKMPXRRRFI","GSON1112151520")</f>
        <v>#NAME?</v>
      </c>
      <c r="G2179" s="24" t="e">
        <f ca="1">[1]!BexGetData("DP_1","003N8EMH8GTFRCSWKMPXRRXR2","GSON1112151520")</f>
        <v>#NAME?</v>
      </c>
      <c r="H2179" s="24" t="e">
        <f ca="1">[1]!BexGetData("DP_1","003N8EMH8GTFRCSWKMPXRS42M","GSON1112151520")</f>
        <v>#NAME?</v>
      </c>
      <c r="I2179" s="24" t="e">
        <f ca="1">[1]!BexGetData("DP_1","003N8EMH8GTFRCSWKMPXRSAE6","GSON1112151520")</f>
        <v>#NAME?</v>
      </c>
      <c r="J2179" s="24" t="e">
        <f ca="1">[1]!BexGetData("DP_1","003N8EMH8GTFRCSWKMPXRSGPQ","GSON1112151520")</f>
        <v>#NAME?</v>
      </c>
      <c r="K2179" s="23" t="e">
        <f ca="1">[1]!BexGetData("DP_1","003N8EMH8GTFRIVNUPY288VJH","GSON1112151520")</f>
        <v>#NAME?</v>
      </c>
      <c r="L2179" s="23" t="e">
        <f ca="1">[1]!BexGetData("DP_1","003N8EMH8GTFRIVNUPY2891V1","GSON1112151520")</f>
        <v>#NAME?</v>
      </c>
      <c r="M2179" s="28" t="e">
        <f ca="1">[1]!BexGetData("DP_1","003N8EMH8GTFRIVOG7KG9IQXA","GSON1112151520")</f>
        <v>#NAME?</v>
      </c>
      <c r="N2179" s="23" t="e">
        <f ca="1">[1]!BexGetData("DP_1","003N8EMH8GTFRIVOG7KG9IX8U","GSON1112151520")</f>
        <v>#NAME?</v>
      </c>
      <c r="O2179" s="28" t="e">
        <f ca="1">[1]!BexGetData("DP_1","003N8EMH8GTFRIVOG7KG9J3KE","GSON1112151520")</f>
        <v>#NAME?</v>
      </c>
      <c r="P2179" s="23" t="e">
        <f ca="1">[1]!BexGetData("DP_1","003N8EMH8GTFRIVOG7KG9J9VY","GSON1112151520")</f>
        <v>#NAME?</v>
      </c>
      <c r="Q2179" s="24" t="e">
        <f ca="1">[1]!BexGetData("DP_1","00O2TNJGODT0G5Z4TTKYMM5MT","GSON1112151520")</f>
        <v>#NAME?</v>
      </c>
      <c r="R2179" s="24" t="e">
        <f ca="1">[1]!BexGetData("DP_1","00O2TNJGODT0G5Z4TTKYMMBYD","GSON1112151520")</f>
        <v>#NAME?</v>
      </c>
      <c r="S2179" s="24" t="e">
        <f ca="1">[1]!BexGetData("DP_1","00O2TNJGODT0G5Z4TTKYMMI9X","GSON1112151520")</f>
        <v>#NAME?</v>
      </c>
      <c r="T2179" s="24" t="e">
        <f ca="1">[1]!BexGetData("DP_1","00O2TNJGODT0G5Z4TTKYMMOLH","GSON1112151520")</f>
        <v>#NAME?</v>
      </c>
      <c r="U2179" s="24" t="e">
        <f ca="1">[1]!BexGetData("DP_1","00O2TNJGODT0G5Z4TTKYMMUX1","GSON1112151520")</f>
        <v>#NAME?</v>
      </c>
      <c r="V2179" s="24" t="e">
        <f ca="1">[1]!BexGetData("DP_1","00O2TNJGODT0G5Z4TTKYMN18L","GSON1112151520")</f>
        <v>#NAME?</v>
      </c>
      <c r="W2179" s="24" t="e">
        <f ca="1">[1]!BexGetData("DP_1","00O2TNJGODT0G5Z4TTKYMN7K5","GSON1112151520")</f>
        <v>#NAME?</v>
      </c>
    </row>
    <row r="2180" spans="1:23" x14ac:dyDescent="0.2">
      <c r="A2180" s="36" t="s">
        <v>5329</v>
      </c>
      <c r="B2180" s="27" t="s">
        <v>5330</v>
      </c>
      <c r="C2180" s="23" t="e">
        <f ca="1">[1]!BexGetData("DP_1","003N8EMH8GTFRCSWKMPXRR8GU","GSON1112151521")</f>
        <v>#NAME?</v>
      </c>
      <c r="D2180" s="23" t="e">
        <f ca="1">[1]!BexGetData("DP_1","003N8EMH8GTFRCSWKMPXRRESE","GSON1112151521")</f>
        <v>#NAME?</v>
      </c>
      <c r="E2180" s="28" t="e">
        <f ca="1">[1]!BexGetData("DP_1","003N8EMH8GTFRCSWKMPXRRL3Y","GSON1112151521")</f>
        <v>#NAME?</v>
      </c>
      <c r="F2180" s="24" t="e">
        <f ca="1">[1]!BexGetData("DP_1","003N8EMH8GTFRCSWKMPXRRRFI","GSON1112151521")</f>
        <v>#NAME?</v>
      </c>
      <c r="G2180" s="24" t="e">
        <f ca="1">[1]!BexGetData("DP_1","003N8EMH8GTFRCSWKMPXRRXR2","GSON1112151521")</f>
        <v>#NAME?</v>
      </c>
      <c r="H2180" s="24" t="e">
        <f ca="1">[1]!BexGetData("DP_1","003N8EMH8GTFRCSWKMPXRS42M","GSON1112151521")</f>
        <v>#NAME?</v>
      </c>
      <c r="I2180" s="24" t="e">
        <f ca="1">[1]!BexGetData("DP_1","003N8EMH8GTFRCSWKMPXRSAE6","GSON1112151521")</f>
        <v>#NAME?</v>
      </c>
      <c r="J2180" s="24" t="e">
        <f ca="1">[1]!BexGetData("DP_1","003N8EMH8GTFRCSWKMPXRSGPQ","GSON1112151521")</f>
        <v>#NAME?</v>
      </c>
      <c r="K2180" s="28" t="e">
        <f ca="1">[1]!BexGetData("DP_1","003N8EMH8GTFRIVNUPY288VJH","GSON1112151521")</f>
        <v>#NAME?</v>
      </c>
      <c r="L2180" s="28" t="e">
        <f ca="1">[1]!BexGetData("DP_1","003N8EMH8GTFRIVNUPY2891V1","GSON1112151521")</f>
        <v>#NAME?</v>
      </c>
      <c r="M2180" s="28" t="e">
        <f ca="1">[1]!BexGetData("DP_1","003N8EMH8GTFRIVOG7KG9IQXA","GSON1112151521")</f>
        <v>#NAME?</v>
      </c>
      <c r="N2180" s="28" t="e">
        <f ca="1">[1]!BexGetData("DP_1","003N8EMH8GTFRIVOG7KG9IX8U","GSON1112151521")</f>
        <v>#NAME?</v>
      </c>
      <c r="O2180" s="28" t="e">
        <f ca="1">[1]!BexGetData("DP_1","003N8EMH8GTFRIVOG7KG9J3KE","GSON1112151521")</f>
        <v>#NAME?</v>
      </c>
      <c r="P2180" s="28" t="e">
        <f ca="1">[1]!BexGetData("DP_1","003N8EMH8GTFRIVOG7KG9J9VY","GSON1112151521")</f>
        <v>#NAME?</v>
      </c>
      <c r="Q2180" s="24" t="e">
        <f ca="1">[1]!BexGetData("DP_1","00O2TNJGODT0G5Z4TTKYMM5MT","GSON1112151521")</f>
        <v>#NAME?</v>
      </c>
      <c r="R2180" s="24" t="e">
        <f ca="1">[1]!BexGetData("DP_1","00O2TNJGODT0G5Z4TTKYMMBYD","GSON1112151521")</f>
        <v>#NAME?</v>
      </c>
      <c r="S2180" s="24" t="e">
        <f ca="1">[1]!BexGetData("DP_1","00O2TNJGODT0G5Z4TTKYMMI9X","GSON1112151521")</f>
        <v>#NAME?</v>
      </c>
      <c r="T2180" s="24" t="e">
        <f ca="1">[1]!BexGetData("DP_1","00O2TNJGODT0G5Z4TTKYMMOLH","GSON1112151521")</f>
        <v>#NAME?</v>
      </c>
      <c r="U2180" s="24" t="e">
        <f ca="1">[1]!BexGetData("DP_1","00O2TNJGODT0G5Z4TTKYMMUX1","GSON1112151521")</f>
        <v>#NAME?</v>
      </c>
      <c r="V2180" s="24" t="e">
        <f ca="1">[1]!BexGetData("DP_1","00O2TNJGODT0G5Z4TTKYMN18L","GSON1112151521")</f>
        <v>#NAME?</v>
      </c>
      <c r="W2180" s="24" t="e">
        <f ca="1">[1]!BexGetData("DP_1","00O2TNJGODT0G5Z4TTKYMN7K5","GSON1112151521")</f>
        <v>#NAME?</v>
      </c>
    </row>
    <row r="2181" spans="1:23" x14ac:dyDescent="0.2">
      <c r="A2181" s="36" t="s">
        <v>5331</v>
      </c>
      <c r="B2181" s="27" t="s">
        <v>5332</v>
      </c>
      <c r="C2181" s="23" t="e">
        <f ca="1">[1]!BexGetData("DP_1","003N8EMH8GTFRCSWKMPXRR8GU","GSON1112151523")</f>
        <v>#NAME?</v>
      </c>
      <c r="D2181" s="23" t="e">
        <f ca="1">[1]!BexGetData("DP_1","003N8EMH8GTFRCSWKMPXRRESE","GSON1112151523")</f>
        <v>#NAME?</v>
      </c>
      <c r="E2181" s="28" t="e">
        <f ca="1">[1]!BexGetData("DP_1","003N8EMH8GTFRCSWKMPXRRL3Y","GSON1112151523")</f>
        <v>#NAME?</v>
      </c>
      <c r="F2181" s="24" t="e">
        <f ca="1">[1]!BexGetData("DP_1","003N8EMH8GTFRCSWKMPXRRRFI","GSON1112151523")</f>
        <v>#NAME?</v>
      </c>
      <c r="G2181" s="24" t="e">
        <f ca="1">[1]!BexGetData("DP_1","003N8EMH8GTFRCSWKMPXRRXR2","GSON1112151523")</f>
        <v>#NAME?</v>
      </c>
      <c r="H2181" s="24" t="e">
        <f ca="1">[1]!BexGetData("DP_1","003N8EMH8GTFRCSWKMPXRS42M","GSON1112151523")</f>
        <v>#NAME?</v>
      </c>
      <c r="I2181" s="24" t="e">
        <f ca="1">[1]!BexGetData("DP_1","003N8EMH8GTFRCSWKMPXRSAE6","GSON1112151523")</f>
        <v>#NAME?</v>
      </c>
      <c r="J2181" s="24" t="e">
        <f ca="1">[1]!BexGetData("DP_1","003N8EMH8GTFRCSWKMPXRSGPQ","GSON1112151523")</f>
        <v>#NAME?</v>
      </c>
      <c r="K2181" s="28" t="e">
        <f ca="1">[1]!BexGetData("DP_1","003N8EMH8GTFRIVNUPY288VJH","GSON1112151523")</f>
        <v>#NAME?</v>
      </c>
      <c r="L2181" s="28" t="e">
        <f ca="1">[1]!BexGetData("DP_1","003N8EMH8GTFRIVNUPY2891V1","GSON1112151523")</f>
        <v>#NAME?</v>
      </c>
      <c r="M2181" s="28" t="e">
        <f ca="1">[1]!BexGetData("DP_1","003N8EMH8GTFRIVOG7KG9IQXA","GSON1112151523")</f>
        <v>#NAME?</v>
      </c>
      <c r="N2181" s="28" t="e">
        <f ca="1">[1]!BexGetData("DP_1","003N8EMH8GTFRIVOG7KG9IX8U","GSON1112151523")</f>
        <v>#NAME?</v>
      </c>
      <c r="O2181" s="28" t="e">
        <f ca="1">[1]!BexGetData("DP_1","003N8EMH8GTFRIVOG7KG9J3KE","GSON1112151523")</f>
        <v>#NAME?</v>
      </c>
      <c r="P2181" s="28" t="e">
        <f ca="1">[1]!BexGetData("DP_1","003N8EMH8GTFRIVOG7KG9J9VY","GSON1112151523")</f>
        <v>#NAME?</v>
      </c>
      <c r="Q2181" s="24" t="e">
        <f ca="1">[1]!BexGetData("DP_1","00O2TNJGODT0G5Z4TTKYMM5MT","GSON1112151523")</f>
        <v>#NAME?</v>
      </c>
      <c r="R2181" s="24" t="e">
        <f ca="1">[1]!BexGetData("DP_1","00O2TNJGODT0G5Z4TTKYMMBYD","GSON1112151523")</f>
        <v>#NAME?</v>
      </c>
      <c r="S2181" s="24" t="e">
        <f ca="1">[1]!BexGetData("DP_1","00O2TNJGODT0G5Z4TTKYMMI9X","GSON1112151523")</f>
        <v>#NAME?</v>
      </c>
      <c r="T2181" s="24" t="e">
        <f ca="1">[1]!BexGetData("DP_1","00O2TNJGODT0G5Z4TTKYMMOLH","GSON1112151523")</f>
        <v>#NAME?</v>
      </c>
      <c r="U2181" s="24" t="e">
        <f ca="1">[1]!BexGetData("DP_1","00O2TNJGODT0G5Z4TTKYMMUX1","GSON1112151523")</f>
        <v>#NAME?</v>
      </c>
      <c r="V2181" s="24" t="e">
        <f ca="1">[1]!BexGetData("DP_1","00O2TNJGODT0G5Z4TTKYMN18L","GSON1112151523")</f>
        <v>#NAME?</v>
      </c>
      <c r="W2181" s="24" t="e">
        <f ca="1">[1]!BexGetData("DP_1","00O2TNJGODT0G5Z4TTKYMN7K5","GSON1112151523")</f>
        <v>#NAME?</v>
      </c>
    </row>
    <row r="2182" spans="1:23" x14ac:dyDescent="0.2">
      <c r="A2182" s="36" t="s">
        <v>5333</v>
      </c>
      <c r="B2182" s="27" t="s">
        <v>5334</v>
      </c>
      <c r="C2182" s="23" t="e">
        <f ca="1">[1]!BexGetData("DP_1","003N8EMH8GTFRCSWKMPXRR8GU","GSON1112151525")</f>
        <v>#NAME?</v>
      </c>
      <c r="D2182" s="23" t="e">
        <f ca="1">[1]!BexGetData("DP_1","003N8EMH8GTFRCSWKMPXRRESE","GSON1112151525")</f>
        <v>#NAME?</v>
      </c>
      <c r="E2182" s="28" t="e">
        <f ca="1">[1]!BexGetData("DP_1","003N8EMH8GTFRCSWKMPXRRL3Y","GSON1112151525")</f>
        <v>#NAME?</v>
      </c>
      <c r="F2182" s="24" t="e">
        <f ca="1">[1]!BexGetData("DP_1","003N8EMH8GTFRCSWKMPXRRRFI","GSON1112151525")</f>
        <v>#NAME?</v>
      </c>
      <c r="G2182" s="24" t="e">
        <f ca="1">[1]!BexGetData("DP_1","003N8EMH8GTFRCSWKMPXRRXR2","GSON1112151525")</f>
        <v>#NAME?</v>
      </c>
      <c r="H2182" s="24" t="e">
        <f ca="1">[1]!BexGetData("DP_1","003N8EMH8GTFRCSWKMPXRS42M","GSON1112151525")</f>
        <v>#NAME?</v>
      </c>
      <c r="I2182" s="24" t="e">
        <f ca="1">[1]!BexGetData("DP_1","003N8EMH8GTFRCSWKMPXRSAE6","GSON1112151525")</f>
        <v>#NAME?</v>
      </c>
      <c r="J2182" s="24" t="e">
        <f ca="1">[1]!BexGetData("DP_1","003N8EMH8GTFRCSWKMPXRSGPQ","GSON1112151525")</f>
        <v>#NAME?</v>
      </c>
      <c r="K2182" s="28" t="e">
        <f ca="1">[1]!BexGetData("DP_1","003N8EMH8GTFRIVNUPY288VJH","GSON1112151525")</f>
        <v>#NAME?</v>
      </c>
      <c r="L2182" s="28" t="e">
        <f ca="1">[1]!BexGetData("DP_1","003N8EMH8GTFRIVNUPY2891V1","GSON1112151525")</f>
        <v>#NAME?</v>
      </c>
      <c r="M2182" s="28" t="e">
        <f ca="1">[1]!BexGetData("DP_1","003N8EMH8GTFRIVOG7KG9IQXA","GSON1112151525")</f>
        <v>#NAME?</v>
      </c>
      <c r="N2182" s="28" t="e">
        <f ca="1">[1]!BexGetData("DP_1","003N8EMH8GTFRIVOG7KG9IX8U","GSON1112151525")</f>
        <v>#NAME?</v>
      </c>
      <c r="O2182" s="28" t="e">
        <f ca="1">[1]!BexGetData("DP_1","003N8EMH8GTFRIVOG7KG9J3KE","GSON1112151525")</f>
        <v>#NAME?</v>
      </c>
      <c r="P2182" s="28" t="e">
        <f ca="1">[1]!BexGetData("DP_1","003N8EMH8GTFRIVOG7KG9J9VY","GSON1112151525")</f>
        <v>#NAME?</v>
      </c>
      <c r="Q2182" s="24" t="e">
        <f ca="1">[1]!BexGetData("DP_1","00O2TNJGODT0G5Z4TTKYMM5MT","GSON1112151525")</f>
        <v>#NAME?</v>
      </c>
      <c r="R2182" s="24" t="e">
        <f ca="1">[1]!BexGetData("DP_1","00O2TNJGODT0G5Z4TTKYMMBYD","GSON1112151525")</f>
        <v>#NAME?</v>
      </c>
      <c r="S2182" s="24" t="e">
        <f ca="1">[1]!BexGetData("DP_1","00O2TNJGODT0G5Z4TTKYMMI9X","GSON1112151525")</f>
        <v>#NAME?</v>
      </c>
      <c r="T2182" s="24" t="e">
        <f ca="1">[1]!BexGetData("DP_1","00O2TNJGODT0G5Z4TTKYMMOLH","GSON1112151525")</f>
        <v>#NAME?</v>
      </c>
      <c r="U2182" s="24" t="e">
        <f ca="1">[1]!BexGetData("DP_1","00O2TNJGODT0G5Z4TTKYMMUX1","GSON1112151525")</f>
        <v>#NAME?</v>
      </c>
      <c r="V2182" s="24" t="e">
        <f ca="1">[1]!BexGetData("DP_1","00O2TNJGODT0G5Z4TTKYMN18L","GSON1112151525")</f>
        <v>#NAME?</v>
      </c>
      <c r="W2182" s="24" t="e">
        <f ca="1">[1]!BexGetData("DP_1","00O2TNJGODT0G5Z4TTKYMN7K5","GSON1112151525")</f>
        <v>#NAME?</v>
      </c>
    </row>
    <row r="2183" spans="1:23" x14ac:dyDescent="0.2">
      <c r="A2183" s="36" t="s">
        <v>5335</v>
      </c>
      <c r="B2183" s="27" t="s">
        <v>5336</v>
      </c>
      <c r="C2183" s="23" t="e">
        <f ca="1">[1]!BexGetData("DP_1","003N8EMH8GTFRCSWKMPXRR8GU","GSON1112151530")</f>
        <v>#NAME?</v>
      </c>
      <c r="D2183" s="23" t="e">
        <f ca="1">[1]!BexGetData("DP_1","003N8EMH8GTFRCSWKMPXRRESE","GSON1112151530")</f>
        <v>#NAME?</v>
      </c>
      <c r="E2183" s="28" t="e">
        <f ca="1">[1]!BexGetData("DP_1","003N8EMH8GTFRCSWKMPXRRL3Y","GSON1112151530")</f>
        <v>#NAME?</v>
      </c>
      <c r="F2183" s="24" t="e">
        <f ca="1">[1]!BexGetData("DP_1","003N8EMH8GTFRCSWKMPXRRRFI","GSON1112151530")</f>
        <v>#NAME?</v>
      </c>
      <c r="G2183" s="24" t="e">
        <f ca="1">[1]!BexGetData("DP_1","003N8EMH8GTFRCSWKMPXRRXR2","GSON1112151530")</f>
        <v>#NAME?</v>
      </c>
      <c r="H2183" s="24" t="e">
        <f ca="1">[1]!BexGetData("DP_1","003N8EMH8GTFRCSWKMPXRS42M","GSON1112151530")</f>
        <v>#NAME?</v>
      </c>
      <c r="I2183" s="24" t="e">
        <f ca="1">[1]!BexGetData("DP_1","003N8EMH8GTFRCSWKMPXRSAE6","GSON1112151530")</f>
        <v>#NAME?</v>
      </c>
      <c r="J2183" s="24" t="e">
        <f ca="1">[1]!BexGetData("DP_1","003N8EMH8GTFRCSWKMPXRSGPQ","GSON1112151530")</f>
        <v>#NAME?</v>
      </c>
      <c r="K2183" s="28" t="e">
        <f ca="1">[1]!BexGetData("DP_1","003N8EMH8GTFRIVNUPY288VJH","GSON1112151530")</f>
        <v>#NAME?</v>
      </c>
      <c r="L2183" s="28" t="e">
        <f ca="1">[1]!BexGetData("DP_1","003N8EMH8GTFRIVNUPY2891V1","GSON1112151530")</f>
        <v>#NAME?</v>
      </c>
      <c r="M2183" s="28" t="e">
        <f ca="1">[1]!BexGetData("DP_1","003N8EMH8GTFRIVOG7KG9IQXA","GSON1112151530")</f>
        <v>#NAME?</v>
      </c>
      <c r="N2183" s="28" t="e">
        <f ca="1">[1]!BexGetData("DP_1","003N8EMH8GTFRIVOG7KG9IX8U","GSON1112151530")</f>
        <v>#NAME?</v>
      </c>
      <c r="O2183" s="28" t="e">
        <f ca="1">[1]!BexGetData("DP_1","003N8EMH8GTFRIVOG7KG9J3KE","GSON1112151530")</f>
        <v>#NAME?</v>
      </c>
      <c r="P2183" s="28" t="e">
        <f ca="1">[1]!BexGetData("DP_1","003N8EMH8GTFRIVOG7KG9J9VY","GSON1112151530")</f>
        <v>#NAME?</v>
      </c>
      <c r="Q2183" s="24" t="e">
        <f ca="1">[1]!BexGetData("DP_1","00O2TNJGODT0G5Z4TTKYMM5MT","GSON1112151530")</f>
        <v>#NAME?</v>
      </c>
      <c r="R2183" s="24" t="e">
        <f ca="1">[1]!BexGetData("DP_1","00O2TNJGODT0G5Z4TTKYMMBYD","GSON1112151530")</f>
        <v>#NAME?</v>
      </c>
      <c r="S2183" s="24" t="e">
        <f ca="1">[1]!BexGetData("DP_1","00O2TNJGODT0G5Z4TTKYMMI9X","GSON1112151530")</f>
        <v>#NAME?</v>
      </c>
      <c r="T2183" s="24" t="e">
        <f ca="1">[1]!BexGetData("DP_1","00O2TNJGODT0G5Z4TTKYMMOLH","GSON1112151530")</f>
        <v>#NAME?</v>
      </c>
      <c r="U2183" s="24" t="e">
        <f ca="1">[1]!BexGetData("DP_1","00O2TNJGODT0G5Z4TTKYMMUX1","GSON1112151530")</f>
        <v>#NAME?</v>
      </c>
      <c r="V2183" s="24" t="e">
        <f ca="1">[1]!BexGetData("DP_1","00O2TNJGODT0G5Z4TTKYMN18L","GSON1112151530")</f>
        <v>#NAME?</v>
      </c>
      <c r="W2183" s="24" t="e">
        <f ca="1">[1]!BexGetData("DP_1","00O2TNJGODT0G5Z4TTKYMN7K5","GSON1112151530")</f>
        <v>#NAME?</v>
      </c>
    </row>
    <row r="2184" spans="1:23" x14ac:dyDescent="0.2">
      <c r="A2184" s="36" t="s">
        <v>5337</v>
      </c>
      <c r="B2184" s="27" t="s">
        <v>5338</v>
      </c>
      <c r="C2184" s="23" t="e">
        <f ca="1">[1]!BexGetData("DP_1","003N8EMH8GTFRCSWKMPXRR8GU","GSON1112151531")</f>
        <v>#NAME?</v>
      </c>
      <c r="D2184" s="23" t="e">
        <f ca="1">[1]!BexGetData("DP_1","003N8EMH8GTFRCSWKMPXRRESE","GSON1112151531")</f>
        <v>#NAME?</v>
      </c>
      <c r="E2184" s="28" t="e">
        <f ca="1">[1]!BexGetData("DP_1","003N8EMH8GTFRCSWKMPXRRL3Y","GSON1112151531")</f>
        <v>#NAME?</v>
      </c>
      <c r="F2184" s="24" t="e">
        <f ca="1">[1]!BexGetData("DP_1","003N8EMH8GTFRCSWKMPXRRRFI","GSON1112151531")</f>
        <v>#NAME?</v>
      </c>
      <c r="G2184" s="24" t="e">
        <f ca="1">[1]!BexGetData("DP_1","003N8EMH8GTFRCSWKMPXRRXR2","GSON1112151531")</f>
        <v>#NAME?</v>
      </c>
      <c r="H2184" s="24" t="e">
        <f ca="1">[1]!BexGetData("DP_1","003N8EMH8GTFRCSWKMPXRS42M","GSON1112151531")</f>
        <v>#NAME?</v>
      </c>
      <c r="I2184" s="24" t="e">
        <f ca="1">[1]!BexGetData("DP_1","003N8EMH8GTFRCSWKMPXRSAE6","GSON1112151531")</f>
        <v>#NAME?</v>
      </c>
      <c r="J2184" s="24" t="e">
        <f ca="1">[1]!BexGetData("DP_1","003N8EMH8GTFRCSWKMPXRSGPQ","GSON1112151531")</f>
        <v>#NAME?</v>
      </c>
      <c r="K2184" s="28" t="e">
        <f ca="1">[1]!BexGetData("DP_1","003N8EMH8GTFRIVNUPY288VJH","GSON1112151531")</f>
        <v>#NAME?</v>
      </c>
      <c r="L2184" s="28" t="e">
        <f ca="1">[1]!BexGetData("DP_1","003N8EMH8GTFRIVNUPY2891V1","GSON1112151531")</f>
        <v>#NAME?</v>
      </c>
      <c r="M2184" s="28" t="e">
        <f ca="1">[1]!BexGetData("DP_1","003N8EMH8GTFRIVOG7KG9IQXA","GSON1112151531")</f>
        <v>#NAME?</v>
      </c>
      <c r="N2184" s="28" t="e">
        <f ca="1">[1]!BexGetData("DP_1","003N8EMH8GTFRIVOG7KG9IX8U","GSON1112151531")</f>
        <v>#NAME?</v>
      </c>
      <c r="O2184" s="28" t="e">
        <f ca="1">[1]!BexGetData("DP_1","003N8EMH8GTFRIVOG7KG9J3KE","GSON1112151531")</f>
        <v>#NAME?</v>
      </c>
      <c r="P2184" s="28" t="e">
        <f ca="1">[1]!BexGetData("DP_1","003N8EMH8GTFRIVOG7KG9J9VY","GSON1112151531")</f>
        <v>#NAME?</v>
      </c>
      <c r="Q2184" s="24" t="e">
        <f ca="1">[1]!BexGetData("DP_1","00O2TNJGODT0G5Z4TTKYMM5MT","GSON1112151531")</f>
        <v>#NAME?</v>
      </c>
      <c r="R2184" s="24" t="e">
        <f ca="1">[1]!BexGetData("DP_1","00O2TNJGODT0G5Z4TTKYMMBYD","GSON1112151531")</f>
        <v>#NAME?</v>
      </c>
      <c r="S2184" s="24" t="e">
        <f ca="1">[1]!BexGetData("DP_1","00O2TNJGODT0G5Z4TTKYMMI9X","GSON1112151531")</f>
        <v>#NAME?</v>
      </c>
      <c r="T2184" s="24" t="e">
        <f ca="1">[1]!BexGetData("DP_1","00O2TNJGODT0G5Z4TTKYMMOLH","GSON1112151531")</f>
        <v>#NAME?</v>
      </c>
      <c r="U2184" s="24" t="e">
        <f ca="1">[1]!BexGetData("DP_1","00O2TNJGODT0G5Z4TTKYMMUX1","GSON1112151531")</f>
        <v>#NAME?</v>
      </c>
      <c r="V2184" s="24" t="e">
        <f ca="1">[1]!BexGetData("DP_1","00O2TNJGODT0G5Z4TTKYMN18L","GSON1112151531")</f>
        <v>#NAME?</v>
      </c>
      <c r="W2184" s="24" t="e">
        <f ca="1">[1]!BexGetData("DP_1","00O2TNJGODT0G5Z4TTKYMN7K5","GSON1112151531")</f>
        <v>#NAME?</v>
      </c>
    </row>
    <row r="2185" spans="1:23" x14ac:dyDescent="0.2">
      <c r="A2185" s="36" t="s">
        <v>5339</v>
      </c>
      <c r="B2185" s="27" t="s">
        <v>5340</v>
      </c>
      <c r="C2185" s="23" t="e">
        <f ca="1">[1]!BexGetData("DP_1","003N8EMH8GTFRCSWKMPXRR8GU","GSON1112151533")</f>
        <v>#NAME?</v>
      </c>
      <c r="D2185" s="23" t="e">
        <f ca="1">[1]!BexGetData("DP_1","003N8EMH8GTFRCSWKMPXRRESE","GSON1112151533")</f>
        <v>#NAME?</v>
      </c>
      <c r="E2185" s="28" t="e">
        <f ca="1">[1]!BexGetData("DP_1","003N8EMH8GTFRCSWKMPXRRL3Y","GSON1112151533")</f>
        <v>#NAME?</v>
      </c>
      <c r="F2185" s="24" t="e">
        <f ca="1">[1]!BexGetData("DP_1","003N8EMH8GTFRCSWKMPXRRRFI","GSON1112151533")</f>
        <v>#NAME?</v>
      </c>
      <c r="G2185" s="24" t="e">
        <f ca="1">[1]!BexGetData("DP_1","003N8EMH8GTFRCSWKMPXRRXR2","GSON1112151533")</f>
        <v>#NAME?</v>
      </c>
      <c r="H2185" s="24" t="e">
        <f ca="1">[1]!BexGetData("DP_1","003N8EMH8GTFRCSWKMPXRS42M","GSON1112151533")</f>
        <v>#NAME?</v>
      </c>
      <c r="I2185" s="24" t="e">
        <f ca="1">[1]!BexGetData("DP_1","003N8EMH8GTFRCSWKMPXRSAE6","GSON1112151533")</f>
        <v>#NAME?</v>
      </c>
      <c r="J2185" s="24" t="e">
        <f ca="1">[1]!BexGetData("DP_1","003N8EMH8GTFRCSWKMPXRSGPQ","GSON1112151533")</f>
        <v>#NAME?</v>
      </c>
      <c r="K2185" s="28" t="e">
        <f ca="1">[1]!BexGetData("DP_1","003N8EMH8GTFRIVNUPY288VJH","GSON1112151533")</f>
        <v>#NAME?</v>
      </c>
      <c r="L2185" s="28" t="e">
        <f ca="1">[1]!BexGetData("DP_1","003N8EMH8GTFRIVNUPY2891V1","GSON1112151533")</f>
        <v>#NAME?</v>
      </c>
      <c r="M2185" s="28" t="e">
        <f ca="1">[1]!BexGetData("DP_1","003N8EMH8GTFRIVOG7KG9IQXA","GSON1112151533")</f>
        <v>#NAME?</v>
      </c>
      <c r="N2185" s="28" t="e">
        <f ca="1">[1]!BexGetData("DP_1","003N8EMH8GTFRIVOG7KG9IX8U","GSON1112151533")</f>
        <v>#NAME?</v>
      </c>
      <c r="O2185" s="28" t="e">
        <f ca="1">[1]!BexGetData("DP_1","003N8EMH8GTFRIVOG7KG9J3KE","GSON1112151533")</f>
        <v>#NAME?</v>
      </c>
      <c r="P2185" s="28" t="e">
        <f ca="1">[1]!BexGetData("DP_1","003N8EMH8GTFRIVOG7KG9J9VY","GSON1112151533")</f>
        <v>#NAME?</v>
      </c>
      <c r="Q2185" s="24" t="e">
        <f ca="1">[1]!BexGetData("DP_1","00O2TNJGODT0G5Z4TTKYMM5MT","GSON1112151533")</f>
        <v>#NAME?</v>
      </c>
      <c r="R2185" s="24" t="e">
        <f ca="1">[1]!BexGetData("DP_1","00O2TNJGODT0G5Z4TTKYMMBYD","GSON1112151533")</f>
        <v>#NAME?</v>
      </c>
      <c r="S2185" s="24" t="e">
        <f ca="1">[1]!BexGetData("DP_1","00O2TNJGODT0G5Z4TTKYMMI9X","GSON1112151533")</f>
        <v>#NAME?</v>
      </c>
      <c r="T2185" s="24" t="e">
        <f ca="1">[1]!BexGetData("DP_1","00O2TNJGODT0G5Z4TTKYMMOLH","GSON1112151533")</f>
        <v>#NAME?</v>
      </c>
      <c r="U2185" s="24" t="e">
        <f ca="1">[1]!BexGetData("DP_1","00O2TNJGODT0G5Z4TTKYMMUX1","GSON1112151533")</f>
        <v>#NAME?</v>
      </c>
      <c r="V2185" s="24" t="e">
        <f ca="1">[1]!BexGetData("DP_1","00O2TNJGODT0G5Z4TTKYMN18L","GSON1112151533")</f>
        <v>#NAME?</v>
      </c>
      <c r="W2185" s="24" t="e">
        <f ca="1">[1]!BexGetData("DP_1","00O2TNJGODT0G5Z4TTKYMN7K5","GSON1112151533")</f>
        <v>#NAME?</v>
      </c>
    </row>
    <row r="2186" spans="1:23" x14ac:dyDescent="0.2">
      <c r="A2186" s="36" t="s">
        <v>5341</v>
      </c>
      <c r="B2186" s="27" t="s">
        <v>5342</v>
      </c>
      <c r="C2186" s="23" t="e">
        <f ca="1">[1]!BexGetData("DP_1","003N8EMH8GTFRCSWKMPXRR8GU","GSON1112151534")</f>
        <v>#NAME?</v>
      </c>
      <c r="D2186" s="23" t="e">
        <f ca="1">[1]!BexGetData("DP_1","003N8EMH8GTFRCSWKMPXRRESE","GSON1112151534")</f>
        <v>#NAME?</v>
      </c>
      <c r="E2186" s="28" t="e">
        <f ca="1">[1]!BexGetData("DP_1","003N8EMH8GTFRCSWKMPXRRL3Y","GSON1112151534")</f>
        <v>#NAME?</v>
      </c>
      <c r="F2186" s="24" t="e">
        <f ca="1">[1]!BexGetData("DP_1","003N8EMH8GTFRCSWKMPXRRRFI","GSON1112151534")</f>
        <v>#NAME?</v>
      </c>
      <c r="G2186" s="24" t="e">
        <f ca="1">[1]!BexGetData("DP_1","003N8EMH8GTFRCSWKMPXRRXR2","GSON1112151534")</f>
        <v>#NAME?</v>
      </c>
      <c r="H2186" s="24" t="e">
        <f ca="1">[1]!BexGetData("DP_1","003N8EMH8GTFRCSWKMPXRS42M","GSON1112151534")</f>
        <v>#NAME?</v>
      </c>
      <c r="I2186" s="24" t="e">
        <f ca="1">[1]!BexGetData("DP_1","003N8EMH8GTFRCSWKMPXRSAE6","GSON1112151534")</f>
        <v>#NAME?</v>
      </c>
      <c r="J2186" s="24" t="e">
        <f ca="1">[1]!BexGetData("DP_1","003N8EMH8GTFRCSWKMPXRSGPQ","GSON1112151534")</f>
        <v>#NAME?</v>
      </c>
      <c r="K2186" s="28" t="e">
        <f ca="1">[1]!BexGetData("DP_1","003N8EMH8GTFRIVNUPY288VJH","GSON1112151534")</f>
        <v>#NAME?</v>
      </c>
      <c r="L2186" s="28" t="e">
        <f ca="1">[1]!BexGetData("DP_1","003N8EMH8GTFRIVNUPY2891V1","GSON1112151534")</f>
        <v>#NAME?</v>
      </c>
      <c r="M2186" s="28" t="e">
        <f ca="1">[1]!BexGetData("DP_1","003N8EMH8GTFRIVOG7KG9IQXA","GSON1112151534")</f>
        <v>#NAME?</v>
      </c>
      <c r="N2186" s="28" t="e">
        <f ca="1">[1]!BexGetData("DP_1","003N8EMH8GTFRIVOG7KG9IX8U","GSON1112151534")</f>
        <v>#NAME?</v>
      </c>
      <c r="O2186" s="28" t="e">
        <f ca="1">[1]!BexGetData("DP_1","003N8EMH8GTFRIVOG7KG9J3KE","GSON1112151534")</f>
        <v>#NAME?</v>
      </c>
      <c r="P2186" s="28" t="e">
        <f ca="1">[1]!BexGetData("DP_1","003N8EMH8GTFRIVOG7KG9J9VY","GSON1112151534")</f>
        <v>#NAME?</v>
      </c>
      <c r="Q2186" s="24" t="e">
        <f ca="1">[1]!BexGetData("DP_1","00O2TNJGODT0G5Z4TTKYMM5MT","GSON1112151534")</f>
        <v>#NAME?</v>
      </c>
      <c r="R2186" s="24" t="e">
        <f ca="1">[1]!BexGetData("DP_1","00O2TNJGODT0G5Z4TTKYMMBYD","GSON1112151534")</f>
        <v>#NAME?</v>
      </c>
      <c r="S2186" s="24" t="e">
        <f ca="1">[1]!BexGetData("DP_1","00O2TNJGODT0G5Z4TTKYMMI9X","GSON1112151534")</f>
        <v>#NAME?</v>
      </c>
      <c r="T2186" s="24" t="e">
        <f ca="1">[1]!BexGetData("DP_1","00O2TNJGODT0G5Z4TTKYMMOLH","GSON1112151534")</f>
        <v>#NAME?</v>
      </c>
      <c r="U2186" s="24" t="e">
        <f ca="1">[1]!BexGetData("DP_1","00O2TNJGODT0G5Z4TTKYMMUX1","GSON1112151534")</f>
        <v>#NAME?</v>
      </c>
      <c r="V2186" s="24" t="e">
        <f ca="1">[1]!BexGetData("DP_1","00O2TNJGODT0G5Z4TTKYMN18L","GSON1112151534")</f>
        <v>#NAME?</v>
      </c>
      <c r="W2186" s="24" t="e">
        <f ca="1">[1]!BexGetData("DP_1","00O2TNJGODT0G5Z4TTKYMN7K5","GSON1112151534")</f>
        <v>#NAME?</v>
      </c>
    </row>
    <row r="2187" spans="1:23" x14ac:dyDescent="0.2">
      <c r="A2187" s="36" t="s">
        <v>5343</v>
      </c>
      <c r="B2187" s="27" t="s">
        <v>5344</v>
      </c>
      <c r="C2187" s="23" t="e">
        <f ca="1">[1]!BexGetData("DP_1","003N8EMH8GTFRCSWKMPXRR8GU","GSON1112151535")</f>
        <v>#NAME?</v>
      </c>
      <c r="D2187" s="23" t="e">
        <f ca="1">[1]!BexGetData("DP_1","003N8EMH8GTFRCSWKMPXRRESE","GSON1112151535")</f>
        <v>#NAME?</v>
      </c>
      <c r="E2187" s="28" t="e">
        <f ca="1">[1]!BexGetData("DP_1","003N8EMH8GTFRCSWKMPXRRL3Y","GSON1112151535")</f>
        <v>#NAME?</v>
      </c>
      <c r="F2187" s="24" t="e">
        <f ca="1">[1]!BexGetData("DP_1","003N8EMH8GTFRCSWKMPXRRRFI","GSON1112151535")</f>
        <v>#NAME?</v>
      </c>
      <c r="G2187" s="24" t="e">
        <f ca="1">[1]!BexGetData("DP_1","003N8EMH8GTFRCSWKMPXRRXR2","GSON1112151535")</f>
        <v>#NAME?</v>
      </c>
      <c r="H2187" s="24" t="e">
        <f ca="1">[1]!BexGetData("DP_1","003N8EMH8GTFRCSWKMPXRS42M","GSON1112151535")</f>
        <v>#NAME?</v>
      </c>
      <c r="I2187" s="24" t="e">
        <f ca="1">[1]!BexGetData("DP_1","003N8EMH8GTFRCSWKMPXRSAE6","GSON1112151535")</f>
        <v>#NAME?</v>
      </c>
      <c r="J2187" s="24" t="e">
        <f ca="1">[1]!BexGetData("DP_1","003N8EMH8GTFRCSWKMPXRSGPQ","GSON1112151535")</f>
        <v>#NAME?</v>
      </c>
      <c r="K2187" s="28" t="e">
        <f ca="1">[1]!BexGetData("DP_1","003N8EMH8GTFRIVNUPY288VJH","GSON1112151535")</f>
        <v>#NAME?</v>
      </c>
      <c r="L2187" s="28" t="e">
        <f ca="1">[1]!BexGetData("DP_1","003N8EMH8GTFRIVNUPY2891V1","GSON1112151535")</f>
        <v>#NAME?</v>
      </c>
      <c r="M2187" s="28" t="e">
        <f ca="1">[1]!BexGetData("DP_1","003N8EMH8GTFRIVOG7KG9IQXA","GSON1112151535")</f>
        <v>#NAME?</v>
      </c>
      <c r="N2187" s="28" t="e">
        <f ca="1">[1]!BexGetData("DP_1","003N8EMH8GTFRIVOG7KG9IX8U","GSON1112151535")</f>
        <v>#NAME?</v>
      </c>
      <c r="O2187" s="28" t="e">
        <f ca="1">[1]!BexGetData("DP_1","003N8EMH8GTFRIVOG7KG9J3KE","GSON1112151535")</f>
        <v>#NAME?</v>
      </c>
      <c r="P2187" s="28" t="e">
        <f ca="1">[1]!BexGetData("DP_1","003N8EMH8GTFRIVOG7KG9J9VY","GSON1112151535")</f>
        <v>#NAME?</v>
      </c>
      <c r="Q2187" s="24" t="e">
        <f ca="1">[1]!BexGetData("DP_1","00O2TNJGODT0G5Z4TTKYMM5MT","GSON1112151535")</f>
        <v>#NAME?</v>
      </c>
      <c r="R2187" s="24" t="e">
        <f ca="1">[1]!BexGetData("DP_1","00O2TNJGODT0G5Z4TTKYMMBYD","GSON1112151535")</f>
        <v>#NAME?</v>
      </c>
      <c r="S2187" s="24" t="e">
        <f ca="1">[1]!BexGetData("DP_1","00O2TNJGODT0G5Z4TTKYMMI9X","GSON1112151535")</f>
        <v>#NAME?</v>
      </c>
      <c r="T2187" s="24" t="e">
        <f ca="1">[1]!BexGetData("DP_1","00O2TNJGODT0G5Z4TTKYMMOLH","GSON1112151535")</f>
        <v>#NAME?</v>
      </c>
      <c r="U2187" s="24" t="e">
        <f ca="1">[1]!BexGetData("DP_1","00O2TNJGODT0G5Z4TTKYMMUX1","GSON1112151535")</f>
        <v>#NAME?</v>
      </c>
      <c r="V2187" s="24" t="e">
        <f ca="1">[1]!BexGetData("DP_1","00O2TNJGODT0G5Z4TTKYMN18L","GSON1112151535")</f>
        <v>#NAME?</v>
      </c>
      <c r="W2187" s="24" t="e">
        <f ca="1">[1]!BexGetData("DP_1","00O2TNJGODT0G5Z4TTKYMN7K5","GSON1112151535")</f>
        <v>#NAME?</v>
      </c>
    </row>
    <row r="2188" spans="1:23" x14ac:dyDescent="0.2">
      <c r="A2188" s="36" t="s">
        <v>5345</v>
      </c>
      <c r="B2188" s="27" t="s">
        <v>5346</v>
      </c>
      <c r="C2188" s="23" t="e">
        <f ca="1">[1]!BexGetData("DP_1","003N8EMH8GTFRCSWKMPXRR8GU","GSON1112151540")</f>
        <v>#NAME?</v>
      </c>
      <c r="D2188" s="23" t="e">
        <f ca="1">[1]!BexGetData("DP_1","003N8EMH8GTFRCSWKMPXRRESE","GSON1112151540")</f>
        <v>#NAME?</v>
      </c>
      <c r="E2188" s="23" t="e">
        <f ca="1">[1]!BexGetData("DP_1","003N8EMH8GTFRCSWKMPXRRL3Y","GSON1112151540")</f>
        <v>#NAME?</v>
      </c>
      <c r="F2188" s="24" t="e">
        <f ca="1">[1]!BexGetData("DP_1","003N8EMH8GTFRCSWKMPXRRRFI","GSON1112151540")</f>
        <v>#NAME?</v>
      </c>
      <c r="G2188" s="24" t="e">
        <f ca="1">[1]!BexGetData("DP_1","003N8EMH8GTFRCSWKMPXRRXR2","GSON1112151540")</f>
        <v>#NAME?</v>
      </c>
      <c r="H2188" s="24" t="e">
        <f ca="1">[1]!BexGetData("DP_1","003N8EMH8GTFRCSWKMPXRS42M","GSON1112151540")</f>
        <v>#NAME?</v>
      </c>
      <c r="I2188" s="24" t="e">
        <f ca="1">[1]!BexGetData("DP_1","003N8EMH8GTFRCSWKMPXRSAE6","GSON1112151540")</f>
        <v>#NAME?</v>
      </c>
      <c r="J2188" s="24" t="e">
        <f ca="1">[1]!BexGetData("DP_1","003N8EMH8GTFRCSWKMPXRSGPQ","GSON1112151540")</f>
        <v>#NAME?</v>
      </c>
      <c r="K2188" s="23" t="e">
        <f ca="1">[1]!BexGetData("DP_1","003N8EMH8GTFRIVNUPY288VJH","GSON1112151540")</f>
        <v>#NAME?</v>
      </c>
      <c r="L2188" s="23" t="e">
        <f ca="1">[1]!BexGetData("DP_1","003N8EMH8GTFRIVNUPY2891V1","GSON1112151540")</f>
        <v>#NAME?</v>
      </c>
      <c r="M2188" s="28" t="e">
        <f ca="1">[1]!BexGetData("DP_1","003N8EMH8GTFRIVOG7KG9IQXA","GSON1112151540")</f>
        <v>#NAME?</v>
      </c>
      <c r="N2188" s="23" t="e">
        <f ca="1">[1]!BexGetData("DP_1","003N8EMH8GTFRIVOG7KG9IX8U","GSON1112151540")</f>
        <v>#NAME?</v>
      </c>
      <c r="O2188" s="28" t="e">
        <f ca="1">[1]!BexGetData("DP_1","003N8EMH8GTFRIVOG7KG9J3KE","GSON1112151540")</f>
        <v>#NAME?</v>
      </c>
      <c r="P2188" s="23" t="e">
        <f ca="1">[1]!BexGetData("DP_1","003N8EMH8GTFRIVOG7KG9J9VY","GSON1112151540")</f>
        <v>#NAME?</v>
      </c>
      <c r="Q2188" s="24" t="e">
        <f ca="1">[1]!BexGetData("DP_1","00O2TNJGODT0G5Z4TTKYMM5MT","GSON1112151540")</f>
        <v>#NAME?</v>
      </c>
      <c r="R2188" s="24" t="e">
        <f ca="1">[1]!BexGetData("DP_1","00O2TNJGODT0G5Z4TTKYMMBYD","GSON1112151540")</f>
        <v>#NAME?</v>
      </c>
      <c r="S2188" s="24" t="e">
        <f ca="1">[1]!BexGetData("DP_1","00O2TNJGODT0G5Z4TTKYMMI9X","GSON1112151540")</f>
        <v>#NAME?</v>
      </c>
      <c r="T2188" s="24" t="e">
        <f ca="1">[1]!BexGetData("DP_1","00O2TNJGODT0G5Z4TTKYMMOLH","GSON1112151540")</f>
        <v>#NAME?</v>
      </c>
      <c r="U2188" s="24" t="e">
        <f ca="1">[1]!BexGetData("DP_1","00O2TNJGODT0G5Z4TTKYMMUX1","GSON1112151540")</f>
        <v>#NAME?</v>
      </c>
      <c r="V2188" s="24" t="e">
        <f ca="1">[1]!BexGetData("DP_1","00O2TNJGODT0G5Z4TTKYMN18L","GSON1112151540")</f>
        <v>#NAME?</v>
      </c>
      <c r="W2188" s="24" t="e">
        <f ca="1">[1]!BexGetData("DP_1","00O2TNJGODT0G5Z4TTKYMN7K5","GSON1112151540")</f>
        <v>#NAME?</v>
      </c>
    </row>
    <row r="2189" spans="1:23" x14ac:dyDescent="0.2">
      <c r="A2189" s="36" t="s">
        <v>5347</v>
      </c>
      <c r="B2189" s="27" t="s">
        <v>5348</v>
      </c>
      <c r="C2189" s="23" t="e">
        <f ca="1">[1]!BexGetData("DP_1","003N8EMH8GTFRCSWKMPXRR8GU","GSON1112151541")</f>
        <v>#NAME?</v>
      </c>
      <c r="D2189" s="23" t="e">
        <f ca="1">[1]!BexGetData("DP_1","003N8EMH8GTFRCSWKMPXRRESE","GSON1112151541")</f>
        <v>#NAME?</v>
      </c>
      <c r="E2189" s="28" t="e">
        <f ca="1">[1]!BexGetData("DP_1","003N8EMH8GTFRCSWKMPXRRL3Y","GSON1112151541")</f>
        <v>#NAME?</v>
      </c>
      <c r="F2189" s="24" t="e">
        <f ca="1">[1]!BexGetData("DP_1","003N8EMH8GTFRCSWKMPXRRRFI","GSON1112151541")</f>
        <v>#NAME?</v>
      </c>
      <c r="G2189" s="24" t="e">
        <f ca="1">[1]!BexGetData("DP_1","003N8EMH8GTFRCSWKMPXRRXR2","GSON1112151541")</f>
        <v>#NAME?</v>
      </c>
      <c r="H2189" s="24" t="e">
        <f ca="1">[1]!BexGetData("DP_1","003N8EMH8GTFRCSWKMPXRS42M","GSON1112151541")</f>
        <v>#NAME?</v>
      </c>
      <c r="I2189" s="24" t="e">
        <f ca="1">[1]!BexGetData("DP_1","003N8EMH8GTFRCSWKMPXRSAE6","GSON1112151541")</f>
        <v>#NAME?</v>
      </c>
      <c r="J2189" s="24" t="e">
        <f ca="1">[1]!BexGetData("DP_1","003N8EMH8GTFRCSWKMPXRSGPQ","GSON1112151541")</f>
        <v>#NAME?</v>
      </c>
      <c r="K2189" s="28" t="e">
        <f ca="1">[1]!BexGetData("DP_1","003N8EMH8GTFRIVNUPY288VJH","GSON1112151541")</f>
        <v>#NAME?</v>
      </c>
      <c r="L2189" s="28" t="e">
        <f ca="1">[1]!BexGetData("DP_1","003N8EMH8GTFRIVNUPY2891V1","GSON1112151541")</f>
        <v>#NAME?</v>
      </c>
      <c r="M2189" s="28" t="e">
        <f ca="1">[1]!BexGetData("DP_1","003N8EMH8GTFRIVOG7KG9IQXA","GSON1112151541")</f>
        <v>#NAME?</v>
      </c>
      <c r="N2189" s="28" t="e">
        <f ca="1">[1]!BexGetData("DP_1","003N8EMH8GTFRIVOG7KG9IX8U","GSON1112151541")</f>
        <v>#NAME?</v>
      </c>
      <c r="O2189" s="28" t="e">
        <f ca="1">[1]!BexGetData("DP_1","003N8EMH8GTFRIVOG7KG9J3KE","GSON1112151541")</f>
        <v>#NAME?</v>
      </c>
      <c r="P2189" s="28" t="e">
        <f ca="1">[1]!BexGetData("DP_1","003N8EMH8GTFRIVOG7KG9J9VY","GSON1112151541")</f>
        <v>#NAME?</v>
      </c>
      <c r="Q2189" s="24" t="e">
        <f ca="1">[1]!BexGetData("DP_1","00O2TNJGODT0G5Z4TTKYMM5MT","GSON1112151541")</f>
        <v>#NAME?</v>
      </c>
      <c r="R2189" s="24" t="e">
        <f ca="1">[1]!BexGetData("DP_1","00O2TNJGODT0G5Z4TTKYMMBYD","GSON1112151541")</f>
        <v>#NAME?</v>
      </c>
      <c r="S2189" s="24" t="e">
        <f ca="1">[1]!BexGetData("DP_1","00O2TNJGODT0G5Z4TTKYMMI9X","GSON1112151541")</f>
        <v>#NAME?</v>
      </c>
      <c r="T2189" s="24" t="e">
        <f ca="1">[1]!BexGetData("DP_1","00O2TNJGODT0G5Z4TTKYMMOLH","GSON1112151541")</f>
        <v>#NAME?</v>
      </c>
      <c r="U2189" s="24" t="e">
        <f ca="1">[1]!BexGetData("DP_1","00O2TNJGODT0G5Z4TTKYMMUX1","GSON1112151541")</f>
        <v>#NAME?</v>
      </c>
      <c r="V2189" s="24" t="e">
        <f ca="1">[1]!BexGetData("DP_1","00O2TNJGODT0G5Z4TTKYMN18L","GSON1112151541")</f>
        <v>#NAME?</v>
      </c>
      <c r="W2189" s="24" t="e">
        <f ca="1">[1]!BexGetData("DP_1","00O2TNJGODT0G5Z4TTKYMN7K5","GSON1112151541")</f>
        <v>#NAME?</v>
      </c>
    </row>
    <row r="2190" spans="1:23" x14ac:dyDescent="0.2">
      <c r="A2190" s="36" t="s">
        <v>5349</v>
      </c>
      <c r="B2190" s="27" t="s">
        <v>5350</v>
      </c>
      <c r="C2190" s="23" t="e">
        <f ca="1">[1]!BexGetData("DP_1","003N8EMH8GTFRCSWKMPXRR8GU","GSON1112151543")</f>
        <v>#NAME?</v>
      </c>
      <c r="D2190" s="23" t="e">
        <f ca="1">[1]!BexGetData("DP_1","003N8EMH8GTFRCSWKMPXRRESE","GSON1112151543")</f>
        <v>#NAME?</v>
      </c>
      <c r="E2190" s="28" t="e">
        <f ca="1">[1]!BexGetData("DP_1","003N8EMH8GTFRCSWKMPXRRL3Y","GSON1112151543")</f>
        <v>#NAME?</v>
      </c>
      <c r="F2190" s="24" t="e">
        <f ca="1">[1]!BexGetData("DP_1","003N8EMH8GTFRCSWKMPXRRRFI","GSON1112151543")</f>
        <v>#NAME?</v>
      </c>
      <c r="G2190" s="24" t="e">
        <f ca="1">[1]!BexGetData("DP_1","003N8EMH8GTFRCSWKMPXRRXR2","GSON1112151543")</f>
        <v>#NAME?</v>
      </c>
      <c r="H2190" s="24" t="e">
        <f ca="1">[1]!BexGetData("DP_1","003N8EMH8GTFRCSWKMPXRS42M","GSON1112151543")</f>
        <v>#NAME?</v>
      </c>
      <c r="I2190" s="24" t="e">
        <f ca="1">[1]!BexGetData("DP_1","003N8EMH8GTFRCSWKMPXRSAE6","GSON1112151543")</f>
        <v>#NAME?</v>
      </c>
      <c r="J2190" s="24" t="e">
        <f ca="1">[1]!BexGetData("DP_1","003N8EMH8GTFRCSWKMPXRSGPQ","GSON1112151543")</f>
        <v>#NAME?</v>
      </c>
      <c r="K2190" s="28" t="e">
        <f ca="1">[1]!BexGetData("DP_1","003N8EMH8GTFRIVNUPY288VJH","GSON1112151543")</f>
        <v>#NAME?</v>
      </c>
      <c r="L2190" s="28" t="e">
        <f ca="1">[1]!BexGetData("DP_1","003N8EMH8GTFRIVNUPY2891V1","GSON1112151543")</f>
        <v>#NAME?</v>
      </c>
      <c r="M2190" s="28" t="e">
        <f ca="1">[1]!BexGetData("DP_1","003N8EMH8GTFRIVOG7KG9IQXA","GSON1112151543")</f>
        <v>#NAME?</v>
      </c>
      <c r="N2190" s="28" t="e">
        <f ca="1">[1]!BexGetData("DP_1","003N8EMH8GTFRIVOG7KG9IX8U","GSON1112151543")</f>
        <v>#NAME?</v>
      </c>
      <c r="O2190" s="28" t="e">
        <f ca="1">[1]!BexGetData("DP_1","003N8EMH8GTFRIVOG7KG9J3KE","GSON1112151543")</f>
        <v>#NAME?</v>
      </c>
      <c r="P2190" s="28" t="e">
        <f ca="1">[1]!BexGetData("DP_1","003N8EMH8GTFRIVOG7KG9J9VY","GSON1112151543")</f>
        <v>#NAME?</v>
      </c>
      <c r="Q2190" s="24" t="e">
        <f ca="1">[1]!BexGetData("DP_1","00O2TNJGODT0G5Z4TTKYMM5MT","GSON1112151543")</f>
        <v>#NAME?</v>
      </c>
      <c r="R2190" s="24" t="e">
        <f ca="1">[1]!BexGetData("DP_1","00O2TNJGODT0G5Z4TTKYMMBYD","GSON1112151543")</f>
        <v>#NAME?</v>
      </c>
      <c r="S2190" s="24" t="e">
        <f ca="1">[1]!BexGetData("DP_1","00O2TNJGODT0G5Z4TTKYMMI9X","GSON1112151543")</f>
        <v>#NAME?</v>
      </c>
      <c r="T2190" s="24" t="e">
        <f ca="1">[1]!BexGetData("DP_1","00O2TNJGODT0G5Z4TTKYMMOLH","GSON1112151543")</f>
        <v>#NAME?</v>
      </c>
      <c r="U2190" s="24" t="e">
        <f ca="1">[1]!BexGetData("DP_1","00O2TNJGODT0G5Z4TTKYMMUX1","GSON1112151543")</f>
        <v>#NAME?</v>
      </c>
      <c r="V2190" s="24" t="e">
        <f ca="1">[1]!BexGetData("DP_1","00O2TNJGODT0G5Z4TTKYMN18L","GSON1112151543")</f>
        <v>#NAME?</v>
      </c>
      <c r="W2190" s="24" t="e">
        <f ca="1">[1]!BexGetData("DP_1","00O2TNJGODT0G5Z4TTKYMN7K5","GSON1112151543")</f>
        <v>#NAME?</v>
      </c>
    </row>
    <row r="2191" spans="1:23" x14ac:dyDescent="0.2">
      <c r="A2191" s="36" t="s">
        <v>5351</v>
      </c>
      <c r="B2191" s="27" t="s">
        <v>5352</v>
      </c>
      <c r="C2191" s="23" t="e">
        <f ca="1">[1]!BexGetData("DP_1","003N8EMH8GTFRCSWKMPXRR8GU","GSON1112151544")</f>
        <v>#NAME?</v>
      </c>
      <c r="D2191" s="23" t="e">
        <f ca="1">[1]!BexGetData("DP_1","003N8EMH8GTFRCSWKMPXRRESE","GSON1112151544")</f>
        <v>#NAME?</v>
      </c>
      <c r="E2191" s="28" t="e">
        <f ca="1">[1]!BexGetData("DP_1","003N8EMH8GTFRCSWKMPXRRL3Y","GSON1112151544")</f>
        <v>#NAME?</v>
      </c>
      <c r="F2191" s="24" t="e">
        <f ca="1">[1]!BexGetData("DP_1","003N8EMH8GTFRCSWKMPXRRRFI","GSON1112151544")</f>
        <v>#NAME?</v>
      </c>
      <c r="G2191" s="24" t="e">
        <f ca="1">[1]!BexGetData("DP_1","003N8EMH8GTFRCSWKMPXRRXR2","GSON1112151544")</f>
        <v>#NAME?</v>
      </c>
      <c r="H2191" s="24" t="e">
        <f ca="1">[1]!BexGetData("DP_1","003N8EMH8GTFRCSWKMPXRS42M","GSON1112151544")</f>
        <v>#NAME?</v>
      </c>
      <c r="I2191" s="24" t="e">
        <f ca="1">[1]!BexGetData("DP_1","003N8EMH8GTFRCSWKMPXRSAE6","GSON1112151544")</f>
        <v>#NAME?</v>
      </c>
      <c r="J2191" s="24" t="e">
        <f ca="1">[1]!BexGetData("DP_1","003N8EMH8GTFRCSWKMPXRSGPQ","GSON1112151544")</f>
        <v>#NAME?</v>
      </c>
      <c r="K2191" s="28" t="e">
        <f ca="1">[1]!BexGetData("DP_1","003N8EMH8GTFRIVNUPY288VJH","GSON1112151544")</f>
        <v>#NAME?</v>
      </c>
      <c r="L2191" s="28" t="e">
        <f ca="1">[1]!BexGetData("DP_1","003N8EMH8GTFRIVNUPY2891V1","GSON1112151544")</f>
        <v>#NAME?</v>
      </c>
      <c r="M2191" s="28" t="e">
        <f ca="1">[1]!BexGetData("DP_1","003N8EMH8GTFRIVOG7KG9IQXA","GSON1112151544")</f>
        <v>#NAME?</v>
      </c>
      <c r="N2191" s="28" t="e">
        <f ca="1">[1]!BexGetData("DP_1","003N8EMH8GTFRIVOG7KG9IX8U","GSON1112151544")</f>
        <v>#NAME?</v>
      </c>
      <c r="O2191" s="28" t="e">
        <f ca="1">[1]!BexGetData("DP_1","003N8EMH8GTFRIVOG7KG9J3KE","GSON1112151544")</f>
        <v>#NAME?</v>
      </c>
      <c r="P2191" s="28" t="e">
        <f ca="1">[1]!BexGetData("DP_1","003N8EMH8GTFRIVOG7KG9J9VY","GSON1112151544")</f>
        <v>#NAME?</v>
      </c>
      <c r="Q2191" s="24" t="e">
        <f ca="1">[1]!BexGetData("DP_1","00O2TNJGODT0G5Z4TTKYMM5MT","GSON1112151544")</f>
        <v>#NAME?</v>
      </c>
      <c r="R2191" s="24" t="e">
        <f ca="1">[1]!BexGetData("DP_1","00O2TNJGODT0G5Z4TTKYMMBYD","GSON1112151544")</f>
        <v>#NAME?</v>
      </c>
      <c r="S2191" s="24" t="e">
        <f ca="1">[1]!BexGetData("DP_1","00O2TNJGODT0G5Z4TTKYMMI9X","GSON1112151544")</f>
        <v>#NAME?</v>
      </c>
      <c r="T2191" s="24" t="e">
        <f ca="1">[1]!BexGetData("DP_1","00O2TNJGODT0G5Z4TTKYMMOLH","GSON1112151544")</f>
        <v>#NAME?</v>
      </c>
      <c r="U2191" s="24" t="e">
        <f ca="1">[1]!BexGetData("DP_1","00O2TNJGODT0G5Z4TTKYMMUX1","GSON1112151544")</f>
        <v>#NAME?</v>
      </c>
      <c r="V2191" s="24" t="e">
        <f ca="1">[1]!BexGetData("DP_1","00O2TNJGODT0G5Z4TTKYMN18L","GSON1112151544")</f>
        <v>#NAME?</v>
      </c>
      <c r="W2191" s="24" t="e">
        <f ca="1">[1]!BexGetData("DP_1","00O2TNJGODT0G5Z4TTKYMN7K5","GSON1112151544")</f>
        <v>#NAME?</v>
      </c>
    </row>
    <row r="2192" spans="1:23" x14ac:dyDescent="0.2">
      <c r="A2192" s="36" t="s">
        <v>5353</v>
      </c>
      <c r="B2192" s="27" t="s">
        <v>5354</v>
      </c>
      <c r="C2192" s="23" t="e">
        <f ca="1">[1]!BexGetData("DP_1","003N8EMH8GTFRCSWKMPXRR8GU","GSON1112151545")</f>
        <v>#NAME?</v>
      </c>
      <c r="D2192" s="23" t="e">
        <f ca="1">[1]!BexGetData("DP_1","003N8EMH8GTFRCSWKMPXRRESE","GSON1112151545")</f>
        <v>#NAME?</v>
      </c>
      <c r="E2192" s="28" t="e">
        <f ca="1">[1]!BexGetData("DP_1","003N8EMH8GTFRCSWKMPXRRL3Y","GSON1112151545")</f>
        <v>#NAME?</v>
      </c>
      <c r="F2192" s="24" t="e">
        <f ca="1">[1]!BexGetData("DP_1","003N8EMH8GTFRCSWKMPXRRRFI","GSON1112151545")</f>
        <v>#NAME?</v>
      </c>
      <c r="G2192" s="24" t="e">
        <f ca="1">[1]!BexGetData("DP_1","003N8EMH8GTFRCSWKMPXRRXR2","GSON1112151545")</f>
        <v>#NAME?</v>
      </c>
      <c r="H2192" s="24" t="e">
        <f ca="1">[1]!BexGetData("DP_1","003N8EMH8GTFRCSWKMPXRS42M","GSON1112151545")</f>
        <v>#NAME?</v>
      </c>
      <c r="I2192" s="24" t="e">
        <f ca="1">[1]!BexGetData("DP_1","003N8EMH8GTFRCSWKMPXRSAE6","GSON1112151545")</f>
        <v>#NAME?</v>
      </c>
      <c r="J2192" s="24" t="e">
        <f ca="1">[1]!BexGetData("DP_1","003N8EMH8GTFRCSWKMPXRSGPQ","GSON1112151545")</f>
        <v>#NAME?</v>
      </c>
      <c r="K2192" s="28" t="e">
        <f ca="1">[1]!BexGetData("DP_1","003N8EMH8GTFRIVNUPY288VJH","GSON1112151545")</f>
        <v>#NAME?</v>
      </c>
      <c r="L2192" s="28" t="e">
        <f ca="1">[1]!BexGetData("DP_1","003N8EMH8GTFRIVNUPY2891V1","GSON1112151545")</f>
        <v>#NAME?</v>
      </c>
      <c r="M2192" s="28" t="e">
        <f ca="1">[1]!BexGetData("DP_1","003N8EMH8GTFRIVOG7KG9IQXA","GSON1112151545")</f>
        <v>#NAME?</v>
      </c>
      <c r="N2192" s="28" t="e">
        <f ca="1">[1]!BexGetData("DP_1","003N8EMH8GTFRIVOG7KG9IX8U","GSON1112151545")</f>
        <v>#NAME?</v>
      </c>
      <c r="O2192" s="28" t="e">
        <f ca="1">[1]!BexGetData("DP_1","003N8EMH8GTFRIVOG7KG9J3KE","GSON1112151545")</f>
        <v>#NAME?</v>
      </c>
      <c r="P2192" s="28" t="e">
        <f ca="1">[1]!BexGetData("DP_1","003N8EMH8GTFRIVOG7KG9J9VY","GSON1112151545")</f>
        <v>#NAME?</v>
      </c>
      <c r="Q2192" s="24" t="e">
        <f ca="1">[1]!BexGetData("DP_1","00O2TNJGODT0G5Z4TTKYMM5MT","GSON1112151545")</f>
        <v>#NAME?</v>
      </c>
      <c r="R2192" s="24" t="e">
        <f ca="1">[1]!BexGetData("DP_1","00O2TNJGODT0G5Z4TTKYMMBYD","GSON1112151545")</f>
        <v>#NAME?</v>
      </c>
      <c r="S2192" s="24" t="e">
        <f ca="1">[1]!BexGetData("DP_1","00O2TNJGODT0G5Z4TTKYMMI9X","GSON1112151545")</f>
        <v>#NAME?</v>
      </c>
      <c r="T2192" s="24" t="e">
        <f ca="1">[1]!BexGetData("DP_1","00O2TNJGODT0G5Z4TTKYMMOLH","GSON1112151545")</f>
        <v>#NAME?</v>
      </c>
      <c r="U2192" s="24" t="e">
        <f ca="1">[1]!BexGetData("DP_1","00O2TNJGODT0G5Z4TTKYMMUX1","GSON1112151545")</f>
        <v>#NAME?</v>
      </c>
      <c r="V2192" s="24" t="e">
        <f ca="1">[1]!BexGetData("DP_1","00O2TNJGODT0G5Z4TTKYMN18L","GSON1112151545")</f>
        <v>#NAME?</v>
      </c>
      <c r="W2192" s="24" t="e">
        <f ca="1">[1]!BexGetData("DP_1","00O2TNJGODT0G5Z4TTKYMN7K5","GSON1112151545")</f>
        <v>#NAME?</v>
      </c>
    </row>
    <row r="2193" spans="1:23" x14ac:dyDescent="0.2">
      <c r="A2193" s="36" t="s">
        <v>5355</v>
      </c>
      <c r="B2193" s="27" t="s">
        <v>5356</v>
      </c>
      <c r="C2193" s="23" t="e">
        <f ca="1">[1]!BexGetData("DP_1","003N8EMH8GTFRCSWKMPXRR8GU","GSON1112151550")</f>
        <v>#NAME?</v>
      </c>
      <c r="D2193" s="23" t="e">
        <f ca="1">[1]!BexGetData("DP_1","003N8EMH8GTFRCSWKMPXRRESE","GSON1112151550")</f>
        <v>#NAME?</v>
      </c>
      <c r="E2193" s="28" t="e">
        <f ca="1">[1]!BexGetData("DP_1","003N8EMH8GTFRCSWKMPXRRL3Y","GSON1112151550")</f>
        <v>#NAME?</v>
      </c>
      <c r="F2193" s="24" t="e">
        <f ca="1">[1]!BexGetData("DP_1","003N8EMH8GTFRCSWKMPXRRRFI","GSON1112151550")</f>
        <v>#NAME?</v>
      </c>
      <c r="G2193" s="24" t="e">
        <f ca="1">[1]!BexGetData("DP_1","003N8EMH8GTFRCSWKMPXRRXR2","GSON1112151550")</f>
        <v>#NAME?</v>
      </c>
      <c r="H2193" s="24" t="e">
        <f ca="1">[1]!BexGetData("DP_1","003N8EMH8GTFRCSWKMPXRS42M","GSON1112151550")</f>
        <v>#NAME?</v>
      </c>
      <c r="I2193" s="24" t="e">
        <f ca="1">[1]!BexGetData("DP_1","003N8EMH8GTFRCSWKMPXRSAE6","GSON1112151550")</f>
        <v>#NAME?</v>
      </c>
      <c r="J2193" s="24" t="e">
        <f ca="1">[1]!BexGetData("DP_1","003N8EMH8GTFRCSWKMPXRSGPQ","GSON1112151550")</f>
        <v>#NAME?</v>
      </c>
      <c r="K2193" s="28" t="e">
        <f ca="1">[1]!BexGetData("DP_1","003N8EMH8GTFRIVNUPY288VJH","GSON1112151550")</f>
        <v>#NAME?</v>
      </c>
      <c r="L2193" s="28" t="e">
        <f ca="1">[1]!BexGetData("DP_1","003N8EMH8GTFRIVNUPY2891V1","GSON1112151550")</f>
        <v>#NAME?</v>
      </c>
      <c r="M2193" s="28" t="e">
        <f ca="1">[1]!BexGetData("DP_1","003N8EMH8GTFRIVOG7KG9IQXA","GSON1112151550")</f>
        <v>#NAME?</v>
      </c>
      <c r="N2193" s="28" t="e">
        <f ca="1">[1]!BexGetData("DP_1","003N8EMH8GTFRIVOG7KG9IX8U","GSON1112151550")</f>
        <v>#NAME?</v>
      </c>
      <c r="O2193" s="28" t="e">
        <f ca="1">[1]!BexGetData("DP_1","003N8EMH8GTFRIVOG7KG9J3KE","GSON1112151550")</f>
        <v>#NAME?</v>
      </c>
      <c r="P2193" s="28" t="e">
        <f ca="1">[1]!BexGetData("DP_1","003N8EMH8GTFRIVOG7KG9J9VY","GSON1112151550")</f>
        <v>#NAME?</v>
      </c>
      <c r="Q2193" s="24" t="e">
        <f ca="1">[1]!BexGetData("DP_1","00O2TNJGODT0G5Z4TTKYMM5MT","GSON1112151550")</f>
        <v>#NAME?</v>
      </c>
      <c r="R2193" s="24" t="e">
        <f ca="1">[1]!BexGetData("DP_1","00O2TNJGODT0G5Z4TTKYMMBYD","GSON1112151550")</f>
        <v>#NAME?</v>
      </c>
      <c r="S2193" s="24" t="e">
        <f ca="1">[1]!BexGetData("DP_1","00O2TNJGODT0G5Z4TTKYMMI9X","GSON1112151550")</f>
        <v>#NAME?</v>
      </c>
      <c r="T2193" s="24" t="e">
        <f ca="1">[1]!BexGetData("DP_1","00O2TNJGODT0G5Z4TTKYMMOLH","GSON1112151550")</f>
        <v>#NAME?</v>
      </c>
      <c r="U2193" s="24" t="e">
        <f ca="1">[1]!BexGetData("DP_1","00O2TNJGODT0G5Z4TTKYMMUX1","GSON1112151550")</f>
        <v>#NAME?</v>
      </c>
      <c r="V2193" s="24" t="e">
        <f ca="1">[1]!BexGetData("DP_1","00O2TNJGODT0G5Z4TTKYMN18L","GSON1112151550")</f>
        <v>#NAME?</v>
      </c>
      <c r="W2193" s="24" t="e">
        <f ca="1">[1]!BexGetData("DP_1","00O2TNJGODT0G5Z4TTKYMN7K5","GSON1112151550")</f>
        <v>#NAME?</v>
      </c>
    </row>
    <row r="2194" spans="1:23" x14ac:dyDescent="0.2">
      <c r="A2194" s="36" t="s">
        <v>5357</v>
      </c>
      <c r="B2194" s="27" t="s">
        <v>5358</v>
      </c>
      <c r="C2194" s="23" t="e">
        <f ca="1">[1]!BexGetData("DP_1","003N8EMH8GTFRCSWKMPXRR8GU","GSON1112151551")</f>
        <v>#NAME?</v>
      </c>
      <c r="D2194" s="23" t="e">
        <f ca="1">[1]!BexGetData("DP_1","003N8EMH8GTFRCSWKMPXRRESE","GSON1112151551")</f>
        <v>#NAME?</v>
      </c>
      <c r="E2194" s="28" t="e">
        <f ca="1">[1]!BexGetData("DP_1","003N8EMH8GTFRCSWKMPXRRL3Y","GSON1112151551")</f>
        <v>#NAME?</v>
      </c>
      <c r="F2194" s="24" t="e">
        <f ca="1">[1]!BexGetData("DP_1","003N8EMH8GTFRCSWKMPXRRRFI","GSON1112151551")</f>
        <v>#NAME?</v>
      </c>
      <c r="G2194" s="24" t="e">
        <f ca="1">[1]!BexGetData("DP_1","003N8EMH8GTFRCSWKMPXRRXR2","GSON1112151551")</f>
        <v>#NAME?</v>
      </c>
      <c r="H2194" s="24" t="e">
        <f ca="1">[1]!BexGetData("DP_1","003N8EMH8GTFRCSWKMPXRS42M","GSON1112151551")</f>
        <v>#NAME?</v>
      </c>
      <c r="I2194" s="24" t="e">
        <f ca="1">[1]!BexGetData("DP_1","003N8EMH8GTFRCSWKMPXRSAE6","GSON1112151551")</f>
        <v>#NAME?</v>
      </c>
      <c r="J2194" s="24" t="e">
        <f ca="1">[1]!BexGetData("DP_1","003N8EMH8GTFRCSWKMPXRSGPQ","GSON1112151551")</f>
        <v>#NAME?</v>
      </c>
      <c r="K2194" s="28" t="e">
        <f ca="1">[1]!BexGetData("DP_1","003N8EMH8GTFRIVNUPY288VJH","GSON1112151551")</f>
        <v>#NAME?</v>
      </c>
      <c r="L2194" s="28" t="e">
        <f ca="1">[1]!BexGetData("DP_1","003N8EMH8GTFRIVNUPY2891V1","GSON1112151551")</f>
        <v>#NAME?</v>
      </c>
      <c r="M2194" s="28" t="e">
        <f ca="1">[1]!BexGetData("DP_1","003N8EMH8GTFRIVOG7KG9IQXA","GSON1112151551")</f>
        <v>#NAME?</v>
      </c>
      <c r="N2194" s="28" t="e">
        <f ca="1">[1]!BexGetData("DP_1","003N8EMH8GTFRIVOG7KG9IX8U","GSON1112151551")</f>
        <v>#NAME?</v>
      </c>
      <c r="O2194" s="28" t="e">
        <f ca="1">[1]!BexGetData("DP_1","003N8EMH8GTFRIVOG7KG9J3KE","GSON1112151551")</f>
        <v>#NAME?</v>
      </c>
      <c r="P2194" s="28" t="e">
        <f ca="1">[1]!BexGetData("DP_1","003N8EMH8GTFRIVOG7KG9J9VY","GSON1112151551")</f>
        <v>#NAME?</v>
      </c>
      <c r="Q2194" s="24" t="e">
        <f ca="1">[1]!BexGetData("DP_1","00O2TNJGODT0G5Z4TTKYMM5MT","GSON1112151551")</f>
        <v>#NAME?</v>
      </c>
      <c r="R2194" s="24" t="e">
        <f ca="1">[1]!BexGetData("DP_1","00O2TNJGODT0G5Z4TTKYMMBYD","GSON1112151551")</f>
        <v>#NAME?</v>
      </c>
      <c r="S2194" s="24" t="e">
        <f ca="1">[1]!BexGetData("DP_1","00O2TNJGODT0G5Z4TTKYMMI9X","GSON1112151551")</f>
        <v>#NAME?</v>
      </c>
      <c r="T2194" s="24" t="e">
        <f ca="1">[1]!BexGetData("DP_1","00O2TNJGODT0G5Z4TTKYMMOLH","GSON1112151551")</f>
        <v>#NAME?</v>
      </c>
      <c r="U2194" s="24" t="e">
        <f ca="1">[1]!BexGetData("DP_1","00O2TNJGODT0G5Z4TTKYMMUX1","GSON1112151551")</f>
        <v>#NAME?</v>
      </c>
      <c r="V2194" s="24" t="e">
        <f ca="1">[1]!BexGetData("DP_1","00O2TNJGODT0G5Z4TTKYMN18L","GSON1112151551")</f>
        <v>#NAME?</v>
      </c>
      <c r="W2194" s="24" t="e">
        <f ca="1">[1]!BexGetData("DP_1","00O2TNJGODT0G5Z4TTKYMN7K5","GSON1112151551")</f>
        <v>#NAME?</v>
      </c>
    </row>
    <row r="2195" spans="1:23" x14ac:dyDescent="0.2">
      <c r="A2195" s="36" t="s">
        <v>5359</v>
      </c>
      <c r="B2195" s="27" t="s">
        <v>5360</v>
      </c>
      <c r="C2195" s="23" t="e">
        <f ca="1">[1]!BexGetData("DP_1","003N8EMH8GTFRCSWKMPXRR8GU","GSON1112151553")</f>
        <v>#NAME?</v>
      </c>
      <c r="D2195" s="23" t="e">
        <f ca="1">[1]!BexGetData("DP_1","003N8EMH8GTFRCSWKMPXRRESE","GSON1112151553")</f>
        <v>#NAME?</v>
      </c>
      <c r="E2195" s="28" t="e">
        <f ca="1">[1]!BexGetData("DP_1","003N8EMH8GTFRCSWKMPXRRL3Y","GSON1112151553")</f>
        <v>#NAME?</v>
      </c>
      <c r="F2195" s="24" t="e">
        <f ca="1">[1]!BexGetData("DP_1","003N8EMH8GTFRCSWKMPXRRRFI","GSON1112151553")</f>
        <v>#NAME?</v>
      </c>
      <c r="G2195" s="24" t="e">
        <f ca="1">[1]!BexGetData("DP_1","003N8EMH8GTFRCSWKMPXRRXR2","GSON1112151553")</f>
        <v>#NAME?</v>
      </c>
      <c r="H2195" s="24" t="e">
        <f ca="1">[1]!BexGetData("DP_1","003N8EMH8GTFRCSWKMPXRS42M","GSON1112151553")</f>
        <v>#NAME?</v>
      </c>
      <c r="I2195" s="24" t="e">
        <f ca="1">[1]!BexGetData("DP_1","003N8EMH8GTFRCSWKMPXRSAE6","GSON1112151553")</f>
        <v>#NAME?</v>
      </c>
      <c r="J2195" s="24" t="e">
        <f ca="1">[1]!BexGetData("DP_1","003N8EMH8GTFRCSWKMPXRSGPQ","GSON1112151553")</f>
        <v>#NAME?</v>
      </c>
      <c r="K2195" s="28" t="e">
        <f ca="1">[1]!BexGetData("DP_1","003N8EMH8GTFRIVNUPY288VJH","GSON1112151553")</f>
        <v>#NAME?</v>
      </c>
      <c r="L2195" s="28" t="e">
        <f ca="1">[1]!BexGetData("DP_1","003N8EMH8GTFRIVNUPY2891V1","GSON1112151553")</f>
        <v>#NAME?</v>
      </c>
      <c r="M2195" s="28" t="e">
        <f ca="1">[1]!BexGetData("DP_1","003N8EMH8GTFRIVOG7KG9IQXA","GSON1112151553")</f>
        <v>#NAME?</v>
      </c>
      <c r="N2195" s="28" t="e">
        <f ca="1">[1]!BexGetData("DP_1","003N8EMH8GTFRIVOG7KG9IX8U","GSON1112151553")</f>
        <v>#NAME?</v>
      </c>
      <c r="O2195" s="28" t="e">
        <f ca="1">[1]!BexGetData("DP_1","003N8EMH8GTFRIVOG7KG9J3KE","GSON1112151553")</f>
        <v>#NAME?</v>
      </c>
      <c r="P2195" s="28" t="e">
        <f ca="1">[1]!BexGetData("DP_1","003N8EMH8GTFRIVOG7KG9J9VY","GSON1112151553")</f>
        <v>#NAME?</v>
      </c>
      <c r="Q2195" s="24" t="e">
        <f ca="1">[1]!BexGetData("DP_1","00O2TNJGODT0G5Z4TTKYMM5MT","GSON1112151553")</f>
        <v>#NAME?</v>
      </c>
      <c r="R2195" s="24" t="e">
        <f ca="1">[1]!BexGetData("DP_1","00O2TNJGODT0G5Z4TTKYMMBYD","GSON1112151553")</f>
        <v>#NAME?</v>
      </c>
      <c r="S2195" s="24" t="e">
        <f ca="1">[1]!BexGetData("DP_1","00O2TNJGODT0G5Z4TTKYMMI9X","GSON1112151553")</f>
        <v>#NAME?</v>
      </c>
      <c r="T2195" s="24" t="e">
        <f ca="1">[1]!BexGetData("DP_1","00O2TNJGODT0G5Z4TTKYMMOLH","GSON1112151553")</f>
        <v>#NAME?</v>
      </c>
      <c r="U2195" s="24" t="e">
        <f ca="1">[1]!BexGetData("DP_1","00O2TNJGODT0G5Z4TTKYMMUX1","GSON1112151553")</f>
        <v>#NAME?</v>
      </c>
      <c r="V2195" s="24" t="e">
        <f ca="1">[1]!BexGetData("DP_1","00O2TNJGODT0G5Z4TTKYMN18L","GSON1112151553")</f>
        <v>#NAME?</v>
      </c>
      <c r="W2195" s="24" t="e">
        <f ca="1">[1]!BexGetData("DP_1","00O2TNJGODT0G5Z4TTKYMN7K5","GSON1112151553")</f>
        <v>#NAME?</v>
      </c>
    </row>
    <row r="2196" spans="1:23" x14ac:dyDescent="0.2">
      <c r="A2196" s="36" t="s">
        <v>5361</v>
      </c>
      <c r="B2196" s="27" t="s">
        <v>5362</v>
      </c>
      <c r="C2196" s="23" t="e">
        <f ca="1">[1]!BexGetData("DP_1","003N8EMH8GTFRCSWKMPXRR8GU","GSON1112151555")</f>
        <v>#NAME?</v>
      </c>
      <c r="D2196" s="23" t="e">
        <f ca="1">[1]!BexGetData("DP_1","003N8EMH8GTFRCSWKMPXRRESE","GSON1112151555")</f>
        <v>#NAME?</v>
      </c>
      <c r="E2196" s="28" t="e">
        <f ca="1">[1]!BexGetData("DP_1","003N8EMH8GTFRCSWKMPXRRL3Y","GSON1112151555")</f>
        <v>#NAME?</v>
      </c>
      <c r="F2196" s="24" t="e">
        <f ca="1">[1]!BexGetData("DP_1","003N8EMH8GTFRCSWKMPXRRRFI","GSON1112151555")</f>
        <v>#NAME?</v>
      </c>
      <c r="G2196" s="24" t="e">
        <f ca="1">[1]!BexGetData("DP_1","003N8EMH8GTFRCSWKMPXRRXR2","GSON1112151555")</f>
        <v>#NAME?</v>
      </c>
      <c r="H2196" s="24" t="e">
        <f ca="1">[1]!BexGetData("DP_1","003N8EMH8GTFRCSWKMPXRS42M","GSON1112151555")</f>
        <v>#NAME?</v>
      </c>
      <c r="I2196" s="24" t="e">
        <f ca="1">[1]!BexGetData("DP_1","003N8EMH8GTFRCSWKMPXRSAE6","GSON1112151555")</f>
        <v>#NAME?</v>
      </c>
      <c r="J2196" s="24" t="e">
        <f ca="1">[1]!BexGetData("DP_1","003N8EMH8GTFRCSWKMPXRSGPQ","GSON1112151555")</f>
        <v>#NAME?</v>
      </c>
      <c r="K2196" s="28" t="e">
        <f ca="1">[1]!BexGetData("DP_1","003N8EMH8GTFRIVNUPY288VJH","GSON1112151555")</f>
        <v>#NAME?</v>
      </c>
      <c r="L2196" s="28" t="e">
        <f ca="1">[1]!BexGetData("DP_1","003N8EMH8GTFRIVNUPY2891V1","GSON1112151555")</f>
        <v>#NAME?</v>
      </c>
      <c r="M2196" s="28" t="e">
        <f ca="1">[1]!BexGetData("DP_1","003N8EMH8GTFRIVOG7KG9IQXA","GSON1112151555")</f>
        <v>#NAME?</v>
      </c>
      <c r="N2196" s="28" t="e">
        <f ca="1">[1]!BexGetData("DP_1","003N8EMH8GTFRIVOG7KG9IX8U","GSON1112151555")</f>
        <v>#NAME?</v>
      </c>
      <c r="O2196" s="28" t="e">
        <f ca="1">[1]!BexGetData("DP_1","003N8EMH8GTFRIVOG7KG9J3KE","GSON1112151555")</f>
        <v>#NAME?</v>
      </c>
      <c r="P2196" s="28" t="e">
        <f ca="1">[1]!BexGetData("DP_1","003N8EMH8GTFRIVOG7KG9J9VY","GSON1112151555")</f>
        <v>#NAME?</v>
      </c>
      <c r="Q2196" s="24" t="e">
        <f ca="1">[1]!BexGetData("DP_1","00O2TNJGODT0G5Z4TTKYMM5MT","GSON1112151555")</f>
        <v>#NAME?</v>
      </c>
      <c r="R2196" s="24" t="e">
        <f ca="1">[1]!BexGetData("DP_1","00O2TNJGODT0G5Z4TTKYMMBYD","GSON1112151555")</f>
        <v>#NAME?</v>
      </c>
      <c r="S2196" s="24" t="e">
        <f ca="1">[1]!BexGetData("DP_1","00O2TNJGODT0G5Z4TTKYMMI9X","GSON1112151555")</f>
        <v>#NAME?</v>
      </c>
      <c r="T2196" s="24" t="e">
        <f ca="1">[1]!BexGetData("DP_1","00O2TNJGODT0G5Z4TTKYMMOLH","GSON1112151555")</f>
        <v>#NAME?</v>
      </c>
      <c r="U2196" s="24" t="e">
        <f ca="1">[1]!BexGetData("DP_1","00O2TNJGODT0G5Z4TTKYMMUX1","GSON1112151555")</f>
        <v>#NAME?</v>
      </c>
      <c r="V2196" s="24" t="e">
        <f ca="1">[1]!BexGetData("DP_1","00O2TNJGODT0G5Z4TTKYMN18L","GSON1112151555")</f>
        <v>#NAME?</v>
      </c>
      <c r="W2196" s="24" t="e">
        <f ca="1">[1]!BexGetData("DP_1","00O2TNJGODT0G5Z4TTKYMN7K5","GSON1112151555")</f>
        <v>#NAME?</v>
      </c>
    </row>
    <row r="2197" spans="1:23" x14ac:dyDescent="0.2">
      <c r="A2197" s="36" t="s">
        <v>5363</v>
      </c>
      <c r="B2197" s="27" t="s">
        <v>5364</v>
      </c>
      <c r="C2197" s="23" t="e">
        <f ca="1">[1]!BexGetData("DP_1","003N8EMH8GTFRCSWKMPXRR8GU","GSON1112151560")</f>
        <v>#NAME?</v>
      </c>
      <c r="D2197" s="23" t="e">
        <f ca="1">[1]!BexGetData("DP_1","003N8EMH8GTFRCSWKMPXRRESE","GSON1112151560")</f>
        <v>#NAME?</v>
      </c>
      <c r="E2197" s="23" t="e">
        <f ca="1">[1]!BexGetData("DP_1","003N8EMH8GTFRCSWKMPXRRL3Y","GSON1112151560")</f>
        <v>#NAME?</v>
      </c>
      <c r="F2197" s="24" t="e">
        <f ca="1">[1]!BexGetData("DP_1","003N8EMH8GTFRCSWKMPXRRRFI","GSON1112151560")</f>
        <v>#NAME?</v>
      </c>
      <c r="G2197" s="24" t="e">
        <f ca="1">[1]!BexGetData("DP_1","003N8EMH8GTFRCSWKMPXRRXR2","GSON1112151560")</f>
        <v>#NAME?</v>
      </c>
      <c r="H2197" s="24" t="e">
        <f ca="1">[1]!BexGetData("DP_1","003N8EMH8GTFRCSWKMPXRS42M","GSON1112151560")</f>
        <v>#NAME?</v>
      </c>
      <c r="I2197" s="24" t="e">
        <f ca="1">[1]!BexGetData("DP_1","003N8EMH8GTFRCSWKMPXRSAE6","GSON1112151560")</f>
        <v>#NAME?</v>
      </c>
      <c r="J2197" s="24" t="e">
        <f ca="1">[1]!BexGetData("DP_1","003N8EMH8GTFRCSWKMPXRSGPQ","GSON1112151560")</f>
        <v>#NAME?</v>
      </c>
      <c r="K2197" s="23" t="e">
        <f ca="1">[1]!BexGetData("DP_1","003N8EMH8GTFRIVNUPY288VJH","GSON1112151560")</f>
        <v>#NAME?</v>
      </c>
      <c r="L2197" s="23" t="e">
        <f ca="1">[1]!BexGetData("DP_1","003N8EMH8GTFRIVNUPY2891V1","GSON1112151560")</f>
        <v>#NAME?</v>
      </c>
      <c r="M2197" s="28" t="e">
        <f ca="1">[1]!BexGetData("DP_1","003N8EMH8GTFRIVOG7KG9IQXA","GSON1112151560")</f>
        <v>#NAME?</v>
      </c>
      <c r="N2197" s="23" t="e">
        <f ca="1">[1]!BexGetData("DP_1","003N8EMH8GTFRIVOG7KG9IX8U","GSON1112151560")</f>
        <v>#NAME?</v>
      </c>
      <c r="O2197" s="28" t="e">
        <f ca="1">[1]!BexGetData("DP_1","003N8EMH8GTFRIVOG7KG9J3KE","GSON1112151560")</f>
        <v>#NAME?</v>
      </c>
      <c r="P2197" s="23" t="e">
        <f ca="1">[1]!BexGetData("DP_1","003N8EMH8GTFRIVOG7KG9J9VY","GSON1112151560")</f>
        <v>#NAME?</v>
      </c>
      <c r="Q2197" s="24" t="e">
        <f ca="1">[1]!BexGetData("DP_1","00O2TNJGODT0G5Z4TTKYMM5MT","GSON1112151560")</f>
        <v>#NAME?</v>
      </c>
      <c r="R2197" s="24" t="e">
        <f ca="1">[1]!BexGetData("DP_1","00O2TNJGODT0G5Z4TTKYMMBYD","GSON1112151560")</f>
        <v>#NAME?</v>
      </c>
      <c r="S2197" s="24" t="e">
        <f ca="1">[1]!BexGetData("DP_1","00O2TNJGODT0G5Z4TTKYMMI9X","GSON1112151560")</f>
        <v>#NAME?</v>
      </c>
      <c r="T2197" s="24" t="e">
        <f ca="1">[1]!BexGetData("DP_1","00O2TNJGODT0G5Z4TTKYMMOLH","GSON1112151560")</f>
        <v>#NAME?</v>
      </c>
      <c r="U2197" s="24" t="e">
        <f ca="1">[1]!BexGetData("DP_1","00O2TNJGODT0G5Z4TTKYMMUX1","GSON1112151560")</f>
        <v>#NAME?</v>
      </c>
      <c r="V2197" s="24" t="e">
        <f ca="1">[1]!BexGetData("DP_1","00O2TNJGODT0G5Z4TTKYMN18L","GSON1112151560")</f>
        <v>#NAME?</v>
      </c>
      <c r="W2197" s="24" t="e">
        <f ca="1">[1]!BexGetData("DP_1","00O2TNJGODT0G5Z4TTKYMN7K5","GSON1112151560")</f>
        <v>#NAME?</v>
      </c>
    </row>
    <row r="2198" spans="1:23" x14ac:dyDescent="0.2">
      <c r="A2198" s="36" t="s">
        <v>5365</v>
      </c>
      <c r="B2198" s="27" t="s">
        <v>5366</v>
      </c>
      <c r="C2198" s="23" t="e">
        <f ca="1">[1]!BexGetData("DP_1","003N8EMH8GTFRCSWKMPXRR8GU","GSON1112151561")</f>
        <v>#NAME?</v>
      </c>
      <c r="D2198" s="23" t="e">
        <f ca="1">[1]!BexGetData("DP_1","003N8EMH8GTFRCSWKMPXRRESE","GSON1112151561")</f>
        <v>#NAME?</v>
      </c>
      <c r="E2198" s="28" t="e">
        <f ca="1">[1]!BexGetData("DP_1","003N8EMH8GTFRCSWKMPXRRL3Y","GSON1112151561")</f>
        <v>#NAME?</v>
      </c>
      <c r="F2198" s="24" t="e">
        <f ca="1">[1]!BexGetData("DP_1","003N8EMH8GTFRCSWKMPXRRRFI","GSON1112151561")</f>
        <v>#NAME?</v>
      </c>
      <c r="G2198" s="24" t="e">
        <f ca="1">[1]!BexGetData("DP_1","003N8EMH8GTFRCSWKMPXRRXR2","GSON1112151561")</f>
        <v>#NAME?</v>
      </c>
      <c r="H2198" s="24" t="e">
        <f ca="1">[1]!BexGetData("DP_1","003N8EMH8GTFRCSWKMPXRS42M","GSON1112151561")</f>
        <v>#NAME?</v>
      </c>
      <c r="I2198" s="24" t="e">
        <f ca="1">[1]!BexGetData("DP_1","003N8EMH8GTFRCSWKMPXRSAE6","GSON1112151561")</f>
        <v>#NAME?</v>
      </c>
      <c r="J2198" s="24" t="e">
        <f ca="1">[1]!BexGetData("DP_1","003N8EMH8GTFRCSWKMPXRSGPQ","GSON1112151561")</f>
        <v>#NAME?</v>
      </c>
      <c r="K2198" s="28" t="e">
        <f ca="1">[1]!BexGetData("DP_1","003N8EMH8GTFRIVNUPY288VJH","GSON1112151561")</f>
        <v>#NAME?</v>
      </c>
      <c r="L2198" s="28" t="e">
        <f ca="1">[1]!BexGetData("DP_1","003N8EMH8GTFRIVNUPY2891V1","GSON1112151561")</f>
        <v>#NAME?</v>
      </c>
      <c r="M2198" s="28" t="e">
        <f ca="1">[1]!BexGetData("DP_1","003N8EMH8GTFRIVOG7KG9IQXA","GSON1112151561")</f>
        <v>#NAME?</v>
      </c>
      <c r="N2198" s="28" t="e">
        <f ca="1">[1]!BexGetData("DP_1","003N8EMH8GTFRIVOG7KG9IX8U","GSON1112151561")</f>
        <v>#NAME?</v>
      </c>
      <c r="O2198" s="28" t="e">
        <f ca="1">[1]!BexGetData("DP_1","003N8EMH8GTFRIVOG7KG9J3KE","GSON1112151561")</f>
        <v>#NAME?</v>
      </c>
      <c r="P2198" s="28" t="e">
        <f ca="1">[1]!BexGetData("DP_1","003N8EMH8GTFRIVOG7KG9J9VY","GSON1112151561")</f>
        <v>#NAME?</v>
      </c>
      <c r="Q2198" s="24" t="e">
        <f ca="1">[1]!BexGetData("DP_1","00O2TNJGODT0G5Z4TTKYMM5MT","GSON1112151561")</f>
        <v>#NAME?</v>
      </c>
      <c r="R2198" s="24" t="e">
        <f ca="1">[1]!BexGetData("DP_1","00O2TNJGODT0G5Z4TTKYMMBYD","GSON1112151561")</f>
        <v>#NAME?</v>
      </c>
      <c r="S2198" s="24" t="e">
        <f ca="1">[1]!BexGetData("DP_1","00O2TNJGODT0G5Z4TTKYMMI9X","GSON1112151561")</f>
        <v>#NAME?</v>
      </c>
      <c r="T2198" s="24" t="e">
        <f ca="1">[1]!BexGetData("DP_1","00O2TNJGODT0G5Z4TTKYMMOLH","GSON1112151561")</f>
        <v>#NAME?</v>
      </c>
      <c r="U2198" s="24" t="e">
        <f ca="1">[1]!BexGetData("DP_1","00O2TNJGODT0G5Z4TTKYMMUX1","GSON1112151561")</f>
        <v>#NAME?</v>
      </c>
      <c r="V2198" s="24" t="e">
        <f ca="1">[1]!BexGetData("DP_1","00O2TNJGODT0G5Z4TTKYMN18L","GSON1112151561")</f>
        <v>#NAME?</v>
      </c>
      <c r="W2198" s="24" t="e">
        <f ca="1">[1]!BexGetData("DP_1","00O2TNJGODT0G5Z4TTKYMN7K5","GSON1112151561")</f>
        <v>#NAME?</v>
      </c>
    </row>
    <row r="2199" spans="1:23" x14ac:dyDescent="0.2">
      <c r="A2199" s="36" t="s">
        <v>5367</v>
      </c>
      <c r="B2199" s="27" t="s">
        <v>5368</v>
      </c>
      <c r="C2199" s="23" t="e">
        <f ca="1">[1]!BexGetData("DP_1","003N8EMH8GTFRCSWKMPXRR8GU","GSON1112151563")</f>
        <v>#NAME?</v>
      </c>
      <c r="D2199" s="23" t="e">
        <f ca="1">[1]!BexGetData("DP_1","003N8EMH8GTFRCSWKMPXRRESE","GSON1112151563")</f>
        <v>#NAME?</v>
      </c>
      <c r="E2199" s="28" t="e">
        <f ca="1">[1]!BexGetData("DP_1","003N8EMH8GTFRCSWKMPXRRL3Y","GSON1112151563")</f>
        <v>#NAME?</v>
      </c>
      <c r="F2199" s="24" t="e">
        <f ca="1">[1]!BexGetData("DP_1","003N8EMH8GTFRCSWKMPXRRRFI","GSON1112151563")</f>
        <v>#NAME?</v>
      </c>
      <c r="G2199" s="24" t="e">
        <f ca="1">[1]!BexGetData("DP_1","003N8EMH8GTFRCSWKMPXRRXR2","GSON1112151563")</f>
        <v>#NAME?</v>
      </c>
      <c r="H2199" s="24" t="e">
        <f ca="1">[1]!BexGetData("DP_1","003N8EMH8GTFRCSWKMPXRS42M","GSON1112151563")</f>
        <v>#NAME?</v>
      </c>
      <c r="I2199" s="24" t="e">
        <f ca="1">[1]!BexGetData("DP_1","003N8EMH8GTFRCSWKMPXRSAE6","GSON1112151563")</f>
        <v>#NAME?</v>
      </c>
      <c r="J2199" s="24" t="e">
        <f ca="1">[1]!BexGetData("DP_1","003N8EMH8GTFRCSWKMPXRSGPQ","GSON1112151563")</f>
        <v>#NAME?</v>
      </c>
      <c r="K2199" s="28" t="e">
        <f ca="1">[1]!BexGetData("DP_1","003N8EMH8GTFRIVNUPY288VJH","GSON1112151563")</f>
        <v>#NAME?</v>
      </c>
      <c r="L2199" s="28" t="e">
        <f ca="1">[1]!BexGetData("DP_1","003N8EMH8GTFRIVNUPY2891V1","GSON1112151563")</f>
        <v>#NAME?</v>
      </c>
      <c r="M2199" s="28" t="e">
        <f ca="1">[1]!BexGetData("DP_1","003N8EMH8GTFRIVOG7KG9IQXA","GSON1112151563")</f>
        <v>#NAME?</v>
      </c>
      <c r="N2199" s="28" t="e">
        <f ca="1">[1]!BexGetData("DP_1","003N8EMH8GTFRIVOG7KG9IX8U","GSON1112151563")</f>
        <v>#NAME?</v>
      </c>
      <c r="O2199" s="28" t="e">
        <f ca="1">[1]!BexGetData("DP_1","003N8EMH8GTFRIVOG7KG9J3KE","GSON1112151563")</f>
        <v>#NAME?</v>
      </c>
      <c r="P2199" s="28" t="e">
        <f ca="1">[1]!BexGetData("DP_1","003N8EMH8GTFRIVOG7KG9J9VY","GSON1112151563")</f>
        <v>#NAME?</v>
      </c>
      <c r="Q2199" s="24" t="e">
        <f ca="1">[1]!BexGetData("DP_1","00O2TNJGODT0G5Z4TTKYMM5MT","GSON1112151563")</f>
        <v>#NAME?</v>
      </c>
      <c r="R2199" s="24" t="e">
        <f ca="1">[1]!BexGetData("DP_1","00O2TNJGODT0G5Z4TTKYMMBYD","GSON1112151563")</f>
        <v>#NAME?</v>
      </c>
      <c r="S2199" s="24" t="e">
        <f ca="1">[1]!BexGetData("DP_1","00O2TNJGODT0G5Z4TTKYMMI9X","GSON1112151563")</f>
        <v>#NAME?</v>
      </c>
      <c r="T2199" s="24" t="e">
        <f ca="1">[1]!BexGetData("DP_1","00O2TNJGODT0G5Z4TTKYMMOLH","GSON1112151563")</f>
        <v>#NAME?</v>
      </c>
      <c r="U2199" s="24" t="e">
        <f ca="1">[1]!BexGetData("DP_1","00O2TNJGODT0G5Z4TTKYMMUX1","GSON1112151563")</f>
        <v>#NAME?</v>
      </c>
      <c r="V2199" s="24" t="e">
        <f ca="1">[1]!BexGetData("DP_1","00O2TNJGODT0G5Z4TTKYMN18L","GSON1112151563")</f>
        <v>#NAME?</v>
      </c>
      <c r="W2199" s="24" t="e">
        <f ca="1">[1]!BexGetData("DP_1","00O2TNJGODT0G5Z4TTKYMN7K5","GSON1112151563")</f>
        <v>#NAME?</v>
      </c>
    </row>
    <row r="2200" spans="1:23" x14ac:dyDescent="0.2">
      <c r="A2200" s="36" t="s">
        <v>5369</v>
      </c>
      <c r="B2200" s="27" t="s">
        <v>5370</v>
      </c>
      <c r="C2200" s="23" t="e">
        <f ca="1">[1]!BexGetData("DP_1","003N8EMH8GTFRCSWKMPXRR8GU","GSON1112151564")</f>
        <v>#NAME?</v>
      </c>
      <c r="D2200" s="23" t="e">
        <f ca="1">[1]!BexGetData("DP_1","003N8EMH8GTFRCSWKMPXRRESE","GSON1112151564")</f>
        <v>#NAME?</v>
      </c>
      <c r="E2200" s="28" t="e">
        <f ca="1">[1]!BexGetData("DP_1","003N8EMH8GTFRCSWKMPXRRL3Y","GSON1112151564")</f>
        <v>#NAME?</v>
      </c>
      <c r="F2200" s="24" t="e">
        <f ca="1">[1]!BexGetData("DP_1","003N8EMH8GTFRCSWKMPXRRRFI","GSON1112151564")</f>
        <v>#NAME?</v>
      </c>
      <c r="G2200" s="24" t="e">
        <f ca="1">[1]!BexGetData("DP_1","003N8EMH8GTFRCSWKMPXRRXR2","GSON1112151564")</f>
        <v>#NAME?</v>
      </c>
      <c r="H2200" s="24" t="e">
        <f ca="1">[1]!BexGetData("DP_1","003N8EMH8GTFRCSWKMPXRS42M","GSON1112151564")</f>
        <v>#NAME?</v>
      </c>
      <c r="I2200" s="24" t="e">
        <f ca="1">[1]!BexGetData("DP_1","003N8EMH8GTFRCSWKMPXRSAE6","GSON1112151564")</f>
        <v>#NAME?</v>
      </c>
      <c r="J2200" s="24" t="e">
        <f ca="1">[1]!BexGetData("DP_1","003N8EMH8GTFRCSWKMPXRSGPQ","GSON1112151564")</f>
        <v>#NAME?</v>
      </c>
      <c r="K2200" s="28" t="e">
        <f ca="1">[1]!BexGetData("DP_1","003N8EMH8GTFRIVNUPY288VJH","GSON1112151564")</f>
        <v>#NAME?</v>
      </c>
      <c r="L2200" s="28" t="e">
        <f ca="1">[1]!BexGetData("DP_1","003N8EMH8GTFRIVNUPY2891V1","GSON1112151564")</f>
        <v>#NAME?</v>
      </c>
      <c r="M2200" s="28" t="e">
        <f ca="1">[1]!BexGetData("DP_1","003N8EMH8GTFRIVOG7KG9IQXA","GSON1112151564")</f>
        <v>#NAME?</v>
      </c>
      <c r="N2200" s="28" t="e">
        <f ca="1">[1]!BexGetData("DP_1","003N8EMH8GTFRIVOG7KG9IX8U","GSON1112151564")</f>
        <v>#NAME?</v>
      </c>
      <c r="O2200" s="28" t="e">
        <f ca="1">[1]!BexGetData("DP_1","003N8EMH8GTFRIVOG7KG9J3KE","GSON1112151564")</f>
        <v>#NAME?</v>
      </c>
      <c r="P2200" s="28" t="e">
        <f ca="1">[1]!BexGetData("DP_1","003N8EMH8GTFRIVOG7KG9J9VY","GSON1112151564")</f>
        <v>#NAME?</v>
      </c>
      <c r="Q2200" s="24" t="e">
        <f ca="1">[1]!BexGetData("DP_1","00O2TNJGODT0G5Z4TTKYMM5MT","GSON1112151564")</f>
        <v>#NAME?</v>
      </c>
      <c r="R2200" s="24" t="e">
        <f ca="1">[1]!BexGetData("DP_1","00O2TNJGODT0G5Z4TTKYMMBYD","GSON1112151564")</f>
        <v>#NAME?</v>
      </c>
      <c r="S2200" s="24" t="e">
        <f ca="1">[1]!BexGetData("DP_1","00O2TNJGODT0G5Z4TTKYMMI9X","GSON1112151564")</f>
        <v>#NAME?</v>
      </c>
      <c r="T2200" s="24" t="e">
        <f ca="1">[1]!BexGetData("DP_1","00O2TNJGODT0G5Z4TTKYMMOLH","GSON1112151564")</f>
        <v>#NAME?</v>
      </c>
      <c r="U2200" s="24" t="e">
        <f ca="1">[1]!BexGetData("DP_1","00O2TNJGODT0G5Z4TTKYMMUX1","GSON1112151564")</f>
        <v>#NAME?</v>
      </c>
      <c r="V2200" s="24" t="e">
        <f ca="1">[1]!BexGetData("DP_1","00O2TNJGODT0G5Z4TTKYMN18L","GSON1112151564")</f>
        <v>#NAME?</v>
      </c>
      <c r="W2200" s="24" t="e">
        <f ca="1">[1]!BexGetData("DP_1","00O2TNJGODT0G5Z4TTKYMN7K5","GSON1112151564")</f>
        <v>#NAME?</v>
      </c>
    </row>
    <row r="2201" spans="1:23" x14ac:dyDescent="0.2">
      <c r="A2201" s="36" t="s">
        <v>5371</v>
      </c>
      <c r="B2201" s="27" t="s">
        <v>5372</v>
      </c>
      <c r="C2201" s="23" t="e">
        <f ca="1">[1]!BexGetData("DP_1","003N8EMH8GTFRCSWKMPXRR8GU","GSON1112151565")</f>
        <v>#NAME?</v>
      </c>
      <c r="D2201" s="23" t="e">
        <f ca="1">[1]!BexGetData("DP_1","003N8EMH8GTFRCSWKMPXRRESE","GSON1112151565")</f>
        <v>#NAME?</v>
      </c>
      <c r="E2201" s="28" t="e">
        <f ca="1">[1]!BexGetData("DP_1","003N8EMH8GTFRCSWKMPXRRL3Y","GSON1112151565")</f>
        <v>#NAME?</v>
      </c>
      <c r="F2201" s="24" t="e">
        <f ca="1">[1]!BexGetData("DP_1","003N8EMH8GTFRCSWKMPXRRRFI","GSON1112151565")</f>
        <v>#NAME?</v>
      </c>
      <c r="G2201" s="24" t="e">
        <f ca="1">[1]!BexGetData("DP_1","003N8EMH8GTFRCSWKMPXRRXR2","GSON1112151565")</f>
        <v>#NAME?</v>
      </c>
      <c r="H2201" s="24" t="e">
        <f ca="1">[1]!BexGetData("DP_1","003N8EMH8GTFRCSWKMPXRS42M","GSON1112151565")</f>
        <v>#NAME?</v>
      </c>
      <c r="I2201" s="24" t="e">
        <f ca="1">[1]!BexGetData("DP_1","003N8EMH8GTFRCSWKMPXRSAE6","GSON1112151565")</f>
        <v>#NAME?</v>
      </c>
      <c r="J2201" s="24" t="e">
        <f ca="1">[1]!BexGetData("DP_1","003N8EMH8GTFRCSWKMPXRSGPQ","GSON1112151565")</f>
        <v>#NAME?</v>
      </c>
      <c r="K2201" s="28" t="e">
        <f ca="1">[1]!BexGetData("DP_1","003N8EMH8GTFRIVNUPY288VJH","GSON1112151565")</f>
        <v>#NAME?</v>
      </c>
      <c r="L2201" s="28" t="e">
        <f ca="1">[1]!BexGetData("DP_1","003N8EMH8GTFRIVNUPY2891V1","GSON1112151565")</f>
        <v>#NAME?</v>
      </c>
      <c r="M2201" s="28" t="e">
        <f ca="1">[1]!BexGetData("DP_1","003N8EMH8GTFRIVOG7KG9IQXA","GSON1112151565")</f>
        <v>#NAME?</v>
      </c>
      <c r="N2201" s="28" t="e">
        <f ca="1">[1]!BexGetData("DP_1","003N8EMH8GTFRIVOG7KG9IX8U","GSON1112151565")</f>
        <v>#NAME?</v>
      </c>
      <c r="O2201" s="28" t="e">
        <f ca="1">[1]!BexGetData("DP_1","003N8EMH8GTFRIVOG7KG9J3KE","GSON1112151565")</f>
        <v>#NAME?</v>
      </c>
      <c r="P2201" s="28" t="e">
        <f ca="1">[1]!BexGetData("DP_1","003N8EMH8GTFRIVOG7KG9J9VY","GSON1112151565")</f>
        <v>#NAME?</v>
      </c>
      <c r="Q2201" s="24" t="e">
        <f ca="1">[1]!BexGetData("DP_1","00O2TNJGODT0G5Z4TTKYMM5MT","GSON1112151565")</f>
        <v>#NAME?</v>
      </c>
      <c r="R2201" s="24" t="e">
        <f ca="1">[1]!BexGetData("DP_1","00O2TNJGODT0G5Z4TTKYMMBYD","GSON1112151565")</f>
        <v>#NAME?</v>
      </c>
      <c r="S2201" s="24" t="e">
        <f ca="1">[1]!BexGetData("DP_1","00O2TNJGODT0G5Z4TTKYMMI9X","GSON1112151565")</f>
        <v>#NAME?</v>
      </c>
      <c r="T2201" s="24" t="e">
        <f ca="1">[1]!BexGetData("DP_1","00O2TNJGODT0G5Z4TTKYMMOLH","GSON1112151565")</f>
        <v>#NAME?</v>
      </c>
      <c r="U2201" s="24" t="e">
        <f ca="1">[1]!BexGetData("DP_1","00O2TNJGODT0G5Z4TTKYMMUX1","GSON1112151565")</f>
        <v>#NAME?</v>
      </c>
      <c r="V2201" s="24" t="e">
        <f ca="1">[1]!BexGetData("DP_1","00O2TNJGODT0G5Z4TTKYMN18L","GSON1112151565")</f>
        <v>#NAME?</v>
      </c>
      <c r="W2201" s="24" t="e">
        <f ca="1">[1]!BexGetData("DP_1","00O2TNJGODT0G5Z4TTKYMN7K5","GSON1112151565")</f>
        <v>#NAME?</v>
      </c>
    </row>
    <row r="2202" spans="1:23" x14ac:dyDescent="0.2">
      <c r="A2202" s="36" t="s">
        <v>5373</v>
      </c>
      <c r="B2202" s="27" t="s">
        <v>5374</v>
      </c>
      <c r="C2202" s="23" t="e">
        <f ca="1">[1]!BexGetData("DP_1","003N8EMH8GTFRCSWKMPXRR8GU","GSON1112151570")</f>
        <v>#NAME?</v>
      </c>
      <c r="D2202" s="23" t="e">
        <f ca="1">[1]!BexGetData("DP_1","003N8EMH8GTFRCSWKMPXRRESE","GSON1112151570")</f>
        <v>#NAME?</v>
      </c>
      <c r="E2202" s="23" t="e">
        <f ca="1">[1]!BexGetData("DP_1","003N8EMH8GTFRCSWKMPXRRL3Y","GSON1112151570")</f>
        <v>#NAME?</v>
      </c>
      <c r="F2202" s="24" t="e">
        <f ca="1">[1]!BexGetData("DP_1","003N8EMH8GTFRCSWKMPXRRRFI","GSON1112151570")</f>
        <v>#NAME?</v>
      </c>
      <c r="G2202" s="24" t="e">
        <f ca="1">[1]!BexGetData("DP_1","003N8EMH8GTFRCSWKMPXRRXR2","GSON1112151570")</f>
        <v>#NAME?</v>
      </c>
      <c r="H2202" s="24" t="e">
        <f ca="1">[1]!BexGetData("DP_1","003N8EMH8GTFRCSWKMPXRS42M","GSON1112151570")</f>
        <v>#NAME?</v>
      </c>
      <c r="I2202" s="24" t="e">
        <f ca="1">[1]!BexGetData("DP_1","003N8EMH8GTFRCSWKMPXRSAE6","GSON1112151570")</f>
        <v>#NAME?</v>
      </c>
      <c r="J2202" s="24" t="e">
        <f ca="1">[1]!BexGetData("DP_1","003N8EMH8GTFRCSWKMPXRSGPQ","GSON1112151570")</f>
        <v>#NAME?</v>
      </c>
      <c r="K2202" s="23" t="e">
        <f ca="1">[1]!BexGetData("DP_1","003N8EMH8GTFRIVNUPY288VJH","GSON1112151570")</f>
        <v>#NAME?</v>
      </c>
      <c r="L2202" s="23" t="e">
        <f ca="1">[1]!BexGetData("DP_1","003N8EMH8GTFRIVNUPY2891V1","GSON1112151570")</f>
        <v>#NAME?</v>
      </c>
      <c r="M2202" s="28" t="e">
        <f ca="1">[1]!BexGetData("DP_1","003N8EMH8GTFRIVOG7KG9IQXA","GSON1112151570")</f>
        <v>#NAME?</v>
      </c>
      <c r="N2202" s="23" t="e">
        <f ca="1">[1]!BexGetData("DP_1","003N8EMH8GTFRIVOG7KG9IX8U","GSON1112151570")</f>
        <v>#NAME?</v>
      </c>
      <c r="O2202" s="28" t="e">
        <f ca="1">[1]!BexGetData("DP_1","003N8EMH8GTFRIVOG7KG9J3KE","GSON1112151570")</f>
        <v>#NAME?</v>
      </c>
      <c r="P2202" s="23" t="e">
        <f ca="1">[1]!BexGetData("DP_1","003N8EMH8GTFRIVOG7KG9J9VY","GSON1112151570")</f>
        <v>#NAME?</v>
      </c>
      <c r="Q2202" s="24" t="e">
        <f ca="1">[1]!BexGetData("DP_1","00O2TNJGODT0G5Z4TTKYMM5MT","GSON1112151570")</f>
        <v>#NAME?</v>
      </c>
      <c r="R2202" s="24" t="e">
        <f ca="1">[1]!BexGetData("DP_1","00O2TNJGODT0G5Z4TTKYMMBYD","GSON1112151570")</f>
        <v>#NAME?</v>
      </c>
      <c r="S2202" s="24" t="e">
        <f ca="1">[1]!BexGetData("DP_1","00O2TNJGODT0G5Z4TTKYMMI9X","GSON1112151570")</f>
        <v>#NAME?</v>
      </c>
      <c r="T2202" s="24" t="e">
        <f ca="1">[1]!BexGetData("DP_1","00O2TNJGODT0G5Z4TTKYMMOLH","GSON1112151570")</f>
        <v>#NAME?</v>
      </c>
      <c r="U2202" s="24" t="e">
        <f ca="1">[1]!BexGetData("DP_1","00O2TNJGODT0G5Z4TTKYMMUX1","GSON1112151570")</f>
        <v>#NAME?</v>
      </c>
      <c r="V2202" s="24" t="e">
        <f ca="1">[1]!BexGetData("DP_1","00O2TNJGODT0G5Z4TTKYMN18L","GSON1112151570")</f>
        <v>#NAME?</v>
      </c>
      <c r="W2202" s="24" t="e">
        <f ca="1">[1]!BexGetData("DP_1","00O2TNJGODT0G5Z4TTKYMN7K5","GSON1112151570")</f>
        <v>#NAME?</v>
      </c>
    </row>
    <row r="2203" spans="1:23" x14ac:dyDescent="0.2">
      <c r="A2203" s="36" t="s">
        <v>5375</v>
      </c>
      <c r="B2203" s="27" t="s">
        <v>5376</v>
      </c>
      <c r="C2203" s="23" t="e">
        <f ca="1">[1]!BexGetData("DP_1","003N8EMH8GTFRCSWKMPXRR8GU","GSON1112151571")</f>
        <v>#NAME?</v>
      </c>
      <c r="D2203" s="23" t="e">
        <f ca="1">[1]!BexGetData("DP_1","003N8EMH8GTFRCSWKMPXRRESE","GSON1112151571")</f>
        <v>#NAME?</v>
      </c>
      <c r="E2203" s="28" t="e">
        <f ca="1">[1]!BexGetData("DP_1","003N8EMH8GTFRCSWKMPXRRL3Y","GSON1112151571")</f>
        <v>#NAME?</v>
      </c>
      <c r="F2203" s="24" t="e">
        <f ca="1">[1]!BexGetData("DP_1","003N8EMH8GTFRCSWKMPXRRRFI","GSON1112151571")</f>
        <v>#NAME?</v>
      </c>
      <c r="G2203" s="24" t="e">
        <f ca="1">[1]!BexGetData("DP_1","003N8EMH8GTFRCSWKMPXRRXR2","GSON1112151571")</f>
        <v>#NAME?</v>
      </c>
      <c r="H2203" s="24" t="e">
        <f ca="1">[1]!BexGetData("DP_1","003N8EMH8GTFRCSWKMPXRS42M","GSON1112151571")</f>
        <v>#NAME?</v>
      </c>
      <c r="I2203" s="24" t="e">
        <f ca="1">[1]!BexGetData("DP_1","003N8EMH8GTFRCSWKMPXRSAE6","GSON1112151571")</f>
        <v>#NAME?</v>
      </c>
      <c r="J2203" s="24" t="e">
        <f ca="1">[1]!BexGetData("DP_1","003N8EMH8GTFRCSWKMPXRSGPQ","GSON1112151571")</f>
        <v>#NAME?</v>
      </c>
      <c r="K2203" s="28" t="e">
        <f ca="1">[1]!BexGetData("DP_1","003N8EMH8GTFRIVNUPY288VJH","GSON1112151571")</f>
        <v>#NAME?</v>
      </c>
      <c r="L2203" s="28" t="e">
        <f ca="1">[1]!BexGetData("DP_1","003N8EMH8GTFRIVNUPY2891V1","GSON1112151571")</f>
        <v>#NAME?</v>
      </c>
      <c r="M2203" s="28" t="e">
        <f ca="1">[1]!BexGetData("DP_1","003N8EMH8GTFRIVOG7KG9IQXA","GSON1112151571")</f>
        <v>#NAME?</v>
      </c>
      <c r="N2203" s="28" t="e">
        <f ca="1">[1]!BexGetData("DP_1","003N8EMH8GTFRIVOG7KG9IX8U","GSON1112151571")</f>
        <v>#NAME?</v>
      </c>
      <c r="O2203" s="28" t="e">
        <f ca="1">[1]!BexGetData("DP_1","003N8EMH8GTFRIVOG7KG9J3KE","GSON1112151571")</f>
        <v>#NAME?</v>
      </c>
      <c r="P2203" s="28" t="e">
        <f ca="1">[1]!BexGetData("DP_1","003N8EMH8GTFRIVOG7KG9J9VY","GSON1112151571")</f>
        <v>#NAME?</v>
      </c>
      <c r="Q2203" s="24" t="e">
        <f ca="1">[1]!BexGetData("DP_1","00O2TNJGODT0G5Z4TTKYMM5MT","GSON1112151571")</f>
        <v>#NAME?</v>
      </c>
      <c r="R2203" s="24" t="e">
        <f ca="1">[1]!BexGetData("DP_1","00O2TNJGODT0G5Z4TTKYMMBYD","GSON1112151571")</f>
        <v>#NAME?</v>
      </c>
      <c r="S2203" s="24" t="e">
        <f ca="1">[1]!BexGetData("DP_1","00O2TNJGODT0G5Z4TTKYMMI9X","GSON1112151571")</f>
        <v>#NAME?</v>
      </c>
      <c r="T2203" s="24" t="e">
        <f ca="1">[1]!BexGetData("DP_1","00O2TNJGODT0G5Z4TTKYMMOLH","GSON1112151571")</f>
        <v>#NAME?</v>
      </c>
      <c r="U2203" s="24" t="e">
        <f ca="1">[1]!BexGetData("DP_1","00O2TNJGODT0G5Z4TTKYMMUX1","GSON1112151571")</f>
        <v>#NAME?</v>
      </c>
      <c r="V2203" s="24" t="e">
        <f ca="1">[1]!BexGetData("DP_1","00O2TNJGODT0G5Z4TTKYMN18L","GSON1112151571")</f>
        <v>#NAME?</v>
      </c>
      <c r="W2203" s="24" t="e">
        <f ca="1">[1]!BexGetData("DP_1","00O2TNJGODT0G5Z4TTKYMN7K5","GSON1112151571")</f>
        <v>#NAME?</v>
      </c>
    </row>
    <row r="2204" spans="1:23" x14ac:dyDescent="0.2">
      <c r="A2204" s="36" t="s">
        <v>5377</v>
      </c>
      <c r="B2204" s="27" t="s">
        <v>5378</v>
      </c>
      <c r="C2204" s="23" t="e">
        <f ca="1">[1]!BexGetData("DP_1","003N8EMH8GTFRCSWKMPXRR8GU","GSON1112151573")</f>
        <v>#NAME?</v>
      </c>
      <c r="D2204" s="23" t="e">
        <f ca="1">[1]!BexGetData("DP_1","003N8EMH8GTFRCSWKMPXRRESE","GSON1112151573")</f>
        <v>#NAME?</v>
      </c>
      <c r="E2204" s="28" t="e">
        <f ca="1">[1]!BexGetData("DP_1","003N8EMH8GTFRCSWKMPXRRL3Y","GSON1112151573")</f>
        <v>#NAME?</v>
      </c>
      <c r="F2204" s="24" t="e">
        <f ca="1">[1]!BexGetData("DP_1","003N8EMH8GTFRCSWKMPXRRRFI","GSON1112151573")</f>
        <v>#NAME?</v>
      </c>
      <c r="G2204" s="24" t="e">
        <f ca="1">[1]!BexGetData("DP_1","003N8EMH8GTFRCSWKMPXRRXR2","GSON1112151573")</f>
        <v>#NAME?</v>
      </c>
      <c r="H2204" s="24" t="e">
        <f ca="1">[1]!BexGetData("DP_1","003N8EMH8GTFRCSWKMPXRS42M","GSON1112151573")</f>
        <v>#NAME?</v>
      </c>
      <c r="I2204" s="24" t="e">
        <f ca="1">[1]!BexGetData("DP_1","003N8EMH8GTFRCSWKMPXRSAE6","GSON1112151573")</f>
        <v>#NAME?</v>
      </c>
      <c r="J2204" s="24" t="e">
        <f ca="1">[1]!BexGetData("DP_1","003N8EMH8GTFRCSWKMPXRSGPQ","GSON1112151573")</f>
        <v>#NAME?</v>
      </c>
      <c r="K2204" s="28" t="e">
        <f ca="1">[1]!BexGetData("DP_1","003N8EMH8GTFRIVNUPY288VJH","GSON1112151573")</f>
        <v>#NAME?</v>
      </c>
      <c r="L2204" s="28" t="e">
        <f ca="1">[1]!BexGetData("DP_1","003N8EMH8GTFRIVNUPY2891V1","GSON1112151573")</f>
        <v>#NAME?</v>
      </c>
      <c r="M2204" s="28" t="e">
        <f ca="1">[1]!BexGetData("DP_1","003N8EMH8GTFRIVOG7KG9IQXA","GSON1112151573")</f>
        <v>#NAME?</v>
      </c>
      <c r="N2204" s="28" t="e">
        <f ca="1">[1]!BexGetData("DP_1","003N8EMH8GTFRIVOG7KG9IX8U","GSON1112151573")</f>
        <v>#NAME?</v>
      </c>
      <c r="O2204" s="28" t="e">
        <f ca="1">[1]!BexGetData("DP_1","003N8EMH8GTFRIVOG7KG9J3KE","GSON1112151573")</f>
        <v>#NAME?</v>
      </c>
      <c r="P2204" s="28" t="e">
        <f ca="1">[1]!BexGetData("DP_1","003N8EMH8GTFRIVOG7KG9J9VY","GSON1112151573")</f>
        <v>#NAME?</v>
      </c>
      <c r="Q2204" s="24" t="e">
        <f ca="1">[1]!BexGetData("DP_1","00O2TNJGODT0G5Z4TTKYMM5MT","GSON1112151573")</f>
        <v>#NAME?</v>
      </c>
      <c r="R2204" s="24" t="e">
        <f ca="1">[1]!BexGetData("DP_1","00O2TNJGODT0G5Z4TTKYMMBYD","GSON1112151573")</f>
        <v>#NAME?</v>
      </c>
      <c r="S2204" s="24" t="e">
        <f ca="1">[1]!BexGetData("DP_1","00O2TNJGODT0G5Z4TTKYMMI9X","GSON1112151573")</f>
        <v>#NAME?</v>
      </c>
      <c r="T2204" s="24" t="e">
        <f ca="1">[1]!BexGetData("DP_1","00O2TNJGODT0G5Z4TTKYMMOLH","GSON1112151573")</f>
        <v>#NAME?</v>
      </c>
      <c r="U2204" s="24" t="e">
        <f ca="1">[1]!BexGetData("DP_1","00O2TNJGODT0G5Z4TTKYMMUX1","GSON1112151573")</f>
        <v>#NAME?</v>
      </c>
      <c r="V2204" s="24" t="e">
        <f ca="1">[1]!BexGetData("DP_1","00O2TNJGODT0G5Z4TTKYMN18L","GSON1112151573")</f>
        <v>#NAME?</v>
      </c>
      <c r="W2204" s="24" t="e">
        <f ca="1">[1]!BexGetData("DP_1","00O2TNJGODT0G5Z4TTKYMN7K5","GSON1112151573")</f>
        <v>#NAME?</v>
      </c>
    </row>
    <row r="2205" spans="1:23" x14ac:dyDescent="0.2">
      <c r="A2205" s="36" t="s">
        <v>5379</v>
      </c>
      <c r="B2205" s="27" t="s">
        <v>5380</v>
      </c>
      <c r="C2205" s="23" t="e">
        <f ca="1">[1]!BexGetData("DP_1","003N8EMH8GTFRCSWKMPXRR8GU","GSON1112151574")</f>
        <v>#NAME?</v>
      </c>
      <c r="D2205" s="23" t="e">
        <f ca="1">[1]!BexGetData("DP_1","003N8EMH8GTFRCSWKMPXRRESE","GSON1112151574")</f>
        <v>#NAME?</v>
      </c>
      <c r="E2205" s="28" t="e">
        <f ca="1">[1]!BexGetData("DP_1","003N8EMH8GTFRCSWKMPXRRL3Y","GSON1112151574")</f>
        <v>#NAME?</v>
      </c>
      <c r="F2205" s="24" t="e">
        <f ca="1">[1]!BexGetData("DP_1","003N8EMH8GTFRCSWKMPXRRRFI","GSON1112151574")</f>
        <v>#NAME?</v>
      </c>
      <c r="G2205" s="24" t="e">
        <f ca="1">[1]!BexGetData("DP_1","003N8EMH8GTFRCSWKMPXRRXR2","GSON1112151574")</f>
        <v>#NAME?</v>
      </c>
      <c r="H2205" s="24" t="e">
        <f ca="1">[1]!BexGetData("DP_1","003N8EMH8GTFRCSWKMPXRS42M","GSON1112151574")</f>
        <v>#NAME?</v>
      </c>
      <c r="I2205" s="24" t="e">
        <f ca="1">[1]!BexGetData("DP_1","003N8EMH8GTFRCSWKMPXRSAE6","GSON1112151574")</f>
        <v>#NAME?</v>
      </c>
      <c r="J2205" s="24" t="e">
        <f ca="1">[1]!BexGetData("DP_1","003N8EMH8GTFRCSWKMPXRSGPQ","GSON1112151574")</f>
        <v>#NAME?</v>
      </c>
      <c r="K2205" s="28" t="e">
        <f ca="1">[1]!BexGetData("DP_1","003N8EMH8GTFRIVNUPY288VJH","GSON1112151574")</f>
        <v>#NAME?</v>
      </c>
      <c r="L2205" s="28" t="e">
        <f ca="1">[1]!BexGetData("DP_1","003N8EMH8GTFRIVNUPY2891V1","GSON1112151574")</f>
        <v>#NAME?</v>
      </c>
      <c r="M2205" s="28" t="e">
        <f ca="1">[1]!BexGetData("DP_1","003N8EMH8GTFRIVOG7KG9IQXA","GSON1112151574")</f>
        <v>#NAME?</v>
      </c>
      <c r="N2205" s="28" t="e">
        <f ca="1">[1]!BexGetData("DP_1","003N8EMH8GTFRIVOG7KG9IX8U","GSON1112151574")</f>
        <v>#NAME?</v>
      </c>
      <c r="O2205" s="28" t="e">
        <f ca="1">[1]!BexGetData("DP_1","003N8EMH8GTFRIVOG7KG9J3KE","GSON1112151574")</f>
        <v>#NAME?</v>
      </c>
      <c r="P2205" s="28" t="e">
        <f ca="1">[1]!BexGetData("DP_1","003N8EMH8GTFRIVOG7KG9J9VY","GSON1112151574")</f>
        <v>#NAME?</v>
      </c>
      <c r="Q2205" s="24" t="e">
        <f ca="1">[1]!BexGetData("DP_1","00O2TNJGODT0G5Z4TTKYMM5MT","GSON1112151574")</f>
        <v>#NAME?</v>
      </c>
      <c r="R2205" s="24" t="e">
        <f ca="1">[1]!BexGetData("DP_1","00O2TNJGODT0G5Z4TTKYMMBYD","GSON1112151574")</f>
        <v>#NAME?</v>
      </c>
      <c r="S2205" s="24" t="e">
        <f ca="1">[1]!BexGetData("DP_1","00O2TNJGODT0G5Z4TTKYMMI9X","GSON1112151574")</f>
        <v>#NAME?</v>
      </c>
      <c r="T2205" s="24" t="e">
        <f ca="1">[1]!BexGetData("DP_1","00O2TNJGODT0G5Z4TTKYMMOLH","GSON1112151574")</f>
        <v>#NAME?</v>
      </c>
      <c r="U2205" s="24" t="e">
        <f ca="1">[1]!BexGetData("DP_1","00O2TNJGODT0G5Z4TTKYMMUX1","GSON1112151574")</f>
        <v>#NAME?</v>
      </c>
      <c r="V2205" s="24" t="e">
        <f ca="1">[1]!BexGetData("DP_1","00O2TNJGODT0G5Z4TTKYMN18L","GSON1112151574")</f>
        <v>#NAME?</v>
      </c>
      <c r="W2205" s="24" t="e">
        <f ca="1">[1]!BexGetData("DP_1","00O2TNJGODT0G5Z4TTKYMN7K5","GSON1112151574")</f>
        <v>#NAME?</v>
      </c>
    </row>
    <row r="2206" spans="1:23" x14ac:dyDescent="0.2">
      <c r="A2206" s="36" t="s">
        <v>5381</v>
      </c>
      <c r="B2206" s="27" t="s">
        <v>5382</v>
      </c>
      <c r="C2206" s="23" t="e">
        <f ca="1">[1]!BexGetData("DP_1","003N8EMH8GTFRCSWKMPXRR8GU","GSON1112151575")</f>
        <v>#NAME?</v>
      </c>
      <c r="D2206" s="23" t="e">
        <f ca="1">[1]!BexGetData("DP_1","003N8EMH8GTFRCSWKMPXRRESE","GSON1112151575")</f>
        <v>#NAME?</v>
      </c>
      <c r="E2206" s="28" t="e">
        <f ca="1">[1]!BexGetData("DP_1","003N8EMH8GTFRCSWKMPXRRL3Y","GSON1112151575")</f>
        <v>#NAME?</v>
      </c>
      <c r="F2206" s="24" t="e">
        <f ca="1">[1]!BexGetData("DP_1","003N8EMH8GTFRCSWKMPXRRRFI","GSON1112151575")</f>
        <v>#NAME?</v>
      </c>
      <c r="G2206" s="24" t="e">
        <f ca="1">[1]!BexGetData("DP_1","003N8EMH8GTFRCSWKMPXRRXR2","GSON1112151575")</f>
        <v>#NAME?</v>
      </c>
      <c r="H2206" s="24" t="e">
        <f ca="1">[1]!BexGetData("DP_1","003N8EMH8GTFRCSWKMPXRS42M","GSON1112151575")</f>
        <v>#NAME?</v>
      </c>
      <c r="I2206" s="24" t="e">
        <f ca="1">[1]!BexGetData("DP_1","003N8EMH8GTFRCSWKMPXRSAE6","GSON1112151575")</f>
        <v>#NAME?</v>
      </c>
      <c r="J2206" s="24" t="e">
        <f ca="1">[1]!BexGetData("DP_1","003N8EMH8GTFRCSWKMPXRSGPQ","GSON1112151575")</f>
        <v>#NAME?</v>
      </c>
      <c r="K2206" s="28" t="e">
        <f ca="1">[1]!BexGetData("DP_1","003N8EMH8GTFRIVNUPY288VJH","GSON1112151575")</f>
        <v>#NAME?</v>
      </c>
      <c r="L2206" s="28" t="e">
        <f ca="1">[1]!BexGetData("DP_1","003N8EMH8GTFRIVNUPY2891V1","GSON1112151575")</f>
        <v>#NAME?</v>
      </c>
      <c r="M2206" s="28" t="e">
        <f ca="1">[1]!BexGetData("DP_1","003N8EMH8GTFRIVOG7KG9IQXA","GSON1112151575")</f>
        <v>#NAME?</v>
      </c>
      <c r="N2206" s="28" t="e">
        <f ca="1">[1]!BexGetData("DP_1","003N8EMH8GTFRIVOG7KG9IX8U","GSON1112151575")</f>
        <v>#NAME?</v>
      </c>
      <c r="O2206" s="28" t="e">
        <f ca="1">[1]!BexGetData("DP_1","003N8EMH8GTFRIVOG7KG9J3KE","GSON1112151575")</f>
        <v>#NAME?</v>
      </c>
      <c r="P2206" s="28" t="e">
        <f ca="1">[1]!BexGetData("DP_1","003N8EMH8GTFRIVOG7KG9J9VY","GSON1112151575")</f>
        <v>#NAME?</v>
      </c>
      <c r="Q2206" s="24" t="e">
        <f ca="1">[1]!BexGetData("DP_1","00O2TNJGODT0G5Z4TTKYMM5MT","GSON1112151575")</f>
        <v>#NAME?</v>
      </c>
      <c r="R2206" s="24" t="e">
        <f ca="1">[1]!BexGetData("DP_1","00O2TNJGODT0G5Z4TTKYMMBYD","GSON1112151575")</f>
        <v>#NAME?</v>
      </c>
      <c r="S2206" s="24" t="e">
        <f ca="1">[1]!BexGetData("DP_1","00O2TNJGODT0G5Z4TTKYMMI9X","GSON1112151575")</f>
        <v>#NAME?</v>
      </c>
      <c r="T2206" s="24" t="e">
        <f ca="1">[1]!BexGetData("DP_1","00O2TNJGODT0G5Z4TTKYMMOLH","GSON1112151575")</f>
        <v>#NAME?</v>
      </c>
      <c r="U2206" s="24" t="e">
        <f ca="1">[1]!BexGetData("DP_1","00O2TNJGODT0G5Z4TTKYMMUX1","GSON1112151575")</f>
        <v>#NAME?</v>
      </c>
      <c r="V2206" s="24" t="e">
        <f ca="1">[1]!BexGetData("DP_1","00O2TNJGODT0G5Z4TTKYMN18L","GSON1112151575")</f>
        <v>#NAME?</v>
      </c>
      <c r="W2206" s="24" t="e">
        <f ca="1">[1]!BexGetData("DP_1","00O2TNJGODT0G5Z4TTKYMN7K5","GSON1112151575")</f>
        <v>#NAME?</v>
      </c>
    </row>
    <row r="2207" spans="1:23" x14ac:dyDescent="0.2">
      <c r="A2207" s="36" t="s">
        <v>5383</v>
      </c>
      <c r="B2207" s="27" t="s">
        <v>5384</v>
      </c>
      <c r="C2207" s="23" t="e">
        <f ca="1">[1]!BexGetData("DP_1","003N8EMH8GTFRCSWKMPXRR8GU","GSON1112151580")</f>
        <v>#NAME?</v>
      </c>
      <c r="D2207" s="23" t="e">
        <f ca="1">[1]!BexGetData("DP_1","003N8EMH8GTFRCSWKMPXRRESE","GSON1112151580")</f>
        <v>#NAME?</v>
      </c>
      <c r="E2207" s="23" t="e">
        <f ca="1">[1]!BexGetData("DP_1","003N8EMH8GTFRCSWKMPXRRL3Y","GSON1112151580")</f>
        <v>#NAME?</v>
      </c>
      <c r="F2207" s="24" t="e">
        <f ca="1">[1]!BexGetData("DP_1","003N8EMH8GTFRCSWKMPXRRRFI","GSON1112151580")</f>
        <v>#NAME?</v>
      </c>
      <c r="G2207" s="24" t="e">
        <f ca="1">[1]!BexGetData("DP_1","003N8EMH8GTFRCSWKMPXRRXR2","GSON1112151580")</f>
        <v>#NAME?</v>
      </c>
      <c r="H2207" s="24" t="e">
        <f ca="1">[1]!BexGetData("DP_1","003N8EMH8GTFRCSWKMPXRS42M","GSON1112151580")</f>
        <v>#NAME?</v>
      </c>
      <c r="I2207" s="24" t="e">
        <f ca="1">[1]!BexGetData("DP_1","003N8EMH8GTFRCSWKMPXRSAE6","GSON1112151580")</f>
        <v>#NAME?</v>
      </c>
      <c r="J2207" s="24" t="e">
        <f ca="1">[1]!BexGetData("DP_1","003N8EMH8GTFRCSWKMPXRSGPQ","GSON1112151580")</f>
        <v>#NAME?</v>
      </c>
      <c r="K2207" s="23" t="e">
        <f ca="1">[1]!BexGetData("DP_1","003N8EMH8GTFRIVNUPY288VJH","GSON1112151580")</f>
        <v>#NAME?</v>
      </c>
      <c r="L2207" s="23" t="e">
        <f ca="1">[1]!BexGetData("DP_1","003N8EMH8GTFRIVNUPY2891V1","GSON1112151580")</f>
        <v>#NAME?</v>
      </c>
      <c r="M2207" s="28" t="e">
        <f ca="1">[1]!BexGetData("DP_1","003N8EMH8GTFRIVOG7KG9IQXA","GSON1112151580")</f>
        <v>#NAME?</v>
      </c>
      <c r="N2207" s="23" t="e">
        <f ca="1">[1]!BexGetData("DP_1","003N8EMH8GTFRIVOG7KG9IX8U","GSON1112151580")</f>
        <v>#NAME?</v>
      </c>
      <c r="O2207" s="28" t="e">
        <f ca="1">[1]!BexGetData("DP_1","003N8EMH8GTFRIVOG7KG9J3KE","GSON1112151580")</f>
        <v>#NAME?</v>
      </c>
      <c r="P2207" s="23" t="e">
        <f ca="1">[1]!BexGetData("DP_1","003N8EMH8GTFRIVOG7KG9J9VY","GSON1112151580")</f>
        <v>#NAME?</v>
      </c>
      <c r="Q2207" s="24" t="e">
        <f ca="1">[1]!BexGetData("DP_1","00O2TNJGODT0G5Z4TTKYMM5MT","GSON1112151580")</f>
        <v>#NAME?</v>
      </c>
      <c r="R2207" s="24" t="e">
        <f ca="1">[1]!BexGetData("DP_1","00O2TNJGODT0G5Z4TTKYMMBYD","GSON1112151580")</f>
        <v>#NAME?</v>
      </c>
      <c r="S2207" s="24" t="e">
        <f ca="1">[1]!BexGetData("DP_1","00O2TNJGODT0G5Z4TTKYMMI9X","GSON1112151580")</f>
        <v>#NAME?</v>
      </c>
      <c r="T2207" s="24" t="e">
        <f ca="1">[1]!BexGetData("DP_1","00O2TNJGODT0G5Z4TTKYMMOLH","GSON1112151580")</f>
        <v>#NAME?</v>
      </c>
      <c r="U2207" s="24" t="e">
        <f ca="1">[1]!BexGetData("DP_1","00O2TNJGODT0G5Z4TTKYMMUX1","GSON1112151580")</f>
        <v>#NAME?</v>
      </c>
      <c r="V2207" s="24" t="e">
        <f ca="1">[1]!BexGetData("DP_1","00O2TNJGODT0G5Z4TTKYMN18L","GSON1112151580")</f>
        <v>#NAME?</v>
      </c>
      <c r="W2207" s="24" t="e">
        <f ca="1">[1]!BexGetData("DP_1","00O2TNJGODT0G5Z4TTKYMN7K5","GSON1112151580")</f>
        <v>#NAME?</v>
      </c>
    </row>
    <row r="2208" spans="1:23" x14ac:dyDescent="0.2">
      <c r="A2208" s="36" t="s">
        <v>5385</v>
      </c>
      <c r="B2208" s="27" t="s">
        <v>5386</v>
      </c>
      <c r="C2208" s="23" t="e">
        <f ca="1">[1]!BexGetData("DP_1","003N8EMH8GTFRCSWKMPXRR8GU","GSON1112151581")</f>
        <v>#NAME?</v>
      </c>
      <c r="D2208" s="23" t="e">
        <f ca="1">[1]!BexGetData("DP_1","003N8EMH8GTFRCSWKMPXRRESE","GSON1112151581")</f>
        <v>#NAME?</v>
      </c>
      <c r="E2208" s="28" t="e">
        <f ca="1">[1]!BexGetData("DP_1","003N8EMH8GTFRCSWKMPXRRL3Y","GSON1112151581")</f>
        <v>#NAME?</v>
      </c>
      <c r="F2208" s="24" t="e">
        <f ca="1">[1]!BexGetData("DP_1","003N8EMH8GTFRCSWKMPXRRRFI","GSON1112151581")</f>
        <v>#NAME?</v>
      </c>
      <c r="G2208" s="24" t="e">
        <f ca="1">[1]!BexGetData("DP_1","003N8EMH8GTFRCSWKMPXRRXR2","GSON1112151581")</f>
        <v>#NAME?</v>
      </c>
      <c r="H2208" s="24" t="e">
        <f ca="1">[1]!BexGetData("DP_1","003N8EMH8GTFRCSWKMPXRS42M","GSON1112151581")</f>
        <v>#NAME?</v>
      </c>
      <c r="I2208" s="24" t="e">
        <f ca="1">[1]!BexGetData("DP_1","003N8EMH8GTFRCSWKMPXRSAE6","GSON1112151581")</f>
        <v>#NAME?</v>
      </c>
      <c r="J2208" s="24" t="e">
        <f ca="1">[1]!BexGetData("DP_1","003N8EMH8GTFRCSWKMPXRSGPQ","GSON1112151581")</f>
        <v>#NAME?</v>
      </c>
      <c r="K2208" s="28" t="e">
        <f ca="1">[1]!BexGetData("DP_1","003N8EMH8GTFRIVNUPY288VJH","GSON1112151581")</f>
        <v>#NAME?</v>
      </c>
      <c r="L2208" s="28" t="e">
        <f ca="1">[1]!BexGetData("DP_1","003N8EMH8GTFRIVNUPY2891V1","GSON1112151581")</f>
        <v>#NAME?</v>
      </c>
      <c r="M2208" s="28" t="e">
        <f ca="1">[1]!BexGetData("DP_1","003N8EMH8GTFRIVOG7KG9IQXA","GSON1112151581")</f>
        <v>#NAME?</v>
      </c>
      <c r="N2208" s="28" t="e">
        <f ca="1">[1]!BexGetData("DP_1","003N8EMH8GTFRIVOG7KG9IX8U","GSON1112151581")</f>
        <v>#NAME?</v>
      </c>
      <c r="O2208" s="28" t="e">
        <f ca="1">[1]!BexGetData("DP_1","003N8EMH8GTFRIVOG7KG9J3KE","GSON1112151581")</f>
        <v>#NAME?</v>
      </c>
      <c r="P2208" s="28" t="e">
        <f ca="1">[1]!BexGetData("DP_1","003N8EMH8GTFRIVOG7KG9J9VY","GSON1112151581")</f>
        <v>#NAME?</v>
      </c>
      <c r="Q2208" s="24" t="e">
        <f ca="1">[1]!BexGetData("DP_1","00O2TNJGODT0G5Z4TTKYMM5MT","GSON1112151581")</f>
        <v>#NAME?</v>
      </c>
      <c r="R2208" s="24" t="e">
        <f ca="1">[1]!BexGetData("DP_1","00O2TNJGODT0G5Z4TTKYMMBYD","GSON1112151581")</f>
        <v>#NAME?</v>
      </c>
      <c r="S2208" s="24" t="e">
        <f ca="1">[1]!BexGetData("DP_1","00O2TNJGODT0G5Z4TTKYMMI9X","GSON1112151581")</f>
        <v>#NAME?</v>
      </c>
      <c r="T2208" s="24" t="e">
        <f ca="1">[1]!BexGetData("DP_1","00O2TNJGODT0G5Z4TTKYMMOLH","GSON1112151581")</f>
        <v>#NAME?</v>
      </c>
      <c r="U2208" s="24" t="e">
        <f ca="1">[1]!BexGetData("DP_1","00O2TNJGODT0G5Z4TTKYMMUX1","GSON1112151581")</f>
        <v>#NAME?</v>
      </c>
      <c r="V2208" s="24" t="e">
        <f ca="1">[1]!BexGetData("DP_1","00O2TNJGODT0G5Z4TTKYMN18L","GSON1112151581")</f>
        <v>#NAME?</v>
      </c>
      <c r="W2208" s="24" t="e">
        <f ca="1">[1]!BexGetData("DP_1","00O2TNJGODT0G5Z4TTKYMN7K5","GSON1112151581")</f>
        <v>#NAME?</v>
      </c>
    </row>
    <row r="2209" spans="1:23" x14ac:dyDescent="0.2">
      <c r="A2209" s="36" t="s">
        <v>5387</v>
      </c>
      <c r="B2209" s="27" t="s">
        <v>5388</v>
      </c>
      <c r="C2209" s="23" t="e">
        <f ca="1">[1]!BexGetData("DP_1","003N8EMH8GTFRCSWKMPXRR8GU","GSON1112151583")</f>
        <v>#NAME?</v>
      </c>
      <c r="D2209" s="23" t="e">
        <f ca="1">[1]!BexGetData("DP_1","003N8EMH8GTFRCSWKMPXRRESE","GSON1112151583")</f>
        <v>#NAME?</v>
      </c>
      <c r="E2209" s="28" t="e">
        <f ca="1">[1]!BexGetData("DP_1","003N8EMH8GTFRCSWKMPXRRL3Y","GSON1112151583")</f>
        <v>#NAME?</v>
      </c>
      <c r="F2209" s="24" t="e">
        <f ca="1">[1]!BexGetData("DP_1","003N8EMH8GTFRCSWKMPXRRRFI","GSON1112151583")</f>
        <v>#NAME?</v>
      </c>
      <c r="G2209" s="24" t="e">
        <f ca="1">[1]!BexGetData("DP_1","003N8EMH8GTFRCSWKMPXRRXR2","GSON1112151583")</f>
        <v>#NAME?</v>
      </c>
      <c r="H2209" s="24" t="e">
        <f ca="1">[1]!BexGetData("DP_1","003N8EMH8GTFRCSWKMPXRS42M","GSON1112151583")</f>
        <v>#NAME?</v>
      </c>
      <c r="I2209" s="24" t="e">
        <f ca="1">[1]!BexGetData("DP_1","003N8EMH8GTFRCSWKMPXRSAE6","GSON1112151583")</f>
        <v>#NAME?</v>
      </c>
      <c r="J2209" s="24" t="e">
        <f ca="1">[1]!BexGetData("DP_1","003N8EMH8GTFRCSWKMPXRSGPQ","GSON1112151583")</f>
        <v>#NAME?</v>
      </c>
      <c r="K2209" s="28" t="e">
        <f ca="1">[1]!BexGetData("DP_1","003N8EMH8GTFRIVNUPY288VJH","GSON1112151583")</f>
        <v>#NAME?</v>
      </c>
      <c r="L2209" s="28" t="e">
        <f ca="1">[1]!BexGetData("DP_1","003N8EMH8GTFRIVNUPY2891V1","GSON1112151583")</f>
        <v>#NAME?</v>
      </c>
      <c r="M2209" s="28" t="e">
        <f ca="1">[1]!BexGetData("DP_1","003N8EMH8GTFRIVOG7KG9IQXA","GSON1112151583")</f>
        <v>#NAME?</v>
      </c>
      <c r="N2209" s="28" t="e">
        <f ca="1">[1]!BexGetData("DP_1","003N8EMH8GTFRIVOG7KG9IX8U","GSON1112151583")</f>
        <v>#NAME?</v>
      </c>
      <c r="O2209" s="28" t="e">
        <f ca="1">[1]!BexGetData("DP_1","003N8EMH8GTFRIVOG7KG9J3KE","GSON1112151583")</f>
        <v>#NAME?</v>
      </c>
      <c r="P2209" s="28" t="e">
        <f ca="1">[1]!BexGetData("DP_1","003N8EMH8GTFRIVOG7KG9J9VY","GSON1112151583")</f>
        <v>#NAME?</v>
      </c>
      <c r="Q2209" s="24" t="e">
        <f ca="1">[1]!BexGetData("DP_1","00O2TNJGODT0G5Z4TTKYMM5MT","GSON1112151583")</f>
        <v>#NAME?</v>
      </c>
      <c r="R2209" s="24" t="e">
        <f ca="1">[1]!BexGetData("DP_1","00O2TNJGODT0G5Z4TTKYMMBYD","GSON1112151583")</f>
        <v>#NAME?</v>
      </c>
      <c r="S2209" s="24" t="e">
        <f ca="1">[1]!BexGetData("DP_1","00O2TNJGODT0G5Z4TTKYMMI9X","GSON1112151583")</f>
        <v>#NAME?</v>
      </c>
      <c r="T2209" s="24" t="e">
        <f ca="1">[1]!BexGetData("DP_1","00O2TNJGODT0G5Z4TTKYMMOLH","GSON1112151583")</f>
        <v>#NAME?</v>
      </c>
      <c r="U2209" s="24" t="e">
        <f ca="1">[1]!BexGetData("DP_1","00O2TNJGODT0G5Z4TTKYMMUX1","GSON1112151583")</f>
        <v>#NAME?</v>
      </c>
      <c r="V2209" s="24" t="e">
        <f ca="1">[1]!BexGetData("DP_1","00O2TNJGODT0G5Z4TTKYMN18L","GSON1112151583")</f>
        <v>#NAME?</v>
      </c>
      <c r="W2209" s="24" t="e">
        <f ca="1">[1]!BexGetData("DP_1","00O2TNJGODT0G5Z4TTKYMN7K5","GSON1112151583")</f>
        <v>#NAME?</v>
      </c>
    </row>
    <row r="2210" spans="1:23" x14ac:dyDescent="0.2">
      <c r="A2210" s="36" t="s">
        <v>5389</v>
      </c>
      <c r="B2210" s="27" t="s">
        <v>5390</v>
      </c>
      <c r="C2210" s="23" t="e">
        <f ca="1">[1]!BexGetData("DP_1","003N8EMH8GTFRCSWKMPXRR8GU","GSON1112151584")</f>
        <v>#NAME?</v>
      </c>
      <c r="D2210" s="23" t="e">
        <f ca="1">[1]!BexGetData("DP_1","003N8EMH8GTFRCSWKMPXRRESE","GSON1112151584")</f>
        <v>#NAME?</v>
      </c>
      <c r="E2210" s="28" t="e">
        <f ca="1">[1]!BexGetData("DP_1","003N8EMH8GTFRCSWKMPXRRL3Y","GSON1112151584")</f>
        <v>#NAME?</v>
      </c>
      <c r="F2210" s="24" t="e">
        <f ca="1">[1]!BexGetData("DP_1","003N8EMH8GTFRCSWKMPXRRRFI","GSON1112151584")</f>
        <v>#NAME?</v>
      </c>
      <c r="G2210" s="24" t="e">
        <f ca="1">[1]!BexGetData("DP_1","003N8EMH8GTFRCSWKMPXRRXR2","GSON1112151584")</f>
        <v>#NAME?</v>
      </c>
      <c r="H2210" s="24" t="e">
        <f ca="1">[1]!BexGetData("DP_1","003N8EMH8GTFRCSWKMPXRS42M","GSON1112151584")</f>
        <v>#NAME?</v>
      </c>
      <c r="I2210" s="24" t="e">
        <f ca="1">[1]!BexGetData("DP_1","003N8EMH8GTFRCSWKMPXRSAE6","GSON1112151584")</f>
        <v>#NAME?</v>
      </c>
      <c r="J2210" s="24" t="e">
        <f ca="1">[1]!BexGetData("DP_1","003N8EMH8GTFRCSWKMPXRSGPQ","GSON1112151584")</f>
        <v>#NAME?</v>
      </c>
      <c r="K2210" s="28" t="e">
        <f ca="1">[1]!BexGetData("DP_1","003N8EMH8GTFRIVNUPY288VJH","GSON1112151584")</f>
        <v>#NAME?</v>
      </c>
      <c r="L2210" s="28" t="e">
        <f ca="1">[1]!BexGetData("DP_1","003N8EMH8GTFRIVNUPY2891V1","GSON1112151584")</f>
        <v>#NAME?</v>
      </c>
      <c r="M2210" s="28" t="e">
        <f ca="1">[1]!BexGetData("DP_1","003N8EMH8GTFRIVOG7KG9IQXA","GSON1112151584")</f>
        <v>#NAME?</v>
      </c>
      <c r="N2210" s="28" t="e">
        <f ca="1">[1]!BexGetData("DP_1","003N8EMH8GTFRIVOG7KG9IX8U","GSON1112151584")</f>
        <v>#NAME?</v>
      </c>
      <c r="O2210" s="28" t="e">
        <f ca="1">[1]!BexGetData("DP_1","003N8EMH8GTFRIVOG7KG9J3KE","GSON1112151584")</f>
        <v>#NAME?</v>
      </c>
      <c r="P2210" s="28" t="e">
        <f ca="1">[1]!BexGetData("DP_1","003N8EMH8GTFRIVOG7KG9J9VY","GSON1112151584")</f>
        <v>#NAME?</v>
      </c>
      <c r="Q2210" s="24" t="e">
        <f ca="1">[1]!BexGetData("DP_1","00O2TNJGODT0G5Z4TTKYMM5MT","GSON1112151584")</f>
        <v>#NAME?</v>
      </c>
      <c r="R2210" s="24" t="e">
        <f ca="1">[1]!BexGetData("DP_1","00O2TNJGODT0G5Z4TTKYMMBYD","GSON1112151584")</f>
        <v>#NAME?</v>
      </c>
      <c r="S2210" s="24" t="e">
        <f ca="1">[1]!BexGetData("DP_1","00O2TNJGODT0G5Z4TTKYMMI9X","GSON1112151584")</f>
        <v>#NAME?</v>
      </c>
      <c r="T2210" s="24" t="e">
        <f ca="1">[1]!BexGetData("DP_1","00O2TNJGODT0G5Z4TTKYMMOLH","GSON1112151584")</f>
        <v>#NAME?</v>
      </c>
      <c r="U2210" s="24" t="e">
        <f ca="1">[1]!BexGetData("DP_1","00O2TNJGODT0G5Z4TTKYMMUX1","GSON1112151584")</f>
        <v>#NAME?</v>
      </c>
      <c r="V2210" s="24" t="e">
        <f ca="1">[1]!BexGetData("DP_1","00O2TNJGODT0G5Z4TTKYMN18L","GSON1112151584")</f>
        <v>#NAME?</v>
      </c>
      <c r="W2210" s="24" t="e">
        <f ca="1">[1]!BexGetData("DP_1","00O2TNJGODT0G5Z4TTKYMN7K5","GSON1112151584")</f>
        <v>#NAME?</v>
      </c>
    </row>
    <row r="2211" spans="1:23" x14ac:dyDescent="0.2">
      <c r="A2211" s="36" t="s">
        <v>5391</v>
      </c>
      <c r="B2211" s="27" t="s">
        <v>5392</v>
      </c>
      <c r="C2211" s="23" t="e">
        <f ca="1">[1]!BexGetData("DP_1","003N8EMH8GTFRCSWKMPXRR8GU","GSON1112151585")</f>
        <v>#NAME?</v>
      </c>
      <c r="D2211" s="23" t="e">
        <f ca="1">[1]!BexGetData("DP_1","003N8EMH8GTFRCSWKMPXRRESE","GSON1112151585")</f>
        <v>#NAME?</v>
      </c>
      <c r="E2211" s="28" t="e">
        <f ca="1">[1]!BexGetData("DP_1","003N8EMH8GTFRCSWKMPXRRL3Y","GSON1112151585")</f>
        <v>#NAME?</v>
      </c>
      <c r="F2211" s="24" t="e">
        <f ca="1">[1]!BexGetData("DP_1","003N8EMH8GTFRCSWKMPXRRRFI","GSON1112151585")</f>
        <v>#NAME?</v>
      </c>
      <c r="G2211" s="24" t="e">
        <f ca="1">[1]!BexGetData("DP_1","003N8EMH8GTFRCSWKMPXRRXR2","GSON1112151585")</f>
        <v>#NAME?</v>
      </c>
      <c r="H2211" s="24" t="e">
        <f ca="1">[1]!BexGetData("DP_1","003N8EMH8GTFRCSWKMPXRS42M","GSON1112151585")</f>
        <v>#NAME?</v>
      </c>
      <c r="I2211" s="24" t="e">
        <f ca="1">[1]!BexGetData("DP_1","003N8EMH8GTFRCSWKMPXRSAE6","GSON1112151585")</f>
        <v>#NAME?</v>
      </c>
      <c r="J2211" s="24" t="e">
        <f ca="1">[1]!BexGetData("DP_1","003N8EMH8GTFRCSWKMPXRSGPQ","GSON1112151585")</f>
        <v>#NAME?</v>
      </c>
      <c r="K2211" s="28" t="e">
        <f ca="1">[1]!BexGetData("DP_1","003N8EMH8GTFRIVNUPY288VJH","GSON1112151585")</f>
        <v>#NAME?</v>
      </c>
      <c r="L2211" s="28" t="e">
        <f ca="1">[1]!BexGetData("DP_1","003N8EMH8GTFRIVNUPY2891V1","GSON1112151585")</f>
        <v>#NAME?</v>
      </c>
      <c r="M2211" s="28" t="e">
        <f ca="1">[1]!BexGetData("DP_1","003N8EMH8GTFRIVOG7KG9IQXA","GSON1112151585")</f>
        <v>#NAME?</v>
      </c>
      <c r="N2211" s="28" t="e">
        <f ca="1">[1]!BexGetData("DP_1","003N8EMH8GTFRIVOG7KG9IX8U","GSON1112151585")</f>
        <v>#NAME?</v>
      </c>
      <c r="O2211" s="28" t="e">
        <f ca="1">[1]!BexGetData("DP_1","003N8EMH8GTFRIVOG7KG9J3KE","GSON1112151585")</f>
        <v>#NAME?</v>
      </c>
      <c r="P2211" s="28" t="e">
        <f ca="1">[1]!BexGetData("DP_1","003N8EMH8GTFRIVOG7KG9J9VY","GSON1112151585")</f>
        <v>#NAME?</v>
      </c>
      <c r="Q2211" s="24" t="e">
        <f ca="1">[1]!BexGetData("DP_1","00O2TNJGODT0G5Z4TTKYMM5MT","GSON1112151585")</f>
        <v>#NAME?</v>
      </c>
      <c r="R2211" s="24" t="e">
        <f ca="1">[1]!BexGetData("DP_1","00O2TNJGODT0G5Z4TTKYMMBYD","GSON1112151585")</f>
        <v>#NAME?</v>
      </c>
      <c r="S2211" s="24" t="e">
        <f ca="1">[1]!BexGetData("DP_1","00O2TNJGODT0G5Z4TTKYMMI9X","GSON1112151585")</f>
        <v>#NAME?</v>
      </c>
      <c r="T2211" s="24" t="e">
        <f ca="1">[1]!BexGetData("DP_1","00O2TNJGODT0G5Z4TTKYMMOLH","GSON1112151585")</f>
        <v>#NAME?</v>
      </c>
      <c r="U2211" s="24" t="e">
        <f ca="1">[1]!BexGetData("DP_1","00O2TNJGODT0G5Z4TTKYMMUX1","GSON1112151585")</f>
        <v>#NAME?</v>
      </c>
      <c r="V2211" s="24" t="e">
        <f ca="1">[1]!BexGetData("DP_1","00O2TNJGODT0G5Z4TTKYMN18L","GSON1112151585")</f>
        <v>#NAME?</v>
      </c>
      <c r="W2211" s="24" t="e">
        <f ca="1">[1]!BexGetData("DP_1","00O2TNJGODT0G5Z4TTKYMN7K5","GSON1112151585")</f>
        <v>#NAME?</v>
      </c>
    </row>
    <row r="2212" spans="1:23" x14ac:dyDescent="0.2">
      <c r="A2212" s="36" t="s">
        <v>5393</v>
      </c>
      <c r="B2212" s="27" t="s">
        <v>5394</v>
      </c>
      <c r="C2212" s="23" t="e">
        <f ca="1">[1]!BexGetData("DP_1","003N8EMH8GTFRCSWKMPXRR8GU","GSON1112151590")</f>
        <v>#NAME?</v>
      </c>
      <c r="D2212" s="23" t="e">
        <f ca="1">[1]!BexGetData("DP_1","003N8EMH8GTFRCSWKMPXRRESE","GSON1112151590")</f>
        <v>#NAME?</v>
      </c>
      <c r="E2212" s="23" t="e">
        <f ca="1">[1]!BexGetData("DP_1","003N8EMH8GTFRCSWKMPXRRL3Y","GSON1112151590")</f>
        <v>#NAME?</v>
      </c>
      <c r="F2212" s="24" t="e">
        <f ca="1">[1]!BexGetData("DP_1","003N8EMH8GTFRCSWKMPXRRRFI","GSON1112151590")</f>
        <v>#NAME?</v>
      </c>
      <c r="G2212" s="24" t="e">
        <f ca="1">[1]!BexGetData("DP_1","003N8EMH8GTFRCSWKMPXRRXR2","GSON1112151590")</f>
        <v>#NAME?</v>
      </c>
      <c r="H2212" s="24" t="e">
        <f ca="1">[1]!BexGetData("DP_1","003N8EMH8GTFRCSWKMPXRS42M","GSON1112151590")</f>
        <v>#NAME?</v>
      </c>
      <c r="I2212" s="24" t="e">
        <f ca="1">[1]!BexGetData("DP_1","003N8EMH8GTFRCSWKMPXRSAE6","GSON1112151590")</f>
        <v>#NAME?</v>
      </c>
      <c r="J2212" s="24" t="e">
        <f ca="1">[1]!BexGetData("DP_1","003N8EMH8GTFRCSWKMPXRSGPQ","GSON1112151590")</f>
        <v>#NAME?</v>
      </c>
      <c r="K2212" s="23" t="e">
        <f ca="1">[1]!BexGetData("DP_1","003N8EMH8GTFRIVNUPY288VJH","GSON1112151590")</f>
        <v>#NAME?</v>
      </c>
      <c r="L2212" s="23" t="e">
        <f ca="1">[1]!BexGetData("DP_1","003N8EMH8GTFRIVNUPY2891V1","GSON1112151590")</f>
        <v>#NAME?</v>
      </c>
      <c r="M2212" s="28" t="e">
        <f ca="1">[1]!BexGetData("DP_1","003N8EMH8GTFRIVOG7KG9IQXA","GSON1112151590")</f>
        <v>#NAME?</v>
      </c>
      <c r="N2212" s="23" t="e">
        <f ca="1">[1]!BexGetData("DP_1","003N8EMH8GTFRIVOG7KG9IX8U","GSON1112151590")</f>
        <v>#NAME?</v>
      </c>
      <c r="O2212" s="28" t="e">
        <f ca="1">[1]!BexGetData("DP_1","003N8EMH8GTFRIVOG7KG9J3KE","GSON1112151590")</f>
        <v>#NAME?</v>
      </c>
      <c r="P2212" s="23" t="e">
        <f ca="1">[1]!BexGetData("DP_1","003N8EMH8GTFRIVOG7KG9J9VY","GSON1112151590")</f>
        <v>#NAME?</v>
      </c>
      <c r="Q2212" s="24" t="e">
        <f ca="1">[1]!BexGetData("DP_1","00O2TNJGODT0G5Z4TTKYMM5MT","GSON1112151590")</f>
        <v>#NAME?</v>
      </c>
      <c r="R2212" s="24" t="e">
        <f ca="1">[1]!BexGetData("DP_1","00O2TNJGODT0G5Z4TTKYMMBYD","GSON1112151590")</f>
        <v>#NAME?</v>
      </c>
      <c r="S2212" s="24" t="e">
        <f ca="1">[1]!BexGetData("DP_1","00O2TNJGODT0G5Z4TTKYMMI9X","GSON1112151590")</f>
        <v>#NAME?</v>
      </c>
      <c r="T2212" s="24" t="e">
        <f ca="1">[1]!BexGetData("DP_1","00O2TNJGODT0G5Z4TTKYMMOLH","GSON1112151590")</f>
        <v>#NAME?</v>
      </c>
      <c r="U2212" s="24" t="e">
        <f ca="1">[1]!BexGetData("DP_1","00O2TNJGODT0G5Z4TTKYMMUX1","GSON1112151590")</f>
        <v>#NAME?</v>
      </c>
      <c r="V2212" s="24" t="e">
        <f ca="1">[1]!BexGetData("DP_1","00O2TNJGODT0G5Z4TTKYMN18L","GSON1112151590")</f>
        <v>#NAME?</v>
      </c>
      <c r="W2212" s="24" t="e">
        <f ca="1">[1]!BexGetData("DP_1","00O2TNJGODT0G5Z4TTKYMN7K5","GSON1112151590")</f>
        <v>#NAME?</v>
      </c>
    </row>
    <row r="2213" spans="1:23" x14ac:dyDescent="0.2">
      <c r="A2213" s="36" t="s">
        <v>5395</v>
      </c>
      <c r="B2213" s="27" t="s">
        <v>5396</v>
      </c>
      <c r="C2213" s="23" t="e">
        <f ca="1">[1]!BexGetData("DP_1","003N8EMH8GTFRCSWKMPXRR8GU","GSON1112151591")</f>
        <v>#NAME?</v>
      </c>
      <c r="D2213" s="23" t="e">
        <f ca="1">[1]!BexGetData("DP_1","003N8EMH8GTFRCSWKMPXRRESE","GSON1112151591")</f>
        <v>#NAME?</v>
      </c>
      <c r="E2213" s="28" t="e">
        <f ca="1">[1]!BexGetData("DP_1","003N8EMH8GTFRCSWKMPXRRL3Y","GSON1112151591")</f>
        <v>#NAME?</v>
      </c>
      <c r="F2213" s="24" t="e">
        <f ca="1">[1]!BexGetData("DP_1","003N8EMH8GTFRCSWKMPXRRRFI","GSON1112151591")</f>
        <v>#NAME?</v>
      </c>
      <c r="G2213" s="24" t="e">
        <f ca="1">[1]!BexGetData("DP_1","003N8EMH8GTFRCSWKMPXRRXR2","GSON1112151591")</f>
        <v>#NAME?</v>
      </c>
      <c r="H2213" s="24" t="e">
        <f ca="1">[1]!BexGetData("DP_1","003N8EMH8GTFRCSWKMPXRS42M","GSON1112151591")</f>
        <v>#NAME?</v>
      </c>
      <c r="I2213" s="24" t="e">
        <f ca="1">[1]!BexGetData("DP_1","003N8EMH8GTFRCSWKMPXRSAE6","GSON1112151591")</f>
        <v>#NAME?</v>
      </c>
      <c r="J2213" s="24" t="e">
        <f ca="1">[1]!BexGetData("DP_1","003N8EMH8GTFRCSWKMPXRSGPQ","GSON1112151591")</f>
        <v>#NAME?</v>
      </c>
      <c r="K2213" s="28" t="e">
        <f ca="1">[1]!BexGetData("DP_1","003N8EMH8GTFRIVNUPY288VJH","GSON1112151591")</f>
        <v>#NAME?</v>
      </c>
      <c r="L2213" s="28" t="e">
        <f ca="1">[1]!BexGetData("DP_1","003N8EMH8GTFRIVNUPY2891V1","GSON1112151591")</f>
        <v>#NAME?</v>
      </c>
      <c r="M2213" s="28" t="e">
        <f ca="1">[1]!BexGetData("DP_1","003N8EMH8GTFRIVOG7KG9IQXA","GSON1112151591")</f>
        <v>#NAME?</v>
      </c>
      <c r="N2213" s="28" t="e">
        <f ca="1">[1]!BexGetData("DP_1","003N8EMH8GTFRIVOG7KG9IX8U","GSON1112151591")</f>
        <v>#NAME?</v>
      </c>
      <c r="O2213" s="28" t="e">
        <f ca="1">[1]!BexGetData("DP_1","003N8EMH8GTFRIVOG7KG9J3KE","GSON1112151591")</f>
        <v>#NAME?</v>
      </c>
      <c r="P2213" s="28" t="e">
        <f ca="1">[1]!BexGetData("DP_1","003N8EMH8GTFRIVOG7KG9J9VY","GSON1112151591")</f>
        <v>#NAME?</v>
      </c>
      <c r="Q2213" s="24" t="e">
        <f ca="1">[1]!BexGetData("DP_1","00O2TNJGODT0G5Z4TTKYMM5MT","GSON1112151591")</f>
        <v>#NAME?</v>
      </c>
      <c r="R2213" s="24" t="e">
        <f ca="1">[1]!BexGetData("DP_1","00O2TNJGODT0G5Z4TTKYMMBYD","GSON1112151591")</f>
        <v>#NAME?</v>
      </c>
      <c r="S2213" s="24" t="e">
        <f ca="1">[1]!BexGetData("DP_1","00O2TNJGODT0G5Z4TTKYMMI9X","GSON1112151591")</f>
        <v>#NAME?</v>
      </c>
      <c r="T2213" s="24" t="e">
        <f ca="1">[1]!BexGetData("DP_1","00O2TNJGODT0G5Z4TTKYMMOLH","GSON1112151591")</f>
        <v>#NAME?</v>
      </c>
      <c r="U2213" s="24" t="e">
        <f ca="1">[1]!BexGetData("DP_1","00O2TNJGODT0G5Z4TTKYMMUX1","GSON1112151591")</f>
        <v>#NAME?</v>
      </c>
      <c r="V2213" s="24" t="e">
        <f ca="1">[1]!BexGetData("DP_1","00O2TNJGODT0G5Z4TTKYMN18L","GSON1112151591")</f>
        <v>#NAME?</v>
      </c>
      <c r="W2213" s="24" t="e">
        <f ca="1">[1]!BexGetData("DP_1","00O2TNJGODT0G5Z4TTKYMN7K5","GSON1112151591")</f>
        <v>#NAME?</v>
      </c>
    </row>
    <row r="2214" spans="1:23" x14ac:dyDescent="0.2">
      <c r="A2214" s="36" t="s">
        <v>5397</v>
      </c>
      <c r="B2214" s="27" t="s">
        <v>5398</v>
      </c>
      <c r="C2214" s="28" t="e">
        <f ca="1">[1]!BexGetData("DP_1","003N8EMH8GTFRCSWKMPXRR8GU","GSON1112151592")</f>
        <v>#NAME?</v>
      </c>
      <c r="D2214" s="23" t="e">
        <f ca="1">[1]!BexGetData("DP_1","003N8EMH8GTFRCSWKMPXRRESE","GSON1112151592")</f>
        <v>#NAME?</v>
      </c>
      <c r="E2214" s="23" t="e">
        <f ca="1">[1]!BexGetData("DP_1","003N8EMH8GTFRCSWKMPXRRL3Y","GSON1112151592")</f>
        <v>#NAME?</v>
      </c>
      <c r="F2214" s="24" t="e">
        <f ca="1">[1]!BexGetData("DP_1","003N8EMH8GTFRCSWKMPXRRRFI","GSON1112151592")</f>
        <v>#NAME?</v>
      </c>
      <c r="G2214" s="24" t="e">
        <f ca="1">[1]!BexGetData("DP_1","003N8EMH8GTFRCSWKMPXRRXR2","GSON1112151592")</f>
        <v>#NAME?</v>
      </c>
      <c r="H2214" s="24" t="e">
        <f ca="1">[1]!BexGetData("DP_1","003N8EMH8GTFRCSWKMPXRS42M","GSON1112151592")</f>
        <v>#NAME?</v>
      </c>
      <c r="I2214" s="24" t="e">
        <f ca="1">[1]!BexGetData("DP_1","003N8EMH8GTFRCSWKMPXRSAE6","GSON1112151592")</f>
        <v>#NAME?</v>
      </c>
      <c r="J2214" s="24" t="e">
        <f ca="1">[1]!BexGetData("DP_1","003N8EMH8GTFRCSWKMPXRSGPQ","GSON1112151592")</f>
        <v>#NAME?</v>
      </c>
      <c r="K2214" s="23" t="e">
        <f ca="1">[1]!BexGetData("DP_1","003N8EMH8GTFRIVNUPY288VJH","GSON1112151592")</f>
        <v>#NAME?</v>
      </c>
      <c r="L2214" s="23" t="e">
        <f ca="1">[1]!BexGetData("DP_1","003N8EMH8GTFRIVNUPY2891V1","GSON1112151592")</f>
        <v>#NAME?</v>
      </c>
      <c r="M2214" s="23" t="e">
        <f ca="1">[1]!BexGetData("DP_1","003N8EMH8GTFRIVOG7KG9IQXA","GSON1112151592")</f>
        <v>#NAME?</v>
      </c>
      <c r="N2214" s="28" t="e">
        <f ca="1">[1]!BexGetData("DP_1","003N8EMH8GTFRIVOG7KG9IX8U","GSON1112151592")</f>
        <v>#NAME?</v>
      </c>
      <c r="O2214" s="23" t="e">
        <f ca="1">[1]!BexGetData("DP_1","003N8EMH8GTFRIVOG7KG9J3KE","GSON1112151592")</f>
        <v>#NAME?</v>
      </c>
      <c r="P2214" s="28" t="e">
        <f ca="1">[1]!BexGetData("DP_1","003N8EMH8GTFRIVOG7KG9J9VY","GSON1112151592")</f>
        <v>#NAME?</v>
      </c>
      <c r="Q2214" s="24" t="e">
        <f ca="1">[1]!BexGetData("DP_1","00O2TNJGODT0G5Z4TTKYMM5MT","GSON1112151592")</f>
        <v>#NAME?</v>
      </c>
      <c r="R2214" s="24" t="e">
        <f ca="1">[1]!BexGetData("DP_1","00O2TNJGODT0G5Z4TTKYMMBYD","GSON1112151592")</f>
        <v>#NAME?</v>
      </c>
      <c r="S2214" s="24" t="e">
        <f ca="1">[1]!BexGetData("DP_1","00O2TNJGODT0G5Z4TTKYMMI9X","GSON1112151592")</f>
        <v>#NAME?</v>
      </c>
      <c r="T2214" s="24" t="e">
        <f ca="1">[1]!BexGetData("DP_1","00O2TNJGODT0G5Z4TTKYMMOLH","GSON1112151592")</f>
        <v>#NAME?</v>
      </c>
      <c r="U2214" s="24" t="e">
        <f ca="1">[1]!BexGetData("DP_1","00O2TNJGODT0G5Z4TTKYMMUX1","GSON1112151592")</f>
        <v>#NAME?</v>
      </c>
      <c r="V2214" s="24" t="e">
        <f ca="1">[1]!BexGetData("DP_1","00O2TNJGODT0G5Z4TTKYMN18L","GSON1112151592")</f>
        <v>#NAME?</v>
      </c>
      <c r="W2214" s="24" t="e">
        <f ca="1">[1]!BexGetData("DP_1","00O2TNJGODT0G5Z4TTKYMN7K5","GSON1112151592")</f>
        <v>#NAME?</v>
      </c>
    </row>
    <row r="2215" spans="1:23" x14ac:dyDescent="0.2">
      <c r="A2215" s="36" t="s">
        <v>5399</v>
      </c>
      <c r="B2215" s="27" t="s">
        <v>5400</v>
      </c>
      <c r="C2215" s="23" t="e">
        <f ca="1">[1]!BexGetData("DP_1","003N8EMH8GTFRCSWKMPXRR8GU","GSON1112151593")</f>
        <v>#NAME?</v>
      </c>
      <c r="D2215" s="23" t="e">
        <f ca="1">[1]!BexGetData("DP_1","003N8EMH8GTFRCSWKMPXRRESE","GSON1112151593")</f>
        <v>#NAME?</v>
      </c>
      <c r="E2215" s="28" t="e">
        <f ca="1">[1]!BexGetData("DP_1","003N8EMH8GTFRCSWKMPXRRL3Y","GSON1112151593")</f>
        <v>#NAME?</v>
      </c>
      <c r="F2215" s="24" t="e">
        <f ca="1">[1]!BexGetData("DP_1","003N8EMH8GTFRCSWKMPXRRRFI","GSON1112151593")</f>
        <v>#NAME?</v>
      </c>
      <c r="G2215" s="24" t="e">
        <f ca="1">[1]!BexGetData("DP_1","003N8EMH8GTFRCSWKMPXRRXR2","GSON1112151593")</f>
        <v>#NAME?</v>
      </c>
      <c r="H2215" s="24" t="e">
        <f ca="1">[1]!BexGetData("DP_1","003N8EMH8GTFRCSWKMPXRS42M","GSON1112151593")</f>
        <v>#NAME?</v>
      </c>
      <c r="I2215" s="24" t="e">
        <f ca="1">[1]!BexGetData("DP_1","003N8EMH8GTFRCSWKMPXRSAE6","GSON1112151593")</f>
        <v>#NAME?</v>
      </c>
      <c r="J2215" s="24" t="e">
        <f ca="1">[1]!BexGetData("DP_1","003N8EMH8GTFRCSWKMPXRSGPQ","GSON1112151593")</f>
        <v>#NAME?</v>
      </c>
      <c r="K2215" s="28" t="e">
        <f ca="1">[1]!BexGetData("DP_1","003N8EMH8GTFRIVNUPY288VJH","GSON1112151593")</f>
        <v>#NAME?</v>
      </c>
      <c r="L2215" s="28" t="e">
        <f ca="1">[1]!BexGetData("DP_1","003N8EMH8GTFRIVNUPY2891V1","GSON1112151593")</f>
        <v>#NAME?</v>
      </c>
      <c r="M2215" s="28" t="e">
        <f ca="1">[1]!BexGetData("DP_1","003N8EMH8GTFRIVOG7KG9IQXA","GSON1112151593")</f>
        <v>#NAME?</v>
      </c>
      <c r="N2215" s="28" t="e">
        <f ca="1">[1]!BexGetData("DP_1","003N8EMH8GTFRIVOG7KG9IX8U","GSON1112151593")</f>
        <v>#NAME?</v>
      </c>
      <c r="O2215" s="28" t="e">
        <f ca="1">[1]!BexGetData("DP_1","003N8EMH8GTFRIVOG7KG9J3KE","GSON1112151593")</f>
        <v>#NAME?</v>
      </c>
      <c r="P2215" s="28" t="e">
        <f ca="1">[1]!BexGetData("DP_1","003N8EMH8GTFRIVOG7KG9J9VY","GSON1112151593")</f>
        <v>#NAME?</v>
      </c>
      <c r="Q2215" s="24" t="e">
        <f ca="1">[1]!BexGetData("DP_1","00O2TNJGODT0G5Z4TTKYMM5MT","GSON1112151593")</f>
        <v>#NAME?</v>
      </c>
      <c r="R2215" s="24" t="e">
        <f ca="1">[1]!BexGetData("DP_1","00O2TNJGODT0G5Z4TTKYMMBYD","GSON1112151593")</f>
        <v>#NAME?</v>
      </c>
      <c r="S2215" s="24" t="e">
        <f ca="1">[1]!BexGetData("DP_1","00O2TNJGODT0G5Z4TTKYMMI9X","GSON1112151593")</f>
        <v>#NAME?</v>
      </c>
      <c r="T2215" s="24" t="e">
        <f ca="1">[1]!BexGetData("DP_1","00O2TNJGODT0G5Z4TTKYMMOLH","GSON1112151593")</f>
        <v>#NAME?</v>
      </c>
      <c r="U2215" s="24" t="e">
        <f ca="1">[1]!BexGetData("DP_1","00O2TNJGODT0G5Z4TTKYMMUX1","GSON1112151593")</f>
        <v>#NAME?</v>
      </c>
      <c r="V2215" s="24" t="e">
        <f ca="1">[1]!BexGetData("DP_1","00O2TNJGODT0G5Z4TTKYMN18L","GSON1112151593")</f>
        <v>#NAME?</v>
      </c>
      <c r="W2215" s="24" t="e">
        <f ca="1">[1]!BexGetData("DP_1","00O2TNJGODT0G5Z4TTKYMN7K5","GSON1112151593")</f>
        <v>#NAME?</v>
      </c>
    </row>
    <row r="2216" spans="1:23" x14ac:dyDescent="0.2">
      <c r="A2216" s="36" t="s">
        <v>5401</v>
      </c>
      <c r="B2216" s="27" t="s">
        <v>5402</v>
      </c>
      <c r="C2216" s="23" t="e">
        <f ca="1">[1]!BexGetData("DP_1","003N8EMH8GTFRCSWKMPXRR8GU","GSON1112151594")</f>
        <v>#NAME?</v>
      </c>
      <c r="D2216" s="23" t="e">
        <f ca="1">[1]!BexGetData("DP_1","003N8EMH8GTFRCSWKMPXRRESE","GSON1112151594")</f>
        <v>#NAME?</v>
      </c>
      <c r="E2216" s="28" t="e">
        <f ca="1">[1]!BexGetData("DP_1","003N8EMH8GTFRCSWKMPXRRL3Y","GSON1112151594")</f>
        <v>#NAME?</v>
      </c>
      <c r="F2216" s="24" t="e">
        <f ca="1">[1]!BexGetData("DP_1","003N8EMH8GTFRCSWKMPXRRRFI","GSON1112151594")</f>
        <v>#NAME?</v>
      </c>
      <c r="G2216" s="24" t="e">
        <f ca="1">[1]!BexGetData("DP_1","003N8EMH8GTFRCSWKMPXRRXR2","GSON1112151594")</f>
        <v>#NAME?</v>
      </c>
      <c r="H2216" s="24" t="e">
        <f ca="1">[1]!BexGetData("DP_1","003N8EMH8GTFRCSWKMPXRS42M","GSON1112151594")</f>
        <v>#NAME?</v>
      </c>
      <c r="I2216" s="24" t="e">
        <f ca="1">[1]!BexGetData("DP_1","003N8EMH8GTFRCSWKMPXRSAE6","GSON1112151594")</f>
        <v>#NAME?</v>
      </c>
      <c r="J2216" s="24" t="e">
        <f ca="1">[1]!BexGetData("DP_1","003N8EMH8GTFRCSWKMPXRSGPQ","GSON1112151594")</f>
        <v>#NAME?</v>
      </c>
      <c r="K2216" s="28" t="e">
        <f ca="1">[1]!BexGetData("DP_1","003N8EMH8GTFRIVNUPY288VJH","GSON1112151594")</f>
        <v>#NAME?</v>
      </c>
      <c r="L2216" s="28" t="e">
        <f ca="1">[1]!BexGetData("DP_1","003N8EMH8GTFRIVNUPY2891V1","GSON1112151594")</f>
        <v>#NAME?</v>
      </c>
      <c r="M2216" s="28" t="e">
        <f ca="1">[1]!BexGetData("DP_1","003N8EMH8GTFRIVOG7KG9IQXA","GSON1112151594")</f>
        <v>#NAME?</v>
      </c>
      <c r="N2216" s="28" t="e">
        <f ca="1">[1]!BexGetData("DP_1","003N8EMH8GTFRIVOG7KG9IX8U","GSON1112151594")</f>
        <v>#NAME?</v>
      </c>
      <c r="O2216" s="28" t="e">
        <f ca="1">[1]!BexGetData("DP_1","003N8EMH8GTFRIVOG7KG9J3KE","GSON1112151594")</f>
        <v>#NAME?</v>
      </c>
      <c r="P2216" s="28" t="e">
        <f ca="1">[1]!BexGetData("DP_1","003N8EMH8GTFRIVOG7KG9J9VY","GSON1112151594")</f>
        <v>#NAME?</v>
      </c>
      <c r="Q2216" s="24" t="e">
        <f ca="1">[1]!BexGetData("DP_1","00O2TNJGODT0G5Z4TTKYMM5MT","GSON1112151594")</f>
        <v>#NAME?</v>
      </c>
      <c r="R2216" s="24" t="e">
        <f ca="1">[1]!BexGetData("DP_1","00O2TNJGODT0G5Z4TTKYMMBYD","GSON1112151594")</f>
        <v>#NAME?</v>
      </c>
      <c r="S2216" s="24" t="e">
        <f ca="1">[1]!BexGetData("DP_1","00O2TNJGODT0G5Z4TTKYMMI9X","GSON1112151594")</f>
        <v>#NAME?</v>
      </c>
      <c r="T2216" s="24" t="e">
        <f ca="1">[1]!BexGetData("DP_1","00O2TNJGODT0G5Z4TTKYMMOLH","GSON1112151594")</f>
        <v>#NAME?</v>
      </c>
      <c r="U2216" s="24" t="e">
        <f ca="1">[1]!BexGetData("DP_1","00O2TNJGODT0G5Z4TTKYMMUX1","GSON1112151594")</f>
        <v>#NAME?</v>
      </c>
      <c r="V2216" s="24" t="e">
        <f ca="1">[1]!BexGetData("DP_1","00O2TNJGODT0G5Z4TTKYMN18L","GSON1112151594")</f>
        <v>#NAME?</v>
      </c>
      <c r="W2216" s="24" t="e">
        <f ca="1">[1]!BexGetData("DP_1","00O2TNJGODT0G5Z4TTKYMN7K5","GSON1112151594")</f>
        <v>#NAME?</v>
      </c>
    </row>
    <row r="2217" spans="1:23" x14ac:dyDescent="0.2">
      <c r="A2217" s="36" t="s">
        <v>5403</v>
      </c>
      <c r="B2217" s="27" t="s">
        <v>5404</v>
      </c>
      <c r="C2217" s="23" t="e">
        <f ca="1">[1]!BexGetData("DP_1","003N8EMH8GTFRCSWKMPXRR8GU","GSON1112151595")</f>
        <v>#NAME?</v>
      </c>
      <c r="D2217" s="23" t="e">
        <f ca="1">[1]!BexGetData("DP_1","003N8EMH8GTFRCSWKMPXRRESE","GSON1112151595")</f>
        <v>#NAME?</v>
      </c>
      <c r="E2217" s="28" t="e">
        <f ca="1">[1]!BexGetData("DP_1","003N8EMH8GTFRCSWKMPXRRL3Y","GSON1112151595")</f>
        <v>#NAME?</v>
      </c>
      <c r="F2217" s="24" t="e">
        <f ca="1">[1]!BexGetData("DP_1","003N8EMH8GTFRCSWKMPXRRRFI","GSON1112151595")</f>
        <v>#NAME?</v>
      </c>
      <c r="G2217" s="24" t="e">
        <f ca="1">[1]!BexGetData("DP_1","003N8EMH8GTFRCSWKMPXRRXR2","GSON1112151595")</f>
        <v>#NAME?</v>
      </c>
      <c r="H2217" s="24" t="e">
        <f ca="1">[1]!BexGetData("DP_1","003N8EMH8GTFRCSWKMPXRS42M","GSON1112151595")</f>
        <v>#NAME?</v>
      </c>
      <c r="I2217" s="24" t="e">
        <f ca="1">[1]!BexGetData("DP_1","003N8EMH8GTFRCSWKMPXRSAE6","GSON1112151595")</f>
        <v>#NAME?</v>
      </c>
      <c r="J2217" s="24" t="e">
        <f ca="1">[1]!BexGetData("DP_1","003N8EMH8GTFRCSWKMPXRSGPQ","GSON1112151595")</f>
        <v>#NAME?</v>
      </c>
      <c r="K2217" s="28" t="e">
        <f ca="1">[1]!BexGetData("DP_1","003N8EMH8GTFRIVNUPY288VJH","GSON1112151595")</f>
        <v>#NAME?</v>
      </c>
      <c r="L2217" s="28" t="e">
        <f ca="1">[1]!BexGetData("DP_1","003N8EMH8GTFRIVNUPY2891V1","GSON1112151595")</f>
        <v>#NAME?</v>
      </c>
      <c r="M2217" s="28" t="e">
        <f ca="1">[1]!BexGetData("DP_1","003N8EMH8GTFRIVOG7KG9IQXA","GSON1112151595")</f>
        <v>#NAME?</v>
      </c>
      <c r="N2217" s="28" t="e">
        <f ca="1">[1]!BexGetData("DP_1","003N8EMH8GTFRIVOG7KG9IX8U","GSON1112151595")</f>
        <v>#NAME?</v>
      </c>
      <c r="O2217" s="28" t="e">
        <f ca="1">[1]!BexGetData("DP_1","003N8EMH8GTFRIVOG7KG9J3KE","GSON1112151595")</f>
        <v>#NAME?</v>
      </c>
      <c r="P2217" s="28" t="e">
        <f ca="1">[1]!BexGetData("DP_1","003N8EMH8GTFRIVOG7KG9J9VY","GSON1112151595")</f>
        <v>#NAME?</v>
      </c>
      <c r="Q2217" s="24" t="e">
        <f ca="1">[1]!BexGetData("DP_1","00O2TNJGODT0G5Z4TTKYMM5MT","GSON1112151595")</f>
        <v>#NAME?</v>
      </c>
      <c r="R2217" s="24" t="e">
        <f ca="1">[1]!BexGetData("DP_1","00O2TNJGODT0G5Z4TTKYMMBYD","GSON1112151595")</f>
        <v>#NAME?</v>
      </c>
      <c r="S2217" s="24" t="e">
        <f ca="1">[1]!BexGetData("DP_1","00O2TNJGODT0G5Z4TTKYMMI9X","GSON1112151595")</f>
        <v>#NAME?</v>
      </c>
      <c r="T2217" s="24" t="e">
        <f ca="1">[1]!BexGetData("DP_1","00O2TNJGODT0G5Z4TTKYMMOLH","GSON1112151595")</f>
        <v>#NAME?</v>
      </c>
      <c r="U2217" s="24" t="e">
        <f ca="1">[1]!BexGetData("DP_1","00O2TNJGODT0G5Z4TTKYMMUX1","GSON1112151595")</f>
        <v>#NAME?</v>
      </c>
      <c r="V2217" s="24" t="e">
        <f ca="1">[1]!BexGetData("DP_1","00O2TNJGODT0G5Z4TTKYMN18L","GSON1112151595")</f>
        <v>#NAME?</v>
      </c>
      <c r="W2217" s="24" t="e">
        <f ca="1">[1]!BexGetData("DP_1","00O2TNJGODT0G5Z4TTKYMN7K5","GSON1112151595")</f>
        <v>#NAME?</v>
      </c>
    </row>
    <row r="2218" spans="1:23" x14ac:dyDescent="0.2">
      <c r="A2218" s="36" t="s">
        <v>5405</v>
      </c>
      <c r="B2218" s="27" t="s">
        <v>5406</v>
      </c>
      <c r="C2218" s="23" t="e">
        <f ca="1">[1]!BexGetData("DP_1","003N8EMH8GTFRCSWKMPXRR8GU","GSON1112151600")</f>
        <v>#NAME?</v>
      </c>
      <c r="D2218" s="23" t="e">
        <f ca="1">[1]!BexGetData("DP_1","003N8EMH8GTFRCSWKMPXRRESE","GSON1112151600")</f>
        <v>#NAME?</v>
      </c>
      <c r="E2218" s="23" t="e">
        <f ca="1">[1]!BexGetData("DP_1","003N8EMH8GTFRCSWKMPXRRL3Y","GSON1112151600")</f>
        <v>#NAME?</v>
      </c>
      <c r="F2218" s="24" t="e">
        <f ca="1">[1]!BexGetData("DP_1","003N8EMH8GTFRCSWKMPXRRRFI","GSON1112151600")</f>
        <v>#NAME?</v>
      </c>
      <c r="G2218" s="24" t="e">
        <f ca="1">[1]!BexGetData("DP_1","003N8EMH8GTFRCSWKMPXRRXR2","GSON1112151600")</f>
        <v>#NAME?</v>
      </c>
      <c r="H2218" s="24" t="e">
        <f ca="1">[1]!BexGetData("DP_1","003N8EMH8GTFRCSWKMPXRS42M","GSON1112151600")</f>
        <v>#NAME?</v>
      </c>
      <c r="I2218" s="24" t="e">
        <f ca="1">[1]!BexGetData("DP_1","003N8EMH8GTFRCSWKMPXRSAE6","GSON1112151600")</f>
        <v>#NAME?</v>
      </c>
      <c r="J2218" s="24" t="e">
        <f ca="1">[1]!BexGetData("DP_1","003N8EMH8GTFRCSWKMPXRSGPQ","GSON1112151600")</f>
        <v>#NAME?</v>
      </c>
      <c r="K2218" s="23" t="e">
        <f ca="1">[1]!BexGetData("DP_1","003N8EMH8GTFRIVNUPY288VJH","GSON1112151600")</f>
        <v>#NAME?</v>
      </c>
      <c r="L2218" s="23" t="e">
        <f ca="1">[1]!BexGetData("DP_1","003N8EMH8GTFRIVNUPY2891V1","GSON1112151600")</f>
        <v>#NAME?</v>
      </c>
      <c r="M2218" s="28" t="e">
        <f ca="1">[1]!BexGetData("DP_1","003N8EMH8GTFRIVOG7KG9IQXA","GSON1112151600")</f>
        <v>#NAME?</v>
      </c>
      <c r="N2218" s="23" t="e">
        <f ca="1">[1]!BexGetData("DP_1","003N8EMH8GTFRIVOG7KG9IX8U","GSON1112151600")</f>
        <v>#NAME?</v>
      </c>
      <c r="O2218" s="28" t="e">
        <f ca="1">[1]!BexGetData("DP_1","003N8EMH8GTFRIVOG7KG9J3KE","GSON1112151600")</f>
        <v>#NAME?</v>
      </c>
      <c r="P2218" s="23" t="e">
        <f ca="1">[1]!BexGetData("DP_1","003N8EMH8GTFRIVOG7KG9J9VY","GSON1112151600")</f>
        <v>#NAME?</v>
      </c>
      <c r="Q2218" s="24" t="e">
        <f ca="1">[1]!BexGetData("DP_1","00O2TNJGODT0G5Z4TTKYMM5MT","GSON1112151600")</f>
        <v>#NAME?</v>
      </c>
      <c r="R2218" s="24" t="e">
        <f ca="1">[1]!BexGetData("DP_1","00O2TNJGODT0G5Z4TTKYMMBYD","GSON1112151600")</f>
        <v>#NAME?</v>
      </c>
      <c r="S2218" s="24" t="e">
        <f ca="1">[1]!BexGetData("DP_1","00O2TNJGODT0G5Z4TTKYMMI9X","GSON1112151600")</f>
        <v>#NAME?</v>
      </c>
      <c r="T2218" s="24" t="e">
        <f ca="1">[1]!BexGetData("DP_1","00O2TNJGODT0G5Z4TTKYMMOLH","GSON1112151600")</f>
        <v>#NAME?</v>
      </c>
      <c r="U2218" s="24" t="e">
        <f ca="1">[1]!BexGetData("DP_1","00O2TNJGODT0G5Z4TTKYMMUX1","GSON1112151600")</f>
        <v>#NAME?</v>
      </c>
      <c r="V2218" s="24" t="e">
        <f ca="1">[1]!BexGetData("DP_1","00O2TNJGODT0G5Z4TTKYMN18L","GSON1112151600")</f>
        <v>#NAME?</v>
      </c>
      <c r="W2218" s="24" t="e">
        <f ca="1">[1]!BexGetData("DP_1","00O2TNJGODT0G5Z4TTKYMN7K5","GSON1112151600")</f>
        <v>#NAME?</v>
      </c>
    </row>
    <row r="2219" spans="1:23" x14ac:dyDescent="0.2">
      <c r="A2219" s="36" t="s">
        <v>5407</v>
      </c>
      <c r="B2219" s="27" t="s">
        <v>5408</v>
      </c>
      <c r="C2219" s="23" t="e">
        <f ca="1">[1]!BexGetData("DP_1","003N8EMH8GTFRCSWKMPXRR8GU","GSON1112151601")</f>
        <v>#NAME?</v>
      </c>
      <c r="D2219" s="23" t="e">
        <f ca="1">[1]!BexGetData("DP_1","003N8EMH8GTFRCSWKMPXRRESE","GSON1112151601")</f>
        <v>#NAME?</v>
      </c>
      <c r="E2219" s="28" t="e">
        <f ca="1">[1]!BexGetData("DP_1","003N8EMH8GTFRCSWKMPXRRL3Y","GSON1112151601")</f>
        <v>#NAME?</v>
      </c>
      <c r="F2219" s="24" t="e">
        <f ca="1">[1]!BexGetData("DP_1","003N8EMH8GTFRCSWKMPXRRRFI","GSON1112151601")</f>
        <v>#NAME?</v>
      </c>
      <c r="G2219" s="24" t="e">
        <f ca="1">[1]!BexGetData("DP_1","003N8EMH8GTFRCSWKMPXRRXR2","GSON1112151601")</f>
        <v>#NAME?</v>
      </c>
      <c r="H2219" s="24" t="e">
        <f ca="1">[1]!BexGetData("DP_1","003N8EMH8GTFRCSWKMPXRS42M","GSON1112151601")</f>
        <v>#NAME?</v>
      </c>
      <c r="I2219" s="24" t="e">
        <f ca="1">[1]!BexGetData("DP_1","003N8EMH8GTFRCSWKMPXRSAE6","GSON1112151601")</f>
        <v>#NAME?</v>
      </c>
      <c r="J2219" s="24" t="e">
        <f ca="1">[1]!BexGetData("DP_1","003N8EMH8GTFRCSWKMPXRSGPQ","GSON1112151601")</f>
        <v>#NAME?</v>
      </c>
      <c r="K2219" s="28" t="e">
        <f ca="1">[1]!BexGetData("DP_1","003N8EMH8GTFRIVNUPY288VJH","GSON1112151601")</f>
        <v>#NAME?</v>
      </c>
      <c r="L2219" s="28" t="e">
        <f ca="1">[1]!BexGetData("DP_1","003N8EMH8GTFRIVNUPY2891V1","GSON1112151601")</f>
        <v>#NAME?</v>
      </c>
      <c r="M2219" s="28" t="e">
        <f ca="1">[1]!BexGetData("DP_1","003N8EMH8GTFRIVOG7KG9IQXA","GSON1112151601")</f>
        <v>#NAME?</v>
      </c>
      <c r="N2219" s="28" t="e">
        <f ca="1">[1]!BexGetData("DP_1","003N8EMH8GTFRIVOG7KG9IX8U","GSON1112151601")</f>
        <v>#NAME?</v>
      </c>
      <c r="O2219" s="28" t="e">
        <f ca="1">[1]!BexGetData("DP_1","003N8EMH8GTFRIVOG7KG9J3KE","GSON1112151601")</f>
        <v>#NAME?</v>
      </c>
      <c r="P2219" s="28" t="e">
        <f ca="1">[1]!BexGetData("DP_1","003N8EMH8GTFRIVOG7KG9J9VY","GSON1112151601")</f>
        <v>#NAME?</v>
      </c>
      <c r="Q2219" s="24" t="e">
        <f ca="1">[1]!BexGetData("DP_1","00O2TNJGODT0G5Z4TTKYMM5MT","GSON1112151601")</f>
        <v>#NAME?</v>
      </c>
      <c r="R2219" s="24" t="e">
        <f ca="1">[1]!BexGetData("DP_1","00O2TNJGODT0G5Z4TTKYMMBYD","GSON1112151601")</f>
        <v>#NAME?</v>
      </c>
      <c r="S2219" s="24" t="e">
        <f ca="1">[1]!BexGetData("DP_1","00O2TNJGODT0G5Z4TTKYMMI9X","GSON1112151601")</f>
        <v>#NAME?</v>
      </c>
      <c r="T2219" s="24" t="e">
        <f ca="1">[1]!BexGetData("DP_1","00O2TNJGODT0G5Z4TTKYMMOLH","GSON1112151601")</f>
        <v>#NAME?</v>
      </c>
      <c r="U2219" s="24" t="e">
        <f ca="1">[1]!BexGetData("DP_1","00O2TNJGODT0G5Z4TTKYMMUX1","GSON1112151601")</f>
        <v>#NAME?</v>
      </c>
      <c r="V2219" s="24" t="e">
        <f ca="1">[1]!BexGetData("DP_1","00O2TNJGODT0G5Z4TTKYMN18L","GSON1112151601")</f>
        <v>#NAME?</v>
      </c>
      <c r="W2219" s="24" t="e">
        <f ca="1">[1]!BexGetData("DP_1","00O2TNJGODT0G5Z4TTKYMN7K5","GSON1112151601")</f>
        <v>#NAME?</v>
      </c>
    </row>
    <row r="2220" spans="1:23" x14ac:dyDescent="0.2">
      <c r="A2220" s="36" t="s">
        <v>5409</v>
      </c>
      <c r="B2220" s="27" t="s">
        <v>5410</v>
      </c>
      <c r="C2220" s="28" t="e">
        <f ca="1">[1]!BexGetData("DP_1","003N8EMH8GTFRCSWKMPXRR8GU","GSON1112151602")</f>
        <v>#NAME?</v>
      </c>
      <c r="D2220" s="23" t="e">
        <f ca="1">[1]!BexGetData("DP_1","003N8EMH8GTFRCSWKMPXRRESE","GSON1112151602")</f>
        <v>#NAME?</v>
      </c>
      <c r="E2220" s="23" t="e">
        <f ca="1">[1]!BexGetData("DP_1","003N8EMH8GTFRCSWKMPXRRL3Y","GSON1112151602")</f>
        <v>#NAME?</v>
      </c>
      <c r="F2220" s="24" t="e">
        <f ca="1">[1]!BexGetData("DP_1","003N8EMH8GTFRCSWKMPXRRRFI","GSON1112151602")</f>
        <v>#NAME?</v>
      </c>
      <c r="G2220" s="24" t="e">
        <f ca="1">[1]!BexGetData("DP_1","003N8EMH8GTFRCSWKMPXRRXR2","GSON1112151602")</f>
        <v>#NAME?</v>
      </c>
      <c r="H2220" s="24" t="e">
        <f ca="1">[1]!BexGetData("DP_1","003N8EMH8GTFRCSWKMPXRS42M","GSON1112151602")</f>
        <v>#NAME?</v>
      </c>
      <c r="I2220" s="24" t="e">
        <f ca="1">[1]!BexGetData("DP_1","003N8EMH8GTFRCSWKMPXRSAE6","GSON1112151602")</f>
        <v>#NAME?</v>
      </c>
      <c r="J2220" s="24" t="e">
        <f ca="1">[1]!BexGetData("DP_1","003N8EMH8GTFRCSWKMPXRSGPQ","GSON1112151602")</f>
        <v>#NAME?</v>
      </c>
      <c r="K2220" s="23" t="e">
        <f ca="1">[1]!BexGetData("DP_1","003N8EMH8GTFRIVNUPY288VJH","GSON1112151602")</f>
        <v>#NAME?</v>
      </c>
      <c r="L2220" s="23" t="e">
        <f ca="1">[1]!BexGetData("DP_1","003N8EMH8GTFRIVNUPY2891V1","GSON1112151602")</f>
        <v>#NAME?</v>
      </c>
      <c r="M2220" s="23" t="e">
        <f ca="1">[1]!BexGetData("DP_1","003N8EMH8GTFRIVOG7KG9IQXA","GSON1112151602")</f>
        <v>#NAME?</v>
      </c>
      <c r="N2220" s="28" t="e">
        <f ca="1">[1]!BexGetData("DP_1","003N8EMH8GTFRIVOG7KG9IX8U","GSON1112151602")</f>
        <v>#NAME?</v>
      </c>
      <c r="O2220" s="23" t="e">
        <f ca="1">[1]!BexGetData("DP_1","003N8EMH8GTFRIVOG7KG9J3KE","GSON1112151602")</f>
        <v>#NAME?</v>
      </c>
      <c r="P2220" s="28" t="e">
        <f ca="1">[1]!BexGetData("DP_1","003N8EMH8GTFRIVOG7KG9J9VY","GSON1112151602")</f>
        <v>#NAME?</v>
      </c>
      <c r="Q2220" s="24" t="e">
        <f ca="1">[1]!BexGetData("DP_1","00O2TNJGODT0G5Z4TTKYMM5MT","GSON1112151602")</f>
        <v>#NAME?</v>
      </c>
      <c r="R2220" s="24" t="e">
        <f ca="1">[1]!BexGetData("DP_1","00O2TNJGODT0G5Z4TTKYMMBYD","GSON1112151602")</f>
        <v>#NAME?</v>
      </c>
      <c r="S2220" s="24" t="e">
        <f ca="1">[1]!BexGetData("DP_1","00O2TNJGODT0G5Z4TTKYMMI9X","GSON1112151602")</f>
        <v>#NAME?</v>
      </c>
      <c r="T2220" s="24" t="e">
        <f ca="1">[1]!BexGetData("DP_1","00O2TNJGODT0G5Z4TTKYMMOLH","GSON1112151602")</f>
        <v>#NAME?</v>
      </c>
      <c r="U2220" s="24" t="e">
        <f ca="1">[1]!BexGetData("DP_1","00O2TNJGODT0G5Z4TTKYMMUX1","GSON1112151602")</f>
        <v>#NAME?</v>
      </c>
      <c r="V2220" s="24" t="e">
        <f ca="1">[1]!BexGetData("DP_1","00O2TNJGODT0G5Z4TTKYMN18L","GSON1112151602")</f>
        <v>#NAME?</v>
      </c>
      <c r="W2220" s="24" t="e">
        <f ca="1">[1]!BexGetData("DP_1","00O2TNJGODT0G5Z4TTKYMN7K5","GSON1112151602")</f>
        <v>#NAME?</v>
      </c>
    </row>
    <row r="2221" spans="1:23" x14ac:dyDescent="0.2">
      <c r="A2221" s="36" t="s">
        <v>5411</v>
      </c>
      <c r="B2221" s="27" t="s">
        <v>5412</v>
      </c>
      <c r="C2221" s="23" t="e">
        <f ca="1">[1]!BexGetData("DP_1","003N8EMH8GTFRCSWKMPXRR8GU","GSON1112151603")</f>
        <v>#NAME?</v>
      </c>
      <c r="D2221" s="23" t="e">
        <f ca="1">[1]!BexGetData("DP_1","003N8EMH8GTFRCSWKMPXRRESE","GSON1112151603")</f>
        <v>#NAME?</v>
      </c>
      <c r="E2221" s="28" t="e">
        <f ca="1">[1]!BexGetData("DP_1","003N8EMH8GTFRCSWKMPXRRL3Y","GSON1112151603")</f>
        <v>#NAME?</v>
      </c>
      <c r="F2221" s="24" t="e">
        <f ca="1">[1]!BexGetData("DP_1","003N8EMH8GTFRCSWKMPXRRRFI","GSON1112151603")</f>
        <v>#NAME?</v>
      </c>
      <c r="G2221" s="24" t="e">
        <f ca="1">[1]!BexGetData("DP_1","003N8EMH8GTFRCSWKMPXRRXR2","GSON1112151603")</f>
        <v>#NAME?</v>
      </c>
      <c r="H2221" s="24" t="e">
        <f ca="1">[1]!BexGetData("DP_1","003N8EMH8GTFRCSWKMPXRS42M","GSON1112151603")</f>
        <v>#NAME?</v>
      </c>
      <c r="I2221" s="24" t="e">
        <f ca="1">[1]!BexGetData("DP_1","003N8EMH8GTFRCSWKMPXRSAE6","GSON1112151603")</f>
        <v>#NAME?</v>
      </c>
      <c r="J2221" s="24" t="e">
        <f ca="1">[1]!BexGetData("DP_1","003N8EMH8GTFRCSWKMPXRSGPQ","GSON1112151603")</f>
        <v>#NAME?</v>
      </c>
      <c r="K2221" s="28" t="e">
        <f ca="1">[1]!BexGetData("DP_1","003N8EMH8GTFRIVNUPY288VJH","GSON1112151603")</f>
        <v>#NAME?</v>
      </c>
      <c r="L2221" s="28" t="e">
        <f ca="1">[1]!BexGetData("DP_1","003N8EMH8GTFRIVNUPY2891V1","GSON1112151603")</f>
        <v>#NAME?</v>
      </c>
      <c r="M2221" s="28" t="e">
        <f ca="1">[1]!BexGetData("DP_1","003N8EMH8GTFRIVOG7KG9IQXA","GSON1112151603")</f>
        <v>#NAME?</v>
      </c>
      <c r="N2221" s="28" t="e">
        <f ca="1">[1]!BexGetData("DP_1","003N8EMH8GTFRIVOG7KG9IX8U","GSON1112151603")</f>
        <v>#NAME?</v>
      </c>
      <c r="O2221" s="28" t="e">
        <f ca="1">[1]!BexGetData("DP_1","003N8EMH8GTFRIVOG7KG9J3KE","GSON1112151603")</f>
        <v>#NAME?</v>
      </c>
      <c r="P2221" s="28" t="e">
        <f ca="1">[1]!BexGetData("DP_1","003N8EMH8GTFRIVOG7KG9J9VY","GSON1112151603")</f>
        <v>#NAME?</v>
      </c>
      <c r="Q2221" s="24" t="e">
        <f ca="1">[1]!BexGetData("DP_1","00O2TNJGODT0G5Z4TTKYMM5MT","GSON1112151603")</f>
        <v>#NAME?</v>
      </c>
      <c r="R2221" s="24" t="e">
        <f ca="1">[1]!BexGetData("DP_1","00O2TNJGODT0G5Z4TTKYMMBYD","GSON1112151603")</f>
        <v>#NAME?</v>
      </c>
      <c r="S2221" s="24" t="e">
        <f ca="1">[1]!BexGetData("DP_1","00O2TNJGODT0G5Z4TTKYMMI9X","GSON1112151603")</f>
        <v>#NAME?</v>
      </c>
      <c r="T2221" s="24" t="e">
        <f ca="1">[1]!BexGetData("DP_1","00O2TNJGODT0G5Z4TTKYMMOLH","GSON1112151603")</f>
        <v>#NAME?</v>
      </c>
      <c r="U2221" s="24" t="e">
        <f ca="1">[1]!BexGetData("DP_1","00O2TNJGODT0G5Z4TTKYMMUX1","GSON1112151603")</f>
        <v>#NAME?</v>
      </c>
      <c r="V2221" s="24" t="e">
        <f ca="1">[1]!BexGetData("DP_1","00O2TNJGODT0G5Z4TTKYMN18L","GSON1112151603")</f>
        <v>#NAME?</v>
      </c>
      <c r="W2221" s="24" t="e">
        <f ca="1">[1]!BexGetData("DP_1","00O2TNJGODT0G5Z4TTKYMN7K5","GSON1112151603")</f>
        <v>#NAME?</v>
      </c>
    </row>
    <row r="2222" spans="1:23" x14ac:dyDescent="0.2">
      <c r="A2222" s="36" t="s">
        <v>5413</v>
      </c>
      <c r="B2222" s="27" t="s">
        <v>5414</v>
      </c>
      <c r="C2222" s="23" t="e">
        <f ca="1">[1]!BexGetData("DP_1","003N8EMH8GTFRCSWKMPXRR8GU","GSON1112151605")</f>
        <v>#NAME?</v>
      </c>
      <c r="D2222" s="23" t="e">
        <f ca="1">[1]!BexGetData("DP_1","003N8EMH8GTFRCSWKMPXRRESE","GSON1112151605")</f>
        <v>#NAME?</v>
      </c>
      <c r="E2222" s="28" t="e">
        <f ca="1">[1]!BexGetData("DP_1","003N8EMH8GTFRCSWKMPXRRL3Y","GSON1112151605")</f>
        <v>#NAME?</v>
      </c>
      <c r="F2222" s="24" t="e">
        <f ca="1">[1]!BexGetData("DP_1","003N8EMH8GTFRCSWKMPXRRRFI","GSON1112151605")</f>
        <v>#NAME?</v>
      </c>
      <c r="G2222" s="24" t="e">
        <f ca="1">[1]!BexGetData("DP_1","003N8EMH8GTFRCSWKMPXRRXR2","GSON1112151605")</f>
        <v>#NAME?</v>
      </c>
      <c r="H2222" s="24" t="e">
        <f ca="1">[1]!BexGetData("DP_1","003N8EMH8GTFRCSWKMPXRS42M","GSON1112151605")</f>
        <v>#NAME?</v>
      </c>
      <c r="I2222" s="24" t="e">
        <f ca="1">[1]!BexGetData("DP_1","003N8EMH8GTFRCSWKMPXRSAE6","GSON1112151605")</f>
        <v>#NAME?</v>
      </c>
      <c r="J2222" s="24" t="e">
        <f ca="1">[1]!BexGetData("DP_1","003N8EMH8GTFRCSWKMPXRSGPQ","GSON1112151605")</f>
        <v>#NAME?</v>
      </c>
      <c r="K2222" s="28" t="e">
        <f ca="1">[1]!BexGetData("DP_1","003N8EMH8GTFRIVNUPY288VJH","GSON1112151605")</f>
        <v>#NAME?</v>
      </c>
      <c r="L2222" s="28" t="e">
        <f ca="1">[1]!BexGetData("DP_1","003N8EMH8GTFRIVNUPY2891V1","GSON1112151605")</f>
        <v>#NAME?</v>
      </c>
      <c r="M2222" s="28" t="e">
        <f ca="1">[1]!BexGetData("DP_1","003N8EMH8GTFRIVOG7KG9IQXA","GSON1112151605")</f>
        <v>#NAME?</v>
      </c>
      <c r="N2222" s="28" t="e">
        <f ca="1">[1]!BexGetData("DP_1","003N8EMH8GTFRIVOG7KG9IX8U","GSON1112151605")</f>
        <v>#NAME?</v>
      </c>
      <c r="O2222" s="28" t="e">
        <f ca="1">[1]!BexGetData("DP_1","003N8EMH8GTFRIVOG7KG9J3KE","GSON1112151605")</f>
        <v>#NAME?</v>
      </c>
      <c r="P2222" s="28" t="e">
        <f ca="1">[1]!BexGetData("DP_1","003N8EMH8GTFRIVOG7KG9J9VY","GSON1112151605")</f>
        <v>#NAME?</v>
      </c>
      <c r="Q2222" s="24" t="e">
        <f ca="1">[1]!BexGetData("DP_1","00O2TNJGODT0G5Z4TTKYMM5MT","GSON1112151605")</f>
        <v>#NAME?</v>
      </c>
      <c r="R2222" s="24" t="e">
        <f ca="1">[1]!BexGetData("DP_1","00O2TNJGODT0G5Z4TTKYMMBYD","GSON1112151605")</f>
        <v>#NAME?</v>
      </c>
      <c r="S2222" s="24" t="e">
        <f ca="1">[1]!BexGetData("DP_1","00O2TNJGODT0G5Z4TTKYMMI9X","GSON1112151605")</f>
        <v>#NAME?</v>
      </c>
      <c r="T2222" s="24" t="e">
        <f ca="1">[1]!BexGetData("DP_1","00O2TNJGODT0G5Z4TTKYMMOLH","GSON1112151605")</f>
        <v>#NAME?</v>
      </c>
      <c r="U2222" s="24" t="e">
        <f ca="1">[1]!BexGetData("DP_1","00O2TNJGODT0G5Z4TTKYMMUX1","GSON1112151605")</f>
        <v>#NAME?</v>
      </c>
      <c r="V2222" s="24" t="e">
        <f ca="1">[1]!BexGetData("DP_1","00O2TNJGODT0G5Z4TTKYMN18L","GSON1112151605")</f>
        <v>#NAME?</v>
      </c>
      <c r="W2222" s="24" t="e">
        <f ca="1">[1]!BexGetData("DP_1","00O2TNJGODT0G5Z4TTKYMN7K5","GSON1112151605")</f>
        <v>#NAME?</v>
      </c>
    </row>
    <row r="2223" spans="1:23" x14ac:dyDescent="0.2">
      <c r="A2223" s="36" t="s">
        <v>5415</v>
      </c>
      <c r="B2223" s="27" t="s">
        <v>5416</v>
      </c>
      <c r="C2223" s="23" t="e">
        <f ca="1">[1]!BexGetData("DP_1","003N8EMH8GTFRCSWKMPXRR8GU","GSON1112151620")</f>
        <v>#NAME?</v>
      </c>
      <c r="D2223" s="23" t="e">
        <f ca="1">[1]!BexGetData("DP_1","003N8EMH8GTFRCSWKMPXRRESE","GSON1112151620")</f>
        <v>#NAME?</v>
      </c>
      <c r="E2223" s="28" t="e">
        <f ca="1">[1]!BexGetData("DP_1","003N8EMH8GTFRCSWKMPXRRL3Y","GSON1112151620")</f>
        <v>#NAME?</v>
      </c>
      <c r="F2223" s="24" t="e">
        <f ca="1">[1]!BexGetData("DP_1","003N8EMH8GTFRCSWKMPXRRRFI","GSON1112151620")</f>
        <v>#NAME?</v>
      </c>
      <c r="G2223" s="24" t="e">
        <f ca="1">[1]!BexGetData("DP_1","003N8EMH8GTFRCSWKMPXRRXR2","GSON1112151620")</f>
        <v>#NAME?</v>
      </c>
      <c r="H2223" s="24" t="e">
        <f ca="1">[1]!BexGetData("DP_1","003N8EMH8GTFRCSWKMPXRS42M","GSON1112151620")</f>
        <v>#NAME?</v>
      </c>
      <c r="I2223" s="24" t="e">
        <f ca="1">[1]!BexGetData("DP_1","003N8EMH8GTFRCSWKMPXRSAE6","GSON1112151620")</f>
        <v>#NAME?</v>
      </c>
      <c r="J2223" s="24" t="e">
        <f ca="1">[1]!BexGetData("DP_1","003N8EMH8GTFRCSWKMPXRSGPQ","GSON1112151620")</f>
        <v>#NAME?</v>
      </c>
      <c r="K2223" s="28" t="e">
        <f ca="1">[1]!BexGetData("DP_1","003N8EMH8GTFRIVNUPY288VJH","GSON1112151620")</f>
        <v>#NAME?</v>
      </c>
      <c r="L2223" s="28" t="e">
        <f ca="1">[1]!BexGetData("DP_1","003N8EMH8GTFRIVNUPY2891V1","GSON1112151620")</f>
        <v>#NAME?</v>
      </c>
      <c r="M2223" s="28" t="e">
        <f ca="1">[1]!BexGetData("DP_1","003N8EMH8GTFRIVOG7KG9IQXA","GSON1112151620")</f>
        <v>#NAME?</v>
      </c>
      <c r="N2223" s="28" t="e">
        <f ca="1">[1]!BexGetData("DP_1","003N8EMH8GTFRIVOG7KG9IX8U","GSON1112151620")</f>
        <v>#NAME?</v>
      </c>
      <c r="O2223" s="28" t="e">
        <f ca="1">[1]!BexGetData("DP_1","003N8EMH8GTFRIVOG7KG9J3KE","GSON1112151620")</f>
        <v>#NAME?</v>
      </c>
      <c r="P2223" s="28" t="e">
        <f ca="1">[1]!BexGetData("DP_1","003N8EMH8GTFRIVOG7KG9J9VY","GSON1112151620")</f>
        <v>#NAME?</v>
      </c>
      <c r="Q2223" s="24" t="e">
        <f ca="1">[1]!BexGetData("DP_1","00O2TNJGODT0G5Z4TTKYMM5MT","GSON1112151620")</f>
        <v>#NAME?</v>
      </c>
      <c r="R2223" s="24" t="e">
        <f ca="1">[1]!BexGetData("DP_1","00O2TNJGODT0G5Z4TTKYMMBYD","GSON1112151620")</f>
        <v>#NAME?</v>
      </c>
      <c r="S2223" s="24" t="e">
        <f ca="1">[1]!BexGetData("DP_1","00O2TNJGODT0G5Z4TTKYMMI9X","GSON1112151620")</f>
        <v>#NAME?</v>
      </c>
      <c r="T2223" s="24" t="e">
        <f ca="1">[1]!BexGetData("DP_1","00O2TNJGODT0G5Z4TTKYMMOLH","GSON1112151620")</f>
        <v>#NAME?</v>
      </c>
      <c r="U2223" s="24" t="e">
        <f ca="1">[1]!BexGetData("DP_1","00O2TNJGODT0G5Z4TTKYMMUX1","GSON1112151620")</f>
        <v>#NAME?</v>
      </c>
      <c r="V2223" s="24" t="e">
        <f ca="1">[1]!BexGetData("DP_1","00O2TNJGODT0G5Z4TTKYMN18L","GSON1112151620")</f>
        <v>#NAME?</v>
      </c>
      <c r="W2223" s="24" t="e">
        <f ca="1">[1]!BexGetData("DP_1","00O2TNJGODT0G5Z4TTKYMN7K5","GSON1112151620")</f>
        <v>#NAME?</v>
      </c>
    </row>
    <row r="2224" spans="1:23" x14ac:dyDescent="0.2">
      <c r="A2224" s="36" t="s">
        <v>5417</v>
      </c>
      <c r="B2224" s="27" t="s">
        <v>5418</v>
      </c>
      <c r="C2224" s="23" t="e">
        <f ca="1">[1]!BexGetData("DP_1","003N8EMH8GTFRCSWKMPXRR8GU","GSON1112151621")</f>
        <v>#NAME?</v>
      </c>
      <c r="D2224" s="23" t="e">
        <f ca="1">[1]!BexGetData("DP_1","003N8EMH8GTFRCSWKMPXRRESE","GSON1112151621")</f>
        <v>#NAME?</v>
      </c>
      <c r="E2224" s="28" t="e">
        <f ca="1">[1]!BexGetData("DP_1","003N8EMH8GTFRCSWKMPXRRL3Y","GSON1112151621")</f>
        <v>#NAME?</v>
      </c>
      <c r="F2224" s="24" t="e">
        <f ca="1">[1]!BexGetData("DP_1","003N8EMH8GTFRCSWKMPXRRRFI","GSON1112151621")</f>
        <v>#NAME?</v>
      </c>
      <c r="G2224" s="24" t="e">
        <f ca="1">[1]!BexGetData("DP_1","003N8EMH8GTFRCSWKMPXRRXR2","GSON1112151621")</f>
        <v>#NAME?</v>
      </c>
      <c r="H2224" s="24" t="e">
        <f ca="1">[1]!BexGetData("DP_1","003N8EMH8GTFRCSWKMPXRS42M","GSON1112151621")</f>
        <v>#NAME?</v>
      </c>
      <c r="I2224" s="24" t="e">
        <f ca="1">[1]!BexGetData("DP_1","003N8EMH8GTFRCSWKMPXRSAE6","GSON1112151621")</f>
        <v>#NAME?</v>
      </c>
      <c r="J2224" s="24" t="e">
        <f ca="1">[1]!BexGetData("DP_1","003N8EMH8GTFRCSWKMPXRSGPQ","GSON1112151621")</f>
        <v>#NAME?</v>
      </c>
      <c r="K2224" s="28" t="e">
        <f ca="1">[1]!BexGetData("DP_1","003N8EMH8GTFRIVNUPY288VJH","GSON1112151621")</f>
        <v>#NAME?</v>
      </c>
      <c r="L2224" s="28" t="e">
        <f ca="1">[1]!BexGetData("DP_1","003N8EMH8GTFRIVNUPY2891V1","GSON1112151621")</f>
        <v>#NAME?</v>
      </c>
      <c r="M2224" s="28" t="e">
        <f ca="1">[1]!BexGetData("DP_1","003N8EMH8GTFRIVOG7KG9IQXA","GSON1112151621")</f>
        <v>#NAME?</v>
      </c>
      <c r="N2224" s="28" t="e">
        <f ca="1">[1]!BexGetData("DP_1","003N8EMH8GTFRIVOG7KG9IX8U","GSON1112151621")</f>
        <v>#NAME?</v>
      </c>
      <c r="O2224" s="28" t="e">
        <f ca="1">[1]!BexGetData("DP_1","003N8EMH8GTFRIVOG7KG9J3KE","GSON1112151621")</f>
        <v>#NAME?</v>
      </c>
      <c r="P2224" s="28" t="e">
        <f ca="1">[1]!BexGetData("DP_1","003N8EMH8GTFRIVOG7KG9J9VY","GSON1112151621")</f>
        <v>#NAME?</v>
      </c>
      <c r="Q2224" s="24" t="e">
        <f ca="1">[1]!BexGetData("DP_1","00O2TNJGODT0G5Z4TTKYMM5MT","GSON1112151621")</f>
        <v>#NAME?</v>
      </c>
      <c r="R2224" s="24" t="e">
        <f ca="1">[1]!BexGetData("DP_1","00O2TNJGODT0G5Z4TTKYMMBYD","GSON1112151621")</f>
        <v>#NAME?</v>
      </c>
      <c r="S2224" s="24" t="e">
        <f ca="1">[1]!BexGetData("DP_1","00O2TNJGODT0G5Z4TTKYMMI9X","GSON1112151621")</f>
        <v>#NAME?</v>
      </c>
      <c r="T2224" s="24" t="e">
        <f ca="1">[1]!BexGetData("DP_1","00O2TNJGODT0G5Z4TTKYMMOLH","GSON1112151621")</f>
        <v>#NAME?</v>
      </c>
      <c r="U2224" s="24" t="e">
        <f ca="1">[1]!BexGetData("DP_1","00O2TNJGODT0G5Z4TTKYMMUX1","GSON1112151621")</f>
        <v>#NAME?</v>
      </c>
      <c r="V2224" s="24" t="e">
        <f ca="1">[1]!BexGetData("DP_1","00O2TNJGODT0G5Z4TTKYMN18L","GSON1112151621")</f>
        <v>#NAME?</v>
      </c>
      <c r="W2224" s="24" t="e">
        <f ca="1">[1]!BexGetData("DP_1","00O2TNJGODT0G5Z4TTKYMN7K5","GSON1112151621")</f>
        <v>#NAME?</v>
      </c>
    </row>
    <row r="2225" spans="1:23" x14ac:dyDescent="0.2">
      <c r="A2225" s="36" t="s">
        <v>5419</v>
      </c>
      <c r="B2225" s="27" t="s">
        <v>5420</v>
      </c>
      <c r="C2225" s="23" t="e">
        <f ca="1">[1]!BexGetData("DP_1","003N8EMH8GTFRCSWKMPXRR8GU","GSON1112151623")</f>
        <v>#NAME?</v>
      </c>
      <c r="D2225" s="23" t="e">
        <f ca="1">[1]!BexGetData("DP_1","003N8EMH8GTFRCSWKMPXRRESE","GSON1112151623")</f>
        <v>#NAME?</v>
      </c>
      <c r="E2225" s="28" t="e">
        <f ca="1">[1]!BexGetData("DP_1","003N8EMH8GTFRCSWKMPXRRL3Y","GSON1112151623")</f>
        <v>#NAME?</v>
      </c>
      <c r="F2225" s="24" t="e">
        <f ca="1">[1]!BexGetData("DP_1","003N8EMH8GTFRCSWKMPXRRRFI","GSON1112151623")</f>
        <v>#NAME?</v>
      </c>
      <c r="G2225" s="24" t="e">
        <f ca="1">[1]!BexGetData("DP_1","003N8EMH8GTFRCSWKMPXRRXR2","GSON1112151623")</f>
        <v>#NAME?</v>
      </c>
      <c r="H2225" s="24" t="e">
        <f ca="1">[1]!BexGetData("DP_1","003N8EMH8GTFRCSWKMPXRS42M","GSON1112151623")</f>
        <v>#NAME?</v>
      </c>
      <c r="I2225" s="24" t="e">
        <f ca="1">[1]!BexGetData("DP_1","003N8EMH8GTFRCSWKMPXRSAE6","GSON1112151623")</f>
        <v>#NAME?</v>
      </c>
      <c r="J2225" s="24" t="e">
        <f ca="1">[1]!BexGetData("DP_1","003N8EMH8GTFRCSWKMPXRSGPQ","GSON1112151623")</f>
        <v>#NAME?</v>
      </c>
      <c r="K2225" s="28" t="e">
        <f ca="1">[1]!BexGetData("DP_1","003N8EMH8GTFRIVNUPY288VJH","GSON1112151623")</f>
        <v>#NAME?</v>
      </c>
      <c r="L2225" s="28" t="e">
        <f ca="1">[1]!BexGetData("DP_1","003N8EMH8GTFRIVNUPY2891V1","GSON1112151623")</f>
        <v>#NAME?</v>
      </c>
      <c r="M2225" s="28" t="e">
        <f ca="1">[1]!BexGetData("DP_1","003N8EMH8GTFRIVOG7KG9IQXA","GSON1112151623")</f>
        <v>#NAME?</v>
      </c>
      <c r="N2225" s="28" t="e">
        <f ca="1">[1]!BexGetData("DP_1","003N8EMH8GTFRIVOG7KG9IX8U","GSON1112151623")</f>
        <v>#NAME?</v>
      </c>
      <c r="O2225" s="28" t="e">
        <f ca="1">[1]!BexGetData("DP_1","003N8EMH8GTFRIVOG7KG9J3KE","GSON1112151623")</f>
        <v>#NAME?</v>
      </c>
      <c r="P2225" s="28" t="e">
        <f ca="1">[1]!BexGetData("DP_1","003N8EMH8GTFRIVOG7KG9J9VY","GSON1112151623")</f>
        <v>#NAME?</v>
      </c>
      <c r="Q2225" s="24" t="e">
        <f ca="1">[1]!BexGetData("DP_1","00O2TNJGODT0G5Z4TTKYMM5MT","GSON1112151623")</f>
        <v>#NAME?</v>
      </c>
      <c r="R2225" s="24" t="e">
        <f ca="1">[1]!BexGetData("DP_1","00O2TNJGODT0G5Z4TTKYMMBYD","GSON1112151623")</f>
        <v>#NAME?</v>
      </c>
      <c r="S2225" s="24" t="e">
        <f ca="1">[1]!BexGetData("DP_1","00O2TNJGODT0G5Z4TTKYMMI9X","GSON1112151623")</f>
        <v>#NAME?</v>
      </c>
      <c r="T2225" s="24" t="e">
        <f ca="1">[1]!BexGetData("DP_1","00O2TNJGODT0G5Z4TTKYMMOLH","GSON1112151623")</f>
        <v>#NAME?</v>
      </c>
      <c r="U2225" s="24" t="e">
        <f ca="1">[1]!BexGetData("DP_1","00O2TNJGODT0G5Z4TTKYMMUX1","GSON1112151623")</f>
        <v>#NAME?</v>
      </c>
      <c r="V2225" s="24" t="e">
        <f ca="1">[1]!BexGetData("DP_1","00O2TNJGODT0G5Z4TTKYMN18L","GSON1112151623")</f>
        <v>#NAME?</v>
      </c>
      <c r="W2225" s="24" t="e">
        <f ca="1">[1]!BexGetData("DP_1","00O2TNJGODT0G5Z4TTKYMN7K5","GSON1112151623")</f>
        <v>#NAME?</v>
      </c>
    </row>
    <row r="2226" spans="1:23" x14ac:dyDescent="0.2">
      <c r="A2226" s="36" t="s">
        <v>5421</v>
      </c>
      <c r="B2226" s="27" t="s">
        <v>5422</v>
      </c>
      <c r="C2226" s="23" t="e">
        <f ca="1">[1]!BexGetData("DP_1","003N8EMH8GTFRCSWKMPXRR8GU","GSON1112151624")</f>
        <v>#NAME?</v>
      </c>
      <c r="D2226" s="23" t="e">
        <f ca="1">[1]!BexGetData("DP_1","003N8EMH8GTFRCSWKMPXRRESE","GSON1112151624")</f>
        <v>#NAME?</v>
      </c>
      <c r="E2226" s="28" t="e">
        <f ca="1">[1]!BexGetData("DP_1","003N8EMH8GTFRCSWKMPXRRL3Y","GSON1112151624")</f>
        <v>#NAME?</v>
      </c>
      <c r="F2226" s="24" t="e">
        <f ca="1">[1]!BexGetData("DP_1","003N8EMH8GTFRCSWKMPXRRRFI","GSON1112151624")</f>
        <v>#NAME?</v>
      </c>
      <c r="G2226" s="24" t="e">
        <f ca="1">[1]!BexGetData("DP_1","003N8EMH8GTFRCSWKMPXRRXR2","GSON1112151624")</f>
        <v>#NAME?</v>
      </c>
      <c r="H2226" s="24" t="e">
        <f ca="1">[1]!BexGetData("DP_1","003N8EMH8GTFRCSWKMPXRS42M","GSON1112151624")</f>
        <v>#NAME?</v>
      </c>
      <c r="I2226" s="24" t="e">
        <f ca="1">[1]!BexGetData("DP_1","003N8EMH8GTFRCSWKMPXRSAE6","GSON1112151624")</f>
        <v>#NAME?</v>
      </c>
      <c r="J2226" s="24" t="e">
        <f ca="1">[1]!BexGetData("DP_1","003N8EMH8GTFRCSWKMPXRSGPQ","GSON1112151624")</f>
        <v>#NAME?</v>
      </c>
      <c r="K2226" s="28" t="e">
        <f ca="1">[1]!BexGetData("DP_1","003N8EMH8GTFRIVNUPY288VJH","GSON1112151624")</f>
        <v>#NAME?</v>
      </c>
      <c r="L2226" s="28" t="e">
        <f ca="1">[1]!BexGetData("DP_1","003N8EMH8GTFRIVNUPY2891V1","GSON1112151624")</f>
        <v>#NAME?</v>
      </c>
      <c r="M2226" s="28" t="e">
        <f ca="1">[1]!BexGetData("DP_1","003N8EMH8GTFRIVOG7KG9IQXA","GSON1112151624")</f>
        <v>#NAME?</v>
      </c>
      <c r="N2226" s="28" t="e">
        <f ca="1">[1]!BexGetData("DP_1","003N8EMH8GTFRIVOG7KG9IX8U","GSON1112151624")</f>
        <v>#NAME?</v>
      </c>
      <c r="O2226" s="28" t="e">
        <f ca="1">[1]!BexGetData("DP_1","003N8EMH8GTFRIVOG7KG9J3KE","GSON1112151624")</f>
        <v>#NAME?</v>
      </c>
      <c r="P2226" s="28" t="e">
        <f ca="1">[1]!BexGetData("DP_1","003N8EMH8GTFRIVOG7KG9J9VY","GSON1112151624")</f>
        <v>#NAME?</v>
      </c>
      <c r="Q2226" s="24" t="e">
        <f ca="1">[1]!BexGetData("DP_1","00O2TNJGODT0G5Z4TTKYMM5MT","GSON1112151624")</f>
        <v>#NAME?</v>
      </c>
      <c r="R2226" s="24" t="e">
        <f ca="1">[1]!BexGetData("DP_1","00O2TNJGODT0G5Z4TTKYMMBYD","GSON1112151624")</f>
        <v>#NAME?</v>
      </c>
      <c r="S2226" s="24" t="e">
        <f ca="1">[1]!BexGetData("DP_1","00O2TNJGODT0G5Z4TTKYMMI9X","GSON1112151624")</f>
        <v>#NAME?</v>
      </c>
      <c r="T2226" s="24" t="e">
        <f ca="1">[1]!BexGetData("DP_1","00O2TNJGODT0G5Z4TTKYMMOLH","GSON1112151624")</f>
        <v>#NAME?</v>
      </c>
      <c r="U2226" s="24" t="e">
        <f ca="1">[1]!BexGetData("DP_1","00O2TNJGODT0G5Z4TTKYMMUX1","GSON1112151624")</f>
        <v>#NAME?</v>
      </c>
      <c r="V2226" s="24" t="e">
        <f ca="1">[1]!BexGetData("DP_1","00O2TNJGODT0G5Z4TTKYMN18L","GSON1112151624")</f>
        <v>#NAME?</v>
      </c>
      <c r="W2226" s="24" t="e">
        <f ca="1">[1]!BexGetData("DP_1","00O2TNJGODT0G5Z4TTKYMN7K5","GSON1112151624")</f>
        <v>#NAME?</v>
      </c>
    </row>
    <row r="2227" spans="1:23" x14ac:dyDescent="0.2">
      <c r="A2227" s="36" t="s">
        <v>5423</v>
      </c>
      <c r="B2227" s="27" t="s">
        <v>5424</v>
      </c>
      <c r="C2227" s="23" t="e">
        <f ca="1">[1]!BexGetData("DP_1","003N8EMH8GTFRCSWKMPXRR8GU","GSON1112151625")</f>
        <v>#NAME?</v>
      </c>
      <c r="D2227" s="23" t="e">
        <f ca="1">[1]!BexGetData("DP_1","003N8EMH8GTFRCSWKMPXRRESE","GSON1112151625")</f>
        <v>#NAME?</v>
      </c>
      <c r="E2227" s="28" t="e">
        <f ca="1">[1]!BexGetData("DP_1","003N8EMH8GTFRCSWKMPXRRL3Y","GSON1112151625")</f>
        <v>#NAME?</v>
      </c>
      <c r="F2227" s="24" t="e">
        <f ca="1">[1]!BexGetData("DP_1","003N8EMH8GTFRCSWKMPXRRRFI","GSON1112151625")</f>
        <v>#NAME?</v>
      </c>
      <c r="G2227" s="24" t="e">
        <f ca="1">[1]!BexGetData("DP_1","003N8EMH8GTFRCSWKMPXRRXR2","GSON1112151625")</f>
        <v>#NAME?</v>
      </c>
      <c r="H2227" s="24" t="e">
        <f ca="1">[1]!BexGetData("DP_1","003N8EMH8GTFRCSWKMPXRS42M","GSON1112151625")</f>
        <v>#NAME?</v>
      </c>
      <c r="I2227" s="24" t="e">
        <f ca="1">[1]!BexGetData("DP_1","003N8EMH8GTFRCSWKMPXRSAE6","GSON1112151625")</f>
        <v>#NAME?</v>
      </c>
      <c r="J2227" s="24" t="e">
        <f ca="1">[1]!BexGetData("DP_1","003N8EMH8GTFRCSWKMPXRSGPQ","GSON1112151625")</f>
        <v>#NAME?</v>
      </c>
      <c r="K2227" s="28" t="e">
        <f ca="1">[1]!BexGetData("DP_1","003N8EMH8GTFRIVNUPY288VJH","GSON1112151625")</f>
        <v>#NAME?</v>
      </c>
      <c r="L2227" s="28" t="e">
        <f ca="1">[1]!BexGetData("DP_1","003N8EMH8GTFRIVNUPY2891V1","GSON1112151625")</f>
        <v>#NAME?</v>
      </c>
      <c r="M2227" s="28" t="e">
        <f ca="1">[1]!BexGetData("DP_1","003N8EMH8GTFRIVOG7KG9IQXA","GSON1112151625")</f>
        <v>#NAME?</v>
      </c>
      <c r="N2227" s="28" t="e">
        <f ca="1">[1]!BexGetData("DP_1","003N8EMH8GTFRIVOG7KG9IX8U","GSON1112151625")</f>
        <v>#NAME?</v>
      </c>
      <c r="O2227" s="28" t="e">
        <f ca="1">[1]!BexGetData("DP_1","003N8EMH8GTFRIVOG7KG9J3KE","GSON1112151625")</f>
        <v>#NAME?</v>
      </c>
      <c r="P2227" s="28" t="e">
        <f ca="1">[1]!BexGetData("DP_1","003N8EMH8GTFRIVOG7KG9J9VY","GSON1112151625")</f>
        <v>#NAME?</v>
      </c>
      <c r="Q2227" s="24" t="e">
        <f ca="1">[1]!BexGetData("DP_1","00O2TNJGODT0G5Z4TTKYMM5MT","GSON1112151625")</f>
        <v>#NAME?</v>
      </c>
      <c r="R2227" s="24" t="e">
        <f ca="1">[1]!BexGetData("DP_1","00O2TNJGODT0G5Z4TTKYMMBYD","GSON1112151625")</f>
        <v>#NAME?</v>
      </c>
      <c r="S2227" s="24" t="e">
        <f ca="1">[1]!BexGetData("DP_1","00O2TNJGODT0G5Z4TTKYMMI9X","GSON1112151625")</f>
        <v>#NAME?</v>
      </c>
      <c r="T2227" s="24" t="e">
        <f ca="1">[1]!BexGetData("DP_1","00O2TNJGODT0G5Z4TTKYMMOLH","GSON1112151625")</f>
        <v>#NAME?</v>
      </c>
      <c r="U2227" s="24" t="e">
        <f ca="1">[1]!BexGetData("DP_1","00O2TNJGODT0G5Z4TTKYMMUX1","GSON1112151625")</f>
        <v>#NAME?</v>
      </c>
      <c r="V2227" s="24" t="e">
        <f ca="1">[1]!BexGetData("DP_1","00O2TNJGODT0G5Z4TTKYMN18L","GSON1112151625")</f>
        <v>#NAME?</v>
      </c>
      <c r="W2227" s="24" t="e">
        <f ca="1">[1]!BexGetData("DP_1","00O2TNJGODT0G5Z4TTKYMN7K5","GSON1112151625")</f>
        <v>#NAME?</v>
      </c>
    </row>
    <row r="2228" spans="1:23" x14ac:dyDescent="0.2">
      <c r="A2228" s="36" t="s">
        <v>5425</v>
      </c>
      <c r="B2228" s="27" t="s">
        <v>5426</v>
      </c>
      <c r="C2228" s="23" t="e">
        <f ca="1">[1]!BexGetData("DP_1","003N8EMH8GTFRCSWKMPXRR8GU","GSON1112151630")</f>
        <v>#NAME?</v>
      </c>
      <c r="D2228" s="23" t="e">
        <f ca="1">[1]!BexGetData("DP_1","003N8EMH8GTFRCSWKMPXRRESE","GSON1112151630")</f>
        <v>#NAME?</v>
      </c>
      <c r="E2228" s="23" t="e">
        <f ca="1">[1]!BexGetData("DP_1","003N8EMH8GTFRCSWKMPXRRL3Y","GSON1112151630")</f>
        <v>#NAME?</v>
      </c>
      <c r="F2228" s="24" t="e">
        <f ca="1">[1]!BexGetData("DP_1","003N8EMH8GTFRCSWKMPXRRRFI","GSON1112151630")</f>
        <v>#NAME?</v>
      </c>
      <c r="G2228" s="24" t="e">
        <f ca="1">[1]!BexGetData("DP_1","003N8EMH8GTFRCSWKMPXRRXR2","GSON1112151630")</f>
        <v>#NAME?</v>
      </c>
      <c r="H2228" s="24" t="e">
        <f ca="1">[1]!BexGetData("DP_1","003N8EMH8GTFRCSWKMPXRS42M","GSON1112151630")</f>
        <v>#NAME?</v>
      </c>
      <c r="I2228" s="24" t="e">
        <f ca="1">[1]!BexGetData("DP_1","003N8EMH8GTFRCSWKMPXRSAE6","GSON1112151630")</f>
        <v>#NAME?</v>
      </c>
      <c r="J2228" s="24" t="e">
        <f ca="1">[1]!BexGetData("DP_1","003N8EMH8GTFRCSWKMPXRSGPQ","GSON1112151630")</f>
        <v>#NAME?</v>
      </c>
      <c r="K2228" s="23" t="e">
        <f ca="1">[1]!BexGetData("DP_1","003N8EMH8GTFRIVNUPY288VJH","GSON1112151630")</f>
        <v>#NAME?</v>
      </c>
      <c r="L2228" s="23" t="e">
        <f ca="1">[1]!BexGetData("DP_1","003N8EMH8GTFRIVNUPY2891V1","GSON1112151630")</f>
        <v>#NAME?</v>
      </c>
      <c r="M2228" s="28" t="e">
        <f ca="1">[1]!BexGetData("DP_1","003N8EMH8GTFRIVOG7KG9IQXA","GSON1112151630")</f>
        <v>#NAME?</v>
      </c>
      <c r="N2228" s="23" t="e">
        <f ca="1">[1]!BexGetData("DP_1","003N8EMH8GTFRIVOG7KG9IX8U","GSON1112151630")</f>
        <v>#NAME?</v>
      </c>
      <c r="O2228" s="28" t="e">
        <f ca="1">[1]!BexGetData("DP_1","003N8EMH8GTFRIVOG7KG9J3KE","GSON1112151630")</f>
        <v>#NAME?</v>
      </c>
      <c r="P2228" s="23" t="e">
        <f ca="1">[1]!BexGetData("DP_1","003N8EMH8GTFRIVOG7KG9J9VY","GSON1112151630")</f>
        <v>#NAME?</v>
      </c>
      <c r="Q2228" s="24" t="e">
        <f ca="1">[1]!BexGetData("DP_1","00O2TNJGODT0G5Z4TTKYMM5MT","GSON1112151630")</f>
        <v>#NAME?</v>
      </c>
      <c r="R2228" s="24" t="e">
        <f ca="1">[1]!BexGetData("DP_1","00O2TNJGODT0G5Z4TTKYMMBYD","GSON1112151630")</f>
        <v>#NAME?</v>
      </c>
      <c r="S2228" s="24" t="e">
        <f ca="1">[1]!BexGetData("DP_1","00O2TNJGODT0G5Z4TTKYMMI9X","GSON1112151630")</f>
        <v>#NAME?</v>
      </c>
      <c r="T2228" s="24" t="e">
        <f ca="1">[1]!BexGetData("DP_1","00O2TNJGODT0G5Z4TTKYMMOLH","GSON1112151630")</f>
        <v>#NAME?</v>
      </c>
      <c r="U2228" s="24" t="e">
        <f ca="1">[1]!BexGetData("DP_1","00O2TNJGODT0G5Z4TTKYMMUX1","GSON1112151630")</f>
        <v>#NAME?</v>
      </c>
      <c r="V2228" s="24" t="e">
        <f ca="1">[1]!BexGetData("DP_1","00O2TNJGODT0G5Z4TTKYMN18L","GSON1112151630")</f>
        <v>#NAME?</v>
      </c>
      <c r="W2228" s="24" t="e">
        <f ca="1">[1]!BexGetData("DP_1","00O2TNJGODT0G5Z4TTKYMN7K5","GSON1112151630")</f>
        <v>#NAME?</v>
      </c>
    </row>
    <row r="2229" spans="1:23" x14ac:dyDescent="0.2">
      <c r="A2229" s="36" t="s">
        <v>5427</v>
      </c>
      <c r="B2229" s="27" t="s">
        <v>5428</v>
      </c>
      <c r="C2229" s="23" t="e">
        <f ca="1">[1]!BexGetData("DP_1","003N8EMH8GTFRCSWKMPXRR8GU","GSON1112151631")</f>
        <v>#NAME?</v>
      </c>
      <c r="D2229" s="23" t="e">
        <f ca="1">[1]!BexGetData("DP_1","003N8EMH8GTFRCSWKMPXRRESE","GSON1112151631")</f>
        <v>#NAME?</v>
      </c>
      <c r="E2229" s="28" t="e">
        <f ca="1">[1]!BexGetData("DP_1","003N8EMH8GTFRCSWKMPXRRL3Y","GSON1112151631")</f>
        <v>#NAME?</v>
      </c>
      <c r="F2229" s="24" t="e">
        <f ca="1">[1]!BexGetData("DP_1","003N8EMH8GTFRCSWKMPXRRRFI","GSON1112151631")</f>
        <v>#NAME?</v>
      </c>
      <c r="G2229" s="24" t="e">
        <f ca="1">[1]!BexGetData("DP_1","003N8EMH8GTFRCSWKMPXRRXR2","GSON1112151631")</f>
        <v>#NAME?</v>
      </c>
      <c r="H2229" s="24" t="e">
        <f ca="1">[1]!BexGetData("DP_1","003N8EMH8GTFRCSWKMPXRS42M","GSON1112151631")</f>
        <v>#NAME?</v>
      </c>
      <c r="I2229" s="24" t="e">
        <f ca="1">[1]!BexGetData("DP_1","003N8EMH8GTFRCSWKMPXRSAE6","GSON1112151631")</f>
        <v>#NAME?</v>
      </c>
      <c r="J2229" s="24" t="e">
        <f ca="1">[1]!BexGetData("DP_1","003N8EMH8GTFRCSWKMPXRSGPQ","GSON1112151631")</f>
        <v>#NAME?</v>
      </c>
      <c r="K2229" s="28" t="e">
        <f ca="1">[1]!BexGetData("DP_1","003N8EMH8GTFRIVNUPY288VJH","GSON1112151631")</f>
        <v>#NAME?</v>
      </c>
      <c r="L2229" s="28" t="e">
        <f ca="1">[1]!BexGetData("DP_1","003N8EMH8GTFRIVNUPY2891V1","GSON1112151631")</f>
        <v>#NAME?</v>
      </c>
      <c r="M2229" s="28" t="e">
        <f ca="1">[1]!BexGetData("DP_1","003N8EMH8GTFRIVOG7KG9IQXA","GSON1112151631")</f>
        <v>#NAME?</v>
      </c>
      <c r="N2229" s="28" t="e">
        <f ca="1">[1]!BexGetData("DP_1","003N8EMH8GTFRIVOG7KG9IX8U","GSON1112151631")</f>
        <v>#NAME?</v>
      </c>
      <c r="O2229" s="28" t="e">
        <f ca="1">[1]!BexGetData("DP_1","003N8EMH8GTFRIVOG7KG9J3KE","GSON1112151631")</f>
        <v>#NAME?</v>
      </c>
      <c r="P2229" s="28" t="e">
        <f ca="1">[1]!BexGetData("DP_1","003N8EMH8GTFRIVOG7KG9J9VY","GSON1112151631")</f>
        <v>#NAME?</v>
      </c>
      <c r="Q2229" s="24" t="e">
        <f ca="1">[1]!BexGetData("DP_1","00O2TNJGODT0G5Z4TTKYMM5MT","GSON1112151631")</f>
        <v>#NAME?</v>
      </c>
      <c r="R2229" s="24" t="e">
        <f ca="1">[1]!BexGetData("DP_1","00O2TNJGODT0G5Z4TTKYMMBYD","GSON1112151631")</f>
        <v>#NAME?</v>
      </c>
      <c r="S2229" s="24" t="e">
        <f ca="1">[1]!BexGetData("DP_1","00O2TNJGODT0G5Z4TTKYMMI9X","GSON1112151631")</f>
        <v>#NAME?</v>
      </c>
      <c r="T2229" s="24" t="e">
        <f ca="1">[1]!BexGetData("DP_1","00O2TNJGODT0G5Z4TTKYMMOLH","GSON1112151631")</f>
        <v>#NAME?</v>
      </c>
      <c r="U2229" s="24" t="e">
        <f ca="1">[1]!BexGetData("DP_1","00O2TNJGODT0G5Z4TTKYMMUX1","GSON1112151631")</f>
        <v>#NAME?</v>
      </c>
      <c r="V2229" s="24" t="e">
        <f ca="1">[1]!BexGetData("DP_1","00O2TNJGODT0G5Z4TTKYMN18L","GSON1112151631")</f>
        <v>#NAME?</v>
      </c>
      <c r="W2229" s="24" t="e">
        <f ca="1">[1]!BexGetData("DP_1","00O2TNJGODT0G5Z4TTKYMN7K5","GSON1112151631")</f>
        <v>#NAME?</v>
      </c>
    </row>
    <row r="2230" spans="1:23" x14ac:dyDescent="0.2">
      <c r="A2230" s="36" t="s">
        <v>5429</v>
      </c>
      <c r="B2230" s="27" t="s">
        <v>5430</v>
      </c>
      <c r="C2230" s="23" t="e">
        <f ca="1">[1]!BexGetData("DP_1","003N8EMH8GTFRCSWKMPXRR8GU","GSON1112151633")</f>
        <v>#NAME?</v>
      </c>
      <c r="D2230" s="23" t="e">
        <f ca="1">[1]!BexGetData("DP_1","003N8EMH8GTFRCSWKMPXRRESE","GSON1112151633")</f>
        <v>#NAME?</v>
      </c>
      <c r="E2230" s="28" t="e">
        <f ca="1">[1]!BexGetData("DP_1","003N8EMH8GTFRCSWKMPXRRL3Y","GSON1112151633")</f>
        <v>#NAME?</v>
      </c>
      <c r="F2230" s="24" t="e">
        <f ca="1">[1]!BexGetData("DP_1","003N8EMH8GTFRCSWKMPXRRRFI","GSON1112151633")</f>
        <v>#NAME?</v>
      </c>
      <c r="G2230" s="24" t="e">
        <f ca="1">[1]!BexGetData("DP_1","003N8EMH8GTFRCSWKMPXRRXR2","GSON1112151633")</f>
        <v>#NAME?</v>
      </c>
      <c r="H2230" s="24" t="e">
        <f ca="1">[1]!BexGetData("DP_1","003N8EMH8GTFRCSWKMPXRS42M","GSON1112151633")</f>
        <v>#NAME?</v>
      </c>
      <c r="I2230" s="24" t="e">
        <f ca="1">[1]!BexGetData("DP_1","003N8EMH8GTFRCSWKMPXRSAE6","GSON1112151633")</f>
        <v>#NAME?</v>
      </c>
      <c r="J2230" s="24" t="e">
        <f ca="1">[1]!BexGetData("DP_1","003N8EMH8GTFRCSWKMPXRSGPQ","GSON1112151633")</f>
        <v>#NAME?</v>
      </c>
      <c r="K2230" s="28" t="e">
        <f ca="1">[1]!BexGetData("DP_1","003N8EMH8GTFRIVNUPY288VJH","GSON1112151633")</f>
        <v>#NAME?</v>
      </c>
      <c r="L2230" s="28" t="e">
        <f ca="1">[1]!BexGetData("DP_1","003N8EMH8GTFRIVNUPY2891V1","GSON1112151633")</f>
        <v>#NAME?</v>
      </c>
      <c r="M2230" s="28" t="e">
        <f ca="1">[1]!BexGetData("DP_1","003N8EMH8GTFRIVOG7KG9IQXA","GSON1112151633")</f>
        <v>#NAME?</v>
      </c>
      <c r="N2230" s="28" t="e">
        <f ca="1">[1]!BexGetData("DP_1","003N8EMH8GTFRIVOG7KG9IX8U","GSON1112151633")</f>
        <v>#NAME?</v>
      </c>
      <c r="O2230" s="28" t="e">
        <f ca="1">[1]!BexGetData("DP_1","003N8EMH8GTFRIVOG7KG9J3KE","GSON1112151633")</f>
        <v>#NAME?</v>
      </c>
      <c r="P2230" s="28" t="e">
        <f ca="1">[1]!BexGetData("DP_1","003N8EMH8GTFRIVOG7KG9J9VY","GSON1112151633")</f>
        <v>#NAME?</v>
      </c>
      <c r="Q2230" s="24" t="e">
        <f ca="1">[1]!BexGetData("DP_1","00O2TNJGODT0G5Z4TTKYMM5MT","GSON1112151633")</f>
        <v>#NAME?</v>
      </c>
      <c r="R2230" s="24" t="e">
        <f ca="1">[1]!BexGetData("DP_1","00O2TNJGODT0G5Z4TTKYMMBYD","GSON1112151633")</f>
        <v>#NAME?</v>
      </c>
      <c r="S2230" s="24" t="e">
        <f ca="1">[1]!BexGetData("DP_1","00O2TNJGODT0G5Z4TTKYMMI9X","GSON1112151633")</f>
        <v>#NAME?</v>
      </c>
      <c r="T2230" s="24" t="e">
        <f ca="1">[1]!BexGetData("DP_1","00O2TNJGODT0G5Z4TTKYMMOLH","GSON1112151633")</f>
        <v>#NAME?</v>
      </c>
      <c r="U2230" s="24" t="e">
        <f ca="1">[1]!BexGetData("DP_1","00O2TNJGODT0G5Z4TTKYMMUX1","GSON1112151633")</f>
        <v>#NAME?</v>
      </c>
      <c r="V2230" s="24" t="e">
        <f ca="1">[1]!BexGetData("DP_1","00O2TNJGODT0G5Z4TTKYMN18L","GSON1112151633")</f>
        <v>#NAME?</v>
      </c>
      <c r="W2230" s="24" t="e">
        <f ca="1">[1]!BexGetData("DP_1","00O2TNJGODT0G5Z4TTKYMN7K5","GSON1112151633")</f>
        <v>#NAME?</v>
      </c>
    </row>
    <row r="2231" spans="1:23" x14ac:dyDescent="0.2">
      <c r="A2231" s="36" t="s">
        <v>5431</v>
      </c>
      <c r="B2231" s="27" t="s">
        <v>5432</v>
      </c>
      <c r="C2231" s="23" t="e">
        <f ca="1">[1]!BexGetData("DP_1","003N8EMH8GTFRCSWKMPXRR8GU","GSON1112151634")</f>
        <v>#NAME?</v>
      </c>
      <c r="D2231" s="23" t="e">
        <f ca="1">[1]!BexGetData("DP_1","003N8EMH8GTFRCSWKMPXRRESE","GSON1112151634")</f>
        <v>#NAME?</v>
      </c>
      <c r="E2231" s="28" t="e">
        <f ca="1">[1]!BexGetData("DP_1","003N8EMH8GTFRCSWKMPXRRL3Y","GSON1112151634")</f>
        <v>#NAME?</v>
      </c>
      <c r="F2231" s="24" t="e">
        <f ca="1">[1]!BexGetData("DP_1","003N8EMH8GTFRCSWKMPXRRRFI","GSON1112151634")</f>
        <v>#NAME?</v>
      </c>
      <c r="G2231" s="24" t="e">
        <f ca="1">[1]!BexGetData("DP_1","003N8EMH8GTFRCSWKMPXRRXR2","GSON1112151634")</f>
        <v>#NAME?</v>
      </c>
      <c r="H2231" s="24" t="e">
        <f ca="1">[1]!BexGetData("DP_1","003N8EMH8GTFRCSWKMPXRS42M","GSON1112151634")</f>
        <v>#NAME?</v>
      </c>
      <c r="I2231" s="24" t="e">
        <f ca="1">[1]!BexGetData("DP_1","003N8EMH8GTFRCSWKMPXRSAE6","GSON1112151634")</f>
        <v>#NAME?</v>
      </c>
      <c r="J2231" s="24" t="e">
        <f ca="1">[1]!BexGetData("DP_1","003N8EMH8GTFRCSWKMPXRSGPQ","GSON1112151634")</f>
        <v>#NAME?</v>
      </c>
      <c r="K2231" s="28" t="e">
        <f ca="1">[1]!BexGetData("DP_1","003N8EMH8GTFRIVNUPY288VJH","GSON1112151634")</f>
        <v>#NAME?</v>
      </c>
      <c r="L2231" s="28" t="e">
        <f ca="1">[1]!BexGetData("DP_1","003N8EMH8GTFRIVNUPY2891V1","GSON1112151634")</f>
        <v>#NAME?</v>
      </c>
      <c r="M2231" s="28" t="e">
        <f ca="1">[1]!BexGetData("DP_1","003N8EMH8GTFRIVOG7KG9IQXA","GSON1112151634")</f>
        <v>#NAME?</v>
      </c>
      <c r="N2231" s="28" t="e">
        <f ca="1">[1]!BexGetData("DP_1","003N8EMH8GTFRIVOG7KG9IX8U","GSON1112151634")</f>
        <v>#NAME?</v>
      </c>
      <c r="O2231" s="28" t="e">
        <f ca="1">[1]!BexGetData("DP_1","003N8EMH8GTFRIVOG7KG9J3KE","GSON1112151634")</f>
        <v>#NAME?</v>
      </c>
      <c r="P2231" s="28" t="e">
        <f ca="1">[1]!BexGetData("DP_1","003N8EMH8GTFRIVOG7KG9J9VY","GSON1112151634")</f>
        <v>#NAME?</v>
      </c>
      <c r="Q2231" s="24" t="e">
        <f ca="1">[1]!BexGetData("DP_1","00O2TNJGODT0G5Z4TTKYMM5MT","GSON1112151634")</f>
        <v>#NAME?</v>
      </c>
      <c r="R2231" s="24" t="e">
        <f ca="1">[1]!BexGetData("DP_1","00O2TNJGODT0G5Z4TTKYMMBYD","GSON1112151634")</f>
        <v>#NAME?</v>
      </c>
      <c r="S2231" s="24" t="e">
        <f ca="1">[1]!BexGetData("DP_1","00O2TNJGODT0G5Z4TTKYMMI9X","GSON1112151634")</f>
        <v>#NAME?</v>
      </c>
      <c r="T2231" s="24" t="e">
        <f ca="1">[1]!BexGetData("DP_1","00O2TNJGODT0G5Z4TTKYMMOLH","GSON1112151634")</f>
        <v>#NAME?</v>
      </c>
      <c r="U2231" s="24" t="e">
        <f ca="1">[1]!BexGetData("DP_1","00O2TNJGODT0G5Z4TTKYMMUX1","GSON1112151634")</f>
        <v>#NAME?</v>
      </c>
      <c r="V2231" s="24" t="e">
        <f ca="1">[1]!BexGetData("DP_1","00O2TNJGODT0G5Z4TTKYMN18L","GSON1112151634")</f>
        <v>#NAME?</v>
      </c>
      <c r="W2231" s="24" t="e">
        <f ca="1">[1]!BexGetData("DP_1","00O2TNJGODT0G5Z4TTKYMN7K5","GSON1112151634")</f>
        <v>#NAME?</v>
      </c>
    </row>
    <row r="2232" spans="1:23" x14ac:dyDescent="0.2">
      <c r="A2232" s="36" t="s">
        <v>5433</v>
      </c>
      <c r="B2232" s="27" t="s">
        <v>5434</v>
      </c>
      <c r="C2232" s="23" t="e">
        <f ca="1">[1]!BexGetData("DP_1","003N8EMH8GTFRCSWKMPXRR8GU","GSON1112151635")</f>
        <v>#NAME?</v>
      </c>
      <c r="D2232" s="23" t="e">
        <f ca="1">[1]!BexGetData("DP_1","003N8EMH8GTFRCSWKMPXRRESE","GSON1112151635")</f>
        <v>#NAME?</v>
      </c>
      <c r="E2232" s="28" t="e">
        <f ca="1">[1]!BexGetData("DP_1","003N8EMH8GTFRCSWKMPXRRL3Y","GSON1112151635")</f>
        <v>#NAME?</v>
      </c>
      <c r="F2232" s="24" t="e">
        <f ca="1">[1]!BexGetData("DP_1","003N8EMH8GTFRCSWKMPXRRRFI","GSON1112151635")</f>
        <v>#NAME?</v>
      </c>
      <c r="G2232" s="24" t="e">
        <f ca="1">[1]!BexGetData("DP_1","003N8EMH8GTFRCSWKMPXRRXR2","GSON1112151635")</f>
        <v>#NAME?</v>
      </c>
      <c r="H2232" s="24" t="e">
        <f ca="1">[1]!BexGetData("DP_1","003N8EMH8GTFRCSWKMPXRS42M","GSON1112151635")</f>
        <v>#NAME?</v>
      </c>
      <c r="I2232" s="24" t="e">
        <f ca="1">[1]!BexGetData("DP_1","003N8EMH8GTFRCSWKMPXRSAE6","GSON1112151635")</f>
        <v>#NAME?</v>
      </c>
      <c r="J2232" s="24" t="e">
        <f ca="1">[1]!BexGetData("DP_1","003N8EMH8GTFRCSWKMPXRSGPQ","GSON1112151635")</f>
        <v>#NAME?</v>
      </c>
      <c r="K2232" s="28" t="e">
        <f ca="1">[1]!BexGetData("DP_1","003N8EMH8GTFRIVNUPY288VJH","GSON1112151635")</f>
        <v>#NAME?</v>
      </c>
      <c r="L2232" s="28" t="e">
        <f ca="1">[1]!BexGetData("DP_1","003N8EMH8GTFRIVNUPY2891V1","GSON1112151635")</f>
        <v>#NAME?</v>
      </c>
      <c r="M2232" s="28" t="e">
        <f ca="1">[1]!BexGetData("DP_1","003N8EMH8GTFRIVOG7KG9IQXA","GSON1112151635")</f>
        <v>#NAME?</v>
      </c>
      <c r="N2232" s="28" t="e">
        <f ca="1">[1]!BexGetData("DP_1","003N8EMH8GTFRIVOG7KG9IX8U","GSON1112151635")</f>
        <v>#NAME?</v>
      </c>
      <c r="O2232" s="28" t="e">
        <f ca="1">[1]!BexGetData("DP_1","003N8EMH8GTFRIVOG7KG9J3KE","GSON1112151635")</f>
        <v>#NAME?</v>
      </c>
      <c r="P2232" s="28" t="e">
        <f ca="1">[1]!BexGetData("DP_1","003N8EMH8GTFRIVOG7KG9J9VY","GSON1112151635")</f>
        <v>#NAME?</v>
      </c>
      <c r="Q2232" s="24" t="e">
        <f ca="1">[1]!BexGetData("DP_1","00O2TNJGODT0G5Z4TTKYMM5MT","GSON1112151635")</f>
        <v>#NAME?</v>
      </c>
      <c r="R2232" s="24" t="e">
        <f ca="1">[1]!BexGetData("DP_1","00O2TNJGODT0G5Z4TTKYMMBYD","GSON1112151635")</f>
        <v>#NAME?</v>
      </c>
      <c r="S2232" s="24" t="e">
        <f ca="1">[1]!BexGetData("DP_1","00O2TNJGODT0G5Z4TTKYMMI9X","GSON1112151635")</f>
        <v>#NAME?</v>
      </c>
      <c r="T2232" s="24" t="e">
        <f ca="1">[1]!BexGetData("DP_1","00O2TNJGODT0G5Z4TTKYMMOLH","GSON1112151635")</f>
        <v>#NAME?</v>
      </c>
      <c r="U2232" s="24" t="e">
        <f ca="1">[1]!BexGetData("DP_1","00O2TNJGODT0G5Z4TTKYMMUX1","GSON1112151635")</f>
        <v>#NAME?</v>
      </c>
      <c r="V2232" s="24" t="e">
        <f ca="1">[1]!BexGetData("DP_1","00O2TNJGODT0G5Z4TTKYMN18L","GSON1112151635")</f>
        <v>#NAME?</v>
      </c>
      <c r="W2232" s="24" t="e">
        <f ca="1">[1]!BexGetData("DP_1","00O2TNJGODT0G5Z4TTKYMN7K5","GSON1112151635")</f>
        <v>#NAME?</v>
      </c>
    </row>
    <row r="2233" spans="1:23" x14ac:dyDescent="0.2">
      <c r="A2233" s="36" t="s">
        <v>5435</v>
      </c>
      <c r="B2233" s="27" t="s">
        <v>5436</v>
      </c>
      <c r="C2233" s="23" t="e">
        <f ca="1">[1]!BexGetData("DP_1","003N8EMH8GTFRCSWKMPXRR8GU","GSON1112151640")</f>
        <v>#NAME?</v>
      </c>
      <c r="D2233" s="23" t="e">
        <f ca="1">[1]!BexGetData("DP_1","003N8EMH8GTFRCSWKMPXRRESE","GSON1112151640")</f>
        <v>#NAME?</v>
      </c>
      <c r="E2233" s="23" t="e">
        <f ca="1">[1]!BexGetData("DP_1","003N8EMH8GTFRCSWKMPXRRL3Y","GSON1112151640")</f>
        <v>#NAME?</v>
      </c>
      <c r="F2233" s="24" t="e">
        <f ca="1">[1]!BexGetData("DP_1","003N8EMH8GTFRCSWKMPXRRRFI","GSON1112151640")</f>
        <v>#NAME?</v>
      </c>
      <c r="G2233" s="24" t="e">
        <f ca="1">[1]!BexGetData("DP_1","003N8EMH8GTFRCSWKMPXRRXR2","GSON1112151640")</f>
        <v>#NAME?</v>
      </c>
      <c r="H2233" s="24" t="e">
        <f ca="1">[1]!BexGetData("DP_1","003N8EMH8GTFRCSWKMPXRS42M","GSON1112151640")</f>
        <v>#NAME?</v>
      </c>
      <c r="I2233" s="24" t="e">
        <f ca="1">[1]!BexGetData("DP_1","003N8EMH8GTFRCSWKMPXRSAE6","GSON1112151640")</f>
        <v>#NAME?</v>
      </c>
      <c r="J2233" s="24" t="e">
        <f ca="1">[1]!BexGetData("DP_1","003N8EMH8GTFRCSWKMPXRSGPQ","GSON1112151640")</f>
        <v>#NAME?</v>
      </c>
      <c r="K2233" s="23" t="e">
        <f ca="1">[1]!BexGetData("DP_1","003N8EMH8GTFRIVNUPY288VJH","GSON1112151640")</f>
        <v>#NAME?</v>
      </c>
      <c r="L2233" s="23" t="e">
        <f ca="1">[1]!BexGetData("DP_1","003N8EMH8GTFRIVNUPY2891V1","GSON1112151640")</f>
        <v>#NAME?</v>
      </c>
      <c r="M2233" s="28" t="e">
        <f ca="1">[1]!BexGetData("DP_1","003N8EMH8GTFRIVOG7KG9IQXA","GSON1112151640")</f>
        <v>#NAME?</v>
      </c>
      <c r="N2233" s="23" t="e">
        <f ca="1">[1]!BexGetData("DP_1","003N8EMH8GTFRIVOG7KG9IX8U","GSON1112151640")</f>
        <v>#NAME?</v>
      </c>
      <c r="O2233" s="28" t="e">
        <f ca="1">[1]!BexGetData("DP_1","003N8EMH8GTFRIVOG7KG9J3KE","GSON1112151640")</f>
        <v>#NAME?</v>
      </c>
      <c r="P2233" s="23" t="e">
        <f ca="1">[1]!BexGetData("DP_1","003N8EMH8GTFRIVOG7KG9J9VY","GSON1112151640")</f>
        <v>#NAME?</v>
      </c>
      <c r="Q2233" s="24" t="e">
        <f ca="1">[1]!BexGetData("DP_1","00O2TNJGODT0G5Z4TTKYMM5MT","GSON1112151640")</f>
        <v>#NAME?</v>
      </c>
      <c r="R2233" s="24" t="e">
        <f ca="1">[1]!BexGetData("DP_1","00O2TNJGODT0G5Z4TTKYMMBYD","GSON1112151640")</f>
        <v>#NAME?</v>
      </c>
      <c r="S2233" s="24" t="e">
        <f ca="1">[1]!BexGetData("DP_1","00O2TNJGODT0G5Z4TTKYMMI9X","GSON1112151640")</f>
        <v>#NAME?</v>
      </c>
      <c r="T2233" s="24" t="e">
        <f ca="1">[1]!BexGetData("DP_1","00O2TNJGODT0G5Z4TTKYMMOLH","GSON1112151640")</f>
        <v>#NAME?</v>
      </c>
      <c r="U2233" s="24" t="e">
        <f ca="1">[1]!BexGetData("DP_1","00O2TNJGODT0G5Z4TTKYMMUX1","GSON1112151640")</f>
        <v>#NAME?</v>
      </c>
      <c r="V2233" s="24" t="e">
        <f ca="1">[1]!BexGetData("DP_1","00O2TNJGODT0G5Z4TTKYMN18L","GSON1112151640")</f>
        <v>#NAME?</v>
      </c>
      <c r="W2233" s="24" t="e">
        <f ca="1">[1]!BexGetData("DP_1","00O2TNJGODT0G5Z4TTKYMN7K5","GSON1112151640")</f>
        <v>#NAME?</v>
      </c>
    </row>
    <row r="2234" spans="1:23" x14ac:dyDescent="0.2">
      <c r="A2234" s="36" t="s">
        <v>5437</v>
      </c>
      <c r="B2234" s="27" t="s">
        <v>5438</v>
      </c>
      <c r="C2234" s="23" t="e">
        <f ca="1">[1]!BexGetData("DP_1","003N8EMH8GTFRCSWKMPXRR8GU","GSON1112151641")</f>
        <v>#NAME?</v>
      </c>
      <c r="D2234" s="23" t="e">
        <f ca="1">[1]!BexGetData("DP_1","003N8EMH8GTFRCSWKMPXRRESE","GSON1112151641")</f>
        <v>#NAME?</v>
      </c>
      <c r="E2234" s="28" t="e">
        <f ca="1">[1]!BexGetData("DP_1","003N8EMH8GTFRCSWKMPXRRL3Y","GSON1112151641")</f>
        <v>#NAME?</v>
      </c>
      <c r="F2234" s="24" t="e">
        <f ca="1">[1]!BexGetData("DP_1","003N8EMH8GTFRCSWKMPXRRRFI","GSON1112151641")</f>
        <v>#NAME?</v>
      </c>
      <c r="G2234" s="24" t="e">
        <f ca="1">[1]!BexGetData("DP_1","003N8EMH8GTFRCSWKMPXRRXR2","GSON1112151641")</f>
        <v>#NAME?</v>
      </c>
      <c r="H2234" s="24" t="e">
        <f ca="1">[1]!BexGetData("DP_1","003N8EMH8GTFRCSWKMPXRS42M","GSON1112151641")</f>
        <v>#NAME?</v>
      </c>
      <c r="I2234" s="24" t="e">
        <f ca="1">[1]!BexGetData("DP_1","003N8EMH8GTFRCSWKMPXRSAE6","GSON1112151641")</f>
        <v>#NAME?</v>
      </c>
      <c r="J2234" s="24" t="e">
        <f ca="1">[1]!BexGetData("DP_1","003N8EMH8GTFRCSWKMPXRSGPQ","GSON1112151641")</f>
        <v>#NAME?</v>
      </c>
      <c r="K2234" s="28" t="e">
        <f ca="1">[1]!BexGetData("DP_1","003N8EMH8GTFRIVNUPY288VJH","GSON1112151641")</f>
        <v>#NAME?</v>
      </c>
      <c r="L2234" s="28" t="e">
        <f ca="1">[1]!BexGetData("DP_1","003N8EMH8GTFRIVNUPY2891V1","GSON1112151641")</f>
        <v>#NAME?</v>
      </c>
      <c r="M2234" s="28" t="e">
        <f ca="1">[1]!BexGetData("DP_1","003N8EMH8GTFRIVOG7KG9IQXA","GSON1112151641")</f>
        <v>#NAME?</v>
      </c>
      <c r="N2234" s="28" t="e">
        <f ca="1">[1]!BexGetData("DP_1","003N8EMH8GTFRIVOG7KG9IX8U","GSON1112151641")</f>
        <v>#NAME?</v>
      </c>
      <c r="O2234" s="28" t="e">
        <f ca="1">[1]!BexGetData("DP_1","003N8EMH8GTFRIVOG7KG9J3KE","GSON1112151641")</f>
        <v>#NAME?</v>
      </c>
      <c r="P2234" s="28" t="e">
        <f ca="1">[1]!BexGetData("DP_1","003N8EMH8GTFRIVOG7KG9J9VY","GSON1112151641")</f>
        <v>#NAME?</v>
      </c>
      <c r="Q2234" s="24" t="e">
        <f ca="1">[1]!BexGetData("DP_1","00O2TNJGODT0G5Z4TTKYMM5MT","GSON1112151641")</f>
        <v>#NAME?</v>
      </c>
      <c r="R2234" s="24" t="e">
        <f ca="1">[1]!BexGetData("DP_1","00O2TNJGODT0G5Z4TTKYMMBYD","GSON1112151641")</f>
        <v>#NAME?</v>
      </c>
      <c r="S2234" s="24" t="e">
        <f ca="1">[1]!BexGetData("DP_1","00O2TNJGODT0G5Z4TTKYMMI9X","GSON1112151641")</f>
        <v>#NAME?</v>
      </c>
      <c r="T2234" s="24" t="e">
        <f ca="1">[1]!BexGetData("DP_1","00O2TNJGODT0G5Z4TTKYMMOLH","GSON1112151641")</f>
        <v>#NAME?</v>
      </c>
      <c r="U2234" s="24" t="e">
        <f ca="1">[1]!BexGetData("DP_1","00O2TNJGODT0G5Z4TTKYMMUX1","GSON1112151641")</f>
        <v>#NAME?</v>
      </c>
      <c r="V2234" s="24" t="e">
        <f ca="1">[1]!BexGetData("DP_1","00O2TNJGODT0G5Z4TTKYMN18L","GSON1112151641")</f>
        <v>#NAME?</v>
      </c>
      <c r="W2234" s="24" t="e">
        <f ca="1">[1]!BexGetData("DP_1","00O2TNJGODT0G5Z4TTKYMN7K5","GSON1112151641")</f>
        <v>#NAME?</v>
      </c>
    </row>
    <row r="2235" spans="1:23" x14ac:dyDescent="0.2">
      <c r="A2235" s="36" t="s">
        <v>5439</v>
      </c>
      <c r="B2235" s="27" t="s">
        <v>5440</v>
      </c>
      <c r="C2235" s="23" t="e">
        <f ca="1">[1]!BexGetData("DP_1","003N8EMH8GTFRCSWKMPXRR8GU","GSON1112151643")</f>
        <v>#NAME?</v>
      </c>
      <c r="D2235" s="23" t="e">
        <f ca="1">[1]!BexGetData("DP_1","003N8EMH8GTFRCSWKMPXRRESE","GSON1112151643")</f>
        <v>#NAME?</v>
      </c>
      <c r="E2235" s="28" t="e">
        <f ca="1">[1]!BexGetData("DP_1","003N8EMH8GTFRCSWKMPXRRL3Y","GSON1112151643")</f>
        <v>#NAME?</v>
      </c>
      <c r="F2235" s="24" t="e">
        <f ca="1">[1]!BexGetData("DP_1","003N8EMH8GTFRCSWKMPXRRRFI","GSON1112151643")</f>
        <v>#NAME?</v>
      </c>
      <c r="G2235" s="24" t="e">
        <f ca="1">[1]!BexGetData("DP_1","003N8EMH8GTFRCSWKMPXRRXR2","GSON1112151643")</f>
        <v>#NAME?</v>
      </c>
      <c r="H2235" s="24" t="e">
        <f ca="1">[1]!BexGetData("DP_1","003N8EMH8GTFRCSWKMPXRS42M","GSON1112151643")</f>
        <v>#NAME?</v>
      </c>
      <c r="I2235" s="24" t="e">
        <f ca="1">[1]!BexGetData("DP_1","003N8EMH8GTFRCSWKMPXRSAE6","GSON1112151643")</f>
        <v>#NAME?</v>
      </c>
      <c r="J2235" s="24" t="e">
        <f ca="1">[1]!BexGetData("DP_1","003N8EMH8GTFRCSWKMPXRSGPQ","GSON1112151643")</f>
        <v>#NAME?</v>
      </c>
      <c r="K2235" s="28" t="e">
        <f ca="1">[1]!BexGetData("DP_1","003N8EMH8GTFRIVNUPY288VJH","GSON1112151643")</f>
        <v>#NAME?</v>
      </c>
      <c r="L2235" s="28" t="e">
        <f ca="1">[1]!BexGetData("DP_1","003N8EMH8GTFRIVNUPY2891V1","GSON1112151643")</f>
        <v>#NAME?</v>
      </c>
      <c r="M2235" s="28" t="e">
        <f ca="1">[1]!BexGetData("DP_1","003N8EMH8GTFRIVOG7KG9IQXA","GSON1112151643")</f>
        <v>#NAME?</v>
      </c>
      <c r="N2235" s="28" t="e">
        <f ca="1">[1]!BexGetData("DP_1","003N8EMH8GTFRIVOG7KG9IX8U","GSON1112151643")</f>
        <v>#NAME?</v>
      </c>
      <c r="O2235" s="28" t="e">
        <f ca="1">[1]!BexGetData("DP_1","003N8EMH8GTFRIVOG7KG9J3KE","GSON1112151643")</f>
        <v>#NAME?</v>
      </c>
      <c r="P2235" s="28" t="e">
        <f ca="1">[1]!BexGetData("DP_1","003N8EMH8GTFRIVOG7KG9J9VY","GSON1112151643")</f>
        <v>#NAME?</v>
      </c>
      <c r="Q2235" s="24" t="e">
        <f ca="1">[1]!BexGetData("DP_1","00O2TNJGODT0G5Z4TTKYMM5MT","GSON1112151643")</f>
        <v>#NAME?</v>
      </c>
      <c r="R2235" s="24" t="e">
        <f ca="1">[1]!BexGetData("DP_1","00O2TNJGODT0G5Z4TTKYMMBYD","GSON1112151643")</f>
        <v>#NAME?</v>
      </c>
      <c r="S2235" s="24" t="e">
        <f ca="1">[1]!BexGetData("DP_1","00O2TNJGODT0G5Z4TTKYMMI9X","GSON1112151643")</f>
        <v>#NAME?</v>
      </c>
      <c r="T2235" s="24" t="e">
        <f ca="1">[1]!BexGetData("DP_1","00O2TNJGODT0G5Z4TTKYMMOLH","GSON1112151643")</f>
        <v>#NAME?</v>
      </c>
      <c r="U2235" s="24" t="e">
        <f ca="1">[1]!BexGetData("DP_1","00O2TNJGODT0G5Z4TTKYMMUX1","GSON1112151643")</f>
        <v>#NAME?</v>
      </c>
      <c r="V2235" s="24" t="e">
        <f ca="1">[1]!BexGetData("DP_1","00O2TNJGODT0G5Z4TTKYMN18L","GSON1112151643")</f>
        <v>#NAME?</v>
      </c>
      <c r="W2235" s="24" t="e">
        <f ca="1">[1]!BexGetData("DP_1","00O2TNJGODT0G5Z4TTKYMN7K5","GSON1112151643")</f>
        <v>#NAME?</v>
      </c>
    </row>
    <row r="2236" spans="1:23" x14ac:dyDescent="0.2">
      <c r="A2236" s="36" t="s">
        <v>5441</v>
      </c>
      <c r="B2236" s="27" t="s">
        <v>5442</v>
      </c>
      <c r="C2236" s="23" t="e">
        <f ca="1">[1]!BexGetData("DP_1","003N8EMH8GTFRCSWKMPXRR8GU","GSON1112151644")</f>
        <v>#NAME?</v>
      </c>
      <c r="D2236" s="23" t="e">
        <f ca="1">[1]!BexGetData("DP_1","003N8EMH8GTFRCSWKMPXRRESE","GSON1112151644")</f>
        <v>#NAME?</v>
      </c>
      <c r="E2236" s="28" t="e">
        <f ca="1">[1]!BexGetData("DP_1","003N8EMH8GTFRCSWKMPXRRL3Y","GSON1112151644")</f>
        <v>#NAME?</v>
      </c>
      <c r="F2236" s="24" t="e">
        <f ca="1">[1]!BexGetData("DP_1","003N8EMH8GTFRCSWKMPXRRRFI","GSON1112151644")</f>
        <v>#NAME?</v>
      </c>
      <c r="G2236" s="24" t="e">
        <f ca="1">[1]!BexGetData("DP_1","003N8EMH8GTFRCSWKMPXRRXR2","GSON1112151644")</f>
        <v>#NAME?</v>
      </c>
      <c r="H2236" s="24" t="e">
        <f ca="1">[1]!BexGetData("DP_1","003N8EMH8GTFRCSWKMPXRS42M","GSON1112151644")</f>
        <v>#NAME?</v>
      </c>
      <c r="I2236" s="24" t="e">
        <f ca="1">[1]!BexGetData("DP_1","003N8EMH8GTFRCSWKMPXRSAE6","GSON1112151644")</f>
        <v>#NAME?</v>
      </c>
      <c r="J2236" s="24" t="e">
        <f ca="1">[1]!BexGetData("DP_1","003N8EMH8GTFRCSWKMPXRSGPQ","GSON1112151644")</f>
        <v>#NAME?</v>
      </c>
      <c r="K2236" s="28" t="e">
        <f ca="1">[1]!BexGetData("DP_1","003N8EMH8GTFRIVNUPY288VJH","GSON1112151644")</f>
        <v>#NAME?</v>
      </c>
      <c r="L2236" s="28" t="e">
        <f ca="1">[1]!BexGetData("DP_1","003N8EMH8GTFRIVNUPY2891V1","GSON1112151644")</f>
        <v>#NAME?</v>
      </c>
      <c r="M2236" s="28" t="e">
        <f ca="1">[1]!BexGetData("DP_1","003N8EMH8GTFRIVOG7KG9IQXA","GSON1112151644")</f>
        <v>#NAME?</v>
      </c>
      <c r="N2236" s="28" t="e">
        <f ca="1">[1]!BexGetData("DP_1","003N8EMH8GTFRIVOG7KG9IX8U","GSON1112151644")</f>
        <v>#NAME?</v>
      </c>
      <c r="O2236" s="28" t="e">
        <f ca="1">[1]!BexGetData("DP_1","003N8EMH8GTFRIVOG7KG9J3KE","GSON1112151644")</f>
        <v>#NAME?</v>
      </c>
      <c r="P2236" s="28" t="e">
        <f ca="1">[1]!BexGetData("DP_1","003N8EMH8GTFRIVOG7KG9J9VY","GSON1112151644")</f>
        <v>#NAME?</v>
      </c>
      <c r="Q2236" s="24" t="e">
        <f ca="1">[1]!BexGetData("DP_1","00O2TNJGODT0G5Z4TTKYMM5MT","GSON1112151644")</f>
        <v>#NAME?</v>
      </c>
      <c r="R2236" s="24" t="e">
        <f ca="1">[1]!BexGetData("DP_1","00O2TNJGODT0G5Z4TTKYMMBYD","GSON1112151644")</f>
        <v>#NAME?</v>
      </c>
      <c r="S2236" s="24" t="e">
        <f ca="1">[1]!BexGetData("DP_1","00O2TNJGODT0G5Z4TTKYMMI9X","GSON1112151644")</f>
        <v>#NAME?</v>
      </c>
      <c r="T2236" s="24" t="e">
        <f ca="1">[1]!BexGetData("DP_1","00O2TNJGODT0G5Z4TTKYMMOLH","GSON1112151644")</f>
        <v>#NAME?</v>
      </c>
      <c r="U2236" s="24" t="e">
        <f ca="1">[1]!BexGetData("DP_1","00O2TNJGODT0G5Z4TTKYMMUX1","GSON1112151644")</f>
        <v>#NAME?</v>
      </c>
      <c r="V2236" s="24" t="e">
        <f ca="1">[1]!BexGetData("DP_1","00O2TNJGODT0G5Z4TTKYMN18L","GSON1112151644")</f>
        <v>#NAME?</v>
      </c>
      <c r="W2236" s="24" t="e">
        <f ca="1">[1]!BexGetData("DP_1","00O2TNJGODT0G5Z4TTKYMN7K5","GSON1112151644")</f>
        <v>#NAME?</v>
      </c>
    </row>
    <row r="2237" spans="1:23" x14ac:dyDescent="0.2">
      <c r="A2237" s="36" t="s">
        <v>5443</v>
      </c>
      <c r="B2237" s="27" t="s">
        <v>5444</v>
      </c>
      <c r="C2237" s="23" t="e">
        <f ca="1">[1]!BexGetData("DP_1","003N8EMH8GTFRCSWKMPXRR8GU","GSON1112151645")</f>
        <v>#NAME?</v>
      </c>
      <c r="D2237" s="23" t="e">
        <f ca="1">[1]!BexGetData("DP_1","003N8EMH8GTFRCSWKMPXRRESE","GSON1112151645")</f>
        <v>#NAME?</v>
      </c>
      <c r="E2237" s="28" t="e">
        <f ca="1">[1]!BexGetData("DP_1","003N8EMH8GTFRCSWKMPXRRL3Y","GSON1112151645")</f>
        <v>#NAME?</v>
      </c>
      <c r="F2237" s="24" t="e">
        <f ca="1">[1]!BexGetData("DP_1","003N8EMH8GTFRCSWKMPXRRRFI","GSON1112151645")</f>
        <v>#NAME?</v>
      </c>
      <c r="G2237" s="24" t="e">
        <f ca="1">[1]!BexGetData("DP_1","003N8EMH8GTFRCSWKMPXRRXR2","GSON1112151645")</f>
        <v>#NAME?</v>
      </c>
      <c r="H2237" s="24" t="e">
        <f ca="1">[1]!BexGetData("DP_1","003N8EMH8GTFRCSWKMPXRS42M","GSON1112151645")</f>
        <v>#NAME?</v>
      </c>
      <c r="I2237" s="24" t="e">
        <f ca="1">[1]!BexGetData("DP_1","003N8EMH8GTFRCSWKMPXRSAE6","GSON1112151645")</f>
        <v>#NAME?</v>
      </c>
      <c r="J2237" s="24" t="e">
        <f ca="1">[1]!BexGetData("DP_1","003N8EMH8GTFRCSWKMPXRSGPQ","GSON1112151645")</f>
        <v>#NAME?</v>
      </c>
      <c r="K2237" s="28" t="e">
        <f ca="1">[1]!BexGetData("DP_1","003N8EMH8GTFRIVNUPY288VJH","GSON1112151645")</f>
        <v>#NAME?</v>
      </c>
      <c r="L2237" s="28" t="e">
        <f ca="1">[1]!BexGetData("DP_1","003N8EMH8GTFRIVNUPY2891V1","GSON1112151645")</f>
        <v>#NAME?</v>
      </c>
      <c r="M2237" s="28" t="e">
        <f ca="1">[1]!BexGetData("DP_1","003N8EMH8GTFRIVOG7KG9IQXA","GSON1112151645")</f>
        <v>#NAME?</v>
      </c>
      <c r="N2237" s="28" t="e">
        <f ca="1">[1]!BexGetData("DP_1","003N8EMH8GTFRIVOG7KG9IX8U","GSON1112151645")</f>
        <v>#NAME?</v>
      </c>
      <c r="O2237" s="28" t="e">
        <f ca="1">[1]!BexGetData("DP_1","003N8EMH8GTFRIVOG7KG9J3KE","GSON1112151645")</f>
        <v>#NAME?</v>
      </c>
      <c r="P2237" s="28" t="e">
        <f ca="1">[1]!BexGetData("DP_1","003N8EMH8GTFRIVOG7KG9J9VY","GSON1112151645")</f>
        <v>#NAME?</v>
      </c>
      <c r="Q2237" s="24" t="e">
        <f ca="1">[1]!BexGetData("DP_1","00O2TNJGODT0G5Z4TTKYMM5MT","GSON1112151645")</f>
        <v>#NAME?</v>
      </c>
      <c r="R2237" s="24" t="e">
        <f ca="1">[1]!BexGetData("DP_1","00O2TNJGODT0G5Z4TTKYMMBYD","GSON1112151645")</f>
        <v>#NAME?</v>
      </c>
      <c r="S2237" s="24" t="e">
        <f ca="1">[1]!BexGetData("DP_1","00O2TNJGODT0G5Z4TTKYMMI9X","GSON1112151645")</f>
        <v>#NAME?</v>
      </c>
      <c r="T2237" s="24" t="e">
        <f ca="1">[1]!BexGetData("DP_1","00O2TNJGODT0G5Z4TTKYMMOLH","GSON1112151645")</f>
        <v>#NAME?</v>
      </c>
      <c r="U2237" s="24" t="e">
        <f ca="1">[1]!BexGetData("DP_1","00O2TNJGODT0G5Z4TTKYMMUX1","GSON1112151645")</f>
        <v>#NAME?</v>
      </c>
      <c r="V2237" s="24" t="e">
        <f ca="1">[1]!BexGetData("DP_1","00O2TNJGODT0G5Z4TTKYMN18L","GSON1112151645")</f>
        <v>#NAME?</v>
      </c>
      <c r="W2237" s="24" t="e">
        <f ca="1">[1]!BexGetData("DP_1","00O2TNJGODT0G5Z4TTKYMN7K5","GSON1112151645")</f>
        <v>#NAME?</v>
      </c>
    </row>
    <row r="2238" spans="1:23" x14ac:dyDescent="0.2">
      <c r="A2238" s="36" t="s">
        <v>5445</v>
      </c>
      <c r="B2238" s="27" t="s">
        <v>5446</v>
      </c>
      <c r="C2238" s="23" t="e">
        <f ca="1">[1]!BexGetData("DP_1","003N8EMH8GTFRCSWKMPXRR8GU","GSON1112151650")</f>
        <v>#NAME?</v>
      </c>
      <c r="D2238" s="23" t="e">
        <f ca="1">[1]!BexGetData("DP_1","003N8EMH8GTFRCSWKMPXRRESE","GSON1112151650")</f>
        <v>#NAME?</v>
      </c>
      <c r="E2238" s="28" t="e">
        <f ca="1">[1]!BexGetData("DP_1","003N8EMH8GTFRCSWKMPXRRL3Y","GSON1112151650")</f>
        <v>#NAME?</v>
      </c>
      <c r="F2238" s="24" t="e">
        <f ca="1">[1]!BexGetData("DP_1","003N8EMH8GTFRCSWKMPXRRRFI","GSON1112151650")</f>
        <v>#NAME?</v>
      </c>
      <c r="G2238" s="24" t="e">
        <f ca="1">[1]!BexGetData("DP_1","003N8EMH8GTFRCSWKMPXRRXR2","GSON1112151650")</f>
        <v>#NAME?</v>
      </c>
      <c r="H2238" s="24" t="e">
        <f ca="1">[1]!BexGetData("DP_1","003N8EMH8GTFRCSWKMPXRS42M","GSON1112151650")</f>
        <v>#NAME?</v>
      </c>
      <c r="I2238" s="24" t="e">
        <f ca="1">[1]!BexGetData("DP_1","003N8EMH8GTFRCSWKMPXRSAE6","GSON1112151650")</f>
        <v>#NAME?</v>
      </c>
      <c r="J2238" s="24" t="e">
        <f ca="1">[1]!BexGetData("DP_1","003N8EMH8GTFRCSWKMPXRSGPQ","GSON1112151650")</f>
        <v>#NAME?</v>
      </c>
      <c r="K2238" s="28" t="e">
        <f ca="1">[1]!BexGetData("DP_1","003N8EMH8GTFRIVNUPY288VJH","GSON1112151650")</f>
        <v>#NAME?</v>
      </c>
      <c r="L2238" s="28" t="e">
        <f ca="1">[1]!BexGetData("DP_1","003N8EMH8GTFRIVNUPY2891V1","GSON1112151650")</f>
        <v>#NAME?</v>
      </c>
      <c r="M2238" s="28" t="e">
        <f ca="1">[1]!BexGetData("DP_1","003N8EMH8GTFRIVOG7KG9IQXA","GSON1112151650")</f>
        <v>#NAME?</v>
      </c>
      <c r="N2238" s="28" t="e">
        <f ca="1">[1]!BexGetData("DP_1","003N8EMH8GTFRIVOG7KG9IX8U","GSON1112151650")</f>
        <v>#NAME?</v>
      </c>
      <c r="O2238" s="28" t="e">
        <f ca="1">[1]!BexGetData("DP_1","003N8EMH8GTFRIVOG7KG9J3KE","GSON1112151650")</f>
        <v>#NAME?</v>
      </c>
      <c r="P2238" s="28" t="e">
        <f ca="1">[1]!BexGetData("DP_1","003N8EMH8GTFRIVOG7KG9J9VY","GSON1112151650")</f>
        <v>#NAME?</v>
      </c>
      <c r="Q2238" s="24" t="e">
        <f ca="1">[1]!BexGetData("DP_1","00O2TNJGODT0G5Z4TTKYMM5MT","GSON1112151650")</f>
        <v>#NAME?</v>
      </c>
      <c r="R2238" s="24" t="e">
        <f ca="1">[1]!BexGetData("DP_1","00O2TNJGODT0G5Z4TTKYMMBYD","GSON1112151650")</f>
        <v>#NAME?</v>
      </c>
      <c r="S2238" s="24" t="e">
        <f ca="1">[1]!BexGetData("DP_1","00O2TNJGODT0G5Z4TTKYMMI9X","GSON1112151650")</f>
        <v>#NAME?</v>
      </c>
      <c r="T2238" s="24" t="e">
        <f ca="1">[1]!BexGetData("DP_1","00O2TNJGODT0G5Z4TTKYMMOLH","GSON1112151650")</f>
        <v>#NAME?</v>
      </c>
      <c r="U2238" s="24" t="e">
        <f ca="1">[1]!BexGetData("DP_1","00O2TNJGODT0G5Z4TTKYMMUX1","GSON1112151650")</f>
        <v>#NAME?</v>
      </c>
      <c r="V2238" s="24" t="e">
        <f ca="1">[1]!BexGetData("DP_1","00O2TNJGODT0G5Z4TTKYMN18L","GSON1112151650")</f>
        <v>#NAME?</v>
      </c>
      <c r="W2238" s="24" t="e">
        <f ca="1">[1]!BexGetData("DP_1","00O2TNJGODT0G5Z4TTKYMN7K5","GSON1112151650")</f>
        <v>#NAME?</v>
      </c>
    </row>
    <row r="2239" spans="1:23" x14ac:dyDescent="0.2">
      <c r="A2239" s="36" t="s">
        <v>5447</v>
      </c>
      <c r="B2239" s="27" t="s">
        <v>5448</v>
      </c>
      <c r="C2239" s="23" t="e">
        <f ca="1">[1]!BexGetData("DP_1","003N8EMH8GTFRCSWKMPXRR8GU","GSON1112151651")</f>
        <v>#NAME?</v>
      </c>
      <c r="D2239" s="23" t="e">
        <f ca="1">[1]!BexGetData("DP_1","003N8EMH8GTFRCSWKMPXRRESE","GSON1112151651")</f>
        <v>#NAME?</v>
      </c>
      <c r="E2239" s="28" t="e">
        <f ca="1">[1]!BexGetData("DP_1","003N8EMH8GTFRCSWKMPXRRL3Y","GSON1112151651")</f>
        <v>#NAME?</v>
      </c>
      <c r="F2239" s="24" t="e">
        <f ca="1">[1]!BexGetData("DP_1","003N8EMH8GTFRCSWKMPXRRRFI","GSON1112151651")</f>
        <v>#NAME?</v>
      </c>
      <c r="G2239" s="24" t="e">
        <f ca="1">[1]!BexGetData("DP_1","003N8EMH8GTFRCSWKMPXRRXR2","GSON1112151651")</f>
        <v>#NAME?</v>
      </c>
      <c r="H2239" s="24" t="e">
        <f ca="1">[1]!BexGetData("DP_1","003N8EMH8GTFRCSWKMPXRS42M","GSON1112151651")</f>
        <v>#NAME?</v>
      </c>
      <c r="I2239" s="24" t="e">
        <f ca="1">[1]!BexGetData("DP_1","003N8EMH8GTFRCSWKMPXRSAE6","GSON1112151651")</f>
        <v>#NAME?</v>
      </c>
      <c r="J2239" s="24" t="e">
        <f ca="1">[1]!BexGetData("DP_1","003N8EMH8GTFRCSWKMPXRSGPQ","GSON1112151651")</f>
        <v>#NAME?</v>
      </c>
      <c r="K2239" s="28" t="e">
        <f ca="1">[1]!BexGetData("DP_1","003N8EMH8GTFRIVNUPY288VJH","GSON1112151651")</f>
        <v>#NAME?</v>
      </c>
      <c r="L2239" s="28" t="e">
        <f ca="1">[1]!BexGetData("DP_1","003N8EMH8GTFRIVNUPY2891V1","GSON1112151651")</f>
        <v>#NAME?</v>
      </c>
      <c r="M2239" s="28" t="e">
        <f ca="1">[1]!BexGetData("DP_1","003N8EMH8GTFRIVOG7KG9IQXA","GSON1112151651")</f>
        <v>#NAME?</v>
      </c>
      <c r="N2239" s="28" t="e">
        <f ca="1">[1]!BexGetData("DP_1","003N8EMH8GTFRIVOG7KG9IX8U","GSON1112151651")</f>
        <v>#NAME?</v>
      </c>
      <c r="O2239" s="28" t="e">
        <f ca="1">[1]!BexGetData("DP_1","003N8EMH8GTFRIVOG7KG9J3KE","GSON1112151651")</f>
        <v>#NAME?</v>
      </c>
      <c r="P2239" s="28" t="e">
        <f ca="1">[1]!BexGetData("DP_1","003N8EMH8GTFRIVOG7KG9J9VY","GSON1112151651")</f>
        <v>#NAME?</v>
      </c>
      <c r="Q2239" s="24" t="e">
        <f ca="1">[1]!BexGetData("DP_1","00O2TNJGODT0G5Z4TTKYMM5MT","GSON1112151651")</f>
        <v>#NAME?</v>
      </c>
      <c r="R2239" s="24" t="e">
        <f ca="1">[1]!BexGetData("DP_1","00O2TNJGODT0G5Z4TTKYMMBYD","GSON1112151651")</f>
        <v>#NAME?</v>
      </c>
      <c r="S2239" s="24" t="e">
        <f ca="1">[1]!BexGetData("DP_1","00O2TNJGODT0G5Z4TTKYMMI9X","GSON1112151651")</f>
        <v>#NAME?</v>
      </c>
      <c r="T2239" s="24" t="e">
        <f ca="1">[1]!BexGetData("DP_1","00O2TNJGODT0G5Z4TTKYMMOLH","GSON1112151651")</f>
        <v>#NAME?</v>
      </c>
      <c r="U2239" s="24" t="e">
        <f ca="1">[1]!BexGetData("DP_1","00O2TNJGODT0G5Z4TTKYMMUX1","GSON1112151651")</f>
        <v>#NAME?</v>
      </c>
      <c r="V2239" s="24" t="e">
        <f ca="1">[1]!BexGetData("DP_1","00O2TNJGODT0G5Z4TTKYMN18L","GSON1112151651")</f>
        <v>#NAME?</v>
      </c>
      <c r="W2239" s="24" t="e">
        <f ca="1">[1]!BexGetData("DP_1","00O2TNJGODT0G5Z4TTKYMN7K5","GSON1112151651")</f>
        <v>#NAME?</v>
      </c>
    </row>
    <row r="2240" spans="1:23" x14ac:dyDescent="0.2">
      <c r="A2240" s="36" t="s">
        <v>5449</v>
      </c>
      <c r="B2240" s="27" t="s">
        <v>5450</v>
      </c>
      <c r="C2240" s="23" t="e">
        <f ca="1">[1]!BexGetData("DP_1","003N8EMH8GTFRCSWKMPXRR8GU","GSON1112151653")</f>
        <v>#NAME?</v>
      </c>
      <c r="D2240" s="23" t="e">
        <f ca="1">[1]!BexGetData("DP_1","003N8EMH8GTFRCSWKMPXRRESE","GSON1112151653")</f>
        <v>#NAME?</v>
      </c>
      <c r="E2240" s="28" t="e">
        <f ca="1">[1]!BexGetData("DP_1","003N8EMH8GTFRCSWKMPXRRL3Y","GSON1112151653")</f>
        <v>#NAME?</v>
      </c>
      <c r="F2240" s="24" t="e">
        <f ca="1">[1]!BexGetData("DP_1","003N8EMH8GTFRCSWKMPXRRRFI","GSON1112151653")</f>
        <v>#NAME?</v>
      </c>
      <c r="G2240" s="24" t="e">
        <f ca="1">[1]!BexGetData("DP_1","003N8EMH8GTFRCSWKMPXRRXR2","GSON1112151653")</f>
        <v>#NAME?</v>
      </c>
      <c r="H2240" s="24" t="e">
        <f ca="1">[1]!BexGetData("DP_1","003N8EMH8GTFRCSWKMPXRS42M","GSON1112151653")</f>
        <v>#NAME?</v>
      </c>
      <c r="I2240" s="24" t="e">
        <f ca="1">[1]!BexGetData("DP_1","003N8EMH8GTFRCSWKMPXRSAE6","GSON1112151653")</f>
        <v>#NAME?</v>
      </c>
      <c r="J2240" s="24" t="e">
        <f ca="1">[1]!BexGetData("DP_1","003N8EMH8GTFRCSWKMPXRSGPQ","GSON1112151653")</f>
        <v>#NAME?</v>
      </c>
      <c r="K2240" s="28" t="e">
        <f ca="1">[1]!BexGetData("DP_1","003N8EMH8GTFRIVNUPY288VJH","GSON1112151653")</f>
        <v>#NAME?</v>
      </c>
      <c r="L2240" s="28" t="e">
        <f ca="1">[1]!BexGetData("DP_1","003N8EMH8GTFRIVNUPY2891V1","GSON1112151653")</f>
        <v>#NAME?</v>
      </c>
      <c r="M2240" s="28" t="e">
        <f ca="1">[1]!BexGetData("DP_1","003N8EMH8GTFRIVOG7KG9IQXA","GSON1112151653")</f>
        <v>#NAME?</v>
      </c>
      <c r="N2240" s="28" t="e">
        <f ca="1">[1]!BexGetData("DP_1","003N8EMH8GTFRIVOG7KG9IX8U","GSON1112151653")</f>
        <v>#NAME?</v>
      </c>
      <c r="O2240" s="28" t="e">
        <f ca="1">[1]!BexGetData("DP_1","003N8EMH8GTFRIVOG7KG9J3KE","GSON1112151653")</f>
        <v>#NAME?</v>
      </c>
      <c r="P2240" s="28" t="e">
        <f ca="1">[1]!BexGetData("DP_1","003N8EMH8GTFRIVOG7KG9J9VY","GSON1112151653")</f>
        <v>#NAME?</v>
      </c>
      <c r="Q2240" s="24" t="e">
        <f ca="1">[1]!BexGetData("DP_1","00O2TNJGODT0G5Z4TTKYMM5MT","GSON1112151653")</f>
        <v>#NAME?</v>
      </c>
      <c r="R2240" s="24" t="e">
        <f ca="1">[1]!BexGetData("DP_1","00O2TNJGODT0G5Z4TTKYMMBYD","GSON1112151653")</f>
        <v>#NAME?</v>
      </c>
      <c r="S2240" s="24" t="e">
        <f ca="1">[1]!BexGetData("DP_1","00O2TNJGODT0G5Z4TTKYMMI9X","GSON1112151653")</f>
        <v>#NAME?</v>
      </c>
      <c r="T2240" s="24" t="e">
        <f ca="1">[1]!BexGetData("DP_1","00O2TNJGODT0G5Z4TTKYMMOLH","GSON1112151653")</f>
        <v>#NAME?</v>
      </c>
      <c r="U2240" s="24" t="e">
        <f ca="1">[1]!BexGetData("DP_1","00O2TNJGODT0G5Z4TTKYMMUX1","GSON1112151653")</f>
        <v>#NAME?</v>
      </c>
      <c r="V2240" s="24" t="e">
        <f ca="1">[1]!BexGetData("DP_1","00O2TNJGODT0G5Z4TTKYMN18L","GSON1112151653")</f>
        <v>#NAME?</v>
      </c>
      <c r="W2240" s="24" t="e">
        <f ca="1">[1]!BexGetData("DP_1","00O2TNJGODT0G5Z4TTKYMN7K5","GSON1112151653")</f>
        <v>#NAME?</v>
      </c>
    </row>
    <row r="2241" spans="1:23" x14ac:dyDescent="0.2">
      <c r="A2241" s="36" t="s">
        <v>5451</v>
      </c>
      <c r="B2241" s="27" t="s">
        <v>5452</v>
      </c>
      <c r="C2241" s="23" t="e">
        <f ca="1">[1]!BexGetData("DP_1","003N8EMH8GTFRCSWKMPXRR8GU","GSON1112151654")</f>
        <v>#NAME?</v>
      </c>
      <c r="D2241" s="23" t="e">
        <f ca="1">[1]!BexGetData("DP_1","003N8EMH8GTFRCSWKMPXRRESE","GSON1112151654")</f>
        <v>#NAME?</v>
      </c>
      <c r="E2241" s="28" t="e">
        <f ca="1">[1]!BexGetData("DP_1","003N8EMH8GTFRCSWKMPXRRL3Y","GSON1112151654")</f>
        <v>#NAME?</v>
      </c>
      <c r="F2241" s="24" t="e">
        <f ca="1">[1]!BexGetData("DP_1","003N8EMH8GTFRCSWKMPXRRRFI","GSON1112151654")</f>
        <v>#NAME?</v>
      </c>
      <c r="G2241" s="24" t="e">
        <f ca="1">[1]!BexGetData("DP_1","003N8EMH8GTFRCSWKMPXRRXR2","GSON1112151654")</f>
        <v>#NAME?</v>
      </c>
      <c r="H2241" s="24" t="e">
        <f ca="1">[1]!BexGetData("DP_1","003N8EMH8GTFRCSWKMPXRS42M","GSON1112151654")</f>
        <v>#NAME?</v>
      </c>
      <c r="I2241" s="24" t="e">
        <f ca="1">[1]!BexGetData("DP_1","003N8EMH8GTFRCSWKMPXRSAE6","GSON1112151654")</f>
        <v>#NAME?</v>
      </c>
      <c r="J2241" s="24" t="e">
        <f ca="1">[1]!BexGetData("DP_1","003N8EMH8GTFRCSWKMPXRSGPQ","GSON1112151654")</f>
        <v>#NAME?</v>
      </c>
      <c r="K2241" s="28" t="e">
        <f ca="1">[1]!BexGetData("DP_1","003N8EMH8GTFRIVNUPY288VJH","GSON1112151654")</f>
        <v>#NAME?</v>
      </c>
      <c r="L2241" s="28" t="e">
        <f ca="1">[1]!BexGetData("DP_1","003N8EMH8GTFRIVNUPY2891V1","GSON1112151654")</f>
        <v>#NAME?</v>
      </c>
      <c r="M2241" s="28" t="e">
        <f ca="1">[1]!BexGetData("DP_1","003N8EMH8GTFRIVOG7KG9IQXA","GSON1112151654")</f>
        <v>#NAME?</v>
      </c>
      <c r="N2241" s="28" t="e">
        <f ca="1">[1]!BexGetData("DP_1","003N8EMH8GTFRIVOG7KG9IX8U","GSON1112151654")</f>
        <v>#NAME?</v>
      </c>
      <c r="O2241" s="28" t="e">
        <f ca="1">[1]!BexGetData("DP_1","003N8EMH8GTFRIVOG7KG9J3KE","GSON1112151654")</f>
        <v>#NAME?</v>
      </c>
      <c r="P2241" s="28" t="e">
        <f ca="1">[1]!BexGetData("DP_1","003N8EMH8GTFRIVOG7KG9J9VY","GSON1112151654")</f>
        <v>#NAME?</v>
      </c>
      <c r="Q2241" s="24" t="e">
        <f ca="1">[1]!BexGetData("DP_1","00O2TNJGODT0G5Z4TTKYMM5MT","GSON1112151654")</f>
        <v>#NAME?</v>
      </c>
      <c r="R2241" s="24" t="e">
        <f ca="1">[1]!BexGetData("DP_1","00O2TNJGODT0G5Z4TTKYMMBYD","GSON1112151654")</f>
        <v>#NAME?</v>
      </c>
      <c r="S2241" s="24" t="e">
        <f ca="1">[1]!BexGetData("DP_1","00O2TNJGODT0G5Z4TTKYMMI9X","GSON1112151654")</f>
        <v>#NAME?</v>
      </c>
      <c r="T2241" s="24" t="e">
        <f ca="1">[1]!BexGetData("DP_1","00O2TNJGODT0G5Z4TTKYMMOLH","GSON1112151654")</f>
        <v>#NAME?</v>
      </c>
      <c r="U2241" s="24" t="e">
        <f ca="1">[1]!BexGetData("DP_1","00O2TNJGODT0G5Z4TTKYMMUX1","GSON1112151654")</f>
        <v>#NAME?</v>
      </c>
      <c r="V2241" s="24" t="e">
        <f ca="1">[1]!BexGetData("DP_1","00O2TNJGODT0G5Z4TTKYMN18L","GSON1112151654")</f>
        <v>#NAME?</v>
      </c>
      <c r="W2241" s="24" t="e">
        <f ca="1">[1]!BexGetData("DP_1","00O2TNJGODT0G5Z4TTKYMN7K5","GSON1112151654")</f>
        <v>#NAME?</v>
      </c>
    </row>
    <row r="2242" spans="1:23" x14ac:dyDescent="0.2">
      <c r="A2242" s="36" t="s">
        <v>5423</v>
      </c>
      <c r="B2242" s="27" t="s">
        <v>5453</v>
      </c>
      <c r="C2242" s="23" t="e">
        <f ca="1">[1]!BexGetData("DP_1","003N8EMH8GTFRCSWKMPXRR8GU","GSON1112151655")</f>
        <v>#NAME?</v>
      </c>
      <c r="D2242" s="23" t="e">
        <f ca="1">[1]!BexGetData("DP_1","003N8EMH8GTFRCSWKMPXRRESE","GSON1112151655")</f>
        <v>#NAME?</v>
      </c>
      <c r="E2242" s="28" t="e">
        <f ca="1">[1]!BexGetData("DP_1","003N8EMH8GTFRCSWKMPXRRL3Y","GSON1112151655")</f>
        <v>#NAME?</v>
      </c>
      <c r="F2242" s="24" t="e">
        <f ca="1">[1]!BexGetData("DP_1","003N8EMH8GTFRCSWKMPXRRRFI","GSON1112151655")</f>
        <v>#NAME?</v>
      </c>
      <c r="G2242" s="24" t="e">
        <f ca="1">[1]!BexGetData("DP_1","003N8EMH8GTFRCSWKMPXRRXR2","GSON1112151655")</f>
        <v>#NAME?</v>
      </c>
      <c r="H2242" s="24" t="e">
        <f ca="1">[1]!BexGetData("DP_1","003N8EMH8GTFRCSWKMPXRS42M","GSON1112151655")</f>
        <v>#NAME?</v>
      </c>
      <c r="I2242" s="24" t="e">
        <f ca="1">[1]!BexGetData("DP_1","003N8EMH8GTFRCSWKMPXRSAE6","GSON1112151655")</f>
        <v>#NAME?</v>
      </c>
      <c r="J2242" s="24" t="e">
        <f ca="1">[1]!BexGetData("DP_1","003N8EMH8GTFRCSWKMPXRSGPQ","GSON1112151655")</f>
        <v>#NAME?</v>
      </c>
      <c r="K2242" s="28" t="e">
        <f ca="1">[1]!BexGetData("DP_1","003N8EMH8GTFRIVNUPY288VJH","GSON1112151655")</f>
        <v>#NAME?</v>
      </c>
      <c r="L2242" s="28" t="e">
        <f ca="1">[1]!BexGetData("DP_1","003N8EMH8GTFRIVNUPY2891V1","GSON1112151655")</f>
        <v>#NAME?</v>
      </c>
      <c r="M2242" s="28" t="e">
        <f ca="1">[1]!BexGetData("DP_1","003N8EMH8GTFRIVOG7KG9IQXA","GSON1112151655")</f>
        <v>#NAME?</v>
      </c>
      <c r="N2242" s="28" t="e">
        <f ca="1">[1]!BexGetData("DP_1","003N8EMH8GTFRIVOG7KG9IX8U","GSON1112151655")</f>
        <v>#NAME?</v>
      </c>
      <c r="O2242" s="28" t="e">
        <f ca="1">[1]!BexGetData("DP_1","003N8EMH8GTFRIVOG7KG9J3KE","GSON1112151655")</f>
        <v>#NAME?</v>
      </c>
      <c r="P2242" s="28" t="e">
        <f ca="1">[1]!BexGetData("DP_1","003N8EMH8GTFRIVOG7KG9J9VY","GSON1112151655")</f>
        <v>#NAME?</v>
      </c>
      <c r="Q2242" s="24" t="e">
        <f ca="1">[1]!BexGetData("DP_1","00O2TNJGODT0G5Z4TTKYMM5MT","GSON1112151655")</f>
        <v>#NAME?</v>
      </c>
      <c r="R2242" s="24" t="e">
        <f ca="1">[1]!BexGetData("DP_1","00O2TNJGODT0G5Z4TTKYMMBYD","GSON1112151655")</f>
        <v>#NAME?</v>
      </c>
      <c r="S2242" s="24" t="e">
        <f ca="1">[1]!BexGetData("DP_1","00O2TNJGODT0G5Z4TTKYMMI9X","GSON1112151655")</f>
        <v>#NAME?</v>
      </c>
      <c r="T2242" s="24" t="e">
        <f ca="1">[1]!BexGetData("DP_1","00O2TNJGODT0G5Z4TTKYMMOLH","GSON1112151655")</f>
        <v>#NAME?</v>
      </c>
      <c r="U2242" s="24" t="e">
        <f ca="1">[1]!BexGetData("DP_1","00O2TNJGODT0G5Z4TTKYMMUX1","GSON1112151655")</f>
        <v>#NAME?</v>
      </c>
      <c r="V2242" s="24" t="e">
        <f ca="1">[1]!BexGetData("DP_1","00O2TNJGODT0G5Z4TTKYMN18L","GSON1112151655")</f>
        <v>#NAME?</v>
      </c>
      <c r="W2242" s="24" t="e">
        <f ca="1">[1]!BexGetData("DP_1","00O2TNJGODT0G5Z4TTKYMN7K5","GSON1112151655")</f>
        <v>#NAME?</v>
      </c>
    </row>
    <row r="2243" spans="1:23" x14ac:dyDescent="0.2">
      <c r="A2243" s="36" t="s">
        <v>5454</v>
      </c>
      <c r="B2243" s="27" t="s">
        <v>5455</v>
      </c>
      <c r="C2243" s="23" t="e">
        <f ca="1">[1]!BexGetData("DP_1","003N8EMH8GTFRCSWKMPXRR8GU","GSON1112151660")</f>
        <v>#NAME?</v>
      </c>
      <c r="D2243" s="23" t="e">
        <f ca="1">[1]!BexGetData("DP_1","003N8EMH8GTFRCSWKMPXRRESE","GSON1112151660")</f>
        <v>#NAME?</v>
      </c>
      <c r="E2243" s="23" t="e">
        <f ca="1">[1]!BexGetData("DP_1","003N8EMH8GTFRCSWKMPXRRL3Y","GSON1112151660")</f>
        <v>#NAME?</v>
      </c>
      <c r="F2243" s="24" t="e">
        <f ca="1">[1]!BexGetData("DP_1","003N8EMH8GTFRCSWKMPXRRRFI","GSON1112151660")</f>
        <v>#NAME?</v>
      </c>
      <c r="G2243" s="24" t="e">
        <f ca="1">[1]!BexGetData("DP_1","003N8EMH8GTFRCSWKMPXRRXR2","GSON1112151660")</f>
        <v>#NAME?</v>
      </c>
      <c r="H2243" s="24" t="e">
        <f ca="1">[1]!BexGetData("DP_1","003N8EMH8GTFRCSWKMPXRS42M","GSON1112151660")</f>
        <v>#NAME?</v>
      </c>
      <c r="I2243" s="24" t="e">
        <f ca="1">[1]!BexGetData("DP_1","003N8EMH8GTFRCSWKMPXRSAE6","GSON1112151660")</f>
        <v>#NAME?</v>
      </c>
      <c r="J2243" s="24" t="e">
        <f ca="1">[1]!BexGetData("DP_1","003N8EMH8GTFRCSWKMPXRSGPQ","GSON1112151660")</f>
        <v>#NAME?</v>
      </c>
      <c r="K2243" s="23" t="e">
        <f ca="1">[1]!BexGetData("DP_1","003N8EMH8GTFRIVNUPY288VJH","GSON1112151660")</f>
        <v>#NAME?</v>
      </c>
      <c r="L2243" s="23" t="e">
        <f ca="1">[1]!BexGetData("DP_1","003N8EMH8GTFRIVNUPY2891V1","GSON1112151660")</f>
        <v>#NAME?</v>
      </c>
      <c r="M2243" s="28" t="e">
        <f ca="1">[1]!BexGetData("DP_1","003N8EMH8GTFRIVOG7KG9IQXA","GSON1112151660")</f>
        <v>#NAME?</v>
      </c>
      <c r="N2243" s="23" t="e">
        <f ca="1">[1]!BexGetData("DP_1","003N8EMH8GTFRIVOG7KG9IX8U","GSON1112151660")</f>
        <v>#NAME?</v>
      </c>
      <c r="O2243" s="28" t="e">
        <f ca="1">[1]!BexGetData("DP_1","003N8EMH8GTFRIVOG7KG9J3KE","GSON1112151660")</f>
        <v>#NAME?</v>
      </c>
      <c r="P2243" s="23" t="e">
        <f ca="1">[1]!BexGetData("DP_1","003N8EMH8GTFRIVOG7KG9J9VY","GSON1112151660")</f>
        <v>#NAME?</v>
      </c>
      <c r="Q2243" s="24" t="e">
        <f ca="1">[1]!BexGetData("DP_1","00O2TNJGODT0G5Z4TTKYMM5MT","GSON1112151660")</f>
        <v>#NAME?</v>
      </c>
      <c r="R2243" s="24" t="e">
        <f ca="1">[1]!BexGetData("DP_1","00O2TNJGODT0G5Z4TTKYMMBYD","GSON1112151660")</f>
        <v>#NAME?</v>
      </c>
      <c r="S2243" s="24" t="e">
        <f ca="1">[1]!BexGetData("DP_1","00O2TNJGODT0G5Z4TTKYMMI9X","GSON1112151660")</f>
        <v>#NAME?</v>
      </c>
      <c r="T2243" s="24" t="e">
        <f ca="1">[1]!BexGetData("DP_1","00O2TNJGODT0G5Z4TTKYMMOLH","GSON1112151660")</f>
        <v>#NAME?</v>
      </c>
      <c r="U2243" s="24" t="e">
        <f ca="1">[1]!BexGetData("DP_1","00O2TNJGODT0G5Z4TTKYMMUX1","GSON1112151660")</f>
        <v>#NAME?</v>
      </c>
      <c r="V2243" s="24" t="e">
        <f ca="1">[1]!BexGetData("DP_1","00O2TNJGODT0G5Z4TTKYMN18L","GSON1112151660")</f>
        <v>#NAME?</v>
      </c>
      <c r="W2243" s="24" t="e">
        <f ca="1">[1]!BexGetData("DP_1","00O2TNJGODT0G5Z4TTKYMN7K5","GSON1112151660")</f>
        <v>#NAME?</v>
      </c>
    </row>
    <row r="2244" spans="1:23" x14ac:dyDescent="0.2">
      <c r="A2244" s="36" t="s">
        <v>5456</v>
      </c>
      <c r="B2244" s="27" t="s">
        <v>5457</v>
      </c>
      <c r="C2244" s="23" t="e">
        <f ca="1">[1]!BexGetData("DP_1","003N8EMH8GTFRCSWKMPXRR8GU","GSON1112151661")</f>
        <v>#NAME?</v>
      </c>
      <c r="D2244" s="23" t="e">
        <f ca="1">[1]!BexGetData("DP_1","003N8EMH8GTFRCSWKMPXRRESE","GSON1112151661")</f>
        <v>#NAME?</v>
      </c>
      <c r="E2244" s="28" t="e">
        <f ca="1">[1]!BexGetData("DP_1","003N8EMH8GTFRCSWKMPXRRL3Y","GSON1112151661")</f>
        <v>#NAME?</v>
      </c>
      <c r="F2244" s="24" t="e">
        <f ca="1">[1]!BexGetData("DP_1","003N8EMH8GTFRCSWKMPXRRRFI","GSON1112151661")</f>
        <v>#NAME?</v>
      </c>
      <c r="G2244" s="24" t="e">
        <f ca="1">[1]!BexGetData("DP_1","003N8EMH8GTFRCSWKMPXRRXR2","GSON1112151661")</f>
        <v>#NAME?</v>
      </c>
      <c r="H2244" s="24" t="e">
        <f ca="1">[1]!BexGetData("DP_1","003N8EMH8GTFRCSWKMPXRS42M","GSON1112151661")</f>
        <v>#NAME?</v>
      </c>
      <c r="I2244" s="24" t="e">
        <f ca="1">[1]!BexGetData("DP_1","003N8EMH8GTFRCSWKMPXRSAE6","GSON1112151661")</f>
        <v>#NAME?</v>
      </c>
      <c r="J2244" s="24" t="e">
        <f ca="1">[1]!BexGetData("DP_1","003N8EMH8GTFRCSWKMPXRSGPQ","GSON1112151661")</f>
        <v>#NAME?</v>
      </c>
      <c r="K2244" s="28" t="e">
        <f ca="1">[1]!BexGetData("DP_1","003N8EMH8GTFRIVNUPY288VJH","GSON1112151661")</f>
        <v>#NAME?</v>
      </c>
      <c r="L2244" s="28" t="e">
        <f ca="1">[1]!BexGetData("DP_1","003N8EMH8GTFRIVNUPY2891V1","GSON1112151661")</f>
        <v>#NAME?</v>
      </c>
      <c r="M2244" s="28" t="e">
        <f ca="1">[1]!BexGetData("DP_1","003N8EMH8GTFRIVOG7KG9IQXA","GSON1112151661")</f>
        <v>#NAME?</v>
      </c>
      <c r="N2244" s="28" t="e">
        <f ca="1">[1]!BexGetData("DP_1","003N8EMH8GTFRIVOG7KG9IX8U","GSON1112151661")</f>
        <v>#NAME?</v>
      </c>
      <c r="O2244" s="28" t="e">
        <f ca="1">[1]!BexGetData("DP_1","003N8EMH8GTFRIVOG7KG9J3KE","GSON1112151661")</f>
        <v>#NAME?</v>
      </c>
      <c r="P2244" s="28" t="e">
        <f ca="1">[1]!BexGetData("DP_1","003N8EMH8GTFRIVOG7KG9J9VY","GSON1112151661")</f>
        <v>#NAME?</v>
      </c>
      <c r="Q2244" s="24" t="e">
        <f ca="1">[1]!BexGetData("DP_1","00O2TNJGODT0G5Z4TTKYMM5MT","GSON1112151661")</f>
        <v>#NAME?</v>
      </c>
      <c r="R2244" s="24" t="e">
        <f ca="1">[1]!BexGetData("DP_1","00O2TNJGODT0G5Z4TTKYMMBYD","GSON1112151661")</f>
        <v>#NAME?</v>
      </c>
      <c r="S2244" s="24" t="e">
        <f ca="1">[1]!BexGetData("DP_1","00O2TNJGODT0G5Z4TTKYMMI9X","GSON1112151661")</f>
        <v>#NAME?</v>
      </c>
      <c r="T2244" s="24" t="e">
        <f ca="1">[1]!BexGetData("DP_1","00O2TNJGODT0G5Z4TTKYMMOLH","GSON1112151661")</f>
        <v>#NAME?</v>
      </c>
      <c r="U2244" s="24" t="e">
        <f ca="1">[1]!BexGetData("DP_1","00O2TNJGODT0G5Z4TTKYMMUX1","GSON1112151661")</f>
        <v>#NAME?</v>
      </c>
      <c r="V2244" s="24" t="e">
        <f ca="1">[1]!BexGetData("DP_1","00O2TNJGODT0G5Z4TTKYMN18L","GSON1112151661")</f>
        <v>#NAME?</v>
      </c>
      <c r="W2244" s="24" t="e">
        <f ca="1">[1]!BexGetData("DP_1","00O2TNJGODT0G5Z4TTKYMN7K5","GSON1112151661")</f>
        <v>#NAME?</v>
      </c>
    </row>
    <row r="2245" spans="1:23" x14ac:dyDescent="0.2">
      <c r="A2245" s="36" t="s">
        <v>5458</v>
      </c>
      <c r="B2245" s="27" t="s">
        <v>5459</v>
      </c>
      <c r="C2245" s="23" t="e">
        <f ca="1">[1]!BexGetData("DP_1","003N8EMH8GTFRCSWKMPXRR8GU","GSON1112151663")</f>
        <v>#NAME?</v>
      </c>
      <c r="D2245" s="23" t="e">
        <f ca="1">[1]!BexGetData("DP_1","003N8EMH8GTFRCSWKMPXRRESE","GSON1112151663")</f>
        <v>#NAME?</v>
      </c>
      <c r="E2245" s="28" t="e">
        <f ca="1">[1]!BexGetData("DP_1","003N8EMH8GTFRCSWKMPXRRL3Y","GSON1112151663")</f>
        <v>#NAME?</v>
      </c>
      <c r="F2245" s="24" t="e">
        <f ca="1">[1]!BexGetData("DP_1","003N8EMH8GTFRCSWKMPXRRRFI","GSON1112151663")</f>
        <v>#NAME?</v>
      </c>
      <c r="G2245" s="24" t="e">
        <f ca="1">[1]!BexGetData("DP_1","003N8EMH8GTFRCSWKMPXRRXR2","GSON1112151663")</f>
        <v>#NAME?</v>
      </c>
      <c r="H2245" s="24" t="e">
        <f ca="1">[1]!BexGetData("DP_1","003N8EMH8GTFRCSWKMPXRS42M","GSON1112151663")</f>
        <v>#NAME?</v>
      </c>
      <c r="I2245" s="24" t="e">
        <f ca="1">[1]!BexGetData("DP_1","003N8EMH8GTFRCSWKMPXRSAE6","GSON1112151663")</f>
        <v>#NAME?</v>
      </c>
      <c r="J2245" s="24" t="e">
        <f ca="1">[1]!BexGetData("DP_1","003N8EMH8GTFRCSWKMPXRSGPQ","GSON1112151663")</f>
        <v>#NAME?</v>
      </c>
      <c r="K2245" s="28" t="e">
        <f ca="1">[1]!BexGetData("DP_1","003N8EMH8GTFRIVNUPY288VJH","GSON1112151663")</f>
        <v>#NAME?</v>
      </c>
      <c r="L2245" s="28" t="e">
        <f ca="1">[1]!BexGetData("DP_1","003N8EMH8GTFRIVNUPY2891V1","GSON1112151663")</f>
        <v>#NAME?</v>
      </c>
      <c r="M2245" s="28" t="e">
        <f ca="1">[1]!BexGetData("DP_1","003N8EMH8GTFRIVOG7KG9IQXA","GSON1112151663")</f>
        <v>#NAME?</v>
      </c>
      <c r="N2245" s="28" t="e">
        <f ca="1">[1]!BexGetData("DP_1","003N8EMH8GTFRIVOG7KG9IX8U","GSON1112151663")</f>
        <v>#NAME?</v>
      </c>
      <c r="O2245" s="28" t="e">
        <f ca="1">[1]!BexGetData("DP_1","003N8EMH8GTFRIVOG7KG9J3KE","GSON1112151663")</f>
        <v>#NAME?</v>
      </c>
      <c r="P2245" s="28" t="e">
        <f ca="1">[1]!BexGetData("DP_1","003N8EMH8GTFRIVOG7KG9J9VY","GSON1112151663")</f>
        <v>#NAME?</v>
      </c>
      <c r="Q2245" s="24" t="e">
        <f ca="1">[1]!BexGetData("DP_1","00O2TNJGODT0G5Z4TTKYMM5MT","GSON1112151663")</f>
        <v>#NAME?</v>
      </c>
      <c r="R2245" s="24" t="e">
        <f ca="1">[1]!BexGetData("DP_1","00O2TNJGODT0G5Z4TTKYMMBYD","GSON1112151663")</f>
        <v>#NAME?</v>
      </c>
      <c r="S2245" s="24" t="e">
        <f ca="1">[1]!BexGetData("DP_1","00O2TNJGODT0G5Z4TTKYMMI9X","GSON1112151663")</f>
        <v>#NAME?</v>
      </c>
      <c r="T2245" s="24" t="e">
        <f ca="1">[1]!BexGetData("DP_1","00O2TNJGODT0G5Z4TTKYMMOLH","GSON1112151663")</f>
        <v>#NAME?</v>
      </c>
      <c r="U2245" s="24" t="e">
        <f ca="1">[1]!BexGetData("DP_1","00O2TNJGODT0G5Z4TTKYMMUX1","GSON1112151663")</f>
        <v>#NAME?</v>
      </c>
      <c r="V2245" s="24" t="e">
        <f ca="1">[1]!BexGetData("DP_1","00O2TNJGODT0G5Z4TTKYMN18L","GSON1112151663")</f>
        <v>#NAME?</v>
      </c>
      <c r="W2245" s="24" t="e">
        <f ca="1">[1]!BexGetData("DP_1","00O2TNJGODT0G5Z4TTKYMN7K5","GSON1112151663")</f>
        <v>#NAME?</v>
      </c>
    </row>
    <row r="2246" spans="1:23" x14ac:dyDescent="0.2">
      <c r="A2246" s="36" t="s">
        <v>5460</v>
      </c>
      <c r="B2246" s="27" t="s">
        <v>5461</v>
      </c>
      <c r="C2246" s="23" t="e">
        <f ca="1">[1]!BexGetData("DP_1","003N8EMH8GTFRCSWKMPXRR8GU","GSON1112151664")</f>
        <v>#NAME?</v>
      </c>
      <c r="D2246" s="23" t="e">
        <f ca="1">[1]!BexGetData("DP_1","003N8EMH8GTFRCSWKMPXRRESE","GSON1112151664")</f>
        <v>#NAME?</v>
      </c>
      <c r="E2246" s="28" t="e">
        <f ca="1">[1]!BexGetData("DP_1","003N8EMH8GTFRCSWKMPXRRL3Y","GSON1112151664")</f>
        <v>#NAME?</v>
      </c>
      <c r="F2246" s="24" t="e">
        <f ca="1">[1]!BexGetData("DP_1","003N8EMH8GTFRCSWKMPXRRRFI","GSON1112151664")</f>
        <v>#NAME?</v>
      </c>
      <c r="G2246" s="24" t="e">
        <f ca="1">[1]!BexGetData("DP_1","003N8EMH8GTFRCSWKMPXRRXR2","GSON1112151664")</f>
        <v>#NAME?</v>
      </c>
      <c r="H2246" s="24" t="e">
        <f ca="1">[1]!BexGetData("DP_1","003N8EMH8GTFRCSWKMPXRS42M","GSON1112151664")</f>
        <v>#NAME?</v>
      </c>
      <c r="I2246" s="24" t="e">
        <f ca="1">[1]!BexGetData("DP_1","003N8EMH8GTFRCSWKMPXRSAE6","GSON1112151664")</f>
        <v>#NAME?</v>
      </c>
      <c r="J2246" s="24" t="e">
        <f ca="1">[1]!BexGetData("DP_1","003N8EMH8GTFRCSWKMPXRSGPQ","GSON1112151664")</f>
        <v>#NAME?</v>
      </c>
      <c r="K2246" s="28" t="e">
        <f ca="1">[1]!BexGetData("DP_1","003N8EMH8GTFRIVNUPY288VJH","GSON1112151664")</f>
        <v>#NAME?</v>
      </c>
      <c r="L2246" s="28" t="e">
        <f ca="1">[1]!BexGetData("DP_1","003N8EMH8GTFRIVNUPY2891V1","GSON1112151664")</f>
        <v>#NAME?</v>
      </c>
      <c r="M2246" s="28" t="e">
        <f ca="1">[1]!BexGetData("DP_1","003N8EMH8GTFRIVOG7KG9IQXA","GSON1112151664")</f>
        <v>#NAME?</v>
      </c>
      <c r="N2246" s="28" t="e">
        <f ca="1">[1]!BexGetData("DP_1","003N8EMH8GTFRIVOG7KG9IX8U","GSON1112151664")</f>
        <v>#NAME?</v>
      </c>
      <c r="O2246" s="28" t="e">
        <f ca="1">[1]!BexGetData("DP_1","003N8EMH8GTFRIVOG7KG9J3KE","GSON1112151664")</f>
        <v>#NAME?</v>
      </c>
      <c r="P2246" s="28" t="e">
        <f ca="1">[1]!BexGetData("DP_1","003N8EMH8GTFRIVOG7KG9J9VY","GSON1112151664")</f>
        <v>#NAME?</v>
      </c>
      <c r="Q2246" s="24" t="e">
        <f ca="1">[1]!BexGetData("DP_1","00O2TNJGODT0G5Z4TTKYMM5MT","GSON1112151664")</f>
        <v>#NAME?</v>
      </c>
      <c r="R2246" s="24" t="e">
        <f ca="1">[1]!BexGetData("DP_1","00O2TNJGODT0G5Z4TTKYMMBYD","GSON1112151664")</f>
        <v>#NAME?</v>
      </c>
      <c r="S2246" s="24" t="e">
        <f ca="1">[1]!BexGetData("DP_1","00O2TNJGODT0G5Z4TTKYMMI9X","GSON1112151664")</f>
        <v>#NAME?</v>
      </c>
      <c r="T2246" s="24" t="e">
        <f ca="1">[1]!BexGetData("DP_1","00O2TNJGODT0G5Z4TTKYMMOLH","GSON1112151664")</f>
        <v>#NAME?</v>
      </c>
      <c r="U2246" s="24" t="e">
        <f ca="1">[1]!BexGetData("DP_1","00O2TNJGODT0G5Z4TTKYMMUX1","GSON1112151664")</f>
        <v>#NAME?</v>
      </c>
      <c r="V2246" s="24" t="e">
        <f ca="1">[1]!BexGetData("DP_1","00O2TNJGODT0G5Z4TTKYMN18L","GSON1112151664")</f>
        <v>#NAME?</v>
      </c>
      <c r="W2246" s="24" t="e">
        <f ca="1">[1]!BexGetData("DP_1","00O2TNJGODT0G5Z4TTKYMN7K5","GSON1112151664")</f>
        <v>#NAME?</v>
      </c>
    </row>
    <row r="2247" spans="1:23" x14ac:dyDescent="0.2">
      <c r="A2247" s="36" t="s">
        <v>5462</v>
      </c>
      <c r="B2247" s="27" t="s">
        <v>5463</v>
      </c>
      <c r="C2247" s="23" t="e">
        <f ca="1">[1]!BexGetData("DP_1","003N8EMH8GTFRCSWKMPXRR8GU","GSON1112151665")</f>
        <v>#NAME?</v>
      </c>
      <c r="D2247" s="23" t="e">
        <f ca="1">[1]!BexGetData("DP_1","003N8EMH8GTFRCSWKMPXRRESE","GSON1112151665")</f>
        <v>#NAME?</v>
      </c>
      <c r="E2247" s="28" t="e">
        <f ca="1">[1]!BexGetData("DP_1","003N8EMH8GTFRCSWKMPXRRL3Y","GSON1112151665")</f>
        <v>#NAME?</v>
      </c>
      <c r="F2247" s="24" t="e">
        <f ca="1">[1]!BexGetData("DP_1","003N8EMH8GTFRCSWKMPXRRRFI","GSON1112151665")</f>
        <v>#NAME?</v>
      </c>
      <c r="G2247" s="24" t="e">
        <f ca="1">[1]!BexGetData("DP_1","003N8EMH8GTFRCSWKMPXRRXR2","GSON1112151665")</f>
        <v>#NAME?</v>
      </c>
      <c r="H2247" s="24" t="e">
        <f ca="1">[1]!BexGetData("DP_1","003N8EMH8GTFRCSWKMPXRS42M","GSON1112151665")</f>
        <v>#NAME?</v>
      </c>
      <c r="I2247" s="24" t="e">
        <f ca="1">[1]!BexGetData("DP_1","003N8EMH8GTFRCSWKMPXRSAE6","GSON1112151665")</f>
        <v>#NAME?</v>
      </c>
      <c r="J2247" s="24" t="e">
        <f ca="1">[1]!BexGetData("DP_1","003N8EMH8GTFRCSWKMPXRSGPQ","GSON1112151665")</f>
        <v>#NAME?</v>
      </c>
      <c r="K2247" s="28" t="e">
        <f ca="1">[1]!BexGetData("DP_1","003N8EMH8GTFRIVNUPY288VJH","GSON1112151665")</f>
        <v>#NAME?</v>
      </c>
      <c r="L2247" s="28" t="e">
        <f ca="1">[1]!BexGetData("DP_1","003N8EMH8GTFRIVNUPY2891V1","GSON1112151665")</f>
        <v>#NAME?</v>
      </c>
      <c r="M2247" s="28" t="e">
        <f ca="1">[1]!BexGetData("DP_1","003N8EMH8GTFRIVOG7KG9IQXA","GSON1112151665")</f>
        <v>#NAME?</v>
      </c>
      <c r="N2247" s="28" t="e">
        <f ca="1">[1]!BexGetData("DP_1","003N8EMH8GTFRIVOG7KG9IX8U","GSON1112151665")</f>
        <v>#NAME?</v>
      </c>
      <c r="O2247" s="28" t="e">
        <f ca="1">[1]!BexGetData("DP_1","003N8EMH8GTFRIVOG7KG9J3KE","GSON1112151665")</f>
        <v>#NAME?</v>
      </c>
      <c r="P2247" s="28" t="e">
        <f ca="1">[1]!BexGetData("DP_1","003N8EMH8GTFRIVOG7KG9J9VY","GSON1112151665")</f>
        <v>#NAME?</v>
      </c>
      <c r="Q2247" s="24" t="e">
        <f ca="1">[1]!BexGetData("DP_1","00O2TNJGODT0G5Z4TTKYMM5MT","GSON1112151665")</f>
        <v>#NAME?</v>
      </c>
      <c r="R2247" s="24" t="e">
        <f ca="1">[1]!BexGetData("DP_1","00O2TNJGODT0G5Z4TTKYMMBYD","GSON1112151665")</f>
        <v>#NAME?</v>
      </c>
      <c r="S2247" s="24" t="e">
        <f ca="1">[1]!BexGetData("DP_1","00O2TNJGODT0G5Z4TTKYMMI9X","GSON1112151665")</f>
        <v>#NAME?</v>
      </c>
      <c r="T2247" s="24" t="e">
        <f ca="1">[1]!BexGetData("DP_1","00O2TNJGODT0G5Z4TTKYMMOLH","GSON1112151665")</f>
        <v>#NAME?</v>
      </c>
      <c r="U2247" s="24" t="e">
        <f ca="1">[1]!BexGetData("DP_1","00O2TNJGODT0G5Z4TTKYMMUX1","GSON1112151665")</f>
        <v>#NAME?</v>
      </c>
      <c r="V2247" s="24" t="e">
        <f ca="1">[1]!BexGetData("DP_1","00O2TNJGODT0G5Z4TTKYMN18L","GSON1112151665")</f>
        <v>#NAME?</v>
      </c>
      <c r="W2247" s="24" t="e">
        <f ca="1">[1]!BexGetData("DP_1","00O2TNJGODT0G5Z4TTKYMN7K5","GSON1112151665")</f>
        <v>#NAME?</v>
      </c>
    </row>
    <row r="2248" spans="1:23" x14ac:dyDescent="0.2">
      <c r="A2248" s="36" t="s">
        <v>5464</v>
      </c>
      <c r="B2248" s="27" t="s">
        <v>5465</v>
      </c>
      <c r="C2248" s="23" t="e">
        <f ca="1">[1]!BexGetData("DP_1","003N8EMH8GTFRCSWKMPXRR8GU","GSON1112151670")</f>
        <v>#NAME?</v>
      </c>
      <c r="D2248" s="23" t="e">
        <f ca="1">[1]!BexGetData("DP_1","003N8EMH8GTFRCSWKMPXRRESE","GSON1112151670")</f>
        <v>#NAME?</v>
      </c>
      <c r="E2248" s="28" t="e">
        <f ca="1">[1]!BexGetData("DP_1","003N8EMH8GTFRCSWKMPXRRL3Y","GSON1112151670")</f>
        <v>#NAME?</v>
      </c>
      <c r="F2248" s="24" t="e">
        <f ca="1">[1]!BexGetData("DP_1","003N8EMH8GTFRCSWKMPXRRRFI","GSON1112151670")</f>
        <v>#NAME?</v>
      </c>
      <c r="G2248" s="24" t="e">
        <f ca="1">[1]!BexGetData("DP_1","003N8EMH8GTFRCSWKMPXRRXR2","GSON1112151670")</f>
        <v>#NAME?</v>
      </c>
      <c r="H2248" s="24" t="e">
        <f ca="1">[1]!BexGetData("DP_1","003N8EMH8GTFRCSWKMPXRS42M","GSON1112151670")</f>
        <v>#NAME?</v>
      </c>
      <c r="I2248" s="24" t="e">
        <f ca="1">[1]!BexGetData("DP_1","003N8EMH8GTFRCSWKMPXRSAE6","GSON1112151670")</f>
        <v>#NAME?</v>
      </c>
      <c r="J2248" s="24" t="e">
        <f ca="1">[1]!BexGetData("DP_1","003N8EMH8GTFRCSWKMPXRSGPQ","GSON1112151670")</f>
        <v>#NAME?</v>
      </c>
      <c r="K2248" s="28" t="e">
        <f ca="1">[1]!BexGetData("DP_1","003N8EMH8GTFRIVNUPY288VJH","GSON1112151670")</f>
        <v>#NAME?</v>
      </c>
      <c r="L2248" s="28" t="e">
        <f ca="1">[1]!BexGetData("DP_1","003N8EMH8GTFRIVNUPY2891V1","GSON1112151670")</f>
        <v>#NAME?</v>
      </c>
      <c r="M2248" s="28" t="e">
        <f ca="1">[1]!BexGetData("DP_1","003N8EMH8GTFRIVOG7KG9IQXA","GSON1112151670")</f>
        <v>#NAME?</v>
      </c>
      <c r="N2248" s="28" t="e">
        <f ca="1">[1]!BexGetData("DP_1","003N8EMH8GTFRIVOG7KG9IX8U","GSON1112151670")</f>
        <v>#NAME?</v>
      </c>
      <c r="O2248" s="28" t="e">
        <f ca="1">[1]!BexGetData("DP_1","003N8EMH8GTFRIVOG7KG9J3KE","GSON1112151670")</f>
        <v>#NAME?</v>
      </c>
      <c r="P2248" s="28" t="e">
        <f ca="1">[1]!BexGetData("DP_1","003N8EMH8GTFRIVOG7KG9J9VY","GSON1112151670")</f>
        <v>#NAME?</v>
      </c>
      <c r="Q2248" s="24" t="e">
        <f ca="1">[1]!BexGetData("DP_1","00O2TNJGODT0G5Z4TTKYMM5MT","GSON1112151670")</f>
        <v>#NAME?</v>
      </c>
      <c r="R2248" s="24" t="e">
        <f ca="1">[1]!BexGetData("DP_1","00O2TNJGODT0G5Z4TTKYMMBYD","GSON1112151670")</f>
        <v>#NAME?</v>
      </c>
      <c r="S2248" s="24" t="e">
        <f ca="1">[1]!BexGetData("DP_1","00O2TNJGODT0G5Z4TTKYMMI9X","GSON1112151670")</f>
        <v>#NAME?</v>
      </c>
      <c r="T2248" s="24" t="e">
        <f ca="1">[1]!BexGetData("DP_1","00O2TNJGODT0G5Z4TTKYMMOLH","GSON1112151670")</f>
        <v>#NAME?</v>
      </c>
      <c r="U2248" s="24" t="e">
        <f ca="1">[1]!BexGetData("DP_1","00O2TNJGODT0G5Z4TTKYMMUX1","GSON1112151670")</f>
        <v>#NAME?</v>
      </c>
      <c r="V2248" s="24" t="e">
        <f ca="1">[1]!BexGetData("DP_1","00O2TNJGODT0G5Z4TTKYMN18L","GSON1112151670")</f>
        <v>#NAME?</v>
      </c>
      <c r="W2248" s="24" t="e">
        <f ca="1">[1]!BexGetData("DP_1","00O2TNJGODT0G5Z4TTKYMN7K5","GSON1112151670")</f>
        <v>#NAME?</v>
      </c>
    </row>
    <row r="2249" spans="1:23" x14ac:dyDescent="0.2">
      <c r="A2249" s="36" t="s">
        <v>5466</v>
      </c>
      <c r="B2249" s="27" t="s">
        <v>5467</v>
      </c>
      <c r="C2249" s="23" t="e">
        <f ca="1">[1]!BexGetData("DP_1","003N8EMH8GTFRCSWKMPXRR8GU","GSON1112151671")</f>
        <v>#NAME?</v>
      </c>
      <c r="D2249" s="23" t="e">
        <f ca="1">[1]!BexGetData("DP_1","003N8EMH8GTFRCSWKMPXRRESE","GSON1112151671")</f>
        <v>#NAME?</v>
      </c>
      <c r="E2249" s="28" t="e">
        <f ca="1">[1]!BexGetData("DP_1","003N8EMH8GTFRCSWKMPXRRL3Y","GSON1112151671")</f>
        <v>#NAME?</v>
      </c>
      <c r="F2249" s="24" t="e">
        <f ca="1">[1]!BexGetData("DP_1","003N8EMH8GTFRCSWKMPXRRRFI","GSON1112151671")</f>
        <v>#NAME?</v>
      </c>
      <c r="G2249" s="24" t="e">
        <f ca="1">[1]!BexGetData("DP_1","003N8EMH8GTFRCSWKMPXRRXR2","GSON1112151671")</f>
        <v>#NAME?</v>
      </c>
      <c r="H2249" s="24" t="e">
        <f ca="1">[1]!BexGetData("DP_1","003N8EMH8GTFRCSWKMPXRS42M","GSON1112151671")</f>
        <v>#NAME?</v>
      </c>
      <c r="I2249" s="24" t="e">
        <f ca="1">[1]!BexGetData("DP_1","003N8EMH8GTFRCSWKMPXRSAE6","GSON1112151671")</f>
        <v>#NAME?</v>
      </c>
      <c r="J2249" s="24" t="e">
        <f ca="1">[1]!BexGetData("DP_1","003N8EMH8GTFRCSWKMPXRSGPQ","GSON1112151671")</f>
        <v>#NAME?</v>
      </c>
      <c r="K2249" s="28" t="e">
        <f ca="1">[1]!BexGetData("DP_1","003N8EMH8GTFRIVNUPY288VJH","GSON1112151671")</f>
        <v>#NAME?</v>
      </c>
      <c r="L2249" s="28" t="e">
        <f ca="1">[1]!BexGetData("DP_1","003N8EMH8GTFRIVNUPY2891V1","GSON1112151671")</f>
        <v>#NAME?</v>
      </c>
      <c r="M2249" s="28" t="e">
        <f ca="1">[1]!BexGetData("DP_1","003N8EMH8GTFRIVOG7KG9IQXA","GSON1112151671")</f>
        <v>#NAME?</v>
      </c>
      <c r="N2249" s="28" t="e">
        <f ca="1">[1]!BexGetData("DP_1","003N8EMH8GTFRIVOG7KG9IX8U","GSON1112151671")</f>
        <v>#NAME?</v>
      </c>
      <c r="O2249" s="28" t="e">
        <f ca="1">[1]!BexGetData("DP_1","003N8EMH8GTFRIVOG7KG9J3KE","GSON1112151671")</f>
        <v>#NAME?</v>
      </c>
      <c r="P2249" s="28" t="e">
        <f ca="1">[1]!BexGetData("DP_1","003N8EMH8GTFRIVOG7KG9J9VY","GSON1112151671")</f>
        <v>#NAME?</v>
      </c>
      <c r="Q2249" s="24" t="e">
        <f ca="1">[1]!BexGetData("DP_1","00O2TNJGODT0G5Z4TTKYMM5MT","GSON1112151671")</f>
        <v>#NAME?</v>
      </c>
      <c r="R2249" s="24" t="e">
        <f ca="1">[1]!BexGetData("DP_1","00O2TNJGODT0G5Z4TTKYMMBYD","GSON1112151671")</f>
        <v>#NAME?</v>
      </c>
      <c r="S2249" s="24" t="e">
        <f ca="1">[1]!BexGetData("DP_1","00O2TNJGODT0G5Z4TTKYMMI9X","GSON1112151671")</f>
        <v>#NAME?</v>
      </c>
      <c r="T2249" s="24" t="e">
        <f ca="1">[1]!BexGetData("DP_1","00O2TNJGODT0G5Z4TTKYMMOLH","GSON1112151671")</f>
        <v>#NAME?</v>
      </c>
      <c r="U2249" s="24" t="e">
        <f ca="1">[1]!BexGetData("DP_1","00O2TNJGODT0G5Z4TTKYMMUX1","GSON1112151671")</f>
        <v>#NAME?</v>
      </c>
      <c r="V2249" s="24" t="e">
        <f ca="1">[1]!BexGetData("DP_1","00O2TNJGODT0G5Z4TTKYMN18L","GSON1112151671")</f>
        <v>#NAME?</v>
      </c>
      <c r="W2249" s="24" t="e">
        <f ca="1">[1]!BexGetData("DP_1","00O2TNJGODT0G5Z4TTKYMN7K5","GSON1112151671")</f>
        <v>#NAME?</v>
      </c>
    </row>
    <row r="2250" spans="1:23" x14ac:dyDescent="0.2">
      <c r="A2250" s="36" t="s">
        <v>5468</v>
      </c>
      <c r="B2250" s="27" t="s">
        <v>5469</v>
      </c>
      <c r="C2250" s="23" t="e">
        <f ca="1">[1]!BexGetData("DP_1","003N8EMH8GTFRCSWKMPXRR8GU","GSON1112151673")</f>
        <v>#NAME?</v>
      </c>
      <c r="D2250" s="23" t="e">
        <f ca="1">[1]!BexGetData("DP_1","003N8EMH8GTFRCSWKMPXRRESE","GSON1112151673")</f>
        <v>#NAME?</v>
      </c>
      <c r="E2250" s="28" t="e">
        <f ca="1">[1]!BexGetData("DP_1","003N8EMH8GTFRCSWKMPXRRL3Y","GSON1112151673")</f>
        <v>#NAME?</v>
      </c>
      <c r="F2250" s="24" t="e">
        <f ca="1">[1]!BexGetData("DP_1","003N8EMH8GTFRCSWKMPXRRRFI","GSON1112151673")</f>
        <v>#NAME?</v>
      </c>
      <c r="G2250" s="24" t="e">
        <f ca="1">[1]!BexGetData("DP_1","003N8EMH8GTFRCSWKMPXRRXR2","GSON1112151673")</f>
        <v>#NAME?</v>
      </c>
      <c r="H2250" s="24" t="e">
        <f ca="1">[1]!BexGetData("DP_1","003N8EMH8GTFRCSWKMPXRS42M","GSON1112151673")</f>
        <v>#NAME?</v>
      </c>
      <c r="I2250" s="24" t="e">
        <f ca="1">[1]!BexGetData("DP_1","003N8EMH8GTFRCSWKMPXRSAE6","GSON1112151673")</f>
        <v>#NAME?</v>
      </c>
      <c r="J2250" s="24" t="e">
        <f ca="1">[1]!BexGetData("DP_1","003N8EMH8GTFRCSWKMPXRSGPQ","GSON1112151673")</f>
        <v>#NAME?</v>
      </c>
      <c r="K2250" s="28" t="e">
        <f ca="1">[1]!BexGetData("DP_1","003N8EMH8GTFRIVNUPY288VJH","GSON1112151673")</f>
        <v>#NAME?</v>
      </c>
      <c r="L2250" s="28" t="e">
        <f ca="1">[1]!BexGetData("DP_1","003N8EMH8GTFRIVNUPY2891V1","GSON1112151673")</f>
        <v>#NAME?</v>
      </c>
      <c r="M2250" s="28" t="e">
        <f ca="1">[1]!BexGetData("DP_1","003N8EMH8GTFRIVOG7KG9IQXA","GSON1112151673")</f>
        <v>#NAME?</v>
      </c>
      <c r="N2250" s="28" t="e">
        <f ca="1">[1]!BexGetData("DP_1","003N8EMH8GTFRIVOG7KG9IX8U","GSON1112151673")</f>
        <v>#NAME?</v>
      </c>
      <c r="O2250" s="28" t="e">
        <f ca="1">[1]!BexGetData("DP_1","003N8EMH8GTFRIVOG7KG9J3KE","GSON1112151673")</f>
        <v>#NAME?</v>
      </c>
      <c r="P2250" s="28" t="e">
        <f ca="1">[1]!BexGetData("DP_1","003N8EMH8GTFRIVOG7KG9J9VY","GSON1112151673")</f>
        <v>#NAME?</v>
      </c>
      <c r="Q2250" s="24" t="e">
        <f ca="1">[1]!BexGetData("DP_1","00O2TNJGODT0G5Z4TTKYMM5MT","GSON1112151673")</f>
        <v>#NAME?</v>
      </c>
      <c r="R2250" s="24" t="e">
        <f ca="1">[1]!BexGetData("DP_1","00O2TNJGODT0G5Z4TTKYMMBYD","GSON1112151673")</f>
        <v>#NAME?</v>
      </c>
      <c r="S2250" s="24" t="e">
        <f ca="1">[1]!BexGetData("DP_1","00O2TNJGODT0G5Z4TTKYMMI9X","GSON1112151673")</f>
        <v>#NAME?</v>
      </c>
      <c r="T2250" s="24" t="e">
        <f ca="1">[1]!BexGetData("DP_1","00O2TNJGODT0G5Z4TTKYMMOLH","GSON1112151673")</f>
        <v>#NAME?</v>
      </c>
      <c r="U2250" s="24" t="e">
        <f ca="1">[1]!BexGetData("DP_1","00O2TNJGODT0G5Z4TTKYMMUX1","GSON1112151673")</f>
        <v>#NAME?</v>
      </c>
      <c r="V2250" s="24" t="e">
        <f ca="1">[1]!BexGetData("DP_1","00O2TNJGODT0G5Z4TTKYMN18L","GSON1112151673")</f>
        <v>#NAME?</v>
      </c>
      <c r="W2250" s="24" t="e">
        <f ca="1">[1]!BexGetData("DP_1","00O2TNJGODT0G5Z4TTKYMN7K5","GSON1112151673")</f>
        <v>#NAME?</v>
      </c>
    </row>
    <row r="2251" spans="1:23" x14ac:dyDescent="0.2">
      <c r="A2251" s="36" t="s">
        <v>5470</v>
      </c>
      <c r="B2251" s="27" t="s">
        <v>5471</v>
      </c>
      <c r="C2251" s="23" t="e">
        <f ca="1">[1]!BexGetData("DP_1","003N8EMH8GTFRCSWKMPXRR8GU","GSON1112151674")</f>
        <v>#NAME?</v>
      </c>
      <c r="D2251" s="23" t="e">
        <f ca="1">[1]!BexGetData("DP_1","003N8EMH8GTFRCSWKMPXRRESE","GSON1112151674")</f>
        <v>#NAME?</v>
      </c>
      <c r="E2251" s="28" t="e">
        <f ca="1">[1]!BexGetData("DP_1","003N8EMH8GTFRCSWKMPXRRL3Y","GSON1112151674")</f>
        <v>#NAME?</v>
      </c>
      <c r="F2251" s="24" t="e">
        <f ca="1">[1]!BexGetData("DP_1","003N8EMH8GTFRCSWKMPXRRRFI","GSON1112151674")</f>
        <v>#NAME?</v>
      </c>
      <c r="G2251" s="24" t="e">
        <f ca="1">[1]!BexGetData("DP_1","003N8EMH8GTFRCSWKMPXRRXR2","GSON1112151674")</f>
        <v>#NAME?</v>
      </c>
      <c r="H2251" s="24" t="e">
        <f ca="1">[1]!BexGetData("DP_1","003N8EMH8GTFRCSWKMPXRS42M","GSON1112151674")</f>
        <v>#NAME?</v>
      </c>
      <c r="I2251" s="24" t="e">
        <f ca="1">[1]!BexGetData("DP_1","003N8EMH8GTFRCSWKMPXRSAE6","GSON1112151674")</f>
        <v>#NAME?</v>
      </c>
      <c r="J2251" s="24" t="e">
        <f ca="1">[1]!BexGetData("DP_1","003N8EMH8GTFRCSWKMPXRSGPQ","GSON1112151674")</f>
        <v>#NAME?</v>
      </c>
      <c r="K2251" s="28" t="e">
        <f ca="1">[1]!BexGetData("DP_1","003N8EMH8GTFRIVNUPY288VJH","GSON1112151674")</f>
        <v>#NAME?</v>
      </c>
      <c r="L2251" s="28" t="e">
        <f ca="1">[1]!BexGetData("DP_1","003N8EMH8GTFRIVNUPY2891V1","GSON1112151674")</f>
        <v>#NAME?</v>
      </c>
      <c r="M2251" s="28" t="e">
        <f ca="1">[1]!BexGetData("DP_1","003N8EMH8GTFRIVOG7KG9IQXA","GSON1112151674")</f>
        <v>#NAME?</v>
      </c>
      <c r="N2251" s="28" t="e">
        <f ca="1">[1]!BexGetData("DP_1","003N8EMH8GTFRIVOG7KG9IX8U","GSON1112151674")</f>
        <v>#NAME?</v>
      </c>
      <c r="O2251" s="28" t="e">
        <f ca="1">[1]!BexGetData("DP_1","003N8EMH8GTFRIVOG7KG9J3KE","GSON1112151674")</f>
        <v>#NAME?</v>
      </c>
      <c r="P2251" s="28" t="e">
        <f ca="1">[1]!BexGetData("DP_1","003N8EMH8GTFRIVOG7KG9J9VY","GSON1112151674")</f>
        <v>#NAME?</v>
      </c>
      <c r="Q2251" s="24" t="e">
        <f ca="1">[1]!BexGetData("DP_1","00O2TNJGODT0G5Z4TTKYMM5MT","GSON1112151674")</f>
        <v>#NAME?</v>
      </c>
      <c r="R2251" s="24" t="e">
        <f ca="1">[1]!BexGetData("DP_1","00O2TNJGODT0G5Z4TTKYMMBYD","GSON1112151674")</f>
        <v>#NAME?</v>
      </c>
      <c r="S2251" s="24" t="e">
        <f ca="1">[1]!BexGetData("DP_1","00O2TNJGODT0G5Z4TTKYMMI9X","GSON1112151674")</f>
        <v>#NAME?</v>
      </c>
      <c r="T2251" s="24" t="e">
        <f ca="1">[1]!BexGetData("DP_1","00O2TNJGODT0G5Z4TTKYMMOLH","GSON1112151674")</f>
        <v>#NAME?</v>
      </c>
      <c r="U2251" s="24" t="e">
        <f ca="1">[1]!BexGetData("DP_1","00O2TNJGODT0G5Z4TTKYMMUX1","GSON1112151674")</f>
        <v>#NAME?</v>
      </c>
      <c r="V2251" s="24" t="e">
        <f ca="1">[1]!BexGetData("DP_1","00O2TNJGODT0G5Z4TTKYMN18L","GSON1112151674")</f>
        <v>#NAME?</v>
      </c>
      <c r="W2251" s="24" t="e">
        <f ca="1">[1]!BexGetData("DP_1","00O2TNJGODT0G5Z4TTKYMN7K5","GSON1112151674")</f>
        <v>#NAME?</v>
      </c>
    </row>
    <row r="2252" spans="1:23" x14ac:dyDescent="0.2">
      <c r="A2252" s="36" t="s">
        <v>5472</v>
      </c>
      <c r="B2252" s="27" t="s">
        <v>5473</v>
      </c>
      <c r="C2252" s="23" t="e">
        <f ca="1">[1]!BexGetData("DP_1","003N8EMH8GTFRCSWKMPXRR8GU","GSON1112151675")</f>
        <v>#NAME?</v>
      </c>
      <c r="D2252" s="23" t="e">
        <f ca="1">[1]!BexGetData("DP_1","003N8EMH8GTFRCSWKMPXRRESE","GSON1112151675")</f>
        <v>#NAME?</v>
      </c>
      <c r="E2252" s="28" t="e">
        <f ca="1">[1]!BexGetData("DP_1","003N8EMH8GTFRCSWKMPXRRL3Y","GSON1112151675")</f>
        <v>#NAME?</v>
      </c>
      <c r="F2252" s="24" t="e">
        <f ca="1">[1]!BexGetData("DP_1","003N8EMH8GTFRCSWKMPXRRRFI","GSON1112151675")</f>
        <v>#NAME?</v>
      </c>
      <c r="G2252" s="24" t="e">
        <f ca="1">[1]!BexGetData("DP_1","003N8EMH8GTFRCSWKMPXRRXR2","GSON1112151675")</f>
        <v>#NAME?</v>
      </c>
      <c r="H2252" s="24" t="e">
        <f ca="1">[1]!BexGetData("DP_1","003N8EMH8GTFRCSWKMPXRS42M","GSON1112151675")</f>
        <v>#NAME?</v>
      </c>
      <c r="I2252" s="24" t="e">
        <f ca="1">[1]!BexGetData("DP_1","003N8EMH8GTFRCSWKMPXRSAE6","GSON1112151675")</f>
        <v>#NAME?</v>
      </c>
      <c r="J2252" s="24" t="e">
        <f ca="1">[1]!BexGetData("DP_1","003N8EMH8GTFRCSWKMPXRSGPQ","GSON1112151675")</f>
        <v>#NAME?</v>
      </c>
      <c r="K2252" s="28" t="e">
        <f ca="1">[1]!BexGetData("DP_1","003N8EMH8GTFRIVNUPY288VJH","GSON1112151675")</f>
        <v>#NAME?</v>
      </c>
      <c r="L2252" s="28" t="e">
        <f ca="1">[1]!BexGetData("DP_1","003N8EMH8GTFRIVNUPY2891V1","GSON1112151675")</f>
        <v>#NAME?</v>
      </c>
      <c r="M2252" s="28" t="e">
        <f ca="1">[1]!BexGetData("DP_1","003N8EMH8GTFRIVOG7KG9IQXA","GSON1112151675")</f>
        <v>#NAME?</v>
      </c>
      <c r="N2252" s="28" t="e">
        <f ca="1">[1]!BexGetData("DP_1","003N8EMH8GTFRIVOG7KG9IX8U","GSON1112151675")</f>
        <v>#NAME?</v>
      </c>
      <c r="O2252" s="28" t="e">
        <f ca="1">[1]!BexGetData("DP_1","003N8EMH8GTFRIVOG7KG9J3KE","GSON1112151675")</f>
        <v>#NAME?</v>
      </c>
      <c r="P2252" s="28" t="e">
        <f ca="1">[1]!BexGetData("DP_1","003N8EMH8GTFRIVOG7KG9J9VY","GSON1112151675")</f>
        <v>#NAME?</v>
      </c>
      <c r="Q2252" s="24" t="e">
        <f ca="1">[1]!BexGetData("DP_1","00O2TNJGODT0G5Z4TTKYMM5MT","GSON1112151675")</f>
        <v>#NAME?</v>
      </c>
      <c r="R2252" s="24" t="e">
        <f ca="1">[1]!BexGetData("DP_1","00O2TNJGODT0G5Z4TTKYMMBYD","GSON1112151675")</f>
        <v>#NAME?</v>
      </c>
      <c r="S2252" s="24" t="e">
        <f ca="1">[1]!BexGetData("DP_1","00O2TNJGODT0G5Z4TTKYMMI9X","GSON1112151675")</f>
        <v>#NAME?</v>
      </c>
      <c r="T2252" s="24" t="e">
        <f ca="1">[1]!BexGetData("DP_1","00O2TNJGODT0G5Z4TTKYMMOLH","GSON1112151675")</f>
        <v>#NAME?</v>
      </c>
      <c r="U2252" s="24" t="e">
        <f ca="1">[1]!BexGetData("DP_1","00O2TNJGODT0G5Z4TTKYMMUX1","GSON1112151675")</f>
        <v>#NAME?</v>
      </c>
      <c r="V2252" s="24" t="e">
        <f ca="1">[1]!BexGetData("DP_1","00O2TNJGODT0G5Z4TTKYMN18L","GSON1112151675")</f>
        <v>#NAME?</v>
      </c>
      <c r="W2252" s="24" t="e">
        <f ca="1">[1]!BexGetData("DP_1","00O2TNJGODT0G5Z4TTKYMN7K5","GSON1112151675")</f>
        <v>#NAME?</v>
      </c>
    </row>
    <row r="2253" spans="1:23" x14ac:dyDescent="0.2">
      <c r="A2253" s="36" t="s">
        <v>5474</v>
      </c>
      <c r="B2253" s="27" t="s">
        <v>5475</v>
      </c>
      <c r="C2253" s="23" t="e">
        <f ca="1">[1]!BexGetData("DP_1","003N8EMH8GTFRCSWKMPXRR8GU","GSON1112151690")</f>
        <v>#NAME?</v>
      </c>
      <c r="D2253" s="23" t="e">
        <f ca="1">[1]!BexGetData("DP_1","003N8EMH8GTFRCSWKMPXRRESE","GSON1112151690")</f>
        <v>#NAME?</v>
      </c>
      <c r="E2253" s="23" t="e">
        <f ca="1">[1]!BexGetData("DP_1","003N8EMH8GTFRCSWKMPXRRL3Y","GSON1112151690")</f>
        <v>#NAME?</v>
      </c>
      <c r="F2253" s="24" t="e">
        <f ca="1">[1]!BexGetData("DP_1","003N8EMH8GTFRCSWKMPXRRRFI","GSON1112151690")</f>
        <v>#NAME?</v>
      </c>
      <c r="G2253" s="24" t="e">
        <f ca="1">[1]!BexGetData("DP_1","003N8EMH8GTFRCSWKMPXRRXR2","GSON1112151690")</f>
        <v>#NAME?</v>
      </c>
      <c r="H2253" s="24" t="e">
        <f ca="1">[1]!BexGetData("DP_1","003N8EMH8GTFRCSWKMPXRS42M","GSON1112151690")</f>
        <v>#NAME?</v>
      </c>
      <c r="I2253" s="24" t="e">
        <f ca="1">[1]!BexGetData("DP_1","003N8EMH8GTFRCSWKMPXRSAE6","GSON1112151690")</f>
        <v>#NAME?</v>
      </c>
      <c r="J2253" s="24" t="e">
        <f ca="1">[1]!BexGetData("DP_1","003N8EMH8GTFRCSWKMPXRSGPQ","GSON1112151690")</f>
        <v>#NAME?</v>
      </c>
      <c r="K2253" s="23" t="e">
        <f ca="1">[1]!BexGetData("DP_1","003N8EMH8GTFRIVNUPY288VJH","GSON1112151690")</f>
        <v>#NAME?</v>
      </c>
      <c r="L2253" s="23" t="e">
        <f ca="1">[1]!BexGetData("DP_1","003N8EMH8GTFRIVNUPY2891V1","GSON1112151690")</f>
        <v>#NAME?</v>
      </c>
      <c r="M2253" s="28" t="e">
        <f ca="1">[1]!BexGetData("DP_1","003N8EMH8GTFRIVOG7KG9IQXA","GSON1112151690")</f>
        <v>#NAME?</v>
      </c>
      <c r="N2253" s="23" t="e">
        <f ca="1">[1]!BexGetData("DP_1","003N8EMH8GTFRIVOG7KG9IX8U","GSON1112151690")</f>
        <v>#NAME?</v>
      </c>
      <c r="O2253" s="28" t="e">
        <f ca="1">[1]!BexGetData("DP_1","003N8EMH8GTFRIVOG7KG9J3KE","GSON1112151690")</f>
        <v>#NAME?</v>
      </c>
      <c r="P2253" s="23" t="e">
        <f ca="1">[1]!BexGetData("DP_1","003N8EMH8GTFRIVOG7KG9J9VY","GSON1112151690")</f>
        <v>#NAME?</v>
      </c>
      <c r="Q2253" s="24" t="e">
        <f ca="1">[1]!BexGetData("DP_1","00O2TNJGODT0G5Z4TTKYMM5MT","GSON1112151690")</f>
        <v>#NAME?</v>
      </c>
      <c r="R2253" s="24" t="e">
        <f ca="1">[1]!BexGetData("DP_1","00O2TNJGODT0G5Z4TTKYMMBYD","GSON1112151690")</f>
        <v>#NAME?</v>
      </c>
      <c r="S2253" s="24" t="e">
        <f ca="1">[1]!BexGetData("DP_1","00O2TNJGODT0G5Z4TTKYMMI9X","GSON1112151690")</f>
        <v>#NAME?</v>
      </c>
      <c r="T2253" s="24" t="e">
        <f ca="1">[1]!BexGetData("DP_1","00O2TNJGODT0G5Z4TTKYMMOLH","GSON1112151690")</f>
        <v>#NAME?</v>
      </c>
      <c r="U2253" s="24" t="e">
        <f ca="1">[1]!BexGetData("DP_1","00O2TNJGODT0G5Z4TTKYMMUX1","GSON1112151690")</f>
        <v>#NAME?</v>
      </c>
      <c r="V2253" s="24" t="e">
        <f ca="1">[1]!BexGetData("DP_1","00O2TNJGODT0G5Z4TTKYMN18L","GSON1112151690")</f>
        <v>#NAME?</v>
      </c>
      <c r="W2253" s="24" t="e">
        <f ca="1">[1]!BexGetData("DP_1","00O2TNJGODT0G5Z4TTKYMN7K5","GSON1112151690")</f>
        <v>#NAME?</v>
      </c>
    </row>
    <row r="2254" spans="1:23" x14ac:dyDescent="0.2">
      <c r="A2254" s="36" t="s">
        <v>5476</v>
      </c>
      <c r="B2254" s="27" t="s">
        <v>5477</v>
      </c>
      <c r="C2254" s="23" t="e">
        <f ca="1">[1]!BexGetData("DP_1","003N8EMH8GTFRCSWKMPXRR8GU","GSON1112151691")</f>
        <v>#NAME?</v>
      </c>
      <c r="D2254" s="23" t="e">
        <f ca="1">[1]!BexGetData("DP_1","003N8EMH8GTFRCSWKMPXRRESE","GSON1112151691")</f>
        <v>#NAME?</v>
      </c>
      <c r="E2254" s="28" t="e">
        <f ca="1">[1]!BexGetData("DP_1","003N8EMH8GTFRCSWKMPXRRL3Y","GSON1112151691")</f>
        <v>#NAME?</v>
      </c>
      <c r="F2254" s="24" t="e">
        <f ca="1">[1]!BexGetData("DP_1","003N8EMH8GTFRCSWKMPXRRRFI","GSON1112151691")</f>
        <v>#NAME?</v>
      </c>
      <c r="G2254" s="24" t="e">
        <f ca="1">[1]!BexGetData("DP_1","003N8EMH8GTFRCSWKMPXRRXR2","GSON1112151691")</f>
        <v>#NAME?</v>
      </c>
      <c r="H2254" s="24" t="e">
        <f ca="1">[1]!BexGetData("DP_1","003N8EMH8GTFRCSWKMPXRS42M","GSON1112151691")</f>
        <v>#NAME?</v>
      </c>
      <c r="I2254" s="24" t="e">
        <f ca="1">[1]!BexGetData("DP_1","003N8EMH8GTFRCSWKMPXRSAE6","GSON1112151691")</f>
        <v>#NAME?</v>
      </c>
      <c r="J2254" s="24" t="e">
        <f ca="1">[1]!BexGetData("DP_1","003N8EMH8GTFRCSWKMPXRSGPQ","GSON1112151691")</f>
        <v>#NAME?</v>
      </c>
      <c r="K2254" s="28" t="e">
        <f ca="1">[1]!BexGetData("DP_1","003N8EMH8GTFRIVNUPY288VJH","GSON1112151691")</f>
        <v>#NAME?</v>
      </c>
      <c r="L2254" s="28" t="e">
        <f ca="1">[1]!BexGetData("DP_1","003N8EMH8GTFRIVNUPY2891V1","GSON1112151691")</f>
        <v>#NAME?</v>
      </c>
      <c r="M2254" s="28" t="e">
        <f ca="1">[1]!BexGetData("DP_1","003N8EMH8GTFRIVOG7KG9IQXA","GSON1112151691")</f>
        <v>#NAME?</v>
      </c>
      <c r="N2254" s="28" t="e">
        <f ca="1">[1]!BexGetData("DP_1","003N8EMH8GTFRIVOG7KG9IX8U","GSON1112151691")</f>
        <v>#NAME?</v>
      </c>
      <c r="O2254" s="28" t="e">
        <f ca="1">[1]!BexGetData("DP_1","003N8EMH8GTFRIVOG7KG9J3KE","GSON1112151691")</f>
        <v>#NAME?</v>
      </c>
      <c r="P2254" s="28" t="e">
        <f ca="1">[1]!BexGetData("DP_1","003N8EMH8GTFRIVOG7KG9J9VY","GSON1112151691")</f>
        <v>#NAME?</v>
      </c>
      <c r="Q2254" s="24" t="e">
        <f ca="1">[1]!BexGetData("DP_1","00O2TNJGODT0G5Z4TTKYMM5MT","GSON1112151691")</f>
        <v>#NAME?</v>
      </c>
      <c r="R2254" s="24" t="e">
        <f ca="1">[1]!BexGetData("DP_1","00O2TNJGODT0G5Z4TTKYMMBYD","GSON1112151691")</f>
        <v>#NAME?</v>
      </c>
      <c r="S2254" s="24" t="e">
        <f ca="1">[1]!BexGetData("DP_1","00O2TNJGODT0G5Z4TTKYMMI9X","GSON1112151691")</f>
        <v>#NAME?</v>
      </c>
      <c r="T2254" s="24" t="e">
        <f ca="1">[1]!BexGetData("DP_1","00O2TNJGODT0G5Z4TTKYMMOLH","GSON1112151691")</f>
        <v>#NAME?</v>
      </c>
      <c r="U2254" s="24" t="e">
        <f ca="1">[1]!BexGetData("DP_1","00O2TNJGODT0G5Z4TTKYMMUX1","GSON1112151691")</f>
        <v>#NAME?</v>
      </c>
      <c r="V2254" s="24" t="e">
        <f ca="1">[1]!BexGetData("DP_1","00O2TNJGODT0G5Z4TTKYMN18L","GSON1112151691")</f>
        <v>#NAME?</v>
      </c>
      <c r="W2254" s="24" t="e">
        <f ca="1">[1]!BexGetData("DP_1","00O2TNJGODT0G5Z4TTKYMN7K5","GSON1112151691")</f>
        <v>#NAME?</v>
      </c>
    </row>
    <row r="2255" spans="1:23" x14ac:dyDescent="0.2">
      <c r="A2255" s="36" t="s">
        <v>5478</v>
      </c>
      <c r="B2255" s="27" t="s">
        <v>5479</v>
      </c>
      <c r="C2255" s="23" t="e">
        <f ca="1">[1]!BexGetData("DP_1","003N8EMH8GTFRCSWKMPXRR8GU","GSON1112151693")</f>
        <v>#NAME?</v>
      </c>
      <c r="D2255" s="23" t="e">
        <f ca="1">[1]!BexGetData("DP_1","003N8EMH8GTFRCSWKMPXRRESE","GSON1112151693")</f>
        <v>#NAME?</v>
      </c>
      <c r="E2255" s="28" t="e">
        <f ca="1">[1]!BexGetData("DP_1","003N8EMH8GTFRCSWKMPXRRL3Y","GSON1112151693")</f>
        <v>#NAME?</v>
      </c>
      <c r="F2255" s="24" t="e">
        <f ca="1">[1]!BexGetData("DP_1","003N8EMH8GTFRCSWKMPXRRRFI","GSON1112151693")</f>
        <v>#NAME?</v>
      </c>
      <c r="G2255" s="24" t="e">
        <f ca="1">[1]!BexGetData("DP_1","003N8EMH8GTFRCSWKMPXRRXR2","GSON1112151693")</f>
        <v>#NAME?</v>
      </c>
      <c r="H2255" s="24" t="e">
        <f ca="1">[1]!BexGetData("DP_1","003N8EMH8GTFRCSWKMPXRS42M","GSON1112151693")</f>
        <v>#NAME?</v>
      </c>
      <c r="I2255" s="24" t="e">
        <f ca="1">[1]!BexGetData("DP_1","003N8EMH8GTFRCSWKMPXRSAE6","GSON1112151693")</f>
        <v>#NAME?</v>
      </c>
      <c r="J2255" s="24" t="e">
        <f ca="1">[1]!BexGetData("DP_1","003N8EMH8GTFRCSWKMPXRSGPQ","GSON1112151693")</f>
        <v>#NAME?</v>
      </c>
      <c r="K2255" s="28" t="e">
        <f ca="1">[1]!BexGetData("DP_1","003N8EMH8GTFRIVNUPY288VJH","GSON1112151693")</f>
        <v>#NAME?</v>
      </c>
      <c r="L2255" s="28" t="e">
        <f ca="1">[1]!BexGetData("DP_1","003N8EMH8GTFRIVNUPY2891V1","GSON1112151693")</f>
        <v>#NAME?</v>
      </c>
      <c r="M2255" s="28" t="e">
        <f ca="1">[1]!BexGetData("DP_1","003N8EMH8GTFRIVOG7KG9IQXA","GSON1112151693")</f>
        <v>#NAME?</v>
      </c>
      <c r="N2255" s="28" t="e">
        <f ca="1">[1]!BexGetData("DP_1","003N8EMH8GTFRIVOG7KG9IX8U","GSON1112151693")</f>
        <v>#NAME?</v>
      </c>
      <c r="O2255" s="28" t="e">
        <f ca="1">[1]!BexGetData("DP_1","003N8EMH8GTFRIVOG7KG9J3KE","GSON1112151693")</f>
        <v>#NAME?</v>
      </c>
      <c r="P2255" s="28" t="e">
        <f ca="1">[1]!BexGetData("DP_1","003N8EMH8GTFRIVOG7KG9J9VY","GSON1112151693")</f>
        <v>#NAME?</v>
      </c>
      <c r="Q2255" s="24" t="e">
        <f ca="1">[1]!BexGetData("DP_1","00O2TNJGODT0G5Z4TTKYMM5MT","GSON1112151693")</f>
        <v>#NAME?</v>
      </c>
      <c r="R2255" s="24" t="e">
        <f ca="1">[1]!BexGetData("DP_1","00O2TNJGODT0G5Z4TTKYMMBYD","GSON1112151693")</f>
        <v>#NAME?</v>
      </c>
      <c r="S2255" s="24" t="e">
        <f ca="1">[1]!BexGetData("DP_1","00O2TNJGODT0G5Z4TTKYMMI9X","GSON1112151693")</f>
        <v>#NAME?</v>
      </c>
      <c r="T2255" s="24" t="e">
        <f ca="1">[1]!BexGetData("DP_1","00O2TNJGODT0G5Z4TTKYMMOLH","GSON1112151693")</f>
        <v>#NAME?</v>
      </c>
      <c r="U2255" s="24" t="e">
        <f ca="1">[1]!BexGetData("DP_1","00O2TNJGODT0G5Z4TTKYMMUX1","GSON1112151693")</f>
        <v>#NAME?</v>
      </c>
      <c r="V2255" s="24" t="e">
        <f ca="1">[1]!BexGetData("DP_1","00O2TNJGODT0G5Z4TTKYMN18L","GSON1112151693")</f>
        <v>#NAME?</v>
      </c>
      <c r="W2255" s="24" t="e">
        <f ca="1">[1]!BexGetData("DP_1","00O2TNJGODT0G5Z4TTKYMN7K5","GSON1112151693")</f>
        <v>#NAME?</v>
      </c>
    </row>
    <row r="2256" spans="1:23" x14ac:dyDescent="0.2">
      <c r="A2256" s="36" t="s">
        <v>5480</v>
      </c>
      <c r="B2256" s="27" t="s">
        <v>5481</v>
      </c>
      <c r="C2256" s="23" t="e">
        <f ca="1">[1]!BexGetData("DP_1","003N8EMH8GTFRCSWKMPXRR8GU","GSON1112151694")</f>
        <v>#NAME?</v>
      </c>
      <c r="D2256" s="23" t="e">
        <f ca="1">[1]!BexGetData("DP_1","003N8EMH8GTFRCSWKMPXRRESE","GSON1112151694")</f>
        <v>#NAME?</v>
      </c>
      <c r="E2256" s="28" t="e">
        <f ca="1">[1]!BexGetData("DP_1","003N8EMH8GTFRCSWKMPXRRL3Y","GSON1112151694")</f>
        <v>#NAME?</v>
      </c>
      <c r="F2256" s="24" t="e">
        <f ca="1">[1]!BexGetData("DP_1","003N8EMH8GTFRCSWKMPXRRRFI","GSON1112151694")</f>
        <v>#NAME?</v>
      </c>
      <c r="G2256" s="24" t="e">
        <f ca="1">[1]!BexGetData("DP_1","003N8EMH8GTFRCSWKMPXRRXR2","GSON1112151694")</f>
        <v>#NAME?</v>
      </c>
      <c r="H2256" s="24" t="e">
        <f ca="1">[1]!BexGetData("DP_1","003N8EMH8GTFRCSWKMPXRS42M","GSON1112151694")</f>
        <v>#NAME?</v>
      </c>
      <c r="I2256" s="24" t="e">
        <f ca="1">[1]!BexGetData("DP_1","003N8EMH8GTFRCSWKMPXRSAE6","GSON1112151694")</f>
        <v>#NAME?</v>
      </c>
      <c r="J2256" s="24" t="e">
        <f ca="1">[1]!BexGetData("DP_1","003N8EMH8GTFRCSWKMPXRSGPQ","GSON1112151694")</f>
        <v>#NAME?</v>
      </c>
      <c r="K2256" s="28" t="e">
        <f ca="1">[1]!BexGetData("DP_1","003N8EMH8GTFRIVNUPY288VJH","GSON1112151694")</f>
        <v>#NAME?</v>
      </c>
      <c r="L2256" s="28" t="e">
        <f ca="1">[1]!BexGetData("DP_1","003N8EMH8GTFRIVNUPY2891V1","GSON1112151694")</f>
        <v>#NAME?</v>
      </c>
      <c r="M2256" s="28" t="e">
        <f ca="1">[1]!BexGetData("DP_1","003N8EMH8GTFRIVOG7KG9IQXA","GSON1112151694")</f>
        <v>#NAME?</v>
      </c>
      <c r="N2256" s="28" t="e">
        <f ca="1">[1]!BexGetData("DP_1","003N8EMH8GTFRIVOG7KG9IX8U","GSON1112151694")</f>
        <v>#NAME?</v>
      </c>
      <c r="O2256" s="28" t="e">
        <f ca="1">[1]!BexGetData("DP_1","003N8EMH8GTFRIVOG7KG9J3KE","GSON1112151694")</f>
        <v>#NAME?</v>
      </c>
      <c r="P2256" s="28" t="e">
        <f ca="1">[1]!BexGetData("DP_1","003N8EMH8GTFRIVOG7KG9J9VY","GSON1112151694")</f>
        <v>#NAME?</v>
      </c>
      <c r="Q2256" s="24" t="e">
        <f ca="1">[1]!BexGetData("DP_1","00O2TNJGODT0G5Z4TTKYMM5MT","GSON1112151694")</f>
        <v>#NAME?</v>
      </c>
      <c r="R2256" s="24" t="e">
        <f ca="1">[1]!BexGetData("DP_1","00O2TNJGODT0G5Z4TTKYMMBYD","GSON1112151694")</f>
        <v>#NAME?</v>
      </c>
      <c r="S2256" s="24" t="e">
        <f ca="1">[1]!BexGetData("DP_1","00O2TNJGODT0G5Z4TTKYMMI9X","GSON1112151694")</f>
        <v>#NAME?</v>
      </c>
      <c r="T2256" s="24" t="e">
        <f ca="1">[1]!BexGetData("DP_1","00O2TNJGODT0G5Z4TTKYMMOLH","GSON1112151694")</f>
        <v>#NAME?</v>
      </c>
      <c r="U2256" s="24" t="e">
        <f ca="1">[1]!BexGetData("DP_1","00O2TNJGODT0G5Z4TTKYMMUX1","GSON1112151694")</f>
        <v>#NAME?</v>
      </c>
      <c r="V2256" s="24" t="e">
        <f ca="1">[1]!BexGetData("DP_1","00O2TNJGODT0G5Z4TTKYMN18L","GSON1112151694")</f>
        <v>#NAME?</v>
      </c>
      <c r="W2256" s="24" t="e">
        <f ca="1">[1]!BexGetData("DP_1","00O2TNJGODT0G5Z4TTKYMN7K5","GSON1112151694")</f>
        <v>#NAME?</v>
      </c>
    </row>
    <row r="2257" spans="1:23" x14ac:dyDescent="0.2">
      <c r="A2257" s="36" t="s">
        <v>5482</v>
      </c>
      <c r="B2257" s="27" t="s">
        <v>5483</v>
      </c>
      <c r="C2257" s="23" t="e">
        <f ca="1">[1]!BexGetData("DP_1","003N8EMH8GTFRCSWKMPXRR8GU","GSON1112151695")</f>
        <v>#NAME?</v>
      </c>
      <c r="D2257" s="23" t="e">
        <f ca="1">[1]!BexGetData("DP_1","003N8EMH8GTFRCSWKMPXRRESE","GSON1112151695")</f>
        <v>#NAME?</v>
      </c>
      <c r="E2257" s="28" t="e">
        <f ca="1">[1]!BexGetData("DP_1","003N8EMH8GTFRCSWKMPXRRL3Y","GSON1112151695")</f>
        <v>#NAME?</v>
      </c>
      <c r="F2257" s="24" t="e">
        <f ca="1">[1]!BexGetData("DP_1","003N8EMH8GTFRCSWKMPXRRRFI","GSON1112151695")</f>
        <v>#NAME?</v>
      </c>
      <c r="G2257" s="24" t="e">
        <f ca="1">[1]!BexGetData("DP_1","003N8EMH8GTFRCSWKMPXRRXR2","GSON1112151695")</f>
        <v>#NAME?</v>
      </c>
      <c r="H2257" s="24" t="e">
        <f ca="1">[1]!BexGetData("DP_1","003N8EMH8GTFRCSWKMPXRS42M","GSON1112151695")</f>
        <v>#NAME?</v>
      </c>
      <c r="I2257" s="24" t="e">
        <f ca="1">[1]!BexGetData("DP_1","003N8EMH8GTFRCSWKMPXRSAE6","GSON1112151695")</f>
        <v>#NAME?</v>
      </c>
      <c r="J2257" s="24" t="e">
        <f ca="1">[1]!BexGetData("DP_1","003N8EMH8GTFRCSWKMPXRSGPQ","GSON1112151695")</f>
        <v>#NAME?</v>
      </c>
      <c r="K2257" s="28" t="e">
        <f ca="1">[1]!BexGetData("DP_1","003N8EMH8GTFRIVNUPY288VJH","GSON1112151695")</f>
        <v>#NAME?</v>
      </c>
      <c r="L2257" s="28" t="e">
        <f ca="1">[1]!BexGetData("DP_1","003N8EMH8GTFRIVNUPY2891V1","GSON1112151695")</f>
        <v>#NAME?</v>
      </c>
      <c r="M2257" s="28" t="e">
        <f ca="1">[1]!BexGetData("DP_1","003N8EMH8GTFRIVOG7KG9IQXA","GSON1112151695")</f>
        <v>#NAME?</v>
      </c>
      <c r="N2257" s="28" t="e">
        <f ca="1">[1]!BexGetData("DP_1","003N8EMH8GTFRIVOG7KG9IX8U","GSON1112151695")</f>
        <v>#NAME?</v>
      </c>
      <c r="O2257" s="28" t="e">
        <f ca="1">[1]!BexGetData("DP_1","003N8EMH8GTFRIVOG7KG9J3KE","GSON1112151695")</f>
        <v>#NAME?</v>
      </c>
      <c r="P2257" s="28" t="e">
        <f ca="1">[1]!BexGetData("DP_1","003N8EMH8GTFRIVOG7KG9J9VY","GSON1112151695")</f>
        <v>#NAME?</v>
      </c>
      <c r="Q2257" s="24" t="e">
        <f ca="1">[1]!BexGetData("DP_1","00O2TNJGODT0G5Z4TTKYMM5MT","GSON1112151695")</f>
        <v>#NAME?</v>
      </c>
      <c r="R2257" s="24" t="e">
        <f ca="1">[1]!BexGetData("DP_1","00O2TNJGODT0G5Z4TTKYMMBYD","GSON1112151695")</f>
        <v>#NAME?</v>
      </c>
      <c r="S2257" s="24" t="e">
        <f ca="1">[1]!BexGetData("DP_1","00O2TNJGODT0G5Z4TTKYMMI9X","GSON1112151695")</f>
        <v>#NAME?</v>
      </c>
      <c r="T2257" s="24" t="e">
        <f ca="1">[1]!BexGetData("DP_1","00O2TNJGODT0G5Z4TTKYMMOLH","GSON1112151695")</f>
        <v>#NAME?</v>
      </c>
      <c r="U2257" s="24" t="e">
        <f ca="1">[1]!BexGetData("DP_1","00O2TNJGODT0G5Z4TTKYMMUX1","GSON1112151695")</f>
        <v>#NAME?</v>
      </c>
      <c r="V2257" s="24" t="e">
        <f ca="1">[1]!BexGetData("DP_1","00O2TNJGODT0G5Z4TTKYMN18L","GSON1112151695")</f>
        <v>#NAME?</v>
      </c>
      <c r="W2257" s="24" t="e">
        <f ca="1">[1]!BexGetData("DP_1","00O2TNJGODT0G5Z4TTKYMN7K5","GSON1112151695")</f>
        <v>#NAME?</v>
      </c>
    </row>
    <row r="2258" spans="1:23" x14ac:dyDescent="0.2">
      <c r="A2258" s="36" t="s">
        <v>5484</v>
      </c>
      <c r="B2258" s="27" t="s">
        <v>5485</v>
      </c>
      <c r="C2258" s="23" t="e">
        <f ca="1">[1]!BexGetData("DP_1","003N8EMH8GTFRCSWKMPXRR8GU","GSON1112151700")</f>
        <v>#NAME?</v>
      </c>
      <c r="D2258" s="23" t="e">
        <f ca="1">[1]!BexGetData("DP_1","003N8EMH8GTFRCSWKMPXRRESE","GSON1112151700")</f>
        <v>#NAME?</v>
      </c>
      <c r="E2258" s="23" t="e">
        <f ca="1">[1]!BexGetData("DP_1","003N8EMH8GTFRCSWKMPXRRL3Y","GSON1112151700")</f>
        <v>#NAME?</v>
      </c>
      <c r="F2258" s="24" t="e">
        <f ca="1">[1]!BexGetData("DP_1","003N8EMH8GTFRCSWKMPXRRRFI","GSON1112151700")</f>
        <v>#NAME?</v>
      </c>
      <c r="G2258" s="24" t="e">
        <f ca="1">[1]!BexGetData("DP_1","003N8EMH8GTFRCSWKMPXRRXR2","GSON1112151700")</f>
        <v>#NAME?</v>
      </c>
      <c r="H2258" s="24" t="e">
        <f ca="1">[1]!BexGetData("DP_1","003N8EMH8GTFRCSWKMPXRS42M","GSON1112151700")</f>
        <v>#NAME?</v>
      </c>
      <c r="I2258" s="24" t="e">
        <f ca="1">[1]!BexGetData("DP_1","003N8EMH8GTFRCSWKMPXRSAE6","GSON1112151700")</f>
        <v>#NAME?</v>
      </c>
      <c r="J2258" s="24" t="e">
        <f ca="1">[1]!BexGetData("DP_1","003N8EMH8GTFRCSWKMPXRSGPQ","GSON1112151700")</f>
        <v>#NAME?</v>
      </c>
      <c r="K2258" s="23" t="e">
        <f ca="1">[1]!BexGetData("DP_1","003N8EMH8GTFRIVNUPY288VJH","GSON1112151700")</f>
        <v>#NAME?</v>
      </c>
      <c r="L2258" s="23" t="e">
        <f ca="1">[1]!BexGetData("DP_1","003N8EMH8GTFRIVNUPY2891V1","GSON1112151700")</f>
        <v>#NAME?</v>
      </c>
      <c r="M2258" s="28" t="e">
        <f ca="1">[1]!BexGetData("DP_1","003N8EMH8GTFRIVOG7KG9IQXA","GSON1112151700")</f>
        <v>#NAME?</v>
      </c>
      <c r="N2258" s="23" t="e">
        <f ca="1">[1]!BexGetData("DP_1","003N8EMH8GTFRIVOG7KG9IX8U","GSON1112151700")</f>
        <v>#NAME?</v>
      </c>
      <c r="O2258" s="28" t="e">
        <f ca="1">[1]!BexGetData("DP_1","003N8EMH8GTFRIVOG7KG9J3KE","GSON1112151700")</f>
        <v>#NAME?</v>
      </c>
      <c r="P2258" s="23" t="e">
        <f ca="1">[1]!BexGetData("DP_1","003N8EMH8GTFRIVOG7KG9J9VY","GSON1112151700")</f>
        <v>#NAME?</v>
      </c>
      <c r="Q2258" s="24" t="e">
        <f ca="1">[1]!BexGetData("DP_1","00O2TNJGODT0G5Z4TTKYMM5MT","GSON1112151700")</f>
        <v>#NAME?</v>
      </c>
      <c r="R2258" s="24" t="e">
        <f ca="1">[1]!BexGetData("DP_1","00O2TNJGODT0G5Z4TTKYMMBYD","GSON1112151700")</f>
        <v>#NAME?</v>
      </c>
      <c r="S2258" s="24" t="e">
        <f ca="1">[1]!BexGetData("DP_1","00O2TNJGODT0G5Z4TTKYMMI9X","GSON1112151700")</f>
        <v>#NAME?</v>
      </c>
      <c r="T2258" s="24" t="e">
        <f ca="1">[1]!BexGetData("DP_1","00O2TNJGODT0G5Z4TTKYMMOLH","GSON1112151700")</f>
        <v>#NAME?</v>
      </c>
      <c r="U2258" s="24" t="e">
        <f ca="1">[1]!BexGetData("DP_1","00O2TNJGODT0G5Z4TTKYMMUX1","GSON1112151700")</f>
        <v>#NAME?</v>
      </c>
      <c r="V2258" s="24" t="e">
        <f ca="1">[1]!BexGetData("DP_1","00O2TNJGODT0G5Z4TTKYMN18L","GSON1112151700")</f>
        <v>#NAME?</v>
      </c>
      <c r="W2258" s="24" t="e">
        <f ca="1">[1]!BexGetData("DP_1","00O2TNJGODT0G5Z4TTKYMN7K5","GSON1112151700")</f>
        <v>#NAME?</v>
      </c>
    </row>
    <row r="2259" spans="1:23" x14ac:dyDescent="0.2">
      <c r="A2259" s="36" t="s">
        <v>5486</v>
      </c>
      <c r="B2259" s="27" t="s">
        <v>5487</v>
      </c>
      <c r="C2259" s="23" t="e">
        <f ca="1">[1]!BexGetData("DP_1","003N8EMH8GTFRCSWKMPXRR8GU","GSON1112151701")</f>
        <v>#NAME?</v>
      </c>
      <c r="D2259" s="23" t="e">
        <f ca="1">[1]!BexGetData("DP_1","003N8EMH8GTFRCSWKMPXRRESE","GSON1112151701")</f>
        <v>#NAME?</v>
      </c>
      <c r="E2259" s="28" t="e">
        <f ca="1">[1]!BexGetData("DP_1","003N8EMH8GTFRCSWKMPXRRL3Y","GSON1112151701")</f>
        <v>#NAME?</v>
      </c>
      <c r="F2259" s="24" t="e">
        <f ca="1">[1]!BexGetData("DP_1","003N8EMH8GTFRCSWKMPXRRRFI","GSON1112151701")</f>
        <v>#NAME?</v>
      </c>
      <c r="G2259" s="24" t="e">
        <f ca="1">[1]!BexGetData("DP_1","003N8EMH8GTFRCSWKMPXRRXR2","GSON1112151701")</f>
        <v>#NAME?</v>
      </c>
      <c r="H2259" s="24" t="e">
        <f ca="1">[1]!BexGetData("DP_1","003N8EMH8GTFRCSWKMPXRS42M","GSON1112151701")</f>
        <v>#NAME?</v>
      </c>
      <c r="I2259" s="24" t="e">
        <f ca="1">[1]!BexGetData("DP_1","003N8EMH8GTFRCSWKMPXRSAE6","GSON1112151701")</f>
        <v>#NAME?</v>
      </c>
      <c r="J2259" s="24" t="e">
        <f ca="1">[1]!BexGetData("DP_1","003N8EMH8GTFRCSWKMPXRSGPQ","GSON1112151701")</f>
        <v>#NAME?</v>
      </c>
      <c r="K2259" s="28" t="e">
        <f ca="1">[1]!BexGetData("DP_1","003N8EMH8GTFRIVNUPY288VJH","GSON1112151701")</f>
        <v>#NAME?</v>
      </c>
      <c r="L2259" s="28" t="e">
        <f ca="1">[1]!BexGetData("DP_1","003N8EMH8GTFRIVNUPY2891V1","GSON1112151701")</f>
        <v>#NAME?</v>
      </c>
      <c r="M2259" s="28" t="e">
        <f ca="1">[1]!BexGetData("DP_1","003N8EMH8GTFRIVOG7KG9IQXA","GSON1112151701")</f>
        <v>#NAME?</v>
      </c>
      <c r="N2259" s="28" t="e">
        <f ca="1">[1]!BexGetData("DP_1","003N8EMH8GTFRIVOG7KG9IX8U","GSON1112151701")</f>
        <v>#NAME?</v>
      </c>
      <c r="O2259" s="28" t="e">
        <f ca="1">[1]!BexGetData("DP_1","003N8EMH8GTFRIVOG7KG9J3KE","GSON1112151701")</f>
        <v>#NAME?</v>
      </c>
      <c r="P2259" s="28" t="e">
        <f ca="1">[1]!BexGetData("DP_1","003N8EMH8GTFRIVOG7KG9J9VY","GSON1112151701")</f>
        <v>#NAME?</v>
      </c>
      <c r="Q2259" s="24" t="e">
        <f ca="1">[1]!BexGetData("DP_1","00O2TNJGODT0G5Z4TTKYMM5MT","GSON1112151701")</f>
        <v>#NAME?</v>
      </c>
      <c r="R2259" s="24" t="e">
        <f ca="1">[1]!BexGetData("DP_1","00O2TNJGODT0G5Z4TTKYMMBYD","GSON1112151701")</f>
        <v>#NAME?</v>
      </c>
      <c r="S2259" s="24" t="e">
        <f ca="1">[1]!BexGetData("DP_1","00O2TNJGODT0G5Z4TTKYMMI9X","GSON1112151701")</f>
        <v>#NAME?</v>
      </c>
      <c r="T2259" s="24" t="e">
        <f ca="1">[1]!BexGetData("DP_1","00O2TNJGODT0G5Z4TTKYMMOLH","GSON1112151701")</f>
        <v>#NAME?</v>
      </c>
      <c r="U2259" s="24" t="e">
        <f ca="1">[1]!BexGetData("DP_1","00O2TNJGODT0G5Z4TTKYMMUX1","GSON1112151701")</f>
        <v>#NAME?</v>
      </c>
      <c r="V2259" s="24" t="e">
        <f ca="1">[1]!BexGetData("DP_1","00O2TNJGODT0G5Z4TTKYMN18L","GSON1112151701")</f>
        <v>#NAME?</v>
      </c>
      <c r="W2259" s="24" t="e">
        <f ca="1">[1]!BexGetData("DP_1","00O2TNJGODT0G5Z4TTKYMN7K5","GSON1112151701")</f>
        <v>#NAME?</v>
      </c>
    </row>
    <row r="2260" spans="1:23" x14ac:dyDescent="0.2">
      <c r="A2260" s="36" t="s">
        <v>5488</v>
      </c>
      <c r="B2260" s="27" t="s">
        <v>5489</v>
      </c>
      <c r="C2260" s="23" t="e">
        <f ca="1">[1]!BexGetData("DP_1","003N8EMH8GTFRCSWKMPXRR8GU","GSON1112151703")</f>
        <v>#NAME?</v>
      </c>
      <c r="D2260" s="23" t="e">
        <f ca="1">[1]!BexGetData("DP_1","003N8EMH8GTFRCSWKMPXRRESE","GSON1112151703")</f>
        <v>#NAME?</v>
      </c>
      <c r="E2260" s="28" t="e">
        <f ca="1">[1]!BexGetData("DP_1","003N8EMH8GTFRCSWKMPXRRL3Y","GSON1112151703")</f>
        <v>#NAME?</v>
      </c>
      <c r="F2260" s="24" t="e">
        <f ca="1">[1]!BexGetData("DP_1","003N8EMH8GTFRCSWKMPXRRRFI","GSON1112151703")</f>
        <v>#NAME?</v>
      </c>
      <c r="G2260" s="24" t="e">
        <f ca="1">[1]!BexGetData("DP_1","003N8EMH8GTFRCSWKMPXRRXR2","GSON1112151703")</f>
        <v>#NAME?</v>
      </c>
      <c r="H2260" s="24" t="e">
        <f ca="1">[1]!BexGetData("DP_1","003N8EMH8GTFRCSWKMPXRS42M","GSON1112151703")</f>
        <v>#NAME?</v>
      </c>
      <c r="I2260" s="24" t="e">
        <f ca="1">[1]!BexGetData("DP_1","003N8EMH8GTFRCSWKMPXRSAE6","GSON1112151703")</f>
        <v>#NAME?</v>
      </c>
      <c r="J2260" s="24" t="e">
        <f ca="1">[1]!BexGetData("DP_1","003N8EMH8GTFRCSWKMPXRSGPQ","GSON1112151703")</f>
        <v>#NAME?</v>
      </c>
      <c r="K2260" s="28" t="e">
        <f ca="1">[1]!BexGetData("DP_1","003N8EMH8GTFRIVNUPY288VJH","GSON1112151703")</f>
        <v>#NAME?</v>
      </c>
      <c r="L2260" s="28" t="e">
        <f ca="1">[1]!BexGetData("DP_1","003N8EMH8GTFRIVNUPY2891V1","GSON1112151703")</f>
        <v>#NAME?</v>
      </c>
      <c r="M2260" s="28" t="e">
        <f ca="1">[1]!BexGetData("DP_1","003N8EMH8GTFRIVOG7KG9IQXA","GSON1112151703")</f>
        <v>#NAME?</v>
      </c>
      <c r="N2260" s="28" t="e">
        <f ca="1">[1]!BexGetData("DP_1","003N8EMH8GTFRIVOG7KG9IX8U","GSON1112151703")</f>
        <v>#NAME?</v>
      </c>
      <c r="O2260" s="28" t="e">
        <f ca="1">[1]!BexGetData("DP_1","003N8EMH8GTFRIVOG7KG9J3KE","GSON1112151703")</f>
        <v>#NAME?</v>
      </c>
      <c r="P2260" s="28" t="e">
        <f ca="1">[1]!BexGetData("DP_1","003N8EMH8GTFRIVOG7KG9J9VY","GSON1112151703")</f>
        <v>#NAME?</v>
      </c>
      <c r="Q2260" s="24" t="e">
        <f ca="1">[1]!BexGetData("DP_1","00O2TNJGODT0G5Z4TTKYMM5MT","GSON1112151703")</f>
        <v>#NAME?</v>
      </c>
      <c r="R2260" s="24" t="e">
        <f ca="1">[1]!BexGetData("DP_1","00O2TNJGODT0G5Z4TTKYMMBYD","GSON1112151703")</f>
        <v>#NAME?</v>
      </c>
      <c r="S2260" s="24" t="e">
        <f ca="1">[1]!BexGetData("DP_1","00O2TNJGODT0G5Z4TTKYMMI9X","GSON1112151703")</f>
        <v>#NAME?</v>
      </c>
      <c r="T2260" s="24" t="e">
        <f ca="1">[1]!BexGetData("DP_1","00O2TNJGODT0G5Z4TTKYMMOLH","GSON1112151703")</f>
        <v>#NAME?</v>
      </c>
      <c r="U2260" s="24" t="e">
        <f ca="1">[1]!BexGetData("DP_1","00O2TNJGODT0G5Z4TTKYMMUX1","GSON1112151703")</f>
        <v>#NAME?</v>
      </c>
      <c r="V2260" s="24" t="e">
        <f ca="1">[1]!BexGetData("DP_1","00O2TNJGODT0G5Z4TTKYMN18L","GSON1112151703")</f>
        <v>#NAME?</v>
      </c>
      <c r="W2260" s="24" t="e">
        <f ca="1">[1]!BexGetData("DP_1","00O2TNJGODT0G5Z4TTKYMN7K5","GSON1112151703")</f>
        <v>#NAME?</v>
      </c>
    </row>
    <row r="2261" spans="1:23" x14ac:dyDescent="0.2">
      <c r="A2261" s="36" t="s">
        <v>5490</v>
      </c>
      <c r="B2261" s="27" t="s">
        <v>5491</v>
      </c>
      <c r="C2261" s="23" t="e">
        <f ca="1">[1]!BexGetData("DP_1","003N8EMH8GTFRCSWKMPXRR8GU","GSON1112151704")</f>
        <v>#NAME?</v>
      </c>
      <c r="D2261" s="23" t="e">
        <f ca="1">[1]!BexGetData("DP_1","003N8EMH8GTFRCSWKMPXRRESE","GSON1112151704")</f>
        <v>#NAME?</v>
      </c>
      <c r="E2261" s="28" t="e">
        <f ca="1">[1]!BexGetData("DP_1","003N8EMH8GTFRCSWKMPXRRL3Y","GSON1112151704")</f>
        <v>#NAME?</v>
      </c>
      <c r="F2261" s="24" t="e">
        <f ca="1">[1]!BexGetData("DP_1","003N8EMH8GTFRCSWKMPXRRRFI","GSON1112151704")</f>
        <v>#NAME?</v>
      </c>
      <c r="G2261" s="24" t="e">
        <f ca="1">[1]!BexGetData("DP_1","003N8EMH8GTFRCSWKMPXRRXR2","GSON1112151704")</f>
        <v>#NAME?</v>
      </c>
      <c r="H2261" s="24" t="e">
        <f ca="1">[1]!BexGetData("DP_1","003N8EMH8GTFRCSWKMPXRS42M","GSON1112151704")</f>
        <v>#NAME?</v>
      </c>
      <c r="I2261" s="24" t="e">
        <f ca="1">[1]!BexGetData("DP_1","003N8EMH8GTFRCSWKMPXRSAE6","GSON1112151704")</f>
        <v>#NAME?</v>
      </c>
      <c r="J2261" s="24" t="e">
        <f ca="1">[1]!BexGetData("DP_1","003N8EMH8GTFRCSWKMPXRSGPQ","GSON1112151704")</f>
        <v>#NAME?</v>
      </c>
      <c r="K2261" s="28" t="e">
        <f ca="1">[1]!BexGetData("DP_1","003N8EMH8GTFRIVNUPY288VJH","GSON1112151704")</f>
        <v>#NAME?</v>
      </c>
      <c r="L2261" s="28" t="e">
        <f ca="1">[1]!BexGetData("DP_1","003N8EMH8GTFRIVNUPY2891V1","GSON1112151704")</f>
        <v>#NAME?</v>
      </c>
      <c r="M2261" s="28" t="e">
        <f ca="1">[1]!BexGetData("DP_1","003N8EMH8GTFRIVOG7KG9IQXA","GSON1112151704")</f>
        <v>#NAME?</v>
      </c>
      <c r="N2261" s="28" t="e">
        <f ca="1">[1]!BexGetData("DP_1","003N8EMH8GTFRIVOG7KG9IX8U","GSON1112151704")</f>
        <v>#NAME?</v>
      </c>
      <c r="O2261" s="28" t="e">
        <f ca="1">[1]!BexGetData("DP_1","003N8EMH8GTFRIVOG7KG9J3KE","GSON1112151704")</f>
        <v>#NAME?</v>
      </c>
      <c r="P2261" s="28" t="e">
        <f ca="1">[1]!BexGetData("DP_1","003N8EMH8GTFRIVOG7KG9J9VY","GSON1112151704")</f>
        <v>#NAME?</v>
      </c>
      <c r="Q2261" s="24" t="e">
        <f ca="1">[1]!BexGetData("DP_1","00O2TNJGODT0G5Z4TTKYMM5MT","GSON1112151704")</f>
        <v>#NAME?</v>
      </c>
      <c r="R2261" s="24" t="e">
        <f ca="1">[1]!BexGetData("DP_1","00O2TNJGODT0G5Z4TTKYMMBYD","GSON1112151704")</f>
        <v>#NAME?</v>
      </c>
      <c r="S2261" s="24" t="e">
        <f ca="1">[1]!BexGetData("DP_1","00O2TNJGODT0G5Z4TTKYMMI9X","GSON1112151704")</f>
        <v>#NAME?</v>
      </c>
      <c r="T2261" s="24" t="e">
        <f ca="1">[1]!BexGetData("DP_1","00O2TNJGODT0G5Z4TTKYMMOLH","GSON1112151704")</f>
        <v>#NAME?</v>
      </c>
      <c r="U2261" s="24" t="e">
        <f ca="1">[1]!BexGetData("DP_1","00O2TNJGODT0G5Z4TTKYMMUX1","GSON1112151704")</f>
        <v>#NAME?</v>
      </c>
      <c r="V2261" s="24" t="e">
        <f ca="1">[1]!BexGetData("DP_1","00O2TNJGODT0G5Z4TTKYMN18L","GSON1112151704")</f>
        <v>#NAME?</v>
      </c>
      <c r="W2261" s="24" t="e">
        <f ca="1">[1]!BexGetData("DP_1","00O2TNJGODT0G5Z4TTKYMN7K5","GSON1112151704")</f>
        <v>#NAME?</v>
      </c>
    </row>
    <row r="2262" spans="1:23" x14ac:dyDescent="0.2">
      <c r="A2262" s="36" t="s">
        <v>5492</v>
      </c>
      <c r="B2262" s="27" t="s">
        <v>5493</v>
      </c>
      <c r="C2262" s="23" t="e">
        <f ca="1">[1]!BexGetData("DP_1","003N8EMH8GTFRCSWKMPXRR8GU","GSON1112151705")</f>
        <v>#NAME?</v>
      </c>
      <c r="D2262" s="23" t="e">
        <f ca="1">[1]!BexGetData("DP_1","003N8EMH8GTFRCSWKMPXRRESE","GSON1112151705")</f>
        <v>#NAME?</v>
      </c>
      <c r="E2262" s="28" t="e">
        <f ca="1">[1]!BexGetData("DP_1","003N8EMH8GTFRCSWKMPXRRL3Y","GSON1112151705")</f>
        <v>#NAME?</v>
      </c>
      <c r="F2262" s="24" t="e">
        <f ca="1">[1]!BexGetData("DP_1","003N8EMH8GTFRCSWKMPXRRRFI","GSON1112151705")</f>
        <v>#NAME?</v>
      </c>
      <c r="G2262" s="24" t="e">
        <f ca="1">[1]!BexGetData("DP_1","003N8EMH8GTFRCSWKMPXRRXR2","GSON1112151705")</f>
        <v>#NAME?</v>
      </c>
      <c r="H2262" s="24" t="e">
        <f ca="1">[1]!BexGetData("DP_1","003N8EMH8GTFRCSWKMPXRS42M","GSON1112151705")</f>
        <v>#NAME?</v>
      </c>
      <c r="I2262" s="24" t="e">
        <f ca="1">[1]!BexGetData("DP_1","003N8EMH8GTFRCSWKMPXRSAE6","GSON1112151705")</f>
        <v>#NAME?</v>
      </c>
      <c r="J2262" s="24" t="e">
        <f ca="1">[1]!BexGetData("DP_1","003N8EMH8GTFRCSWKMPXRSGPQ","GSON1112151705")</f>
        <v>#NAME?</v>
      </c>
      <c r="K2262" s="28" t="e">
        <f ca="1">[1]!BexGetData("DP_1","003N8EMH8GTFRIVNUPY288VJH","GSON1112151705")</f>
        <v>#NAME?</v>
      </c>
      <c r="L2262" s="28" t="e">
        <f ca="1">[1]!BexGetData("DP_1","003N8EMH8GTFRIVNUPY2891V1","GSON1112151705")</f>
        <v>#NAME?</v>
      </c>
      <c r="M2262" s="28" t="e">
        <f ca="1">[1]!BexGetData("DP_1","003N8EMH8GTFRIVOG7KG9IQXA","GSON1112151705")</f>
        <v>#NAME?</v>
      </c>
      <c r="N2262" s="28" t="e">
        <f ca="1">[1]!BexGetData("DP_1","003N8EMH8GTFRIVOG7KG9IX8U","GSON1112151705")</f>
        <v>#NAME?</v>
      </c>
      <c r="O2262" s="28" t="e">
        <f ca="1">[1]!BexGetData("DP_1","003N8EMH8GTFRIVOG7KG9J3KE","GSON1112151705")</f>
        <v>#NAME?</v>
      </c>
      <c r="P2262" s="28" t="e">
        <f ca="1">[1]!BexGetData("DP_1","003N8EMH8GTFRIVOG7KG9J9VY","GSON1112151705")</f>
        <v>#NAME?</v>
      </c>
      <c r="Q2262" s="24" t="e">
        <f ca="1">[1]!BexGetData("DP_1","00O2TNJGODT0G5Z4TTKYMM5MT","GSON1112151705")</f>
        <v>#NAME?</v>
      </c>
      <c r="R2262" s="24" t="e">
        <f ca="1">[1]!BexGetData("DP_1","00O2TNJGODT0G5Z4TTKYMMBYD","GSON1112151705")</f>
        <v>#NAME?</v>
      </c>
      <c r="S2262" s="24" t="e">
        <f ca="1">[1]!BexGetData("DP_1","00O2TNJGODT0G5Z4TTKYMMI9X","GSON1112151705")</f>
        <v>#NAME?</v>
      </c>
      <c r="T2262" s="24" t="e">
        <f ca="1">[1]!BexGetData("DP_1","00O2TNJGODT0G5Z4TTKYMMOLH","GSON1112151705")</f>
        <v>#NAME?</v>
      </c>
      <c r="U2262" s="24" t="e">
        <f ca="1">[1]!BexGetData("DP_1","00O2TNJGODT0G5Z4TTKYMMUX1","GSON1112151705")</f>
        <v>#NAME?</v>
      </c>
      <c r="V2262" s="24" t="e">
        <f ca="1">[1]!BexGetData("DP_1","00O2TNJGODT0G5Z4TTKYMN18L","GSON1112151705")</f>
        <v>#NAME?</v>
      </c>
      <c r="W2262" s="24" t="e">
        <f ca="1">[1]!BexGetData("DP_1","00O2TNJGODT0G5Z4TTKYMN7K5","GSON1112151705")</f>
        <v>#NAME?</v>
      </c>
    </row>
    <row r="2263" spans="1:23" x14ac:dyDescent="0.2">
      <c r="A2263" s="36" t="s">
        <v>5494</v>
      </c>
      <c r="B2263" s="27" t="s">
        <v>5495</v>
      </c>
      <c r="C2263" s="23" t="e">
        <f ca="1">[1]!BexGetData("DP_1","003N8EMH8GTFRCSWKMPXRR8GU","GSON1112151720")</f>
        <v>#NAME?</v>
      </c>
      <c r="D2263" s="23" t="e">
        <f ca="1">[1]!BexGetData("DP_1","003N8EMH8GTFRCSWKMPXRRESE","GSON1112151720")</f>
        <v>#NAME?</v>
      </c>
      <c r="E2263" s="23" t="e">
        <f ca="1">[1]!BexGetData("DP_1","003N8EMH8GTFRCSWKMPXRRL3Y","GSON1112151720")</f>
        <v>#NAME?</v>
      </c>
      <c r="F2263" s="24" t="e">
        <f ca="1">[1]!BexGetData("DP_1","003N8EMH8GTFRCSWKMPXRRRFI","GSON1112151720")</f>
        <v>#NAME?</v>
      </c>
      <c r="G2263" s="24" t="e">
        <f ca="1">[1]!BexGetData("DP_1","003N8EMH8GTFRCSWKMPXRRXR2","GSON1112151720")</f>
        <v>#NAME?</v>
      </c>
      <c r="H2263" s="24" t="e">
        <f ca="1">[1]!BexGetData("DP_1","003N8EMH8GTFRCSWKMPXRS42M","GSON1112151720")</f>
        <v>#NAME?</v>
      </c>
      <c r="I2263" s="24" t="e">
        <f ca="1">[1]!BexGetData("DP_1","003N8EMH8GTFRCSWKMPXRSAE6","GSON1112151720")</f>
        <v>#NAME?</v>
      </c>
      <c r="J2263" s="24" t="e">
        <f ca="1">[1]!BexGetData("DP_1","003N8EMH8GTFRCSWKMPXRSGPQ","GSON1112151720")</f>
        <v>#NAME?</v>
      </c>
      <c r="K2263" s="23" t="e">
        <f ca="1">[1]!BexGetData("DP_1","003N8EMH8GTFRIVNUPY288VJH","GSON1112151720")</f>
        <v>#NAME?</v>
      </c>
      <c r="L2263" s="23" t="e">
        <f ca="1">[1]!BexGetData("DP_1","003N8EMH8GTFRIVNUPY2891V1","GSON1112151720")</f>
        <v>#NAME?</v>
      </c>
      <c r="M2263" s="28" t="e">
        <f ca="1">[1]!BexGetData("DP_1","003N8EMH8GTFRIVOG7KG9IQXA","GSON1112151720")</f>
        <v>#NAME?</v>
      </c>
      <c r="N2263" s="23" t="e">
        <f ca="1">[1]!BexGetData("DP_1","003N8EMH8GTFRIVOG7KG9IX8U","GSON1112151720")</f>
        <v>#NAME?</v>
      </c>
      <c r="O2263" s="28" t="e">
        <f ca="1">[1]!BexGetData("DP_1","003N8EMH8GTFRIVOG7KG9J3KE","GSON1112151720")</f>
        <v>#NAME?</v>
      </c>
      <c r="P2263" s="23" t="e">
        <f ca="1">[1]!BexGetData("DP_1","003N8EMH8GTFRIVOG7KG9J9VY","GSON1112151720")</f>
        <v>#NAME?</v>
      </c>
      <c r="Q2263" s="24" t="e">
        <f ca="1">[1]!BexGetData("DP_1","00O2TNJGODT0G5Z4TTKYMM5MT","GSON1112151720")</f>
        <v>#NAME?</v>
      </c>
      <c r="R2263" s="24" t="e">
        <f ca="1">[1]!BexGetData("DP_1","00O2TNJGODT0G5Z4TTKYMMBYD","GSON1112151720")</f>
        <v>#NAME?</v>
      </c>
      <c r="S2263" s="24" t="e">
        <f ca="1">[1]!BexGetData("DP_1","00O2TNJGODT0G5Z4TTKYMMI9X","GSON1112151720")</f>
        <v>#NAME?</v>
      </c>
      <c r="T2263" s="24" t="e">
        <f ca="1">[1]!BexGetData("DP_1","00O2TNJGODT0G5Z4TTKYMMOLH","GSON1112151720")</f>
        <v>#NAME?</v>
      </c>
      <c r="U2263" s="24" t="e">
        <f ca="1">[1]!BexGetData("DP_1","00O2TNJGODT0G5Z4TTKYMMUX1","GSON1112151720")</f>
        <v>#NAME?</v>
      </c>
      <c r="V2263" s="24" t="e">
        <f ca="1">[1]!BexGetData("DP_1","00O2TNJGODT0G5Z4TTKYMN18L","GSON1112151720")</f>
        <v>#NAME?</v>
      </c>
      <c r="W2263" s="24" t="e">
        <f ca="1">[1]!BexGetData("DP_1","00O2TNJGODT0G5Z4TTKYMN7K5","GSON1112151720")</f>
        <v>#NAME?</v>
      </c>
    </row>
    <row r="2264" spans="1:23" x14ac:dyDescent="0.2">
      <c r="A2264" s="36" t="s">
        <v>5496</v>
      </c>
      <c r="B2264" s="27" t="s">
        <v>5497</v>
      </c>
      <c r="C2264" s="23" t="e">
        <f ca="1">[1]!BexGetData("DP_1","003N8EMH8GTFRCSWKMPXRR8GU","GSON1112151721")</f>
        <v>#NAME?</v>
      </c>
      <c r="D2264" s="23" t="e">
        <f ca="1">[1]!BexGetData("DP_1","003N8EMH8GTFRCSWKMPXRRESE","GSON1112151721")</f>
        <v>#NAME?</v>
      </c>
      <c r="E2264" s="28" t="e">
        <f ca="1">[1]!BexGetData("DP_1","003N8EMH8GTFRCSWKMPXRRL3Y","GSON1112151721")</f>
        <v>#NAME?</v>
      </c>
      <c r="F2264" s="24" t="e">
        <f ca="1">[1]!BexGetData("DP_1","003N8EMH8GTFRCSWKMPXRRRFI","GSON1112151721")</f>
        <v>#NAME?</v>
      </c>
      <c r="G2264" s="24" t="e">
        <f ca="1">[1]!BexGetData("DP_1","003N8EMH8GTFRCSWKMPXRRXR2","GSON1112151721")</f>
        <v>#NAME?</v>
      </c>
      <c r="H2264" s="24" t="e">
        <f ca="1">[1]!BexGetData("DP_1","003N8EMH8GTFRCSWKMPXRS42M","GSON1112151721")</f>
        <v>#NAME?</v>
      </c>
      <c r="I2264" s="24" t="e">
        <f ca="1">[1]!BexGetData("DP_1","003N8EMH8GTFRCSWKMPXRSAE6","GSON1112151721")</f>
        <v>#NAME?</v>
      </c>
      <c r="J2264" s="24" t="e">
        <f ca="1">[1]!BexGetData("DP_1","003N8EMH8GTFRCSWKMPXRSGPQ","GSON1112151721")</f>
        <v>#NAME?</v>
      </c>
      <c r="K2264" s="28" t="e">
        <f ca="1">[1]!BexGetData("DP_1","003N8EMH8GTFRIVNUPY288VJH","GSON1112151721")</f>
        <v>#NAME?</v>
      </c>
      <c r="L2264" s="28" t="e">
        <f ca="1">[1]!BexGetData("DP_1","003N8EMH8GTFRIVNUPY2891V1","GSON1112151721")</f>
        <v>#NAME?</v>
      </c>
      <c r="M2264" s="28" t="e">
        <f ca="1">[1]!BexGetData("DP_1","003N8EMH8GTFRIVOG7KG9IQXA","GSON1112151721")</f>
        <v>#NAME?</v>
      </c>
      <c r="N2264" s="28" t="e">
        <f ca="1">[1]!BexGetData("DP_1","003N8EMH8GTFRIVOG7KG9IX8U","GSON1112151721")</f>
        <v>#NAME?</v>
      </c>
      <c r="O2264" s="28" t="e">
        <f ca="1">[1]!BexGetData("DP_1","003N8EMH8GTFRIVOG7KG9J3KE","GSON1112151721")</f>
        <v>#NAME?</v>
      </c>
      <c r="P2264" s="28" t="e">
        <f ca="1">[1]!BexGetData("DP_1","003N8EMH8GTFRIVOG7KG9J9VY","GSON1112151721")</f>
        <v>#NAME?</v>
      </c>
      <c r="Q2264" s="24" t="e">
        <f ca="1">[1]!BexGetData("DP_1","00O2TNJGODT0G5Z4TTKYMM5MT","GSON1112151721")</f>
        <v>#NAME?</v>
      </c>
      <c r="R2264" s="24" t="e">
        <f ca="1">[1]!BexGetData("DP_1","00O2TNJGODT0G5Z4TTKYMMBYD","GSON1112151721")</f>
        <v>#NAME?</v>
      </c>
      <c r="S2264" s="24" t="e">
        <f ca="1">[1]!BexGetData("DP_1","00O2TNJGODT0G5Z4TTKYMMI9X","GSON1112151721")</f>
        <v>#NAME?</v>
      </c>
      <c r="T2264" s="24" t="e">
        <f ca="1">[1]!BexGetData("DP_1","00O2TNJGODT0G5Z4TTKYMMOLH","GSON1112151721")</f>
        <v>#NAME?</v>
      </c>
      <c r="U2264" s="24" t="e">
        <f ca="1">[1]!BexGetData("DP_1","00O2TNJGODT0G5Z4TTKYMMUX1","GSON1112151721")</f>
        <v>#NAME?</v>
      </c>
      <c r="V2264" s="24" t="e">
        <f ca="1">[1]!BexGetData("DP_1","00O2TNJGODT0G5Z4TTKYMN18L","GSON1112151721")</f>
        <v>#NAME?</v>
      </c>
      <c r="W2264" s="24" t="e">
        <f ca="1">[1]!BexGetData("DP_1","00O2TNJGODT0G5Z4TTKYMN7K5","GSON1112151721")</f>
        <v>#NAME?</v>
      </c>
    </row>
    <row r="2265" spans="1:23" x14ac:dyDescent="0.2">
      <c r="A2265" s="36" t="s">
        <v>5498</v>
      </c>
      <c r="B2265" s="27" t="s">
        <v>5499</v>
      </c>
      <c r="C2265" s="23" t="e">
        <f ca="1">[1]!BexGetData("DP_1","003N8EMH8GTFRCSWKMPXRR8GU","GSON1112151723")</f>
        <v>#NAME?</v>
      </c>
      <c r="D2265" s="23" t="e">
        <f ca="1">[1]!BexGetData("DP_1","003N8EMH8GTFRCSWKMPXRRESE","GSON1112151723")</f>
        <v>#NAME?</v>
      </c>
      <c r="E2265" s="23" t="e">
        <f ca="1">[1]!BexGetData("DP_1","003N8EMH8GTFRCSWKMPXRRL3Y","GSON1112151723")</f>
        <v>#NAME?</v>
      </c>
      <c r="F2265" s="24" t="e">
        <f ca="1">[1]!BexGetData("DP_1","003N8EMH8GTFRCSWKMPXRRRFI","GSON1112151723")</f>
        <v>#NAME?</v>
      </c>
      <c r="G2265" s="24" t="e">
        <f ca="1">[1]!BexGetData("DP_1","003N8EMH8GTFRCSWKMPXRRXR2","GSON1112151723")</f>
        <v>#NAME?</v>
      </c>
      <c r="H2265" s="24" t="e">
        <f ca="1">[1]!BexGetData("DP_1","003N8EMH8GTFRCSWKMPXRS42M","GSON1112151723")</f>
        <v>#NAME?</v>
      </c>
      <c r="I2265" s="24" t="e">
        <f ca="1">[1]!BexGetData("DP_1","003N8EMH8GTFRCSWKMPXRSAE6","GSON1112151723")</f>
        <v>#NAME?</v>
      </c>
      <c r="J2265" s="24" t="e">
        <f ca="1">[1]!BexGetData("DP_1","003N8EMH8GTFRCSWKMPXRSGPQ","GSON1112151723")</f>
        <v>#NAME?</v>
      </c>
      <c r="K2265" s="23" t="e">
        <f ca="1">[1]!BexGetData("DP_1","003N8EMH8GTFRIVNUPY288VJH","GSON1112151723")</f>
        <v>#NAME?</v>
      </c>
      <c r="L2265" s="23" t="e">
        <f ca="1">[1]!BexGetData("DP_1","003N8EMH8GTFRIVNUPY2891V1","GSON1112151723")</f>
        <v>#NAME?</v>
      </c>
      <c r="M2265" s="23" t="e">
        <f ca="1">[1]!BexGetData("DP_1","003N8EMH8GTFRIVOG7KG9IQXA","GSON1112151723")</f>
        <v>#NAME?</v>
      </c>
      <c r="N2265" s="28" t="e">
        <f ca="1">[1]!BexGetData("DP_1","003N8EMH8GTFRIVOG7KG9IX8U","GSON1112151723")</f>
        <v>#NAME?</v>
      </c>
      <c r="O2265" s="23" t="e">
        <f ca="1">[1]!BexGetData("DP_1","003N8EMH8GTFRIVOG7KG9J3KE","GSON1112151723")</f>
        <v>#NAME?</v>
      </c>
      <c r="P2265" s="28" t="e">
        <f ca="1">[1]!BexGetData("DP_1","003N8EMH8GTFRIVOG7KG9J9VY","GSON1112151723")</f>
        <v>#NAME?</v>
      </c>
      <c r="Q2265" s="24" t="e">
        <f ca="1">[1]!BexGetData("DP_1","00O2TNJGODT0G5Z4TTKYMM5MT","GSON1112151723")</f>
        <v>#NAME?</v>
      </c>
      <c r="R2265" s="24" t="e">
        <f ca="1">[1]!BexGetData("DP_1","00O2TNJGODT0G5Z4TTKYMMBYD","GSON1112151723")</f>
        <v>#NAME?</v>
      </c>
      <c r="S2265" s="24" t="e">
        <f ca="1">[1]!BexGetData("DP_1","00O2TNJGODT0G5Z4TTKYMMI9X","GSON1112151723")</f>
        <v>#NAME?</v>
      </c>
      <c r="T2265" s="24" t="e">
        <f ca="1">[1]!BexGetData("DP_1","00O2TNJGODT0G5Z4TTKYMMOLH","GSON1112151723")</f>
        <v>#NAME?</v>
      </c>
      <c r="U2265" s="24" t="e">
        <f ca="1">[1]!BexGetData("DP_1","00O2TNJGODT0G5Z4TTKYMMUX1","GSON1112151723")</f>
        <v>#NAME?</v>
      </c>
      <c r="V2265" s="24" t="e">
        <f ca="1">[1]!BexGetData("DP_1","00O2TNJGODT0G5Z4TTKYMN18L","GSON1112151723")</f>
        <v>#NAME?</v>
      </c>
      <c r="W2265" s="24" t="e">
        <f ca="1">[1]!BexGetData("DP_1","00O2TNJGODT0G5Z4TTKYMN7K5","GSON1112151723")</f>
        <v>#NAME?</v>
      </c>
    </row>
    <row r="2266" spans="1:23" x14ac:dyDescent="0.2">
      <c r="A2266" s="36" t="s">
        <v>5500</v>
      </c>
      <c r="B2266" s="27" t="s">
        <v>5501</v>
      </c>
      <c r="C2266" s="23" t="e">
        <f ca="1">[1]!BexGetData("DP_1","003N8EMH8GTFRCSWKMPXRR8GU","GSON1112151724")</f>
        <v>#NAME?</v>
      </c>
      <c r="D2266" s="23" t="e">
        <f ca="1">[1]!BexGetData("DP_1","003N8EMH8GTFRCSWKMPXRRESE","GSON1112151724")</f>
        <v>#NAME?</v>
      </c>
      <c r="E2266" s="28" t="e">
        <f ca="1">[1]!BexGetData("DP_1","003N8EMH8GTFRCSWKMPXRRL3Y","GSON1112151724")</f>
        <v>#NAME?</v>
      </c>
      <c r="F2266" s="24" t="e">
        <f ca="1">[1]!BexGetData("DP_1","003N8EMH8GTFRCSWKMPXRRRFI","GSON1112151724")</f>
        <v>#NAME?</v>
      </c>
      <c r="G2266" s="24" t="e">
        <f ca="1">[1]!BexGetData("DP_1","003N8EMH8GTFRCSWKMPXRRXR2","GSON1112151724")</f>
        <v>#NAME?</v>
      </c>
      <c r="H2266" s="24" t="e">
        <f ca="1">[1]!BexGetData("DP_1","003N8EMH8GTFRCSWKMPXRS42M","GSON1112151724")</f>
        <v>#NAME?</v>
      </c>
      <c r="I2266" s="24" t="e">
        <f ca="1">[1]!BexGetData("DP_1","003N8EMH8GTFRCSWKMPXRSAE6","GSON1112151724")</f>
        <v>#NAME?</v>
      </c>
      <c r="J2266" s="24" t="e">
        <f ca="1">[1]!BexGetData("DP_1","003N8EMH8GTFRCSWKMPXRSGPQ","GSON1112151724")</f>
        <v>#NAME?</v>
      </c>
      <c r="K2266" s="28" t="e">
        <f ca="1">[1]!BexGetData("DP_1","003N8EMH8GTFRIVNUPY288VJH","GSON1112151724")</f>
        <v>#NAME?</v>
      </c>
      <c r="L2266" s="28" t="e">
        <f ca="1">[1]!BexGetData("DP_1","003N8EMH8GTFRIVNUPY2891V1","GSON1112151724")</f>
        <v>#NAME?</v>
      </c>
      <c r="M2266" s="28" t="e">
        <f ca="1">[1]!BexGetData("DP_1","003N8EMH8GTFRIVOG7KG9IQXA","GSON1112151724")</f>
        <v>#NAME?</v>
      </c>
      <c r="N2266" s="28" t="e">
        <f ca="1">[1]!BexGetData("DP_1","003N8EMH8GTFRIVOG7KG9IX8U","GSON1112151724")</f>
        <v>#NAME?</v>
      </c>
      <c r="O2266" s="28" t="e">
        <f ca="1">[1]!BexGetData("DP_1","003N8EMH8GTFRIVOG7KG9J3KE","GSON1112151724")</f>
        <v>#NAME?</v>
      </c>
      <c r="P2266" s="28" t="e">
        <f ca="1">[1]!BexGetData("DP_1","003N8EMH8GTFRIVOG7KG9J9VY","GSON1112151724")</f>
        <v>#NAME?</v>
      </c>
      <c r="Q2266" s="24" t="e">
        <f ca="1">[1]!BexGetData("DP_1","00O2TNJGODT0G5Z4TTKYMM5MT","GSON1112151724")</f>
        <v>#NAME?</v>
      </c>
      <c r="R2266" s="24" t="e">
        <f ca="1">[1]!BexGetData("DP_1","00O2TNJGODT0G5Z4TTKYMMBYD","GSON1112151724")</f>
        <v>#NAME?</v>
      </c>
      <c r="S2266" s="24" t="e">
        <f ca="1">[1]!BexGetData("DP_1","00O2TNJGODT0G5Z4TTKYMMI9X","GSON1112151724")</f>
        <v>#NAME?</v>
      </c>
      <c r="T2266" s="24" t="e">
        <f ca="1">[1]!BexGetData("DP_1","00O2TNJGODT0G5Z4TTKYMMOLH","GSON1112151724")</f>
        <v>#NAME?</v>
      </c>
      <c r="U2266" s="24" t="e">
        <f ca="1">[1]!BexGetData("DP_1","00O2TNJGODT0G5Z4TTKYMMUX1","GSON1112151724")</f>
        <v>#NAME?</v>
      </c>
      <c r="V2266" s="24" t="e">
        <f ca="1">[1]!BexGetData("DP_1","00O2TNJGODT0G5Z4TTKYMN18L","GSON1112151724")</f>
        <v>#NAME?</v>
      </c>
      <c r="W2266" s="24" t="e">
        <f ca="1">[1]!BexGetData("DP_1","00O2TNJGODT0G5Z4TTKYMN7K5","GSON1112151724")</f>
        <v>#NAME?</v>
      </c>
    </row>
    <row r="2267" spans="1:23" x14ac:dyDescent="0.2">
      <c r="A2267" s="36" t="s">
        <v>5502</v>
      </c>
      <c r="B2267" s="27" t="s">
        <v>5503</v>
      </c>
      <c r="C2267" s="23" t="e">
        <f ca="1">[1]!BexGetData("DP_1","003N8EMH8GTFRCSWKMPXRR8GU","GSON1112151725")</f>
        <v>#NAME?</v>
      </c>
      <c r="D2267" s="23" t="e">
        <f ca="1">[1]!BexGetData("DP_1","003N8EMH8GTFRCSWKMPXRRESE","GSON1112151725")</f>
        <v>#NAME?</v>
      </c>
      <c r="E2267" s="28" t="e">
        <f ca="1">[1]!BexGetData("DP_1","003N8EMH8GTFRCSWKMPXRRL3Y","GSON1112151725")</f>
        <v>#NAME?</v>
      </c>
      <c r="F2267" s="24" t="e">
        <f ca="1">[1]!BexGetData("DP_1","003N8EMH8GTFRCSWKMPXRRRFI","GSON1112151725")</f>
        <v>#NAME?</v>
      </c>
      <c r="G2267" s="24" t="e">
        <f ca="1">[1]!BexGetData("DP_1","003N8EMH8GTFRCSWKMPXRRXR2","GSON1112151725")</f>
        <v>#NAME?</v>
      </c>
      <c r="H2267" s="24" t="e">
        <f ca="1">[1]!BexGetData("DP_1","003N8EMH8GTFRCSWKMPXRS42M","GSON1112151725")</f>
        <v>#NAME?</v>
      </c>
      <c r="I2267" s="24" t="e">
        <f ca="1">[1]!BexGetData("DP_1","003N8EMH8GTFRCSWKMPXRSAE6","GSON1112151725")</f>
        <v>#NAME?</v>
      </c>
      <c r="J2267" s="24" t="e">
        <f ca="1">[1]!BexGetData("DP_1","003N8EMH8GTFRCSWKMPXRSGPQ","GSON1112151725")</f>
        <v>#NAME?</v>
      </c>
      <c r="K2267" s="28" t="e">
        <f ca="1">[1]!BexGetData("DP_1","003N8EMH8GTFRIVNUPY288VJH","GSON1112151725")</f>
        <v>#NAME?</v>
      </c>
      <c r="L2267" s="28" t="e">
        <f ca="1">[1]!BexGetData("DP_1","003N8EMH8GTFRIVNUPY2891V1","GSON1112151725")</f>
        <v>#NAME?</v>
      </c>
      <c r="M2267" s="28" t="e">
        <f ca="1">[1]!BexGetData("DP_1","003N8EMH8GTFRIVOG7KG9IQXA","GSON1112151725")</f>
        <v>#NAME?</v>
      </c>
      <c r="N2267" s="28" t="e">
        <f ca="1">[1]!BexGetData("DP_1","003N8EMH8GTFRIVOG7KG9IX8U","GSON1112151725")</f>
        <v>#NAME?</v>
      </c>
      <c r="O2267" s="28" t="e">
        <f ca="1">[1]!BexGetData("DP_1","003N8EMH8GTFRIVOG7KG9J3KE","GSON1112151725")</f>
        <v>#NAME?</v>
      </c>
      <c r="P2267" s="28" t="e">
        <f ca="1">[1]!BexGetData("DP_1","003N8EMH8GTFRIVOG7KG9J9VY","GSON1112151725")</f>
        <v>#NAME?</v>
      </c>
      <c r="Q2267" s="24" t="e">
        <f ca="1">[1]!BexGetData("DP_1","00O2TNJGODT0G5Z4TTKYMM5MT","GSON1112151725")</f>
        <v>#NAME?</v>
      </c>
      <c r="R2267" s="24" t="e">
        <f ca="1">[1]!BexGetData("DP_1","00O2TNJGODT0G5Z4TTKYMMBYD","GSON1112151725")</f>
        <v>#NAME?</v>
      </c>
      <c r="S2267" s="24" t="e">
        <f ca="1">[1]!BexGetData("DP_1","00O2TNJGODT0G5Z4TTKYMMI9X","GSON1112151725")</f>
        <v>#NAME?</v>
      </c>
      <c r="T2267" s="24" t="e">
        <f ca="1">[1]!BexGetData("DP_1","00O2TNJGODT0G5Z4TTKYMMOLH","GSON1112151725")</f>
        <v>#NAME?</v>
      </c>
      <c r="U2267" s="24" t="e">
        <f ca="1">[1]!BexGetData("DP_1","00O2TNJGODT0G5Z4TTKYMMUX1","GSON1112151725")</f>
        <v>#NAME?</v>
      </c>
      <c r="V2267" s="24" t="e">
        <f ca="1">[1]!BexGetData("DP_1","00O2TNJGODT0G5Z4TTKYMN18L","GSON1112151725")</f>
        <v>#NAME?</v>
      </c>
      <c r="W2267" s="24" t="e">
        <f ca="1">[1]!BexGetData("DP_1","00O2TNJGODT0G5Z4TTKYMN7K5","GSON1112151725")</f>
        <v>#NAME?</v>
      </c>
    </row>
    <row r="2268" spans="1:23" x14ac:dyDescent="0.2">
      <c r="A2268" s="36" t="s">
        <v>5504</v>
      </c>
      <c r="B2268" s="27" t="s">
        <v>5505</v>
      </c>
      <c r="C2268" s="23" t="e">
        <f ca="1">[1]!BexGetData("DP_1","003N8EMH8GTFRCSWKMPXRR8GU","GSON1112151733")</f>
        <v>#NAME?</v>
      </c>
      <c r="D2268" s="23" t="e">
        <f ca="1">[1]!BexGetData("DP_1","003N8EMH8GTFRCSWKMPXRRESE","GSON1112151733")</f>
        <v>#NAME?</v>
      </c>
      <c r="E2268" s="28" t="e">
        <f ca="1">[1]!BexGetData("DP_1","003N8EMH8GTFRCSWKMPXRRL3Y","GSON1112151733")</f>
        <v>#NAME?</v>
      </c>
      <c r="F2268" s="24" t="e">
        <f ca="1">[1]!BexGetData("DP_1","003N8EMH8GTFRCSWKMPXRRRFI","GSON1112151733")</f>
        <v>#NAME?</v>
      </c>
      <c r="G2268" s="24" t="e">
        <f ca="1">[1]!BexGetData("DP_1","003N8EMH8GTFRCSWKMPXRRXR2","GSON1112151733")</f>
        <v>#NAME?</v>
      </c>
      <c r="H2268" s="24" t="e">
        <f ca="1">[1]!BexGetData("DP_1","003N8EMH8GTFRCSWKMPXRS42M","GSON1112151733")</f>
        <v>#NAME?</v>
      </c>
      <c r="I2268" s="24" t="e">
        <f ca="1">[1]!BexGetData("DP_1","003N8EMH8GTFRCSWKMPXRSAE6","GSON1112151733")</f>
        <v>#NAME?</v>
      </c>
      <c r="J2268" s="24" t="e">
        <f ca="1">[1]!BexGetData("DP_1","003N8EMH8GTFRCSWKMPXRSGPQ","GSON1112151733")</f>
        <v>#NAME?</v>
      </c>
      <c r="K2268" s="28" t="e">
        <f ca="1">[1]!BexGetData("DP_1","003N8EMH8GTFRIVNUPY288VJH","GSON1112151733")</f>
        <v>#NAME?</v>
      </c>
      <c r="L2268" s="28" t="e">
        <f ca="1">[1]!BexGetData("DP_1","003N8EMH8GTFRIVNUPY2891V1","GSON1112151733")</f>
        <v>#NAME?</v>
      </c>
      <c r="M2268" s="28" t="e">
        <f ca="1">[1]!BexGetData("DP_1","003N8EMH8GTFRIVOG7KG9IQXA","GSON1112151733")</f>
        <v>#NAME?</v>
      </c>
      <c r="N2268" s="28" t="e">
        <f ca="1">[1]!BexGetData("DP_1","003N8EMH8GTFRIVOG7KG9IX8U","GSON1112151733")</f>
        <v>#NAME?</v>
      </c>
      <c r="O2268" s="28" t="e">
        <f ca="1">[1]!BexGetData("DP_1","003N8EMH8GTFRIVOG7KG9J3KE","GSON1112151733")</f>
        <v>#NAME?</v>
      </c>
      <c r="P2268" s="28" t="e">
        <f ca="1">[1]!BexGetData("DP_1","003N8EMH8GTFRIVOG7KG9J9VY","GSON1112151733")</f>
        <v>#NAME?</v>
      </c>
      <c r="Q2268" s="24" t="e">
        <f ca="1">[1]!BexGetData("DP_1","00O2TNJGODT0G5Z4TTKYMM5MT","GSON1112151733")</f>
        <v>#NAME?</v>
      </c>
      <c r="R2268" s="24" t="e">
        <f ca="1">[1]!BexGetData("DP_1","00O2TNJGODT0G5Z4TTKYMMBYD","GSON1112151733")</f>
        <v>#NAME?</v>
      </c>
      <c r="S2268" s="24" t="e">
        <f ca="1">[1]!BexGetData("DP_1","00O2TNJGODT0G5Z4TTKYMMI9X","GSON1112151733")</f>
        <v>#NAME?</v>
      </c>
      <c r="T2268" s="24" t="e">
        <f ca="1">[1]!BexGetData("DP_1","00O2TNJGODT0G5Z4TTKYMMOLH","GSON1112151733")</f>
        <v>#NAME?</v>
      </c>
      <c r="U2268" s="24" t="e">
        <f ca="1">[1]!BexGetData("DP_1","00O2TNJGODT0G5Z4TTKYMMUX1","GSON1112151733")</f>
        <v>#NAME?</v>
      </c>
      <c r="V2268" s="24" t="e">
        <f ca="1">[1]!BexGetData("DP_1","00O2TNJGODT0G5Z4TTKYMN18L","GSON1112151733")</f>
        <v>#NAME?</v>
      </c>
      <c r="W2268" s="24" t="e">
        <f ca="1">[1]!BexGetData("DP_1","00O2TNJGODT0G5Z4TTKYMN7K5","GSON1112151733")</f>
        <v>#NAME?</v>
      </c>
    </row>
    <row r="2269" spans="1:23" x14ac:dyDescent="0.2">
      <c r="A2269" s="36" t="s">
        <v>5506</v>
      </c>
      <c r="B2269" s="27" t="s">
        <v>5507</v>
      </c>
      <c r="C2269" s="23" t="e">
        <f ca="1">[1]!BexGetData("DP_1","003N8EMH8GTFRCSWKMPXRR8GU","GSON1112151743")</f>
        <v>#NAME?</v>
      </c>
      <c r="D2269" s="23" t="e">
        <f ca="1">[1]!BexGetData("DP_1","003N8EMH8GTFRCSWKMPXRRESE","GSON1112151743")</f>
        <v>#NAME?</v>
      </c>
      <c r="E2269" s="28" t="e">
        <f ca="1">[1]!BexGetData("DP_1","003N8EMH8GTFRCSWKMPXRRL3Y","GSON1112151743")</f>
        <v>#NAME?</v>
      </c>
      <c r="F2269" s="24" t="e">
        <f ca="1">[1]!BexGetData("DP_1","003N8EMH8GTFRCSWKMPXRRRFI","GSON1112151743")</f>
        <v>#NAME?</v>
      </c>
      <c r="G2269" s="24" t="e">
        <f ca="1">[1]!BexGetData("DP_1","003N8EMH8GTFRCSWKMPXRRXR2","GSON1112151743")</f>
        <v>#NAME?</v>
      </c>
      <c r="H2269" s="24" t="e">
        <f ca="1">[1]!BexGetData("DP_1","003N8EMH8GTFRCSWKMPXRS42M","GSON1112151743")</f>
        <v>#NAME?</v>
      </c>
      <c r="I2269" s="24" t="e">
        <f ca="1">[1]!BexGetData("DP_1","003N8EMH8GTFRCSWKMPXRSAE6","GSON1112151743")</f>
        <v>#NAME?</v>
      </c>
      <c r="J2269" s="24" t="e">
        <f ca="1">[1]!BexGetData("DP_1","003N8EMH8GTFRCSWKMPXRSGPQ","GSON1112151743")</f>
        <v>#NAME?</v>
      </c>
      <c r="K2269" s="28" t="e">
        <f ca="1">[1]!BexGetData("DP_1","003N8EMH8GTFRIVNUPY288VJH","GSON1112151743")</f>
        <v>#NAME?</v>
      </c>
      <c r="L2269" s="28" t="e">
        <f ca="1">[1]!BexGetData("DP_1","003N8EMH8GTFRIVNUPY2891V1","GSON1112151743")</f>
        <v>#NAME?</v>
      </c>
      <c r="M2269" s="28" t="e">
        <f ca="1">[1]!BexGetData("DP_1","003N8EMH8GTFRIVOG7KG9IQXA","GSON1112151743")</f>
        <v>#NAME?</v>
      </c>
      <c r="N2269" s="28" t="e">
        <f ca="1">[1]!BexGetData("DP_1","003N8EMH8GTFRIVOG7KG9IX8U","GSON1112151743")</f>
        <v>#NAME?</v>
      </c>
      <c r="O2269" s="28" t="e">
        <f ca="1">[1]!BexGetData("DP_1","003N8EMH8GTFRIVOG7KG9J3KE","GSON1112151743")</f>
        <v>#NAME?</v>
      </c>
      <c r="P2269" s="28" t="e">
        <f ca="1">[1]!BexGetData("DP_1","003N8EMH8GTFRIVOG7KG9J9VY","GSON1112151743")</f>
        <v>#NAME?</v>
      </c>
      <c r="Q2269" s="24" t="e">
        <f ca="1">[1]!BexGetData("DP_1","00O2TNJGODT0G5Z4TTKYMM5MT","GSON1112151743")</f>
        <v>#NAME?</v>
      </c>
      <c r="R2269" s="24" t="e">
        <f ca="1">[1]!BexGetData("DP_1","00O2TNJGODT0G5Z4TTKYMMBYD","GSON1112151743")</f>
        <v>#NAME?</v>
      </c>
      <c r="S2269" s="24" t="e">
        <f ca="1">[1]!BexGetData("DP_1","00O2TNJGODT0G5Z4TTKYMMI9X","GSON1112151743")</f>
        <v>#NAME?</v>
      </c>
      <c r="T2269" s="24" t="e">
        <f ca="1">[1]!BexGetData("DP_1","00O2TNJGODT0G5Z4TTKYMMOLH","GSON1112151743")</f>
        <v>#NAME?</v>
      </c>
      <c r="U2269" s="24" t="e">
        <f ca="1">[1]!BexGetData("DP_1","00O2TNJGODT0G5Z4TTKYMMUX1","GSON1112151743")</f>
        <v>#NAME?</v>
      </c>
      <c r="V2269" s="24" t="e">
        <f ca="1">[1]!BexGetData("DP_1","00O2TNJGODT0G5Z4TTKYMN18L","GSON1112151743")</f>
        <v>#NAME?</v>
      </c>
      <c r="W2269" s="24" t="e">
        <f ca="1">[1]!BexGetData("DP_1","00O2TNJGODT0G5Z4TTKYMN7K5","GSON1112151743")</f>
        <v>#NAME?</v>
      </c>
    </row>
    <row r="2270" spans="1:23" x14ac:dyDescent="0.2">
      <c r="A2270" s="36" t="s">
        <v>5508</v>
      </c>
      <c r="B2270" s="27" t="s">
        <v>5509</v>
      </c>
      <c r="C2270" s="23" t="e">
        <f ca="1">[1]!BexGetData("DP_1","003N8EMH8GTFRCSWKMPXRR8GU","GSON1112151750")</f>
        <v>#NAME?</v>
      </c>
      <c r="D2270" s="28" t="e">
        <f ca="1">[1]!BexGetData("DP_1","003N8EMH8GTFRCSWKMPXRRESE","GSON1112151750")</f>
        <v>#NAME?</v>
      </c>
      <c r="E2270" s="23" t="e">
        <f ca="1">[1]!BexGetData("DP_1","003N8EMH8GTFRCSWKMPXRRL3Y","GSON1112151750")</f>
        <v>#NAME?</v>
      </c>
      <c r="F2270" s="24" t="e">
        <f ca="1">[1]!BexGetData("DP_1","003N8EMH8GTFRCSWKMPXRRRFI","GSON1112151750")</f>
        <v>#NAME?</v>
      </c>
      <c r="G2270" s="24" t="e">
        <f ca="1">[1]!BexGetData("DP_1","003N8EMH8GTFRCSWKMPXRRXR2","GSON1112151750")</f>
        <v>#NAME?</v>
      </c>
      <c r="H2270" s="24" t="e">
        <f ca="1">[1]!BexGetData("DP_1","003N8EMH8GTFRCSWKMPXRS42M","GSON1112151750")</f>
        <v>#NAME?</v>
      </c>
      <c r="I2270" s="24" t="e">
        <f ca="1">[1]!BexGetData("DP_1","003N8EMH8GTFRCSWKMPXRSAE6","GSON1112151750")</f>
        <v>#NAME?</v>
      </c>
      <c r="J2270" s="24" t="e">
        <f ca="1">[1]!BexGetData("DP_1","003N8EMH8GTFRCSWKMPXRSGPQ","GSON1112151750")</f>
        <v>#NAME?</v>
      </c>
      <c r="K2270" s="23" t="e">
        <f ca="1">[1]!BexGetData("DP_1","003N8EMH8GTFRIVNUPY288VJH","GSON1112151750")</f>
        <v>#NAME?</v>
      </c>
      <c r="L2270" s="23" t="e">
        <f ca="1">[1]!BexGetData("DP_1","003N8EMH8GTFRIVNUPY2891V1","GSON1112151750")</f>
        <v>#NAME?</v>
      </c>
      <c r="M2270" s="28" t="e">
        <f ca="1">[1]!BexGetData("DP_1","003N8EMH8GTFRIVOG7KG9IQXA","GSON1112151750")</f>
        <v>#NAME?</v>
      </c>
      <c r="N2270" s="23" t="e">
        <f ca="1">[1]!BexGetData("DP_1","003N8EMH8GTFRIVOG7KG9IX8U","GSON1112151750")</f>
        <v>#NAME?</v>
      </c>
      <c r="O2270" s="28" t="e">
        <f ca="1">[1]!BexGetData("DP_1","003N8EMH8GTFRIVOG7KG9J3KE","GSON1112151750")</f>
        <v>#NAME?</v>
      </c>
      <c r="P2270" s="23" t="e">
        <f ca="1">[1]!BexGetData("DP_1","003N8EMH8GTFRIVOG7KG9J9VY","GSON1112151750")</f>
        <v>#NAME?</v>
      </c>
      <c r="Q2270" s="24" t="e">
        <f ca="1">[1]!BexGetData("DP_1","00O2TNJGODT0G5Z4TTKYMM5MT","GSON1112151750")</f>
        <v>#NAME?</v>
      </c>
      <c r="R2270" s="24" t="e">
        <f ca="1">[1]!BexGetData("DP_1","00O2TNJGODT0G5Z4TTKYMMBYD","GSON1112151750")</f>
        <v>#NAME?</v>
      </c>
      <c r="S2270" s="24" t="e">
        <f ca="1">[1]!BexGetData("DP_1","00O2TNJGODT0G5Z4TTKYMMI9X","GSON1112151750")</f>
        <v>#NAME?</v>
      </c>
      <c r="T2270" s="24" t="e">
        <f ca="1">[1]!BexGetData("DP_1","00O2TNJGODT0G5Z4TTKYMMOLH","GSON1112151750")</f>
        <v>#NAME?</v>
      </c>
      <c r="U2270" s="24" t="e">
        <f ca="1">[1]!BexGetData("DP_1","00O2TNJGODT0G5Z4TTKYMMUX1","GSON1112151750")</f>
        <v>#NAME?</v>
      </c>
      <c r="V2270" s="24" t="e">
        <f ca="1">[1]!BexGetData("DP_1","00O2TNJGODT0G5Z4TTKYMN18L","GSON1112151750")</f>
        <v>#NAME?</v>
      </c>
      <c r="W2270" s="24" t="e">
        <f ca="1">[1]!BexGetData("DP_1","00O2TNJGODT0G5Z4TTKYMN7K5","GSON1112151750")</f>
        <v>#NAME?</v>
      </c>
    </row>
    <row r="2271" spans="1:23" x14ac:dyDescent="0.2">
      <c r="A2271" s="36" t="s">
        <v>5510</v>
      </c>
      <c r="B2271" s="27" t="s">
        <v>5511</v>
      </c>
      <c r="C2271" s="28" t="e">
        <f ca="1">[1]!BexGetData("DP_1","003N8EMH8GTFRCSWKMPXRR8GU","GSON1112151751")</f>
        <v>#NAME?</v>
      </c>
      <c r="D2271" s="23" t="e">
        <f ca="1">[1]!BexGetData("DP_1","003N8EMH8GTFRCSWKMPXRRESE","GSON1112151751")</f>
        <v>#NAME?</v>
      </c>
      <c r="E2271" s="23" t="e">
        <f ca="1">[1]!BexGetData("DP_1","003N8EMH8GTFRCSWKMPXRRL3Y","GSON1112151751")</f>
        <v>#NAME?</v>
      </c>
      <c r="F2271" s="24" t="e">
        <f ca="1">[1]!BexGetData("DP_1","003N8EMH8GTFRCSWKMPXRRRFI","GSON1112151751")</f>
        <v>#NAME?</v>
      </c>
      <c r="G2271" s="24" t="e">
        <f ca="1">[1]!BexGetData("DP_1","003N8EMH8GTFRCSWKMPXRRXR2","GSON1112151751")</f>
        <v>#NAME?</v>
      </c>
      <c r="H2271" s="24" t="e">
        <f ca="1">[1]!BexGetData("DP_1","003N8EMH8GTFRCSWKMPXRS42M","GSON1112151751")</f>
        <v>#NAME?</v>
      </c>
      <c r="I2271" s="24" t="e">
        <f ca="1">[1]!BexGetData("DP_1","003N8EMH8GTFRCSWKMPXRSAE6","GSON1112151751")</f>
        <v>#NAME?</v>
      </c>
      <c r="J2271" s="24" t="e">
        <f ca="1">[1]!BexGetData("DP_1","003N8EMH8GTFRCSWKMPXRSGPQ","GSON1112151751")</f>
        <v>#NAME?</v>
      </c>
      <c r="K2271" s="23" t="e">
        <f ca="1">[1]!BexGetData("DP_1","003N8EMH8GTFRIVNUPY288VJH","GSON1112151751")</f>
        <v>#NAME?</v>
      </c>
      <c r="L2271" s="23" t="e">
        <f ca="1">[1]!BexGetData("DP_1","003N8EMH8GTFRIVNUPY2891V1","GSON1112151751")</f>
        <v>#NAME?</v>
      </c>
      <c r="M2271" s="23" t="e">
        <f ca="1">[1]!BexGetData("DP_1","003N8EMH8GTFRIVOG7KG9IQXA","GSON1112151751")</f>
        <v>#NAME?</v>
      </c>
      <c r="N2271" s="28" t="e">
        <f ca="1">[1]!BexGetData("DP_1","003N8EMH8GTFRIVOG7KG9IX8U","GSON1112151751")</f>
        <v>#NAME?</v>
      </c>
      <c r="O2271" s="23" t="e">
        <f ca="1">[1]!BexGetData("DP_1","003N8EMH8GTFRIVOG7KG9J3KE","GSON1112151751")</f>
        <v>#NAME?</v>
      </c>
      <c r="P2271" s="28" t="e">
        <f ca="1">[1]!BexGetData("DP_1","003N8EMH8GTFRIVOG7KG9J9VY","GSON1112151751")</f>
        <v>#NAME?</v>
      </c>
      <c r="Q2271" s="24" t="e">
        <f ca="1">[1]!BexGetData("DP_1","00O2TNJGODT0G5Z4TTKYMM5MT","GSON1112151751")</f>
        <v>#NAME?</v>
      </c>
      <c r="R2271" s="24" t="e">
        <f ca="1">[1]!BexGetData("DP_1","00O2TNJGODT0G5Z4TTKYMMBYD","GSON1112151751")</f>
        <v>#NAME?</v>
      </c>
      <c r="S2271" s="24" t="e">
        <f ca="1">[1]!BexGetData("DP_1","00O2TNJGODT0G5Z4TTKYMMI9X","GSON1112151751")</f>
        <v>#NAME?</v>
      </c>
      <c r="T2271" s="24" t="e">
        <f ca="1">[1]!BexGetData("DP_1","00O2TNJGODT0G5Z4TTKYMMOLH","GSON1112151751")</f>
        <v>#NAME?</v>
      </c>
      <c r="U2271" s="24" t="e">
        <f ca="1">[1]!BexGetData("DP_1","00O2TNJGODT0G5Z4TTKYMMUX1","GSON1112151751")</f>
        <v>#NAME?</v>
      </c>
      <c r="V2271" s="24" t="e">
        <f ca="1">[1]!BexGetData("DP_1","00O2TNJGODT0G5Z4TTKYMN18L","GSON1112151751")</f>
        <v>#NAME?</v>
      </c>
      <c r="W2271" s="24" t="e">
        <f ca="1">[1]!BexGetData("DP_1","00O2TNJGODT0G5Z4TTKYMN7K5","GSON1112151751")</f>
        <v>#NAME?</v>
      </c>
    </row>
    <row r="2272" spans="1:23" x14ac:dyDescent="0.2">
      <c r="A2272" s="36" t="s">
        <v>5512</v>
      </c>
      <c r="B2272" s="27" t="s">
        <v>5513</v>
      </c>
      <c r="C2272" s="23" t="e">
        <f ca="1">[1]!BexGetData("DP_1","003N8EMH8GTFRCSWKMPXRR8GU","GSON1112151760")</f>
        <v>#NAME?</v>
      </c>
      <c r="D2272" s="28" t="e">
        <f ca="1">[1]!BexGetData("DP_1","003N8EMH8GTFRCSWKMPXRRESE","GSON1112151760")</f>
        <v>#NAME?</v>
      </c>
      <c r="E2272" s="23" t="e">
        <f ca="1">[1]!BexGetData("DP_1","003N8EMH8GTFRCSWKMPXRRL3Y","GSON1112151760")</f>
        <v>#NAME?</v>
      </c>
      <c r="F2272" s="24" t="e">
        <f ca="1">[1]!BexGetData("DP_1","003N8EMH8GTFRCSWKMPXRRRFI","GSON1112151760")</f>
        <v>#NAME?</v>
      </c>
      <c r="G2272" s="24" t="e">
        <f ca="1">[1]!BexGetData("DP_1","003N8EMH8GTFRCSWKMPXRRXR2","GSON1112151760")</f>
        <v>#NAME?</v>
      </c>
      <c r="H2272" s="24" t="e">
        <f ca="1">[1]!BexGetData("DP_1","003N8EMH8GTFRCSWKMPXRS42M","GSON1112151760")</f>
        <v>#NAME?</v>
      </c>
      <c r="I2272" s="24" t="e">
        <f ca="1">[1]!BexGetData("DP_1","003N8EMH8GTFRCSWKMPXRSAE6","GSON1112151760")</f>
        <v>#NAME?</v>
      </c>
      <c r="J2272" s="24" t="e">
        <f ca="1">[1]!BexGetData("DP_1","003N8EMH8GTFRCSWKMPXRSGPQ","GSON1112151760")</f>
        <v>#NAME?</v>
      </c>
      <c r="K2272" s="23" t="e">
        <f ca="1">[1]!BexGetData("DP_1","003N8EMH8GTFRIVNUPY288VJH","GSON1112151760")</f>
        <v>#NAME?</v>
      </c>
      <c r="L2272" s="23" t="e">
        <f ca="1">[1]!BexGetData("DP_1","003N8EMH8GTFRIVNUPY2891V1","GSON1112151760")</f>
        <v>#NAME?</v>
      </c>
      <c r="M2272" s="28" t="e">
        <f ca="1">[1]!BexGetData("DP_1","003N8EMH8GTFRIVOG7KG9IQXA","GSON1112151760")</f>
        <v>#NAME?</v>
      </c>
      <c r="N2272" s="23" t="e">
        <f ca="1">[1]!BexGetData("DP_1","003N8EMH8GTFRIVOG7KG9IX8U","GSON1112151760")</f>
        <v>#NAME?</v>
      </c>
      <c r="O2272" s="28" t="e">
        <f ca="1">[1]!BexGetData("DP_1","003N8EMH8GTFRIVOG7KG9J3KE","GSON1112151760")</f>
        <v>#NAME?</v>
      </c>
      <c r="P2272" s="23" t="e">
        <f ca="1">[1]!BexGetData("DP_1","003N8EMH8GTFRIVOG7KG9J9VY","GSON1112151760")</f>
        <v>#NAME?</v>
      </c>
      <c r="Q2272" s="24" t="e">
        <f ca="1">[1]!BexGetData("DP_1","00O2TNJGODT0G5Z4TTKYMM5MT","GSON1112151760")</f>
        <v>#NAME?</v>
      </c>
      <c r="R2272" s="24" t="e">
        <f ca="1">[1]!BexGetData("DP_1","00O2TNJGODT0G5Z4TTKYMMBYD","GSON1112151760")</f>
        <v>#NAME?</v>
      </c>
      <c r="S2272" s="24" t="e">
        <f ca="1">[1]!BexGetData("DP_1","00O2TNJGODT0G5Z4TTKYMMI9X","GSON1112151760")</f>
        <v>#NAME?</v>
      </c>
      <c r="T2272" s="24" t="e">
        <f ca="1">[1]!BexGetData("DP_1","00O2TNJGODT0G5Z4TTKYMMOLH","GSON1112151760")</f>
        <v>#NAME?</v>
      </c>
      <c r="U2272" s="24" t="e">
        <f ca="1">[1]!BexGetData("DP_1","00O2TNJGODT0G5Z4TTKYMMUX1","GSON1112151760")</f>
        <v>#NAME?</v>
      </c>
      <c r="V2272" s="24" t="e">
        <f ca="1">[1]!BexGetData("DP_1","00O2TNJGODT0G5Z4TTKYMN18L","GSON1112151760")</f>
        <v>#NAME?</v>
      </c>
      <c r="W2272" s="24" t="e">
        <f ca="1">[1]!BexGetData("DP_1","00O2TNJGODT0G5Z4TTKYMN7K5","GSON1112151760")</f>
        <v>#NAME?</v>
      </c>
    </row>
    <row r="2273" spans="1:23" x14ac:dyDescent="0.2">
      <c r="A2273" s="36" t="s">
        <v>5514</v>
      </c>
      <c r="B2273" s="27" t="s">
        <v>5515</v>
      </c>
      <c r="C2273" s="28" t="e">
        <f ca="1">[1]!BexGetData("DP_1","003N8EMH8GTFRCSWKMPXRR8GU","GSON1112151761")</f>
        <v>#NAME?</v>
      </c>
      <c r="D2273" s="23" t="e">
        <f ca="1">[1]!BexGetData("DP_1","003N8EMH8GTFRCSWKMPXRRESE","GSON1112151761")</f>
        <v>#NAME?</v>
      </c>
      <c r="E2273" s="23" t="e">
        <f ca="1">[1]!BexGetData("DP_1","003N8EMH8GTFRCSWKMPXRRL3Y","GSON1112151761")</f>
        <v>#NAME?</v>
      </c>
      <c r="F2273" s="24" t="e">
        <f ca="1">[1]!BexGetData("DP_1","003N8EMH8GTFRCSWKMPXRRRFI","GSON1112151761")</f>
        <v>#NAME?</v>
      </c>
      <c r="G2273" s="24" t="e">
        <f ca="1">[1]!BexGetData("DP_1","003N8EMH8GTFRCSWKMPXRRXR2","GSON1112151761")</f>
        <v>#NAME?</v>
      </c>
      <c r="H2273" s="24" t="e">
        <f ca="1">[1]!BexGetData("DP_1","003N8EMH8GTFRCSWKMPXRS42M","GSON1112151761")</f>
        <v>#NAME?</v>
      </c>
      <c r="I2273" s="24" t="e">
        <f ca="1">[1]!BexGetData("DP_1","003N8EMH8GTFRCSWKMPXRSAE6","GSON1112151761")</f>
        <v>#NAME?</v>
      </c>
      <c r="J2273" s="24" t="e">
        <f ca="1">[1]!BexGetData("DP_1","003N8EMH8GTFRCSWKMPXRSGPQ","GSON1112151761")</f>
        <v>#NAME?</v>
      </c>
      <c r="K2273" s="23" t="e">
        <f ca="1">[1]!BexGetData("DP_1","003N8EMH8GTFRIVNUPY288VJH","GSON1112151761")</f>
        <v>#NAME?</v>
      </c>
      <c r="L2273" s="23" t="e">
        <f ca="1">[1]!BexGetData("DP_1","003N8EMH8GTFRIVNUPY2891V1","GSON1112151761")</f>
        <v>#NAME?</v>
      </c>
      <c r="M2273" s="23" t="e">
        <f ca="1">[1]!BexGetData("DP_1","003N8EMH8GTFRIVOG7KG9IQXA","GSON1112151761")</f>
        <v>#NAME?</v>
      </c>
      <c r="N2273" s="28" t="e">
        <f ca="1">[1]!BexGetData("DP_1","003N8EMH8GTFRIVOG7KG9IX8U","GSON1112151761")</f>
        <v>#NAME?</v>
      </c>
      <c r="O2273" s="23" t="e">
        <f ca="1">[1]!BexGetData("DP_1","003N8EMH8GTFRIVOG7KG9J3KE","GSON1112151761")</f>
        <v>#NAME?</v>
      </c>
      <c r="P2273" s="28" t="e">
        <f ca="1">[1]!BexGetData("DP_1","003N8EMH8GTFRIVOG7KG9J9VY","GSON1112151761")</f>
        <v>#NAME?</v>
      </c>
      <c r="Q2273" s="24" t="e">
        <f ca="1">[1]!BexGetData("DP_1","00O2TNJGODT0G5Z4TTKYMM5MT","GSON1112151761")</f>
        <v>#NAME?</v>
      </c>
      <c r="R2273" s="24" t="e">
        <f ca="1">[1]!BexGetData("DP_1","00O2TNJGODT0G5Z4TTKYMMBYD","GSON1112151761")</f>
        <v>#NAME?</v>
      </c>
      <c r="S2273" s="24" t="e">
        <f ca="1">[1]!BexGetData("DP_1","00O2TNJGODT0G5Z4TTKYMMI9X","GSON1112151761")</f>
        <v>#NAME?</v>
      </c>
      <c r="T2273" s="24" t="e">
        <f ca="1">[1]!BexGetData("DP_1","00O2TNJGODT0G5Z4TTKYMMOLH","GSON1112151761")</f>
        <v>#NAME?</v>
      </c>
      <c r="U2273" s="24" t="e">
        <f ca="1">[1]!BexGetData("DP_1","00O2TNJGODT0G5Z4TTKYMMUX1","GSON1112151761")</f>
        <v>#NAME?</v>
      </c>
      <c r="V2273" s="24" t="e">
        <f ca="1">[1]!BexGetData("DP_1","00O2TNJGODT0G5Z4TTKYMN18L","GSON1112151761")</f>
        <v>#NAME?</v>
      </c>
      <c r="W2273" s="24" t="e">
        <f ca="1">[1]!BexGetData("DP_1","00O2TNJGODT0G5Z4TTKYMN7K5","GSON1112151761")</f>
        <v>#NAME?</v>
      </c>
    </row>
    <row r="2274" spans="1:23" x14ac:dyDescent="0.2">
      <c r="A2274" s="36" t="s">
        <v>5516</v>
      </c>
      <c r="B2274" s="27" t="s">
        <v>5517</v>
      </c>
      <c r="C2274" s="23" t="e">
        <f ca="1">[1]!BexGetData("DP_1","003N8EMH8GTFRCSWKMPXRR8GU","GSON1112160010")</f>
        <v>#NAME?</v>
      </c>
      <c r="D2274" s="23" t="e">
        <f ca="1">[1]!BexGetData("DP_1","003N8EMH8GTFRCSWKMPXRRESE","GSON1112160010")</f>
        <v>#NAME?</v>
      </c>
      <c r="E2274" s="23" t="e">
        <f ca="1">[1]!BexGetData("DP_1","003N8EMH8GTFRCSWKMPXRRL3Y","GSON1112160010")</f>
        <v>#NAME?</v>
      </c>
      <c r="F2274" s="23" t="e">
        <f ca="1">[1]!BexGetData("DP_1","003N8EMH8GTFRCSWKMPXRRRFI","GSON1112160010")</f>
        <v>#NAME?</v>
      </c>
      <c r="G2274" s="23" t="e">
        <f ca="1">[1]!BexGetData("DP_1","003N8EMH8GTFRCSWKMPXRRXR2","GSON1112160010")</f>
        <v>#NAME?</v>
      </c>
      <c r="H2274" s="23" t="e">
        <f ca="1">[1]!BexGetData("DP_1","003N8EMH8GTFRCSWKMPXRS42M","GSON1112160010")</f>
        <v>#NAME?</v>
      </c>
      <c r="I2274" s="23" t="e">
        <f ca="1">[1]!BexGetData("DP_1","003N8EMH8GTFRCSWKMPXRSAE6","GSON1112160010")</f>
        <v>#NAME?</v>
      </c>
      <c r="J2274" s="23" t="e">
        <f ca="1">[1]!BexGetData("DP_1","003N8EMH8GTFRCSWKMPXRSGPQ","GSON1112160010")</f>
        <v>#NAME?</v>
      </c>
      <c r="K2274" s="23" t="e">
        <f ca="1">[1]!BexGetData("DP_1","003N8EMH8GTFRIVNUPY288VJH","GSON1112160010")</f>
        <v>#NAME?</v>
      </c>
      <c r="L2274" s="23" t="e">
        <f ca="1">[1]!BexGetData("DP_1","003N8EMH8GTFRIVNUPY2891V1","GSON1112160010")</f>
        <v>#NAME?</v>
      </c>
      <c r="M2274" s="23" t="e">
        <f ca="1">[1]!BexGetData("DP_1","003N8EMH8GTFRIVOG7KG9IQXA","GSON1112160010")</f>
        <v>#NAME?</v>
      </c>
      <c r="N2274" s="28" t="e">
        <f ca="1">[1]!BexGetData("DP_1","003N8EMH8GTFRIVOG7KG9IX8U","GSON1112160010")</f>
        <v>#NAME?</v>
      </c>
      <c r="O2274" s="23" t="e">
        <f ca="1">[1]!BexGetData("DP_1","003N8EMH8GTFRIVOG7KG9J3KE","GSON1112160010")</f>
        <v>#NAME?</v>
      </c>
      <c r="P2274" s="28" t="e">
        <f ca="1">[1]!BexGetData("DP_1","003N8EMH8GTFRIVOG7KG9J9VY","GSON1112160010")</f>
        <v>#NAME?</v>
      </c>
      <c r="Q2274" s="23" t="e">
        <f ca="1">[1]!BexGetData("DP_1","00O2TNJGODT0G5Z4TTKYMM5MT","GSON1112160010")</f>
        <v>#NAME?</v>
      </c>
      <c r="R2274" s="23" t="e">
        <f ca="1">[1]!BexGetData("DP_1","00O2TNJGODT0G5Z4TTKYMMBYD","GSON1112160010")</f>
        <v>#NAME?</v>
      </c>
      <c r="S2274" s="23" t="e">
        <f ca="1">[1]!BexGetData("DP_1","00O2TNJGODT0G5Z4TTKYMMI9X","GSON1112160010")</f>
        <v>#NAME?</v>
      </c>
      <c r="T2274" s="23" t="e">
        <f ca="1">[1]!BexGetData("DP_1","00O2TNJGODT0G5Z4TTKYMMOLH","GSON1112160010")</f>
        <v>#NAME?</v>
      </c>
      <c r="U2274" s="28" t="e">
        <f ca="1">[1]!BexGetData("DP_1","00O2TNJGODT0G5Z4TTKYMMUX1","GSON1112160010")</f>
        <v>#NAME?</v>
      </c>
      <c r="V2274" s="23" t="e">
        <f ca="1">[1]!BexGetData("DP_1","00O2TNJGODT0G5Z4TTKYMN18L","GSON1112160010")</f>
        <v>#NAME?</v>
      </c>
      <c r="W2274" s="28" t="e">
        <f ca="1">[1]!BexGetData("DP_1","00O2TNJGODT0G5Z4TTKYMN7K5","GSON1112160010")</f>
        <v>#NAME?</v>
      </c>
    </row>
    <row r="2275" spans="1:23" x14ac:dyDescent="0.2">
      <c r="A2275" s="36" t="s">
        <v>5518</v>
      </c>
      <c r="B2275" s="27" t="s">
        <v>5519</v>
      </c>
      <c r="C2275" s="23" t="e">
        <f ca="1">[1]!BexGetData("DP_1","003N8EMH8GTFRCSWKMPXRR8GU","GSON1112160011")</f>
        <v>#NAME?</v>
      </c>
      <c r="D2275" s="23" t="e">
        <f ca="1">[1]!BexGetData("DP_1","003N8EMH8GTFRCSWKMPXRRESE","GSON1112160011")</f>
        <v>#NAME?</v>
      </c>
      <c r="E2275" s="28" t="e">
        <f ca="1">[1]!BexGetData("DP_1","003N8EMH8GTFRCSWKMPXRRL3Y","GSON1112160011")</f>
        <v>#NAME?</v>
      </c>
      <c r="F2275" s="28" t="e">
        <f ca="1">[1]!BexGetData("DP_1","003N8EMH8GTFRCSWKMPXRRRFI","GSON1112160011")</f>
        <v>#NAME?</v>
      </c>
      <c r="G2275" s="23" t="e">
        <f ca="1">[1]!BexGetData("DP_1","003N8EMH8GTFRCSWKMPXRRXR2","GSON1112160011")</f>
        <v>#NAME?</v>
      </c>
      <c r="H2275" s="23" t="e">
        <f ca="1">[1]!BexGetData("DP_1","003N8EMH8GTFRCSWKMPXRS42M","GSON1112160011")</f>
        <v>#NAME?</v>
      </c>
      <c r="I2275" s="28" t="e">
        <f ca="1">[1]!BexGetData("DP_1","003N8EMH8GTFRCSWKMPXRSAE6","GSON1112160011")</f>
        <v>#NAME?</v>
      </c>
      <c r="J2275" s="24" t="e">
        <f ca="1">[1]!BexGetData("DP_1","003N8EMH8GTFRCSWKMPXRSGPQ","GSON1112160011")</f>
        <v>#NAME?</v>
      </c>
      <c r="K2275" s="28" t="e">
        <f ca="1">[1]!BexGetData("DP_1","003N8EMH8GTFRIVNUPY288VJH","GSON1112160011")</f>
        <v>#NAME?</v>
      </c>
      <c r="L2275" s="28" t="e">
        <f ca="1">[1]!BexGetData("DP_1","003N8EMH8GTFRIVNUPY2891V1","GSON1112160011")</f>
        <v>#NAME?</v>
      </c>
      <c r="M2275" s="28" t="e">
        <f ca="1">[1]!BexGetData("DP_1","003N8EMH8GTFRIVOG7KG9IQXA","GSON1112160011")</f>
        <v>#NAME?</v>
      </c>
      <c r="N2275" s="28" t="e">
        <f ca="1">[1]!BexGetData("DP_1","003N8EMH8GTFRIVOG7KG9IX8U","GSON1112160011")</f>
        <v>#NAME?</v>
      </c>
      <c r="O2275" s="28" t="e">
        <f ca="1">[1]!BexGetData("DP_1","003N8EMH8GTFRIVOG7KG9J3KE","GSON1112160011")</f>
        <v>#NAME?</v>
      </c>
      <c r="P2275" s="28" t="e">
        <f ca="1">[1]!BexGetData("DP_1","003N8EMH8GTFRIVOG7KG9J9VY","GSON1112160011")</f>
        <v>#NAME?</v>
      </c>
      <c r="Q2275" s="24" t="e">
        <f ca="1">[1]!BexGetData("DP_1","00O2TNJGODT0G5Z4TTKYMM5MT","GSON1112160011")</f>
        <v>#NAME?</v>
      </c>
      <c r="R2275" s="28" t="e">
        <f ca="1">[1]!BexGetData("DP_1","00O2TNJGODT0G5Z4TTKYMMBYD","GSON1112160011")</f>
        <v>#NAME?</v>
      </c>
      <c r="S2275" s="28" t="e">
        <f ca="1">[1]!BexGetData("DP_1","00O2TNJGODT0G5Z4TTKYMMI9X","GSON1112160011")</f>
        <v>#NAME?</v>
      </c>
      <c r="T2275" s="28" t="e">
        <f ca="1">[1]!BexGetData("DP_1","00O2TNJGODT0G5Z4TTKYMMOLH","GSON1112160011")</f>
        <v>#NAME?</v>
      </c>
      <c r="U2275" s="28" t="e">
        <f ca="1">[1]!BexGetData("DP_1","00O2TNJGODT0G5Z4TTKYMMUX1","GSON1112160011")</f>
        <v>#NAME?</v>
      </c>
      <c r="V2275" s="28" t="e">
        <f ca="1">[1]!BexGetData("DP_1","00O2TNJGODT0G5Z4TTKYMN18L","GSON1112160011")</f>
        <v>#NAME?</v>
      </c>
      <c r="W2275" s="28" t="e">
        <f ca="1">[1]!BexGetData("DP_1","00O2TNJGODT0G5Z4TTKYMN7K5","GSON1112160011")</f>
        <v>#NAME?</v>
      </c>
    </row>
    <row r="2276" spans="1:23" x14ac:dyDescent="0.2">
      <c r="A2276" s="36" t="s">
        <v>5520</v>
      </c>
      <c r="B2276" s="27" t="s">
        <v>1621</v>
      </c>
      <c r="C2276" s="23" t="e">
        <f ca="1">[1]!BexGetData("DP_1","003N8EMH8GTFRCSWKMPXRR8GU","GSON1112160012")</f>
        <v>#NAME?</v>
      </c>
      <c r="D2276" s="23" t="e">
        <f ca="1">[1]!BexGetData("DP_1","003N8EMH8GTFRCSWKMPXRRESE","GSON1112160012")</f>
        <v>#NAME?</v>
      </c>
      <c r="E2276" s="28" t="e">
        <f ca="1">[1]!BexGetData("DP_1","003N8EMH8GTFRCSWKMPXRRL3Y","GSON1112160012")</f>
        <v>#NAME?</v>
      </c>
      <c r="F2276" s="28" t="e">
        <f ca="1">[1]!BexGetData("DP_1","003N8EMH8GTFRCSWKMPXRRRFI","GSON1112160012")</f>
        <v>#NAME?</v>
      </c>
      <c r="G2276" s="23" t="e">
        <f ca="1">[1]!BexGetData("DP_1","003N8EMH8GTFRCSWKMPXRRXR2","GSON1112160012")</f>
        <v>#NAME?</v>
      </c>
      <c r="H2276" s="23" t="e">
        <f ca="1">[1]!BexGetData("DP_1","003N8EMH8GTFRCSWKMPXRS42M","GSON1112160012")</f>
        <v>#NAME?</v>
      </c>
      <c r="I2276" s="28" t="e">
        <f ca="1">[1]!BexGetData("DP_1","003N8EMH8GTFRCSWKMPXRSAE6","GSON1112160012")</f>
        <v>#NAME?</v>
      </c>
      <c r="J2276" s="24" t="e">
        <f ca="1">[1]!BexGetData("DP_1","003N8EMH8GTFRCSWKMPXRSGPQ","GSON1112160012")</f>
        <v>#NAME?</v>
      </c>
      <c r="K2276" s="28" t="e">
        <f ca="1">[1]!BexGetData("DP_1","003N8EMH8GTFRIVNUPY288VJH","GSON1112160012")</f>
        <v>#NAME?</v>
      </c>
      <c r="L2276" s="28" t="e">
        <f ca="1">[1]!BexGetData("DP_1","003N8EMH8GTFRIVNUPY2891V1","GSON1112160012")</f>
        <v>#NAME?</v>
      </c>
      <c r="M2276" s="28" t="e">
        <f ca="1">[1]!BexGetData("DP_1","003N8EMH8GTFRIVOG7KG9IQXA","GSON1112160012")</f>
        <v>#NAME?</v>
      </c>
      <c r="N2276" s="28" t="e">
        <f ca="1">[1]!BexGetData("DP_1","003N8EMH8GTFRIVOG7KG9IX8U","GSON1112160012")</f>
        <v>#NAME?</v>
      </c>
      <c r="O2276" s="28" t="e">
        <f ca="1">[1]!BexGetData("DP_1","003N8EMH8GTFRIVOG7KG9J3KE","GSON1112160012")</f>
        <v>#NAME?</v>
      </c>
      <c r="P2276" s="28" t="e">
        <f ca="1">[1]!BexGetData("DP_1","003N8EMH8GTFRIVOG7KG9J9VY","GSON1112160012")</f>
        <v>#NAME?</v>
      </c>
      <c r="Q2276" s="24" t="e">
        <f ca="1">[1]!BexGetData("DP_1","00O2TNJGODT0G5Z4TTKYMM5MT","GSON1112160012")</f>
        <v>#NAME?</v>
      </c>
      <c r="R2276" s="28" t="e">
        <f ca="1">[1]!BexGetData("DP_1","00O2TNJGODT0G5Z4TTKYMMBYD","GSON1112160012")</f>
        <v>#NAME?</v>
      </c>
      <c r="S2276" s="28" t="e">
        <f ca="1">[1]!BexGetData("DP_1","00O2TNJGODT0G5Z4TTKYMMI9X","GSON1112160012")</f>
        <v>#NAME?</v>
      </c>
      <c r="T2276" s="28" t="e">
        <f ca="1">[1]!BexGetData("DP_1","00O2TNJGODT0G5Z4TTKYMMOLH","GSON1112160012")</f>
        <v>#NAME?</v>
      </c>
      <c r="U2276" s="28" t="e">
        <f ca="1">[1]!BexGetData("DP_1","00O2TNJGODT0G5Z4TTKYMMUX1","GSON1112160012")</f>
        <v>#NAME?</v>
      </c>
      <c r="V2276" s="28" t="e">
        <f ca="1">[1]!BexGetData("DP_1","00O2TNJGODT0G5Z4TTKYMN18L","GSON1112160012")</f>
        <v>#NAME?</v>
      </c>
      <c r="W2276" s="28" t="e">
        <f ca="1">[1]!BexGetData("DP_1","00O2TNJGODT0G5Z4TTKYMN7K5","GSON1112160012")</f>
        <v>#NAME?</v>
      </c>
    </row>
    <row r="2277" spans="1:23" x14ac:dyDescent="0.2">
      <c r="A2277" s="36" t="s">
        <v>666</v>
      </c>
      <c r="B2277" s="27" t="s">
        <v>667</v>
      </c>
      <c r="C2277" s="23" t="e">
        <f ca="1">[1]!BexGetData("DP_1","003N8EMH8GTFRCSWKMPXRR8GU","GSON1112160013")</f>
        <v>#NAME?</v>
      </c>
      <c r="D2277" s="23" t="e">
        <f ca="1">[1]!BexGetData("DP_1","003N8EMH8GTFRCSWKMPXRRESE","GSON1112160013")</f>
        <v>#NAME?</v>
      </c>
      <c r="E2277" s="28" t="e">
        <f ca="1">[1]!BexGetData("DP_1","003N8EMH8GTFRCSWKMPXRRL3Y","GSON1112160013")</f>
        <v>#NAME?</v>
      </c>
      <c r="F2277" s="28" t="e">
        <f ca="1">[1]!BexGetData("DP_1","003N8EMH8GTFRCSWKMPXRRRFI","GSON1112160013")</f>
        <v>#NAME?</v>
      </c>
      <c r="G2277" s="23" t="e">
        <f ca="1">[1]!BexGetData("DP_1","003N8EMH8GTFRCSWKMPXRRXR2","GSON1112160013")</f>
        <v>#NAME?</v>
      </c>
      <c r="H2277" s="23" t="e">
        <f ca="1">[1]!BexGetData("DP_1","003N8EMH8GTFRCSWKMPXRS42M","GSON1112160013")</f>
        <v>#NAME?</v>
      </c>
      <c r="I2277" s="28" t="e">
        <f ca="1">[1]!BexGetData("DP_1","003N8EMH8GTFRCSWKMPXRSAE6","GSON1112160013")</f>
        <v>#NAME?</v>
      </c>
      <c r="J2277" s="24" t="e">
        <f ca="1">[1]!BexGetData("DP_1","003N8EMH8GTFRCSWKMPXRSGPQ","GSON1112160013")</f>
        <v>#NAME?</v>
      </c>
      <c r="K2277" s="28" t="e">
        <f ca="1">[1]!BexGetData("DP_1","003N8EMH8GTFRIVNUPY288VJH","GSON1112160013")</f>
        <v>#NAME?</v>
      </c>
      <c r="L2277" s="28" t="e">
        <f ca="1">[1]!BexGetData("DP_1","003N8EMH8GTFRIVNUPY2891V1","GSON1112160013")</f>
        <v>#NAME?</v>
      </c>
      <c r="M2277" s="28" t="e">
        <f ca="1">[1]!BexGetData("DP_1","003N8EMH8GTFRIVOG7KG9IQXA","GSON1112160013")</f>
        <v>#NAME?</v>
      </c>
      <c r="N2277" s="28" t="e">
        <f ca="1">[1]!BexGetData("DP_1","003N8EMH8GTFRIVOG7KG9IX8U","GSON1112160013")</f>
        <v>#NAME?</v>
      </c>
      <c r="O2277" s="28" t="e">
        <f ca="1">[1]!BexGetData("DP_1","003N8EMH8GTFRIVOG7KG9J3KE","GSON1112160013")</f>
        <v>#NAME?</v>
      </c>
      <c r="P2277" s="28" t="e">
        <f ca="1">[1]!BexGetData("DP_1","003N8EMH8GTFRIVOG7KG9J9VY","GSON1112160013")</f>
        <v>#NAME?</v>
      </c>
      <c r="Q2277" s="24" t="e">
        <f ca="1">[1]!BexGetData("DP_1","00O2TNJGODT0G5Z4TTKYMM5MT","GSON1112160013")</f>
        <v>#NAME?</v>
      </c>
      <c r="R2277" s="28" t="e">
        <f ca="1">[1]!BexGetData("DP_1","00O2TNJGODT0G5Z4TTKYMMBYD","GSON1112160013")</f>
        <v>#NAME?</v>
      </c>
      <c r="S2277" s="28" t="e">
        <f ca="1">[1]!BexGetData("DP_1","00O2TNJGODT0G5Z4TTKYMMI9X","GSON1112160013")</f>
        <v>#NAME?</v>
      </c>
      <c r="T2277" s="28" t="e">
        <f ca="1">[1]!BexGetData("DP_1","00O2TNJGODT0G5Z4TTKYMMOLH","GSON1112160013")</f>
        <v>#NAME?</v>
      </c>
      <c r="U2277" s="28" t="e">
        <f ca="1">[1]!BexGetData("DP_1","00O2TNJGODT0G5Z4TTKYMMUX1","GSON1112160013")</f>
        <v>#NAME?</v>
      </c>
      <c r="V2277" s="28" t="e">
        <f ca="1">[1]!BexGetData("DP_1","00O2TNJGODT0G5Z4TTKYMN18L","GSON1112160013")</f>
        <v>#NAME?</v>
      </c>
      <c r="W2277" s="28" t="e">
        <f ca="1">[1]!BexGetData("DP_1","00O2TNJGODT0G5Z4TTKYMN7K5","GSON1112160013")</f>
        <v>#NAME?</v>
      </c>
    </row>
    <row r="2278" spans="1:23" x14ac:dyDescent="0.2">
      <c r="A2278" s="36" t="s">
        <v>5521</v>
      </c>
      <c r="B2278" s="27" t="s">
        <v>5522</v>
      </c>
      <c r="C2278" s="23" t="e">
        <f ca="1">[1]!BexGetData("DP_1","003N8EMH8GTFRCSWKMPXRR8GU","GSON1112160014")</f>
        <v>#NAME?</v>
      </c>
      <c r="D2278" s="23" t="e">
        <f ca="1">[1]!BexGetData("DP_1","003N8EMH8GTFRCSWKMPXRRESE","GSON1112160014")</f>
        <v>#NAME?</v>
      </c>
      <c r="E2278" s="28" t="e">
        <f ca="1">[1]!BexGetData("DP_1","003N8EMH8GTFRCSWKMPXRRL3Y","GSON1112160014")</f>
        <v>#NAME?</v>
      </c>
      <c r="F2278" s="28" t="e">
        <f ca="1">[1]!BexGetData("DP_1","003N8EMH8GTFRCSWKMPXRRRFI","GSON1112160014")</f>
        <v>#NAME?</v>
      </c>
      <c r="G2278" s="23" t="e">
        <f ca="1">[1]!BexGetData("DP_1","003N8EMH8GTFRCSWKMPXRRXR2","GSON1112160014")</f>
        <v>#NAME?</v>
      </c>
      <c r="H2278" s="23" t="e">
        <f ca="1">[1]!BexGetData("DP_1","003N8EMH8GTFRCSWKMPXRS42M","GSON1112160014")</f>
        <v>#NAME?</v>
      </c>
      <c r="I2278" s="28" t="e">
        <f ca="1">[1]!BexGetData("DP_1","003N8EMH8GTFRCSWKMPXRSAE6","GSON1112160014")</f>
        <v>#NAME?</v>
      </c>
      <c r="J2278" s="24" t="e">
        <f ca="1">[1]!BexGetData("DP_1","003N8EMH8GTFRCSWKMPXRSGPQ","GSON1112160014")</f>
        <v>#NAME?</v>
      </c>
      <c r="K2278" s="28" t="e">
        <f ca="1">[1]!BexGetData("DP_1","003N8EMH8GTFRIVNUPY288VJH","GSON1112160014")</f>
        <v>#NAME?</v>
      </c>
      <c r="L2278" s="28" t="e">
        <f ca="1">[1]!BexGetData("DP_1","003N8EMH8GTFRIVNUPY2891V1","GSON1112160014")</f>
        <v>#NAME?</v>
      </c>
      <c r="M2278" s="28" t="e">
        <f ca="1">[1]!BexGetData("DP_1","003N8EMH8GTFRIVOG7KG9IQXA","GSON1112160014")</f>
        <v>#NAME?</v>
      </c>
      <c r="N2278" s="28" t="e">
        <f ca="1">[1]!BexGetData("DP_1","003N8EMH8GTFRIVOG7KG9IX8U","GSON1112160014")</f>
        <v>#NAME?</v>
      </c>
      <c r="O2278" s="28" t="e">
        <f ca="1">[1]!BexGetData("DP_1","003N8EMH8GTFRIVOG7KG9J3KE","GSON1112160014")</f>
        <v>#NAME?</v>
      </c>
      <c r="P2278" s="28" t="e">
        <f ca="1">[1]!BexGetData("DP_1","003N8EMH8GTFRIVOG7KG9J9VY","GSON1112160014")</f>
        <v>#NAME?</v>
      </c>
      <c r="Q2278" s="24" t="e">
        <f ca="1">[1]!BexGetData("DP_1","00O2TNJGODT0G5Z4TTKYMM5MT","GSON1112160014")</f>
        <v>#NAME?</v>
      </c>
      <c r="R2278" s="28" t="e">
        <f ca="1">[1]!BexGetData("DP_1","00O2TNJGODT0G5Z4TTKYMMBYD","GSON1112160014")</f>
        <v>#NAME?</v>
      </c>
      <c r="S2278" s="28" t="e">
        <f ca="1">[1]!BexGetData("DP_1","00O2TNJGODT0G5Z4TTKYMMI9X","GSON1112160014")</f>
        <v>#NAME?</v>
      </c>
      <c r="T2278" s="28" t="e">
        <f ca="1">[1]!BexGetData("DP_1","00O2TNJGODT0G5Z4TTKYMMOLH","GSON1112160014")</f>
        <v>#NAME?</v>
      </c>
      <c r="U2278" s="28" t="e">
        <f ca="1">[1]!BexGetData("DP_1","00O2TNJGODT0G5Z4TTKYMMUX1","GSON1112160014")</f>
        <v>#NAME?</v>
      </c>
      <c r="V2278" s="28" t="e">
        <f ca="1">[1]!BexGetData("DP_1","00O2TNJGODT0G5Z4TTKYMN18L","GSON1112160014")</f>
        <v>#NAME?</v>
      </c>
      <c r="W2278" s="28" t="e">
        <f ca="1">[1]!BexGetData("DP_1","00O2TNJGODT0G5Z4TTKYMN7K5","GSON1112160014")</f>
        <v>#NAME?</v>
      </c>
    </row>
    <row r="2279" spans="1:23" x14ac:dyDescent="0.2">
      <c r="A2279" s="36" t="s">
        <v>5523</v>
      </c>
      <c r="B2279" s="27" t="s">
        <v>5524</v>
      </c>
      <c r="C2279" s="23" t="e">
        <f ca="1">[1]!BexGetData("DP_1","003N8EMH8GTFRCSWKMPXRR8GU","GSON1112160020")</f>
        <v>#NAME?</v>
      </c>
      <c r="D2279" s="23" t="e">
        <f ca="1">[1]!BexGetData("DP_1","003N8EMH8GTFRCSWKMPXRRESE","GSON1112160020")</f>
        <v>#NAME?</v>
      </c>
      <c r="E2279" s="23" t="e">
        <f ca="1">[1]!BexGetData("DP_1","003N8EMH8GTFRCSWKMPXRRL3Y","GSON1112160020")</f>
        <v>#NAME?</v>
      </c>
      <c r="F2279" s="23" t="e">
        <f ca="1">[1]!BexGetData("DP_1","003N8EMH8GTFRCSWKMPXRRRFI","GSON1112160020")</f>
        <v>#NAME?</v>
      </c>
      <c r="G2279" s="23" t="e">
        <f ca="1">[1]!BexGetData("DP_1","003N8EMH8GTFRCSWKMPXRRXR2","GSON1112160020")</f>
        <v>#NAME?</v>
      </c>
      <c r="H2279" s="23" t="e">
        <f ca="1">[1]!BexGetData("DP_1","003N8EMH8GTFRCSWKMPXRS42M","GSON1112160020")</f>
        <v>#NAME?</v>
      </c>
      <c r="I2279" s="23" t="e">
        <f ca="1">[1]!BexGetData("DP_1","003N8EMH8GTFRCSWKMPXRSAE6","GSON1112160020")</f>
        <v>#NAME?</v>
      </c>
      <c r="J2279" s="23" t="e">
        <f ca="1">[1]!BexGetData("DP_1","003N8EMH8GTFRCSWKMPXRSGPQ","GSON1112160020")</f>
        <v>#NAME?</v>
      </c>
      <c r="K2279" s="23" t="e">
        <f ca="1">[1]!BexGetData("DP_1","003N8EMH8GTFRIVNUPY288VJH","GSON1112160020")</f>
        <v>#NAME?</v>
      </c>
      <c r="L2279" s="23" t="e">
        <f ca="1">[1]!BexGetData("DP_1","003N8EMH8GTFRIVNUPY2891V1","GSON1112160020")</f>
        <v>#NAME?</v>
      </c>
      <c r="M2279" s="28" t="e">
        <f ca="1">[1]!BexGetData("DP_1","003N8EMH8GTFRIVOG7KG9IQXA","GSON1112160020")</f>
        <v>#NAME?</v>
      </c>
      <c r="N2279" s="23" t="e">
        <f ca="1">[1]!BexGetData("DP_1","003N8EMH8GTFRIVOG7KG9IX8U","GSON1112160020")</f>
        <v>#NAME?</v>
      </c>
      <c r="O2279" s="28" t="e">
        <f ca="1">[1]!BexGetData("DP_1","003N8EMH8GTFRIVOG7KG9J3KE","GSON1112160020")</f>
        <v>#NAME?</v>
      </c>
      <c r="P2279" s="23" t="e">
        <f ca="1">[1]!BexGetData("DP_1","003N8EMH8GTFRIVOG7KG9J9VY","GSON1112160020")</f>
        <v>#NAME?</v>
      </c>
      <c r="Q2279" s="23" t="e">
        <f ca="1">[1]!BexGetData("DP_1","00O2TNJGODT0G5Z4TTKYMM5MT","GSON1112160020")</f>
        <v>#NAME?</v>
      </c>
      <c r="R2279" s="23" t="e">
        <f ca="1">[1]!BexGetData("DP_1","00O2TNJGODT0G5Z4TTKYMMBYD","GSON1112160020")</f>
        <v>#NAME?</v>
      </c>
      <c r="S2279" s="23" t="e">
        <f ca="1">[1]!BexGetData("DP_1","00O2TNJGODT0G5Z4TTKYMMI9X","GSON1112160020")</f>
        <v>#NAME?</v>
      </c>
      <c r="T2279" s="28" t="e">
        <f ca="1">[1]!BexGetData("DP_1","00O2TNJGODT0G5Z4TTKYMMOLH","GSON1112160020")</f>
        <v>#NAME?</v>
      </c>
      <c r="U2279" s="23" t="e">
        <f ca="1">[1]!BexGetData("DP_1","00O2TNJGODT0G5Z4TTKYMMUX1","GSON1112160020")</f>
        <v>#NAME?</v>
      </c>
      <c r="V2279" s="28" t="e">
        <f ca="1">[1]!BexGetData("DP_1","00O2TNJGODT0G5Z4TTKYMN18L","GSON1112160020")</f>
        <v>#NAME?</v>
      </c>
      <c r="W2279" s="23" t="e">
        <f ca="1">[1]!BexGetData("DP_1","00O2TNJGODT0G5Z4TTKYMN7K5","GSON1112160020")</f>
        <v>#NAME?</v>
      </c>
    </row>
    <row r="2280" spans="1:23" x14ac:dyDescent="0.2">
      <c r="A2280" s="36" t="s">
        <v>5525</v>
      </c>
      <c r="B2280" s="27" t="s">
        <v>5526</v>
      </c>
      <c r="C2280" s="23" t="e">
        <f ca="1">[1]!BexGetData("DP_1","003N8EMH8GTFRCSWKMPXRR8GU","GSON1112160021")</f>
        <v>#NAME?</v>
      </c>
      <c r="D2280" s="23" t="e">
        <f ca="1">[1]!BexGetData("DP_1","003N8EMH8GTFRCSWKMPXRRESE","GSON1112160021")</f>
        <v>#NAME?</v>
      </c>
      <c r="E2280" s="28" t="e">
        <f ca="1">[1]!BexGetData("DP_1","003N8EMH8GTFRCSWKMPXRRL3Y","GSON1112160021")</f>
        <v>#NAME?</v>
      </c>
      <c r="F2280" s="28" t="e">
        <f ca="1">[1]!BexGetData("DP_1","003N8EMH8GTFRCSWKMPXRRRFI","GSON1112160021")</f>
        <v>#NAME?</v>
      </c>
      <c r="G2280" s="23" t="e">
        <f ca="1">[1]!BexGetData("DP_1","003N8EMH8GTFRCSWKMPXRRXR2","GSON1112160021")</f>
        <v>#NAME?</v>
      </c>
      <c r="H2280" s="23" t="e">
        <f ca="1">[1]!BexGetData("DP_1","003N8EMH8GTFRCSWKMPXRS42M","GSON1112160021")</f>
        <v>#NAME?</v>
      </c>
      <c r="I2280" s="28" t="e">
        <f ca="1">[1]!BexGetData("DP_1","003N8EMH8GTFRCSWKMPXRSAE6","GSON1112160021")</f>
        <v>#NAME?</v>
      </c>
      <c r="J2280" s="24" t="e">
        <f ca="1">[1]!BexGetData("DP_1","003N8EMH8GTFRCSWKMPXRSGPQ","GSON1112160021")</f>
        <v>#NAME?</v>
      </c>
      <c r="K2280" s="28" t="e">
        <f ca="1">[1]!BexGetData("DP_1","003N8EMH8GTFRIVNUPY288VJH","GSON1112160021")</f>
        <v>#NAME?</v>
      </c>
      <c r="L2280" s="28" t="e">
        <f ca="1">[1]!BexGetData("DP_1","003N8EMH8GTFRIVNUPY2891V1","GSON1112160021")</f>
        <v>#NAME?</v>
      </c>
      <c r="M2280" s="28" t="e">
        <f ca="1">[1]!BexGetData("DP_1","003N8EMH8GTFRIVOG7KG9IQXA","GSON1112160021")</f>
        <v>#NAME?</v>
      </c>
      <c r="N2280" s="28" t="e">
        <f ca="1">[1]!BexGetData("DP_1","003N8EMH8GTFRIVOG7KG9IX8U","GSON1112160021")</f>
        <v>#NAME?</v>
      </c>
      <c r="O2280" s="28" t="e">
        <f ca="1">[1]!BexGetData("DP_1","003N8EMH8GTFRIVOG7KG9J3KE","GSON1112160021")</f>
        <v>#NAME?</v>
      </c>
      <c r="P2280" s="28" t="e">
        <f ca="1">[1]!BexGetData("DP_1","003N8EMH8GTFRIVOG7KG9J9VY","GSON1112160021")</f>
        <v>#NAME?</v>
      </c>
      <c r="Q2280" s="24" t="e">
        <f ca="1">[1]!BexGetData("DP_1","00O2TNJGODT0G5Z4TTKYMM5MT","GSON1112160021")</f>
        <v>#NAME?</v>
      </c>
      <c r="R2280" s="28" t="e">
        <f ca="1">[1]!BexGetData("DP_1","00O2TNJGODT0G5Z4TTKYMMBYD","GSON1112160021")</f>
        <v>#NAME?</v>
      </c>
      <c r="S2280" s="28" t="e">
        <f ca="1">[1]!BexGetData("DP_1","00O2TNJGODT0G5Z4TTKYMMI9X","GSON1112160021")</f>
        <v>#NAME?</v>
      </c>
      <c r="T2280" s="28" t="e">
        <f ca="1">[1]!BexGetData("DP_1","00O2TNJGODT0G5Z4TTKYMMOLH","GSON1112160021")</f>
        <v>#NAME?</v>
      </c>
      <c r="U2280" s="28" t="e">
        <f ca="1">[1]!BexGetData("DP_1","00O2TNJGODT0G5Z4TTKYMMUX1","GSON1112160021")</f>
        <v>#NAME?</v>
      </c>
      <c r="V2280" s="28" t="e">
        <f ca="1">[1]!BexGetData("DP_1","00O2TNJGODT0G5Z4TTKYMN18L","GSON1112160021")</f>
        <v>#NAME?</v>
      </c>
      <c r="W2280" s="28" t="e">
        <f ca="1">[1]!BexGetData("DP_1","00O2TNJGODT0G5Z4TTKYMN7K5","GSON1112160021")</f>
        <v>#NAME?</v>
      </c>
    </row>
    <row r="2281" spans="1:23" x14ac:dyDescent="0.2">
      <c r="A2281" s="36" t="s">
        <v>1193</v>
      </c>
      <c r="B2281" s="27" t="s">
        <v>1194</v>
      </c>
      <c r="C2281" s="23" t="e">
        <f ca="1">[1]!BexGetData("DP_1","003N8EMH8GTFRCSWKMPXRR8GU","GSON1112160023")</f>
        <v>#NAME?</v>
      </c>
      <c r="D2281" s="23" t="e">
        <f ca="1">[1]!BexGetData("DP_1","003N8EMH8GTFRCSWKMPXRRESE","GSON1112160023")</f>
        <v>#NAME?</v>
      </c>
      <c r="E2281" s="28" t="e">
        <f ca="1">[1]!BexGetData("DP_1","003N8EMH8GTFRCSWKMPXRRL3Y","GSON1112160023")</f>
        <v>#NAME?</v>
      </c>
      <c r="F2281" s="28" t="e">
        <f ca="1">[1]!BexGetData("DP_1","003N8EMH8GTFRCSWKMPXRRRFI","GSON1112160023")</f>
        <v>#NAME?</v>
      </c>
      <c r="G2281" s="23" t="e">
        <f ca="1">[1]!BexGetData("DP_1","003N8EMH8GTFRCSWKMPXRRXR2","GSON1112160023")</f>
        <v>#NAME?</v>
      </c>
      <c r="H2281" s="23" t="e">
        <f ca="1">[1]!BexGetData("DP_1","003N8EMH8GTFRCSWKMPXRS42M","GSON1112160023")</f>
        <v>#NAME?</v>
      </c>
      <c r="I2281" s="28" t="e">
        <f ca="1">[1]!BexGetData("DP_1","003N8EMH8GTFRCSWKMPXRSAE6","GSON1112160023")</f>
        <v>#NAME?</v>
      </c>
      <c r="J2281" s="24" t="e">
        <f ca="1">[1]!BexGetData("DP_1","003N8EMH8GTFRCSWKMPXRSGPQ","GSON1112160023")</f>
        <v>#NAME?</v>
      </c>
      <c r="K2281" s="28" t="e">
        <f ca="1">[1]!BexGetData("DP_1","003N8EMH8GTFRIVNUPY288VJH","GSON1112160023")</f>
        <v>#NAME?</v>
      </c>
      <c r="L2281" s="28" t="e">
        <f ca="1">[1]!BexGetData("DP_1","003N8EMH8GTFRIVNUPY2891V1","GSON1112160023")</f>
        <v>#NAME?</v>
      </c>
      <c r="M2281" s="28" t="e">
        <f ca="1">[1]!BexGetData("DP_1","003N8EMH8GTFRIVOG7KG9IQXA","GSON1112160023")</f>
        <v>#NAME?</v>
      </c>
      <c r="N2281" s="28" t="e">
        <f ca="1">[1]!BexGetData("DP_1","003N8EMH8GTFRIVOG7KG9IX8U","GSON1112160023")</f>
        <v>#NAME?</v>
      </c>
      <c r="O2281" s="28" t="e">
        <f ca="1">[1]!BexGetData("DP_1","003N8EMH8GTFRIVOG7KG9J3KE","GSON1112160023")</f>
        <v>#NAME?</v>
      </c>
      <c r="P2281" s="28" t="e">
        <f ca="1">[1]!BexGetData("DP_1","003N8EMH8GTFRIVOG7KG9J9VY","GSON1112160023")</f>
        <v>#NAME?</v>
      </c>
      <c r="Q2281" s="24" t="e">
        <f ca="1">[1]!BexGetData("DP_1","00O2TNJGODT0G5Z4TTKYMM5MT","GSON1112160023")</f>
        <v>#NAME?</v>
      </c>
      <c r="R2281" s="28" t="e">
        <f ca="1">[1]!BexGetData("DP_1","00O2TNJGODT0G5Z4TTKYMMBYD","GSON1112160023")</f>
        <v>#NAME?</v>
      </c>
      <c r="S2281" s="28" t="e">
        <f ca="1">[1]!BexGetData("DP_1","00O2TNJGODT0G5Z4TTKYMMI9X","GSON1112160023")</f>
        <v>#NAME?</v>
      </c>
      <c r="T2281" s="28" t="e">
        <f ca="1">[1]!BexGetData("DP_1","00O2TNJGODT0G5Z4TTKYMMOLH","GSON1112160023")</f>
        <v>#NAME?</v>
      </c>
      <c r="U2281" s="28" t="e">
        <f ca="1">[1]!BexGetData("DP_1","00O2TNJGODT0G5Z4TTKYMMUX1","GSON1112160023")</f>
        <v>#NAME?</v>
      </c>
      <c r="V2281" s="28" t="e">
        <f ca="1">[1]!BexGetData("DP_1","00O2TNJGODT0G5Z4TTKYMN18L","GSON1112160023")</f>
        <v>#NAME?</v>
      </c>
      <c r="W2281" s="28" t="e">
        <f ca="1">[1]!BexGetData("DP_1","00O2TNJGODT0G5Z4TTKYMN7K5","GSON1112160023")</f>
        <v>#NAME?</v>
      </c>
    </row>
    <row r="2282" spans="1:23" x14ac:dyDescent="0.2">
      <c r="A2282" s="36" t="s">
        <v>5527</v>
      </c>
      <c r="B2282" s="27" t="s">
        <v>5528</v>
      </c>
      <c r="C2282" s="23" t="e">
        <f ca="1">[1]!BexGetData("DP_1","003N8EMH8GTFRCSWKMPXRR8GU","GSON1112160024")</f>
        <v>#NAME?</v>
      </c>
      <c r="D2282" s="23" t="e">
        <f ca="1">[1]!BexGetData("DP_1","003N8EMH8GTFRCSWKMPXRRESE","GSON1112160024")</f>
        <v>#NAME?</v>
      </c>
      <c r="E2282" s="28" t="e">
        <f ca="1">[1]!BexGetData("DP_1","003N8EMH8GTFRCSWKMPXRRL3Y","GSON1112160024")</f>
        <v>#NAME?</v>
      </c>
      <c r="F2282" s="28" t="e">
        <f ca="1">[1]!BexGetData("DP_1","003N8EMH8GTFRCSWKMPXRRRFI","GSON1112160024")</f>
        <v>#NAME?</v>
      </c>
      <c r="G2282" s="23" t="e">
        <f ca="1">[1]!BexGetData("DP_1","003N8EMH8GTFRCSWKMPXRRXR2","GSON1112160024")</f>
        <v>#NAME?</v>
      </c>
      <c r="H2282" s="23" t="e">
        <f ca="1">[1]!BexGetData("DP_1","003N8EMH8GTFRCSWKMPXRS42M","GSON1112160024")</f>
        <v>#NAME?</v>
      </c>
      <c r="I2282" s="28" t="e">
        <f ca="1">[1]!BexGetData("DP_1","003N8EMH8GTFRCSWKMPXRSAE6","GSON1112160024")</f>
        <v>#NAME?</v>
      </c>
      <c r="J2282" s="24" t="e">
        <f ca="1">[1]!BexGetData("DP_1","003N8EMH8GTFRCSWKMPXRSGPQ","GSON1112160024")</f>
        <v>#NAME?</v>
      </c>
      <c r="K2282" s="28" t="e">
        <f ca="1">[1]!BexGetData("DP_1","003N8EMH8GTFRIVNUPY288VJH","GSON1112160024")</f>
        <v>#NAME?</v>
      </c>
      <c r="L2282" s="28" t="e">
        <f ca="1">[1]!BexGetData("DP_1","003N8EMH8GTFRIVNUPY2891V1","GSON1112160024")</f>
        <v>#NAME?</v>
      </c>
      <c r="M2282" s="28" t="e">
        <f ca="1">[1]!BexGetData("DP_1","003N8EMH8GTFRIVOG7KG9IQXA","GSON1112160024")</f>
        <v>#NAME?</v>
      </c>
      <c r="N2282" s="28" t="e">
        <f ca="1">[1]!BexGetData("DP_1","003N8EMH8GTFRIVOG7KG9IX8U","GSON1112160024")</f>
        <v>#NAME?</v>
      </c>
      <c r="O2282" s="28" t="e">
        <f ca="1">[1]!BexGetData("DP_1","003N8EMH8GTFRIVOG7KG9J3KE","GSON1112160024")</f>
        <v>#NAME?</v>
      </c>
      <c r="P2282" s="28" t="e">
        <f ca="1">[1]!BexGetData("DP_1","003N8EMH8GTFRIVOG7KG9J9VY","GSON1112160024")</f>
        <v>#NAME?</v>
      </c>
      <c r="Q2282" s="24" t="e">
        <f ca="1">[1]!BexGetData("DP_1","00O2TNJGODT0G5Z4TTKYMM5MT","GSON1112160024")</f>
        <v>#NAME?</v>
      </c>
      <c r="R2282" s="28" t="e">
        <f ca="1">[1]!BexGetData("DP_1","00O2TNJGODT0G5Z4TTKYMMBYD","GSON1112160024")</f>
        <v>#NAME?</v>
      </c>
      <c r="S2282" s="28" t="e">
        <f ca="1">[1]!BexGetData("DP_1","00O2TNJGODT0G5Z4TTKYMMI9X","GSON1112160024")</f>
        <v>#NAME?</v>
      </c>
      <c r="T2282" s="28" t="e">
        <f ca="1">[1]!BexGetData("DP_1","00O2TNJGODT0G5Z4TTKYMMOLH","GSON1112160024")</f>
        <v>#NAME?</v>
      </c>
      <c r="U2282" s="28" t="e">
        <f ca="1">[1]!BexGetData("DP_1","00O2TNJGODT0G5Z4TTKYMMUX1","GSON1112160024")</f>
        <v>#NAME?</v>
      </c>
      <c r="V2282" s="28" t="e">
        <f ca="1">[1]!BexGetData("DP_1","00O2TNJGODT0G5Z4TTKYMN18L","GSON1112160024")</f>
        <v>#NAME?</v>
      </c>
      <c r="W2282" s="28" t="e">
        <f ca="1">[1]!BexGetData("DP_1","00O2TNJGODT0G5Z4TTKYMN7K5","GSON1112160024")</f>
        <v>#NAME?</v>
      </c>
    </row>
    <row r="2283" spans="1:23" x14ac:dyDescent="0.2">
      <c r="A2283" s="36" t="s">
        <v>5529</v>
      </c>
      <c r="B2283" s="27" t="s">
        <v>5530</v>
      </c>
      <c r="C2283" s="23" t="e">
        <f ca="1">[1]!BexGetData("DP_1","003N8EMH8GTFRCSWKMPXRR8GU","GSON1112160030")</f>
        <v>#NAME?</v>
      </c>
      <c r="D2283" s="28" t="e">
        <f ca="1">[1]!BexGetData("DP_1","003N8EMH8GTFRCSWKMPXRRESE","GSON1112160030")</f>
        <v>#NAME?</v>
      </c>
      <c r="E2283" s="23" t="e">
        <f ca="1">[1]!BexGetData("DP_1","003N8EMH8GTFRCSWKMPXRRL3Y","GSON1112160030")</f>
        <v>#NAME?</v>
      </c>
      <c r="F2283" s="23" t="e">
        <f ca="1">[1]!BexGetData("DP_1","003N8EMH8GTFRCSWKMPXRRRFI","GSON1112160030")</f>
        <v>#NAME?</v>
      </c>
      <c r="G2283" s="23" t="e">
        <f ca="1">[1]!BexGetData("DP_1","003N8EMH8GTFRCSWKMPXRRXR2","GSON1112160030")</f>
        <v>#NAME?</v>
      </c>
      <c r="H2283" s="28" t="e">
        <f ca="1">[1]!BexGetData("DP_1","003N8EMH8GTFRCSWKMPXRS42M","GSON1112160030")</f>
        <v>#NAME?</v>
      </c>
      <c r="I2283" s="23" t="e">
        <f ca="1">[1]!BexGetData("DP_1","003N8EMH8GTFRCSWKMPXRSAE6","GSON1112160030")</f>
        <v>#NAME?</v>
      </c>
      <c r="J2283" s="23" t="e">
        <f ca="1">[1]!BexGetData("DP_1","003N8EMH8GTFRCSWKMPXRSGPQ","GSON1112160030")</f>
        <v>#NAME?</v>
      </c>
      <c r="K2283" s="23" t="e">
        <f ca="1">[1]!BexGetData("DP_1","003N8EMH8GTFRIVNUPY288VJH","GSON1112160030")</f>
        <v>#NAME?</v>
      </c>
      <c r="L2283" s="23" t="e">
        <f ca="1">[1]!BexGetData("DP_1","003N8EMH8GTFRIVNUPY2891V1","GSON1112160030")</f>
        <v>#NAME?</v>
      </c>
      <c r="M2283" s="28" t="e">
        <f ca="1">[1]!BexGetData("DP_1","003N8EMH8GTFRIVOG7KG9IQXA","GSON1112160030")</f>
        <v>#NAME?</v>
      </c>
      <c r="N2283" s="23" t="e">
        <f ca="1">[1]!BexGetData("DP_1","003N8EMH8GTFRIVOG7KG9IX8U","GSON1112160030")</f>
        <v>#NAME?</v>
      </c>
      <c r="O2283" s="28" t="e">
        <f ca="1">[1]!BexGetData("DP_1","003N8EMH8GTFRIVOG7KG9J3KE","GSON1112160030")</f>
        <v>#NAME?</v>
      </c>
      <c r="P2283" s="23" t="e">
        <f ca="1">[1]!BexGetData("DP_1","003N8EMH8GTFRIVOG7KG9J9VY","GSON1112160030")</f>
        <v>#NAME?</v>
      </c>
      <c r="Q2283" s="23" t="e">
        <f ca="1">[1]!BexGetData("DP_1","00O2TNJGODT0G5Z4TTKYMM5MT","GSON1112160030")</f>
        <v>#NAME?</v>
      </c>
      <c r="R2283" s="23" t="e">
        <f ca="1">[1]!BexGetData("DP_1","00O2TNJGODT0G5Z4TTKYMMBYD","GSON1112160030")</f>
        <v>#NAME?</v>
      </c>
      <c r="S2283" s="23" t="e">
        <f ca="1">[1]!BexGetData("DP_1","00O2TNJGODT0G5Z4TTKYMMI9X","GSON1112160030")</f>
        <v>#NAME?</v>
      </c>
      <c r="T2283" s="28" t="e">
        <f ca="1">[1]!BexGetData("DP_1","00O2TNJGODT0G5Z4TTKYMMOLH","GSON1112160030")</f>
        <v>#NAME?</v>
      </c>
      <c r="U2283" s="23" t="e">
        <f ca="1">[1]!BexGetData("DP_1","00O2TNJGODT0G5Z4TTKYMMUX1","GSON1112160030")</f>
        <v>#NAME?</v>
      </c>
      <c r="V2283" s="28" t="e">
        <f ca="1">[1]!BexGetData("DP_1","00O2TNJGODT0G5Z4TTKYMN18L","GSON1112160030")</f>
        <v>#NAME?</v>
      </c>
      <c r="W2283" s="23" t="e">
        <f ca="1">[1]!BexGetData("DP_1","00O2TNJGODT0G5Z4TTKYMN7K5","GSON1112160030")</f>
        <v>#NAME?</v>
      </c>
    </row>
    <row r="2284" spans="1:23" x14ac:dyDescent="0.2">
      <c r="A2284" s="36" t="s">
        <v>5531</v>
      </c>
      <c r="B2284" s="27" t="s">
        <v>5532</v>
      </c>
      <c r="C2284" s="23" t="e">
        <f ca="1">[1]!BexGetData("DP_1","003N8EMH8GTFRCSWKMPXRR8GU","GSON1112160035")</f>
        <v>#NAME?</v>
      </c>
      <c r="D2284" s="23" t="e">
        <f ca="1">[1]!BexGetData("DP_1","003N8EMH8GTFRCSWKMPXRRESE","GSON1112160035")</f>
        <v>#NAME?</v>
      </c>
      <c r="E2284" s="28" t="e">
        <f ca="1">[1]!BexGetData("DP_1","003N8EMH8GTFRCSWKMPXRRL3Y","GSON1112160035")</f>
        <v>#NAME?</v>
      </c>
      <c r="F2284" s="28" t="e">
        <f ca="1">[1]!BexGetData("DP_1","003N8EMH8GTFRCSWKMPXRRRFI","GSON1112160035")</f>
        <v>#NAME?</v>
      </c>
      <c r="G2284" s="23" t="e">
        <f ca="1">[1]!BexGetData("DP_1","003N8EMH8GTFRCSWKMPXRRXR2","GSON1112160035")</f>
        <v>#NAME?</v>
      </c>
      <c r="H2284" s="23" t="e">
        <f ca="1">[1]!BexGetData("DP_1","003N8EMH8GTFRCSWKMPXRS42M","GSON1112160035")</f>
        <v>#NAME?</v>
      </c>
      <c r="I2284" s="28" t="e">
        <f ca="1">[1]!BexGetData("DP_1","003N8EMH8GTFRCSWKMPXRSAE6","GSON1112160035")</f>
        <v>#NAME?</v>
      </c>
      <c r="J2284" s="24" t="e">
        <f ca="1">[1]!BexGetData("DP_1","003N8EMH8GTFRCSWKMPXRSGPQ","GSON1112160035")</f>
        <v>#NAME?</v>
      </c>
      <c r="K2284" s="28" t="e">
        <f ca="1">[1]!BexGetData("DP_1","003N8EMH8GTFRIVNUPY288VJH","GSON1112160035")</f>
        <v>#NAME?</v>
      </c>
      <c r="L2284" s="28" t="e">
        <f ca="1">[1]!BexGetData("DP_1","003N8EMH8GTFRIVNUPY2891V1","GSON1112160035")</f>
        <v>#NAME?</v>
      </c>
      <c r="M2284" s="28" t="e">
        <f ca="1">[1]!BexGetData("DP_1","003N8EMH8GTFRIVOG7KG9IQXA","GSON1112160035")</f>
        <v>#NAME?</v>
      </c>
      <c r="N2284" s="28" t="e">
        <f ca="1">[1]!BexGetData("DP_1","003N8EMH8GTFRIVOG7KG9IX8U","GSON1112160035")</f>
        <v>#NAME?</v>
      </c>
      <c r="O2284" s="28" t="e">
        <f ca="1">[1]!BexGetData("DP_1","003N8EMH8GTFRIVOG7KG9J3KE","GSON1112160035")</f>
        <v>#NAME?</v>
      </c>
      <c r="P2284" s="28" t="e">
        <f ca="1">[1]!BexGetData("DP_1","003N8EMH8GTFRIVOG7KG9J9VY","GSON1112160035")</f>
        <v>#NAME?</v>
      </c>
      <c r="Q2284" s="24" t="e">
        <f ca="1">[1]!BexGetData("DP_1","00O2TNJGODT0G5Z4TTKYMM5MT","GSON1112160035")</f>
        <v>#NAME?</v>
      </c>
      <c r="R2284" s="28" t="e">
        <f ca="1">[1]!BexGetData("DP_1","00O2TNJGODT0G5Z4TTKYMMBYD","GSON1112160035")</f>
        <v>#NAME?</v>
      </c>
      <c r="S2284" s="28" t="e">
        <f ca="1">[1]!BexGetData("DP_1","00O2TNJGODT0G5Z4TTKYMMI9X","GSON1112160035")</f>
        <v>#NAME?</v>
      </c>
      <c r="T2284" s="28" t="e">
        <f ca="1">[1]!BexGetData("DP_1","00O2TNJGODT0G5Z4TTKYMMOLH","GSON1112160035")</f>
        <v>#NAME?</v>
      </c>
      <c r="U2284" s="28" t="e">
        <f ca="1">[1]!BexGetData("DP_1","00O2TNJGODT0G5Z4TTKYMMUX1","GSON1112160035")</f>
        <v>#NAME?</v>
      </c>
      <c r="V2284" s="28" t="e">
        <f ca="1">[1]!BexGetData("DP_1","00O2TNJGODT0G5Z4TTKYMN18L","GSON1112160035")</f>
        <v>#NAME?</v>
      </c>
      <c r="W2284" s="28" t="e">
        <f ca="1">[1]!BexGetData("DP_1","00O2TNJGODT0G5Z4TTKYMN7K5","GSON1112160035")</f>
        <v>#NAME?</v>
      </c>
    </row>
    <row r="2285" spans="1:23" x14ac:dyDescent="0.2">
      <c r="A2285" s="36" t="s">
        <v>5533</v>
      </c>
      <c r="B2285" s="27" t="s">
        <v>5534</v>
      </c>
      <c r="C2285" s="28" t="e">
        <f ca="1">[1]!BexGetData("DP_1","003N8EMH8GTFRCSWKMPXRR8GU","GSON1112160040")</f>
        <v>#NAME?</v>
      </c>
      <c r="D2285" s="28" t="e">
        <f ca="1">[1]!BexGetData("DP_1","003N8EMH8GTFRCSWKMPXRRESE","GSON1112160040")</f>
        <v>#NAME?</v>
      </c>
      <c r="E2285" s="23" t="e">
        <f ca="1">[1]!BexGetData("DP_1","003N8EMH8GTFRCSWKMPXRRL3Y","GSON1112160040")</f>
        <v>#NAME?</v>
      </c>
      <c r="F2285" s="23" t="e">
        <f ca="1">[1]!BexGetData("DP_1","003N8EMH8GTFRCSWKMPXRRRFI","GSON1112160040")</f>
        <v>#NAME?</v>
      </c>
      <c r="G2285" s="28" t="e">
        <f ca="1">[1]!BexGetData("DP_1","003N8EMH8GTFRCSWKMPXRRXR2","GSON1112160040")</f>
        <v>#NAME?</v>
      </c>
      <c r="H2285" s="28" t="e">
        <f ca="1">[1]!BexGetData("DP_1","003N8EMH8GTFRCSWKMPXRS42M","GSON1112160040")</f>
        <v>#NAME?</v>
      </c>
      <c r="I2285" s="23" t="e">
        <f ca="1">[1]!BexGetData("DP_1","003N8EMH8GTFRCSWKMPXRSAE6","GSON1112160040")</f>
        <v>#NAME?</v>
      </c>
      <c r="J2285" s="23" t="e">
        <f ca="1">[1]!BexGetData("DP_1","003N8EMH8GTFRCSWKMPXRSGPQ","GSON1112160040")</f>
        <v>#NAME?</v>
      </c>
      <c r="K2285" s="28" t="e">
        <f ca="1">[1]!BexGetData("DP_1","003N8EMH8GTFRIVNUPY288VJH","GSON1112160040")</f>
        <v>#NAME?</v>
      </c>
      <c r="L2285" s="28" t="e">
        <f ca="1">[1]!BexGetData("DP_1","003N8EMH8GTFRIVNUPY2891V1","GSON1112160040")</f>
        <v>#NAME?</v>
      </c>
      <c r="M2285" s="28" t="e">
        <f ca="1">[1]!BexGetData("DP_1","003N8EMH8GTFRIVOG7KG9IQXA","GSON1112160040")</f>
        <v>#NAME?</v>
      </c>
      <c r="N2285" s="28" t="e">
        <f ca="1">[1]!BexGetData("DP_1","003N8EMH8GTFRIVOG7KG9IX8U","GSON1112160040")</f>
        <v>#NAME?</v>
      </c>
      <c r="O2285" s="28" t="e">
        <f ca="1">[1]!BexGetData("DP_1","003N8EMH8GTFRIVOG7KG9J3KE","GSON1112160040")</f>
        <v>#NAME?</v>
      </c>
      <c r="P2285" s="28" t="e">
        <f ca="1">[1]!BexGetData("DP_1","003N8EMH8GTFRIVOG7KG9J9VY","GSON1112160040")</f>
        <v>#NAME?</v>
      </c>
      <c r="Q2285" s="23" t="e">
        <f ca="1">[1]!BexGetData("DP_1","00O2TNJGODT0G5Z4TTKYMM5MT","GSON1112160040")</f>
        <v>#NAME?</v>
      </c>
      <c r="R2285" s="28" t="e">
        <f ca="1">[1]!BexGetData("DP_1","00O2TNJGODT0G5Z4TTKYMMBYD","GSON1112160040")</f>
        <v>#NAME?</v>
      </c>
      <c r="S2285" s="28" t="e">
        <f ca="1">[1]!BexGetData("DP_1","00O2TNJGODT0G5Z4TTKYMMI9X","GSON1112160040")</f>
        <v>#NAME?</v>
      </c>
      <c r="T2285" s="28" t="e">
        <f ca="1">[1]!BexGetData("DP_1","00O2TNJGODT0G5Z4TTKYMMOLH","GSON1112160040")</f>
        <v>#NAME?</v>
      </c>
      <c r="U2285" s="28" t="e">
        <f ca="1">[1]!BexGetData("DP_1","00O2TNJGODT0G5Z4TTKYMMUX1","GSON1112160040")</f>
        <v>#NAME?</v>
      </c>
      <c r="V2285" s="28" t="e">
        <f ca="1">[1]!BexGetData("DP_1","00O2TNJGODT0G5Z4TTKYMN18L","GSON1112160040")</f>
        <v>#NAME?</v>
      </c>
      <c r="W2285" s="28" t="e">
        <f ca="1">[1]!BexGetData("DP_1","00O2TNJGODT0G5Z4TTKYMN7K5","GSON1112160040")</f>
        <v>#NAME?</v>
      </c>
    </row>
    <row r="2286" spans="1:23" x14ac:dyDescent="0.2">
      <c r="A2286" s="36" t="s">
        <v>5535</v>
      </c>
      <c r="B2286" s="27" t="s">
        <v>5536</v>
      </c>
      <c r="C2286" s="23" t="e">
        <f ca="1">[1]!BexGetData("DP_1","003N8EMH8GTFRCSWKMPXRR8GU","GSON1112160050")</f>
        <v>#NAME?</v>
      </c>
      <c r="D2286" s="28" t="e">
        <f ca="1">[1]!BexGetData("DP_1","003N8EMH8GTFRCSWKMPXRRESE","GSON1112160050")</f>
        <v>#NAME?</v>
      </c>
      <c r="E2286" s="23" t="e">
        <f ca="1">[1]!BexGetData("DP_1","003N8EMH8GTFRCSWKMPXRRL3Y","GSON1112160050")</f>
        <v>#NAME?</v>
      </c>
      <c r="F2286" s="23" t="e">
        <f ca="1">[1]!BexGetData("DP_1","003N8EMH8GTFRCSWKMPXRRRFI","GSON1112160050")</f>
        <v>#NAME?</v>
      </c>
      <c r="G2286" s="23" t="e">
        <f ca="1">[1]!BexGetData("DP_1","003N8EMH8GTFRCSWKMPXRRXR2","GSON1112160050")</f>
        <v>#NAME?</v>
      </c>
      <c r="H2286" s="28" t="e">
        <f ca="1">[1]!BexGetData("DP_1","003N8EMH8GTFRCSWKMPXRS42M","GSON1112160050")</f>
        <v>#NAME?</v>
      </c>
      <c r="I2286" s="23" t="e">
        <f ca="1">[1]!BexGetData("DP_1","003N8EMH8GTFRCSWKMPXRSAE6","GSON1112160050")</f>
        <v>#NAME?</v>
      </c>
      <c r="J2286" s="23" t="e">
        <f ca="1">[1]!BexGetData("DP_1","003N8EMH8GTFRCSWKMPXRSGPQ","GSON1112160050")</f>
        <v>#NAME?</v>
      </c>
      <c r="K2286" s="23" t="e">
        <f ca="1">[1]!BexGetData("DP_1","003N8EMH8GTFRIVNUPY288VJH","GSON1112160050")</f>
        <v>#NAME?</v>
      </c>
      <c r="L2286" s="23" t="e">
        <f ca="1">[1]!BexGetData("DP_1","003N8EMH8GTFRIVNUPY2891V1","GSON1112160050")</f>
        <v>#NAME?</v>
      </c>
      <c r="M2286" s="28" t="e">
        <f ca="1">[1]!BexGetData("DP_1","003N8EMH8GTFRIVOG7KG9IQXA","GSON1112160050")</f>
        <v>#NAME?</v>
      </c>
      <c r="N2286" s="23" t="e">
        <f ca="1">[1]!BexGetData("DP_1","003N8EMH8GTFRIVOG7KG9IX8U","GSON1112160050")</f>
        <v>#NAME?</v>
      </c>
      <c r="O2286" s="28" t="e">
        <f ca="1">[1]!BexGetData("DP_1","003N8EMH8GTFRIVOG7KG9J3KE","GSON1112160050")</f>
        <v>#NAME?</v>
      </c>
      <c r="P2286" s="23" t="e">
        <f ca="1">[1]!BexGetData("DP_1","003N8EMH8GTFRIVOG7KG9J9VY","GSON1112160050")</f>
        <v>#NAME?</v>
      </c>
      <c r="Q2286" s="23" t="e">
        <f ca="1">[1]!BexGetData("DP_1","00O2TNJGODT0G5Z4TTKYMM5MT","GSON1112160050")</f>
        <v>#NAME?</v>
      </c>
      <c r="R2286" s="23" t="e">
        <f ca="1">[1]!BexGetData("DP_1","00O2TNJGODT0G5Z4TTKYMMBYD","GSON1112160050")</f>
        <v>#NAME?</v>
      </c>
      <c r="S2286" s="23" t="e">
        <f ca="1">[1]!BexGetData("DP_1","00O2TNJGODT0G5Z4TTKYMMI9X","GSON1112160050")</f>
        <v>#NAME?</v>
      </c>
      <c r="T2286" s="28" t="e">
        <f ca="1">[1]!BexGetData("DP_1","00O2TNJGODT0G5Z4TTKYMMOLH","GSON1112160050")</f>
        <v>#NAME?</v>
      </c>
      <c r="U2286" s="23" t="e">
        <f ca="1">[1]!BexGetData("DP_1","00O2TNJGODT0G5Z4TTKYMMUX1","GSON1112160050")</f>
        <v>#NAME?</v>
      </c>
      <c r="V2286" s="28" t="e">
        <f ca="1">[1]!BexGetData("DP_1","00O2TNJGODT0G5Z4TTKYMN18L","GSON1112160050")</f>
        <v>#NAME?</v>
      </c>
      <c r="W2286" s="23" t="e">
        <f ca="1">[1]!BexGetData("DP_1","00O2TNJGODT0G5Z4TTKYMN7K5","GSON1112160050")</f>
        <v>#NAME?</v>
      </c>
    </row>
    <row r="2287" spans="1:23" x14ac:dyDescent="0.2">
      <c r="A2287" s="36" t="s">
        <v>5537</v>
      </c>
      <c r="B2287" s="27" t="s">
        <v>5538</v>
      </c>
      <c r="C2287" s="28" t="e">
        <f ca="1">[1]!BexGetData("DP_1","003N8EMH8GTFRCSWKMPXRR8GU","GSON1112160051")</f>
        <v>#NAME?</v>
      </c>
      <c r="D2287" s="28" t="e">
        <f ca="1">[1]!BexGetData("DP_1","003N8EMH8GTFRCSWKMPXRRESE","GSON1112160051")</f>
        <v>#NAME?</v>
      </c>
      <c r="E2287" s="28" t="e">
        <f ca="1">[1]!BexGetData("DP_1","003N8EMH8GTFRCSWKMPXRRL3Y","GSON1112160051")</f>
        <v>#NAME?</v>
      </c>
      <c r="F2287" s="28" t="e">
        <f ca="1">[1]!BexGetData("DP_1","003N8EMH8GTFRCSWKMPXRRRFI","GSON1112160051")</f>
        <v>#NAME?</v>
      </c>
      <c r="G2287" s="23" t="e">
        <f ca="1">[1]!BexGetData("DP_1","003N8EMH8GTFRCSWKMPXRRXR2","GSON1112160051")</f>
        <v>#NAME?</v>
      </c>
      <c r="H2287" s="23" t="e">
        <f ca="1">[1]!BexGetData("DP_1","003N8EMH8GTFRCSWKMPXRS42M","GSON1112160051")</f>
        <v>#NAME?</v>
      </c>
      <c r="I2287" s="28" t="e">
        <f ca="1">[1]!BexGetData("DP_1","003N8EMH8GTFRCSWKMPXRSAE6","GSON1112160051")</f>
        <v>#NAME?</v>
      </c>
      <c r="J2287" s="24" t="e">
        <f ca="1">[1]!BexGetData("DP_1","003N8EMH8GTFRCSWKMPXRSGPQ","GSON1112160051")</f>
        <v>#NAME?</v>
      </c>
      <c r="K2287" s="28" t="e">
        <f ca="1">[1]!BexGetData("DP_1","003N8EMH8GTFRIVNUPY288VJH","GSON1112160051")</f>
        <v>#NAME?</v>
      </c>
      <c r="L2287" s="28" t="e">
        <f ca="1">[1]!BexGetData("DP_1","003N8EMH8GTFRIVNUPY2891V1","GSON1112160051")</f>
        <v>#NAME?</v>
      </c>
      <c r="M2287" s="28" t="e">
        <f ca="1">[1]!BexGetData("DP_1","003N8EMH8GTFRIVOG7KG9IQXA","GSON1112160051")</f>
        <v>#NAME?</v>
      </c>
      <c r="N2287" s="28" t="e">
        <f ca="1">[1]!BexGetData("DP_1","003N8EMH8GTFRIVOG7KG9IX8U","GSON1112160051")</f>
        <v>#NAME?</v>
      </c>
      <c r="O2287" s="28" t="e">
        <f ca="1">[1]!BexGetData("DP_1","003N8EMH8GTFRIVOG7KG9J3KE","GSON1112160051")</f>
        <v>#NAME?</v>
      </c>
      <c r="P2287" s="28" t="e">
        <f ca="1">[1]!BexGetData("DP_1","003N8EMH8GTFRIVOG7KG9J9VY","GSON1112160051")</f>
        <v>#NAME?</v>
      </c>
      <c r="Q2287" s="24" t="e">
        <f ca="1">[1]!BexGetData("DP_1","00O2TNJGODT0G5Z4TTKYMM5MT","GSON1112160051")</f>
        <v>#NAME?</v>
      </c>
      <c r="R2287" s="28" t="e">
        <f ca="1">[1]!BexGetData("DP_1","00O2TNJGODT0G5Z4TTKYMMBYD","GSON1112160051")</f>
        <v>#NAME?</v>
      </c>
      <c r="S2287" s="28" t="e">
        <f ca="1">[1]!BexGetData("DP_1","00O2TNJGODT0G5Z4TTKYMMI9X","GSON1112160051")</f>
        <v>#NAME?</v>
      </c>
      <c r="T2287" s="28" t="e">
        <f ca="1">[1]!BexGetData("DP_1","00O2TNJGODT0G5Z4TTKYMMOLH","GSON1112160051")</f>
        <v>#NAME?</v>
      </c>
      <c r="U2287" s="28" t="e">
        <f ca="1">[1]!BexGetData("DP_1","00O2TNJGODT0G5Z4TTKYMMUX1","GSON1112160051")</f>
        <v>#NAME?</v>
      </c>
      <c r="V2287" s="28" t="e">
        <f ca="1">[1]!BexGetData("DP_1","00O2TNJGODT0G5Z4TTKYMN18L","GSON1112160051")</f>
        <v>#NAME?</v>
      </c>
      <c r="W2287" s="28" t="e">
        <f ca="1">[1]!BexGetData("DP_1","00O2TNJGODT0G5Z4TTKYMN7K5","GSON1112160051")</f>
        <v>#NAME?</v>
      </c>
    </row>
    <row r="2288" spans="1:23" x14ac:dyDescent="0.2">
      <c r="A2288" s="36" t="s">
        <v>5539</v>
      </c>
      <c r="B2288" s="27" t="s">
        <v>5540</v>
      </c>
      <c r="C2288" s="23" t="e">
        <f ca="1">[1]!BexGetData("DP_1","003N8EMH8GTFRCSWKMPXRR8GU","GSON1112160055")</f>
        <v>#NAME?</v>
      </c>
      <c r="D2288" s="23" t="e">
        <f ca="1">[1]!BexGetData("DP_1","003N8EMH8GTFRCSWKMPXRRESE","GSON1112160055")</f>
        <v>#NAME?</v>
      </c>
      <c r="E2288" s="28" t="e">
        <f ca="1">[1]!BexGetData("DP_1","003N8EMH8GTFRCSWKMPXRRL3Y","GSON1112160055")</f>
        <v>#NAME?</v>
      </c>
      <c r="F2288" s="28" t="e">
        <f ca="1">[1]!BexGetData("DP_1","003N8EMH8GTFRCSWKMPXRRRFI","GSON1112160055")</f>
        <v>#NAME?</v>
      </c>
      <c r="G2288" s="23" t="e">
        <f ca="1">[1]!BexGetData("DP_1","003N8EMH8GTFRCSWKMPXRRXR2","GSON1112160055")</f>
        <v>#NAME?</v>
      </c>
      <c r="H2288" s="23" t="e">
        <f ca="1">[1]!BexGetData("DP_1","003N8EMH8GTFRCSWKMPXRS42M","GSON1112160055")</f>
        <v>#NAME?</v>
      </c>
      <c r="I2288" s="28" t="e">
        <f ca="1">[1]!BexGetData("DP_1","003N8EMH8GTFRCSWKMPXRSAE6","GSON1112160055")</f>
        <v>#NAME?</v>
      </c>
      <c r="J2288" s="24" t="e">
        <f ca="1">[1]!BexGetData("DP_1","003N8EMH8GTFRCSWKMPXRSGPQ","GSON1112160055")</f>
        <v>#NAME?</v>
      </c>
      <c r="K2288" s="28" t="e">
        <f ca="1">[1]!BexGetData("DP_1","003N8EMH8GTFRIVNUPY288VJH","GSON1112160055")</f>
        <v>#NAME?</v>
      </c>
      <c r="L2288" s="28" t="e">
        <f ca="1">[1]!BexGetData("DP_1","003N8EMH8GTFRIVNUPY2891V1","GSON1112160055")</f>
        <v>#NAME?</v>
      </c>
      <c r="M2288" s="28" t="e">
        <f ca="1">[1]!BexGetData("DP_1","003N8EMH8GTFRIVOG7KG9IQXA","GSON1112160055")</f>
        <v>#NAME?</v>
      </c>
      <c r="N2288" s="28" t="e">
        <f ca="1">[1]!BexGetData("DP_1","003N8EMH8GTFRIVOG7KG9IX8U","GSON1112160055")</f>
        <v>#NAME?</v>
      </c>
      <c r="O2288" s="28" t="e">
        <f ca="1">[1]!BexGetData("DP_1","003N8EMH8GTFRIVOG7KG9J3KE","GSON1112160055")</f>
        <v>#NAME?</v>
      </c>
      <c r="P2288" s="28" t="e">
        <f ca="1">[1]!BexGetData("DP_1","003N8EMH8GTFRIVOG7KG9J9VY","GSON1112160055")</f>
        <v>#NAME?</v>
      </c>
      <c r="Q2288" s="24" t="e">
        <f ca="1">[1]!BexGetData("DP_1","00O2TNJGODT0G5Z4TTKYMM5MT","GSON1112160055")</f>
        <v>#NAME?</v>
      </c>
      <c r="R2288" s="28" t="e">
        <f ca="1">[1]!BexGetData("DP_1","00O2TNJGODT0G5Z4TTKYMMBYD","GSON1112160055")</f>
        <v>#NAME?</v>
      </c>
      <c r="S2288" s="28" t="e">
        <f ca="1">[1]!BexGetData("DP_1","00O2TNJGODT0G5Z4TTKYMMI9X","GSON1112160055")</f>
        <v>#NAME?</v>
      </c>
      <c r="T2288" s="28" t="e">
        <f ca="1">[1]!BexGetData("DP_1","00O2TNJGODT0G5Z4TTKYMMOLH","GSON1112160055")</f>
        <v>#NAME?</v>
      </c>
      <c r="U2288" s="28" t="e">
        <f ca="1">[1]!BexGetData("DP_1","00O2TNJGODT0G5Z4TTKYMMUX1","GSON1112160055")</f>
        <v>#NAME?</v>
      </c>
      <c r="V2288" s="28" t="e">
        <f ca="1">[1]!BexGetData("DP_1","00O2TNJGODT0G5Z4TTKYMN18L","GSON1112160055")</f>
        <v>#NAME?</v>
      </c>
      <c r="W2288" s="28" t="e">
        <f ca="1">[1]!BexGetData("DP_1","00O2TNJGODT0G5Z4TTKYMN7K5","GSON1112160055")</f>
        <v>#NAME?</v>
      </c>
    </row>
    <row r="2289" spans="1:23" x14ac:dyDescent="0.2">
      <c r="A2289" s="36" t="s">
        <v>5541</v>
      </c>
      <c r="B2289" s="27" t="s">
        <v>5542</v>
      </c>
      <c r="C2289" s="28" t="e">
        <f ca="1">[1]!BexGetData("DP_1","003N8EMH8GTFRCSWKMPXRR8GU","GSON1112160060")</f>
        <v>#NAME?</v>
      </c>
      <c r="D2289" s="23" t="e">
        <f ca="1">[1]!BexGetData("DP_1","003N8EMH8GTFRCSWKMPXRRESE","GSON1112160060")</f>
        <v>#NAME?</v>
      </c>
      <c r="E2289" s="28" t="e">
        <f ca="1">[1]!BexGetData("DP_1","003N8EMH8GTFRCSWKMPXRRL3Y","GSON1112160060")</f>
        <v>#NAME?</v>
      </c>
      <c r="F2289" s="23" t="e">
        <f ca="1">[1]!BexGetData("DP_1","003N8EMH8GTFRCSWKMPXRRRFI","GSON1112160060")</f>
        <v>#NAME?</v>
      </c>
      <c r="G2289" s="28" t="e">
        <f ca="1">[1]!BexGetData("DP_1","003N8EMH8GTFRCSWKMPXRRXR2","GSON1112160060")</f>
        <v>#NAME?</v>
      </c>
      <c r="H2289" s="28" t="e">
        <f ca="1">[1]!BexGetData("DP_1","003N8EMH8GTFRCSWKMPXRS42M","GSON1112160060")</f>
        <v>#NAME?</v>
      </c>
      <c r="I2289" s="23" t="e">
        <f ca="1">[1]!BexGetData("DP_1","003N8EMH8GTFRCSWKMPXRSAE6","GSON1112160060")</f>
        <v>#NAME?</v>
      </c>
      <c r="J2289" s="23" t="e">
        <f ca="1">[1]!BexGetData("DP_1","003N8EMH8GTFRCSWKMPXRSGPQ","GSON1112160060")</f>
        <v>#NAME?</v>
      </c>
      <c r="K2289" s="23" t="e">
        <f ca="1">[1]!BexGetData("DP_1","003N8EMH8GTFRIVNUPY288VJH","GSON1112160060")</f>
        <v>#NAME?</v>
      </c>
      <c r="L2289" s="23" t="e">
        <f ca="1">[1]!BexGetData("DP_1","003N8EMH8GTFRIVNUPY2891V1","GSON1112160060")</f>
        <v>#NAME?</v>
      </c>
      <c r="M2289" s="23" t="e">
        <f ca="1">[1]!BexGetData("DP_1","003N8EMH8GTFRIVOG7KG9IQXA","GSON1112160060")</f>
        <v>#NAME?</v>
      </c>
      <c r="N2289" s="28" t="e">
        <f ca="1">[1]!BexGetData("DP_1","003N8EMH8GTFRIVOG7KG9IX8U","GSON1112160060")</f>
        <v>#NAME?</v>
      </c>
      <c r="O2289" s="23" t="e">
        <f ca="1">[1]!BexGetData("DP_1","003N8EMH8GTFRIVOG7KG9J3KE","GSON1112160060")</f>
        <v>#NAME?</v>
      </c>
      <c r="P2289" s="28" t="e">
        <f ca="1">[1]!BexGetData("DP_1","003N8EMH8GTFRIVOG7KG9J9VY","GSON1112160060")</f>
        <v>#NAME?</v>
      </c>
      <c r="Q2289" s="23" t="e">
        <f ca="1">[1]!BexGetData("DP_1","00O2TNJGODT0G5Z4TTKYMM5MT","GSON1112160060")</f>
        <v>#NAME?</v>
      </c>
      <c r="R2289" s="28" t="e">
        <f ca="1">[1]!BexGetData("DP_1","00O2TNJGODT0G5Z4TTKYMMBYD","GSON1112160060")</f>
        <v>#NAME?</v>
      </c>
      <c r="S2289" s="28" t="e">
        <f ca="1">[1]!BexGetData("DP_1","00O2TNJGODT0G5Z4TTKYMMI9X","GSON1112160060")</f>
        <v>#NAME?</v>
      </c>
      <c r="T2289" s="28" t="e">
        <f ca="1">[1]!BexGetData("DP_1","00O2TNJGODT0G5Z4TTKYMMOLH","GSON1112160060")</f>
        <v>#NAME?</v>
      </c>
      <c r="U2289" s="28" t="e">
        <f ca="1">[1]!BexGetData("DP_1","00O2TNJGODT0G5Z4TTKYMMUX1","GSON1112160060")</f>
        <v>#NAME?</v>
      </c>
      <c r="V2289" s="28" t="e">
        <f ca="1">[1]!BexGetData("DP_1","00O2TNJGODT0G5Z4TTKYMN18L","GSON1112160060")</f>
        <v>#NAME?</v>
      </c>
      <c r="W2289" s="28" t="e">
        <f ca="1">[1]!BexGetData("DP_1","00O2TNJGODT0G5Z4TTKYMN7K5","GSON1112160060")</f>
        <v>#NAME?</v>
      </c>
    </row>
    <row r="2290" spans="1:23" x14ac:dyDescent="0.2">
      <c r="A2290" s="36" t="s">
        <v>5543</v>
      </c>
      <c r="B2290" s="27" t="s">
        <v>5544</v>
      </c>
      <c r="C2290" s="23" t="e">
        <f ca="1">[1]!BexGetData("DP_1","003N8EMH8GTFRCSWKMPXRR8GU","GSON1112160063")</f>
        <v>#NAME?</v>
      </c>
      <c r="D2290" s="23" t="e">
        <f ca="1">[1]!BexGetData("DP_1","003N8EMH8GTFRCSWKMPXRRESE","GSON1112160063")</f>
        <v>#NAME?</v>
      </c>
      <c r="E2290" s="28" t="e">
        <f ca="1">[1]!BexGetData("DP_1","003N8EMH8GTFRCSWKMPXRRL3Y","GSON1112160063")</f>
        <v>#NAME?</v>
      </c>
      <c r="F2290" s="24" t="e">
        <f ca="1">[1]!BexGetData("DP_1","003N8EMH8GTFRCSWKMPXRRRFI","GSON1112160063")</f>
        <v>#NAME?</v>
      </c>
      <c r="G2290" s="24" t="e">
        <f ca="1">[1]!BexGetData("DP_1","003N8EMH8GTFRCSWKMPXRRXR2","GSON1112160063")</f>
        <v>#NAME?</v>
      </c>
      <c r="H2290" s="24" t="e">
        <f ca="1">[1]!BexGetData("DP_1","003N8EMH8GTFRCSWKMPXRS42M","GSON1112160063")</f>
        <v>#NAME?</v>
      </c>
      <c r="I2290" s="24" t="e">
        <f ca="1">[1]!BexGetData("DP_1","003N8EMH8GTFRCSWKMPXRSAE6","GSON1112160063")</f>
        <v>#NAME?</v>
      </c>
      <c r="J2290" s="24" t="e">
        <f ca="1">[1]!BexGetData("DP_1","003N8EMH8GTFRCSWKMPXRSGPQ","GSON1112160063")</f>
        <v>#NAME?</v>
      </c>
      <c r="K2290" s="28" t="e">
        <f ca="1">[1]!BexGetData("DP_1","003N8EMH8GTFRIVNUPY288VJH","GSON1112160063")</f>
        <v>#NAME?</v>
      </c>
      <c r="L2290" s="28" t="e">
        <f ca="1">[1]!BexGetData("DP_1","003N8EMH8GTFRIVNUPY2891V1","GSON1112160063")</f>
        <v>#NAME?</v>
      </c>
      <c r="M2290" s="28" t="e">
        <f ca="1">[1]!BexGetData("DP_1","003N8EMH8GTFRIVOG7KG9IQXA","GSON1112160063")</f>
        <v>#NAME?</v>
      </c>
      <c r="N2290" s="28" t="e">
        <f ca="1">[1]!BexGetData("DP_1","003N8EMH8GTFRIVOG7KG9IX8U","GSON1112160063")</f>
        <v>#NAME?</v>
      </c>
      <c r="O2290" s="28" t="e">
        <f ca="1">[1]!BexGetData("DP_1","003N8EMH8GTFRIVOG7KG9J3KE","GSON1112160063")</f>
        <v>#NAME?</v>
      </c>
      <c r="P2290" s="28" t="e">
        <f ca="1">[1]!BexGetData("DP_1","003N8EMH8GTFRIVOG7KG9J9VY","GSON1112160063")</f>
        <v>#NAME?</v>
      </c>
      <c r="Q2290" s="24" t="e">
        <f ca="1">[1]!BexGetData("DP_1","00O2TNJGODT0G5Z4TTKYMM5MT","GSON1112160063")</f>
        <v>#NAME?</v>
      </c>
      <c r="R2290" s="24" t="e">
        <f ca="1">[1]!BexGetData("DP_1","00O2TNJGODT0G5Z4TTKYMMBYD","GSON1112160063")</f>
        <v>#NAME?</v>
      </c>
      <c r="S2290" s="24" t="e">
        <f ca="1">[1]!BexGetData("DP_1","00O2TNJGODT0G5Z4TTKYMMI9X","GSON1112160063")</f>
        <v>#NAME?</v>
      </c>
      <c r="T2290" s="24" t="e">
        <f ca="1">[1]!BexGetData("DP_1","00O2TNJGODT0G5Z4TTKYMMOLH","GSON1112160063")</f>
        <v>#NAME?</v>
      </c>
      <c r="U2290" s="24" t="e">
        <f ca="1">[1]!BexGetData("DP_1","00O2TNJGODT0G5Z4TTKYMMUX1","GSON1112160063")</f>
        <v>#NAME?</v>
      </c>
      <c r="V2290" s="24" t="e">
        <f ca="1">[1]!BexGetData("DP_1","00O2TNJGODT0G5Z4TTKYMN18L","GSON1112160063")</f>
        <v>#NAME?</v>
      </c>
      <c r="W2290" s="24" t="e">
        <f ca="1">[1]!BexGetData("DP_1","00O2TNJGODT0G5Z4TTKYMN7K5","GSON1112160063")</f>
        <v>#NAME?</v>
      </c>
    </row>
    <row r="2291" spans="1:23" x14ac:dyDescent="0.2">
      <c r="A2291" s="36" t="s">
        <v>5545</v>
      </c>
      <c r="B2291" s="27" t="s">
        <v>5546</v>
      </c>
      <c r="C2291" s="23" t="e">
        <f ca="1">[1]!BexGetData("DP_1","003N8EMH8GTFRCSWKMPXRR8GU","GSON1112160070")</f>
        <v>#NAME?</v>
      </c>
      <c r="D2291" s="23" t="e">
        <f ca="1">[1]!BexGetData("DP_1","003N8EMH8GTFRCSWKMPXRRESE","GSON1112160070")</f>
        <v>#NAME?</v>
      </c>
      <c r="E2291" s="23" t="e">
        <f ca="1">[1]!BexGetData("DP_1","003N8EMH8GTFRCSWKMPXRRL3Y","GSON1112160070")</f>
        <v>#NAME?</v>
      </c>
      <c r="F2291" s="23" t="e">
        <f ca="1">[1]!BexGetData("DP_1","003N8EMH8GTFRCSWKMPXRRRFI","GSON1112160070")</f>
        <v>#NAME?</v>
      </c>
      <c r="G2291" s="23" t="e">
        <f ca="1">[1]!BexGetData("DP_1","003N8EMH8GTFRCSWKMPXRRXR2","GSON1112160070")</f>
        <v>#NAME?</v>
      </c>
      <c r="H2291" s="28" t="e">
        <f ca="1">[1]!BexGetData("DP_1","003N8EMH8GTFRCSWKMPXRS42M","GSON1112160070")</f>
        <v>#NAME?</v>
      </c>
      <c r="I2291" s="23" t="e">
        <f ca="1">[1]!BexGetData("DP_1","003N8EMH8GTFRCSWKMPXRSAE6","GSON1112160070")</f>
        <v>#NAME?</v>
      </c>
      <c r="J2291" s="23" t="e">
        <f ca="1">[1]!BexGetData("DP_1","003N8EMH8GTFRCSWKMPXRSGPQ","GSON1112160070")</f>
        <v>#NAME?</v>
      </c>
      <c r="K2291" s="23" t="e">
        <f ca="1">[1]!BexGetData("DP_1","003N8EMH8GTFRIVNUPY288VJH","GSON1112160070")</f>
        <v>#NAME?</v>
      </c>
      <c r="L2291" s="23" t="e">
        <f ca="1">[1]!BexGetData("DP_1","003N8EMH8GTFRIVNUPY2891V1","GSON1112160070")</f>
        <v>#NAME?</v>
      </c>
      <c r="M2291" s="23" t="e">
        <f ca="1">[1]!BexGetData("DP_1","003N8EMH8GTFRIVOG7KG9IQXA","GSON1112160070")</f>
        <v>#NAME?</v>
      </c>
      <c r="N2291" s="28" t="e">
        <f ca="1">[1]!BexGetData("DP_1","003N8EMH8GTFRIVOG7KG9IX8U","GSON1112160070")</f>
        <v>#NAME?</v>
      </c>
      <c r="O2291" s="23" t="e">
        <f ca="1">[1]!BexGetData("DP_1","003N8EMH8GTFRIVOG7KG9J3KE","GSON1112160070")</f>
        <v>#NAME?</v>
      </c>
      <c r="P2291" s="28" t="e">
        <f ca="1">[1]!BexGetData("DP_1","003N8EMH8GTFRIVOG7KG9J9VY","GSON1112160070")</f>
        <v>#NAME?</v>
      </c>
      <c r="Q2291" s="23" t="e">
        <f ca="1">[1]!BexGetData("DP_1","00O2TNJGODT0G5Z4TTKYMM5MT","GSON1112160070")</f>
        <v>#NAME?</v>
      </c>
      <c r="R2291" s="23" t="e">
        <f ca="1">[1]!BexGetData("DP_1","00O2TNJGODT0G5Z4TTKYMMBYD","GSON1112160070")</f>
        <v>#NAME?</v>
      </c>
      <c r="S2291" s="23" t="e">
        <f ca="1">[1]!BexGetData("DP_1","00O2TNJGODT0G5Z4TTKYMMI9X","GSON1112160070")</f>
        <v>#NAME?</v>
      </c>
      <c r="T2291" s="28" t="e">
        <f ca="1">[1]!BexGetData("DP_1","00O2TNJGODT0G5Z4TTKYMMOLH","GSON1112160070")</f>
        <v>#NAME?</v>
      </c>
      <c r="U2291" s="23" t="e">
        <f ca="1">[1]!BexGetData("DP_1","00O2TNJGODT0G5Z4TTKYMMUX1","GSON1112160070")</f>
        <v>#NAME?</v>
      </c>
      <c r="V2291" s="28" t="e">
        <f ca="1">[1]!BexGetData("DP_1","00O2TNJGODT0G5Z4TTKYMN18L","GSON1112160070")</f>
        <v>#NAME?</v>
      </c>
      <c r="W2291" s="23" t="e">
        <f ca="1">[1]!BexGetData("DP_1","00O2TNJGODT0G5Z4TTKYMN7K5","GSON1112160070")</f>
        <v>#NAME?</v>
      </c>
    </row>
    <row r="2292" spans="1:23" x14ac:dyDescent="0.2">
      <c r="A2292" s="36" t="s">
        <v>5547</v>
      </c>
      <c r="B2292" s="27" t="s">
        <v>5548</v>
      </c>
      <c r="C2292" s="23" t="e">
        <f ca="1">[1]!BexGetData("DP_1","003N8EMH8GTFRCSWKMPXRR8GU","GSON1112160071")</f>
        <v>#NAME?</v>
      </c>
      <c r="D2292" s="23" t="e">
        <f ca="1">[1]!BexGetData("DP_1","003N8EMH8GTFRCSWKMPXRRESE","GSON1112160071")</f>
        <v>#NAME?</v>
      </c>
      <c r="E2292" s="28" t="e">
        <f ca="1">[1]!BexGetData("DP_1","003N8EMH8GTFRCSWKMPXRRL3Y","GSON1112160071")</f>
        <v>#NAME?</v>
      </c>
      <c r="F2292" s="28" t="e">
        <f ca="1">[1]!BexGetData("DP_1","003N8EMH8GTFRCSWKMPXRRRFI","GSON1112160071")</f>
        <v>#NAME?</v>
      </c>
      <c r="G2292" s="23" t="e">
        <f ca="1">[1]!BexGetData("DP_1","003N8EMH8GTFRCSWKMPXRRXR2","GSON1112160071")</f>
        <v>#NAME?</v>
      </c>
      <c r="H2292" s="23" t="e">
        <f ca="1">[1]!BexGetData("DP_1","003N8EMH8GTFRCSWKMPXRS42M","GSON1112160071")</f>
        <v>#NAME?</v>
      </c>
      <c r="I2292" s="28" t="e">
        <f ca="1">[1]!BexGetData("DP_1","003N8EMH8GTFRCSWKMPXRSAE6","GSON1112160071")</f>
        <v>#NAME?</v>
      </c>
      <c r="J2292" s="24" t="e">
        <f ca="1">[1]!BexGetData("DP_1","003N8EMH8GTFRCSWKMPXRSGPQ","GSON1112160071")</f>
        <v>#NAME?</v>
      </c>
      <c r="K2292" s="28" t="e">
        <f ca="1">[1]!BexGetData("DP_1","003N8EMH8GTFRIVNUPY288VJH","GSON1112160071")</f>
        <v>#NAME?</v>
      </c>
      <c r="L2292" s="28" t="e">
        <f ca="1">[1]!BexGetData("DP_1","003N8EMH8GTFRIVNUPY2891V1","GSON1112160071")</f>
        <v>#NAME?</v>
      </c>
      <c r="M2292" s="28" t="e">
        <f ca="1">[1]!BexGetData("DP_1","003N8EMH8GTFRIVOG7KG9IQXA","GSON1112160071")</f>
        <v>#NAME?</v>
      </c>
      <c r="N2292" s="28" t="e">
        <f ca="1">[1]!BexGetData("DP_1","003N8EMH8GTFRIVOG7KG9IX8U","GSON1112160071")</f>
        <v>#NAME?</v>
      </c>
      <c r="O2292" s="28" t="e">
        <f ca="1">[1]!BexGetData("DP_1","003N8EMH8GTFRIVOG7KG9J3KE","GSON1112160071")</f>
        <v>#NAME?</v>
      </c>
      <c r="P2292" s="28" t="e">
        <f ca="1">[1]!BexGetData("DP_1","003N8EMH8GTFRIVOG7KG9J9VY","GSON1112160071")</f>
        <v>#NAME?</v>
      </c>
      <c r="Q2292" s="24" t="e">
        <f ca="1">[1]!BexGetData("DP_1","00O2TNJGODT0G5Z4TTKYMM5MT","GSON1112160071")</f>
        <v>#NAME?</v>
      </c>
      <c r="R2292" s="28" t="e">
        <f ca="1">[1]!BexGetData("DP_1","00O2TNJGODT0G5Z4TTKYMMBYD","GSON1112160071")</f>
        <v>#NAME?</v>
      </c>
      <c r="S2292" s="28" t="e">
        <f ca="1">[1]!BexGetData("DP_1","00O2TNJGODT0G5Z4TTKYMMI9X","GSON1112160071")</f>
        <v>#NAME?</v>
      </c>
      <c r="T2292" s="28" t="e">
        <f ca="1">[1]!BexGetData("DP_1","00O2TNJGODT0G5Z4TTKYMMOLH","GSON1112160071")</f>
        <v>#NAME?</v>
      </c>
      <c r="U2292" s="28" t="e">
        <f ca="1">[1]!BexGetData("DP_1","00O2TNJGODT0G5Z4TTKYMMUX1","GSON1112160071")</f>
        <v>#NAME?</v>
      </c>
      <c r="V2292" s="28" t="e">
        <f ca="1">[1]!BexGetData("DP_1","00O2TNJGODT0G5Z4TTKYMN18L","GSON1112160071")</f>
        <v>#NAME?</v>
      </c>
      <c r="W2292" s="28" t="e">
        <f ca="1">[1]!BexGetData("DP_1","00O2TNJGODT0G5Z4TTKYMN7K5","GSON1112160071")</f>
        <v>#NAME?</v>
      </c>
    </row>
    <row r="2293" spans="1:23" x14ac:dyDescent="0.2">
      <c r="A2293" s="36" t="s">
        <v>5549</v>
      </c>
      <c r="B2293" s="27" t="s">
        <v>5550</v>
      </c>
      <c r="C2293" s="23" t="e">
        <f ca="1">[1]!BexGetData("DP_1","003N8EMH8GTFRCSWKMPXRR8GU","GSON1112160073")</f>
        <v>#NAME?</v>
      </c>
      <c r="D2293" s="23" t="e">
        <f ca="1">[1]!BexGetData("DP_1","003N8EMH8GTFRCSWKMPXRRESE","GSON1112160073")</f>
        <v>#NAME?</v>
      </c>
      <c r="E2293" s="28" t="e">
        <f ca="1">[1]!BexGetData("DP_1","003N8EMH8GTFRCSWKMPXRRL3Y","GSON1112160073")</f>
        <v>#NAME?</v>
      </c>
      <c r="F2293" s="24" t="e">
        <f ca="1">[1]!BexGetData("DP_1","003N8EMH8GTFRCSWKMPXRRRFI","GSON1112160073")</f>
        <v>#NAME?</v>
      </c>
      <c r="G2293" s="24" t="e">
        <f ca="1">[1]!BexGetData("DP_1","003N8EMH8GTFRCSWKMPXRRXR2","GSON1112160073")</f>
        <v>#NAME?</v>
      </c>
      <c r="H2293" s="24" t="e">
        <f ca="1">[1]!BexGetData("DP_1","003N8EMH8GTFRCSWKMPXRS42M","GSON1112160073")</f>
        <v>#NAME?</v>
      </c>
      <c r="I2293" s="24" t="e">
        <f ca="1">[1]!BexGetData("DP_1","003N8EMH8GTFRCSWKMPXRSAE6","GSON1112160073")</f>
        <v>#NAME?</v>
      </c>
      <c r="J2293" s="24" t="e">
        <f ca="1">[1]!BexGetData("DP_1","003N8EMH8GTFRCSWKMPXRSGPQ","GSON1112160073")</f>
        <v>#NAME?</v>
      </c>
      <c r="K2293" s="28" t="e">
        <f ca="1">[1]!BexGetData("DP_1","003N8EMH8GTFRIVNUPY288VJH","GSON1112160073")</f>
        <v>#NAME?</v>
      </c>
      <c r="L2293" s="28" t="e">
        <f ca="1">[1]!BexGetData("DP_1","003N8EMH8GTFRIVNUPY2891V1","GSON1112160073")</f>
        <v>#NAME?</v>
      </c>
      <c r="M2293" s="28" t="e">
        <f ca="1">[1]!BexGetData("DP_1","003N8EMH8GTFRIVOG7KG9IQXA","GSON1112160073")</f>
        <v>#NAME?</v>
      </c>
      <c r="N2293" s="28" t="e">
        <f ca="1">[1]!BexGetData("DP_1","003N8EMH8GTFRIVOG7KG9IX8U","GSON1112160073")</f>
        <v>#NAME?</v>
      </c>
      <c r="O2293" s="28" t="e">
        <f ca="1">[1]!BexGetData("DP_1","003N8EMH8GTFRIVOG7KG9J3KE","GSON1112160073")</f>
        <v>#NAME?</v>
      </c>
      <c r="P2293" s="28" t="e">
        <f ca="1">[1]!BexGetData("DP_1","003N8EMH8GTFRIVOG7KG9J9VY","GSON1112160073")</f>
        <v>#NAME?</v>
      </c>
      <c r="Q2293" s="24" t="e">
        <f ca="1">[1]!BexGetData("DP_1","00O2TNJGODT0G5Z4TTKYMM5MT","GSON1112160073")</f>
        <v>#NAME?</v>
      </c>
      <c r="R2293" s="24" t="e">
        <f ca="1">[1]!BexGetData("DP_1","00O2TNJGODT0G5Z4TTKYMMBYD","GSON1112160073")</f>
        <v>#NAME?</v>
      </c>
      <c r="S2293" s="24" t="e">
        <f ca="1">[1]!BexGetData("DP_1","00O2TNJGODT0G5Z4TTKYMMI9X","GSON1112160073")</f>
        <v>#NAME?</v>
      </c>
      <c r="T2293" s="24" t="e">
        <f ca="1">[1]!BexGetData("DP_1","00O2TNJGODT0G5Z4TTKYMMOLH","GSON1112160073")</f>
        <v>#NAME?</v>
      </c>
      <c r="U2293" s="24" t="e">
        <f ca="1">[1]!BexGetData("DP_1","00O2TNJGODT0G5Z4TTKYMMUX1","GSON1112160073")</f>
        <v>#NAME?</v>
      </c>
      <c r="V2293" s="24" t="e">
        <f ca="1">[1]!BexGetData("DP_1","00O2TNJGODT0G5Z4TTKYMN18L","GSON1112160073")</f>
        <v>#NAME?</v>
      </c>
      <c r="W2293" s="24" t="e">
        <f ca="1">[1]!BexGetData("DP_1","00O2TNJGODT0G5Z4TTKYMN7K5","GSON1112160073")</f>
        <v>#NAME?</v>
      </c>
    </row>
    <row r="2294" spans="1:23" x14ac:dyDescent="0.2">
      <c r="A2294" s="36" t="s">
        <v>5551</v>
      </c>
      <c r="B2294" s="27" t="s">
        <v>5552</v>
      </c>
      <c r="C2294" s="23" t="e">
        <f ca="1">[1]!BexGetData("DP_1","003N8EMH8GTFRCSWKMPXRR8GU","GSON1112160074")</f>
        <v>#NAME?</v>
      </c>
      <c r="D2294" s="23" t="e">
        <f ca="1">[1]!BexGetData("DP_1","003N8EMH8GTFRCSWKMPXRRESE","GSON1112160074")</f>
        <v>#NAME?</v>
      </c>
      <c r="E2294" s="28" t="e">
        <f ca="1">[1]!BexGetData("DP_1","003N8EMH8GTFRCSWKMPXRRL3Y","GSON1112160074")</f>
        <v>#NAME?</v>
      </c>
      <c r="F2294" s="24" t="e">
        <f ca="1">[1]!BexGetData("DP_1","003N8EMH8GTFRCSWKMPXRRRFI","GSON1112160074")</f>
        <v>#NAME?</v>
      </c>
      <c r="G2294" s="24" t="e">
        <f ca="1">[1]!BexGetData("DP_1","003N8EMH8GTFRCSWKMPXRRXR2","GSON1112160074")</f>
        <v>#NAME?</v>
      </c>
      <c r="H2294" s="24" t="e">
        <f ca="1">[1]!BexGetData("DP_1","003N8EMH8GTFRCSWKMPXRS42M","GSON1112160074")</f>
        <v>#NAME?</v>
      </c>
      <c r="I2294" s="24" t="e">
        <f ca="1">[1]!BexGetData("DP_1","003N8EMH8GTFRCSWKMPXRSAE6","GSON1112160074")</f>
        <v>#NAME?</v>
      </c>
      <c r="J2294" s="24" t="e">
        <f ca="1">[1]!BexGetData("DP_1","003N8EMH8GTFRCSWKMPXRSGPQ","GSON1112160074")</f>
        <v>#NAME?</v>
      </c>
      <c r="K2294" s="28" t="e">
        <f ca="1">[1]!BexGetData("DP_1","003N8EMH8GTFRIVNUPY288VJH","GSON1112160074")</f>
        <v>#NAME?</v>
      </c>
      <c r="L2294" s="28" t="e">
        <f ca="1">[1]!BexGetData("DP_1","003N8EMH8GTFRIVNUPY2891V1","GSON1112160074")</f>
        <v>#NAME?</v>
      </c>
      <c r="M2294" s="28" t="e">
        <f ca="1">[1]!BexGetData("DP_1","003N8EMH8GTFRIVOG7KG9IQXA","GSON1112160074")</f>
        <v>#NAME?</v>
      </c>
      <c r="N2294" s="28" t="e">
        <f ca="1">[1]!BexGetData("DP_1","003N8EMH8GTFRIVOG7KG9IX8U","GSON1112160074")</f>
        <v>#NAME?</v>
      </c>
      <c r="O2294" s="28" t="e">
        <f ca="1">[1]!BexGetData("DP_1","003N8EMH8GTFRIVOG7KG9J3KE","GSON1112160074")</f>
        <v>#NAME?</v>
      </c>
      <c r="P2294" s="28" t="e">
        <f ca="1">[1]!BexGetData("DP_1","003N8EMH8GTFRIVOG7KG9J9VY","GSON1112160074")</f>
        <v>#NAME?</v>
      </c>
      <c r="Q2294" s="24" t="e">
        <f ca="1">[1]!BexGetData("DP_1","00O2TNJGODT0G5Z4TTKYMM5MT","GSON1112160074")</f>
        <v>#NAME?</v>
      </c>
      <c r="R2294" s="24" t="e">
        <f ca="1">[1]!BexGetData("DP_1","00O2TNJGODT0G5Z4TTKYMMBYD","GSON1112160074")</f>
        <v>#NAME?</v>
      </c>
      <c r="S2294" s="24" t="e">
        <f ca="1">[1]!BexGetData("DP_1","00O2TNJGODT0G5Z4TTKYMMI9X","GSON1112160074")</f>
        <v>#NAME?</v>
      </c>
      <c r="T2294" s="24" t="e">
        <f ca="1">[1]!BexGetData("DP_1","00O2TNJGODT0G5Z4TTKYMMOLH","GSON1112160074")</f>
        <v>#NAME?</v>
      </c>
      <c r="U2294" s="24" t="e">
        <f ca="1">[1]!BexGetData("DP_1","00O2TNJGODT0G5Z4TTKYMMUX1","GSON1112160074")</f>
        <v>#NAME?</v>
      </c>
      <c r="V2294" s="24" t="e">
        <f ca="1">[1]!BexGetData("DP_1","00O2TNJGODT0G5Z4TTKYMN18L","GSON1112160074")</f>
        <v>#NAME?</v>
      </c>
      <c r="W2294" s="24" t="e">
        <f ca="1">[1]!BexGetData("DP_1","00O2TNJGODT0G5Z4TTKYMN7K5","GSON1112160074")</f>
        <v>#NAME?</v>
      </c>
    </row>
    <row r="2295" spans="1:23" x14ac:dyDescent="0.2">
      <c r="A2295" s="36" t="s">
        <v>5553</v>
      </c>
      <c r="B2295" s="27" t="s">
        <v>5554</v>
      </c>
      <c r="C2295" s="23" t="e">
        <f ca="1">[1]!BexGetData("DP_1","003N8EMH8GTFRCSWKMPXRR8GU","GSON1112160075")</f>
        <v>#NAME?</v>
      </c>
      <c r="D2295" s="23" t="e">
        <f ca="1">[1]!BexGetData("DP_1","003N8EMH8GTFRCSWKMPXRRESE","GSON1112160075")</f>
        <v>#NAME?</v>
      </c>
      <c r="E2295" s="28" t="e">
        <f ca="1">[1]!BexGetData("DP_1","003N8EMH8GTFRCSWKMPXRRL3Y","GSON1112160075")</f>
        <v>#NAME?</v>
      </c>
      <c r="F2295" s="28" t="e">
        <f ca="1">[1]!BexGetData("DP_1","003N8EMH8GTFRCSWKMPXRRRFI","GSON1112160075")</f>
        <v>#NAME?</v>
      </c>
      <c r="G2295" s="23" t="e">
        <f ca="1">[1]!BexGetData("DP_1","003N8EMH8GTFRCSWKMPXRRXR2","GSON1112160075")</f>
        <v>#NAME?</v>
      </c>
      <c r="H2295" s="23" t="e">
        <f ca="1">[1]!BexGetData("DP_1","003N8EMH8GTFRCSWKMPXRS42M","GSON1112160075")</f>
        <v>#NAME?</v>
      </c>
      <c r="I2295" s="28" t="e">
        <f ca="1">[1]!BexGetData("DP_1","003N8EMH8GTFRCSWKMPXRSAE6","GSON1112160075")</f>
        <v>#NAME?</v>
      </c>
      <c r="J2295" s="24" t="e">
        <f ca="1">[1]!BexGetData("DP_1","003N8EMH8GTFRCSWKMPXRSGPQ","GSON1112160075")</f>
        <v>#NAME?</v>
      </c>
      <c r="K2295" s="28" t="e">
        <f ca="1">[1]!BexGetData("DP_1","003N8EMH8GTFRIVNUPY288VJH","GSON1112160075")</f>
        <v>#NAME?</v>
      </c>
      <c r="L2295" s="28" t="e">
        <f ca="1">[1]!BexGetData("DP_1","003N8EMH8GTFRIVNUPY2891V1","GSON1112160075")</f>
        <v>#NAME?</v>
      </c>
      <c r="M2295" s="28" t="e">
        <f ca="1">[1]!BexGetData("DP_1","003N8EMH8GTFRIVOG7KG9IQXA","GSON1112160075")</f>
        <v>#NAME?</v>
      </c>
      <c r="N2295" s="28" t="e">
        <f ca="1">[1]!BexGetData("DP_1","003N8EMH8GTFRIVOG7KG9IX8U","GSON1112160075")</f>
        <v>#NAME?</v>
      </c>
      <c r="O2295" s="28" t="e">
        <f ca="1">[1]!BexGetData("DP_1","003N8EMH8GTFRIVOG7KG9J3KE","GSON1112160075")</f>
        <v>#NAME?</v>
      </c>
      <c r="P2295" s="28" t="e">
        <f ca="1">[1]!BexGetData("DP_1","003N8EMH8GTFRIVOG7KG9J9VY","GSON1112160075")</f>
        <v>#NAME?</v>
      </c>
      <c r="Q2295" s="24" t="e">
        <f ca="1">[1]!BexGetData("DP_1","00O2TNJGODT0G5Z4TTKYMM5MT","GSON1112160075")</f>
        <v>#NAME?</v>
      </c>
      <c r="R2295" s="28" t="e">
        <f ca="1">[1]!BexGetData("DP_1","00O2TNJGODT0G5Z4TTKYMMBYD","GSON1112160075")</f>
        <v>#NAME?</v>
      </c>
      <c r="S2295" s="28" t="e">
        <f ca="1">[1]!BexGetData("DP_1","00O2TNJGODT0G5Z4TTKYMMI9X","GSON1112160075")</f>
        <v>#NAME?</v>
      </c>
      <c r="T2295" s="28" t="e">
        <f ca="1">[1]!BexGetData("DP_1","00O2TNJGODT0G5Z4TTKYMMOLH","GSON1112160075")</f>
        <v>#NAME?</v>
      </c>
      <c r="U2295" s="28" t="e">
        <f ca="1">[1]!BexGetData("DP_1","00O2TNJGODT0G5Z4TTKYMMUX1","GSON1112160075")</f>
        <v>#NAME?</v>
      </c>
      <c r="V2295" s="28" t="e">
        <f ca="1">[1]!BexGetData("DP_1","00O2TNJGODT0G5Z4TTKYMN18L","GSON1112160075")</f>
        <v>#NAME?</v>
      </c>
      <c r="W2295" s="28" t="e">
        <f ca="1">[1]!BexGetData("DP_1","00O2TNJGODT0G5Z4TTKYMN7K5","GSON1112160075")</f>
        <v>#NAME?</v>
      </c>
    </row>
    <row r="2296" spans="1:23" x14ac:dyDescent="0.2">
      <c r="A2296" s="36" t="s">
        <v>5555</v>
      </c>
      <c r="B2296" s="27" t="s">
        <v>5556</v>
      </c>
      <c r="C2296" s="23" t="e">
        <f ca="1">[1]!BexGetData("DP_1","003N8EMH8GTFRCSWKMPXRR8GU","GSON1112160080")</f>
        <v>#NAME?</v>
      </c>
      <c r="D2296" s="28" t="e">
        <f ca="1">[1]!BexGetData("DP_1","003N8EMH8GTFRCSWKMPXRRESE","GSON1112160080")</f>
        <v>#NAME?</v>
      </c>
      <c r="E2296" s="23" t="e">
        <f ca="1">[1]!BexGetData("DP_1","003N8EMH8GTFRCSWKMPXRRL3Y","GSON1112160080")</f>
        <v>#NAME?</v>
      </c>
      <c r="F2296" s="23" t="e">
        <f ca="1">[1]!BexGetData("DP_1","003N8EMH8GTFRCSWKMPXRRRFI","GSON1112160080")</f>
        <v>#NAME?</v>
      </c>
      <c r="G2296" s="23" t="e">
        <f ca="1">[1]!BexGetData("DP_1","003N8EMH8GTFRCSWKMPXRRXR2","GSON1112160080")</f>
        <v>#NAME?</v>
      </c>
      <c r="H2296" s="28" t="e">
        <f ca="1">[1]!BexGetData("DP_1","003N8EMH8GTFRCSWKMPXRS42M","GSON1112160080")</f>
        <v>#NAME?</v>
      </c>
      <c r="I2296" s="23" t="e">
        <f ca="1">[1]!BexGetData("DP_1","003N8EMH8GTFRCSWKMPXRSAE6","GSON1112160080")</f>
        <v>#NAME?</v>
      </c>
      <c r="J2296" s="23" t="e">
        <f ca="1">[1]!BexGetData("DP_1","003N8EMH8GTFRCSWKMPXRSGPQ","GSON1112160080")</f>
        <v>#NAME?</v>
      </c>
      <c r="K2296" s="23" t="e">
        <f ca="1">[1]!BexGetData("DP_1","003N8EMH8GTFRIVNUPY288VJH","GSON1112160080")</f>
        <v>#NAME?</v>
      </c>
      <c r="L2296" s="23" t="e">
        <f ca="1">[1]!BexGetData("DP_1","003N8EMH8GTFRIVNUPY2891V1","GSON1112160080")</f>
        <v>#NAME?</v>
      </c>
      <c r="M2296" s="28" t="e">
        <f ca="1">[1]!BexGetData("DP_1","003N8EMH8GTFRIVOG7KG9IQXA","GSON1112160080")</f>
        <v>#NAME?</v>
      </c>
      <c r="N2296" s="23" t="e">
        <f ca="1">[1]!BexGetData("DP_1","003N8EMH8GTFRIVOG7KG9IX8U","GSON1112160080")</f>
        <v>#NAME?</v>
      </c>
      <c r="O2296" s="28" t="e">
        <f ca="1">[1]!BexGetData("DP_1","003N8EMH8GTFRIVOG7KG9J3KE","GSON1112160080")</f>
        <v>#NAME?</v>
      </c>
      <c r="P2296" s="23" t="e">
        <f ca="1">[1]!BexGetData("DP_1","003N8EMH8GTFRIVOG7KG9J9VY","GSON1112160080")</f>
        <v>#NAME?</v>
      </c>
      <c r="Q2296" s="23" t="e">
        <f ca="1">[1]!BexGetData("DP_1","00O2TNJGODT0G5Z4TTKYMM5MT","GSON1112160080")</f>
        <v>#NAME?</v>
      </c>
      <c r="R2296" s="23" t="e">
        <f ca="1">[1]!BexGetData("DP_1","00O2TNJGODT0G5Z4TTKYMMBYD","GSON1112160080")</f>
        <v>#NAME?</v>
      </c>
      <c r="S2296" s="23" t="e">
        <f ca="1">[1]!BexGetData("DP_1","00O2TNJGODT0G5Z4TTKYMMI9X","GSON1112160080")</f>
        <v>#NAME?</v>
      </c>
      <c r="T2296" s="28" t="e">
        <f ca="1">[1]!BexGetData("DP_1","00O2TNJGODT0G5Z4TTKYMMOLH","GSON1112160080")</f>
        <v>#NAME?</v>
      </c>
      <c r="U2296" s="23" t="e">
        <f ca="1">[1]!BexGetData("DP_1","00O2TNJGODT0G5Z4TTKYMMUX1","GSON1112160080")</f>
        <v>#NAME?</v>
      </c>
      <c r="V2296" s="28" t="e">
        <f ca="1">[1]!BexGetData("DP_1","00O2TNJGODT0G5Z4TTKYMN18L","GSON1112160080")</f>
        <v>#NAME?</v>
      </c>
      <c r="W2296" s="23" t="e">
        <f ca="1">[1]!BexGetData("DP_1","00O2TNJGODT0G5Z4TTKYMN7K5","GSON1112160080")</f>
        <v>#NAME?</v>
      </c>
    </row>
    <row r="2297" spans="1:23" x14ac:dyDescent="0.2">
      <c r="A2297" s="36" t="s">
        <v>5557</v>
      </c>
      <c r="B2297" s="27" t="s">
        <v>5558</v>
      </c>
      <c r="C2297" s="23" t="e">
        <f ca="1">[1]!BexGetData("DP_1","003N8EMH8GTFRCSWKMPXRR8GU","GSON1112160085")</f>
        <v>#NAME?</v>
      </c>
      <c r="D2297" s="23" t="e">
        <f ca="1">[1]!BexGetData("DP_1","003N8EMH8GTFRCSWKMPXRRESE","GSON1112160085")</f>
        <v>#NAME?</v>
      </c>
      <c r="E2297" s="28" t="e">
        <f ca="1">[1]!BexGetData("DP_1","003N8EMH8GTFRCSWKMPXRRL3Y","GSON1112160085")</f>
        <v>#NAME?</v>
      </c>
      <c r="F2297" s="28" t="e">
        <f ca="1">[1]!BexGetData("DP_1","003N8EMH8GTFRCSWKMPXRRRFI","GSON1112160085")</f>
        <v>#NAME?</v>
      </c>
      <c r="G2297" s="23" t="e">
        <f ca="1">[1]!BexGetData("DP_1","003N8EMH8GTFRCSWKMPXRRXR2","GSON1112160085")</f>
        <v>#NAME?</v>
      </c>
      <c r="H2297" s="23" t="e">
        <f ca="1">[1]!BexGetData("DP_1","003N8EMH8GTFRCSWKMPXRS42M","GSON1112160085")</f>
        <v>#NAME?</v>
      </c>
      <c r="I2297" s="28" t="e">
        <f ca="1">[1]!BexGetData("DP_1","003N8EMH8GTFRCSWKMPXRSAE6","GSON1112160085")</f>
        <v>#NAME?</v>
      </c>
      <c r="J2297" s="24" t="e">
        <f ca="1">[1]!BexGetData("DP_1","003N8EMH8GTFRCSWKMPXRSGPQ","GSON1112160085")</f>
        <v>#NAME?</v>
      </c>
      <c r="K2297" s="28" t="e">
        <f ca="1">[1]!BexGetData("DP_1","003N8EMH8GTFRIVNUPY288VJH","GSON1112160085")</f>
        <v>#NAME?</v>
      </c>
      <c r="L2297" s="28" t="e">
        <f ca="1">[1]!BexGetData("DP_1","003N8EMH8GTFRIVNUPY2891V1","GSON1112160085")</f>
        <v>#NAME?</v>
      </c>
      <c r="M2297" s="28" t="e">
        <f ca="1">[1]!BexGetData("DP_1","003N8EMH8GTFRIVOG7KG9IQXA","GSON1112160085")</f>
        <v>#NAME?</v>
      </c>
      <c r="N2297" s="28" t="e">
        <f ca="1">[1]!BexGetData("DP_1","003N8EMH8GTFRIVOG7KG9IX8U","GSON1112160085")</f>
        <v>#NAME?</v>
      </c>
      <c r="O2297" s="28" t="e">
        <f ca="1">[1]!BexGetData("DP_1","003N8EMH8GTFRIVOG7KG9J3KE","GSON1112160085")</f>
        <v>#NAME?</v>
      </c>
      <c r="P2297" s="28" t="e">
        <f ca="1">[1]!BexGetData("DP_1","003N8EMH8GTFRIVOG7KG9J9VY","GSON1112160085")</f>
        <v>#NAME?</v>
      </c>
      <c r="Q2297" s="24" t="e">
        <f ca="1">[1]!BexGetData("DP_1","00O2TNJGODT0G5Z4TTKYMM5MT","GSON1112160085")</f>
        <v>#NAME?</v>
      </c>
      <c r="R2297" s="28" t="e">
        <f ca="1">[1]!BexGetData("DP_1","00O2TNJGODT0G5Z4TTKYMMBYD","GSON1112160085")</f>
        <v>#NAME?</v>
      </c>
      <c r="S2297" s="28" t="e">
        <f ca="1">[1]!BexGetData("DP_1","00O2TNJGODT0G5Z4TTKYMMI9X","GSON1112160085")</f>
        <v>#NAME?</v>
      </c>
      <c r="T2297" s="28" t="e">
        <f ca="1">[1]!BexGetData("DP_1","00O2TNJGODT0G5Z4TTKYMMOLH","GSON1112160085")</f>
        <v>#NAME?</v>
      </c>
      <c r="U2297" s="28" t="e">
        <f ca="1">[1]!BexGetData("DP_1","00O2TNJGODT0G5Z4TTKYMMUX1","GSON1112160085")</f>
        <v>#NAME?</v>
      </c>
      <c r="V2297" s="28" t="e">
        <f ca="1">[1]!BexGetData("DP_1","00O2TNJGODT0G5Z4TTKYMN18L","GSON1112160085")</f>
        <v>#NAME?</v>
      </c>
      <c r="W2297" s="28" t="e">
        <f ca="1">[1]!BexGetData("DP_1","00O2TNJGODT0G5Z4TTKYMN7K5","GSON1112160085")</f>
        <v>#NAME?</v>
      </c>
    </row>
    <row r="2298" spans="1:23" x14ac:dyDescent="0.2">
      <c r="A2298" s="36" t="s">
        <v>1195</v>
      </c>
      <c r="B2298" s="27" t="s">
        <v>1196</v>
      </c>
      <c r="C2298" s="23" t="e">
        <f ca="1">[1]!BexGetData("DP_1","003N8EMH8GTFRCSWKMPXRR8GU","GSON1112160110")</f>
        <v>#NAME?</v>
      </c>
      <c r="D2298" s="23" t="e">
        <f ca="1">[1]!BexGetData("DP_1","003N8EMH8GTFRCSWKMPXRRESE","GSON1112160110")</f>
        <v>#NAME?</v>
      </c>
      <c r="E2298" s="23" t="e">
        <f ca="1">[1]!BexGetData("DP_1","003N8EMH8GTFRCSWKMPXRRL3Y","GSON1112160110")</f>
        <v>#NAME?</v>
      </c>
      <c r="F2298" s="23" t="e">
        <f ca="1">[1]!BexGetData("DP_1","003N8EMH8GTFRCSWKMPXRRRFI","GSON1112160110")</f>
        <v>#NAME?</v>
      </c>
      <c r="G2298" s="23" t="e">
        <f ca="1">[1]!BexGetData("DP_1","003N8EMH8GTFRCSWKMPXRRXR2","GSON1112160110")</f>
        <v>#NAME?</v>
      </c>
      <c r="H2298" s="23" t="e">
        <f ca="1">[1]!BexGetData("DP_1","003N8EMH8GTFRCSWKMPXRS42M","GSON1112160110")</f>
        <v>#NAME?</v>
      </c>
      <c r="I2298" s="23" t="e">
        <f ca="1">[1]!BexGetData("DP_1","003N8EMH8GTFRCSWKMPXRSAE6","GSON1112160110")</f>
        <v>#NAME?</v>
      </c>
      <c r="J2298" s="23" t="e">
        <f ca="1">[1]!BexGetData("DP_1","003N8EMH8GTFRCSWKMPXRSGPQ","GSON1112160110")</f>
        <v>#NAME?</v>
      </c>
      <c r="K2298" s="23" t="e">
        <f ca="1">[1]!BexGetData("DP_1","003N8EMH8GTFRIVNUPY288VJH","GSON1112160110")</f>
        <v>#NAME?</v>
      </c>
      <c r="L2298" s="23" t="e">
        <f ca="1">[1]!BexGetData("DP_1","003N8EMH8GTFRIVNUPY2891V1","GSON1112160110")</f>
        <v>#NAME?</v>
      </c>
      <c r="M2298" s="28" t="e">
        <f ca="1">[1]!BexGetData("DP_1","003N8EMH8GTFRIVOG7KG9IQXA","GSON1112160110")</f>
        <v>#NAME?</v>
      </c>
      <c r="N2298" s="23" t="e">
        <f ca="1">[1]!BexGetData("DP_1","003N8EMH8GTFRIVOG7KG9IX8U","GSON1112160110")</f>
        <v>#NAME?</v>
      </c>
      <c r="O2298" s="28" t="e">
        <f ca="1">[1]!BexGetData("DP_1","003N8EMH8GTFRIVOG7KG9J3KE","GSON1112160110")</f>
        <v>#NAME?</v>
      </c>
      <c r="P2298" s="23" t="e">
        <f ca="1">[1]!BexGetData("DP_1","003N8EMH8GTFRIVOG7KG9J9VY","GSON1112160110")</f>
        <v>#NAME?</v>
      </c>
      <c r="Q2298" s="23" t="e">
        <f ca="1">[1]!BexGetData("DP_1","00O2TNJGODT0G5Z4TTKYMM5MT","GSON1112160110")</f>
        <v>#NAME?</v>
      </c>
      <c r="R2298" s="23" t="e">
        <f ca="1">[1]!BexGetData("DP_1","00O2TNJGODT0G5Z4TTKYMMBYD","GSON1112160110")</f>
        <v>#NAME?</v>
      </c>
      <c r="S2298" s="23" t="e">
        <f ca="1">[1]!BexGetData("DP_1","00O2TNJGODT0G5Z4TTKYMMI9X","GSON1112160110")</f>
        <v>#NAME?</v>
      </c>
      <c r="T2298" s="23" t="e">
        <f ca="1">[1]!BexGetData("DP_1","00O2TNJGODT0G5Z4TTKYMMOLH","GSON1112160110")</f>
        <v>#NAME?</v>
      </c>
      <c r="U2298" s="28" t="e">
        <f ca="1">[1]!BexGetData("DP_1","00O2TNJGODT0G5Z4TTKYMMUX1","GSON1112160110")</f>
        <v>#NAME?</v>
      </c>
      <c r="V2298" s="23" t="e">
        <f ca="1">[1]!BexGetData("DP_1","00O2TNJGODT0G5Z4TTKYMN18L","GSON1112160110")</f>
        <v>#NAME?</v>
      </c>
      <c r="W2298" s="28" t="e">
        <f ca="1">[1]!BexGetData("DP_1","00O2TNJGODT0G5Z4TTKYMN7K5","GSON1112160110")</f>
        <v>#NAME?</v>
      </c>
    </row>
    <row r="2299" spans="1:23" x14ac:dyDescent="0.2">
      <c r="A2299" s="36" t="s">
        <v>1197</v>
      </c>
      <c r="B2299" s="27" t="s">
        <v>1198</v>
      </c>
      <c r="C2299" s="23" t="e">
        <f ca="1">[1]!BexGetData("DP_1","003N8EMH8GTFRCSWKMPXRR8GU","GSON1112160111")</f>
        <v>#NAME?</v>
      </c>
      <c r="D2299" s="23" t="e">
        <f ca="1">[1]!BexGetData("DP_1","003N8EMH8GTFRCSWKMPXRRESE","GSON1112160111")</f>
        <v>#NAME?</v>
      </c>
      <c r="E2299" s="28" t="e">
        <f ca="1">[1]!BexGetData("DP_1","003N8EMH8GTFRCSWKMPXRRL3Y","GSON1112160111")</f>
        <v>#NAME?</v>
      </c>
      <c r="F2299" s="28" t="e">
        <f ca="1">[1]!BexGetData("DP_1","003N8EMH8GTFRCSWKMPXRRRFI","GSON1112160111")</f>
        <v>#NAME?</v>
      </c>
      <c r="G2299" s="23" t="e">
        <f ca="1">[1]!BexGetData("DP_1","003N8EMH8GTFRCSWKMPXRRXR2","GSON1112160111")</f>
        <v>#NAME?</v>
      </c>
      <c r="H2299" s="23" t="e">
        <f ca="1">[1]!BexGetData("DP_1","003N8EMH8GTFRCSWKMPXRS42M","GSON1112160111")</f>
        <v>#NAME?</v>
      </c>
      <c r="I2299" s="28" t="e">
        <f ca="1">[1]!BexGetData("DP_1","003N8EMH8GTFRCSWKMPXRSAE6","GSON1112160111")</f>
        <v>#NAME?</v>
      </c>
      <c r="J2299" s="24" t="e">
        <f ca="1">[1]!BexGetData("DP_1","003N8EMH8GTFRCSWKMPXRSGPQ","GSON1112160111")</f>
        <v>#NAME?</v>
      </c>
      <c r="K2299" s="28" t="e">
        <f ca="1">[1]!BexGetData("DP_1","003N8EMH8GTFRIVNUPY288VJH","GSON1112160111")</f>
        <v>#NAME?</v>
      </c>
      <c r="L2299" s="28" t="e">
        <f ca="1">[1]!BexGetData("DP_1","003N8EMH8GTFRIVNUPY2891V1","GSON1112160111")</f>
        <v>#NAME?</v>
      </c>
      <c r="M2299" s="28" t="e">
        <f ca="1">[1]!BexGetData("DP_1","003N8EMH8GTFRIVOG7KG9IQXA","GSON1112160111")</f>
        <v>#NAME?</v>
      </c>
      <c r="N2299" s="28" t="e">
        <f ca="1">[1]!BexGetData("DP_1","003N8EMH8GTFRIVOG7KG9IX8U","GSON1112160111")</f>
        <v>#NAME?</v>
      </c>
      <c r="O2299" s="28" t="e">
        <f ca="1">[1]!BexGetData("DP_1","003N8EMH8GTFRIVOG7KG9J3KE","GSON1112160111")</f>
        <v>#NAME?</v>
      </c>
      <c r="P2299" s="28" t="e">
        <f ca="1">[1]!BexGetData("DP_1","003N8EMH8GTFRIVOG7KG9J9VY","GSON1112160111")</f>
        <v>#NAME?</v>
      </c>
      <c r="Q2299" s="24" t="e">
        <f ca="1">[1]!BexGetData("DP_1","00O2TNJGODT0G5Z4TTKYMM5MT","GSON1112160111")</f>
        <v>#NAME?</v>
      </c>
      <c r="R2299" s="28" t="e">
        <f ca="1">[1]!BexGetData("DP_1","00O2TNJGODT0G5Z4TTKYMMBYD","GSON1112160111")</f>
        <v>#NAME?</v>
      </c>
      <c r="S2299" s="28" t="e">
        <f ca="1">[1]!BexGetData("DP_1","00O2TNJGODT0G5Z4TTKYMMI9X","GSON1112160111")</f>
        <v>#NAME?</v>
      </c>
      <c r="T2299" s="28" t="e">
        <f ca="1">[1]!BexGetData("DP_1","00O2TNJGODT0G5Z4TTKYMMOLH","GSON1112160111")</f>
        <v>#NAME?</v>
      </c>
      <c r="U2299" s="28" t="e">
        <f ca="1">[1]!BexGetData("DP_1","00O2TNJGODT0G5Z4TTKYMMUX1","GSON1112160111")</f>
        <v>#NAME?</v>
      </c>
      <c r="V2299" s="28" t="e">
        <f ca="1">[1]!BexGetData("DP_1","00O2TNJGODT0G5Z4TTKYMN18L","GSON1112160111")</f>
        <v>#NAME?</v>
      </c>
      <c r="W2299" s="28" t="e">
        <f ca="1">[1]!BexGetData("DP_1","00O2TNJGODT0G5Z4TTKYMN7K5","GSON1112160111")</f>
        <v>#NAME?</v>
      </c>
    </row>
    <row r="2300" spans="1:23" x14ac:dyDescent="0.2">
      <c r="A2300" s="36" t="s">
        <v>5559</v>
      </c>
      <c r="B2300" s="27" t="s">
        <v>5560</v>
      </c>
      <c r="C2300" s="24" t="e">
        <f ca="1">[1]!BexGetData("DP_1","003N8EMH8GTFRCSWKMPXRR8GU","GSON1112160112")</f>
        <v>#NAME?</v>
      </c>
      <c r="D2300" s="24" t="e">
        <f ca="1">[1]!BexGetData("DP_1","003N8EMH8GTFRCSWKMPXRRESE","GSON1112160112")</f>
        <v>#NAME?</v>
      </c>
      <c r="E2300" s="24" t="e">
        <f ca="1">[1]!BexGetData("DP_1","003N8EMH8GTFRCSWKMPXRRL3Y","GSON1112160112")</f>
        <v>#NAME?</v>
      </c>
      <c r="F2300" s="28" t="e">
        <f ca="1">[1]!BexGetData("DP_1","003N8EMH8GTFRCSWKMPXRRRFI","GSON1112160112")</f>
        <v>#NAME?</v>
      </c>
      <c r="G2300" s="23" t="e">
        <f ca="1">[1]!BexGetData("DP_1","003N8EMH8GTFRCSWKMPXRRXR2","GSON1112160112")</f>
        <v>#NAME?</v>
      </c>
      <c r="H2300" s="23" t="e">
        <f ca="1">[1]!BexGetData("DP_1","003N8EMH8GTFRCSWKMPXRS42M","GSON1112160112")</f>
        <v>#NAME?</v>
      </c>
      <c r="I2300" s="28" t="e">
        <f ca="1">[1]!BexGetData("DP_1","003N8EMH8GTFRCSWKMPXRSAE6","GSON1112160112")</f>
        <v>#NAME?</v>
      </c>
      <c r="J2300" s="23" t="e">
        <f ca="1">[1]!BexGetData("DP_1","003N8EMH8GTFRCSWKMPXRSGPQ","GSON1112160112")</f>
        <v>#NAME?</v>
      </c>
      <c r="K2300" s="28" t="e">
        <f ca="1">[1]!BexGetData("DP_1","003N8EMH8GTFRIVNUPY288VJH","GSON1112160112")</f>
        <v>#NAME?</v>
      </c>
      <c r="L2300" s="28" t="e">
        <f ca="1">[1]!BexGetData("DP_1","003N8EMH8GTFRIVNUPY2891V1","GSON1112160112")</f>
        <v>#NAME?</v>
      </c>
      <c r="M2300" s="28" t="e">
        <f ca="1">[1]!BexGetData("DP_1","003N8EMH8GTFRIVOG7KG9IQXA","GSON1112160112")</f>
        <v>#NAME?</v>
      </c>
      <c r="N2300" s="28" t="e">
        <f ca="1">[1]!BexGetData("DP_1","003N8EMH8GTFRIVOG7KG9IX8U","GSON1112160112")</f>
        <v>#NAME?</v>
      </c>
      <c r="O2300" s="28" t="e">
        <f ca="1">[1]!BexGetData("DP_1","003N8EMH8GTFRIVOG7KG9J3KE","GSON1112160112")</f>
        <v>#NAME?</v>
      </c>
      <c r="P2300" s="28" t="e">
        <f ca="1">[1]!BexGetData("DP_1","003N8EMH8GTFRIVOG7KG9J9VY","GSON1112160112")</f>
        <v>#NAME?</v>
      </c>
      <c r="Q2300" s="23" t="e">
        <f ca="1">[1]!BexGetData("DP_1","00O2TNJGODT0G5Z4TTKYMM5MT","GSON1112160112")</f>
        <v>#NAME?</v>
      </c>
      <c r="R2300" s="23" t="e">
        <f ca="1">[1]!BexGetData("DP_1","00O2TNJGODT0G5Z4TTKYMMBYD","GSON1112160112")</f>
        <v>#NAME?</v>
      </c>
      <c r="S2300" s="23" t="e">
        <f ca="1">[1]!BexGetData("DP_1","00O2TNJGODT0G5Z4TTKYMMI9X","GSON1112160112")</f>
        <v>#NAME?</v>
      </c>
      <c r="T2300" s="28" t="e">
        <f ca="1">[1]!BexGetData("DP_1","00O2TNJGODT0G5Z4TTKYMMOLH","GSON1112160112")</f>
        <v>#NAME?</v>
      </c>
      <c r="U2300" s="23" t="e">
        <f ca="1">[1]!BexGetData("DP_1","00O2TNJGODT0G5Z4TTKYMMUX1","GSON1112160112")</f>
        <v>#NAME?</v>
      </c>
      <c r="V2300" s="28" t="e">
        <f ca="1">[1]!BexGetData("DP_1","00O2TNJGODT0G5Z4TTKYMN18L","GSON1112160112")</f>
        <v>#NAME?</v>
      </c>
      <c r="W2300" s="23" t="e">
        <f ca="1">[1]!BexGetData("DP_1","00O2TNJGODT0G5Z4TTKYMN7K5","GSON1112160112")</f>
        <v>#NAME?</v>
      </c>
    </row>
    <row r="2301" spans="1:23" x14ac:dyDescent="0.2">
      <c r="A2301" s="36" t="s">
        <v>1622</v>
      </c>
      <c r="B2301" s="27" t="s">
        <v>1623</v>
      </c>
      <c r="C2301" s="23" t="e">
        <f ca="1">[1]!BexGetData("DP_1","003N8EMH8GTFRCSWKMPXRR8GU","GSON1112160113")</f>
        <v>#NAME?</v>
      </c>
      <c r="D2301" s="23" t="e">
        <f ca="1">[1]!BexGetData("DP_1","003N8EMH8GTFRCSWKMPXRRESE","GSON1112160113")</f>
        <v>#NAME?</v>
      </c>
      <c r="E2301" s="28" t="e">
        <f ca="1">[1]!BexGetData("DP_1","003N8EMH8GTFRCSWKMPXRRL3Y","GSON1112160113")</f>
        <v>#NAME?</v>
      </c>
      <c r="F2301" s="28" t="e">
        <f ca="1">[1]!BexGetData("DP_1","003N8EMH8GTFRCSWKMPXRRRFI","GSON1112160113")</f>
        <v>#NAME?</v>
      </c>
      <c r="G2301" s="23" t="e">
        <f ca="1">[1]!BexGetData("DP_1","003N8EMH8GTFRCSWKMPXRRXR2","GSON1112160113")</f>
        <v>#NAME?</v>
      </c>
      <c r="H2301" s="23" t="e">
        <f ca="1">[1]!BexGetData("DP_1","003N8EMH8GTFRCSWKMPXRS42M","GSON1112160113")</f>
        <v>#NAME?</v>
      </c>
      <c r="I2301" s="28" t="e">
        <f ca="1">[1]!BexGetData("DP_1","003N8EMH8GTFRCSWKMPXRSAE6","GSON1112160113")</f>
        <v>#NAME?</v>
      </c>
      <c r="J2301" s="24" t="e">
        <f ca="1">[1]!BexGetData("DP_1","003N8EMH8GTFRCSWKMPXRSGPQ","GSON1112160113")</f>
        <v>#NAME?</v>
      </c>
      <c r="K2301" s="28" t="e">
        <f ca="1">[1]!BexGetData("DP_1","003N8EMH8GTFRIVNUPY288VJH","GSON1112160113")</f>
        <v>#NAME?</v>
      </c>
      <c r="L2301" s="28" t="e">
        <f ca="1">[1]!BexGetData("DP_1","003N8EMH8GTFRIVNUPY2891V1","GSON1112160113")</f>
        <v>#NAME?</v>
      </c>
      <c r="M2301" s="28" t="e">
        <f ca="1">[1]!BexGetData("DP_1","003N8EMH8GTFRIVOG7KG9IQXA","GSON1112160113")</f>
        <v>#NAME?</v>
      </c>
      <c r="N2301" s="28" t="e">
        <f ca="1">[1]!BexGetData("DP_1","003N8EMH8GTFRIVOG7KG9IX8U","GSON1112160113")</f>
        <v>#NAME?</v>
      </c>
      <c r="O2301" s="28" t="e">
        <f ca="1">[1]!BexGetData("DP_1","003N8EMH8GTFRIVOG7KG9J3KE","GSON1112160113")</f>
        <v>#NAME?</v>
      </c>
      <c r="P2301" s="28" t="e">
        <f ca="1">[1]!BexGetData("DP_1","003N8EMH8GTFRIVOG7KG9J9VY","GSON1112160113")</f>
        <v>#NAME?</v>
      </c>
      <c r="Q2301" s="24" t="e">
        <f ca="1">[1]!BexGetData("DP_1","00O2TNJGODT0G5Z4TTKYMM5MT","GSON1112160113")</f>
        <v>#NAME?</v>
      </c>
      <c r="R2301" s="28" t="e">
        <f ca="1">[1]!BexGetData("DP_1","00O2TNJGODT0G5Z4TTKYMMBYD","GSON1112160113")</f>
        <v>#NAME?</v>
      </c>
      <c r="S2301" s="28" t="e">
        <f ca="1">[1]!BexGetData("DP_1","00O2TNJGODT0G5Z4TTKYMMI9X","GSON1112160113")</f>
        <v>#NAME?</v>
      </c>
      <c r="T2301" s="28" t="e">
        <f ca="1">[1]!BexGetData("DP_1","00O2TNJGODT0G5Z4TTKYMMOLH","GSON1112160113")</f>
        <v>#NAME?</v>
      </c>
      <c r="U2301" s="28" t="e">
        <f ca="1">[1]!BexGetData("DP_1","00O2TNJGODT0G5Z4TTKYMMUX1","GSON1112160113")</f>
        <v>#NAME?</v>
      </c>
      <c r="V2301" s="28" t="e">
        <f ca="1">[1]!BexGetData("DP_1","00O2TNJGODT0G5Z4TTKYMN18L","GSON1112160113")</f>
        <v>#NAME?</v>
      </c>
      <c r="W2301" s="28" t="e">
        <f ca="1">[1]!BexGetData("DP_1","00O2TNJGODT0G5Z4TTKYMN7K5","GSON1112160113")</f>
        <v>#NAME?</v>
      </c>
    </row>
    <row r="2302" spans="1:23" x14ac:dyDescent="0.2">
      <c r="A2302" s="36" t="s">
        <v>5561</v>
      </c>
      <c r="B2302" s="27" t="s">
        <v>5562</v>
      </c>
      <c r="C2302" s="23" t="e">
        <f ca="1">[1]!BexGetData("DP_1","003N8EMH8GTFRCSWKMPXRR8GU","GSON1112160115")</f>
        <v>#NAME?</v>
      </c>
      <c r="D2302" s="23" t="e">
        <f ca="1">[1]!BexGetData("DP_1","003N8EMH8GTFRCSWKMPXRRESE","GSON1112160115")</f>
        <v>#NAME?</v>
      </c>
      <c r="E2302" s="28" t="e">
        <f ca="1">[1]!BexGetData("DP_1","003N8EMH8GTFRCSWKMPXRRL3Y","GSON1112160115")</f>
        <v>#NAME?</v>
      </c>
      <c r="F2302" s="28" t="e">
        <f ca="1">[1]!BexGetData("DP_1","003N8EMH8GTFRCSWKMPXRRRFI","GSON1112160115")</f>
        <v>#NAME?</v>
      </c>
      <c r="G2302" s="23" t="e">
        <f ca="1">[1]!BexGetData("DP_1","003N8EMH8GTFRCSWKMPXRRXR2","GSON1112160115")</f>
        <v>#NAME?</v>
      </c>
      <c r="H2302" s="23" t="e">
        <f ca="1">[1]!BexGetData("DP_1","003N8EMH8GTFRCSWKMPXRS42M","GSON1112160115")</f>
        <v>#NAME?</v>
      </c>
      <c r="I2302" s="28" t="e">
        <f ca="1">[1]!BexGetData("DP_1","003N8EMH8GTFRCSWKMPXRSAE6","GSON1112160115")</f>
        <v>#NAME?</v>
      </c>
      <c r="J2302" s="24" t="e">
        <f ca="1">[1]!BexGetData("DP_1","003N8EMH8GTFRCSWKMPXRSGPQ","GSON1112160115")</f>
        <v>#NAME?</v>
      </c>
      <c r="K2302" s="28" t="e">
        <f ca="1">[1]!BexGetData("DP_1","003N8EMH8GTFRIVNUPY288VJH","GSON1112160115")</f>
        <v>#NAME?</v>
      </c>
      <c r="L2302" s="28" t="e">
        <f ca="1">[1]!BexGetData("DP_1","003N8EMH8GTFRIVNUPY2891V1","GSON1112160115")</f>
        <v>#NAME?</v>
      </c>
      <c r="M2302" s="28" t="e">
        <f ca="1">[1]!BexGetData("DP_1","003N8EMH8GTFRIVOG7KG9IQXA","GSON1112160115")</f>
        <v>#NAME?</v>
      </c>
      <c r="N2302" s="28" t="e">
        <f ca="1">[1]!BexGetData("DP_1","003N8EMH8GTFRIVOG7KG9IX8U","GSON1112160115")</f>
        <v>#NAME?</v>
      </c>
      <c r="O2302" s="28" t="e">
        <f ca="1">[1]!BexGetData("DP_1","003N8EMH8GTFRIVOG7KG9J3KE","GSON1112160115")</f>
        <v>#NAME?</v>
      </c>
      <c r="P2302" s="28" t="e">
        <f ca="1">[1]!BexGetData("DP_1","003N8EMH8GTFRIVOG7KG9J9VY","GSON1112160115")</f>
        <v>#NAME?</v>
      </c>
      <c r="Q2302" s="24" t="e">
        <f ca="1">[1]!BexGetData("DP_1","00O2TNJGODT0G5Z4TTKYMM5MT","GSON1112160115")</f>
        <v>#NAME?</v>
      </c>
      <c r="R2302" s="28" t="e">
        <f ca="1">[1]!BexGetData("DP_1","00O2TNJGODT0G5Z4TTKYMMBYD","GSON1112160115")</f>
        <v>#NAME?</v>
      </c>
      <c r="S2302" s="28" t="e">
        <f ca="1">[1]!BexGetData("DP_1","00O2TNJGODT0G5Z4TTKYMMI9X","GSON1112160115")</f>
        <v>#NAME?</v>
      </c>
      <c r="T2302" s="28" t="e">
        <f ca="1">[1]!BexGetData("DP_1","00O2TNJGODT0G5Z4TTKYMMOLH","GSON1112160115")</f>
        <v>#NAME?</v>
      </c>
      <c r="U2302" s="28" t="e">
        <f ca="1">[1]!BexGetData("DP_1","00O2TNJGODT0G5Z4TTKYMMUX1","GSON1112160115")</f>
        <v>#NAME?</v>
      </c>
      <c r="V2302" s="28" t="e">
        <f ca="1">[1]!BexGetData("DP_1","00O2TNJGODT0G5Z4TTKYMN18L","GSON1112160115")</f>
        <v>#NAME?</v>
      </c>
      <c r="W2302" s="28" t="e">
        <f ca="1">[1]!BexGetData("DP_1","00O2TNJGODT0G5Z4TTKYMN7K5","GSON1112160115")</f>
        <v>#NAME?</v>
      </c>
    </row>
    <row r="2303" spans="1:23" x14ac:dyDescent="0.2">
      <c r="A2303" s="36" t="s">
        <v>5563</v>
      </c>
      <c r="B2303" s="27" t="s">
        <v>5564</v>
      </c>
      <c r="C2303" s="23" t="e">
        <f ca="1">[1]!BexGetData("DP_1","003N8EMH8GTFRCSWKMPXRR8GU","GSON1112160120")</f>
        <v>#NAME?</v>
      </c>
      <c r="D2303" s="28" t="e">
        <f ca="1">[1]!BexGetData("DP_1","003N8EMH8GTFRCSWKMPXRRESE","GSON1112160120")</f>
        <v>#NAME?</v>
      </c>
      <c r="E2303" s="23" t="e">
        <f ca="1">[1]!BexGetData("DP_1","003N8EMH8GTFRCSWKMPXRRL3Y","GSON1112160120")</f>
        <v>#NAME?</v>
      </c>
      <c r="F2303" s="23" t="e">
        <f ca="1">[1]!BexGetData("DP_1","003N8EMH8GTFRCSWKMPXRRRFI","GSON1112160120")</f>
        <v>#NAME?</v>
      </c>
      <c r="G2303" s="23" t="e">
        <f ca="1">[1]!BexGetData("DP_1","003N8EMH8GTFRCSWKMPXRRXR2","GSON1112160120")</f>
        <v>#NAME?</v>
      </c>
      <c r="H2303" s="28" t="e">
        <f ca="1">[1]!BexGetData("DP_1","003N8EMH8GTFRCSWKMPXRS42M","GSON1112160120")</f>
        <v>#NAME?</v>
      </c>
      <c r="I2303" s="23" t="e">
        <f ca="1">[1]!BexGetData("DP_1","003N8EMH8GTFRCSWKMPXRSAE6","GSON1112160120")</f>
        <v>#NAME?</v>
      </c>
      <c r="J2303" s="23" t="e">
        <f ca="1">[1]!BexGetData("DP_1","003N8EMH8GTFRCSWKMPXRSGPQ","GSON1112160120")</f>
        <v>#NAME?</v>
      </c>
      <c r="K2303" s="23" t="e">
        <f ca="1">[1]!BexGetData("DP_1","003N8EMH8GTFRIVNUPY288VJH","GSON1112160120")</f>
        <v>#NAME?</v>
      </c>
      <c r="L2303" s="23" t="e">
        <f ca="1">[1]!BexGetData("DP_1","003N8EMH8GTFRIVNUPY2891V1","GSON1112160120")</f>
        <v>#NAME?</v>
      </c>
      <c r="M2303" s="28" t="e">
        <f ca="1">[1]!BexGetData("DP_1","003N8EMH8GTFRIVOG7KG9IQXA","GSON1112160120")</f>
        <v>#NAME?</v>
      </c>
      <c r="N2303" s="23" t="e">
        <f ca="1">[1]!BexGetData("DP_1","003N8EMH8GTFRIVOG7KG9IX8U","GSON1112160120")</f>
        <v>#NAME?</v>
      </c>
      <c r="O2303" s="28" t="e">
        <f ca="1">[1]!BexGetData("DP_1","003N8EMH8GTFRIVOG7KG9J3KE","GSON1112160120")</f>
        <v>#NAME?</v>
      </c>
      <c r="P2303" s="23" t="e">
        <f ca="1">[1]!BexGetData("DP_1","003N8EMH8GTFRIVOG7KG9J9VY","GSON1112160120")</f>
        <v>#NAME?</v>
      </c>
      <c r="Q2303" s="23" t="e">
        <f ca="1">[1]!BexGetData("DP_1","00O2TNJGODT0G5Z4TTKYMM5MT","GSON1112160120")</f>
        <v>#NAME?</v>
      </c>
      <c r="R2303" s="23" t="e">
        <f ca="1">[1]!BexGetData("DP_1","00O2TNJGODT0G5Z4TTKYMMBYD","GSON1112160120")</f>
        <v>#NAME?</v>
      </c>
      <c r="S2303" s="23" t="e">
        <f ca="1">[1]!BexGetData("DP_1","00O2TNJGODT0G5Z4TTKYMMI9X","GSON1112160120")</f>
        <v>#NAME?</v>
      </c>
      <c r="T2303" s="28" t="e">
        <f ca="1">[1]!BexGetData("DP_1","00O2TNJGODT0G5Z4TTKYMMOLH","GSON1112160120")</f>
        <v>#NAME?</v>
      </c>
      <c r="U2303" s="23" t="e">
        <f ca="1">[1]!BexGetData("DP_1","00O2TNJGODT0G5Z4TTKYMMUX1","GSON1112160120")</f>
        <v>#NAME?</v>
      </c>
      <c r="V2303" s="28" t="e">
        <f ca="1">[1]!BexGetData("DP_1","00O2TNJGODT0G5Z4TTKYMN18L","GSON1112160120")</f>
        <v>#NAME?</v>
      </c>
      <c r="W2303" s="23" t="e">
        <f ca="1">[1]!BexGetData("DP_1","00O2TNJGODT0G5Z4TTKYMN7K5","GSON1112160120")</f>
        <v>#NAME?</v>
      </c>
    </row>
    <row r="2304" spans="1:23" x14ac:dyDescent="0.2">
      <c r="A2304" s="36" t="s">
        <v>5565</v>
      </c>
      <c r="B2304" s="27" t="s">
        <v>5566</v>
      </c>
      <c r="C2304" s="23" t="e">
        <f ca="1">[1]!BexGetData("DP_1","003N8EMH8GTFRCSWKMPXRR8GU","GSON1112160125")</f>
        <v>#NAME?</v>
      </c>
      <c r="D2304" s="23" t="e">
        <f ca="1">[1]!BexGetData("DP_1","003N8EMH8GTFRCSWKMPXRRESE","GSON1112160125")</f>
        <v>#NAME?</v>
      </c>
      <c r="E2304" s="28" t="e">
        <f ca="1">[1]!BexGetData("DP_1","003N8EMH8GTFRCSWKMPXRRL3Y","GSON1112160125")</f>
        <v>#NAME?</v>
      </c>
      <c r="F2304" s="28" t="e">
        <f ca="1">[1]!BexGetData("DP_1","003N8EMH8GTFRCSWKMPXRRRFI","GSON1112160125")</f>
        <v>#NAME?</v>
      </c>
      <c r="G2304" s="23" t="e">
        <f ca="1">[1]!BexGetData("DP_1","003N8EMH8GTFRCSWKMPXRRXR2","GSON1112160125")</f>
        <v>#NAME?</v>
      </c>
      <c r="H2304" s="23" t="e">
        <f ca="1">[1]!BexGetData("DP_1","003N8EMH8GTFRCSWKMPXRS42M","GSON1112160125")</f>
        <v>#NAME?</v>
      </c>
      <c r="I2304" s="28" t="e">
        <f ca="1">[1]!BexGetData("DP_1","003N8EMH8GTFRCSWKMPXRSAE6","GSON1112160125")</f>
        <v>#NAME?</v>
      </c>
      <c r="J2304" s="24" t="e">
        <f ca="1">[1]!BexGetData("DP_1","003N8EMH8GTFRCSWKMPXRSGPQ","GSON1112160125")</f>
        <v>#NAME?</v>
      </c>
      <c r="K2304" s="28" t="e">
        <f ca="1">[1]!BexGetData("DP_1","003N8EMH8GTFRIVNUPY288VJH","GSON1112160125")</f>
        <v>#NAME?</v>
      </c>
      <c r="L2304" s="28" t="e">
        <f ca="1">[1]!BexGetData("DP_1","003N8EMH8GTFRIVNUPY2891V1","GSON1112160125")</f>
        <v>#NAME?</v>
      </c>
      <c r="M2304" s="28" t="e">
        <f ca="1">[1]!BexGetData("DP_1","003N8EMH8GTFRIVOG7KG9IQXA","GSON1112160125")</f>
        <v>#NAME?</v>
      </c>
      <c r="N2304" s="28" t="e">
        <f ca="1">[1]!BexGetData("DP_1","003N8EMH8GTFRIVOG7KG9IX8U","GSON1112160125")</f>
        <v>#NAME?</v>
      </c>
      <c r="O2304" s="28" t="e">
        <f ca="1">[1]!BexGetData("DP_1","003N8EMH8GTFRIVOG7KG9J3KE","GSON1112160125")</f>
        <v>#NAME?</v>
      </c>
      <c r="P2304" s="28" t="e">
        <f ca="1">[1]!BexGetData("DP_1","003N8EMH8GTFRIVOG7KG9J9VY","GSON1112160125")</f>
        <v>#NAME?</v>
      </c>
      <c r="Q2304" s="24" t="e">
        <f ca="1">[1]!BexGetData("DP_1","00O2TNJGODT0G5Z4TTKYMM5MT","GSON1112160125")</f>
        <v>#NAME?</v>
      </c>
      <c r="R2304" s="28" t="e">
        <f ca="1">[1]!BexGetData("DP_1","00O2TNJGODT0G5Z4TTKYMMBYD","GSON1112160125")</f>
        <v>#NAME?</v>
      </c>
      <c r="S2304" s="28" t="e">
        <f ca="1">[1]!BexGetData("DP_1","00O2TNJGODT0G5Z4TTKYMMI9X","GSON1112160125")</f>
        <v>#NAME?</v>
      </c>
      <c r="T2304" s="28" t="e">
        <f ca="1">[1]!BexGetData("DP_1","00O2TNJGODT0G5Z4TTKYMMOLH","GSON1112160125")</f>
        <v>#NAME?</v>
      </c>
      <c r="U2304" s="28" t="e">
        <f ca="1">[1]!BexGetData("DP_1","00O2TNJGODT0G5Z4TTKYMMUX1","GSON1112160125")</f>
        <v>#NAME?</v>
      </c>
      <c r="V2304" s="28" t="e">
        <f ca="1">[1]!BexGetData("DP_1","00O2TNJGODT0G5Z4TTKYMN18L","GSON1112160125")</f>
        <v>#NAME?</v>
      </c>
      <c r="W2304" s="28" t="e">
        <f ca="1">[1]!BexGetData("DP_1","00O2TNJGODT0G5Z4TTKYMN7K5","GSON1112160125")</f>
        <v>#NAME?</v>
      </c>
    </row>
    <row r="2305" spans="1:23" x14ac:dyDescent="0.2">
      <c r="A2305" s="36" t="s">
        <v>5567</v>
      </c>
      <c r="B2305" s="27" t="s">
        <v>5568</v>
      </c>
      <c r="C2305" s="28" t="e">
        <f ca="1">[1]!BexGetData("DP_1","003N8EMH8GTFRCSWKMPXRR8GU","GSON1112160130")</f>
        <v>#NAME?</v>
      </c>
      <c r="D2305" s="28" t="e">
        <f ca="1">[1]!BexGetData("DP_1","003N8EMH8GTFRCSWKMPXRRESE","GSON1112160130")</f>
        <v>#NAME?</v>
      </c>
      <c r="E2305" s="23" t="e">
        <f ca="1">[1]!BexGetData("DP_1","003N8EMH8GTFRCSWKMPXRRL3Y","GSON1112160130")</f>
        <v>#NAME?</v>
      </c>
      <c r="F2305" s="23" t="e">
        <f ca="1">[1]!BexGetData("DP_1","003N8EMH8GTFRCSWKMPXRRRFI","GSON1112160130")</f>
        <v>#NAME?</v>
      </c>
      <c r="G2305" s="28" t="e">
        <f ca="1">[1]!BexGetData("DP_1","003N8EMH8GTFRCSWKMPXRRXR2","GSON1112160130")</f>
        <v>#NAME?</v>
      </c>
      <c r="H2305" s="28" t="e">
        <f ca="1">[1]!BexGetData("DP_1","003N8EMH8GTFRCSWKMPXRS42M","GSON1112160130")</f>
        <v>#NAME?</v>
      </c>
      <c r="I2305" s="23" t="e">
        <f ca="1">[1]!BexGetData("DP_1","003N8EMH8GTFRCSWKMPXRSAE6","GSON1112160130")</f>
        <v>#NAME?</v>
      </c>
      <c r="J2305" s="23" t="e">
        <f ca="1">[1]!BexGetData("DP_1","003N8EMH8GTFRCSWKMPXRSGPQ","GSON1112160130")</f>
        <v>#NAME?</v>
      </c>
      <c r="K2305" s="28" t="e">
        <f ca="1">[1]!BexGetData("DP_1","003N8EMH8GTFRIVNUPY288VJH","GSON1112160130")</f>
        <v>#NAME?</v>
      </c>
      <c r="L2305" s="28" t="e">
        <f ca="1">[1]!BexGetData("DP_1","003N8EMH8GTFRIVNUPY2891V1","GSON1112160130")</f>
        <v>#NAME?</v>
      </c>
      <c r="M2305" s="28" t="e">
        <f ca="1">[1]!BexGetData("DP_1","003N8EMH8GTFRIVOG7KG9IQXA","GSON1112160130")</f>
        <v>#NAME?</v>
      </c>
      <c r="N2305" s="28" t="e">
        <f ca="1">[1]!BexGetData("DP_1","003N8EMH8GTFRIVOG7KG9IX8U","GSON1112160130")</f>
        <v>#NAME?</v>
      </c>
      <c r="O2305" s="28" t="e">
        <f ca="1">[1]!BexGetData("DP_1","003N8EMH8GTFRIVOG7KG9J3KE","GSON1112160130")</f>
        <v>#NAME?</v>
      </c>
      <c r="P2305" s="28" t="e">
        <f ca="1">[1]!BexGetData("DP_1","003N8EMH8GTFRIVOG7KG9J9VY","GSON1112160130")</f>
        <v>#NAME?</v>
      </c>
      <c r="Q2305" s="23" t="e">
        <f ca="1">[1]!BexGetData("DP_1","00O2TNJGODT0G5Z4TTKYMM5MT","GSON1112160130")</f>
        <v>#NAME?</v>
      </c>
      <c r="R2305" s="28" t="e">
        <f ca="1">[1]!BexGetData("DP_1","00O2TNJGODT0G5Z4TTKYMMBYD","GSON1112160130")</f>
        <v>#NAME?</v>
      </c>
      <c r="S2305" s="28" t="e">
        <f ca="1">[1]!BexGetData("DP_1","00O2TNJGODT0G5Z4TTKYMMI9X","GSON1112160130")</f>
        <v>#NAME?</v>
      </c>
      <c r="T2305" s="28" t="e">
        <f ca="1">[1]!BexGetData("DP_1","00O2TNJGODT0G5Z4TTKYMMOLH","GSON1112160130")</f>
        <v>#NAME?</v>
      </c>
      <c r="U2305" s="28" t="e">
        <f ca="1">[1]!BexGetData("DP_1","00O2TNJGODT0G5Z4TTKYMMUX1","GSON1112160130")</f>
        <v>#NAME?</v>
      </c>
      <c r="V2305" s="28" t="e">
        <f ca="1">[1]!BexGetData("DP_1","00O2TNJGODT0G5Z4TTKYMN18L","GSON1112160130")</f>
        <v>#NAME?</v>
      </c>
      <c r="W2305" s="28" t="e">
        <f ca="1">[1]!BexGetData("DP_1","00O2TNJGODT0G5Z4TTKYMN7K5","GSON1112160130")</f>
        <v>#NAME?</v>
      </c>
    </row>
    <row r="2306" spans="1:23" x14ac:dyDescent="0.2">
      <c r="A2306" s="36" t="s">
        <v>5569</v>
      </c>
      <c r="B2306" s="27" t="s">
        <v>5570</v>
      </c>
      <c r="C2306" s="23" t="e">
        <f ca="1">[1]!BexGetData("DP_1","003N8EMH8GTFRCSWKMPXRR8GU","GSON1112160144")</f>
        <v>#NAME?</v>
      </c>
      <c r="D2306" s="23" t="e">
        <f ca="1">[1]!BexGetData("DP_1","003N8EMH8GTFRCSWKMPXRRESE","GSON1112160144")</f>
        <v>#NAME?</v>
      </c>
      <c r="E2306" s="28" t="e">
        <f ca="1">[1]!BexGetData("DP_1","003N8EMH8GTFRCSWKMPXRRL3Y","GSON1112160144")</f>
        <v>#NAME?</v>
      </c>
      <c r="F2306" s="24" t="e">
        <f ca="1">[1]!BexGetData("DP_1","003N8EMH8GTFRCSWKMPXRRRFI","GSON1112160144")</f>
        <v>#NAME?</v>
      </c>
      <c r="G2306" s="24" t="e">
        <f ca="1">[1]!BexGetData("DP_1","003N8EMH8GTFRCSWKMPXRRXR2","GSON1112160144")</f>
        <v>#NAME?</v>
      </c>
      <c r="H2306" s="24" t="e">
        <f ca="1">[1]!BexGetData("DP_1","003N8EMH8GTFRCSWKMPXRS42M","GSON1112160144")</f>
        <v>#NAME?</v>
      </c>
      <c r="I2306" s="24" t="e">
        <f ca="1">[1]!BexGetData("DP_1","003N8EMH8GTFRCSWKMPXRSAE6","GSON1112160144")</f>
        <v>#NAME?</v>
      </c>
      <c r="J2306" s="24" t="e">
        <f ca="1">[1]!BexGetData("DP_1","003N8EMH8GTFRCSWKMPXRSGPQ","GSON1112160144")</f>
        <v>#NAME?</v>
      </c>
      <c r="K2306" s="28" t="e">
        <f ca="1">[1]!BexGetData("DP_1","003N8EMH8GTFRIVNUPY288VJH","GSON1112160144")</f>
        <v>#NAME?</v>
      </c>
      <c r="L2306" s="28" t="e">
        <f ca="1">[1]!BexGetData("DP_1","003N8EMH8GTFRIVNUPY2891V1","GSON1112160144")</f>
        <v>#NAME?</v>
      </c>
      <c r="M2306" s="28" t="e">
        <f ca="1">[1]!BexGetData("DP_1","003N8EMH8GTFRIVOG7KG9IQXA","GSON1112160144")</f>
        <v>#NAME?</v>
      </c>
      <c r="N2306" s="28" t="e">
        <f ca="1">[1]!BexGetData("DP_1","003N8EMH8GTFRIVOG7KG9IX8U","GSON1112160144")</f>
        <v>#NAME?</v>
      </c>
      <c r="O2306" s="28" t="e">
        <f ca="1">[1]!BexGetData("DP_1","003N8EMH8GTFRIVOG7KG9J3KE","GSON1112160144")</f>
        <v>#NAME?</v>
      </c>
      <c r="P2306" s="28" t="e">
        <f ca="1">[1]!BexGetData("DP_1","003N8EMH8GTFRIVOG7KG9J9VY","GSON1112160144")</f>
        <v>#NAME?</v>
      </c>
      <c r="Q2306" s="24" t="e">
        <f ca="1">[1]!BexGetData("DP_1","00O2TNJGODT0G5Z4TTKYMM5MT","GSON1112160144")</f>
        <v>#NAME?</v>
      </c>
      <c r="R2306" s="24" t="e">
        <f ca="1">[1]!BexGetData("DP_1","00O2TNJGODT0G5Z4TTKYMMBYD","GSON1112160144")</f>
        <v>#NAME?</v>
      </c>
      <c r="S2306" s="24" t="e">
        <f ca="1">[1]!BexGetData("DP_1","00O2TNJGODT0G5Z4TTKYMMI9X","GSON1112160144")</f>
        <v>#NAME?</v>
      </c>
      <c r="T2306" s="24" t="e">
        <f ca="1">[1]!BexGetData("DP_1","00O2TNJGODT0G5Z4TTKYMMOLH","GSON1112160144")</f>
        <v>#NAME?</v>
      </c>
      <c r="U2306" s="24" t="e">
        <f ca="1">[1]!BexGetData("DP_1","00O2TNJGODT0G5Z4TTKYMMUX1","GSON1112160144")</f>
        <v>#NAME?</v>
      </c>
      <c r="V2306" s="24" t="e">
        <f ca="1">[1]!BexGetData("DP_1","00O2TNJGODT0G5Z4TTKYMN18L","GSON1112160144")</f>
        <v>#NAME?</v>
      </c>
      <c r="W2306" s="24" t="e">
        <f ca="1">[1]!BexGetData("DP_1","00O2TNJGODT0G5Z4TTKYMN7K5","GSON1112160144")</f>
        <v>#NAME?</v>
      </c>
    </row>
    <row r="2307" spans="1:23" x14ac:dyDescent="0.2">
      <c r="A2307" s="36" t="s">
        <v>5571</v>
      </c>
      <c r="B2307" s="27" t="s">
        <v>5572</v>
      </c>
      <c r="C2307" s="28" t="e">
        <f ca="1">[1]!BexGetData("DP_1","003N8EMH8GTFRCSWKMPXRR8GU","GSON1112160150")</f>
        <v>#NAME?</v>
      </c>
      <c r="D2307" s="28" t="e">
        <f ca="1">[1]!BexGetData("DP_1","003N8EMH8GTFRCSWKMPXRRESE","GSON1112160150")</f>
        <v>#NAME?</v>
      </c>
      <c r="E2307" s="28" t="e">
        <f ca="1">[1]!BexGetData("DP_1","003N8EMH8GTFRCSWKMPXRRL3Y","GSON1112160150")</f>
        <v>#NAME?</v>
      </c>
      <c r="F2307" s="28" t="e">
        <f ca="1">[1]!BexGetData("DP_1","003N8EMH8GTFRCSWKMPXRRRFI","GSON1112160150")</f>
        <v>#NAME?</v>
      </c>
      <c r="G2307" s="23" t="e">
        <f ca="1">[1]!BexGetData("DP_1","003N8EMH8GTFRCSWKMPXRRXR2","GSON1112160150")</f>
        <v>#NAME?</v>
      </c>
      <c r="H2307" s="23" t="e">
        <f ca="1">[1]!BexGetData("DP_1","003N8EMH8GTFRCSWKMPXRS42M","GSON1112160150")</f>
        <v>#NAME?</v>
      </c>
      <c r="I2307" s="28" t="e">
        <f ca="1">[1]!BexGetData("DP_1","003N8EMH8GTFRCSWKMPXRSAE6","GSON1112160150")</f>
        <v>#NAME?</v>
      </c>
      <c r="J2307" s="23" t="e">
        <f ca="1">[1]!BexGetData("DP_1","003N8EMH8GTFRCSWKMPXRSGPQ","GSON1112160150")</f>
        <v>#NAME?</v>
      </c>
      <c r="K2307" s="28" t="e">
        <f ca="1">[1]!BexGetData("DP_1","003N8EMH8GTFRIVNUPY288VJH","GSON1112160150")</f>
        <v>#NAME?</v>
      </c>
      <c r="L2307" s="28" t="e">
        <f ca="1">[1]!BexGetData("DP_1","003N8EMH8GTFRIVNUPY2891V1","GSON1112160150")</f>
        <v>#NAME?</v>
      </c>
      <c r="M2307" s="28" t="e">
        <f ca="1">[1]!BexGetData("DP_1","003N8EMH8GTFRIVOG7KG9IQXA","GSON1112160150")</f>
        <v>#NAME?</v>
      </c>
      <c r="N2307" s="28" t="e">
        <f ca="1">[1]!BexGetData("DP_1","003N8EMH8GTFRIVOG7KG9IX8U","GSON1112160150")</f>
        <v>#NAME?</v>
      </c>
      <c r="O2307" s="28" t="e">
        <f ca="1">[1]!BexGetData("DP_1","003N8EMH8GTFRIVOG7KG9J3KE","GSON1112160150")</f>
        <v>#NAME?</v>
      </c>
      <c r="P2307" s="28" t="e">
        <f ca="1">[1]!BexGetData("DP_1","003N8EMH8GTFRIVOG7KG9J9VY","GSON1112160150")</f>
        <v>#NAME?</v>
      </c>
      <c r="Q2307" s="23" t="e">
        <f ca="1">[1]!BexGetData("DP_1","00O2TNJGODT0G5Z4TTKYMM5MT","GSON1112160150")</f>
        <v>#NAME?</v>
      </c>
      <c r="R2307" s="23" t="e">
        <f ca="1">[1]!BexGetData("DP_1","00O2TNJGODT0G5Z4TTKYMMBYD","GSON1112160150")</f>
        <v>#NAME?</v>
      </c>
      <c r="S2307" s="23" t="e">
        <f ca="1">[1]!BexGetData("DP_1","00O2TNJGODT0G5Z4TTKYMMI9X","GSON1112160150")</f>
        <v>#NAME?</v>
      </c>
      <c r="T2307" s="23" t="e">
        <f ca="1">[1]!BexGetData("DP_1","00O2TNJGODT0G5Z4TTKYMMOLH","GSON1112160150")</f>
        <v>#NAME?</v>
      </c>
      <c r="U2307" s="28" t="e">
        <f ca="1">[1]!BexGetData("DP_1","00O2TNJGODT0G5Z4TTKYMMUX1","GSON1112160150")</f>
        <v>#NAME?</v>
      </c>
      <c r="V2307" s="23" t="e">
        <f ca="1">[1]!BexGetData("DP_1","00O2TNJGODT0G5Z4TTKYMN18L","GSON1112160150")</f>
        <v>#NAME?</v>
      </c>
      <c r="W2307" s="28" t="e">
        <f ca="1">[1]!BexGetData("DP_1","00O2TNJGODT0G5Z4TTKYMN7K5","GSON1112160150")</f>
        <v>#NAME?</v>
      </c>
    </row>
    <row r="2308" spans="1:23" x14ac:dyDescent="0.2">
      <c r="A2308" s="36" t="s">
        <v>5573</v>
      </c>
      <c r="B2308" s="27" t="s">
        <v>5574</v>
      </c>
      <c r="C2308" s="24" t="e">
        <f ca="1">[1]!BexGetData("DP_1","003N8EMH8GTFRCSWKMPXRR8GU","GSON1112160153")</f>
        <v>#NAME?</v>
      </c>
      <c r="D2308" s="24" t="e">
        <f ca="1">[1]!BexGetData("DP_1","003N8EMH8GTFRCSWKMPXRRESE","GSON1112160153")</f>
        <v>#NAME?</v>
      </c>
      <c r="E2308" s="24" t="e">
        <f ca="1">[1]!BexGetData("DP_1","003N8EMH8GTFRCSWKMPXRRL3Y","GSON1112160153")</f>
        <v>#NAME?</v>
      </c>
      <c r="F2308" s="28" t="e">
        <f ca="1">[1]!BexGetData("DP_1","003N8EMH8GTFRCSWKMPXRRRFI","GSON1112160153")</f>
        <v>#NAME?</v>
      </c>
      <c r="G2308" s="23" t="e">
        <f ca="1">[1]!BexGetData("DP_1","003N8EMH8GTFRCSWKMPXRRXR2","GSON1112160153")</f>
        <v>#NAME?</v>
      </c>
      <c r="H2308" s="23" t="e">
        <f ca="1">[1]!BexGetData("DP_1","003N8EMH8GTFRCSWKMPXRS42M","GSON1112160153")</f>
        <v>#NAME?</v>
      </c>
      <c r="I2308" s="28" t="e">
        <f ca="1">[1]!BexGetData("DP_1","003N8EMH8GTFRCSWKMPXRSAE6","GSON1112160153")</f>
        <v>#NAME?</v>
      </c>
      <c r="J2308" s="24" t="e">
        <f ca="1">[1]!BexGetData("DP_1","003N8EMH8GTFRCSWKMPXRSGPQ","GSON1112160153")</f>
        <v>#NAME?</v>
      </c>
      <c r="K2308" s="28" t="e">
        <f ca="1">[1]!BexGetData("DP_1","003N8EMH8GTFRIVNUPY288VJH","GSON1112160153")</f>
        <v>#NAME?</v>
      </c>
      <c r="L2308" s="28" t="e">
        <f ca="1">[1]!BexGetData("DP_1","003N8EMH8GTFRIVNUPY2891V1","GSON1112160153")</f>
        <v>#NAME?</v>
      </c>
      <c r="M2308" s="28" t="e">
        <f ca="1">[1]!BexGetData("DP_1","003N8EMH8GTFRIVOG7KG9IQXA","GSON1112160153")</f>
        <v>#NAME?</v>
      </c>
      <c r="N2308" s="28" t="e">
        <f ca="1">[1]!BexGetData("DP_1","003N8EMH8GTFRIVOG7KG9IX8U","GSON1112160153")</f>
        <v>#NAME?</v>
      </c>
      <c r="O2308" s="28" t="e">
        <f ca="1">[1]!BexGetData("DP_1","003N8EMH8GTFRIVOG7KG9J3KE","GSON1112160153")</f>
        <v>#NAME?</v>
      </c>
      <c r="P2308" s="28" t="e">
        <f ca="1">[1]!BexGetData("DP_1","003N8EMH8GTFRIVOG7KG9J9VY","GSON1112160153")</f>
        <v>#NAME?</v>
      </c>
      <c r="Q2308" s="24" t="e">
        <f ca="1">[1]!BexGetData("DP_1","00O2TNJGODT0G5Z4TTKYMM5MT","GSON1112160153")</f>
        <v>#NAME?</v>
      </c>
      <c r="R2308" s="28" t="e">
        <f ca="1">[1]!BexGetData("DP_1","00O2TNJGODT0G5Z4TTKYMMBYD","GSON1112160153")</f>
        <v>#NAME?</v>
      </c>
      <c r="S2308" s="28" t="e">
        <f ca="1">[1]!BexGetData("DP_1","00O2TNJGODT0G5Z4TTKYMMI9X","GSON1112160153")</f>
        <v>#NAME?</v>
      </c>
      <c r="T2308" s="28" t="e">
        <f ca="1">[1]!BexGetData("DP_1","00O2TNJGODT0G5Z4TTKYMMOLH","GSON1112160153")</f>
        <v>#NAME?</v>
      </c>
      <c r="U2308" s="28" t="e">
        <f ca="1">[1]!BexGetData("DP_1","00O2TNJGODT0G5Z4TTKYMMUX1","GSON1112160153")</f>
        <v>#NAME?</v>
      </c>
      <c r="V2308" s="28" t="e">
        <f ca="1">[1]!BexGetData("DP_1","00O2TNJGODT0G5Z4TTKYMN18L","GSON1112160153")</f>
        <v>#NAME?</v>
      </c>
      <c r="W2308" s="28" t="e">
        <f ca="1">[1]!BexGetData("DP_1","00O2TNJGODT0G5Z4TTKYMN7K5","GSON1112160153")</f>
        <v>#NAME?</v>
      </c>
    </row>
    <row r="2309" spans="1:23" x14ac:dyDescent="0.2">
      <c r="A2309" s="36" t="s">
        <v>5575</v>
      </c>
      <c r="B2309" s="27" t="s">
        <v>5576</v>
      </c>
      <c r="C2309" s="28" t="e">
        <f ca="1">[1]!BexGetData("DP_1","003N8EMH8GTFRCSWKMPXRR8GU","GSON1112160155")</f>
        <v>#NAME?</v>
      </c>
      <c r="D2309" s="28" t="e">
        <f ca="1">[1]!BexGetData("DP_1","003N8EMH8GTFRCSWKMPXRRESE","GSON1112160155")</f>
        <v>#NAME?</v>
      </c>
      <c r="E2309" s="28" t="e">
        <f ca="1">[1]!BexGetData("DP_1","003N8EMH8GTFRCSWKMPXRRL3Y","GSON1112160155")</f>
        <v>#NAME?</v>
      </c>
      <c r="F2309" s="28" t="e">
        <f ca="1">[1]!BexGetData("DP_1","003N8EMH8GTFRCSWKMPXRRRFI","GSON1112160155")</f>
        <v>#NAME?</v>
      </c>
      <c r="G2309" s="23" t="e">
        <f ca="1">[1]!BexGetData("DP_1","003N8EMH8GTFRCSWKMPXRRXR2","GSON1112160155")</f>
        <v>#NAME?</v>
      </c>
      <c r="H2309" s="23" t="e">
        <f ca="1">[1]!BexGetData("DP_1","003N8EMH8GTFRCSWKMPXRS42M","GSON1112160155")</f>
        <v>#NAME?</v>
      </c>
      <c r="I2309" s="28" t="e">
        <f ca="1">[1]!BexGetData("DP_1","003N8EMH8GTFRCSWKMPXRSAE6","GSON1112160155")</f>
        <v>#NAME?</v>
      </c>
      <c r="J2309" s="24" t="e">
        <f ca="1">[1]!BexGetData("DP_1","003N8EMH8GTFRCSWKMPXRSGPQ","GSON1112160155")</f>
        <v>#NAME?</v>
      </c>
      <c r="K2309" s="28" t="e">
        <f ca="1">[1]!BexGetData("DP_1","003N8EMH8GTFRIVNUPY288VJH","GSON1112160155")</f>
        <v>#NAME?</v>
      </c>
      <c r="L2309" s="28" t="e">
        <f ca="1">[1]!BexGetData("DP_1","003N8EMH8GTFRIVNUPY2891V1","GSON1112160155")</f>
        <v>#NAME?</v>
      </c>
      <c r="M2309" s="28" t="e">
        <f ca="1">[1]!BexGetData("DP_1","003N8EMH8GTFRIVOG7KG9IQXA","GSON1112160155")</f>
        <v>#NAME?</v>
      </c>
      <c r="N2309" s="28" t="e">
        <f ca="1">[1]!BexGetData("DP_1","003N8EMH8GTFRIVOG7KG9IX8U","GSON1112160155")</f>
        <v>#NAME?</v>
      </c>
      <c r="O2309" s="28" t="e">
        <f ca="1">[1]!BexGetData("DP_1","003N8EMH8GTFRIVOG7KG9J3KE","GSON1112160155")</f>
        <v>#NAME?</v>
      </c>
      <c r="P2309" s="28" t="e">
        <f ca="1">[1]!BexGetData("DP_1","003N8EMH8GTFRIVOG7KG9J9VY","GSON1112160155")</f>
        <v>#NAME?</v>
      </c>
      <c r="Q2309" s="24" t="e">
        <f ca="1">[1]!BexGetData("DP_1","00O2TNJGODT0G5Z4TTKYMM5MT","GSON1112160155")</f>
        <v>#NAME?</v>
      </c>
      <c r="R2309" s="28" t="e">
        <f ca="1">[1]!BexGetData("DP_1","00O2TNJGODT0G5Z4TTKYMMBYD","GSON1112160155")</f>
        <v>#NAME?</v>
      </c>
      <c r="S2309" s="28" t="e">
        <f ca="1">[1]!BexGetData("DP_1","00O2TNJGODT0G5Z4TTKYMMI9X","GSON1112160155")</f>
        <v>#NAME?</v>
      </c>
      <c r="T2309" s="28" t="e">
        <f ca="1">[1]!BexGetData("DP_1","00O2TNJGODT0G5Z4TTKYMMOLH","GSON1112160155")</f>
        <v>#NAME?</v>
      </c>
      <c r="U2309" s="28" t="e">
        <f ca="1">[1]!BexGetData("DP_1","00O2TNJGODT0G5Z4TTKYMMUX1","GSON1112160155")</f>
        <v>#NAME?</v>
      </c>
      <c r="V2309" s="28" t="e">
        <f ca="1">[1]!BexGetData("DP_1","00O2TNJGODT0G5Z4TTKYMN18L","GSON1112160155")</f>
        <v>#NAME?</v>
      </c>
      <c r="W2309" s="28" t="e">
        <f ca="1">[1]!BexGetData("DP_1","00O2TNJGODT0G5Z4TTKYMN7K5","GSON1112160155")</f>
        <v>#NAME?</v>
      </c>
    </row>
    <row r="2310" spans="1:23" x14ac:dyDescent="0.2">
      <c r="A2310" s="36" t="s">
        <v>5577</v>
      </c>
      <c r="B2310" s="27" t="s">
        <v>5578</v>
      </c>
      <c r="C2310" s="23" t="e">
        <f ca="1">[1]!BexGetData("DP_1","003N8EMH8GTFRCSWKMPXRR8GU","GSON1112160160")</f>
        <v>#NAME?</v>
      </c>
      <c r="D2310" s="28" t="e">
        <f ca="1">[1]!BexGetData("DP_1","003N8EMH8GTFRCSWKMPXRRESE","GSON1112160160")</f>
        <v>#NAME?</v>
      </c>
      <c r="E2310" s="23" t="e">
        <f ca="1">[1]!BexGetData("DP_1","003N8EMH8GTFRCSWKMPXRRL3Y","GSON1112160160")</f>
        <v>#NAME?</v>
      </c>
      <c r="F2310" s="23" t="e">
        <f ca="1">[1]!BexGetData("DP_1","003N8EMH8GTFRCSWKMPXRRRFI","GSON1112160160")</f>
        <v>#NAME?</v>
      </c>
      <c r="G2310" s="23" t="e">
        <f ca="1">[1]!BexGetData("DP_1","003N8EMH8GTFRCSWKMPXRRXR2","GSON1112160160")</f>
        <v>#NAME?</v>
      </c>
      <c r="H2310" s="28" t="e">
        <f ca="1">[1]!BexGetData("DP_1","003N8EMH8GTFRCSWKMPXRS42M","GSON1112160160")</f>
        <v>#NAME?</v>
      </c>
      <c r="I2310" s="23" t="e">
        <f ca="1">[1]!BexGetData("DP_1","003N8EMH8GTFRCSWKMPXRSAE6","GSON1112160160")</f>
        <v>#NAME?</v>
      </c>
      <c r="J2310" s="23" t="e">
        <f ca="1">[1]!BexGetData("DP_1","003N8EMH8GTFRCSWKMPXRSGPQ","GSON1112160160")</f>
        <v>#NAME?</v>
      </c>
      <c r="K2310" s="23" t="e">
        <f ca="1">[1]!BexGetData("DP_1","003N8EMH8GTFRIVNUPY288VJH","GSON1112160160")</f>
        <v>#NAME?</v>
      </c>
      <c r="L2310" s="23" t="e">
        <f ca="1">[1]!BexGetData("DP_1","003N8EMH8GTFRIVNUPY2891V1","GSON1112160160")</f>
        <v>#NAME?</v>
      </c>
      <c r="M2310" s="28" t="e">
        <f ca="1">[1]!BexGetData("DP_1","003N8EMH8GTFRIVOG7KG9IQXA","GSON1112160160")</f>
        <v>#NAME?</v>
      </c>
      <c r="N2310" s="23" t="e">
        <f ca="1">[1]!BexGetData("DP_1","003N8EMH8GTFRIVOG7KG9IX8U","GSON1112160160")</f>
        <v>#NAME?</v>
      </c>
      <c r="O2310" s="28" t="e">
        <f ca="1">[1]!BexGetData("DP_1","003N8EMH8GTFRIVOG7KG9J3KE","GSON1112160160")</f>
        <v>#NAME?</v>
      </c>
      <c r="P2310" s="23" t="e">
        <f ca="1">[1]!BexGetData("DP_1","003N8EMH8GTFRIVOG7KG9J9VY","GSON1112160160")</f>
        <v>#NAME?</v>
      </c>
      <c r="Q2310" s="23" t="e">
        <f ca="1">[1]!BexGetData("DP_1","00O2TNJGODT0G5Z4TTKYMM5MT","GSON1112160160")</f>
        <v>#NAME?</v>
      </c>
      <c r="R2310" s="23" t="e">
        <f ca="1">[1]!BexGetData("DP_1","00O2TNJGODT0G5Z4TTKYMMBYD","GSON1112160160")</f>
        <v>#NAME?</v>
      </c>
      <c r="S2310" s="23" t="e">
        <f ca="1">[1]!BexGetData("DP_1","00O2TNJGODT0G5Z4TTKYMMI9X","GSON1112160160")</f>
        <v>#NAME?</v>
      </c>
      <c r="T2310" s="28" t="e">
        <f ca="1">[1]!BexGetData("DP_1","00O2TNJGODT0G5Z4TTKYMMOLH","GSON1112160160")</f>
        <v>#NAME?</v>
      </c>
      <c r="U2310" s="23" t="e">
        <f ca="1">[1]!BexGetData("DP_1","00O2TNJGODT0G5Z4TTKYMMUX1","GSON1112160160")</f>
        <v>#NAME?</v>
      </c>
      <c r="V2310" s="28" t="e">
        <f ca="1">[1]!BexGetData("DP_1","00O2TNJGODT0G5Z4TTKYMN18L","GSON1112160160")</f>
        <v>#NAME?</v>
      </c>
      <c r="W2310" s="23" t="e">
        <f ca="1">[1]!BexGetData("DP_1","00O2TNJGODT0G5Z4TTKYMN7K5","GSON1112160160")</f>
        <v>#NAME?</v>
      </c>
    </row>
    <row r="2311" spans="1:23" x14ac:dyDescent="0.2">
      <c r="A2311" s="36" t="s">
        <v>5579</v>
      </c>
      <c r="B2311" s="27" t="s">
        <v>5580</v>
      </c>
      <c r="C2311" s="23" t="e">
        <f ca="1">[1]!BexGetData("DP_1","003N8EMH8GTFRCSWKMPXRR8GU","GSON1112160165")</f>
        <v>#NAME?</v>
      </c>
      <c r="D2311" s="23" t="e">
        <f ca="1">[1]!BexGetData("DP_1","003N8EMH8GTFRCSWKMPXRRESE","GSON1112160165")</f>
        <v>#NAME?</v>
      </c>
      <c r="E2311" s="28" t="e">
        <f ca="1">[1]!BexGetData("DP_1","003N8EMH8GTFRCSWKMPXRRL3Y","GSON1112160165")</f>
        <v>#NAME?</v>
      </c>
      <c r="F2311" s="28" t="e">
        <f ca="1">[1]!BexGetData("DP_1","003N8EMH8GTFRCSWKMPXRRRFI","GSON1112160165")</f>
        <v>#NAME?</v>
      </c>
      <c r="G2311" s="23" t="e">
        <f ca="1">[1]!BexGetData("DP_1","003N8EMH8GTFRCSWKMPXRRXR2","GSON1112160165")</f>
        <v>#NAME?</v>
      </c>
      <c r="H2311" s="23" t="e">
        <f ca="1">[1]!BexGetData("DP_1","003N8EMH8GTFRCSWKMPXRS42M","GSON1112160165")</f>
        <v>#NAME?</v>
      </c>
      <c r="I2311" s="28" t="e">
        <f ca="1">[1]!BexGetData("DP_1","003N8EMH8GTFRCSWKMPXRSAE6","GSON1112160165")</f>
        <v>#NAME?</v>
      </c>
      <c r="J2311" s="24" t="e">
        <f ca="1">[1]!BexGetData("DP_1","003N8EMH8GTFRCSWKMPXRSGPQ","GSON1112160165")</f>
        <v>#NAME?</v>
      </c>
      <c r="K2311" s="28" t="e">
        <f ca="1">[1]!BexGetData("DP_1","003N8EMH8GTFRIVNUPY288VJH","GSON1112160165")</f>
        <v>#NAME?</v>
      </c>
      <c r="L2311" s="28" t="e">
        <f ca="1">[1]!BexGetData("DP_1","003N8EMH8GTFRIVNUPY2891V1","GSON1112160165")</f>
        <v>#NAME?</v>
      </c>
      <c r="M2311" s="28" t="e">
        <f ca="1">[1]!BexGetData("DP_1","003N8EMH8GTFRIVOG7KG9IQXA","GSON1112160165")</f>
        <v>#NAME?</v>
      </c>
      <c r="N2311" s="28" t="e">
        <f ca="1">[1]!BexGetData("DP_1","003N8EMH8GTFRIVOG7KG9IX8U","GSON1112160165")</f>
        <v>#NAME?</v>
      </c>
      <c r="O2311" s="28" t="e">
        <f ca="1">[1]!BexGetData("DP_1","003N8EMH8GTFRIVOG7KG9J3KE","GSON1112160165")</f>
        <v>#NAME?</v>
      </c>
      <c r="P2311" s="28" t="e">
        <f ca="1">[1]!BexGetData("DP_1","003N8EMH8GTFRIVOG7KG9J9VY","GSON1112160165")</f>
        <v>#NAME?</v>
      </c>
      <c r="Q2311" s="24" t="e">
        <f ca="1">[1]!BexGetData("DP_1","00O2TNJGODT0G5Z4TTKYMM5MT","GSON1112160165")</f>
        <v>#NAME?</v>
      </c>
      <c r="R2311" s="28" t="e">
        <f ca="1">[1]!BexGetData("DP_1","00O2TNJGODT0G5Z4TTKYMMBYD","GSON1112160165")</f>
        <v>#NAME?</v>
      </c>
      <c r="S2311" s="28" t="e">
        <f ca="1">[1]!BexGetData("DP_1","00O2TNJGODT0G5Z4TTKYMMI9X","GSON1112160165")</f>
        <v>#NAME?</v>
      </c>
      <c r="T2311" s="28" t="e">
        <f ca="1">[1]!BexGetData("DP_1","00O2TNJGODT0G5Z4TTKYMMOLH","GSON1112160165")</f>
        <v>#NAME?</v>
      </c>
      <c r="U2311" s="28" t="e">
        <f ca="1">[1]!BexGetData("DP_1","00O2TNJGODT0G5Z4TTKYMMUX1","GSON1112160165")</f>
        <v>#NAME?</v>
      </c>
      <c r="V2311" s="28" t="e">
        <f ca="1">[1]!BexGetData("DP_1","00O2TNJGODT0G5Z4TTKYMN18L","GSON1112160165")</f>
        <v>#NAME?</v>
      </c>
      <c r="W2311" s="28" t="e">
        <f ca="1">[1]!BexGetData("DP_1","00O2TNJGODT0G5Z4TTKYMN7K5","GSON1112160165")</f>
        <v>#NAME?</v>
      </c>
    </row>
    <row r="2312" spans="1:23" x14ac:dyDescent="0.2">
      <c r="A2312" s="36" t="s">
        <v>5581</v>
      </c>
      <c r="B2312" s="27" t="s">
        <v>5582</v>
      </c>
      <c r="C2312" s="23" t="e">
        <f ca="1">[1]!BexGetData("DP_1","003N8EMH8GTFRCSWKMPXRR8GU","GSON1112160180")</f>
        <v>#NAME?</v>
      </c>
      <c r="D2312" s="23" t="e">
        <f ca="1">[1]!BexGetData("DP_1","003N8EMH8GTFRCSWKMPXRRESE","GSON1112160180")</f>
        <v>#NAME?</v>
      </c>
      <c r="E2312" s="23" t="e">
        <f ca="1">[1]!BexGetData("DP_1","003N8EMH8GTFRCSWKMPXRRL3Y","GSON1112160180")</f>
        <v>#NAME?</v>
      </c>
      <c r="F2312" s="23" t="e">
        <f ca="1">[1]!BexGetData("DP_1","003N8EMH8GTFRCSWKMPXRRRFI","GSON1112160180")</f>
        <v>#NAME?</v>
      </c>
      <c r="G2312" s="23" t="e">
        <f ca="1">[1]!BexGetData("DP_1","003N8EMH8GTFRCSWKMPXRRXR2","GSON1112160180")</f>
        <v>#NAME?</v>
      </c>
      <c r="H2312" s="23" t="e">
        <f ca="1">[1]!BexGetData("DP_1","003N8EMH8GTFRCSWKMPXRS42M","GSON1112160180")</f>
        <v>#NAME?</v>
      </c>
      <c r="I2312" s="23" t="e">
        <f ca="1">[1]!BexGetData("DP_1","003N8EMH8GTFRCSWKMPXRSAE6","GSON1112160180")</f>
        <v>#NAME?</v>
      </c>
      <c r="J2312" s="23" t="e">
        <f ca="1">[1]!BexGetData("DP_1","003N8EMH8GTFRCSWKMPXRSGPQ","GSON1112160180")</f>
        <v>#NAME?</v>
      </c>
      <c r="K2312" s="23" t="e">
        <f ca="1">[1]!BexGetData("DP_1","003N8EMH8GTFRIVNUPY288VJH","GSON1112160180")</f>
        <v>#NAME?</v>
      </c>
      <c r="L2312" s="23" t="e">
        <f ca="1">[1]!BexGetData("DP_1","003N8EMH8GTFRIVNUPY2891V1","GSON1112160180")</f>
        <v>#NAME?</v>
      </c>
      <c r="M2312" s="23" t="e">
        <f ca="1">[1]!BexGetData("DP_1","003N8EMH8GTFRIVOG7KG9IQXA","GSON1112160180")</f>
        <v>#NAME?</v>
      </c>
      <c r="N2312" s="28" t="e">
        <f ca="1">[1]!BexGetData("DP_1","003N8EMH8GTFRIVOG7KG9IX8U","GSON1112160180")</f>
        <v>#NAME?</v>
      </c>
      <c r="O2312" s="23" t="e">
        <f ca="1">[1]!BexGetData("DP_1","003N8EMH8GTFRIVOG7KG9J3KE","GSON1112160180")</f>
        <v>#NAME?</v>
      </c>
      <c r="P2312" s="28" t="e">
        <f ca="1">[1]!BexGetData("DP_1","003N8EMH8GTFRIVOG7KG9J9VY","GSON1112160180")</f>
        <v>#NAME?</v>
      </c>
      <c r="Q2312" s="23" t="e">
        <f ca="1">[1]!BexGetData("DP_1","00O2TNJGODT0G5Z4TTKYMM5MT","GSON1112160180")</f>
        <v>#NAME?</v>
      </c>
      <c r="R2312" s="23" t="e">
        <f ca="1">[1]!BexGetData("DP_1","00O2TNJGODT0G5Z4TTKYMMBYD","GSON1112160180")</f>
        <v>#NAME?</v>
      </c>
      <c r="S2312" s="23" t="e">
        <f ca="1">[1]!BexGetData("DP_1","00O2TNJGODT0G5Z4TTKYMMI9X","GSON1112160180")</f>
        <v>#NAME?</v>
      </c>
      <c r="T2312" s="23" t="e">
        <f ca="1">[1]!BexGetData("DP_1","00O2TNJGODT0G5Z4TTKYMMOLH","GSON1112160180")</f>
        <v>#NAME?</v>
      </c>
      <c r="U2312" s="28" t="e">
        <f ca="1">[1]!BexGetData("DP_1","00O2TNJGODT0G5Z4TTKYMMUX1","GSON1112160180")</f>
        <v>#NAME?</v>
      </c>
      <c r="V2312" s="23" t="e">
        <f ca="1">[1]!BexGetData("DP_1","00O2TNJGODT0G5Z4TTKYMN18L","GSON1112160180")</f>
        <v>#NAME?</v>
      </c>
      <c r="W2312" s="28" t="e">
        <f ca="1">[1]!BexGetData("DP_1","00O2TNJGODT0G5Z4TTKYMN7K5","GSON1112160180")</f>
        <v>#NAME?</v>
      </c>
    </row>
    <row r="2313" spans="1:23" x14ac:dyDescent="0.2">
      <c r="A2313" s="36" t="s">
        <v>5583</v>
      </c>
      <c r="B2313" s="27" t="s">
        <v>5584</v>
      </c>
      <c r="C2313" s="23" t="e">
        <f ca="1">[1]!BexGetData("DP_1","003N8EMH8GTFRCSWKMPXRR8GU","GSON1112160181")</f>
        <v>#NAME?</v>
      </c>
      <c r="D2313" s="23" t="e">
        <f ca="1">[1]!BexGetData("DP_1","003N8EMH8GTFRCSWKMPXRRESE","GSON1112160181")</f>
        <v>#NAME?</v>
      </c>
      <c r="E2313" s="28" t="e">
        <f ca="1">[1]!BexGetData("DP_1","003N8EMH8GTFRCSWKMPXRRL3Y","GSON1112160181")</f>
        <v>#NAME?</v>
      </c>
      <c r="F2313" s="28" t="e">
        <f ca="1">[1]!BexGetData("DP_1","003N8EMH8GTFRCSWKMPXRRRFI","GSON1112160181")</f>
        <v>#NAME?</v>
      </c>
      <c r="G2313" s="23" t="e">
        <f ca="1">[1]!BexGetData("DP_1","003N8EMH8GTFRCSWKMPXRRXR2","GSON1112160181")</f>
        <v>#NAME?</v>
      </c>
      <c r="H2313" s="23" t="e">
        <f ca="1">[1]!BexGetData("DP_1","003N8EMH8GTFRCSWKMPXRS42M","GSON1112160181")</f>
        <v>#NAME?</v>
      </c>
      <c r="I2313" s="28" t="e">
        <f ca="1">[1]!BexGetData("DP_1","003N8EMH8GTFRCSWKMPXRSAE6","GSON1112160181")</f>
        <v>#NAME?</v>
      </c>
      <c r="J2313" s="24" t="e">
        <f ca="1">[1]!BexGetData("DP_1","003N8EMH8GTFRCSWKMPXRSGPQ","GSON1112160181")</f>
        <v>#NAME?</v>
      </c>
      <c r="K2313" s="28" t="e">
        <f ca="1">[1]!BexGetData("DP_1","003N8EMH8GTFRIVNUPY288VJH","GSON1112160181")</f>
        <v>#NAME?</v>
      </c>
      <c r="L2313" s="28" t="e">
        <f ca="1">[1]!BexGetData("DP_1","003N8EMH8GTFRIVNUPY2891V1","GSON1112160181")</f>
        <v>#NAME?</v>
      </c>
      <c r="M2313" s="28" t="e">
        <f ca="1">[1]!BexGetData("DP_1","003N8EMH8GTFRIVOG7KG9IQXA","GSON1112160181")</f>
        <v>#NAME?</v>
      </c>
      <c r="N2313" s="28" t="e">
        <f ca="1">[1]!BexGetData("DP_1","003N8EMH8GTFRIVOG7KG9IX8U","GSON1112160181")</f>
        <v>#NAME?</v>
      </c>
      <c r="O2313" s="28" t="e">
        <f ca="1">[1]!BexGetData("DP_1","003N8EMH8GTFRIVOG7KG9J3KE","GSON1112160181")</f>
        <v>#NAME?</v>
      </c>
      <c r="P2313" s="28" t="e">
        <f ca="1">[1]!BexGetData("DP_1","003N8EMH8GTFRIVOG7KG9J9VY","GSON1112160181")</f>
        <v>#NAME?</v>
      </c>
      <c r="Q2313" s="24" t="e">
        <f ca="1">[1]!BexGetData("DP_1","00O2TNJGODT0G5Z4TTKYMM5MT","GSON1112160181")</f>
        <v>#NAME?</v>
      </c>
      <c r="R2313" s="28" t="e">
        <f ca="1">[1]!BexGetData("DP_1","00O2TNJGODT0G5Z4TTKYMMBYD","GSON1112160181")</f>
        <v>#NAME?</v>
      </c>
      <c r="S2313" s="28" t="e">
        <f ca="1">[1]!BexGetData("DP_1","00O2TNJGODT0G5Z4TTKYMMI9X","GSON1112160181")</f>
        <v>#NAME?</v>
      </c>
      <c r="T2313" s="28" t="e">
        <f ca="1">[1]!BexGetData("DP_1","00O2TNJGODT0G5Z4TTKYMMOLH","GSON1112160181")</f>
        <v>#NAME?</v>
      </c>
      <c r="U2313" s="28" t="e">
        <f ca="1">[1]!BexGetData("DP_1","00O2TNJGODT0G5Z4TTKYMMUX1","GSON1112160181")</f>
        <v>#NAME?</v>
      </c>
      <c r="V2313" s="28" t="e">
        <f ca="1">[1]!BexGetData("DP_1","00O2TNJGODT0G5Z4TTKYMN18L","GSON1112160181")</f>
        <v>#NAME?</v>
      </c>
      <c r="W2313" s="28" t="e">
        <f ca="1">[1]!BexGetData("DP_1","00O2TNJGODT0G5Z4TTKYMN7K5","GSON1112160181")</f>
        <v>#NAME?</v>
      </c>
    </row>
    <row r="2314" spans="1:23" x14ac:dyDescent="0.2">
      <c r="A2314" s="36" t="s">
        <v>5585</v>
      </c>
      <c r="B2314" s="27" t="s">
        <v>5586</v>
      </c>
      <c r="C2314" s="23" t="e">
        <f ca="1">[1]!BexGetData("DP_1","003N8EMH8GTFRCSWKMPXRR8GU","GSON1112160183")</f>
        <v>#NAME?</v>
      </c>
      <c r="D2314" s="23" t="e">
        <f ca="1">[1]!BexGetData("DP_1","003N8EMH8GTFRCSWKMPXRRESE","GSON1112160183")</f>
        <v>#NAME?</v>
      </c>
      <c r="E2314" s="28" t="e">
        <f ca="1">[1]!BexGetData("DP_1","003N8EMH8GTFRCSWKMPXRRL3Y","GSON1112160183")</f>
        <v>#NAME?</v>
      </c>
      <c r="F2314" s="28" t="e">
        <f ca="1">[1]!BexGetData("DP_1","003N8EMH8GTFRCSWKMPXRRRFI","GSON1112160183")</f>
        <v>#NAME?</v>
      </c>
      <c r="G2314" s="23" t="e">
        <f ca="1">[1]!BexGetData("DP_1","003N8EMH8GTFRCSWKMPXRRXR2","GSON1112160183")</f>
        <v>#NAME?</v>
      </c>
      <c r="H2314" s="23" t="e">
        <f ca="1">[1]!BexGetData("DP_1","003N8EMH8GTFRCSWKMPXRS42M","GSON1112160183")</f>
        <v>#NAME?</v>
      </c>
      <c r="I2314" s="28" t="e">
        <f ca="1">[1]!BexGetData("DP_1","003N8EMH8GTFRCSWKMPXRSAE6","GSON1112160183")</f>
        <v>#NAME?</v>
      </c>
      <c r="J2314" s="24" t="e">
        <f ca="1">[1]!BexGetData("DP_1","003N8EMH8GTFRCSWKMPXRSGPQ","GSON1112160183")</f>
        <v>#NAME?</v>
      </c>
      <c r="K2314" s="28" t="e">
        <f ca="1">[1]!BexGetData("DP_1","003N8EMH8GTFRIVNUPY288VJH","GSON1112160183")</f>
        <v>#NAME?</v>
      </c>
      <c r="L2314" s="28" t="e">
        <f ca="1">[1]!BexGetData("DP_1","003N8EMH8GTFRIVNUPY2891V1","GSON1112160183")</f>
        <v>#NAME?</v>
      </c>
      <c r="M2314" s="28" t="e">
        <f ca="1">[1]!BexGetData("DP_1","003N8EMH8GTFRIVOG7KG9IQXA","GSON1112160183")</f>
        <v>#NAME?</v>
      </c>
      <c r="N2314" s="28" t="e">
        <f ca="1">[1]!BexGetData("DP_1","003N8EMH8GTFRIVOG7KG9IX8U","GSON1112160183")</f>
        <v>#NAME?</v>
      </c>
      <c r="O2314" s="28" t="e">
        <f ca="1">[1]!BexGetData("DP_1","003N8EMH8GTFRIVOG7KG9J3KE","GSON1112160183")</f>
        <v>#NAME?</v>
      </c>
      <c r="P2314" s="28" t="e">
        <f ca="1">[1]!BexGetData("DP_1","003N8EMH8GTFRIVOG7KG9J9VY","GSON1112160183")</f>
        <v>#NAME?</v>
      </c>
      <c r="Q2314" s="24" t="e">
        <f ca="1">[1]!BexGetData("DP_1","00O2TNJGODT0G5Z4TTKYMM5MT","GSON1112160183")</f>
        <v>#NAME?</v>
      </c>
      <c r="R2314" s="28" t="e">
        <f ca="1">[1]!BexGetData("DP_1","00O2TNJGODT0G5Z4TTKYMMBYD","GSON1112160183")</f>
        <v>#NAME?</v>
      </c>
      <c r="S2314" s="28" t="e">
        <f ca="1">[1]!BexGetData("DP_1","00O2TNJGODT0G5Z4TTKYMMI9X","GSON1112160183")</f>
        <v>#NAME?</v>
      </c>
      <c r="T2314" s="28" t="e">
        <f ca="1">[1]!BexGetData("DP_1","00O2TNJGODT0G5Z4TTKYMMOLH","GSON1112160183")</f>
        <v>#NAME?</v>
      </c>
      <c r="U2314" s="28" t="e">
        <f ca="1">[1]!BexGetData("DP_1","00O2TNJGODT0G5Z4TTKYMMUX1","GSON1112160183")</f>
        <v>#NAME?</v>
      </c>
      <c r="V2314" s="28" t="e">
        <f ca="1">[1]!BexGetData("DP_1","00O2TNJGODT0G5Z4TTKYMN18L","GSON1112160183")</f>
        <v>#NAME?</v>
      </c>
      <c r="W2314" s="28" t="e">
        <f ca="1">[1]!BexGetData("DP_1","00O2TNJGODT0G5Z4TTKYMN7K5","GSON1112160183")</f>
        <v>#NAME?</v>
      </c>
    </row>
    <row r="2315" spans="1:23" x14ac:dyDescent="0.2">
      <c r="A2315" s="36" t="s">
        <v>5587</v>
      </c>
      <c r="B2315" s="27" t="s">
        <v>5588</v>
      </c>
      <c r="C2315" s="24" t="e">
        <f ca="1">[1]!BexGetData("DP_1","003N8EMH8GTFRCSWKMPXRR8GU","GSON1112160184")</f>
        <v>#NAME?</v>
      </c>
      <c r="D2315" s="24" t="e">
        <f ca="1">[1]!BexGetData("DP_1","003N8EMH8GTFRCSWKMPXRRESE","GSON1112160184")</f>
        <v>#NAME?</v>
      </c>
      <c r="E2315" s="24" t="e">
        <f ca="1">[1]!BexGetData("DP_1","003N8EMH8GTFRCSWKMPXRRL3Y","GSON1112160184")</f>
        <v>#NAME?</v>
      </c>
      <c r="F2315" s="28" t="e">
        <f ca="1">[1]!BexGetData("DP_1","003N8EMH8GTFRCSWKMPXRRRFI","GSON1112160184")</f>
        <v>#NAME?</v>
      </c>
      <c r="G2315" s="23" t="e">
        <f ca="1">[1]!BexGetData("DP_1","003N8EMH8GTFRCSWKMPXRRXR2","GSON1112160184")</f>
        <v>#NAME?</v>
      </c>
      <c r="H2315" s="23" t="e">
        <f ca="1">[1]!BexGetData("DP_1","003N8EMH8GTFRCSWKMPXRS42M","GSON1112160184")</f>
        <v>#NAME?</v>
      </c>
      <c r="I2315" s="28" t="e">
        <f ca="1">[1]!BexGetData("DP_1","003N8EMH8GTFRCSWKMPXRSAE6","GSON1112160184")</f>
        <v>#NAME?</v>
      </c>
      <c r="J2315" s="24" t="e">
        <f ca="1">[1]!BexGetData("DP_1","003N8EMH8GTFRCSWKMPXRSGPQ","GSON1112160184")</f>
        <v>#NAME?</v>
      </c>
      <c r="K2315" s="28" t="e">
        <f ca="1">[1]!BexGetData("DP_1","003N8EMH8GTFRIVNUPY288VJH","GSON1112160184")</f>
        <v>#NAME?</v>
      </c>
      <c r="L2315" s="28" t="e">
        <f ca="1">[1]!BexGetData("DP_1","003N8EMH8GTFRIVNUPY2891V1","GSON1112160184")</f>
        <v>#NAME?</v>
      </c>
      <c r="M2315" s="28" t="e">
        <f ca="1">[1]!BexGetData("DP_1","003N8EMH8GTFRIVOG7KG9IQXA","GSON1112160184")</f>
        <v>#NAME?</v>
      </c>
      <c r="N2315" s="28" t="e">
        <f ca="1">[1]!BexGetData("DP_1","003N8EMH8GTFRIVOG7KG9IX8U","GSON1112160184")</f>
        <v>#NAME?</v>
      </c>
      <c r="O2315" s="28" t="e">
        <f ca="1">[1]!BexGetData("DP_1","003N8EMH8GTFRIVOG7KG9J3KE","GSON1112160184")</f>
        <v>#NAME?</v>
      </c>
      <c r="P2315" s="28" t="e">
        <f ca="1">[1]!BexGetData("DP_1","003N8EMH8GTFRIVOG7KG9J9VY","GSON1112160184")</f>
        <v>#NAME?</v>
      </c>
      <c r="Q2315" s="24" t="e">
        <f ca="1">[1]!BexGetData("DP_1","00O2TNJGODT0G5Z4TTKYMM5MT","GSON1112160184")</f>
        <v>#NAME?</v>
      </c>
      <c r="R2315" s="28" t="e">
        <f ca="1">[1]!BexGetData("DP_1","00O2TNJGODT0G5Z4TTKYMMBYD","GSON1112160184")</f>
        <v>#NAME?</v>
      </c>
      <c r="S2315" s="28" t="e">
        <f ca="1">[1]!BexGetData("DP_1","00O2TNJGODT0G5Z4TTKYMMI9X","GSON1112160184")</f>
        <v>#NAME?</v>
      </c>
      <c r="T2315" s="28" t="e">
        <f ca="1">[1]!BexGetData("DP_1","00O2TNJGODT0G5Z4TTKYMMOLH","GSON1112160184")</f>
        <v>#NAME?</v>
      </c>
      <c r="U2315" s="28" t="e">
        <f ca="1">[1]!BexGetData("DP_1","00O2TNJGODT0G5Z4TTKYMMUX1","GSON1112160184")</f>
        <v>#NAME?</v>
      </c>
      <c r="V2315" s="28" t="e">
        <f ca="1">[1]!BexGetData("DP_1","00O2TNJGODT0G5Z4TTKYMN18L","GSON1112160184")</f>
        <v>#NAME?</v>
      </c>
      <c r="W2315" s="28" t="e">
        <f ca="1">[1]!BexGetData("DP_1","00O2TNJGODT0G5Z4TTKYMN7K5","GSON1112160184")</f>
        <v>#NAME?</v>
      </c>
    </row>
    <row r="2316" spans="1:23" x14ac:dyDescent="0.2">
      <c r="A2316" s="36" t="s">
        <v>5589</v>
      </c>
      <c r="B2316" s="27" t="s">
        <v>5590</v>
      </c>
      <c r="C2316" s="23" t="e">
        <f ca="1">[1]!BexGetData("DP_1","003N8EMH8GTFRCSWKMPXRR8GU","GSON1112160185")</f>
        <v>#NAME?</v>
      </c>
      <c r="D2316" s="23" t="e">
        <f ca="1">[1]!BexGetData("DP_1","003N8EMH8GTFRCSWKMPXRRESE","GSON1112160185")</f>
        <v>#NAME?</v>
      </c>
      <c r="E2316" s="28" t="e">
        <f ca="1">[1]!BexGetData("DP_1","003N8EMH8GTFRCSWKMPXRRL3Y","GSON1112160185")</f>
        <v>#NAME?</v>
      </c>
      <c r="F2316" s="28" t="e">
        <f ca="1">[1]!BexGetData("DP_1","003N8EMH8GTFRCSWKMPXRRRFI","GSON1112160185")</f>
        <v>#NAME?</v>
      </c>
      <c r="G2316" s="23" t="e">
        <f ca="1">[1]!BexGetData("DP_1","003N8EMH8GTFRCSWKMPXRRXR2","GSON1112160185")</f>
        <v>#NAME?</v>
      </c>
      <c r="H2316" s="23" t="e">
        <f ca="1">[1]!BexGetData("DP_1","003N8EMH8GTFRCSWKMPXRS42M","GSON1112160185")</f>
        <v>#NAME?</v>
      </c>
      <c r="I2316" s="28" t="e">
        <f ca="1">[1]!BexGetData("DP_1","003N8EMH8GTFRCSWKMPXRSAE6","GSON1112160185")</f>
        <v>#NAME?</v>
      </c>
      <c r="J2316" s="24" t="e">
        <f ca="1">[1]!BexGetData("DP_1","003N8EMH8GTFRCSWKMPXRSGPQ","GSON1112160185")</f>
        <v>#NAME?</v>
      </c>
      <c r="K2316" s="28" t="e">
        <f ca="1">[1]!BexGetData("DP_1","003N8EMH8GTFRIVNUPY288VJH","GSON1112160185")</f>
        <v>#NAME?</v>
      </c>
      <c r="L2316" s="28" t="e">
        <f ca="1">[1]!BexGetData("DP_1","003N8EMH8GTFRIVNUPY2891V1","GSON1112160185")</f>
        <v>#NAME?</v>
      </c>
      <c r="M2316" s="28" t="e">
        <f ca="1">[1]!BexGetData("DP_1","003N8EMH8GTFRIVOG7KG9IQXA","GSON1112160185")</f>
        <v>#NAME?</v>
      </c>
      <c r="N2316" s="28" t="e">
        <f ca="1">[1]!BexGetData("DP_1","003N8EMH8GTFRIVOG7KG9IX8U","GSON1112160185")</f>
        <v>#NAME?</v>
      </c>
      <c r="O2316" s="28" t="e">
        <f ca="1">[1]!BexGetData("DP_1","003N8EMH8GTFRIVOG7KG9J3KE","GSON1112160185")</f>
        <v>#NAME?</v>
      </c>
      <c r="P2316" s="28" t="e">
        <f ca="1">[1]!BexGetData("DP_1","003N8EMH8GTFRIVOG7KG9J9VY","GSON1112160185")</f>
        <v>#NAME?</v>
      </c>
      <c r="Q2316" s="24" t="e">
        <f ca="1">[1]!BexGetData("DP_1","00O2TNJGODT0G5Z4TTKYMM5MT","GSON1112160185")</f>
        <v>#NAME?</v>
      </c>
      <c r="R2316" s="28" t="e">
        <f ca="1">[1]!BexGetData("DP_1","00O2TNJGODT0G5Z4TTKYMMBYD","GSON1112160185")</f>
        <v>#NAME?</v>
      </c>
      <c r="S2316" s="28" t="e">
        <f ca="1">[1]!BexGetData("DP_1","00O2TNJGODT0G5Z4TTKYMMI9X","GSON1112160185")</f>
        <v>#NAME?</v>
      </c>
      <c r="T2316" s="28" t="e">
        <f ca="1">[1]!BexGetData("DP_1","00O2TNJGODT0G5Z4TTKYMMOLH","GSON1112160185")</f>
        <v>#NAME?</v>
      </c>
      <c r="U2316" s="28" t="e">
        <f ca="1">[1]!BexGetData("DP_1","00O2TNJGODT0G5Z4TTKYMMUX1","GSON1112160185")</f>
        <v>#NAME?</v>
      </c>
      <c r="V2316" s="28" t="e">
        <f ca="1">[1]!BexGetData("DP_1","00O2TNJGODT0G5Z4TTKYMN18L","GSON1112160185")</f>
        <v>#NAME?</v>
      </c>
      <c r="W2316" s="28" t="e">
        <f ca="1">[1]!BexGetData("DP_1","00O2TNJGODT0G5Z4TTKYMN7K5","GSON1112160185")</f>
        <v>#NAME?</v>
      </c>
    </row>
    <row r="2317" spans="1:23" x14ac:dyDescent="0.2">
      <c r="A2317" s="36" t="s">
        <v>5591</v>
      </c>
      <c r="B2317" s="27" t="s">
        <v>5592</v>
      </c>
      <c r="C2317" s="23" t="e">
        <f ca="1">[1]!BexGetData("DP_1","003N8EMH8GTFRCSWKMPXRR8GU","GSON1112160190")</f>
        <v>#NAME?</v>
      </c>
      <c r="D2317" s="23" t="e">
        <f ca="1">[1]!BexGetData("DP_1","003N8EMH8GTFRCSWKMPXRRESE","GSON1112160190")</f>
        <v>#NAME?</v>
      </c>
      <c r="E2317" s="23" t="e">
        <f ca="1">[1]!BexGetData("DP_1","003N8EMH8GTFRCSWKMPXRRL3Y","GSON1112160190")</f>
        <v>#NAME?</v>
      </c>
      <c r="F2317" s="23" t="e">
        <f ca="1">[1]!BexGetData("DP_1","003N8EMH8GTFRCSWKMPXRRRFI","GSON1112160190")</f>
        <v>#NAME?</v>
      </c>
      <c r="G2317" s="23" t="e">
        <f ca="1">[1]!BexGetData("DP_1","003N8EMH8GTFRCSWKMPXRRXR2","GSON1112160190")</f>
        <v>#NAME?</v>
      </c>
      <c r="H2317" s="23" t="e">
        <f ca="1">[1]!BexGetData("DP_1","003N8EMH8GTFRCSWKMPXRS42M","GSON1112160190")</f>
        <v>#NAME?</v>
      </c>
      <c r="I2317" s="23" t="e">
        <f ca="1">[1]!BexGetData("DP_1","003N8EMH8GTFRCSWKMPXRSAE6","GSON1112160190")</f>
        <v>#NAME?</v>
      </c>
      <c r="J2317" s="23" t="e">
        <f ca="1">[1]!BexGetData("DP_1","003N8EMH8GTFRCSWKMPXRSGPQ","GSON1112160190")</f>
        <v>#NAME?</v>
      </c>
      <c r="K2317" s="23" t="e">
        <f ca="1">[1]!BexGetData("DP_1","003N8EMH8GTFRIVNUPY288VJH","GSON1112160190")</f>
        <v>#NAME?</v>
      </c>
      <c r="L2317" s="23" t="e">
        <f ca="1">[1]!BexGetData("DP_1","003N8EMH8GTFRIVNUPY2891V1","GSON1112160190")</f>
        <v>#NAME?</v>
      </c>
      <c r="M2317" s="23" t="e">
        <f ca="1">[1]!BexGetData("DP_1","003N8EMH8GTFRIVOG7KG9IQXA","GSON1112160190")</f>
        <v>#NAME?</v>
      </c>
      <c r="N2317" s="28" t="e">
        <f ca="1">[1]!BexGetData("DP_1","003N8EMH8GTFRIVOG7KG9IX8U","GSON1112160190")</f>
        <v>#NAME?</v>
      </c>
      <c r="O2317" s="23" t="e">
        <f ca="1">[1]!BexGetData("DP_1","003N8EMH8GTFRIVOG7KG9J3KE","GSON1112160190")</f>
        <v>#NAME?</v>
      </c>
      <c r="P2317" s="28" t="e">
        <f ca="1">[1]!BexGetData("DP_1","003N8EMH8GTFRIVOG7KG9J9VY","GSON1112160190")</f>
        <v>#NAME?</v>
      </c>
      <c r="Q2317" s="23" t="e">
        <f ca="1">[1]!BexGetData("DP_1","00O2TNJGODT0G5Z4TTKYMM5MT","GSON1112160190")</f>
        <v>#NAME?</v>
      </c>
      <c r="R2317" s="23" t="e">
        <f ca="1">[1]!BexGetData("DP_1","00O2TNJGODT0G5Z4TTKYMMBYD","GSON1112160190")</f>
        <v>#NAME?</v>
      </c>
      <c r="S2317" s="23" t="e">
        <f ca="1">[1]!BexGetData("DP_1","00O2TNJGODT0G5Z4TTKYMMI9X","GSON1112160190")</f>
        <v>#NAME?</v>
      </c>
      <c r="T2317" s="23" t="e">
        <f ca="1">[1]!BexGetData("DP_1","00O2TNJGODT0G5Z4TTKYMMOLH","GSON1112160190")</f>
        <v>#NAME?</v>
      </c>
      <c r="U2317" s="28" t="e">
        <f ca="1">[1]!BexGetData("DP_1","00O2TNJGODT0G5Z4TTKYMMUX1","GSON1112160190")</f>
        <v>#NAME?</v>
      </c>
      <c r="V2317" s="23" t="e">
        <f ca="1">[1]!BexGetData("DP_1","00O2TNJGODT0G5Z4TTKYMN18L","GSON1112160190")</f>
        <v>#NAME?</v>
      </c>
      <c r="W2317" s="28" t="e">
        <f ca="1">[1]!BexGetData("DP_1","00O2TNJGODT0G5Z4TTKYMN7K5","GSON1112160190")</f>
        <v>#NAME?</v>
      </c>
    </row>
    <row r="2318" spans="1:23" x14ac:dyDescent="0.2">
      <c r="A2318" s="36" t="s">
        <v>5593</v>
      </c>
      <c r="B2318" s="27" t="s">
        <v>5594</v>
      </c>
      <c r="C2318" s="23" t="e">
        <f ca="1">[1]!BexGetData("DP_1","003N8EMH8GTFRCSWKMPXRR8GU","GSON1112160191")</f>
        <v>#NAME?</v>
      </c>
      <c r="D2318" s="23" t="e">
        <f ca="1">[1]!BexGetData("DP_1","003N8EMH8GTFRCSWKMPXRRESE","GSON1112160191")</f>
        <v>#NAME?</v>
      </c>
      <c r="E2318" s="28" t="e">
        <f ca="1">[1]!BexGetData("DP_1","003N8EMH8GTFRCSWKMPXRRL3Y","GSON1112160191")</f>
        <v>#NAME?</v>
      </c>
      <c r="F2318" s="28" t="e">
        <f ca="1">[1]!BexGetData("DP_1","003N8EMH8GTFRCSWKMPXRRRFI","GSON1112160191")</f>
        <v>#NAME?</v>
      </c>
      <c r="G2318" s="23" t="e">
        <f ca="1">[1]!BexGetData("DP_1","003N8EMH8GTFRCSWKMPXRRXR2","GSON1112160191")</f>
        <v>#NAME?</v>
      </c>
      <c r="H2318" s="23" t="e">
        <f ca="1">[1]!BexGetData("DP_1","003N8EMH8GTFRCSWKMPXRS42M","GSON1112160191")</f>
        <v>#NAME?</v>
      </c>
      <c r="I2318" s="28" t="e">
        <f ca="1">[1]!BexGetData("DP_1","003N8EMH8GTFRCSWKMPXRSAE6","GSON1112160191")</f>
        <v>#NAME?</v>
      </c>
      <c r="J2318" s="24" t="e">
        <f ca="1">[1]!BexGetData("DP_1","003N8EMH8GTFRCSWKMPXRSGPQ","GSON1112160191")</f>
        <v>#NAME?</v>
      </c>
      <c r="K2318" s="28" t="e">
        <f ca="1">[1]!BexGetData("DP_1","003N8EMH8GTFRIVNUPY288VJH","GSON1112160191")</f>
        <v>#NAME?</v>
      </c>
      <c r="L2318" s="28" t="e">
        <f ca="1">[1]!BexGetData("DP_1","003N8EMH8GTFRIVNUPY2891V1","GSON1112160191")</f>
        <v>#NAME?</v>
      </c>
      <c r="M2318" s="28" t="e">
        <f ca="1">[1]!BexGetData("DP_1","003N8EMH8GTFRIVOG7KG9IQXA","GSON1112160191")</f>
        <v>#NAME?</v>
      </c>
      <c r="N2318" s="28" t="e">
        <f ca="1">[1]!BexGetData("DP_1","003N8EMH8GTFRIVOG7KG9IX8U","GSON1112160191")</f>
        <v>#NAME?</v>
      </c>
      <c r="O2318" s="28" t="e">
        <f ca="1">[1]!BexGetData("DP_1","003N8EMH8GTFRIVOG7KG9J3KE","GSON1112160191")</f>
        <v>#NAME?</v>
      </c>
      <c r="P2318" s="28" t="e">
        <f ca="1">[1]!BexGetData("DP_1","003N8EMH8GTFRIVOG7KG9J9VY","GSON1112160191")</f>
        <v>#NAME?</v>
      </c>
      <c r="Q2318" s="24" t="e">
        <f ca="1">[1]!BexGetData("DP_1","00O2TNJGODT0G5Z4TTKYMM5MT","GSON1112160191")</f>
        <v>#NAME?</v>
      </c>
      <c r="R2318" s="28" t="e">
        <f ca="1">[1]!BexGetData("DP_1","00O2TNJGODT0G5Z4TTKYMMBYD","GSON1112160191")</f>
        <v>#NAME?</v>
      </c>
      <c r="S2318" s="28" t="e">
        <f ca="1">[1]!BexGetData("DP_1","00O2TNJGODT0G5Z4TTKYMMI9X","GSON1112160191")</f>
        <v>#NAME?</v>
      </c>
      <c r="T2318" s="28" t="e">
        <f ca="1">[1]!BexGetData("DP_1","00O2TNJGODT0G5Z4TTKYMMOLH","GSON1112160191")</f>
        <v>#NAME?</v>
      </c>
      <c r="U2318" s="28" t="e">
        <f ca="1">[1]!BexGetData("DP_1","00O2TNJGODT0G5Z4TTKYMMUX1","GSON1112160191")</f>
        <v>#NAME?</v>
      </c>
      <c r="V2318" s="28" t="e">
        <f ca="1">[1]!BexGetData("DP_1","00O2TNJGODT0G5Z4TTKYMN18L","GSON1112160191")</f>
        <v>#NAME?</v>
      </c>
      <c r="W2318" s="28" t="e">
        <f ca="1">[1]!BexGetData("DP_1","00O2TNJGODT0G5Z4TTKYMN7K5","GSON1112160191")</f>
        <v>#NAME?</v>
      </c>
    </row>
    <row r="2319" spans="1:23" x14ac:dyDescent="0.2">
      <c r="A2319" s="36" t="s">
        <v>5595</v>
      </c>
      <c r="B2319" s="27" t="s">
        <v>5596</v>
      </c>
      <c r="C2319" s="23" t="e">
        <f ca="1">[1]!BexGetData("DP_1","003N8EMH8GTFRCSWKMPXRR8GU","GSON1112160192")</f>
        <v>#NAME?</v>
      </c>
      <c r="D2319" s="28" t="e">
        <f ca="1">[1]!BexGetData("DP_1","003N8EMH8GTFRCSWKMPXRRESE","GSON1112160192")</f>
        <v>#NAME?</v>
      </c>
      <c r="E2319" s="28" t="e">
        <f ca="1">[1]!BexGetData("DP_1","003N8EMH8GTFRCSWKMPXRRL3Y","GSON1112160192")</f>
        <v>#NAME?</v>
      </c>
      <c r="F2319" s="23" t="e">
        <f ca="1">[1]!BexGetData("DP_1","003N8EMH8GTFRCSWKMPXRRRFI","GSON1112160192")</f>
        <v>#NAME?</v>
      </c>
      <c r="G2319" s="23" t="e">
        <f ca="1">[1]!BexGetData("DP_1","003N8EMH8GTFRCSWKMPXRRXR2","GSON1112160192")</f>
        <v>#NAME?</v>
      </c>
      <c r="H2319" s="23" t="e">
        <f ca="1">[1]!BexGetData("DP_1","003N8EMH8GTFRCSWKMPXRS42M","GSON1112160192")</f>
        <v>#NAME?</v>
      </c>
      <c r="I2319" s="23" t="e">
        <f ca="1">[1]!BexGetData("DP_1","003N8EMH8GTFRCSWKMPXRSAE6","GSON1112160192")</f>
        <v>#NAME?</v>
      </c>
      <c r="J2319" s="23" t="e">
        <f ca="1">[1]!BexGetData("DP_1","003N8EMH8GTFRCSWKMPXRSGPQ","GSON1112160192")</f>
        <v>#NAME?</v>
      </c>
      <c r="K2319" s="23" t="e">
        <f ca="1">[1]!BexGetData("DP_1","003N8EMH8GTFRIVNUPY288VJH","GSON1112160192")</f>
        <v>#NAME?</v>
      </c>
      <c r="L2319" s="23" t="e">
        <f ca="1">[1]!BexGetData("DP_1","003N8EMH8GTFRIVNUPY2891V1","GSON1112160192")</f>
        <v>#NAME?</v>
      </c>
      <c r="M2319" s="28" t="e">
        <f ca="1">[1]!BexGetData("DP_1","003N8EMH8GTFRIVOG7KG9IQXA","GSON1112160192")</f>
        <v>#NAME?</v>
      </c>
      <c r="N2319" s="23" t="e">
        <f ca="1">[1]!BexGetData("DP_1","003N8EMH8GTFRIVOG7KG9IX8U","GSON1112160192")</f>
        <v>#NAME?</v>
      </c>
      <c r="O2319" s="28" t="e">
        <f ca="1">[1]!BexGetData("DP_1","003N8EMH8GTFRIVOG7KG9J3KE","GSON1112160192")</f>
        <v>#NAME?</v>
      </c>
      <c r="P2319" s="23" t="e">
        <f ca="1">[1]!BexGetData("DP_1","003N8EMH8GTFRIVOG7KG9J9VY","GSON1112160192")</f>
        <v>#NAME?</v>
      </c>
      <c r="Q2319" s="23" t="e">
        <f ca="1">[1]!BexGetData("DP_1","00O2TNJGODT0G5Z4TTKYMM5MT","GSON1112160192")</f>
        <v>#NAME?</v>
      </c>
      <c r="R2319" s="23" t="e">
        <f ca="1">[1]!BexGetData("DP_1","00O2TNJGODT0G5Z4TTKYMMBYD","GSON1112160192")</f>
        <v>#NAME?</v>
      </c>
      <c r="S2319" s="23" t="e">
        <f ca="1">[1]!BexGetData("DP_1","00O2TNJGODT0G5Z4TTKYMMI9X","GSON1112160192")</f>
        <v>#NAME?</v>
      </c>
      <c r="T2319" s="28" t="e">
        <f ca="1">[1]!BexGetData("DP_1","00O2TNJGODT0G5Z4TTKYMMOLH","GSON1112160192")</f>
        <v>#NAME?</v>
      </c>
      <c r="U2319" s="23" t="e">
        <f ca="1">[1]!BexGetData("DP_1","00O2TNJGODT0G5Z4TTKYMMUX1","GSON1112160192")</f>
        <v>#NAME?</v>
      </c>
      <c r="V2319" s="28" t="e">
        <f ca="1">[1]!BexGetData("DP_1","00O2TNJGODT0G5Z4TTKYMN18L","GSON1112160192")</f>
        <v>#NAME?</v>
      </c>
      <c r="W2319" s="23" t="e">
        <f ca="1">[1]!BexGetData("DP_1","00O2TNJGODT0G5Z4TTKYMN7K5","GSON1112160192")</f>
        <v>#NAME?</v>
      </c>
    </row>
    <row r="2320" spans="1:23" x14ac:dyDescent="0.2">
      <c r="A2320" s="36" t="s">
        <v>5597</v>
      </c>
      <c r="B2320" s="27" t="s">
        <v>5598</v>
      </c>
      <c r="C2320" s="23" t="e">
        <f ca="1">[1]!BexGetData("DP_1","003N8EMH8GTFRCSWKMPXRR8GU","GSON1112160193")</f>
        <v>#NAME?</v>
      </c>
      <c r="D2320" s="23" t="e">
        <f ca="1">[1]!BexGetData("DP_1","003N8EMH8GTFRCSWKMPXRRESE","GSON1112160193")</f>
        <v>#NAME?</v>
      </c>
      <c r="E2320" s="28" t="e">
        <f ca="1">[1]!BexGetData("DP_1","003N8EMH8GTFRCSWKMPXRRL3Y","GSON1112160193")</f>
        <v>#NAME?</v>
      </c>
      <c r="F2320" s="28" t="e">
        <f ca="1">[1]!BexGetData("DP_1","003N8EMH8GTFRCSWKMPXRRRFI","GSON1112160193")</f>
        <v>#NAME?</v>
      </c>
      <c r="G2320" s="23" t="e">
        <f ca="1">[1]!BexGetData("DP_1","003N8EMH8GTFRCSWKMPXRRXR2","GSON1112160193")</f>
        <v>#NAME?</v>
      </c>
      <c r="H2320" s="23" t="e">
        <f ca="1">[1]!BexGetData("DP_1","003N8EMH8GTFRCSWKMPXRS42M","GSON1112160193")</f>
        <v>#NAME?</v>
      </c>
      <c r="I2320" s="28" t="e">
        <f ca="1">[1]!BexGetData("DP_1","003N8EMH8GTFRCSWKMPXRSAE6","GSON1112160193")</f>
        <v>#NAME?</v>
      </c>
      <c r="J2320" s="24" t="e">
        <f ca="1">[1]!BexGetData("DP_1","003N8EMH8GTFRCSWKMPXRSGPQ","GSON1112160193")</f>
        <v>#NAME?</v>
      </c>
      <c r="K2320" s="28" t="e">
        <f ca="1">[1]!BexGetData("DP_1","003N8EMH8GTFRIVNUPY288VJH","GSON1112160193")</f>
        <v>#NAME?</v>
      </c>
      <c r="L2320" s="28" t="e">
        <f ca="1">[1]!BexGetData("DP_1","003N8EMH8GTFRIVNUPY2891V1","GSON1112160193")</f>
        <v>#NAME?</v>
      </c>
      <c r="M2320" s="28" t="e">
        <f ca="1">[1]!BexGetData("DP_1","003N8EMH8GTFRIVOG7KG9IQXA","GSON1112160193")</f>
        <v>#NAME?</v>
      </c>
      <c r="N2320" s="28" t="e">
        <f ca="1">[1]!BexGetData("DP_1","003N8EMH8GTFRIVOG7KG9IX8U","GSON1112160193")</f>
        <v>#NAME?</v>
      </c>
      <c r="O2320" s="28" t="e">
        <f ca="1">[1]!BexGetData("DP_1","003N8EMH8GTFRIVOG7KG9J3KE","GSON1112160193")</f>
        <v>#NAME?</v>
      </c>
      <c r="P2320" s="28" t="e">
        <f ca="1">[1]!BexGetData("DP_1","003N8EMH8GTFRIVOG7KG9J9VY","GSON1112160193")</f>
        <v>#NAME?</v>
      </c>
      <c r="Q2320" s="24" t="e">
        <f ca="1">[1]!BexGetData("DP_1","00O2TNJGODT0G5Z4TTKYMM5MT","GSON1112160193")</f>
        <v>#NAME?</v>
      </c>
      <c r="R2320" s="28" t="e">
        <f ca="1">[1]!BexGetData("DP_1","00O2TNJGODT0G5Z4TTKYMMBYD","GSON1112160193")</f>
        <v>#NAME?</v>
      </c>
      <c r="S2320" s="28" t="e">
        <f ca="1">[1]!BexGetData("DP_1","00O2TNJGODT0G5Z4TTKYMMI9X","GSON1112160193")</f>
        <v>#NAME?</v>
      </c>
      <c r="T2320" s="28" t="e">
        <f ca="1">[1]!BexGetData("DP_1","00O2TNJGODT0G5Z4TTKYMMOLH","GSON1112160193")</f>
        <v>#NAME?</v>
      </c>
      <c r="U2320" s="28" t="e">
        <f ca="1">[1]!BexGetData("DP_1","00O2TNJGODT0G5Z4TTKYMMUX1","GSON1112160193")</f>
        <v>#NAME?</v>
      </c>
      <c r="V2320" s="28" t="e">
        <f ca="1">[1]!BexGetData("DP_1","00O2TNJGODT0G5Z4TTKYMN18L","GSON1112160193")</f>
        <v>#NAME?</v>
      </c>
      <c r="W2320" s="28" t="e">
        <f ca="1">[1]!BexGetData("DP_1","00O2TNJGODT0G5Z4TTKYMN7K5","GSON1112160193")</f>
        <v>#NAME?</v>
      </c>
    </row>
    <row r="2321" spans="1:23" x14ac:dyDescent="0.2">
      <c r="A2321" s="36" t="s">
        <v>5599</v>
      </c>
      <c r="B2321" s="27" t="s">
        <v>5600</v>
      </c>
      <c r="C2321" s="23" t="e">
        <f ca="1">[1]!BexGetData("DP_1","003N8EMH8GTFRCSWKMPXRR8GU","GSON1112160194")</f>
        <v>#NAME?</v>
      </c>
      <c r="D2321" s="23" t="e">
        <f ca="1">[1]!BexGetData("DP_1","003N8EMH8GTFRCSWKMPXRRESE","GSON1112160194")</f>
        <v>#NAME?</v>
      </c>
      <c r="E2321" s="28" t="e">
        <f ca="1">[1]!BexGetData("DP_1","003N8EMH8GTFRCSWKMPXRRL3Y","GSON1112160194")</f>
        <v>#NAME?</v>
      </c>
      <c r="F2321" s="28" t="e">
        <f ca="1">[1]!BexGetData("DP_1","003N8EMH8GTFRCSWKMPXRRRFI","GSON1112160194")</f>
        <v>#NAME?</v>
      </c>
      <c r="G2321" s="23" t="e">
        <f ca="1">[1]!BexGetData("DP_1","003N8EMH8GTFRCSWKMPXRRXR2","GSON1112160194")</f>
        <v>#NAME?</v>
      </c>
      <c r="H2321" s="23" t="e">
        <f ca="1">[1]!BexGetData("DP_1","003N8EMH8GTFRCSWKMPXRS42M","GSON1112160194")</f>
        <v>#NAME?</v>
      </c>
      <c r="I2321" s="28" t="e">
        <f ca="1">[1]!BexGetData("DP_1","003N8EMH8GTFRCSWKMPXRSAE6","GSON1112160194")</f>
        <v>#NAME?</v>
      </c>
      <c r="J2321" s="24" t="e">
        <f ca="1">[1]!BexGetData("DP_1","003N8EMH8GTFRCSWKMPXRSGPQ","GSON1112160194")</f>
        <v>#NAME?</v>
      </c>
      <c r="K2321" s="28" t="e">
        <f ca="1">[1]!BexGetData("DP_1","003N8EMH8GTFRIVNUPY288VJH","GSON1112160194")</f>
        <v>#NAME?</v>
      </c>
      <c r="L2321" s="28" t="e">
        <f ca="1">[1]!BexGetData("DP_1","003N8EMH8GTFRIVNUPY2891V1","GSON1112160194")</f>
        <v>#NAME?</v>
      </c>
      <c r="M2321" s="28" t="e">
        <f ca="1">[1]!BexGetData("DP_1","003N8EMH8GTFRIVOG7KG9IQXA","GSON1112160194")</f>
        <v>#NAME?</v>
      </c>
      <c r="N2321" s="28" t="e">
        <f ca="1">[1]!BexGetData("DP_1","003N8EMH8GTFRIVOG7KG9IX8U","GSON1112160194")</f>
        <v>#NAME?</v>
      </c>
      <c r="O2321" s="28" t="e">
        <f ca="1">[1]!BexGetData("DP_1","003N8EMH8GTFRIVOG7KG9J3KE","GSON1112160194")</f>
        <v>#NAME?</v>
      </c>
      <c r="P2321" s="28" t="e">
        <f ca="1">[1]!BexGetData("DP_1","003N8EMH8GTFRIVOG7KG9J9VY","GSON1112160194")</f>
        <v>#NAME?</v>
      </c>
      <c r="Q2321" s="24" t="e">
        <f ca="1">[1]!BexGetData("DP_1","00O2TNJGODT0G5Z4TTKYMM5MT","GSON1112160194")</f>
        <v>#NAME?</v>
      </c>
      <c r="R2321" s="28" t="e">
        <f ca="1">[1]!BexGetData("DP_1","00O2TNJGODT0G5Z4TTKYMMBYD","GSON1112160194")</f>
        <v>#NAME?</v>
      </c>
      <c r="S2321" s="28" t="e">
        <f ca="1">[1]!BexGetData("DP_1","00O2TNJGODT0G5Z4TTKYMMI9X","GSON1112160194")</f>
        <v>#NAME?</v>
      </c>
      <c r="T2321" s="28" t="e">
        <f ca="1">[1]!BexGetData("DP_1","00O2TNJGODT0G5Z4TTKYMMOLH","GSON1112160194")</f>
        <v>#NAME?</v>
      </c>
      <c r="U2321" s="28" t="e">
        <f ca="1">[1]!BexGetData("DP_1","00O2TNJGODT0G5Z4TTKYMMUX1","GSON1112160194")</f>
        <v>#NAME?</v>
      </c>
      <c r="V2321" s="28" t="e">
        <f ca="1">[1]!BexGetData("DP_1","00O2TNJGODT0G5Z4TTKYMN18L","GSON1112160194")</f>
        <v>#NAME?</v>
      </c>
      <c r="W2321" s="28" t="e">
        <f ca="1">[1]!BexGetData("DP_1","00O2TNJGODT0G5Z4TTKYMN7K5","GSON1112160194")</f>
        <v>#NAME?</v>
      </c>
    </row>
    <row r="2322" spans="1:23" x14ac:dyDescent="0.2">
      <c r="A2322" s="36" t="s">
        <v>5601</v>
      </c>
      <c r="B2322" s="27" t="s">
        <v>5602</v>
      </c>
      <c r="C2322" s="23" t="e">
        <f ca="1">[1]!BexGetData("DP_1","003N8EMH8GTFRCSWKMPXRR8GU","GSON1112160195")</f>
        <v>#NAME?</v>
      </c>
      <c r="D2322" s="23" t="e">
        <f ca="1">[1]!BexGetData("DP_1","003N8EMH8GTFRCSWKMPXRRESE","GSON1112160195")</f>
        <v>#NAME?</v>
      </c>
      <c r="E2322" s="28" t="e">
        <f ca="1">[1]!BexGetData("DP_1","003N8EMH8GTFRCSWKMPXRRL3Y","GSON1112160195")</f>
        <v>#NAME?</v>
      </c>
      <c r="F2322" s="28" t="e">
        <f ca="1">[1]!BexGetData("DP_1","003N8EMH8GTFRCSWKMPXRRRFI","GSON1112160195")</f>
        <v>#NAME?</v>
      </c>
      <c r="G2322" s="23" t="e">
        <f ca="1">[1]!BexGetData("DP_1","003N8EMH8GTFRCSWKMPXRRXR2","GSON1112160195")</f>
        <v>#NAME?</v>
      </c>
      <c r="H2322" s="23" t="e">
        <f ca="1">[1]!BexGetData("DP_1","003N8EMH8GTFRCSWKMPXRS42M","GSON1112160195")</f>
        <v>#NAME?</v>
      </c>
      <c r="I2322" s="28" t="e">
        <f ca="1">[1]!BexGetData("DP_1","003N8EMH8GTFRCSWKMPXRSAE6","GSON1112160195")</f>
        <v>#NAME?</v>
      </c>
      <c r="J2322" s="24" t="e">
        <f ca="1">[1]!BexGetData("DP_1","003N8EMH8GTFRCSWKMPXRSGPQ","GSON1112160195")</f>
        <v>#NAME?</v>
      </c>
      <c r="K2322" s="28" t="e">
        <f ca="1">[1]!BexGetData("DP_1","003N8EMH8GTFRIVNUPY288VJH","GSON1112160195")</f>
        <v>#NAME?</v>
      </c>
      <c r="L2322" s="28" t="e">
        <f ca="1">[1]!BexGetData("DP_1","003N8EMH8GTFRIVNUPY2891V1","GSON1112160195")</f>
        <v>#NAME?</v>
      </c>
      <c r="M2322" s="28" t="e">
        <f ca="1">[1]!BexGetData("DP_1","003N8EMH8GTFRIVOG7KG9IQXA","GSON1112160195")</f>
        <v>#NAME?</v>
      </c>
      <c r="N2322" s="28" t="e">
        <f ca="1">[1]!BexGetData("DP_1","003N8EMH8GTFRIVOG7KG9IX8U","GSON1112160195")</f>
        <v>#NAME?</v>
      </c>
      <c r="O2322" s="28" t="e">
        <f ca="1">[1]!BexGetData("DP_1","003N8EMH8GTFRIVOG7KG9J3KE","GSON1112160195")</f>
        <v>#NAME?</v>
      </c>
      <c r="P2322" s="28" t="e">
        <f ca="1">[1]!BexGetData("DP_1","003N8EMH8GTFRIVOG7KG9J9VY","GSON1112160195")</f>
        <v>#NAME?</v>
      </c>
      <c r="Q2322" s="24" t="e">
        <f ca="1">[1]!BexGetData("DP_1","00O2TNJGODT0G5Z4TTKYMM5MT","GSON1112160195")</f>
        <v>#NAME?</v>
      </c>
      <c r="R2322" s="28" t="e">
        <f ca="1">[1]!BexGetData("DP_1","00O2TNJGODT0G5Z4TTKYMMBYD","GSON1112160195")</f>
        <v>#NAME?</v>
      </c>
      <c r="S2322" s="28" t="e">
        <f ca="1">[1]!BexGetData("DP_1","00O2TNJGODT0G5Z4TTKYMMI9X","GSON1112160195")</f>
        <v>#NAME?</v>
      </c>
      <c r="T2322" s="28" t="e">
        <f ca="1">[1]!BexGetData("DP_1","00O2TNJGODT0G5Z4TTKYMMOLH","GSON1112160195")</f>
        <v>#NAME?</v>
      </c>
      <c r="U2322" s="28" t="e">
        <f ca="1">[1]!BexGetData("DP_1","00O2TNJGODT0G5Z4TTKYMMUX1","GSON1112160195")</f>
        <v>#NAME?</v>
      </c>
      <c r="V2322" s="28" t="e">
        <f ca="1">[1]!BexGetData("DP_1","00O2TNJGODT0G5Z4TTKYMN18L","GSON1112160195")</f>
        <v>#NAME?</v>
      </c>
      <c r="W2322" s="28" t="e">
        <f ca="1">[1]!BexGetData("DP_1","00O2TNJGODT0G5Z4TTKYMN7K5","GSON1112160195")</f>
        <v>#NAME?</v>
      </c>
    </row>
    <row r="2323" spans="1:23" x14ac:dyDescent="0.2">
      <c r="A2323" s="36" t="s">
        <v>5603</v>
      </c>
      <c r="B2323" s="27" t="s">
        <v>5604</v>
      </c>
      <c r="C2323" s="23" t="e">
        <f ca="1">[1]!BexGetData("DP_1","003N8EMH8GTFRCSWKMPXRR8GU","GSON1112160200")</f>
        <v>#NAME?</v>
      </c>
      <c r="D2323" s="23" t="e">
        <f ca="1">[1]!BexGetData("DP_1","003N8EMH8GTFRCSWKMPXRRESE","GSON1112160200")</f>
        <v>#NAME?</v>
      </c>
      <c r="E2323" s="23" t="e">
        <f ca="1">[1]!BexGetData("DP_1","003N8EMH8GTFRCSWKMPXRRL3Y","GSON1112160200")</f>
        <v>#NAME?</v>
      </c>
      <c r="F2323" s="23" t="e">
        <f ca="1">[1]!BexGetData("DP_1","003N8EMH8GTFRCSWKMPXRRRFI","GSON1112160200")</f>
        <v>#NAME?</v>
      </c>
      <c r="G2323" s="23" t="e">
        <f ca="1">[1]!BexGetData("DP_1","003N8EMH8GTFRCSWKMPXRRXR2","GSON1112160200")</f>
        <v>#NAME?</v>
      </c>
      <c r="H2323" s="23" t="e">
        <f ca="1">[1]!BexGetData("DP_1","003N8EMH8GTFRCSWKMPXRS42M","GSON1112160200")</f>
        <v>#NAME?</v>
      </c>
      <c r="I2323" s="23" t="e">
        <f ca="1">[1]!BexGetData("DP_1","003N8EMH8GTFRCSWKMPXRSAE6","GSON1112160200")</f>
        <v>#NAME?</v>
      </c>
      <c r="J2323" s="23" t="e">
        <f ca="1">[1]!BexGetData("DP_1","003N8EMH8GTFRCSWKMPXRSGPQ","GSON1112160200")</f>
        <v>#NAME?</v>
      </c>
      <c r="K2323" s="23" t="e">
        <f ca="1">[1]!BexGetData("DP_1","003N8EMH8GTFRIVNUPY288VJH","GSON1112160200")</f>
        <v>#NAME?</v>
      </c>
      <c r="L2323" s="23" t="e">
        <f ca="1">[1]!BexGetData("DP_1","003N8EMH8GTFRIVNUPY2891V1","GSON1112160200")</f>
        <v>#NAME?</v>
      </c>
      <c r="M2323" s="28" t="e">
        <f ca="1">[1]!BexGetData("DP_1","003N8EMH8GTFRIVOG7KG9IQXA","GSON1112160200")</f>
        <v>#NAME?</v>
      </c>
      <c r="N2323" s="23" t="e">
        <f ca="1">[1]!BexGetData("DP_1","003N8EMH8GTFRIVOG7KG9IX8U","GSON1112160200")</f>
        <v>#NAME?</v>
      </c>
      <c r="O2323" s="28" t="e">
        <f ca="1">[1]!BexGetData("DP_1","003N8EMH8GTFRIVOG7KG9J3KE","GSON1112160200")</f>
        <v>#NAME?</v>
      </c>
      <c r="P2323" s="23" t="e">
        <f ca="1">[1]!BexGetData("DP_1","003N8EMH8GTFRIVOG7KG9J9VY","GSON1112160200")</f>
        <v>#NAME?</v>
      </c>
      <c r="Q2323" s="23" t="e">
        <f ca="1">[1]!BexGetData("DP_1","00O2TNJGODT0G5Z4TTKYMM5MT","GSON1112160200")</f>
        <v>#NAME?</v>
      </c>
      <c r="R2323" s="23" t="e">
        <f ca="1">[1]!BexGetData("DP_1","00O2TNJGODT0G5Z4TTKYMMBYD","GSON1112160200")</f>
        <v>#NAME?</v>
      </c>
      <c r="S2323" s="23" t="e">
        <f ca="1">[1]!BexGetData("DP_1","00O2TNJGODT0G5Z4TTKYMMI9X","GSON1112160200")</f>
        <v>#NAME?</v>
      </c>
      <c r="T2323" s="23" t="e">
        <f ca="1">[1]!BexGetData("DP_1","00O2TNJGODT0G5Z4TTKYMMOLH","GSON1112160200")</f>
        <v>#NAME?</v>
      </c>
      <c r="U2323" s="28" t="e">
        <f ca="1">[1]!BexGetData("DP_1","00O2TNJGODT0G5Z4TTKYMMUX1","GSON1112160200")</f>
        <v>#NAME?</v>
      </c>
      <c r="V2323" s="23" t="e">
        <f ca="1">[1]!BexGetData("DP_1","00O2TNJGODT0G5Z4TTKYMN18L","GSON1112160200")</f>
        <v>#NAME?</v>
      </c>
      <c r="W2323" s="28" t="e">
        <f ca="1">[1]!BexGetData("DP_1","00O2TNJGODT0G5Z4TTKYMN7K5","GSON1112160200")</f>
        <v>#NAME?</v>
      </c>
    </row>
    <row r="2324" spans="1:23" x14ac:dyDescent="0.2">
      <c r="A2324" s="36" t="s">
        <v>5605</v>
      </c>
      <c r="B2324" s="27" t="s">
        <v>5606</v>
      </c>
      <c r="C2324" s="23" t="e">
        <f ca="1">[1]!BexGetData("DP_1","003N8EMH8GTFRCSWKMPXRR8GU","GSON1112160201")</f>
        <v>#NAME?</v>
      </c>
      <c r="D2324" s="23" t="e">
        <f ca="1">[1]!BexGetData("DP_1","003N8EMH8GTFRCSWKMPXRRESE","GSON1112160201")</f>
        <v>#NAME?</v>
      </c>
      <c r="E2324" s="28" t="e">
        <f ca="1">[1]!BexGetData("DP_1","003N8EMH8GTFRCSWKMPXRRL3Y","GSON1112160201")</f>
        <v>#NAME?</v>
      </c>
      <c r="F2324" s="28" t="e">
        <f ca="1">[1]!BexGetData("DP_1","003N8EMH8GTFRCSWKMPXRRRFI","GSON1112160201")</f>
        <v>#NAME?</v>
      </c>
      <c r="G2324" s="23" t="e">
        <f ca="1">[1]!BexGetData("DP_1","003N8EMH8GTFRCSWKMPXRRXR2","GSON1112160201")</f>
        <v>#NAME?</v>
      </c>
      <c r="H2324" s="23" t="e">
        <f ca="1">[1]!BexGetData("DP_1","003N8EMH8GTFRCSWKMPXRS42M","GSON1112160201")</f>
        <v>#NAME?</v>
      </c>
      <c r="I2324" s="28" t="e">
        <f ca="1">[1]!BexGetData("DP_1","003N8EMH8GTFRCSWKMPXRSAE6","GSON1112160201")</f>
        <v>#NAME?</v>
      </c>
      <c r="J2324" s="24" t="e">
        <f ca="1">[1]!BexGetData("DP_1","003N8EMH8GTFRCSWKMPXRSGPQ","GSON1112160201")</f>
        <v>#NAME?</v>
      </c>
      <c r="K2324" s="28" t="e">
        <f ca="1">[1]!BexGetData("DP_1","003N8EMH8GTFRIVNUPY288VJH","GSON1112160201")</f>
        <v>#NAME?</v>
      </c>
      <c r="L2324" s="28" t="e">
        <f ca="1">[1]!BexGetData("DP_1","003N8EMH8GTFRIVNUPY2891V1","GSON1112160201")</f>
        <v>#NAME?</v>
      </c>
      <c r="M2324" s="28" t="e">
        <f ca="1">[1]!BexGetData("DP_1","003N8EMH8GTFRIVOG7KG9IQXA","GSON1112160201")</f>
        <v>#NAME?</v>
      </c>
      <c r="N2324" s="28" t="e">
        <f ca="1">[1]!BexGetData("DP_1","003N8EMH8GTFRIVOG7KG9IX8U","GSON1112160201")</f>
        <v>#NAME?</v>
      </c>
      <c r="O2324" s="28" t="e">
        <f ca="1">[1]!BexGetData("DP_1","003N8EMH8GTFRIVOG7KG9J3KE","GSON1112160201")</f>
        <v>#NAME?</v>
      </c>
      <c r="P2324" s="28" t="e">
        <f ca="1">[1]!BexGetData("DP_1","003N8EMH8GTFRIVOG7KG9J9VY","GSON1112160201")</f>
        <v>#NAME?</v>
      </c>
      <c r="Q2324" s="24" t="e">
        <f ca="1">[1]!BexGetData("DP_1","00O2TNJGODT0G5Z4TTKYMM5MT","GSON1112160201")</f>
        <v>#NAME?</v>
      </c>
      <c r="R2324" s="28" t="e">
        <f ca="1">[1]!BexGetData("DP_1","00O2TNJGODT0G5Z4TTKYMMBYD","GSON1112160201")</f>
        <v>#NAME?</v>
      </c>
      <c r="S2324" s="28" t="e">
        <f ca="1">[1]!BexGetData("DP_1","00O2TNJGODT0G5Z4TTKYMMI9X","GSON1112160201")</f>
        <v>#NAME?</v>
      </c>
      <c r="T2324" s="28" t="e">
        <f ca="1">[1]!BexGetData("DP_1","00O2TNJGODT0G5Z4TTKYMMOLH","GSON1112160201")</f>
        <v>#NAME?</v>
      </c>
      <c r="U2324" s="28" t="e">
        <f ca="1">[1]!BexGetData("DP_1","00O2TNJGODT0G5Z4TTKYMMUX1","GSON1112160201")</f>
        <v>#NAME?</v>
      </c>
      <c r="V2324" s="28" t="e">
        <f ca="1">[1]!BexGetData("DP_1","00O2TNJGODT0G5Z4TTKYMN18L","GSON1112160201")</f>
        <v>#NAME?</v>
      </c>
      <c r="W2324" s="28" t="e">
        <f ca="1">[1]!BexGetData("DP_1","00O2TNJGODT0G5Z4TTKYMN7K5","GSON1112160201")</f>
        <v>#NAME?</v>
      </c>
    </row>
    <row r="2325" spans="1:23" x14ac:dyDescent="0.2">
      <c r="A2325" s="36" t="s">
        <v>5607</v>
      </c>
      <c r="B2325" s="27" t="s">
        <v>5608</v>
      </c>
      <c r="C2325" s="23" t="e">
        <f ca="1">[1]!BexGetData("DP_1","003N8EMH8GTFRCSWKMPXRR8GU","GSON1112160203")</f>
        <v>#NAME?</v>
      </c>
      <c r="D2325" s="23" t="e">
        <f ca="1">[1]!BexGetData("DP_1","003N8EMH8GTFRCSWKMPXRRESE","GSON1112160203")</f>
        <v>#NAME?</v>
      </c>
      <c r="E2325" s="28" t="e">
        <f ca="1">[1]!BexGetData("DP_1","003N8EMH8GTFRCSWKMPXRRL3Y","GSON1112160203")</f>
        <v>#NAME?</v>
      </c>
      <c r="F2325" s="28" t="e">
        <f ca="1">[1]!BexGetData("DP_1","003N8EMH8GTFRCSWKMPXRRRFI","GSON1112160203")</f>
        <v>#NAME?</v>
      </c>
      <c r="G2325" s="23" t="e">
        <f ca="1">[1]!BexGetData("DP_1","003N8EMH8GTFRCSWKMPXRRXR2","GSON1112160203")</f>
        <v>#NAME?</v>
      </c>
      <c r="H2325" s="23" t="e">
        <f ca="1">[1]!BexGetData("DP_1","003N8EMH8GTFRCSWKMPXRS42M","GSON1112160203")</f>
        <v>#NAME?</v>
      </c>
      <c r="I2325" s="28" t="e">
        <f ca="1">[1]!BexGetData("DP_1","003N8EMH8GTFRCSWKMPXRSAE6","GSON1112160203")</f>
        <v>#NAME?</v>
      </c>
      <c r="J2325" s="24" t="e">
        <f ca="1">[1]!BexGetData("DP_1","003N8EMH8GTFRCSWKMPXRSGPQ","GSON1112160203")</f>
        <v>#NAME?</v>
      </c>
      <c r="K2325" s="28" t="e">
        <f ca="1">[1]!BexGetData("DP_1","003N8EMH8GTFRIVNUPY288VJH","GSON1112160203")</f>
        <v>#NAME?</v>
      </c>
      <c r="L2325" s="28" t="e">
        <f ca="1">[1]!BexGetData("DP_1","003N8EMH8GTFRIVNUPY2891V1","GSON1112160203")</f>
        <v>#NAME?</v>
      </c>
      <c r="M2325" s="28" t="e">
        <f ca="1">[1]!BexGetData("DP_1","003N8EMH8GTFRIVOG7KG9IQXA","GSON1112160203")</f>
        <v>#NAME?</v>
      </c>
      <c r="N2325" s="28" t="e">
        <f ca="1">[1]!BexGetData("DP_1","003N8EMH8GTFRIVOG7KG9IX8U","GSON1112160203")</f>
        <v>#NAME?</v>
      </c>
      <c r="O2325" s="28" t="e">
        <f ca="1">[1]!BexGetData("DP_1","003N8EMH8GTFRIVOG7KG9J3KE","GSON1112160203")</f>
        <v>#NAME?</v>
      </c>
      <c r="P2325" s="28" t="e">
        <f ca="1">[1]!BexGetData("DP_1","003N8EMH8GTFRIVOG7KG9J9VY","GSON1112160203")</f>
        <v>#NAME?</v>
      </c>
      <c r="Q2325" s="24" t="e">
        <f ca="1">[1]!BexGetData("DP_1","00O2TNJGODT0G5Z4TTKYMM5MT","GSON1112160203")</f>
        <v>#NAME?</v>
      </c>
      <c r="R2325" s="28" t="e">
        <f ca="1">[1]!BexGetData("DP_1","00O2TNJGODT0G5Z4TTKYMMBYD","GSON1112160203")</f>
        <v>#NAME?</v>
      </c>
      <c r="S2325" s="28" t="e">
        <f ca="1">[1]!BexGetData("DP_1","00O2TNJGODT0G5Z4TTKYMMI9X","GSON1112160203")</f>
        <v>#NAME?</v>
      </c>
      <c r="T2325" s="28" t="e">
        <f ca="1">[1]!BexGetData("DP_1","00O2TNJGODT0G5Z4TTKYMMOLH","GSON1112160203")</f>
        <v>#NAME?</v>
      </c>
      <c r="U2325" s="28" t="e">
        <f ca="1">[1]!BexGetData("DP_1","00O2TNJGODT0G5Z4TTKYMMUX1","GSON1112160203")</f>
        <v>#NAME?</v>
      </c>
      <c r="V2325" s="28" t="e">
        <f ca="1">[1]!BexGetData("DP_1","00O2TNJGODT0G5Z4TTKYMN18L","GSON1112160203")</f>
        <v>#NAME?</v>
      </c>
      <c r="W2325" s="28" t="e">
        <f ca="1">[1]!BexGetData("DP_1","00O2TNJGODT0G5Z4TTKYMN7K5","GSON1112160203")</f>
        <v>#NAME?</v>
      </c>
    </row>
    <row r="2326" spans="1:23" x14ac:dyDescent="0.2">
      <c r="A2326" s="36" t="s">
        <v>5609</v>
      </c>
      <c r="B2326" s="27" t="s">
        <v>5610</v>
      </c>
      <c r="C2326" s="24" t="e">
        <f ca="1">[1]!BexGetData("DP_1","003N8EMH8GTFRCSWKMPXRR8GU","GSON1112160204")</f>
        <v>#NAME?</v>
      </c>
      <c r="D2326" s="24" t="e">
        <f ca="1">[1]!BexGetData("DP_1","003N8EMH8GTFRCSWKMPXRRESE","GSON1112160204")</f>
        <v>#NAME?</v>
      </c>
      <c r="E2326" s="24" t="e">
        <f ca="1">[1]!BexGetData("DP_1","003N8EMH8GTFRCSWKMPXRRL3Y","GSON1112160204")</f>
        <v>#NAME?</v>
      </c>
      <c r="F2326" s="28" t="e">
        <f ca="1">[1]!BexGetData("DP_1","003N8EMH8GTFRCSWKMPXRRRFI","GSON1112160204")</f>
        <v>#NAME?</v>
      </c>
      <c r="G2326" s="23" t="e">
        <f ca="1">[1]!BexGetData("DP_1","003N8EMH8GTFRCSWKMPXRRXR2","GSON1112160204")</f>
        <v>#NAME?</v>
      </c>
      <c r="H2326" s="23" t="e">
        <f ca="1">[1]!BexGetData("DP_1","003N8EMH8GTFRCSWKMPXRS42M","GSON1112160204")</f>
        <v>#NAME?</v>
      </c>
      <c r="I2326" s="28" t="e">
        <f ca="1">[1]!BexGetData("DP_1","003N8EMH8GTFRCSWKMPXRSAE6","GSON1112160204")</f>
        <v>#NAME?</v>
      </c>
      <c r="J2326" s="24" t="e">
        <f ca="1">[1]!BexGetData("DP_1","003N8EMH8GTFRCSWKMPXRSGPQ","GSON1112160204")</f>
        <v>#NAME?</v>
      </c>
      <c r="K2326" s="28" t="e">
        <f ca="1">[1]!BexGetData("DP_1","003N8EMH8GTFRIVNUPY288VJH","GSON1112160204")</f>
        <v>#NAME?</v>
      </c>
      <c r="L2326" s="28" t="e">
        <f ca="1">[1]!BexGetData("DP_1","003N8EMH8GTFRIVNUPY2891V1","GSON1112160204")</f>
        <v>#NAME?</v>
      </c>
      <c r="M2326" s="28" t="e">
        <f ca="1">[1]!BexGetData("DP_1","003N8EMH8GTFRIVOG7KG9IQXA","GSON1112160204")</f>
        <v>#NAME?</v>
      </c>
      <c r="N2326" s="28" t="e">
        <f ca="1">[1]!BexGetData("DP_1","003N8EMH8GTFRIVOG7KG9IX8U","GSON1112160204")</f>
        <v>#NAME?</v>
      </c>
      <c r="O2326" s="28" t="e">
        <f ca="1">[1]!BexGetData("DP_1","003N8EMH8GTFRIVOG7KG9J3KE","GSON1112160204")</f>
        <v>#NAME?</v>
      </c>
      <c r="P2326" s="28" t="e">
        <f ca="1">[1]!BexGetData("DP_1","003N8EMH8GTFRIVOG7KG9J9VY","GSON1112160204")</f>
        <v>#NAME?</v>
      </c>
      <c r="Q2326" s="24" t="e">
        <f ca="1">[1]!BexGetData("DP_1","00O2TNJGODT0G5Z4TTKYMM5MT","GSON1112160204")</f>
        <v>#NAME?</v>
      </c>
      <c r="R2326" s="28" t="e">
        <f ca="1">[1]!BexGetData("DP_1","00O2TNJGODT0G5Z4TTKYMMBYD","GSON1112160204")</f>
        <v>#NAME?</v>
      </c>
      <c r="S2326" s="28" t="e">
        <f ca="1">[1]!BexGetData("DP_1","00O2TNJGODT0G5Z4TTKYMMI9X","GSON1112160204")</f>
        <v>#NAME?</v>
      </c>
      <c r="T2326" s="28" t="e">
        <f ca="1">[1]!BexGetData("DP_1","00O2TNJGODT0G5Z4TTKYMMOLH","GSON1112160204")</f>
        <v>#NAME?</v>
      </c>
      <c r="U2326" s="28" t="e">
        <f ca="1">[1]!BexGetData("DP_1","00O2TNJGODT0G5Z4TTKYMMUX1","GSON1112160204")</f>
        <v>#NAME?</v>
      </c>
      <c r="V2326" s="28" t="e">
        <f ca="1">[1]!BexGetData("DP_1","00O2TNJGODT0G5Z4TTKYMN18L","GSON1112160204")</f>
        <v>#NAME?</v>
      </c>
      <c r="W2326" s="28" t="e">
        <f ca="1">[1]!BexGetData("DP_1","00O2TNJGODT0G5Z4TTKYMN7K5","GSON1112160204")</f>
        <v>#NAME?</v>
      </c>
    </row>
    <row r="2327" spans="1:23" x14ac:dyDescent="0.2">
      <c r="A2327" s="36" t="s">
        <v>5611</v>
      </c>
      <c r="B2327" s="27" t="s">
        <v>5612</v>
      </c>
      <c r="C2327" s="23" t="e">
        <f ca="1">[1]!BexGetData("DP_1","003N8EMH8GTFRCSWKMPXRR8GU","GSON1112160205")</f>
        <v>#NAME?</v>
      </c>
      <c r="D2327" s="23" t="e">
        <f ca="1">[1]!BexGetData("DP_1","003N8EMH8GTFRCSWKMPXRRESE","GSON1112160205")</f>
        <v>#NAME?</v>
      </c>
      <c r="E2327" s="28" t="e">
        <f ca="1">[1]!BexGetData("DP_1","003N8EMH8GTFRCSWKMPXRRL3Y","GSON1112160205")</f>
        <v>#NAME?</v>
      </c>
      <c r="F2327" s="28" t="e">
        <f ca="1">[1]!BexGetData("DP_1","003N8EMH8GTFRCSWKMPXRRRFI","GSON1112160205")</f>
        <v>#NAME?</v>
      </c>
      <c r="G2327" s="23" t="e">
        <f ca="1">[1]!BexGetData("DP_1","003N8EMH8GTFRCSWKMPXRRXR2","GSON1112160205")</f>
        <v>#NAME?</v>
      </c>
      <c r="H2327" s="23" t="e">
        <f ca="1">[1]!BexGetData("DP_1","003N8EMH8GTFRCSWKMPXRS42M","GSON1112160205")</f>
        <v>#NAME?</v>
      </c>
      <c r="I2327" s="28" t="e">
        <f ca="1">[1]!BexGetData("DP_1","003N8EMH8GTFRCSWKMPXRSAE6","GSON1112160205")</f>
        <v>#NAME?</v>
      </c>
      <c r="J2327" s="24" t="e">
        <f ca="1">[1]!BexGetData("DP_1","003N8EMH8GTFRCSWKMPXRSGPQ","GSON1112160205")</f>
        <v>#NAME?</v>
      </c>
      <c r="K2327" s="28" t="e">
        <f ca="1">[1]!BexGetData("DP_1","003N8EMH8GTFRIVNUPY288VJH","GSON1112160205")</f>
        <v>#NAME?</v>
      </c>
      <c r="L2327" s="28" t="e">
        <f ca="1">[1]!BexGetData("DP_1","003N8EMH8GTFRIVNUPY2891V1","GSON1112160205")</f>
        <v>#NAME?</v>
      </c>
      <c r="M2327" s="28" t="e">
        <f ca="1">[1]!BexGetData("DP_1","003N8EMH8GTFRIVOG7KG9IQXA","GSON1112160205")</f>
        <v>#NAME?</v>
      </c>
      <c r="N2327" s="28" t="e">
        <f ca="1">[1]!BexGetData("DP_1","003N8EMH8GTFRIVOG7KG9IX8U","GSON1112160205")</f>
        <v>#NAME?</v>
      </c>
      <c r="O2327" s="28" t="e">
        <f ca="1">[1]!BexGetData("DP_1","003N8EMH8GTFRIVOG7KG9J3KE","GSON1112160205")</f>
        <v>#NAME?</v>
      </c>
      <c r="P2327" s="28" t="e">
        <f ca="1">[1]!BexGetData("DP_1","003N8EMH8GTFRIVOG7KG9J9VY","GSON1112160205")</f>
        <v>#NAME?</v>
      </c>
      <c r="Q2327" s="24" t="e">
        <f ca="1">[1]!BexGetData("DP_1","00O2TNJGODT0G5Z4TTKYMM5MT","GSON1112160205")</f>
        <v>#NAME?</v>
      </c>
      <c r="R2327" s="28" t="e">
        <f ca="1">[1]!BexGetData("DP_1","00O2TNJGODT0G5Z4TTKYMMBYD","GSON1112160205")</f>
        <v>#NAME?</v>
      </c>
      <c r="S2327" s="28" t="e">
        <f ca="1">[1]!BexGetData("DP_1","00O2TNJGODT0G5Z4TTKYMMI9X","GSON1112160205")</f>
        <v>#NAME?</v>
      </c>
      <c r="T2327" s="28" t="e">
        <f ca="1">[1]!BexGetData("DP_1","00O2TNJGODT0G5Z4TTKYMMOLH","GSON1112160205")</f>
        <v>#NAME?</v>
      </c>
      <c r="U2327" s="28" t="e">
        <f ca="1">[1]!BexGetData("DP_1","00O2TNJGODT0G5Z4TTKYMMUX1","GSON1112160205")</f>
        <v>#NAME?</v>
      </c>
      <c r="V2327" s="28" t="e">
        <f ca="1">[1]!BexGetData("DP_1","00O2TNJGODT0G5Z4TTKYMN18L","GSON1112160205")</f>
        <v>#NAME?</v>
      </c>
      <c r="W2327" s="28" t="e">
        <f ca="1">[1]!BexGetData("DP_1","00O2TNJGODT0G5Z4TTKYMN7K5","GSON1112160205")</f>
        <v>#NAME?</v>
      </c>
    </row>
    <row r="2328" spans="1:23" x14ac:dyDescent="0.2">
      <c r="A2328" s="36" t="s">
        <v>5613</v>
      </c>
      <c r="B2328" s="27" t="s">
        <v>5614</v>
      </c>
      <c r="C2328" s="23" t="e">
        <f ca="1">[1]!BexGetData("DP_1","003N8EMH8GTFRCSWKMPXRR8GU","GSON1112160210")</f>
        <v>#NAME?</v>
      </c>
      <c r="D2328" s="23" t="e">
        <f ca="1">[1]!BexGetData("DP_1","003N8EMH8GTFRCSWKMPXRRESE","GSON1112160210")</f>
        <v>#NAME?</v>
      </c>
      <c r="E2328" s="23" t="e">
        <f ca="1">[1]!BexGetData("DP_1","003N8EMH8GTFRCSWKMPXRRL3Y","GSON1112160210")</f>
        <v>#NAME?</v>
      </c>
      <c r="F2328" s="23" t="e">
        <f ca="1">[1]!BexGetData("DP_1","003N8EMH8GTFRCSWKMPXRRRFI","GSON1112160210")</f>
        <v>#NAME?</v>
      </c>
      <c r="G2328" s="23" t="e">
        <f ca="1">[1]!BexGetData("DP_1","003N8EMH8GTFRCSWKMPXRRXR2","GSON1112160210")</f>
        <v>#NAME?</v>
      </c>
      <c r="H2328" s="23" t="e">
        <f ca="1">[1]!BexGetData("DP_1","003N8EMH8GTFRCSWKMPXRS42M","GSON1112160210")</f>
        <v>#NAME?</v>
      </c>
      <c r="I2328" s="23" t="e">
        <f ca="1">[1]!BexGetData("DP_1","003N8EMH8GTFRCSWKMPXRSAE6","GSON1112160210")</f>
        <v>#NAME?</v>
      </c>
      <c r="J2328" s="23" t="e">
        <f ca="1">[1]!BexGetData("DP_1","003N8EMH8GTFRCSWKMPXRSGPQ","GSON1112160210")</f>
        <v>#NAME?</v>
      </c>
      <c r="K2328" s="23" t="e">
        <f ca="1">[1]!BexGetData("DP_1","003N8EMH8GTFRIVNUPY288VJH","GSON1112160210")</f>
        <v>#NAME?</v>
      </c>
      <c r="L2328" s="23" t="e">
        <f ca="1">[1]!BexGetData("DP_1","003N8EMH8GTFRIVNUPY2891V1","GSON1112160210")</f>
        <v>#NAME?</v>
      </c>
      <c r="M2328" s="28" t="e">
        <f ca="1">[1]!BexGetData("DP_1","003N8EMH8GTFRIVOG7KG9IQXA","GSON1112160210")</f>
        <v>#NAME?</v>
      </c>
      <c r="N2328" s="23" t="e">
        <f ca="1">[1]!BexGetData("DP_1","003N8EMH8GTFRIVOG7KG9IX8U","GSON1112160210")</f>
        <v>#NAME?</v>
      </c>
      <c r="O2328" s="28" t="e">
        <f ca="1">[1]!BexGetData("DP_1","003N8EMH8GTFRIVOG7KG9J3KE","GSON1112160210")</f>
        <v>#NAME?</v>
      </c>
      <c r="P2328" s="23" t="e">
        <f ca="1">[1]!BexGetData("DP_1","003N8EMH8GTFRIVOG7KG9J9VY","GSON1112160210")</f>
        <v>#NAME?</v>
      </c>
      <c r="Q2328" s="23" t="e">
        <f ca="1">[1]!BexGetData("DP_1","00O2TNJGODT0G5Z4TTKYMM5MT","GSON1112160210")</f>
        <v>#NAME?</v>
      </c>
      <c r="R2328" s="23" t="e">
        <f ca="1">[1]!BexGetData("DP_1","00O2TNJGODT0G5Z4TTKYMMBYD","GSON1112160210")</f>
        <v>#NAME?</v>
      </c>
      <c r="S2328" s="23" t="e">
        <f ca="1">[1]!BexGetData("DP_1","00O2TNJGODT0G5Z4TTKYMMI9X","GSON1112160210")</f>
        <v>#NAME?</v>
      </c>
      <c r="T2328" s="23" t="e">
        <f ca="1">[1]!BexGetData("DP_1","00O2TNJGODT0G5Z4TTKYMMOLH","GSON1112160210")</f>
        <v>#NAME?</v>
      </c>
      <c r="U2328" s="28" t="e">
        <f ca="1">[1]!BexGetData("DP_1","00O2TNJGODT0G5Z4TTKYMMUX1","GSON1112160210")</f>
        <v>#NAME?</v>
      </c>
      <c r="V2328" s="23" t="e">
        <f ca="1">[1]!BexGetData("DP_1","00O2TNJGODT0G5Z4TTKYMN18L","GSON1112160210")</f>
        <v>#NAME?</v>
      </c>
      <c r="W2328" s="28" t="e">
        <f ca="1">[1]!BexGetData("DP_1","00O2TNJGODT0G5Z4TTKYMN7K5","GSON1112160210")</f>
        <v>#NAME?</v>
      </c>
    </row>
    <row r="2329" spans="1:23" x14ac:dyDescent="0.2">
      <c r="A2329" s="36" t="s">
        <v>5615</v>
      </c>
      <c r="B2329" s="27" t="s">
        <v>5616</v>
      </c>
      <c r="C2329" s="24" t="e">
        <f ca="1">[1]!BexGetData("DP_1","003N8EMH8GTFRCSWKMPXRR8GU","GSON1112160211")</f>
        <v>#NAME?</v>
      </c>
      <c r="D2329" s="24" t="e">
        <f ca="1">[1]!BexGetData("DP_1","003N8EMH8GTFRCSWKMPXRRESE","GSON1112160211")</f>
        <v>#NAME?</v>
      </c>
      <c r="E2329" s="24" t="e">
        <f ca="1">[1]!BexGetData("DP_1","003N8EMH8GTFRCSWKMPXRRL3Y","GSON1112160211")</f>
        <v>#NAME?</v>
      </c>
      <c r="F2329" s="28" t="e">
        <f ca="1">[1]!BexGetData("DP_1","003N8EMH8GTFRCSWKMPXRRRFI","GSON1112160211")</f>
        <v>#NAME?</v>
      </c>
      <c r="G2329" s="23" t="e">
        <f ca="1">[1]!BexGetData("DP_1","003N8EMH8GTFRCSWKMPXRRXR2","GSON1112160211")</f>
        <v>#NAME?</v>
      </c>
      <c r="H2329" s="23" t="e">
        <f ca="1">[1]!BexGetData("DP_1","003N8EMH8GTFRCSWKMPXRS42M","GSON1112160211")</f>
        <v>#NAME?</v>
      </c>
      <c r="I2329" s="28" t="e">
        <f ca="1">[1]!BexGetData("DP_1","003N8EMH8GTFRCSWKMPXRSAE6","GSON1112160211")</f>
        <v>#NAME?</v>
      </c>
      <c r="J2329" s="24" t="e">
        <f ca="1">[1]!BexGetData("DP_1","003N8EMH8GTFRCSWKMPXRSGPQ","GSON1112160211")</f>
        <v>#NAME?</v>
      </c>
      <c r="K2329" s="28" t="e">
        <f ca="1">[1]!BexGetData("DP_1","003N8EMH8GTFRIVNUPY288VJH","GSON1112160211")</f>
        <v>#NAME?</v>
      </c>
      <c r="L2329" s="28" t="e">
        <f ca="1">[1]!BexGetData("DP_1","003N8EMH8GTFRIVNUPY2891V1","GSON1112160211")</f>
        <v>#NAME?</v>
      </c>
      <c r="M2329" s="28" t="e">
        <f ca="1">[1]!BexGetData("DP_1","003N8EMH8GTFRIVOG7KG9IQXA","GSON1112160211")</f>
        <v>#NAME?</v>
      </c>
      <c r="N2329" s="28" t="e">
        <f ca="1">[1]!BexGetData("DP_1","003N8EMH8GTFRIVOG7KG9IX8U","GSON1112160211")</f>
        <v>#NAME?</v>
      </c>
      <c r="O2329" s="28" t="e">
        <f ca="1">[1]!BexGetData("DP_1","003N8EMH8GTFRIVOG7KG9J3KE","GSON1112160211")</f>
        <v>#NAME?</v>
      </c>
      <c r="P2329" s="28" t="e">
        <f ca="1">[1]!BexGetData("DP_1","003N8EMH8GTFRIVOG7KG9J9VY","GSON1112160211")</f>
        <v>#NAME?</v>
      </c>
      <c r="Q2329" s="24" t="e">
        <f ca="1">[1]!BexGetData("DP_1","00O2TNJGODT0G5Z4TTKYMM5MT","GSON1112160211")</f>
        <v>#NAME?</v>
      </c>
      <c r="R2329" s="28" t="e">
        <f ca="1">[1]!BexGetData("DP_1","00O2TNJGODT0G5Z4TTKYMMBYD","GSON1112160211")</f>
        <v>#NAME?</v>
      </c>
      <c r="S2329" s="28" t="e">
        <f ca="1">[1]!BexGetData("DP_1","00O2TNJGODT0G5Z4TTKYMMI9X","GSON1112160211")</f>
        <v>#NAME?</v>
      </c>
      <c r="T2329" s="28" t="e">
        <f ca="1">[1]!BexGetData("DP_1","00O2TNJGODT0G5Z4TTKYMMOLH","GSON1112160211")</f>
        <v>#NAME?</v>
      </c>
      <c r="U2329" s="28" t="e">
        <f ca="1">[1]!BexGetData("DP_1","00O2TNJGODT0G5Z4TTKYMMUX1","GSON1112160211")</f>
        <v>#NAME?</v>
      </c>
      <c r="V2329" s="28" t="e">
        <f ca="1">[1]!BexGetData("DP_1","00O2TNJGODT0G5Z4TTKYMN18L","GSON1112160211")</f>
        <v>#NAME?</v>
      </c>
      <c r="W2329" s="28" t="e">
        <f ca="1">[1]!BexGetData("DP_1","00O2TNJGODT0G5Z4TTKYMN7K5","GSON1112160211")</f>
        <v>#NAME?</v>
      </c>
    </row>
    <row r="2330" spans="1:23" x14ac:dyDescent="0.2">
      <c r="A2330" s="36" t="s">
        <v>5617</v>
      </c>
      <c r="B2330" s="27" t="s">
        <v>5618</v>
      </c>
      <c r="C2330" s="28" t="e">
        <f ca="1">[1]!BexGetData("DP_1","003N8EMH8GTFRCSWKMPXRR8GU","GSON1112160212")</f>
        <v>#NAME?</v>
      </c>
      <c r="D2330" s="28" t="e">
        <f ca="1">[1]!BexGetData("DP_1","003N8EMH8GTFRCSWKMPXRRESE","GSON1112160212")</f>
        <v>#NAME?</v>
      </c>
      <c r="E2330" s="28" t="e">
        <f ca="1">[1]!BexGetData("DP_1","003N8EMH8GTFRCSWKMPXRRL3Y","GSON1112160212")</f>
        <v>#NAME?</v>
      </c>
      <c r="F2330" s="28" t="e">
        <f ca="1">[1]!BexGetData("DP_1","003N8EMH8GTFRCSWKMPXRRRFI","GSON1112160212")</f>
        <v>#NAME?</v>
      </c>
      <c r="G2330" s="23" t="e">
        <f ca="1">[1]!BexGetData("DP_1","003N8EMH8GTFRCSWKMPXRRXR2","GSON1112160212")</f>
        <v>#NAME?</v>
      </c>
      <c r="H2330" s="23" t="e">
        <f ca="1">[1]!BexGetData("DP_1","003N8EMH8GTFRCSWKMPXRS42M","GSON1112160212")</f>
        <v>#NAME?</v>
      </c>
      <c r="I2330" s="28" t="e">
        <f ca="1">[1]!BexGetData("DP_1","003N8EMH8GTFRCSWKMPXRSAE6","GSON1112160212")</f>
        <v>#NAME?</v>
      </c>
      <c r="J2330" s="23" t="e">
        <f ca="1">[1]!BexGetData("DP_1","003N8EMH8GTFRCSWKMPXRSGPQ","GSON1112160212")</f>
        <v>#NAME?</v>
      </c>
      <c r="K2330" s="28" t="e">
        <f ca="1">[1]!BexGetData("DP_1","003N8EMH8GTFRIVNUPY288VJH","GSON1112160212")</f>
        <v>#NAME?</v>
      </c>
      <c r="L2330" s="28" t="e">
        <f ca="1">[1]!BexGetData("DP_1","003N8EMH8GTFRIVNUPY2891V1","GSON1112160212")</f>
        <v>#NAME?</v>
      </c>
      <c r="M2330" s="28" t="e">
        <f ca="1">[1]!BexGetData("DP_1","003N8EMH8GTFRIVOG7KG9IQXA","GSON1112160212")</f>
        <v>#NAME?</v>
      </c>
      <c r="N2330" s="28" t="e">
        <f ca="1">[1]!BexGetData("DP_1","003N8EMH8GTFRIVOG7KG9IX8U","GSON1112160212")</f>
        <v>#NAME?</v>
      </c>
      <c r="O2330" s="28" t="e">
        <f ca="1">[1]!BexGetData("DP_1","003N8EMH8GTFRIVOG7KG9J3KE","GSON1112160212")</f>
        <v>#NAME?</v>
      </c>
      <c r="P2330" s="28" t="e">
        <f ca="1">[1]!BexGetData("DP_1","003N8EMH8GTFRIVOG7KG9J9VY","GSON1112160212")</f>
        <v>#NAME?</v>
      </c>
      <c r="Q2330" s="23" t="e">
        <f ca="1">[1]!BexGetData("DP_1","00O2TNJGODT0G5Z4TTKYMM5MT","GSON1112160212")</f>
        <v>#NAME?</v>
      </c>
      <c r="R2330" s="23" t="e">
        <f ca="1">[1]!BexGetData("DP_1","00O2TNJGODT0G5Z4TTKYMMBYD","GSON1112160212")</f>
        <v>#NAME?</v>
      </c>
      <c r="S2330" s="23" t="e">
        <f ca="1">[1]!BexGetData("DP_1","00O2TNJGODT0G5Z4TTKYMMI9X","GSON1112160212")</f>
        <v>#NAME?</v>
      </c>
      <c r="T2330" s="28" t="e">
        <f ca="1">[1]!BexGetData("DP_1","00O2TNJGODT0G5Z4TTKYMMOLH","GSON1112160212")</f>
        <v>#NAME?</v>
      </c>
      <c r="U2330" s="23" t="e">
        <f ca="1">[1]!BexGetData("DP_1","00O2TNJGODT0G5Z4TTKYMMUX1","GSON1112160212")</f>
        <v>#NAME?</v>
      </c>
      <c r="V2330" s="28" t="e">
        <f ca="1">[1]!BexGetData("DP_1","00O2TNJGODT0G5Z4TTKYMN18L","GSON1112160212")</f>
        <v>#NAME?</v>
      </c>
      <c r="W2330" s="23" t="e">
        <f ca="1">[1]!BexGetData("DP_1","00O2TNJGODT0G5Z4TTKYMN7K5","GSON1112160212")</f>
        <v>#NAME?</v>
      </c>
    </row>
    <row r="2331" spans="1:23" x14ac:dyDescent="0.2">
      <c r="A2331" s="36" t="s">
        <v>5619</v>
      </c>
      <c r="B2331" s="27" t="s">
        <v>5620</v>
      </c>
      <c r="C2331" s="23" t="e">
        <f ca="1">[1]!BexGetData("DP_1","003N8EMH8GTFRCSWKMPXRR8GU","GSON1112160213")</f>
        <v>#NAME?</v>
      </c>
      <c r="D2331" s="23" t="e">
        <f ca="1">[1]!BexGetData("DP_1","003N8EMH8GTFRCSWKMPXRRESE","GSON1112160213")</f>
        <v>#NAME?</v>
      </c>
      <c r="E2331" s="28" t="e">
        <f ca="1">[1]!BexGetData("DP_1","003N8EMH8GTFRCSWKMPXRRL3Y","GSON1112160213")</f>
        <v>#NAME?</v>
      </c>
      <c r="F2331" s="28" t="e">
        <f ca="1">[1]!BexGetData("DP_1","003N8EMH8GTFRCSWKMPXRRRFI","GSON1112160213")</f>
        <v>#NAME?</v>
      </c>
      <c r="G2331" s="23" t="e">
        <f ca="1">[1]!BexGetData("DP_1","003N8EMH8GTFRCSWKMPXRRXR2","GSON1112160213")</f>
        <v>#NAME?</v>
      </c>
      <c r="H2331" s="23" t="e">
        <f ca="1">[1]!BexGetData("DP_1","003N8EMH8GTFRCSWKMPXRS42M","GSON1112160213")</f>
        <v>#NAME?</v>
      </c>
      <c r="I2331" s="28" t="e">
        <f ca="1">[1]!BexGetData("DP_1","003N8EMH8GTFRCSWKMPXRSAE6","GSON1112160213")</f>
        <v>#NAME?</v>
      </c>
      <c r="J2331" s="24" t="e">
        <f ca="1">[1]!BexGetData("DP_1","003N8EMH8GTFRCSWKMPXRSGPQ","GSON1112160213")</f>
        <v>#NAME?</v>
      </c>
      <c r="K2331" s="28" t="e">
        <f ca="1">[1]!BexGetData("DP_1","003N8EMH8GTFRIVNUPY288VJH","GSON1112160213")</f>
        <v>#NAME?</v>
      </c>
      <c r="L2331" s="28" t="e">
        <f ca="1">[1]!BexGetData("DP_1","003N8EMH8GTFRIVNUPY2891V1","GSON1112160213")</f>
        <v>#NAME?</v>
      </c>
      <c r="M2331" s="28" t="e">
        <f ca="1">[1]!BexGetData("DP_1","003N8EMH8GTFRIVOG7KG9IQXA","GSON1112160213")</f>
        <v>#NAME?</v>
      </c>
      <c r="N2331" s="28" t="e">
        <f ca="1">[1]!BexGetData("DP_1","003N8EMH8GTFRIVOG7KG9IX8U","GSON1112160213")</f>
        <v>#NAME?</v>
      </c>
      <c r="O2331" s="28" t="e">
        <f ca="1">[1]!BexGetData("DP_1","003N8EMH8GTFRIVOG7KG9J3KE","GSON1112160213")</f>
        <v>#NAME?</v>
      </c>
      <c r="P2331" s="28" t="e">
        <f ca="1">[1]!BexGetData("DP_1","003N8EMH8GTFRIVOG7KG9J9VY","GSON1112160213")</f>
        <v>#NAME?</v>
      </c>
      <c r="Q2331" s="24" t="e">
        <f ca="1">[1]!BexGetData("DP_1","00O2TNJGODT0G5Z4TTKYMM5MT","GSON1112160213")</f>
        <v>#NAME?</v>
      </c>
      <c r="R2331" s="28" t="e">
        <f ca="1">[1]!BexGetData("DP_1","00O2TNJGODT0G5Z4TTKYMMBYD","GSON1112160213")</f>
        <v>#NAME?</v>
      </c>
      <c r="S2331" s="28" t="e">
        <f ca="1">[1]!BexGetData("DP_1","00O2TNJGODT0G5Z4TTKYMMI9X","GSON1112160213")</f>
        <v>#NAME?</v>
      </c>
      <c r="T2331" s="28" t="e">
        <f ca="1">[1]!BexGetData("DP_1","00O2TNJGODT0G5Z4TTKYMMOLH","GSON1112160213")</f>
        <v>#NAME?</v>
      </c>
      <c r="U2331" s="28" t="e">
        <f ca="1">[1]!BexGetData("DP_1","00O2TNJGODT0G5Z4TTKYMMUX1","GSON1112160213")</f>
        <v>#NAME?</v>
      </c>
      <c r="V2331" s="28" t="e">
        <f ca="1">[1]!BexGetData("DP_1","00O2TNJGODT0G5Z4TTKYMN18L","GSON1112160213")</f>
        <v>#NAME?</v>
      </c>
      <c r="W2331" s="28" t="e">
        <f ca="1">[1]!BexGetData("DP_1","00O2TNJGODT0G5Z4TTKYMN7K5","GSON1112160213")</f>
        <v>#NAME?</v>
      </c>
    </row>
    <row r="2332" spans="1:23" x14ac:dyDescent="0.2">
      <c r="A2332" s="36" t="s">
        <v>5621</v>
      </c>
      <c r="B2332" s="27" t="s">
        <v>5622</v>
      </c>
      <c r="C2332" s="23" t="e">
        <f ca="1">[1]!BexGetData("DP_1","003N8EMH8GTFRCSWKMPXRR8GU","GSON1112160214")</f>
        <v>#NAME?</v>
      </c>
      <c r="D2332" s="23" t="e">
        <f ca="1">[1]!BexGetData("DP_1","003N8EMH8GTFRCSWKMPXRRESE","GSON1112160214")</f>
        <v>#NAME?</v>
      </c>
      <c r="E2332" s="28" t="e">
        <f ca="1">[1]!BexGetData("DP_1","003N8EMH8GTFRCSWKMPXRRL3Y","GSON1112160214")</f>
        <v>#NAME?</v>
      </c>
      <c r="F2332" s="28" t="e">
        <f ca="1">[1]!BexGetData("DP_1","003N8EMH8GTFRCSWKMPXRRRFI","GSON1112160214")</f>
        <v>#NAME?</v>
      </c>
      <c r="G2332" s="23" t="e">
        <f ca="1">[1]!BexGetData("DP_1","003N8EMH8GTFRCSWKMPXRRXR2","GSON1112160214")</f>
        <v>#NAME?</v>
      </c>
      <c r="H2332" s="23" t="e">
        <f ca="1">[1]!BexGetData("DP_1","003N8EMH8GTFRCSWKMPXRS42M","GSON1112160214")</f>
        <v>#NAME?</v>
      </c>
      <c r="I2332" s="28" t="e">
        <f ca="1">[1]!BexGetData("DP_1","003N8EMH8GTFRCSWKMPXRSAE6","GSON1112160214")</f>
        <v>#NAME?</v>
      </c>
      <c r="J2332" s="24" t="e">
        <f ca="1">[1]!BexGetData("DP_1","003N8EMH8GTFRCSWKMPXRSGPQ","GSON1112160214")</f>
        <v>#NAME?</v>
      </c>
      <c r="K2332" s="28" t="e">
        <f ca="1">[1]!BexGetData("DP_1","003N8EMH8GTFRIVNUPY288VJH","GSON1112160214")</f>
        <v>#NAME?</v>
      </c>
      <c r="L2332" s="28" t="e">
        <f ca="1">[1]!BexGetData("DP_1","003N8EMH8GTFRIVNUPY2891V1","GSON1112160214")</f>
        <v>#NAME?</v>
      </c>
      <c r="M2332" s="28" t="e">
        <f ca="1">[1]!BexGetData("DP_1","003N8EMH8GTFRIVOG7KG9IQXA","GSON1112160214")</f>
        <v>#NAME?</v>
      </c>
      <c r="N2332" s="28" t="e">
        <f ca="1">[1]!BexGetData("DP_1","003N8EMH8GTFRIVOG7KG9IX8U","GSON1112160214")</f>
        <v>#NAME?</v>
      </c>
      <c r="O2332" s="28" t="e">
        <f ca="1">[1]!BexGetData("DP_1","003N8EMH8GTFRIVOG7KG9J3KE","GSON1112160214")</f>
        <v>#NAME?</v>
      </c>
      <c r="P2332" s="28" t="e">
        <f ca="1">[1]!BexGetData("DP_1","003N8EMH8GTFRIVOG7KG9J9VY","GSON1112160214")</f>
        <v>#NAME?</v>
      </c>
      <c r="Q2332" s="24" t="e">
        <f ca="1">[1]!BexGetData("DP_1","00O2TNJGODT0G5Z4TTKYMM5MT","GSON1112160214")</f>
        <v>#NAME?</v>
      </c>
      <c r="R2332" s="28" t="e">
        <f ca="1">[1]!BexGetData("DP_1","00O2TNJGODT0G5Z4TTKYMMBYD","GSON1112160214")</f>
        <v>#NAME?</v>
      </c>
      <c r="S2332" s="28" t="e">
        <f ca="1">[1]!BexGetData("DP_1","00O2TNJGODT0G5Z4TTKYMMI9X","GSON1112160214")</f>
        <v>#NAME?</v>
      </c>
      <c r="T2332" s="28" t="e">
        <f ca="1">[1]!BexGetData("DP_1","00O2TNJGODT0G5Z4TTKYMMOLH","GSON1112160214")</f>
        <v>#NAME?</v>
      </c>
      <c r="U2332" s="28" t="e">
        <f ca="1">[1]!BexGetData("DP_1","00O2TNJGODT0G5Z4TTKYMMUX1","GSON1112160214")</f>
        <v>#NAME?</v>
      </c>
      <c r="V2332" s="28" t="e">
        <f ca="1">[1]!BexGetData("DP_1","00O2TNJGODT0G5Z4TTKYMN18L","GSON1112160214")</f>
        <v>#NAME?</v>
      </c>
      <c r="W2332" s="28" t="e">
        <f ca="1">[1]!BexGetData("DP_1","00O2TNJGODT0G5Z4TTKYMN7K5","GSON1112160214")</f>
        <v>#NAME?</v>
      </c>
    </row>
    <row r="2333" spans="1:23" x14ac:dyDescent="0.2">
      <c r="A2333" s="36" t="s">
        <v>5623</v>
      </c>
      <c r="B2333" s="27" t="s">
        <v>5624</v>
      </c>
      <c r="C2333" s="23" t="e">
        <f ca="1">[1]!BexGetData("DP_1","003N8EMH8GTFRCSWKMPXRR8GU","GSON1112160215")</f>
        <v>#NAME?</v>
      </c>
      <c r="D2333" s="23" t="e">
        <f ca="1">[1]!BexGetData("DP_1","003N8EMH8GTFRCSWKMPXRRESE","GSON1112160215")</f>
        <v>#NAME?</v>
      </c>
      <c r="E2333" s="28" t="e">
        <f ca="1">[1]!BexGetData("DP_1","003N8EMH8GTFRCSWKMPXRRL3Y","GSON1112160215")</f>
        <v>#NAME?</v>
      </c>
      <c r="F2333" s="28" t="e">
        <f ca="1">[1]!BexGetData("DP_1","003N8EMH8GTFRCSWKMPXRRRFI","GSON1112160215")</f>
        <v>#NAME?</v>
      </c>
      <c r="G2333" s="23" t="e">
        <f ca="1">[1]!BexGetData("DP_1","003N8EMH8GTFRCSWKMPXRRXR2","GSON1112160215")</f>
        <v>#NAME?</v>
      </c>
      <c r="H2333" s="23" t="e">
        <f ca="1">[1]!BexGetData("DP_1","003N8EMH8GTFRCSWKMPXRS42M","GSON1112160215")</f>
        <v>#NAME?</v>
      </c>
      <c r="I2333" s="28" t="e">
        <f ca="1">[1]!BexGetData("DP_1","003N8EMH8GTFRCSWKMPXRSAE6","GSON1112160215")</f>
        <v>#NAME?</v>
      </c>
      <c r="J2333" s="24" t="e">
        <f ca="1">[1]!BexGetData("DP_1","003N8EMH8GTFRCSWKMPXRSGPQ","GSON1112160215")</f>
        <v>#NAME?</v>
      </c>
      <c r="K2333" s="28" t="e">
        <f ca="1">[1]!BexGetData("DP_1","003N8EMH8GTFRIVNUPY288VJH","GSON1112160215")</f>
        <v>#NAME?</v>
      </c>
      <c r="L2333" s="28" t="e">
        <f ca="1">[1]!BexGetData("DP_1","003N8EMH8GTFRIVNUPY2891V1","GSON1112160215")</f>
        <v>#NAME?</v>
      </c>
      <c r="M2333" s="28" t="e">
        <f ca="1">[1]!BexGetData("DP_1","003N8EMH8GTFRIVOG7KG9IQXA","GSON1112160215")</f>
        <v>#NAME?</v>
      </c>
      <c r="N2333" s="28" t="e">
        <f ca="1">[1]!BexGetData("DP_1","003N8EMH8GTFRIVOG7KG9IX8U","GSON1112160215")</f>
        <v>#NAME?</v>
      </c>
      <c r="O2333" s="28" t="e">
        <f ca="1">[1]!BexGetData("DP_1","003N8EMH8GTFRIVOG7KG9J3KE","GSON1112160215")</f>
        <v>#NAME?</v>
      </c>
      <c r="P2333" s="28" t="e">
        <f ca="1">[1]!BexGetData("DP_1","003N8EMH8GTFRIVOG7KG9J9VY","GSON1112160215")</f>
        <v>#NAME?</v>
      </c>
      <c r="Q2333" s="24" t="e">
        <f ca="1">[1]!BexGetData("DP_1","00O2TNJGODT0G5Z4TTKYMM5MT","GSON1112160215")</f>
        <v>#NAME?</v>
      </c>
      <c r="R2333" s="28" t="e">
        <f ca="1">[1]!BexGetData("DP_1","00O2TNJGODT0G5Z4TTKYMMBYD","GSON1112160215")</f>
        <v>#NAME?</v>
      </c>
      <c r="S2333" s="28" t="e">
        <f ca="1">[1]!BexGetData("DP_1","00O2TNJGODT0G5Z4TTKYMMI9X","GSON1112160215")</f>
        <v>#NAME?</v>
      </c>
      <c r="T2333" s="28" t="e">
        <f ca="1">[1]!BexGetData("DP_1","00O2TNJGODT0G5Z4TTKYMMOLH","GSON1112160215")</f>
        <v>#NAME?</v>
      </c>
      <c r="U2333" s="28" t="e">
        <f ca="1">[1]!BexGetData("DP_1","00O2TNJGODT0G5Z4TTKYMMUX1","GSON1112160215")</f>
        <v>#NAME?</v>
      </c>
      <c r="V2333" s="28" t="e">
        <f ca="1">[1]!BexGetData("DP_1","00O2TNJGODT0G5Z4TTKYMN18L","GSON1112160215")</f>
        <v>#NAME?</v>
      </c>
      <c r="W2333" s="28" t="e">
        <f ca="1">[1]!BexGetData("DP_1","00O2TNJGODT0G5Z4TTKYMN7K5","GSON1112160215")</f>
        <v>#NAME?</v>
      </c>
    </row>
    <row r="2334" spans="1:23" x14ac:dyDescent="0.2">
      <c r="A2334" s="36" t="s">
        <v>5625</v>
      </c>
      <c r="B2334" s="27" t="s">
        <v>5626</v>
      </c>
      <c r="C2334" s="23" t="e">
        <f ca="1">[1]!BexGetData("DP_1","003N8EMH8GTFRCSWKMPXRR8GU","GSON1112160220")</f>
        <v>#NAME?</v>
      </c>
      <c r="D2334" s="23" t="e">
        <f ca="1">[1]!BexGetData("DP_1","003N8EMH8GTFRCSWKMPXRRESE","GSON1112160220")</f>
        <v>#NAME?</v>
      </c>
      <c r="E2334" s="23" t="e">
        <f ca="1">[1]!BexGetData("DP_1","003N8EMH8GTFRCSWKMPXRRL3Y","GSON1112160220")</f>
        <v>#NAME?</v>
      </c>
      <c r="F2334" s="23" t="e">
        <f ca="1">[1]!BexGetData("DP_1","003N8EMH8GTFRCSWKMPXRRRFI","GSON1112160220")</f>
        <v>#NAME?</v>
      </c>
      <c r="G2334" s="23" t="e">
        <f ca="1">[1]!BexGetData("DP_1","003N8EMH8GTFRCSWKMPXRRXR2","GSON1112160220")</f>
        <v>#NAME?</v>
      </c>
      <c r="H2334" s="23" t="e">
        <f ca="1">[1]!BexGetData("DP_1","003N8EMH8GTFRCSWKMPXRS42M","GSON1112160220")</f>
        <v>#NAME?</v>
      </c>
      <c r="I2334" s="23" t="e">
        <f ca="1">[1]!BexGetData("DP_1","003N8EMH8GTFRCSWKMPXRSAE6","GSON1112160220")</f>
        <v>#NAME?</v>
      </c>
      <c r="J2334" s="23" t="e">
        <f ca="1">[1]!BexGetData("DP_1","003N8EMH8GTFRCSWKMPXRSGPQ","GSON1112160220")</f>
        <v>#NAME?</v>
      </c>
      <c r="K2334" s="23" t="e">
        <f ca="1">[1]!BexGetData("DP_1","003N8EMH8GTFRIVNUPY288VJH","GSON1112160220")</f>
        <v>#NAME?</v>
      </c>
      <c r="L2334" s="23" t="e">
        <f ca="1">[1]!BexGetData("DP_1","003N8EMH8GTFRIVNUPY2891V1","GSON1112160220")</f>
        <v>#NAME?</v>
      </c>
      <c r="M2334" s="23" t="e">
        <f ca="1">[1]!BexGetData("DP_1","003N8EMH8GTFRIVOG7KG9IQXA","GSON1112160220")</f>
        <v>#NAME?</v>
      </c>
      <c r="N2334" s="28" t="e">
        <f ca="1">[1]!BexGetData("DP_1","003N8EMH8GTFRIVOG7KG9IX8U","GSON1112160220")</f>
        <v>#NAME?</v>
      </c>
      <c r="O2334" s="23" t="e">
        <f ca="1">[1]!BexGetData("DP_1","003N8EMH8GTFRIVOG7KG9J3KE","GSON1112160220")</f>
        <v>#NAME?</v>
      </c>
      <c r="P2334" s="28" t="e">
        <f ca="1">[1]!BexGetData("DP_1","003N8EMH8GTFRIVOG7KG9J9VY","GSON1112160220")</f>
        <v>#NAME?</v>
      </c>
      <c r="Q2334" s="23" t="e">
        <f ca="1">[1]!BexGetData("DP_1","00O2TNJGODT0G5Z4TTKYMM5MT","GSON1112160220")</f>
        <v>#NAME?</v>
      </c>
      <c r="R2334" s="23" t="e">
        <f ca="1">[1]!BexGetData("DP_1","00O2TNJGODT0G5Z4TTKYMMBYD","GSON1112160220")</f>
        <v>#NAME?</v>
      </c>
      <c r="S2334" s="23" t="e">
        <f ca="1">[1]!BexGetData("DP_1","00O2TNJGODT0G5Z4TTKYMMI9X","GSON1112160220")</f>
        <v>#NAME?</v>
      </c>
      <c r="T2334" s="28" t="e">
        <f ca="1">[1]!BexGetData("DP_1","00O2TNJGODT0G5Z4TTKYMMOLH","GSON1112160220")</f>
        <v>#NAME?</v>
      </c>
      <c r="U2334" s="23" t="e">
        <f ca="1">[1]!BexGetData("DP_1","00O2TNJGODT0G5Z4TTKYMMUX1","GSON1112160220")</f>
        <v>#NAME?</v>
      </c>
      <c r="V2334" s="28" t="e">
        <f ca="1">[1]!BexGetData("DP_1","00O2TNJGODT0G5Z4TTKYMN18L","GSON1112160220")</f>
        <v>#NAME?</v>
      </c>
      <c r="W2334" s="23" t="e">
        <f ca="1">[1]!BexGetData("DP_1","00O2TNJGODT0G5Z4TTKYMN7K5","GSON1112160220")</f>
        <v>#NAME?</v>
      </c>
    </row>
    <row r="2335" spans="1:23" x14ac:dyDescent="0.2">
      <c r="A2335" s="36" t="s">
        <v>5627</v>
      </c>
      <c r="B2335" s="27" t="s">
        <v>5628</v>
      </c>
      <c r="C2335" s="28" t="e">
        <f ca="1">[1]!BexGetData("DP_1","003N8EMH8GTFRCSWKMPXRR8GU","GSON1112160221")</f>
        <v>#NAME?</v>
      </c>
      <c r="D2335" s="28" t="e">
        <f ca="1">[1]!BexGetData("DP_1","003N8EMH8GTFRCSWKMPXRRESE","GSON1112160221")</f>
        <v>#NAME?</v>
      </c>
      <c r="E2335" s="28" t="e">
        <f ca="1">[1]!BexGetData("DP_1","003N8EMH8GTFRCSWKMPXRRL3Y","GSON1112160221")</f>
        <v>#NAME?</v>
      </c>
      <c r="F2335" s="28" t="e">
        <f ca="1">[1]!BexGetData("DP_1","003N8EMH8GTFRCSWKMPXRRRFI","GSON1112160221")</f>
        <v>#NAME?</v>
      </c>
      <c r="G2335" s="23" t="e">
        <f ca="1">[1]!BexGetData("DP_1","003N8EMH8GTFRCSWKMPXRRXR2","GSON1112160221")</f>
        <v>#NAME?</v>
      </c>
      <c r="H2335" s="23" t="e">
        <f ca="1">[1]!BexGetData("DP_1","003N8EMH8GTFRCSWKMPXRS42M","GSON1112160221")</f>
        <v>#NAME?</v>
      </c>
      <c r="I2335" s="28" t="e">
        <f ca="1">[1]!BexGetData("DP_1","003N8EMH8GTFRCSWKMPXRSAE6","GSON1112160221")</f>
        <v>#NAME?</v>
      </c>
      <c r="J2335" s="24" t="e">
        <f ca="1">[1]!BexGetData("DP_1","003N8EMH8GTFRCSWKMPXRSGPQ","GSON1112160221")</f>
        <v>#NAME?</v>
      </c>
      <c r="K2335" s="28" t="e">
        <f ca="1">[1]!BexGetData("DP_1","003N8EMH8GTFRIVNUPY288VJH","GSON1112160221")</f>
        <v>#NAME?</v>
      </c>
      <c r="L2335" s="28" t="e">
        <f ca="1">[1]!BexGetData("DP_1","003N8EMH8GTFRIVNUPY2891V1","GSON1112160221")</f>
        <v>#NAME?</v>
      </c>
      <c r="M2335" s="28" t="e">
        <f ca="1">[1]!BexGetData("DP_1","003N8EMH8GTFRIVOG7KG9IQXA","GSON1112160221")</f>
        <v>#NAME?</v>
      </c>
      <c r="N2335" s="28" t="e">
        <f ca="1">[1]!BexGetData("DP_1","003N8EMH8GTFRIVOG7KG9IX8U","GSON1112160221")</f>
        <v>#NAME?</v>
      </c>
      <c r="O2335" s="28" t="e">
        <f ca="1">[1]!BexGetData("DP_1","003N8EMH8GTFRIVOG7KG9J3KE","GSON1112160221")</f>
        <v>#NAME?</v>
      </c>
      <c r="P2335" s="28" t="e">
        <f ca="1">[1]!BexGetData("DP_1","003N8EMH8GTFRIVOG7KG9J9VY","GSON1112160221")</f>
        <v>#NAME?</v>
      </c>
      <c r="Q2335" s="24" t="e">
        <f ca="1">[1]!BexGetData("DP_1","00O2TNJGODT0G5Z4TTKYMM5MT","GSON1112160221")</f>
        <v>#NAME?</v>
      </c>
      <c r="R2335" s="28" t="e">
        <f ca="1">[1]!BexGetData("DP_1","00O2TNJGODT0G5Z4TTKYMMBYD","GSON1112160221")</f>
        <v>#NAME?</v>
      </c>
      <c r="S2335" s="28" t="e">
        <f ca="1">[1]!BexGetData("DP_1","00O2TNJGODT0G5Z4TTKYMMI9X","GSON1112160221")</f>
        <v>#NAME?</v>
      </c>
      <c r="T2335" s="28" t="e">
        <f ca="1">[1]!BexGetData("DP_1","00O2TNJGODT0G5Z4TTKYMMOLH","GSON1112160221")</f>
        <v>#NAME?</v>
      </c>
      <c r="U2335" s="28" t="e">
        <f ca="1">[1]!BexGetData("DP_1","00O2TNJGODT0G5Z4TTKYMMUX1","GSON1112160221")</f>
        <v>#NAME?</v>
      </c>
      <c r="V2335" s="28" t="e">
        <f ca="1">[1]!BexGetData("DP_1","00O2TNJGODT0G5Z4TTKYMN18L","GSON1112160221")</f>
        <v>#NAME?</v>
      </c>
      <c r="W2335" s="28" t="e">
        <f ca="1">[1]!BexGetData("DP_1","00O2TNJGODT0G5Z4TTKYMN7K5","GSON1112160221")</f>
        <v>#NAME?</v>
      </c>
    </row>
    <row r="2336" spans="1:23" x14ac:dyDescent="0.2">
      <c r="A2336" s="36" t="s">
        <v>5629</v>
      </c>
      <c r="B2336" s="27" t="s">
        <v>5630</v>
      </c>
      <c r="C2336" s="24" t="e">
        <f ca="1">[1]!BexGetData("DP_1","003N8EMH8GTFRCSWKMPXRR8GU","GSON1112160222")</f>
        <v>#NAME?</v>
      </c>
      <c r="D2336" s="24" t="e">
        <f ca="1">[1]!BexGetData("DP_1","003N8EMH8GTFRCSWKMPXRRESE","GSON1112160222")</f>
        <v>#NAME?</v>
      </c>
      <c r="E2336" s="24" t="e">
        <f ca="1">[1]!BexGetData("DP_1","003N8EMH8GTFRCSWKMPXRRL3Y","GSON1112160222")</f>
        <v>#NAME?</v>
      </c>
      <c r="F2336" s="28" t="e">
        <f ca="1">[1]!BexGetData("DP_1","003N8EMH8GTFRCSWKMPXRRRFI","GSON1112160222")</f>
        <v>#NAME?</v>
      </c>
      <c r="G2336" s="23" t="e">
        <f ca="1">[1]!BexGetData("DP_1","003N8EMH8GTFRCSWKMPXRRXR2","GSON1112160222")</f>
        <v>#NAME?</v>
      </c>
      <c r="H2336" s="23" t="e">
        <f ca="1">[1]!BexGetData("DP_1","003N8EMH8GTFRCSWKMPXRS42M","GSON1112160222")</f>
        <v>#NAME?</v>
      </c>
      <c r="I2336" s="28" t="e">
        <f ca="1">[1]!BexGetData("DP_1","003N8EMH8GTFRCSWKMPXRSAE6","GSON1112160222")</f>
        <v>#NAME?</v>
      </c>
      <c r="J2336" s="23" t="e">
        <f ca="1">[1]!BexGetData("DP_1","003N8EMH8GTFRCSWKMPXRSGPQ","GSON1112160222")</f>
        <v>#NAME?</v>
      </c>
      <c r="K2336" s="28" t="e">
        <f ca="1">[1]!BexGetData("DP_1","003N8EMH8GTFRIVNUPY288VJH","GSON1112160222")</f>
        <v>#NAME?</v>
      </c>
      <c r="L2336" s="28" t="e">
        <f ca="1">[1]!BexGetData("DP_1","003N8EMH8GTFRIVNUPY2891V1","GSON1112160222")</f>
        <v>#NAME?</v>
      </c>
      <c r="M2336" s="28" t="e">
        <f ca="1">[1]!BexGetData("DP_1","003N8EMH8GTFRIVOG7KG9IQXA","GSON1112160222")</f>
        <v>#NAME?</v>
      </c>
      <c r="N2336" s="28" t="e">
        <f ca="1">[1]!BexGetData("DP_1","003N8EMH8GTFRIVOG7KG9IX8U","GSON1112160222")</f>
        <v>#NAME?</v>
      </c>
      <c r="O2336" s="28" t="e">
        <f ca="1">[1]!BexGetData("DP_1","003N8EMH8GTFRIVOG7KG9J3KE","GSON1112160222")</f>
        <v>#NAME?</v>
      </c>
      <c r="P2336" s="28" t="e">
        <f ca="1">[1]!BexGetData("DP_1","003N8EMH8GTFRIVOG7KG9J9VY","GSON1112160222")</f>
        <v>#NAME?</v>
      </c>
      <c r="Q2336" s="23" t="e">
        <f ca="1">[1]!BexGetData("DP_1","00O2TNJGODT0G5Z4TTKYMM5MT","GSON1112160222")</f>
        <v>#NAME?</v>
      </c>
      <c r="R2336" s="23" t="e">
        <f ca="1">[1]!BexGetData("DP_1","00O2TNJGODT0G5Z4TTKYMMBYD","GSON1112160222")</f>
        <v>#NAME?</v>
      </c>
      <c r="S2336" s="23" t="e">
        <f ca="1">[1]!BexGetData("DP_1","00O2TNJGODT0G5Z4TTKYMMI9X","GSON1112160222")</f>
        <v>#NAME?</v>
      </c>
      <c r="T2336" s="28" t="e">
        <f ca="1">[1]!BexGetData("DP_1","00O2TNJGODT0G5Z4TTKYMMOLH","GSON1112160222")</f>
        <v>#NAME?</v>
      </c>
      <c r="U2336" s="23" t="e">
        <f ca="1">[1]!BexGetData("DP_1","00O2TNJGODT0G5Z4TTKYMMUX1","GSON1112160222")</f>
        <v>#NAME?</v>
      </c>
      <c r="V2336" s="28" t="e">
        <f ca="1">[1]!BexGetData("DP_1","00O2TNJGODT0G5Z4TTKYMN18L","GSON1112160222")</f>
        <v>#NAME?</v>
      </c>
      <c r="W2336" s="23" t="e">
        <f ca="1">[1]!BexGetData("DP_1","00O2TNJGODT0G5Z4TTKYMN7K5","GSON1112160222")</f>
        <v>#NAME?</v>
      </c>
    </row>
    <row r="2337" spans="1:23" x14ac:dyDescent="0.2">
      <c r="A2337" s="36" t="s">
        <v>5631</v>
      </c>
      <c r="B2337" s="27" t="s">
        <v>5632</v>
      </c>
      <c r="C2337" s="23" t="e">
        <f ca="1">[1]!BexGetData("DP_1","003N8EMH8GTFRCSWKMPXRR8GU","GSON1112160223")</f>
        <v>#NAME?</v>
      </c>
      <c r="D2337" s="23" t="e">
        <f ca="1">[1]!BexGetData("DP_1","003N8EMH8GTFRCSWKMPXRRESE","GSON1112160223")</f>
        <v>#NAME?</v>
      </c>
      <c r="E2337" s="28" t="e">
        <f ca="1">[1]!BexGetData("DP_1","003N8EMH8GTFRCSWKMPXRRL3Y","GSON1112160223")</f>
        <v>#NAME?</v>
      </c>
      <c r="F2337" s="28" t="e">
        <f ca="1">[1]!BexGetData("DP_1","003N8EMH8GTFRCSWKMPXRRRFI","GSON1112160223")</f>
        <v>#NAME?</v>
      </c>
      <c r="G2337" s="23" t="e">
        <f ca="1">[1]!BexGetData("DP_1","003N8EMH8GTFRCSWKMPXRRXR2","GSON1112160223")</f>
        <v>#NAME?</v>
      </c>
      <c r="H2337" s="23" t="e">
        <f ca="1">[1]!BexGetData("DP_1","003N8EMH8GTFRCSWKMPXRS42M","GSON1112160223")</f>
        <v>#NAME?</v>
      </c>
      <c r="I2337" s="28" t="e">
        <f ca="1">[1]!BexGetData("DP_1","003N8EMH8GTFRCSWKMPXRSAE6","GSON1112160223")</f>
        <v>#NAME?</v>
      </c>
      <c r="J2337" s="24" t="e">
        <f ca="1">[1]!BexGetData("DP_1","003N8EMH8GTFRCSWKMPXRSGPQ","GSON1112160223")</f>
        <v>#NAME?</v>
      </c>
      <c r="K2337" s="28" t="e">
        <f ca="1">[1]!BexGetData("DP_1","003N8EMH8GTFRIVNUPY288VJH","GSON1112160223")</f>
        <v>#NAME?</v>
      </c>
      <c r="L2337" s="28" t="e">
        <f ca="1">[1]!BexGetData("DP_1","003N8EMH8GTFRIVNUPY2891V1","GSON1112160223")</f>
        <v>#NAME?</v>
      </c>
      <c r="M2337" s="28" t="e">
        <f ca="1">[1]!BexGetData("DP_1","003N8EMH8GTFRIVOG7KG9IQXA","GSON1112160223")</f>
        <v>#NAME?</v>
      </c>
      <c r="N2337" s="28" t="e">
        <f ca="1">[1]!BexGetData("DP_1","003N8EMH8GTFRIVOG7KG9IX8U","GSON1112160223")</f>
        <v>#NAME?</v>
      </c>
      <c r="O2337" s="28" t="e">
        <f ca="1">[1]!BexGetData("DP_1","003N8EMH8GTFRIVOG7KG9J3KE","GSON1112160223")</f>
        <v>#NAME?</v>
      </c>
      <c r="P2337" s="28" t="e">
        <f ca="1">[1]!BexGetData("DP_1","003N8EMH8GTFRIVOG7KG9J9VY","GSON1112160223")</f>
        <v>#NAME?</v>
      </c>
      <c r="Q2337" s="24" t="e">
        <f ca="1">[1]!BexGetData("DP_1","00O2TNJGODT0G5Z4TTKYMM5MT","GSON1112160223")</f>
        <v>#NAME?</v>
      </c>
      <c r="R2337" s="28" t="e">
        <f ca="1">[1]!BexGetData("DP_1","00O2TNJGODT0G5Z4TTKYMMBYD","GSON1112160223")</f>
        <v>#NAME?</v>
      </c>
      <c r="S2337" s="28" t="e">
        <f ca="1">[1]!BexGetData("DP_1","00O2TNJGODT0G5Z4TTKYMMI9X","GSON1112160223")</f>
        <v>#NAME?</v>
      </c>
      <c r="T2337" s="28" t="e">
        <f ca="1">[1]!BexGetData("DP_1","00O2TNJGODT0G5Z4TTKYMMOLH","GSON1112160223")</f>
        <v>#NAME?</v>
      </c>
      <c r="U2337" s="28" t="e">
        <f ca="1">[1]!BexGetData("DP_1","00O2TNJGODT0G5Z4TTKYMMUX1","GSON1112160223")</f>
        <v>#NAME?</v>
      </c>
      <c r="V2337" s="28" t="e">
        <f ca="1">[1]!BexGetData("DP_1","00O2TNJGODT0G5Z4TTKYMN18L","GSON1112160223")</f>
        <v>#NAME?</v>
      </c>
      <c r="W2337" s="28" t="e">
        <f ca="1">[1]!BexGetData("DP_1","00O2TNJGODT0G5Z4TTKYMN7K5","GSON1112160223")</f>
        <v>#NAME?</v>
      </c>
    </row>
    <row r="2338" spans="1:23" x14ac:dyDescent="0.2">
      <c r="A2338" s="36" t="s">
        <v>5633</v>
      </c>
      <c r="B2338" s="27" t="s">
        <v>5634</v>
      </c>
      <c r="C2338" s="23" t="e">
        <f ca="1">[1]!BexGetData("DP_1","003N8EMH8GTFRCSWKMPXRR8GU","GSON1112160224")</f>
        <v>#NAME?</v>
      </c>
      <c r="D2338" s="23" t="e">
        <f ca="1">[1]!BexGetData("DP_1","003N8EMH8GTFRCSWKMPXRRESE","GSON1112160224")</f>
        <v>#NAME?</v>
      </c>
      <c r="E2338" s="28" t="e">
        <f ca="1">[1]!BexGetData("DP_1","003N8EMH8GTFRCSWKMPXRRL3Y","GSON1112160224")</f>
        <v>#NAME?</v>
      </c>
      <c r="F2338" s="28" t="e">
        <f ca="1">[1]!BexGetData("DP_1","003N8EMH8GTFRCSWKMPXRRRFI","GSON1112160224")</f>
        <v>#NAME?</v>
      </c>
      <c r="G2338" s="23" t="e">
        <f ca="1">[1]!BexGetData("DP_1","003N8EMH8GTFRCSWKMPXRRXR2","GSON1112160224")</f>
        <v>#NAME?</v>
      </c>
      <c r="H2338" s="23" t="e">
        <f ca="1">[1]!BexGetData("DP_1","003N8EMH8GTFRCSWKMPXRS42M","GSON1112160224")</f>
        <v>#NAME?</v>
      </c>
      <c r="I2338" s="28" t="e">
        <f ca="1">[1]!BexGetData("DP_1","003N8EMH8GTFRCSWKMPXRSAE6","GSON1112160224")</f>
        <v>#NAME?</v>
      </c>
      <c r="J2338" s="24" t="e">
        <f ca="1">[1]!BexGetData("DP_1","003N8EMH8GTFRCSWKMPXRSGPQ","GSON1112160224")</f>
        <v>#NAME?</v>
      </c>
      <c r="K2338" s="28" t="e">
        <f ca="1">[1]!BexGetData("DP_1","003N8EMH8GTFRIVNUPY288VJH","GSON1112160224")</f>
        <v>#NAME?</v>
      </c>
      <c r="L2338" s="28" t="e">
        <f ca="1">[1]!BexGetData("DP_1","003N8EMH8GTFRIVNUPY2891V1","GSON1112160224")</f>
        <v>#NAME?</v>
      </c>
      <c r="M2338" s="28" t="e">
        <f ca="1">[1]!BexGetData("DP_1","003N8EMH8GTFRIVOG7KG9IQXA","GSON1112160224")</f>
        <v>#NAME?</v>
      </c>
      <c r="N2338" s="28" t="e">
        <f ca="1">[1]!BexGetData("DP_1","003N8EMH8GTFRIVOG7KG9IX8U","GSON1112160224")</f>
        <v>#NAME?</v>
      </c>
      <c r="O2338" s="28" t="e">
        <f ca="1">[1]!BexGetData("DP_1","003N8EMH8GTFRIVOG7KG9J3KE","GSON1112160224")</f>
        <v>#NAME?</v>
      </c>
      <c r="P2338" s="28" t="e">
        <f ca="1">[1]!BexGetData("DP_1","003N8EMH8GTFRIVOG7KG9J9VY","GSON1112160224")</f>
        <v>#NAME?</v>
      </c>
      <c r="Q2338" s="24" t="e">
        <f ca="1">[1]!BexGetData("DP_1","00O2TNJGODT0G5Z4TTKYMM5MT","GSON1112160224")</f>
        <v>#NAME?</v>
      </c>
      <c r="R2338" s="28" t="e">
        <f ca="1">[1]!BexGetData("DP_1","00O2TNJGODT0G5Z4TTKYMMBYD","GSON1112160224")</f>
        <v>#NAME?</v>
      </c>
      <c r="S2338" s="28" t="e">
        <f ca="1">[1]!BexGetData("DP_1","00O2TNJGODT0G5Z4TTKYMMI9X","GSON1112160224")</f>
        <v>#NAME?</v>
      </c>
      <c r="T2338" s="28" t="e">
        <f ca="1">[1]!BexGetData("DP_1","00O2TNJGODT0G5Z4TTKYMMOLH","GSON1112160224")</f>
        <v>#NAME?</v>
      </c>
      <c r="U2338" s="28" t="e">
        <f ca="1">[1]!BexGetData("DP_1","00O2TNJGODT0G5Z4TTKYMMUX1","GSON1112160224")</f>
        <v>#NAME?</v>
      </c>
      <c r="V2338" s="28" t="e">
        <f ca="1">[1]!BexGetData("DP_1","00O2TNJGODT0G5Z4TTKYMN18L","GSON1112160224")</f>
        <v>#NAME?</v>
      </c>
      <c r="W2338" s="28" t="e">
        <f ca="1">[1]!BexGetData("DP_1","00O2TNJGODT0G5Z4TTKYMN7K5","GSON1112160224")</f>
        <v>#NAME?</v>
      </c>
    </row>
    <row r="2339" spans="1:23" x14ac:dyDescent="0.2">
      <c r="A2339" s="36" t="s">
        <v>5635</v>
      </c>
      <c r="B2339" s="27" t="s">
        <v>5636</v>
      </c>
      <c r="C2339" s="23" t="e">
        <f ca="1">[1]!BexGetData("DP_1","003N8EMH8GTFRCSWKMPXRR8GU","GSON1112160225")</f>
        <v>#NAME?</v>
      </c>
      <c r="D2339" s="23" t="e">
        <f ca="1">[1]!BexGetData("DP_1","003N8EMH8GTFRCSWKMPXRRESE","GSON1112160225")</f>
        <v>#NAME?</v>
      </c>
      <c r="E2339" s="28" t="e">
        <f ca="1">[1]!BexGetData("DP_1","003N8EMH8GTFRCSWKMPXRRL3Y","GSON1112160225")</f>
        <v>#NAME?</v>
      </c>
      <c r="F2339" s="28" t="e">
        <f ca="1">[1]!BexGetData("DP_1","003N8EMH8GTFRCSWKMPXRRRFI","GSON1112160225")</f>
        <v>#NAME?</v>
      </c>
      <c r="G2339" s="23" t="e">
        <f ca="1">[1]!BexGetData("DP_1","003N8EMH8GTFRCSWKMPXRRXR2","GSON1112160225")</f>
        <v>#NAME?</v>
      </c>
      <c r="H2339" s="23" t="e">
        <f ca="1">[1]!BexGetData("DP_1","003N8EMH8GTFRCSWKMPXRS42M","GSON1112160225")</f>
        <v>#NAME?</v>
      </c>
      <c r="I2339" s="28" t="e">
        <f ca="1">[1]!BexGetData("DP_1","003N8EMH8GTFRCSWKMPXRSAE6","GSON1112160225")</f>
        <v>#NAME?</v>
      </c>
      <c r="J2339" s="24" t="e">
        <f ca="1">[1]!BexGetData("DP_1","003N8EMH8GTFRCSWKMPXRSGPQ","GSON1112160225")</f>
        <v>#NAME?</v>
      </c>
      <c r="K2339" s="28" t="e">
        <f ca="1">[1]!BexGetData("DP_1","003N8EMH8GTFRIVNUPY288VJH","GSON1112160225")</f>
        <v>#NAME?</v>
      </c>
      <c r="L2339" s="28" t="e">
        <f ca="1">[1]!BexGetData("DP_1","003N8EMH8GTFRIVNUPY2891V1","GSON1112160225")</f>
        <v>#NAME?</v>
      </c>
      <c r="M2339" s="28" t="e">
        <f ca="1">[1]!BexGetData("DP_1","003N8EMH8GTFRIVOG7KG9IQXA","GSON1112160225")</f>
        <v>#NAME?</v>
      </c>
      <c r="N2339" s="28" t="e">
        <f ca="1">[1]!BexGetData("DP_1","003N8EMH8GTFRIVOG7KG9IX8U","GSON1112160225")</f>
        <v>#NAME?</v>
      </c>
      <c r="O2339" s="28" t="e">
        <f ca="1">[1]!BexGetData("DP_1","003N8EMH8GTFRIVOG7KG9J3KE","GSON1112160225")</f>
        <v>#NAME?</v>
      </c>
      <c r="P2339" s="28" t="e">
        <f ca="1">[1]!BexGetData("DP_1","003N8EMH8GTFRIVOG7KG9J9VY","GSON1112160225")</f>
        <v>#NAME?</v>
      </c>
      <c r="Q2339" s="24" t="e">
        <f ca="1">[1]!BexGetData("DP_1","00O2TNJGODT0G5Z4TTKYMM5MT","GSON1112160225")</f>
        <v>#NAME?</v>
      </c>
      <c r="R2339" s="28" t="e">
        <f ca="1">[1]!BexGetData("DP_1","00O2TNJGODT0G5Z4TTKYMMBYD","GSON1112160225")</f>
        <v>#NAME?</v>
      </c>
      <c r="S2339" s="28" t="e">
        <f ca="1">[1]!BexGetData("DP_1","00O2TNJGODT0G5Z4TTKYMMI9X","GSON1112160225")</f>
        <v>#NAME?</v>
      </c>
      <c r="T2339" s="28" t="e">
        <f ca="1">[1]!BexGetData("DP_1","00O2TNJGODT0G5Z4TTKYMMOLH","GSON1112160225")</f>
        <v>#NAME?</v>
      </c>
      <c r="U2339" s="28" t="e">
        <f ca="1">[1]!BexGetData("DP_1","00O2TNJGODT0G5Z4TTKYMMUX1","GSON1112160225")</f>
        <v>#NAME?</v>
      </c>
      <c r="V2339" s="28" t="e">
        <f ca="1">[1]!BexGetData("DP_1","00O2TNJGODT0G5Z4TTKYMN18L","GSON1112160225")</f>
        <v>#NAME?</v>
      </c>
      <c r="W2339" s="28" t="e">
        <f ca="1">[1]!BexGetData("DP_1","00O2TNJGODT0G5Z4TTKYMN7K5","GSON1112160225")</f>
        <v>#NAME?</v>
      </c>
    </row>
    <row r="2340" spans="1:23" x14ac:dyDescent="0.2">
      <c r="A2340" s="36" t="s">
        <v>5637</v>
      </c>
      <c r="B2340" s="27" t="s">
        <v>5638</v>
      </c>
      <c r="C2340" s="23" t="e">
        <f ca="1">[1]!BexGetData("DP_1","003N8EMH8GTFRCSWKMPXRR8GU","GSON1112160230")</f>
        <v>#NAME?</v>
      </c>
      <c r="D2340" s="23" t="e">
        <f ca="1">[1]!BexGetData("DP_1","003N8EMH8GTFRCSWKMPXRRESE","GSON1112160230")</f>
        <v>#NAME?</v>
      </c>
      <c r="E2340" s="23" t="e">
        <f ca="1">[1]!BexGetData("DP_1","003N8EMH8GTFRCSWKMPXRRL3Y","GSON1112160230")</f>
        <v>#NAME?</v>
      </c>
      <c r="F2340" s="23" t="e">
        <f ca="1">[1]!BexGetData("DP_1","003N8EMH8GTFRCSWKMPXRRRFI","GSON1112160230")</f>
        <v>#NAME?</v>
      </c>
      <c r="G2340" s="23" t="e">
        <f ca="1">[1]!BexGetData("DP_1","003N8EMH8GTFRCSWKMPXRRXR2","GSON1112160230")</f>
        <v>#NAME?</v>
      </c>
      <c r="H2340" s="23" t="e">
        <f ca="1">[1]!BexGetData("DP_1","003N8EMH8GTFRCSWKMPXRS42M","GSON1112160230")</f>
        <v>#NAME?</v>
      </c>
      <c r="I2340" s="23" t="e">
        <f ca="1">[1]!BexGetData("DP_1","003N8EMH8GTFRCSWKMPXRSAE6","GSON1112160230")</f>
        <v>#NAME?</v>
      </c>
      <c r="J2340" s="23" t="e">
        <f ca="1">[1]!BexGetData("DP_1","003N8EMH8GTFRCSWKMPXRSGPQ","GSON1112160230")</f>
        <v>#NAME?</v>
      </c>
      <c r="K2340" s="23" t="e">
        <f ca="1">[1]!BexGetData("DP_1","003N8EMH8GTFRIVNUPY288VJH","GSON1112160230")</f>
        <v>#NAME?</v>
      </c>
      <c r="L2340" s="23" t="e">
        <f ca="1">[1]!BexGetData("DP_1","003N8EMH8GTFRIVNUPY2891V1","GSON1112160230")</f>
        <v>#NAME?</v>
      </c>
      <c r="M2340" s="23" t="e">
        <f ca="1">[1]!BexGetData("DP_1","003N8EMH8GTFRIVOG7KG9IQXA","GSON1112160230")</f>
        <v>#NAME?</v>
      </c>
      <c r="N2340" s="28" t="e">
        <f ca="1">[1]!BexGetData("DP_1","003N8EMH8GTFRIVOG7KG9IX8U","GSON1112160230")</f>
        <v>#NAME?</v>
      </c>
      <c r="O2340" s="23" t="e">
        <f ca="1">[1]!BexGetData("DP_1","003N8EMH8GTFRIVOG7KG9J3KE","GSON1112160230")</f>
        <v>#NAME?</v>
      </c>
      <c r="P2340" s="28" t="e">
        <f ca="1">[1]!BexGetData("DP_1","003N8EMH8GTFRIVOG7KG9J9VY","GSON1112160230")</f>
        <v>#NAME?</v>
      </c>
      <c r="Q2340" s="23" t="e">
        <f ca="1">[1]!BexGetData("DP_1","00O2TNJGODT0G5Z4TTKYMM5MT","GSON1112160230")</f>
        <v>#NAME?</v>
      </c>
      <c r="R2340" s="23" t="e">
        <f ca="1">[1]!BexGetData("DP_1","00O2TNJGODT0G5Z4TTKYMMBYD","GSON1112160230")</f>
        <v>#NAME?</v>
      </c>
      <c r="S2340" s="23" t="e">
        <f ca="1">[1]!BexGetData("DP_1","00O2TNJGODT0G5Z4TTKYMMI9X","GSON1112160230")</f>
        <v>#NAME?</v>
      </c>
      <c r="T2340" s="28" t="e">
        <f ca="1">[1]!BexGetData("DP_1","00O2TNJGODT0G5Z4TTKYMMOLH","GSON1112160230")</f>
        <v>#NAME?</v>
      </c>
      <c r="U2340" s="23" t="e">
        <f ca="1">[1]!BexGetData("DP_1","00O2TNJGODT0G5Z4TTKYMMUX1","GSON1112160230")</f>
        <v>#NAME?</v>
      </c>
      <c r="V2340" s="28" t="e">
        <f ca="1">[1]!BexGetData("DP_1","00O2TNJGODT0G5Z4TTKYMN18L","GSON1112160230")</f>
        <v>#NAME?</v>
      </c>
      <c r="W2340" s="23" t="e">
        <f ca="1">[1]!BexGetData("DP_1","00O2TNJGODT0G5Z4TTKYMN7K5","GSON1112160230")</f>
        <v>#NAME?</v>
      </c>
    </row>
    <row r="2341" spans="1:23" x14ac:dyDescent="0.2">
      <c r="A2341" s="36" t="s">
        <v>5639</v>
      </c>
      <c r="B2341" s="27" t="s">
        <v>5640</v>
      </c>
      <c r="C2341" s="23" t="e">
        <f ca="1">[1]!BexGetData("DP_1","003N8EMH8GTFRCSWKMPXRR8GU","GSON1112160231")</f>
        <v>#NAME?</v>
      </c>
      <c r="D2341" s="23" t="e">
        <f ca="1">[1]!BexGetData("DP_1","003N8EMH8GTFRCSWKMPXRRESE","GSON1112160231")</f>
        <v>#NAME?</v>
      </c>
      <c r="E2341" s="28" t="e">
        <f ca="1">[1]!BexGetData("DP_1","003N8EMH8GTFRCSWKMPXRRL3Y","GSON1112160231")</f>
        <v>#NAME?</v>
      </c>
      <c r="F2341" s="28" t="e">
        <f ca="1">[1]!BexGetData("DP_1","003N8EMH8GTFRCSWKMPXRRRFI","GSON1112160231")</f>
        <v>#NAME?</v>
      </c>
      <c r="G2341" s="23" t="e">
        <f ca="1">[1]!BexGetData("DP_1","003N8EMH8GTFRCSWKMPXRRXR2","GSON1112160231")</f>
        <v>#NAME?</v>
      </c>
      <c r="H2341" s="23" t="e">
        <f ca="1">[1]!BexGetData("DP_1","003N8EMH8GTFRCSWKMPXRS42M","GSON1112160231")</f>
        <v>#NAME?</v>
      </c>
      <c r="I2341" s="28" t="e">
        <f ca="1">[1]!BexGetData("DP_1","003N8EMH8GTFRCSWKMPXRSAE6","GSON1112160231")</f>
        <v>#NAME?</v>
      </c>
      <c r="J2341" s="24" t="e">
        <f ca="1">[1]!BexGetData("DP_1","003N8EMH8GTFRCSWKMPXRSGPQ","GSON1112160231")</f>
        <v>#NAME?</v>
      </c>
      <c r="K2341" s="28" t="e">
        <f ca="1">[1]!BexGetData("DP_1","003N8EMH8GTFRIVNUPY288VJH","GSON1112160231")</f>
        <v>#NAME?</v>
      </c>
      <c r="L2341" s="28" t="e">
        <f ca="1">[1]!BexGetData("DP_1","003N8EMH8GTFRIVNUPY2891V1","GSON1112160231")</f>
        <v>#NAME?</v>
      </c>
      <c r="M2341" s="28" t="e">
        <f ca="1">[1]!BexGetData("DP_1","003N8EMH8GTFRIVOG7KG9IQXA","GSON1112160231")</f>
        <v>#NAME?</v>
      </c>
      <c r="N2341" s="28" t="e">
        <f ca="1">[1]!BexGetData("DP_1","003N8EMH8GTFRIVOG7KG9IX8U","GSON1112160231")</f>
        <v>#NAME?</v>
      </c>
      <c r="O2341" s="28" t="e">
        <f ca="1">[1]!BexGetData("DP_1","003N8EMH8GTFRIVOG7KG9J3KE","GSON1112160231")</f>
        <v>#NAME?</v>
      </c>
      <c r="P2341" s="28" t="e">
        <f ca="1">[1]!BexGetData("DP_1","003N8EMH8GTFRIVOG7KG9J9VY","GSON1112160231")</f>
        <v>#NAME?</v>
      </c>
      <c r="Q2341" s="24" t="e">
        <f ca="1">[1]!BexGetData("DP_1","00O2TNJGODT0G5Z4TTKYMM5MT","GSON1112160231")</f>
        <v>#NAME?</v>
      </c>
      <c r="R2341" s="28" t="e">
        <f ca="1">[1]!BexGetData("DP_1","00O2TNJGODT0G5Z4TTKYMMBYD","GSON1112160231")</f>
        <v>#NAME?</v>
      </c>
      <c r="S2341" s="28" t="e">
        <f ca="1">[1]!BexGetData("DP_1","00O2TNJGODT0G5Z4TTKYMMI9X","GSON1112160231")</f>
        <v>#NAME?</v>
      </c>
      <c r="T2341" s="28" t="e">
        <f ca="1">[1]!BexGetData("DP_1","00O2TNJGODT0G5Z4TTKYMMOLH","GSON1112160231")</f>
        <v>#NAME?</v>
      </c>
      <c r="U2341" s="28" t="e">
        <f ca="1">[1]!BexGetData("DP_1","00O2TNJGODT0G5Z4TTKYMMUX1","GSON1112160231")</f>
        <v>#NAME?</v>
      </c>
      <c r="V2341" s="28" t="e">
        <f ca="1">[1]!BexGetData("DP_1","00O2TNJGODT0G5Z4TTKYMN18L","GSON1112160231")</f>
        <v>#NAME?</v>
      </c>
      <c r="W2341" s="28" t="e">
        <f ca="1">[1]!BexGetData("DP_1","00O2TNJGODT0G5Z4TTKYMN7K5","GSON1112160231")</f>
        <v>#NAME?</v>
      </c>
    </row>
    <row r="2342" spans="1:23" x14ac:dyDescent="0.2">
      <c r="A2342" s="36" t="s">
        <v>5641</v>
      </c>
      <c r="B2342" s="27" t="s">
        <v>5642</v>
      </c>
      <c r="C2342" s="23" t="e">
        <f ca="1">[1]!BexGetData("DP_1","003N8EMH8GTFRCSWKMPXRR8GU","GSON1112160233")</f>
        <v>#NAME?</v>
      </c>
      <c r="D2342" s="23" t="e">
        <f ca="1">[1]!BexGetData("DP_1","003N8EMH8GTFRCSWKMPXRRESE","GSON1112160233")</f>
        <v>#NAME?</v>
      </c>
      <c r="E2342" s="28" t="e">
        <f ca="1">[1]!BexGetData("DP_1","003N8EMH8GTFRCSWKMPXRRL3Y","GSON1112160233")</f>
        <v>#NAME?</v>
      </c>
      <c r="F2342" s="28" t="e">
        <f ca="1">[1]!BexGetData("DP_1","003N8EMH8GTFRCSWKMPXRRRFI","GSON1112160233")</f>
        <v>#NAME?</v>
      </c>
      <c r="G2342" s="23" t="e">
        <f ca="1">[1]!BexGetData("DP_1","003N8EMH8GTFRCSWKMPXRRXR2","GSON1112160233")</f>
        <v>#NAME?</v>
      </c>
      <c r="H2342" s="23" t="e">
        <f ca="1">[1]!BexGetData("DP_1","003N8EMH8GTFRCSWKMPXRS42M","GSON1112160233")</f>
        <v>#NAME?</v>
      </c>
      <c r="I2342" s="28" t="e">
        <f ca="1">[1]!BexGetData("DP_1","003N8EMH8GTFRCSWKMPXRSAE6","GSON1112160233")</f>
        <v>#NAME?</v>
      </c>
      <c r="J2342" s="24" t="e">
        <f ca="1">[1]!BexGetData("DP_1","003N8EMH8GTFRCSWKMPXRSGPQ","GSON1112160233")</f>
        <v>#NAME?</v>
      </c>
      <c r="K2342" s="28" t="e">
        <f ca="1">[1]!BexGetData("DP_1","003N8EMH8GTFRIVNUPY288VJH","GSON1112160233")</f>
        <v>#NAME?</v>
      </c>
      <c r="L2342" s="28" t="e">
        <f ca="1">[1]!BexGetData("DP_1","003N8EMH8GTFRIVNUPY2891V1","GSON1112160233")</f>
        <v>#NAME?</v>
      </c>
      <c r="M2342" s="28" t="e">
        <f ca="1">[1]!BexGetData("DP_1","003N8EMH8GTFRIVOG7KG9IQXA","GSON1112160233")</f>
        <v>#NAME?</v>
      </c>
      <c r="N2342" s="28" t="e">
        <f ca="1">[1]!BexGetData("DP_1","003N8EMH8GTFRIVOG7KG9IX8U","GSON1112160233")</f>
        <v>#NAME?</v>
      </c>
      <c r="O2342" s="28" t="e">
        <f ca="1">[1]!BexGetData("DP_1","003N8EMH8GTFRIVOG7KG9J3KE","GSON1112160233")</f>
        <v>#NAME?</v>
      </c>
      <c r="P2342" s="28" t="e">
        <f ca="1">[1]!BexGetData("DP_1","003N8EMH8GTFRIVOG7KG9J9VY","GSON1112160233")</f>
        <v>#NAME?</v>
      </c>
      <c r="Q2342" s="24" t="e">
        <f ca="1">[1]!BexGetData("DP_1","00O2TNJGODT0G5Z4TTKYMM5MT","GSON1112160233")</f>
        <v>#NAME?</v>
      </c>
      <c r="R2342" s="28" t="e">
        <f ca="1">[1]!BexGetData("DP_1","00O2TNJGODT0G5Z4TTKYMMBYD","GSON1112160233")</f>
        <v>#NAME?</v>
      </c>
      <c r="S2342" s="28" t="e">
        <f ca="1">[1]!BexGetData("DP_1","00O2TNJGODT0G5Z4TTKYMMI9X","GSON1112160233")</f>
        <v>#NAME?</v>
      </c>
      <c r="T2342" s="28" t="e">
        <f ca="1">[1]!BexGetData("DP_1","00O2TNJGODT0G5Z4TTKYMMOLH","GSON1112160233")</f>
        <v>#NAME?</v>
      </c>
      <c r="U2342" s="28" t="e">
        <f ca="1">[1]!BexGetData("DP_1","00O2TNJGODT0G5Z4TTKYMMUX1","GSON1112160233")</f>
        <v>#NAME?</v>
      </c>
      <c r="V2342" s="28" t="e">
        <f ca="1">[1]!BexGetData("DP_1","00O2TNJGODT0G5Z4TTKYMN18L","GSON1112160233")</f>
        <v>#NAME?</v>
      </c>
      <c r="W2342" s="28" t="e">
        <f ca="1">[1]!BexGetData("DP_1","00O2TNJGODT0G5Z4TTKYMN7K5","GSON1112160233")</f>
        <v>#NAME?</v>
      </c>
    </row>
    <row r="2343" spans="1:23" x14ac:dyDescent="0.2">
      <c r="A2343" s="36" t="s">
        <v>5643</v>
      </c>
      <c r="B2343" s="27" t="s">
        <v>5644</v>
      </c>
      <c r="C2343" s="23" t="e">
        <f ca="1">[1]!BexGetData("DP_1","003N8EMH8GTFRCSWKMPXRR8GU","GSON1112160234")</f>
        <v>#NAME?</v>
      </c>
      <c r="D2343" s="23" t="e">
        <f ca="1">[1]!BexGetData("DP_1","003N8EMH8GTFRCSWKMPXRRESE","GSON1112160234")</f>
        <v>#NAME?</v>
      </c>
      <c r="E2343" s="28" t="e">
        <f ca="1">[1]!BexGetData("DP_1","003N8EMH8GTFRCSWKMPXRRL3Y","GSON1112160234")</f>
        <v>#NAME?</v>
      </c>
      <c r="F2343" s="28" t="e">
        <f ca="1">[1]!BexGetData("DP_1","003N8EMH8GTFRCSWKMPXRRRFI","GSON1112160234")</f>
        <v>#NAME?</v>
      </c>
      <c r="G2343" s="23" t="e">
        <f ca="1">[1]!BexGetData("DP_1","003N8EMH8GTFRCSWKMPXRRXR2","GSON1112160234")</f>
        <v>#NAME?</v>
      </c>
      <c r="H2343" s="23" t="e">
        <f ca="1">[1]!BexGetData("DP_1","003N8EMH8GTFRCSWKMPXRS42M","GSON1112160234")</f>
        <v>#NAME?</v>
      </c>
      <c r="I2343" s="28" t="e">
        <f ca="1">[1]!BexGetData("DP_1","003N8EMH8GTFRCSWKMPXRSAE6","GSON1112160234")</f>
        <v>#NAME?</v>
      </c>
      <c r="J2343" s="24" t="e">
        <f ca="1">[1]!BexGetData("DP_1","003N8EMH8GTFRCSWKMPXRSGPQ","GSON1112160234")</f>
        <v>#NAME?</v>
      </c>
      <c r="K2343" s="28" t="e">
        <f ca="1">[1]!BexGetData("DP_1","003N8EMH8GTFRIVNUPY288VJH","GSON1112160234")</f>
        <v>#NAME?</v>
      </c>
      <c r="L2343" s="28" t="e">
        <f ca="1">[1]!BexGetData("DP_1","003N8EMH8GTFRIVNUPY2891V1","GSON1112160234")</f>
        <v>#NAME?</v>
      </c>
      <c r="M2343" s="28" t="e">
        <f ca="1">[1]!BexGetData("DP_1","003N8EMH8GTFRIVOG7KG9IQXA","GSON1112160234")</f>
        <v>#NAME?</v>
      </c>
      <c r="N2343" s="28" t="e">
        <f ca="1">[1]!BexGetData("DP_1","003N8EMH8GTFRIVOG7KG9IX8U","GSON1112160234")</f>
        <v>#NAME?</v>
      </c>
      <c r="O2343" s="28" t="e">
        <f ca="1">[1]!BexGetData("DP_1","003N8EMH8GTFRIVOG7KG9J3KE","GSON1112160234")</f>
        <v>#NAME?</v>
      </c>
      <c r="P2343" s="28" t="e">
        <f ca="1">[1]!BexGetData("DP_1","003N8EMH8GTFRIVOG7KG9J9VY","GSON1112160234")</f>
        <v>#NAME?</v>
      </c>
      <c r="Q2343" s="24" t="e">
        <f ca="1">[1]!BexGetData("DP_1","00O2TNJGODT0G5Z4TTKYMM5MT","GSON1112160234")</f>
        <v>#NAME?</v>
      </c>
      <c r="R2343" s="28" t="e">
        <f ca="1">[1]!BexGetData("DP_1","00O2TNJGODT0G5Z4TTKYMMBYD","GSON1112160234")</f>
        <v>#NAME?</v>
      </c>
      <c r="S2343" s="28" t="e">
        <f ca="1">[1]!BexGetData("DP_1","00O2TNJGODT0G5Z4TTKYMMI9X","GSON1112160234")</f>
        <v>#NAME?</v>
      </c>
      <c r="T2343" s="28" t="e">
        <f ca="1">[1]!BexGetData("DP_1","00O2TNJGODT0G5Z4TTKYMMOLH","GSON1112160234")</f>
        <v>#NAME?</v>
      </c>
      <c r="U2343" s="28" t="e">
        <f ca="1">[1]!BexGetData("DP_1","00O2TNJGODT0G5Z4TTKYMMUX1","GSON1112160234")</f>
        <v>#NAME?</v>
      </c>
      <c r="V2343" s="28" t="e">
        <f ca="1">[1]!BexGetData("DP_1","00O2TNJGODT0G5Z4TTKYMN18L","GSON1112160234")</f>
        <v>#NAME?</v>
      </c>
      <c r="W2343" s="28" t="e">
        <f ca="1">[1]!BexGetData("DP_1","00O2TNJGODT0G5Z4TTKYMN7K5","GSON1112160234")</f>
        <v>#NAME?</v>
      </c>
    </row>
    <row r="2344" spans="1:23" x14ac:dyDescent="0.2">
      <c r="A2344" s="36" t="s">
        <v>5645</v>
      </c>
      <c r="B2344" s="27" t="s">
        <v>5646</v>
      </c>
      <c r="C2344" s="23" t="e">
        <f ca="1">[1]!BexGetData("DP_1","003N8EMH8GTFRCSWKMPXRR8GU","GSON1112160235")</f>
        <v>#NAME?</v>
      </c>
      <c r="D2344" s="23" t="e">
        <f ca="1">[1]!BexGetData("DP_1","003N8EMH8GTFRCSWKMPXRRESE","GSON1112160235")</f>
        <v>#NAME?</v>
      </c>
      <c r="E2344" s="28" t="e">
        <f ca="1">[1]!BexGetData("DP_1","003N8EMH8GTFRCSWKMPXRRL3Y","GSON1112160235")</f>
        <v>#NAME?</v>
      </c>
      <c r="F2344" s="28" t="e">
        <f ca="1">[1]!BexGetData("DP_1","003N8EMH8GTFRCSWKMPXRRRFI","GSON1112160235")</f>
        <v>#NAME?</v>
      </c>
      <c r="G2344" s="23" t="e">
        <f ca="1">[1]!BexGetData("DP_1","003N8EMH8GTFRCSWKMPXRRXR2","GSON1112160235")</f>
        <v>#NAME?</v>
      </c>
      <c r="H2344" s="23" t="e">
        <f ca="1">[1]!BexGetData("DP_1","003N8EMH8GTFRCSWKMPXRS42M","GSON1112160235")</f>
        <v>#NAME?</v>
      </c>
      <c r="I2344" s="28" t="e">
        <f ca="1">[1]!BexGetData("DP_1","003N8EMH8GTFRCSWKMPXRSAE6","GSON1112160235")</f>
        <v>#NAME?</v>
      </c>
      <c r="J2344" s="24" t="e">
        <f ca="1">[1]!BexGetData("DP_1","003N8EMH8GTFRCSWKMPXRSGPQ","GSON1112160235")</f>
        <v>#NAME?</v>
      </c>
      <c r="K2344" s="28" t="e">
        <f ca="1">[1]!BexGetData("DP_1","003N8EMH8GTFRIVNUPY288VJH","GSON1112160235")</f>
        <v>#NAME?</v>
      </c>
      <c r="L2344" s="28" t="e">
        <f ca="1">[1]!BexGetData("DP_1","003N8EMH8GTFRIVNUPY2891V1","GSON1112160235")</f>
        <v>#NAME?</v>
      </c>
      <c r="M2344" s="28" t="e">
        <f ca="1">[1]!BexGetData("DP_1","003N8EMH8GTFRIVOG7KG9IQXA","GSON1112160235")</f>
        <v>#NAME?</v>
      </c>
      <c r="N2344" s="28" t="e">
        <f ca="1">[1]!BexGetData("DP_1","003N8EMH8GTFRIVOG7KG9IX8U","GSON1112160235")</f>
        <v>#NAME?</v>
      </c>
      <c r="O2344" s="28" t="e">
        <f ca="1">[1]!BexGetData("DP_1","003N8EMH8GTFRIVOG7KG9J3KE","GSON1112160235")</f>
        <v>#NAME?</v>
      </c>
      <c r="P2344" s="28" t="e">
        <f ca="1">[1]!BexGetData("DP_1","003N8EMH8GTFRIVOG7KG9J9VY","GSON1112160235")</f>
        <v>#NAME?</v>
      </c>
      <c r="Q2344" s="24" t="e">
        <f ca="1">[1]!BexGetData("DP_1","00O2TNJGODT0G5Z4TTKYMM5MT","GSON1112160235")</f>
        <v>#NAME?</v>
      </c>
      <c r="R2344" s="28" t="e">
        <f ca="1">[1]!BexGetData("DP_1","00O2TNJGODT0G5Z4TTKYMMBYD","GSON1112160235")</f>
        <v>#NAME?</v>
      </c>
      <c r="S2344" s="28" t="e">
        <f ca="1">[1]!BexGetData("DP_1","00O2TNJGODT0G5Z4TTKYMMI9X","GSON1112160235")</f>
        <v>#NAME?</v>
      </c>
      <c r="T2344" s="28" t="e">
        <f ca="1">[1]!BexGetData("DP_1","00O2TNJGODT0G5Z4TTKYMMOLH","GSON1112160235")</f>
        <v>#NAME?</v>
      </c>
      <c r="U2344" s="28" t="e">
        <f ca="1">[1]!BexGetData("DP_1","00O2TNJGODT0G5Z4TTKYMMUX1","GSON1112160235")</f>
        <v>#NAME?</v>
      </c>
      <c r="V2344" s="28" t="e">
        <f ca="1">[1]!BexGetData("DP_1","00O2TNJGODT0G5Z4TTKYMN18L","GSON1112160235")</f>
        <v>#NAME?</v>
      </c>
      <c r="W2344" s="28" t="e">
        <f ca="1">[1]!BexGetData("DP_1","00O2TNJGODT0G5Z4TTKYMN7K5","GSON1112160235")</f>
        <v>#NAME?</v>
      </c>
    </row>
    <row r="2345" spans="1:23" x14ac:dyDescent="0.2">
      <c r="A2345" s="36" t="s">
        <v>5647</v>
      </c>
      <c r="B2345" s="27" t="s">
        <v>5648</v>
      </c>
      <c r="C2345" s="28" t="e">
        <f ca="1">[1]!BexGetData("DP_1","003N8EMH8GTFRCSWKMPXRR8GU","GSON1112160240")</f>
        <v>#NAME?</v>
      </c>
      <c r="D2345" s="23" t="e">
        <f ca="1">[1]!BexGetData("DP_1","003N8EMH8GTFRCSWKMPXRRESE","GSON1112160240")</f>
        <v>#NAME?</v>
      </c>
      <c r="E2345" s="28" t="e">
        <f ca="1">[1]!BexGetData("DP_1","003N8EMH8GTFRCSWKMPXRRL3Y","GSON1112160240")</f>
        <v>#NAME?</v>
      </c>
      <c r="F2345" s="23" t="e">
        <f ca="1">[1]!BexGetData("DP_1","003N8EMH8GTFRCSWKMPXRRRFI","GSON1112160240")</f>
        <v>#NAME?</v>
      </c>
      <c r="G2345" s="28" t="e">
        <f ca="1">[1]!BexGetData("DP_1","003N8EMH8GTFRCSWKMPXRRXR2","GSON1112160240")</f>
        <v>#NAME?</v>
      </c>
      <c r="H2345" s="28" t="e">
        <f ca="1">[1]!BexGetData("DP_1","003N8EMH8GTFRCSWKMPXRS42M","GSON1112160240")</f>
        <v>#NAME?</v>
      </c>
      <c r="I2345" s="23" t="e">
        <f ca="1">[1]!BexGetData("DP_1","003N8EMH8GTFRCSWKMPXRSAE6","GSON1112160240")</f>
        <v>#NAME?</v>
      </c>
      <c r="J2345" s="23" t="e">
        <f ca="1">[1]!BexGetData("DP_1","003N8EMH8GTFRCSWKMPXRSGPQ","GSON1112160240")</f>
        <v>#NAME?</v>
      </c>
      <c r="K2345" s="23" t="e">
        <f ca="1">[1]!BexGetData("DP_1","003N8EMH8GTFRIVNUPY288VJH","GSON1112160240")</f>
        <v>#NAME?</v>
      </c>
      <c r="L2345" s="23" t="e">
        <f ca="1">[1]!BexGetData("DP_1","003N8EMH8GTFRIVNUPY2891V1","GSON1112160240")</f>
        <v>#NAME?</v>
      </c>
      <c r="M2345" s="23" t="e">
        <f ca="1">[1]!BexGetData("DP_1","003N8EMH8GTFRIVOG7KG9IQXA","GSON1112160240")</f>
        <v>#NAME?</v>
      </c>
      <c r="N2345" s="28" t="e">
        <f ca="1">[1]!BexGetData("DP_1","003N8EMH8GTFRIVOG7KG9IX8U","GSON1112160240")</f>
        <v>#NAME?</v>
      </c>
      <c r="O2345" s="23" t="e">
        <f ca="1">[1]!BexGetData("DP_1","003N8EMH8GTFRIVOG7KG9J3KE","GSON1112160240")</f>
        <v>#NAME?</v>
      </c>
      <c r="P2345" s="28" t="e">
        <f ca="1">[1]!BexGetData("DP_1","003N8EMH8GTFRIVOG7KG9J9VY","GSON1112160240")</f>
        <v>#NAME?</v>
      </c>
      <c r="Q2345" s="23" t="e">
        <f ca="1">[1]!BexGetData("DP_1","00O2TNJGODT0G5Z4TTKYMM5MT","GSON1112160240")</f>
        <v>#NAME?</v>
      </c>
      <c r="R2345" s="28" t="e">
        <f ca="1">[1]!BexGetData("DP_1","00O2TNJGODT0G5Z4TTKYMMBYD","GSON1112160240")</f>
        <v>#NAME?</v>
      </c>
      <c r="S2345" s="28" t="e">
        <f ca="1">[1]!BexGetData("DP_1","00O2TNJGODT0G5Z4TTKYMMI9X","GSON1112160240")</f>
        <v>#NAME?</v>
      </c>
      <c r="T2345" s="28" t="e">
        <f ca="1">[1]!BexGetData("DP_1","00O2TNJGODT0G5Z4TTKYMMOLH","GSON1112160240")</f>
        <v>#NAME?</v>
      </c>
      <c r="U2345" s="28" t="e">
        <f ca="1">[1]!BexGetData("DP_1","00O2TNJGODT0G5Z4TTKYMMUX1","GSON1112160240")</f>
        <v>#NAME?</v>
      </c>
      <c r="V2345" s="28" t="e">
        <f ca="1">[1]!BexGetData("DP_1","00O2TNJGODT0G5Z4TTKYMN18L","GSON1112160240")</f>
        <v>#NAME?</v>
      </c>
      <c r="W2345" s="28" t="e">
        <f ca="1">[1]!BexGetData("DP_1","00O2TNJGODT0G5Z4TTKYMN7K5","GSON1112160240")</f>
        <v>#NAME?</v>
      </c>
    </row>
    <row r="2346" spans="1:23" x14ac:dyDescent="0.2">
      <c r="A2346" s="36" t="s">
        <v>5649</v>
      </c>
      <c r="B2346" s="27" t="s">
        <v>5650</v>
      </c>
      <c r="C2346" s="23" t="e">
        <f ca="1">[1]!BexGetData("DP_1","003N8EMH8GTFRCSWKMPXRR8GU","GSON1112160243")</f>
        <v>#NAME?</v>
      </c>
      <c r="D2346" s="23" t="e">
        <f ca="1">[1]!BexGetData("DP_1","003N8EMH8GTFRCSWKMPXRRESE","GSON1112160243")</f>
        <v>#NAME?</v>
      </c>
      <c r="E2346" s="28" t="e">
        <f ca="1">[1]!BexGetData("DP_1","003N8EMH8GTFRCSWKMPXRRL3Y","GSON1112160243")</f>
        <v>#NAME?</v>
      </c>
      <c r="F2346" s="24" t="e">
        <f ca="1">[1]!BexGetData("DP_1","003N8EMH8GTFRCSWKMPXRRRFI","GSON1112160243")</f>
        <v>#NAME?</v>
      </c>
      <c r="G2346" s="24" t="e">
        <f ca="1">[1]!BexGetData("DP_1","003N8EMH8GTFRCSWKMPXRRXR2","GSON1112160243")</f>
        <v>#NAME?</v>
      </c>
      <c r="H2346" s="24" t="e">
        <f ca="1">[1]!BexGetData("DP_1","003N8EMH8GTFRCSWKMPXRS42M","GSON1112160243")</f>
        <v>#NAME?</v>
      </c>
      <c r="I2346" s="24" t="e">
        <f ca="1">[1]!BexGetData("DP_1","003N8EMH8GTFRCSWKMPXRSAE6","GSON1112160243")</f>
        <v>#NAME?</v>
      </c>
      <c r="J2346" s="24" t="e">
        <f ca="1">[1]!BexGetData("DP_1","003N8EMH8GTFRCSWKMPXRSGPQ","GSON1112160243")</f>
        <v>#NAME?</v>
      </c>
      <c r="K2346" s="28" t="e">
        <f ca="1">[1]!BexGetData("DP_1","003N8EMH8GTFRIVNUPY288VJH","GSON1112160243")</f>
        <v>#NAME?</v>
      </c>
      <c r="L2346" s="28" t="e">
        <f ca="1">[1]!BexGetData("DP_1","003N8EMH8GTFRIVNUPY2891V1","GSON1112160243")</f>
        <v>#NAME?</v>
      </c>
      <c r="M2346" s="28" t="e">
        <f ca="1">[1]!BexGetData("DP_1","003N8EMH8GTFRIVOG7KG9IQXA","GSON1112160243")</f>
        <v>#NAME?</v>
      </c>
      <c r="N2346" s="28" t="e">
        <f ca="1">[1]!BexGetData("DP_1","003N8EMH8GTFRIVOG7KG9IX8U","GSON1112160243")</f>
        <v>#NAME?</v>
      </c>
      <c r="O2346" s="28" t="e">
        <f ca="1">[1]!BexGetData("DP_1","003N8EMH8GTFRIVOG7KG9J3KE","GSON1112160243")</f>
        <v>#NAME?</v>
      </c>
      <c r="P2346" s="28" t="e">
        <f ca="1">[1]!BexGetData("DP_1","003N8EMH8GTFRIVOG7KG9J9VY","GSON1112160243")</f>
        <v>#NAME?</v>
      </c>
      <c r="Q2346" s="24" t="e">
        <f ca="1">[1]!BexGetData("DP_1","00O2TNJGODT0G5Z4TTKYMM5MT","GSON1112160243")</f>
        <v>#NAME?</v>
      </c>
      <c r="R2346" s="24" t="e">
        <f ca="1">[1]!BexGetData("DP_1","00O2TNJGODT0G5Z4TTKYMMBYD","GSON1112160243")</f>
        <v>#NAME?</v>
      </c>
      <c r="S2346" s="24" t="e">
        <f ca="1">[1]!BexGetData("DP_1","00O2TNJGODT0G5Z4TTKYMMI9X","GSON1112160243")</f>
        <v>#NAME?</v>
      </c>
      <c r="T2346" s="24" t="e">
        <f ca="1">[1]!BexGetData("DP_1","00O2TNJGODT0G5Z4TTKYMMOLH","GSON1112160243")</f>
        <v>#NAME?</v>
      </c>
      <c r="U2346" s="24" t="e">
        <f ca="1">[1]!BexGetData("DP_1","00O2TNJGODT0G5Z4TTKYMMUX1","GSON1112160243")</f>
        <v>#NAME?</v>
      </c>
      <c r="V2346" s="24" t="e">
        <f ca="1">[1]!BexGetData("DP_1","00O2TNJGODT0G5Z4TTKYMN18L","GSON1112160243")</f>
        <v>#NAME?</v>
      </c>
      <c r="W2346" s="24" t="e">
        <f ca="1">[1]!BexGetData("DP_1","00O2TNJGODT0G5Z4TTKYMN7K5","GSON1112160243")</f>
        <v>#NAME?</v>
      </c>
    </row>
    <row r="2347" spans="1:23" x14ac:dyDescent="0.2">
      <c r="A2347" s="36" t="s">
        <v>5651</v>
      </c>
      <c r="B2347" s="27" t="s">
        <v>5652</v>
      </c>
      <c r="C2347" s="23" t="e">
        <f ca="1">[1]!BexGetData("DP_1","003N8EMH8GTFRCSWKMPXRR8GU","GSON1112160244")</f>
        <v>#NAME?</v>
      </c>
      <c r="D2347" s="23" t="e">
        <f ca="1">[1]!BexGetData("DP_1","003N8EMH8GTFRCSWKMPXRRESE","GSON1112160244")</f>
        <v>#NAME?</v>
      </c>
      <c r="E2347" s="28" t="e">
        <f ca="1">[1]!BexGetData("DP_1","003N8EMH8GTFRCSWKMPXRRL3Y","GSON1112160244")</f>
        <v>#NAME?</v>
      </c>
      <c r="F2347" s="24" t="e">
        <f ca="1">[1]!BexGetData("DP_1","003N8EMH8GTFRCSWKMPXRRRFI","GSON1112160244")</f>
        <v>#NAME?</v>
      </c>
      <c r="G2347" s="24" t="e">
        <f ca="1">[1]!BexGetData("DP_1","003N8EMH8GTFRCSWKMPXRRXR2","GSON1112160244")</f>
        <v>#NAME?</v>
      </c>
      <c r="H2347" s="24" t="e">
        <f ca="1">[1]!BexGetData("DP_1","003N8EMH8GTFRCSWKMPXRS42M","GSON1112160244")</f>
        <v>#NAME?</v>
      </c>
      <c r="I2347" s="24" t="e">
        <f ca="1">[1]!BexGetData("DP_1","003N8EMH8GTFRCSWKMPXRSAE6","GSON1112160244")</f>
        <v>#NAME?</v>
      </c>
      <c r="J2347" s="24" t="e">
        <f ca="1">[1]!BexGetData("DP_1","003N8EMH8GTFRCSWKMPXRSGPQ","GSON1112160244")</f>
        <v>#NAME?</v>
      </c>
      <c r="K2347" s="28" t="e">
        <f ca="1">[1]!BexGetData("DP_1","003N8EMH8GTFRIVNUPY288VJH","GSON1112160244")</f>
        <v>#NAME?</v>
      </c>
      <c r="L2347" s="28" t="e">
        <f ca="1">[1]!BexGetData("DP_1","003N8EMH8GTFRIVNUPY2891V1","GSON1112160244")</f>
        <v>#NAME?</v>
      </c>
      <c r="M2347" s="28" t="e">
        <f ca="1">[1]!BexGetData("DP_1","003N8EMH8GTFRIVOG7KG9IQXA","GSON1112160244")</f>
        <v>#NAME?</v>
      </c>
      <c r="N2347" s="28" t="e">
        <f ca="1">[1]!BexGetData("DP_1","003N8EMH8GTFRIVOG7KG9IX8U","GSON1112160244")</f>
        <v>#NAME?</v>
      </c>
      <c r="O2347" s="28" t="e">
        <f ca="1">[1]!BexGetData("DP_1","003N8EMH8GTFRIVOG7KG9J3KE","GSON1112160244")</f>
        <v>#NAME?</v>
      </c>
      <c r="P2347" s="28" t="e">
        <f ca="1">[1]!BexGetData("DP_1","003N8EMH8GTFRIVOG7KG9J9VY","GSON1112160244")</f>
        <v>#NAME?</v>
      </c>
      <c r="Q2347" s="24" t="e">
        <f ca="1">[1]!BexGetData("DP_1","00O2TNJGODT0G5Z4TTKYMM5MT","GSON1112160244")</f>
        <v>#NAME?</v>
      </c>
      <c r="R2347" s="24" t="e">
        <f ca="1">[1]!BexGetData("DP_1","00O2TNJGODT0G5Z4TTKYMMBYD","GSON1112160244")</f>
        <v>#NAME?</v>
      </c>
      <c r="S2347" s="24" t="e">
        <f ca="1">[1]!BexGetData("DP_1","00O2TNJGODT0G5Z4TTKYMMI9X","GSON1112160244")</f>
        <v>#NAME?</v>
      </c>
      <c r="T2347" s="24" t="e">
        <f ca="1">[1]!BexGetData("DP_1","00O2TNJGODT0G5Z4TTKYMMOLH","GSON1112160244")</f>
        <v>#NAME?</v>
      </c>
      <c r="U2347" s="24" t="e">
        <f ca="1">[1]!BexGetData("DP_1","00O2TNJGODT0G5Z4TTKYMMUX1","GSON1112160244")</f>
        <v>#NAME?</v>
      </c>
      <c r="V2347" s="24" t="e">
        <f ca="1">[1]!BexGetData("DP_1","00O2TNJGODT0G5Z4TTKYMN18L","GSON1112160244")</f>
        <v>#NAME?</v>
      </c>
      <c r="W2347" s="24" t="e">
        <f ca="1">[1]!BexGetData("DP_1","00O2TNJGODT0G5Z4TTKYMN7K5","GSON1112160244")</f>
        <v>#NAME?</v>
      </c>
    </row>
    <row r="2348" spans="1:23" x14ac:dyDescent="0.2">
      <c r="A2348" s="36" t="s">
        <v>5653</v>
      </c>
      <c r="B2348" s="27" t="s">
        <v>5654</v>
      </c>
      <c r="C2348" s="28" t="e">
        <f ca="1">[1]!BexGetData("DP_1","003N8EMH8GTFRCSWKMPXRR8GU","GSON1112160260")</f>
        <v>#NAME?</v>
      </c>
      <c r="D2348" s="28" t="e">
        <f ca="1">[1]!BexGetData("DP_1","003N8EMH8GTFRCSWKMPXRRESE","GSON1112160260")</f>
        <v>#NAME?</v>
      </c>
      <c r="E2348" s="28" t="e">
        <f ca="1">[1]!BexGetData("DP_1","003N8EMH8GTFRCSWKMPXRRL3Y","GSON1112160260")</f>
        <v>#NAME?</v>
      </c>
      <c r="F2348" s="28" t="e">
        <f ca="1">[1]!BexGetData("DP_1","003N8EMH8GTFRCSWKMPXRRRFI","GSON1112160260")</f>
        <v>#NAME?</v>
      </c>
      <c r="G2348" s="23" t="e">
        <f ca="1">[1]!BexGetData("DP_1","003N8EMH8GTFRCSWKMPXRRXR2","GSON1112160260")</f>
        <v>#NAME?</v>
      </c>
      <c r="H2348" s="23" t="e">
        <f ca="1">[1]!BexGetData("DP_1","003N8EMH8GTFRCSWKMPXRS42M","GSON1112160260")</f>
        <v>#NAME?</v>
      </c>
      <c r="I2348" s="28" t="e">
        <f ca="1">[1]!BexGetData("DP_1","003N8EMH8GTFRCSWKMPXRSAE6","GSON1112160260")</f>
        <v>#NAME?</v>
      </c>
      <c r="J2348" s="23" t="e">
        <f ca="1">[1]!BexGetData("DP_1","003N8EMH8GTFRCSWKMPXRSGPQ","GSON1112160260")</f>
        <v>#NAME?</v>
      </c>
      <c r="K2348" s="28" t="e">
        <f ca="1">[1]!BexGetData("DP_1","003N8EMH8GTFRIVNUPY288VJH","GSON1112160260")</f>
        <v>#NAME?</v>
      </c>
      <c r="L2348" s="28" t="e">
        <f ca="1">[1]!BexGetData("DP_1","003N8EMH8GTFRIVNUPY2891V1","GSON1112160260")</f>
        <v>#NAME?</v>
      </c>
      <c r="M2348" s="28" t="e">
        <f ca="1">[1]!BexGetData("DP_1","003N8EMH8GTFRIVOG7KG9IQXA","GSON1112160260")</f>
        <v>#NAME?</v>
      </c>
      <c r="N2348" s="28" t="e">
        <f ca="1">[1]!BexGetData("DP_1","003N8EMH8GTFRIVOG7KG9IX8U","GSON1112160260")</f>
        <v>#NAME?</v>
      </c>
      <c r="O2348" s="28" t="e">
        <f ca="1">[1]!BexGetData("DP_1","003N8EMH8GTFRIVOG7KG9J3KE","GSON1112160260")</f>
        <v>#NAME?</v>
      </c>
      <c r="P2348" s="28" t="e">
        <f ca="1">[1]!BexGetData("DP_1","003N8EMH8GTFRIVOG7KG9J9VY","GSON1112160260")</f>
        <v>#NAME?</v>
      </c>
      <c r="Q2348" s="23" t="e">
        <f ca="1">[1]!BexGetData("DP_1","00O2TNJGODT0G5Z4TTKYMM5MT","GSON1112160260")</f>
        <v>#NAME?</v>
      </c>
      <c r="R2348" s="23" t="e">
        <f ca="1">[1]!BexGetData("DP_1","00O2TNJGODT0G5Z4TTKYMMBYD","GSON1112160260")</f>
        <v>#NAME?</v>
      </c>
      <c r="S2348" s="23" t="e">
        <f ca="1">[1]!BexGetData("DP_1","00O2TNJGODT0G5Z4TTKYMMI9X","GSON1112160260")</f>
        <v>#NAME?</v>
      </c>
      <c r="T2348" s="23" t="e">
        <f ca="1">[1]!BexGetData("DP_1","00O2TNJGODT0G5Z4TTKYMMOLH","GSON1112160260")</f>
        <v>#NAME?</v>
      </c>
      <c r="U2348" s="28" t="e">
        <f ca="1">[1]!BexGetData("DP_1","00O2TNJGODT0G5Z4TTKYMMUX1","GSON1112160260")</f>
        <v>#NAME?</v>
      </c>
      <c r="V2348" s="23" t="e">
        <f ca="1">[1]!BexGetData("DP_1","00O2TNJGODT0G5Z4TTKYMN18L","GSON1112160260")</f>
        <v>#NAME?</v>
      </c>
      <c r="W2348" s="28" t="e">
        <f ca="1">[1]!BexGetData("DP_1","00O2TNJGODT0G5Z4TTKYMN7K5","GSON1112160260")</f>
        <v>#NAME?</v>
      </c>
    </row>
    <row r="2349" spans="1:23" x14ac:dyDescent="0.2">
      <c r="A2349" s="36" t="s">
        <v>5655</v>
      </c>
      <c r="B2349" s="27" t="s">
        <v>5656</v>
      </c>
      <c r="C2349" s="24" t="e">
        <f ca="1">[1]!BexGetData("DP_1","003N8EMH8GTFRCSWKMPXRR8GU","GSON1112160263")</f>
        <v>#NAME?</v>
      </c>
      <c r="D2349" s="24" t="e">
        <f ca="1">[1]!BexGetData("DP_1","003N8EMH8GTFRCSWKMPXRRESE","GSON1112160263")</f>
        <v>#NAME?</v>
      </c>
      <c r="E2349" s="24" t="e">
        <f ca="1">[1]!BexGetData("DP_1","003N8EMH8GTFRCSWKMPXRRL3Y","GSON1112160263")</f>
        <v>#NAME?</v>
      </c>
      <c r="F2349" s="28" t="e">
        <f ca="1">[1]!BexGetData("DP_1","003N8EMH8GTFRCSWKMPXRRRFI","GSON1112160263")</f>
        <v>#NAME?</v>
      </c>
      <c r="G2349" s="23" t="e">
        <f ca="1">[1]!BexGetData("DP_1","003N8EMH8GTFRCSWKMPXRRXR2","GSON1112160263")</f>
        <v>#NAME?</v>
      </c>
      <c r="H2349" s="23" t="e">
        <f ca="1">[1]!BexGetData("DP_1","003N8EMH8GTFRCSWKMPXRS42M","GSON1112160263")</f>
        <v>#NAME?</v>
      </c>
      <c r="I2349" s="28" t="e">
        <f ca="1">[1]!BexGetData("DP_1","003N8EMH8GTFRCSWKMPXRSAE6","GSON1112160263")</f>
        <v>#NAME?</v>
      </c>
      <c r="J2349" s="24" t="e">
        <f ca="1">[1]!BexGetData("DP_1","003N8EMH8GTFRCSWKMPXRSGPQ","GSON1112160263")</f>
        <v>#NAME?</v>
      </c>
      <c r="K2349" s="28" t="e">
        <f ca="1">[1]!BexGetData("DP_1","003N8EMH8GTFRIVNUPY288VJH","GSON1112160263")</f>
        <v>#NAME?</v>
      </c>
      <c r="L2349" s="28" t="e">
        <f ca="1">[1]!BexGetData("DP_1","003N8EMH8GTFRIVNUPY2891V1","GSON1112160263")</f>
        <v>#NAME?</v>
      </c>
      <c r="M2349" s="28" t="e">
        <f ca="1">[1]!BexGetData("DP_1","003N8EMH8GTFRIVOG7KG9IQXA","GSON1112160263")</f>
        <v>#NAME?</v>
      </c>
      <c r="N2349" s="28" t="e">
        <f ca="1">[1]!BexGetData("DP_1","003N8EMH8GTFRIVOG7KG9IX8U","GSON1112160263")</f>
        <v>#NAME?</v>
      </c>
      <c r="O2349" s="28" t="e">
        <f ca="1">[1]!BexGetData("DP_1","003N8EMH8GTFRIVOG7KG9J3KE","GSON1112160263")</f>
        <v>#NAME?</v>
      </c>
      <c r="P2349" s="28" t="e">
        <f ca="1">[1]!BexGetData("DP_1","003N8EMH8GTFRIVOG7KG9J9VY","GSON1112160263")</f>
        <v>#NAME?</v>
      </c>
      <c r="Q2349" s="24" t="e">
        <f ca="1">[1]!BexGetData("DP_1","00O2TNJGODT0G5Z4TTKYMM5MT","GSON1112160263")</f>
        <v>#NAME?</v>
      </c>
      <c r="R2349" s="28" t="e">
        <f ca="1">[1]!BexGetData("DP_1","00O2TNJGODT0G5Z4TTKYMMBYD","GSON1112160263")</f>
        <v>#NAME?</v>
      </c>
      <c r="S2349" s="28" t="e">
        <f ca="1">[1]!BexGetData("DP_1","00O2TNJGODT0G5Z4TTKYMMI9X","GSON1112160263")</f>
        <v>#NAME?</v>
      </c>
      <c r="T2349" s="28" t="e">
        <f ca="1">[1]!BexGetData("DP_1","00O2TNJGODT0G5Z4TTKYMMOLH","GSON1112160263")</f>
        <v>#NAME?</v>
      </c>
      <c r="U2349" s="28" t="e">
        <f ca="1">[1]!BexGetData("DP_1","00O2TNJGODT0G5Z4TTKYMMUX1","GSON1112160263")</f>
        <v>#NAME?</v>
      </c>
      <c r="V2349" s="28" t="e">
        <f ca="1">[1]!BexGetData("DP_1","00O2TNJGODT0G5Z4TTKYMN18L","GSON1112160263")</f>
        <v>#NAME?</v>
      </c>
      <c r="W2349" s="28" t="e">
        <f ca="1">[1]!BexGetData("DP_1","00O2TNJGODT0G5Z4TTKYMN7K5","GSON1112160263")</f>
        <v>#NAME?</v>
      </c>
    </row>
    <row r="2350" spans="1:23" x14ac:dyDescent="0.2">
      <c r="A2350" s="36" t="s">
        <v>5657</v>
      </c>
      <c r="B2350" s="27" t="s">
        <v>5658</v>
      </c>
      <c r="C2350" s="28" t="e">
        <f ca="1">[1]!BexGetData("DP_1","003N8EMH8GTFRCSWKMPXRR8GU","GSON1112160265")</f>
        <v>#NAME?</v>
      </c>
      <c r="D2350" s="28" t="e">
        <f ca="1">[1]!BexGetData("DP_1","003N8EMH8GTFRCSWKMPXRRESE","GSON1112160265")</f>
        <v>#NAME?</v>
      </c>
      <c r="E2350" s="28" t="e">
        <f ca="1">[1]!BexGetData("DP_1","003N8EMH8GTFRCSWKMPXRRL3Y","GSON1112160265")</f>
        <v>#NAME?</v>
      </c>
      <c r="F2350" s="28" t="e">
        <f ca="1">[1]!BexGetData("DP_1","003N8EMH8GTFRCSWKMPXRRRFI","GSON1112160265")</f>
        <v>#NAME?</v>
      </c>
      <c r="G2350" s="23" t="e">
        <f ca="1">[1]!BexGetData("DP_1","003N8EMH8GTFRCSWKMPXRRXR2","GSON1112160265")</f>
        <v>#NAME?</v>
      </c>
      <c r="H2350" s="23" t="e">
        <f ca="1">[1]!BexGetData("DP_1","003N8EMH8GTFRCSWKMPXRS42M","GSON1112160265")</f>
        <v>#NAME?</v>
      </c>
      <c r="I2350" s="28" t="e">
        <f ca="1">[1]!BexGetData("DP_1","003N8EMH8GTFRCSWKMPXRSAE6","GSON1112160265")</f>
        <v>#NAME?</v>
      </c>
      <c r="J2350" s="24" t="e">
        <f ca="1">[1]!BexGetData("DP_1","003N8EMH8GTFRCSWKMPXRSGPQ","GSON1112160265")</f>
        <v>#NAME?</v>
      </c>
      <c r="K2350" s="28" t="e">
        <f ca="1">[1]!BexGetData("DP_1","003N8EMH8GTFRIVNUPY288VJH","GSON1112160265")</f>
        <v>#NAME?</v>
      </c>
      <c r="L2350" s="28" t="e">
        <f ca="1">[1]!BexGetData("DP_1","003N8EMH8GTFRIVNUPY2891V1","GSON1112160265")</f>
        <v>#NAME?</v>
      </c>
      <c r="M2350" s="28" t="e">
        <f ca="1">[1]!BexGetData("DP_1","003N8EMH8GTFRIVOG7KG9IQXA","GSON1112160265")</f>
        <v>#NAME?</v>
      </c>
      <c r="N2350" s="28" t="e">
        <f ca="1">[1]!BexGetData("DP_1","003N8EMH8GTFRIVOG7KG9IX8U","GSON1112160265")</f>
        <v>#NAME?</v>
      </c>
      <c r="O2350" s="28" t="e">
        <f ca="1">[1]!BexGetData("DP_1","003N8EMH8GTFRIVOG7KG9J3KE","GSON1112160265")</f>
        <v>#NAME?</v>
      </c>
      <c r="P2350" s="28" t="e">
        <f ca="1">[1]!BexGetData("DP_1","003N8EMH8GTFRIVOG7KG9J9VY","GSON1112160265")</f>
        <v>#NAME?</v>
      </c>
      <c r="Q2350" s="24" t="e">
        <f ca="1">[1]!BexGetData("DP_1","00O2TNJGODT0G5Z4TTKYMM5MT","GSON1112160265")</f>
        <v>#NAME?</v>
      </c>
      <c r="R2350" s="28" t="e">
        <f ca="1">[1]!BexGetData("DP_1","00O2TNJGODT0G5Z4TTKYMMBYD","GSON1112160265")</f>
        <v>#NAME?</v>
      </c>
      <c r="S2350" s="28" t="e">
        <f ca="1">[1]!BexGetData("DP_1","00O2TNJGODT0G5Z4TTKYMMI9X","GSON1112160265")</f>
        <v>#NAME?</v>
      </c>
      <c r="T2350" s="28" t="e">
        <f ca="1">[1]!BexGetData("DP_1","00O2TNJGODT0G5Z4TTKYMMOLH","GSON1112160265")</f>
        <v>#NAME?</v>
      </c>
      <c r="U2350" s="28" t="e">
        <f ca="1">[1]!BexGetData("DP_1","00O2TNJGODT0G5Z4TTKYMMUX1","GSON1112160265")</f>
        <v>#NAME?</v>
      </c>
      <c r="V2350" s="28" t="e">
        <f ca="1">[1]!BexGetData("DP_1","00O2TNJGODT0G5Z4TTKYMN18L","GSON1112160265")</f>
        <v>#NAME?</v>
      </c>
      <c r="W2350" s="28" t="e">
        <f ca="1">[1]!BexGetData("DP_1","00O2TNJGODT0G5Z4TTKYMN7K5","GSON1112160265")</f>
        <v>#NAME?</v>
      </c>
    </row>
    <row r="2351" spans="1:23" x14ac:dyDescent="0.2">
      <c r="A2351" s="36" t="s">
        <v>5659</v>
      </c>
      <c r="B2351" s="27" t="s">
        <v>5660</v>
      </c>
      <c r="C2351" s="28" t="e">
        <f ca="1">[1]!BexGetData("DP_1","003N8EMH8GTFRCSWKMPXRR8GU","GSON1112160270")</f>
        <v>#NAME?</v>
      </c>
      <c r="D2351" s="23" t="e">
        <f ca="1">[1]!BexGetData("DP_1","003N8EMH8GTFRCSWKMPXRRESE","GSON1112160270")</f>
        <v>#NAME?</v>
      </c>
      <c r="E2351" s="28" t="e">
        <f ca="1">[1]!BexGetData("DP_1","003N8EMH8GTFRCSWKMPXRRL3Y","GSON1112160270")</f>
        <v>#NAME?</v>
      </c>
      <c r="F2351" s="23" t="e">
        <f ca="1">[1]!BexGetData("DP_1","003N8EMH8GTFRCSWKMPXRRRFI","GSON1112160270")</f>
        <v>#NAME?</v>
      </c>
      <c r="G2351" s="28" t="e">
        <f ca="1">[1]!BexGetData("DP_1","003N8EMH8GTFRCSWKMPXRRXR2","GSON1112160270")</f>
        <v>#NAME?</v>
      </c>
      <c r="H2351" s="28" t="e">
        <f ca="1">[1]!BexGetData("DP_1","003N8EMH8GTFRCSWKMPXRS42M","GSON1112160270")</f>
        <v>#NAME?</v>
      </c>
      <c r="I2351" s="23" t="e">
        <f ca="1">[1]!BexGetData("DP_1","003N8EMH8GTFRCSWKMPXRSAE6","GSON1112160270")</f>
        <v>#NAME?</v>
      </c>
      <c r="J2351" s="23" t="e">
        <f ca="1">[1]!BexGetData("DP_1","003N8EMH8GTFRCSWKMPXRSGPQ","GSON1112160270")</f>
        <v>#NAME?</v>
      </c>
      <c r="K2351" s="23" t="e">
        <f ca="1">[1]!BexGetData("DP_1","003N8EMH8GTFRIVNUPY288VJH","GSON1112160270")</f>
        <v>#NAME?</v>
      </c>
      <c r="L2351" s="23" t="e">
        <f ca="1">[1]!BexGetData("DP_1","003N8EMH8GTFRIVNUPY2891V1","GSON1112160270")</f>
        <v>#NAME?</v>
      </c>
      <c r="M2351" s="23" t="e">
        <f ca="1">[1]!BexGetData("DP_1","003N8EMH8GTFRIVOG7KG9IQXA","GSON1112160270")</f>
        <v>#NAME?</v>
      </c>
      <c r="N2351" s="28" t="e">
        <f ca="1">[1]!BexGetData("DP_1","003N8EMH8GTFRIVOG7KG9IX8U","GSON1112160270")</f>
        <v>#NAME?</v>
      </c>
      <c r="O2351" s="23" t="e">
        <f ca="1">[1]!BexGetData("DP_1","003N8EMH8GTFRIVOG7KG9J3KE","GSON1112160270")</f>
        <v>#NAME?</v>
      </c>
      <c r="P2351" s="28" t="e">
        <f ca="1">[1]!BexGetData("DP_1","003N8EMH8GTFRIVOG7KG9J9VY","GSON1112160270")</f>
        <v>#NAME?</v>
      </c>
      <c r="Q2351" s="23" t="e">
        <f ca="1">[1]!BexGetData("DP_1","00O2TNJGODT0G5Z4TTKYMM5MT","GSON1112160270")</f>
        <v>#NAME?</v>
      </c>
      <c r="R2351" s="28" t="e">
        <f ca="1">[1]!BexGetData("DP_1","00O2TNJGODT0G5Z4TTKYMMBYD","GSON1112160270")</f>
        <v>#NAME?</v>
      </c>
      <c r="S2351" s="28" t="e">
        <f ca="1">[1]!BexGetData("DP_1","00O2TNJGODT0G5Z4TTKYMMI9X","GSON1112160270")</f>
        <v>#NAME?</v>
      </c>
      <c r="T2351" s="28" t="e">
        <f ca="1">[1]!BexGetData("DP_1","00O2TNJGODT0G5Z4TTKYMMOLH","GSON1112160270")</f>
        <v>#NAME?</v>
      </c>
      <c r="U2351" s="28" t="e">
        <f ca="1">[1]!BexGetData("DP_1","00O2TNJGODT0G5Z4TTKYMMUX1","GSON1112160270")</f>
        <v>#NAME?</v>
      </c>
      <c r="V2351" s="28" t="e">
        <f ca="1">[1]!BexGetData("DP_1","00O2TNJGODT0G5Z4TTKYMN18L","GSON1112160270")</f>
        <v>#NAME?</v>
      </c>
      <c r="W2351" s="28" t="e">
        <f ca="1">[1]!BexGetData("DP_1","00O2TNJGODT0G5Z4TTKYMN7K5","GSON1112160270")</f>
        <v>#NAME?</v>
      </c>
    </row>
    <row r="2352" spans="1:23" x14ac:dyDescent="0.2">
      <c r="A2352" s="36" t="s">
        <v>5661</v>
      </c>
      <c r="B2352" s="27" t="s">
        <v>5662</v>
      </c>
      <c r="C2352" s="23" t="e">
        <f ca="1">[1]!BexGetData("DP_1","003N8EMH8GTFRCSWKMPXRR8GU","GSON1112160273")</f>
        <v>#NAME?</v>
      </c>
      <c r="D2352" s="23" t="e">
        <f ca="1">[1]!BexGetData("DP_1","003N8EMH8GTFRCSWKMPXRRESE","GSON1112160273")</f>
        <v>#NAME?</v>
      </c>
      <c r="E2352" s="28" t="e">
        <f ca="1">[1]!BexGetData("DP_1","003N8EMH8GTFRCSWKMPXRRL3Y","GSON1112160273")</f>
        <v>#NAME?</v>
      </c>
      <c r="F2352" s="24" t="e">
        <f ca="1">[1]!BexGetData("DP_1","003N8EMH8GTFRCSWKMPXRRRFI","GSON1112160273")</f>
        <v>#NAME?</v>
      </c>
      <c r="G2352" s="24" t="e">
        <f ca="1">[1]!BexGetData("DP_1","003N8EMH8GTFRCSWKMPXRRXR2","GSON1112160273")</f>
        <v>#NAME?</v>
      </c>
      <c r="H2352" s="24" t="e">
        <f ca="1">[1]!BexGetData("DP_1","003N8EMH8GTFRCSWKMPXRS42M","GSON1112160273")</f>
        <v>#NAME?</v>
      </c>
      <c r="I2352" s="24" t="e">
        <f ca="1">[1]!BexGetData("DP_1","003N8EMH8GTFRCSWKMPXRSAE6","GSON1112160273")</f>
        <v>#NAME?</v>
      </c>
      <c r="J2352" s="24" t="e">
        <f ca="1">[1]!BexGetData("DP_1","003N8EMH8GTFRCSWKMPXRSGPQ","GSON1112160273")</f>
        <v>#NAME?</v>
      </c>
      <c r="K2352" s="28" t="e">
        <f ca="1">[1]!BexGetData("DP_1","003N8EMH8GTFRIVNUPY288VJH","GSON1112160273")</f>
        <v>#NAME?</v>
      </c>
      <c r="L2352" s="28" t="e">
        <f ca="1">[1]!BexGetData("DP_1","003N8EMH8GTFRIVNUPY2891V1","GSON1112160273")</f>
        <v>#NAME?</v>
      </c>
      <c r="M2352" s="28" t="e">
        <f ca="1">[1]!BexGetData("DP_1","003N8EMH8GTFRIVOG7KG9IQXA","GSON1112160273")</f>
        <v>#NAME?</v>
      </c>
      <c r="N2352" s="28" t="e">
        <f ca="1">[1]!BexGetData("DP_1","003N8EMH8GTFRIVOG7KG9IX8U","GSON1112160273")</f>
        <v>#NAME?</v>
      </c>
      <c r="O2352" s="28" t="e">
        <f ca="1">[1]!BexGetData("DP_1","003N8EMH8GTFRIVOG7KG9J3KE","GSON1112160273")</f>
        <v>#NAME?</v>
      </c>
      <c r="P2352" s="28" t="e">
        <f ca="1">[1]!BexGetData("DP_1","003N8EMH8GTFRIVOG7KG9J9VY","GSON1112160273")</f>
        <v>#NAME?</v>
      </c>
      <c r="Q2352" s="24" t="e">
        <f ca="1">[1]!BexGetData("DP_1","00O2TNJGODT0G5Z4TTKYMM5MT","GSON1112160273")</f>
        <v>#NAME?</v>
      </c>
      <c r="R2352" s="24" t="e">
        <f ca="1">[1]!BexGetData("DP_1","00O2TNJGODT0G5Z4TTKYMMBYD","GSON1112160273")</f>
        <v>#NAME?</v>
      </c>
      <c r="S2352" s="24" t="e">
        <f ca="1">[1]!BexGetData("DP_1","00O2TNJGODT0G5Z4TTKYMMI9X","GSON1112160273")</f>
        <v>#NAME?</v>
      </c>
      <c r="T2352" s="24" t="e">
        <f ca="1">[1]!BexGetData("DP_1","00O2TNJGODT0G5Z4TTKYMMOLH","GSON1112160273")</f>
        <v>#NAME?</v>
      </c>
      <c r="U2352" s="24" t="e">
        <f ca="1">[1]!BexGetData("DP_1","00O2TNJGODT0G5Z4TTKYMMUX1","GSON1112160273")</f>
        <v>#NAME?</v>
      </c>
      <c r="V2352" s="24" t="e">
        <f ca="1">[1]!BexGetData("DP_1","00O2TNJGODT0G5Z4TTKYMN18L","GSON1112160273")</f>
        <v>#NAME?</v>
      </c>
      <c r="W2352" s="24" t="e">
        <f ca="1">[1]!BexGetData("DP_1","00O2TNJGODT0G5Z4TTKYMN7K5","GSON1112160273")</f>
        <v>#NAME?</v>
      </c>
    </row>
    <row r="2353" spans="1:23" x14ac:dyDescent="0.2">
      <c r="A2353" s="36" t="s">
        <v>5663</v>
      </c>
      <c r="B2353" s="27" t="s">
        <v>5664</v>
      </c>
      <c r="C2353" s="23" t="e">
        <f ca="1">[1]!BexGetData("DP_1","003N8EMH8GTFRCSWKMPXRR8GU","GSON1112160274")</f>
        <v>#NAME?</v>
      </c>
      <c r="D2353" s="23" t="e">
        <f ca="1">[1]!BexGetData("DP_1","003N8EMH8GTFRCSWKMPXRRESE","GSON1112160274")</f>
        <v>#NAME?</v>
      </c>
      <c r="E2353" s="28" t="e">
        <f ca="1">[1]!BexGetData("DP_1","003N8EMH8GTFRCSWKMPXRRL3Y","GSON1112160274")</f>
        <v>#NAME?</v>
      </c>
      <c r="F2353" s="24" t="e">
        <f ca="1">[1]!BexGetData("DP_1","003N8EMH8GTFRCSWKMPXRRRFI","GSON1112160274")</f>
        <v>#NAME?</v>
      </c>
      <c r="G2353" s="24" t="e">
        <f ca="1">[1]!BexGetData("DP_1","003N8EMH8GTFRCSWKMPXRRXR2","GSON1112160274")</f>
        <v>#NAME?</v>
      </c>
      <c r="H2353" s="24" t="e">
        <f ca="1">[1]!BexGetData("DP_1","003N8EMH8GTFRCSWKMPXRS42M","GSON1112160274")</f>
        <v>#NAME?</v>
      </c>
      <c r="I2353" s="24" t="e">
        <f ca="1">[1]!BexGetData("DP_1","003N8EMH8GTFRCSWKMPXRSAE6","GSON1112160274")</f>
        <v>#NAME?</v>
      </c>
      <c r="J2353" s="24" t="e">
        <f ca="1">[1]!BexGetData("DP_1","003N8EMH8GTFRCSWKMPXRSGPQ","GSON1112160274")</f>
        <v>#NAME?</v>
      </c>
      <c r="K2353" s="28" t="e">
        <f ca="1">[1]!BexGetData("DP_1","003N8EMH8GTFRIVNUPY288VJH","GSON1112160274")</f>
        <v>#NAME?</v>
      </c>
      <c r="L2353" s="28" t="e">
        <f ca="1">[1]!BexGetData("DP_1","003N8EMH8GTFRIVNUPY2891V1","GSON1112160274")</f>
        <v>#NAME?</v>
      </c>
      <c r="M2353" s="28" t="e">
        <f ca="1">[1]!BexGetData("DP_1","003N8EMH8GTFRIVOG7KG9IQXA","GSON1112160274")</f>
        <v>#NAME?</v>
      </c>
      <c r="N2353" s="28" t="e">
        <f ca="1">[1]!BexGetData("DP_1","003N8EMH8GTFRIVOG7KG9IX8U","GSON1112160274")</f>
        <v>#NAME?</v>
      </c>
      <c r="O2353" s="28" t="e">
        <f ca="1">[1]!BexGetData("DP_1","003N8EMH8GTFRIVOG7KG9J3KE","GSON1112160274")</f>
        <v>#NAME?</v>
      </c>
      <c r="P2353" s="28" t="e">
        <f ca="1">[1]!BexGetData("DP_1","003N8EMH8GTFRIVOG7KG9J9VY","GSON1112160274")</f>
        <v>#NAME?</v>
      </c>
      <c r="Q2353" s="24" t="e">
        <f ca="1">[1]!BexGetData("DP_1","00O2TNJGODT0G5Z4TTKYMM5MT","GSON1112160274")</f>
        <v>#NAME?</v>
      </c>
      <c r="R2353" s="24" t="e">
        <f ca="1">[1]!BexGetData("DP_1","00O2TNJGODT0G5Z4TTKYMMBYD","GSON1112160274")</f>
        <v>#NAME?</v>
      </c>
      <c r="S2353" s="24" t="e">
        <f ca="1">[1]!BexGetData("DP_1","00O2TNJGODT0G5Z4TTKYMMI9X","GSON1112160274")</f>
        <v>#NAME?</v>
      </c>
      <c r="T2353" s="24" t="e">
        <f ca="1">[1]!BexGetData("DP_1","00O2TNJGODT0G5Z4TTKYMMOLH","GSON1112160274")</f>
        <v>#NAME?</v>
      </c>
      <c r="U2353" s="24" t="e">
        <f ca="1">[1]!BexGetData("DP_1","00O2TNJGODT0G5Z4TTKYMMUX1","GSON1112160274")</f>
        <v>#NAME?</v>
      </c>
      <c r="V2353" s="24" t="e">
        <f ca="1">[1]!BexGetData("DP_1","00O2TNJGODT0G5Z4TTKYMN18L","GSON1112160274")</f>
        <v>#NAME?</v>
      </c>
      <c r="W2353" s="24" t="e">
        <f ca="1">[1]!BexGetData("DP_1","00O2TNJGODT0G5Z4TTKYMN7K5","GSON1112160274")</f>
        <v>#NAME?</v>
      </c>
    </row>
    <row r="2354" spans="1:23" x14ac:dyDescent="0.2">
      <c r="A2354" s="36" t="s">
        <v>5665</v>
      </c>
      <c r="B2354" s="27" t="s">
        <v>5666</v>
      </c>
      <c r="C2354" s="23" t="e">
        <f ca="1">[1]!BexGetData("DP_1","003N8EMH8GTFRCSWKMPXRR8GU","GSON1112160280")</f>
        <v>#NAME?</v>
      </c>
      <c r="D2354" s="23" t="e">
        <f ca="1">[1]!BexGetData("DP_1","003N8EMH8GTFRCSWKMPXRRESE","GSON1112160280")</f>
        <v>#NAME?</v>
      </c>
      <c r="E2354" s="23" t="e">
        <f ca="1">[1]!BexGetData("DP_1","003N8EMH8GTFRCSWKMPXRRL3Y","GSON1112160280")</f>
        <v>#NAME?</v>
      </c>
      <c r="F2354" s="23" t="e">
        <f ca="1">[1]!BexGetData("DP_1","003N8EMH8GTFRCSWKMPXRRRFI","GSON1112160280")</f>
        <v>#NAME?</v>
      </c>
      <c r="G2354" s="23" t="e">
        <f ca="1">[1]!BexGetData("DP_1","003N8EMH8GTFRCSWKMPXRRXR2","GSON1112160280")</f>
        <v>#NAME?</v>
      </c>
      <c r="H2354" s="23" t="e">
        <f ca="1">[1]!BexGetData("DP_1","003N8EMH8GTFRCSWKMPXRS42M","GSON1112160280")</f>
        <v>#NAME?</v>
      </c>
      <c r="I2354" s="23" t="e">
        <f ca="1">[1]!BexGetData("DP_1","003N8EMH8GTFRCSWKMPXRSAE6","GSON1112160280")</f>
        <v>#NAME?</v>
      </c>
      <c r="J2354" s="23" t="e">
        <f ca="1">[1]!BexGetData("DP_1","003N8EMH8GTFRCSWKMPXRSGPQ","GSON1112160280")</f>
        <v>#NAME?</v>
      </c>
      <c r="K2354" s="23" t="e">
        <f ca="1">[1]!BexGetData("DP_1","003N8EMH8GTFRIVNUPY288VJH","GSON1112160280")</f>
        <v>#NAME?</v>
      </c>
      <c r="L2354" s="23" t="e">
        <f ca="1">[1]!BexGetData("DP_1","003N8EMH8GTFRIVNUPY2891V1","GSON1112160280")</f>
        <v>#NAME?</v>
      </c>
      <c r="M2354" s="23" t="e">
        <f ca="1">[1]!BexGetData("DP_1","003N8EMH8GTFRIVOG7KG9IQXA","GSON1112160280")</f>
        <v>#NAME?</v>
      </c>
      <c r="N2354" s="28" t="e">
        <f ca="1">[1]!BexGetData("DP_1","003N8EMH8GTFRIVOG7KG9IX8U","GSON1112160280")</f>
        <v>#NAME?</v>
      </c>
      <c r="O2354" s="23" t="e">
        <f ca="1">[1]!BexGetData("DP_1","003N8EMH8GTFRIVOG7KG9J3KE","GSON1112160280")</f>
        <v>#NAME?</v>
      </c>
      <c r="P2354" s="28" t="e">
        <f ca="1">[1]!BexGetData("DP_1","003N8EMH8GTFRIVOG7KG9J9VY","GSON1112160280")</f>
        <v>#NAME?</v>
      </c>
      <c r="Q2354" s="23" t="e">
        <f ca="1">[1]!BexGetData("DP_1","00O2TNJGODT0G5Z4TTKYMM5MT","GSON1112160280")</f>
        <v>#NAME?</v>
      </c>
      <c r="R2354" s="23" t="e">
        <f ca="1">[1]!BexGetData("DP_1","00O2TNJGODT0G5Z4TTKYMMBYD","GSON1112160280")</f>
        <v>#NAME?</v>
      </c>
      <c r="S2354" s="23" t="e">
        <f ca="1">[1]!BexGetData("DP_1","00O2TNJGODT0G5Z4TTKYMMI9X","GSON1112160280")</f>
        <v>#NAME?</v>
      </c>
      <c r="T2354" s="28" t="e">
        <f ca="1">[1]!BexGetData("DP_1","00O2TNJGODT0G5Z4TTKYMMOLH","GSON1112160280")</f>
        <v>#NAME?</v>
      </c>
      <c r="U2354" s="23" t="e">
        <f ca="1">[1]!BexGetData("DP_1","00O2TNJGODT0G5Z4TTKYMMUX1","GSON1112160280")</f>
        <v>#NAME?</v>
      </c>
      <c r="V2354" s="28" t="e">
        <f ca="1">[1]!BexGetData("DP_1","00O2TNJGODT0G5Z4TTKYMN18L","GSON1112160280")</f>
        <v>#NAME?</v>
      </c>
      <c r="W2354" s="23" t="e">
        <f ca="1">[1]!BexGetData("DP_1","00O2TNJGODT0G5Z4TTKYMN7K5","GSON1112160280")</f>
        <v>#NAME?</v>
      </c>
    </row>
    <row r="2355" spans="1:23" x14ac:dyDescent="0.2">
      <c r="A2355" s="36" t="s">
        <v>5667</v>
      </c>
      <c r="B2355" s="27" t="s">
        <v>5668</v>
      </c>
      <c r="C2355" s="23" t="e">
        <f ca="1">[1]!BexGetData("DP_1","003N8EMH8GTFRCSWKMPXRR8GU","GSON1112160281")</f>
        <v>#NAME?</v>
      </c>
      <c r="D2355" s="23" t="e">
        <f ca="1">[1]!BexGetData("DP_1","003N8EMH8GTFRCSWKMPXRRESE","GSON1112160281")</f>
        <v>#NAME?</v>
      </c>
      <c r="E2355" s="28" t="e">
        <f ca="1">[1]!BexGetData("DP_1","003N8EMH8GTFRCSWKMPXRRL3Y","GSON1112160281")</f>
        <v>#NAME?</v>
      </c>
      <c r="F2355" s="28" t="e">
        <f ca="1">[1]!BexGetData("DP_1","003N8EMH8GTFRCSWKMPXRRRFI","GSON1112160281")</f>
        <v>#NAME?</v>
      </c>
      <c r="G2355" s="23" t="e">
        <f ca="1">[1]!BexGetData("DP_1","003N8EMH8GTFRCSWKMPXRRXR2","GSON1112160281")</f>
        <v>#NAME?</v>
      </c>
      <c r="H2355" s="23" t="e">
        <f ca="1">[1]!BexGetData("DP_1","003N8EMH8GTFRCSWKMPXRS42M","GSON1112160281")</f>
        <v>#NAME?</v>
      </c>
      <c r="I2355" s="28" t="e">
        <f ca="1">[1]!BexGetData("DP_1","003N8EMH8GTFRCSWKMPXRSAE6","GSON1112160281")</f>
        <v>#NAME?</v>
      </c>
      <c r="J2355" s="24" t="e">
        <f ca="1">[1]!BexGetData("DP_1","003N8EMH8GTFRCSWKMPXRSGPQ","GSON1112160281")</f>
        <v>#NAME?</v>
      </c>
      <c r="K2355" s="28" t="e">
        <f ca="1">[1]!BexGetData("DP_1","003N8EMH8GTFRIVNUPY288VJH","GSON1112160281")</f>
        <v>#NAME?</v>
      </c>
      <c r="L2355" s="28" t="e">
        <f ca="1">[1]!BexGetData("DP_1","003N8EMH8GTFRIVNUPY2891V1","GSON1112160281")</f>
        <v>#NAME?</v>
      </c>
      <c r="M2355" s="28" t="e">
        <f ca="1">[1]!BexGetData("DP_1","003N8EMH8GTFRIVOG7KG9IQXA","GSON1112160281")</f>
        <v>#NAME?</v>
      </c>
      <c r="N2355" s="28" t="e">
        <f ca="1">[1]!BexGetData("DP_1","003N8EMH8GTFRIVOG7KG9IX8U","GSON1112160281")</f>
        <v>#NAME?</v>
      </c>
      <c r="O2355" s="28" t="e">
        <f ca="1">[1]!BexGetData("DP_1","003N8EMH8GTFRIVOG7KG9J3KE","GSON1112160281")</f>
        <v>#NAME?</v>
      </c>
      <c r="P2355" s="28" t="e">
        <f ca="1">[1]!BexGetData("DP_1","003N8EMH8GTFRIVOG7KG9J9VY","GSON1112160281")</f>
        <v>#NAME?</v>
      </c>
      <c r="Q2355" s="24" t="e">
        <f ca="1">[1]!BexGetData("DP_1","00O2TNJGODT0G5Z4TTKYMM5MT","GSON1112160281")</f>
        <v>#NAME?</v>
      </c>
      <c r="R2355" s="28" t="e">
        <f ca="1">[1]!BexGetData("DP_1","00O2TNJGODT0G5Z4TTKYMMBYD","GSON1112160281")</f>
        <v>#NAME?</v>
      </c>
      <c r="S2355" s="28" t="e">
        <f ca="1">[1]!BexGetData("DP_1","00O2TNJGODT0G5Z4TTKYMMI9X","GSON1112160281")</f>
        <v>#NAME?</v>
      </c>
      <c r="T2355" s="28" t="e">
        <f ca="1">[1]!BexGetData("DP_1","00O2TNJGODT0G5Z4TTKYMMOLH","GSON1112160281")</f>
        <v>#NAME?</v>
      </c>
      <c r="U2355" s="28" t="e">
        <f ca="1">[1]!BexGetData("DP_1","00O2TNJGODT0G5Z4TTKYMMUX1","GSON1112160281")</f>
        <v>#NAME?</v>
      </c>
      <c r="V2355" s="28" t="e">
        <f ca="1">[1]!BexGetData("DP_1","00O2TNJGODT0G5Z4TTKYMN18L","GSON1112160281")</f>
        <v>#NAME?</v>
      </c>
      <c r="W2355" s="28" t="e">
        <f ca="1">[1]!BexGetData("DP_1","00O2TNJGODT0G5Z4TTKYMN7K5","GSON1112160281")</f>
        <v>#NAME?</v>
      </c>
    </row>
    <row r="2356" spans="1:23" x14ac:dyDescent="0.2">
      <c r="A2356" s="36" t="s">
        <v>5669</v>
      </c>
      <c r="B2356" s="27" t="s">
        <v>5670</v>
      </c>
      <c r="C2356" s="23" t="e">
        <f ca="1">[1]!BexGetData("DP_1","003N8EMH8GTFRCSWKMPXRR8GU","GSON1112160283")</f>
        <v>#NAME?</v>
      </c>
      <c r="D2356" s="23" t="e">
        <f ca="1">[1]!BexGetData("DP_1","003N8EMH8GTFRCSWKMPXRRESE","GSON1112160283")</f>
        <v>#NAME?</v>
      </c>
      <c r="E2356" s="28" t="e">
        <f ca="1">[1]!BexGetData("DP_1","003N8EMH8GTFRCSWKMPXRRL3Y","GSON1112160283")</f>
        <v>#NAME?</v>
      </c>
      <c r="F2356" s="28" t="e">
        <f ca="1">[1]!BexGetData("DP_1","003N8EMH8GTFRCSWKMPXRRRFI","GSON1112160283")</f>
        <v>#NAME?</v>
      </c>
      <c r="G2356" s="23" t="e">
        <f ca="1">[1]!BexGetData("DP_1","003N8EMH8GTFRCSWKMPXRRXR2","GSON1112160283")</f>
        <v>#NAME?</v>
      </c>
      <c r="H2356" s="23" t="e">
        <f ca="1">[1]!BexGetData("DP_1","003N8EMH8GTFRCSWKMPXRS42M","GSON1112160283")</f>
        <v>#NAME?</v>
      </c>
      <c r="I2356" s="28" t="e">
        <f ca="1">[1]!BexGetData("DP_1","003N8EMH8GTFRCSWKMPXRSAE6","GSON1112160283")</f>
        <v>#NAME?</v>
      </c>
      <c r="J2356" s="24" t="e">
        <f ca="1">[1]!BexGetData("DP_1","003N8EMH8GTFRCSWKMPXRSGPQ","GSON1112160283")</f>
        <v>#NAME?</v>
      </c>
      <c r="K2356" s="28" t="e">
        <f ca="1">[1]!BexGetData("DP_1","003N8EMH8GTFRIVNUPY288VJH","GSON1112160283")</f>
        <v>#NAME?</v>
      </c>
      <c r="L2356" s="28" t="e">
        <f ca="1">[1]!BexGetData("DP_1","003N8EMH8GTFRIVNUPY2891V1","GSON1112160283")</f>
        <v>#NAME?</v>
      </c>
      <c r="M2356" s="28" t="e">
        <f ca="1">[1]!BexGetData("DP_1","003N8EMH8GTFRIVOG7KG9IQXA","GSON1112160283")</f>
        <v>#NAME?</v>
      </c>
      <c r="N2356" s="28" t="e">
        <f ca="1">[1]!BexGetData("DP_1","003N8EMH8GTFRIVOG7KG9IX8U","GSON1112160283")</f>
        <v>#NAME?</v>
      </c>
      <c r="O2356" s="28" t="e">
        <f ca="1">[1]!BexGetData("DP_1","003N8EMH8GTFRIVOG7KG9J3KE","GSON1112160283")</f>
        <v>#NAME?</v>
      </c>
      <c r="P2356" s="28" t="e">
        <f ca="1">[1]!BexGetData("DP_1","003N8EMH8GTFRIVOG7KG9J9VY","GSON1112160283")</f>
        <v>#NAME?</v>
      </c>
      <c r="Q2356" s="24" t="e">
        <f ca="1">[1]!BexGetData("DP_1","00O2TNJGODT0G5Z4TTKYMM5MT","GSON1112160283")</f>
        <v>#NAME?</v>
      </c>
      <c r="R2356" s="28" t="e">
        <f ca="1">[1]!BexGetData("DP_1","00O2TNJGODT0G5Z4TTKYMMBYD","GSON1112160283")</f>
        <v>#NAME?</v>
      </c>
      <c r="S2356" s="28" t="e">
        <f ca="1">[1]!BexGetData("DP_1","00O2TNJGODT0G5Z4TTKYMMI9X","GSON1112160283")</f>
        <v>#NAME?</v>
      </c>
      <c r="T2356" s="28" t="e">
        <f ca="1">[1]!BexGetData("DP_1","00O2TNJGODT0G5Z4TTKYMMOLH","GSON1112160283")</f>
        <v>#NAME?</v>
      </c>
      <c r="U2356" s="28" t="e">
        <f ca="1">[1]!BexGetData("DP_1","00O2TNJGODT0G5Z4TTKYMMUX1","GSON1112160283")</f>
        <v>#NAME?</v>
      </c>
      <c r="V2356" s="28" t="e">
        <f ca="1">[1]!BexGetData("DP_1","00O2TNJGODT0G5Z4TTKYMN18L","GSON1112160283")</f>
        <v>#NAME?</v>
      </c>
      <c r="W2356" s="28" t="e">
        <f ca="1">[1]!BexGetData("DP_1","00O2TNJGODT0G5Z4TTKYMN7K5","GSON1112160283")</f>
        <v>#NAME?</v>
      </c>
    </row>
    <row r="2357" spans="1:23" x14ac:dyDescent="0.2">
      <c r="A2357" s="36" t="s">
        <v>5671</v>
      </c>
      <c r="B2357" s="27" t="s">
        <v>5672</v>
      </c>
      <c r="C2357" s="23" t="e">
        <f ca="1">[1]!BexGetData("DP_1","003N8EMH8GTFRCSWKMPXRR8GU","GSON1112160284")</f>
        <v>#NAME?</v>
      </c>
      <c r="D2357" s="23" t="e">
        <f ca="1">[1]!BexGetData("DP_1","003N8EMH8GTFRCSWKMPXRRESE","GSON1112160284")</f>
        <v>#NAME?</v>
      </c>
      <c r="E2357" s="28" t="e">
        <f ca="1">[1]!BexGetData("DP_1","003N8EMH8GTFRCSWKMPXRRL3Y","GSON1112160284")</f>
        <v>#NAME?</v>
      </c>
      <c r="F2357" s="28" t="e">
        <f ca="1">[1]!BexGetData("DP_1","003N8EMH8GTFRCSWKMPXRRRFI","GSON1112160284")</f>
        <v>#NAME?</v>
      </c>
      <c r="G2357" s="23" t="e">
        <f ca="1">[1]!BexGetData("DP_1","003N8EMH8GTFRCSWKMPXRRXR2","GSON1112160284")</f>
        <v>#NAME?</v>
      </c>
      <c r="H2357" s="23" t="e">
        <f ca="1">[1]!BexGetData("DP_1","003N8EMH8GTFRCSWKMPXRS42M","GSON1112160284")</f>
        <v>#NAME?</v>
      </c>
      <c r="I2357" s="28" t="e">
        <f ca="1">[1]!BexGetData("DP_1","003N8EMH8GTFRCSWKMPXRSAE6","GSON1112160284")</f>
        <v>#NAME?</v>
      </c>
      <c r="J2357" s="24" t="e">
        <f ca="1">[1]!BexGetData("DP_1","003N8EMH8GTFRCSWKMPXRSGPQ","GSON1112160284")</f>
        <v>#NAME?</v>
      </c>
      <c r="K2357" s="28" t="e">
        <f ca="1">[1]!BexGetData("DP_1","003N8EMH8GTFRIVNUPY288VJH","GSON1112160284")</f>
        <v>#NAME?</v>
      </c>
      <c r="L2357" s="28" t="e">
        <f ca="1">[1]!BexGetData("DP_1","003N8EMH8GTFRIVNUPY2891V1","GSON1112160284")</f>
        <v>#NAME?</v>
      </c>
      <c r="M2357" s="28" t="e">
        <f ca="1">[1]!BexGetData("DP_1","003N8EMH8GTFRIVOG7KG9IQXA","GSON1112160284")</f>
        <v>#NAME?</v>
      </c>
      <c r="N2357" s="28" t="e">
        <f ca="1">[1]!BexGetData("DP_1","003N8EMH8GTFRIVOG7KG9IX8U","GSON1112160284")</f>
        <v>#NAME?</v>
      </c>
      <c r="O2357" s="28" t="e">
        <f ca="1">[1]!BexGetData("DP_1","003N8EMH8GTFRIVOG7KG9J3KE","GSON1112160284")</f>
        <v>#NAME?</v>
      </c>
      <c r="P2357" s="28" t="e">
        <f ca="1">[1]!BexGetData("DP_1","003N8EMH8GTFRIVOG7KG9J9VY","GSON1112160284")</f>
        <v>#NAME?</v>
      </c>
      <c r="Q2357" s="24" t="e">
        <f ca="1">[1]!BexGetData("DP_1","00O2TNJGODT0G5Z4TTKYMM5MT","GSON1112160284")</f>
        <v>#NAME?</v>
      </c>
      <c r="R2357" s="28" t="e">
        <f ca="1">[1]!BexGetData("DP_1","00O2TNJGODT0G5Z4TTKYMMBYD","GSON1112160284")</f>
        <v>#NAME?</v>
      </c>
      <c r="S2357" s="28" t="e">
        <f ca="1">[1]!BexGetData("DP_1","00O2TNJGODT0G5Z4TTKYMMI9X","GSON1112160284")</f>
        <v>#NAME?</v>
      </c>
      <c r="T2357" s="28" t="e">
        <f ca="1">[1]!BexGetData("DP_1","00O2TNJGODT0G5Z4TTKYMMOLH","GSON1112160284")</f>
        <v>#NAME?</v>
      </c>
      <c r="U2357" s="28" t="e">
        <f ca="1">[1]!BexGetData("DP_1","00O2TNJGODT0G5Z4TTKYMMUX1","GSON1112160284")</f>
        <v>#NAME?</v>
      </c>
      <c r="V2357" s="28" t="e">
        <f ca="1">[1]!BexGetData("DP_1","00O2TNJGODT0G5Z4TTKYMN18L","GSON1112160284")</f>
        <v>#NAME?</v>
      </c>
      <c r="W2357" s="28" t="e">
        <f ca="1">[1]!BexGetData("DP_1","00O2TNJGODT0G5Z4TTKYMN7K5","GSON1112160284")</f>
        <v>#NAME?</v>
      </c>
    </row>
    <row r="2358" spans="1:23" x14ac:dyDescent="0.2">
      <c r="A2358" s="36" t="s">
        <v>5673</v>
      </c>
      <c r="B2358" s="27" t="s">
        <v>5674</v>
      </c>
      <c r="C2358" s="23" t="e">
        <f ca="1">[1]!BexGetData("DP_1","003N8EMH8GTFRCSWKMPXRR8GU","GSON1112160285")</f>
        <v>#NAME?</v>
      </c>
      <c r="D2358" s="23" t="e">
        <f ca="1">[1]!BexGetData("DP_1","003N8EMH8GTFRCSWKMPXRRESE","GSON1112160285")</f>
        <v>#NAME?</v>
      </c>
      <c r="E2358" s="28" t="e">
        <f ca="1">[1]!BexGetData("DP_1","003N8EMH8GTFRCSWKMPXRRL3Y","GSON1112160285")</f>
        <v>#NAME?</v>
      </c>
      <c r="F2358" s="28" t="e">
        <f ca="1">[1]!BexGetData("DP_1","003N8EMH8GTFRCSWKMPXRRRFI","GSON1112160285")</f>
        <v>#NAME?</v>
      </c>
      <c r="G2358" s="23" t="e">
        <f ca="1">[1]!BexGetData("DP_1","003N8EMH8GTFRCSWKMPXRRXR2","GSON1112160285")</f>
        <v>#NAME?</v>
      </c>
      <c r="H2358" s="23" t="e">
        <f ca="1">[1]!BexGetData("DP_1","003N8EMH8GTFRCSWKMPXRS42M","GSON1112160285")</f>
        <v>#NAME?</v>
      </c>
      <c r="I2358" s="28" t="e">
        <f ca="1">[1]!BexGetData("DP_1","003N8EMH8GTFRCSWKMPXRSAE6","GSON1112160285")</f>
        <v>#NAME?</v>
      </c>
      <c r="J2358" s="24" t="e">
        <f ca="1">[1]!BexGetData("DP_1","003N8EMH8GTFRCSWKMPXRSGPQ","GSON1112160285")</f>
        <v>#NAME?</v>
      </c>
      <c r="K2358" s="28" t="e">
        <f ca="1">[1]!BexGetData("DP_1","003N8EMH8GTFRIVNUPY288VJH","GSON1112160285")</f>
        <v>#NAME?</v>
      </c>
      <c r="L2358" s="28" t="e">
        <f ca="1">[1]!BexGetData("DP_1","003N8EMH8GTFRIVNUPY2891V1","GSON1112160285")</f>
        <v>#NAME?</v>
      </c>
      <c r="M2358" s="28" t="e">
        <f ca="1">[1]!BexGetData("DP_1","003N8EMH8GTFRIVOG7KG9IQXA","GSON1112160285")</f>
        <v>#NAME?</v>
      </c>
      <c r="N2358" s="28" t="e">
        <f ca="1">[1]!BexGetData("DP_1","003N8EMH8GTFRIVOG7KG9IX8U","GSON1112160285")</f>
        <v>#NAME?</v>
      </c>
      <c r="O2358" s="28" t="e">
        <f ca="1">[1]!BexGetData("DP_1","003N8EMH8GTFRIVOG7KG9J3KE","GSON1112160285")</f>
        <v>#NAME?</v>
      </c>
      <c r="P2358" s="28" t="e">
        <f ca="1">[1]!BexGetData("DP_1","003N8EMH8GTFRIVOG7KG9J9VY","GSON1112160285")</f>
        <v>#NAME?</v>
      </c>
      <c r="Q2358" s="24" t="e">
        <f ca="1">[1]!BexGetData("DP_1","00O2TNJGODT0G5Z4TTKYMM5MT","GSON1112160285")</f>
        <v>#NAME?</v>
      </c>
      <c r="R2358" s="28" t="e">
        <f ca="1">[1]!BexGetData("DP_1","00O2TNJGODT0G5Z4TTKYMMBYD","GSON1112160285")</f>
        <v>#NAME?</v>
      </c>
      <c r="S2358" s="28" t="e">
        <f ca="1">[1]!BexGetData("DP_1","00O2TNJGODT0G5Z4TTKYMMI9X","GSON1112160285")</f>
        <v>#NAME?</v>
      </c>
      <c r="T2358" s="28" t="e">
        <f ca="1">[1]!BexGetData("DP_1","00O2TNJGODT0G5Z4TTKYMMOLH","GSON1112160285")</f>
        <v>#NAME?</v>
      </c>
      <c r="U2358" s="28" t="e">
        <f ca="1">[1]!BexGetData("DP_1","00O2TNJGODT0G5Z4TTKYMMUX1","GSON1112160285")</f>
        <v>#NAME?</v>
      </c>
      <c r="V2358" s="28" t="e">
        <f ca="1">[1]!BexGetData("DP_1","00O2TNJGODT0G5Z4TTKYMN18L","GSON1112160285")</f>
        <v>#NAME?</v>
      </c>
      <c r="W2358" s="28" t="e">
        <f ca="1">[1]!BexGetData("DP_1","00O2TNJGODT0G5Z4TTKYMN7K5","GSON1112160285")</f>
        <v>#NAME?</v>
      </c>
    </row>
    <row r="2359" spans="1:23" x14ac:dyDescent="0.2">
      <c r="A2359" s="36" t="s">
        <v>5675</v>
      </c>
      <c r="B2359" s="27" t="s">
        <v>5676</v>
      </c>
      <c r="C2359" s="23" t="e">
        <f ca="1">[1]!BexGetData("DP_1","003N8EMH8GTFRCSWKMPXRR8GU","GSON1112160290")</f>
        <v>#NAME?</v>
      </c>
      <c r="D2359" s="28" t="e">
        <f ca="1">[1]!BexGetData("DP_1","003N8EMH8GTFRCSWKMPXRRESE","GSON1112160290")</f>
        <v>#NAME?</v>
      </c>
      <c r="E2359" s="23" t="e">
        <f ca="1">[1]!BexGetData("DP_1","003N8EMH8GTFRCSWKMPXRRL3Y","GSON1112160290")</f>
        <v>#NAME?</v>
      </c>
      <c r="F2359" s="23" t="e">
        <f ca="1">[1]!BexGetData("DP_1","003N8EMH8GTFRCSWKMPXRRRFI","GSON1112160290")</f>
        <v>#NAME?</v>
      </c>
      <c r="G2359" s="23" t="e">
        <f ca="1">[1]!BexGetData("DP_1","003N8EMH8GTFRCSWKMPXRRXR2","GSON1112160290")</f>
        <v>#NAME?</v>
      </c>
      <c r="H2359" s="23" t="e">
        <f ca="1">[1]!BexGetData("DP_1","003N8EMH8GTFRCSWKMPXRS42M","GSON1112160290")</f>
        <v>#NAME?</v>
      </c>
      <c r="I2359" s="23" t="e">
        <f ca="1">[1]!BexGetData("DP_1","003N8EMH8GTFRCSWKMPXRSAE6","GSON1112160290")</f>
        <v>#NAME?</v>
      </c>
      <c r="J2359" s="23" t="e">
        <f ca="1">[1]!BexGetData("DP_1","003N8EMH8GTFRCSWKMPXRSGPQ","GSON1112160290")</f>
        <v>#NAME?</v>
      </c>
      <c r="K2359" s="23" t="e">
        <f ca="1">[1]!BexGetData("DP_1","003N8EMH8GTFRIVNUPY288VJH","GSON1112160290")</f>
        <v>#NAME?</v>
      </c>
      <c r="L2359" s="23" t="e">
        <f ca="1">[1]!BexGetData("DP_1","003N8EMH8GTFRIVNUPY2891V1","GSON1112160290")</f>
        <v>#NAME?</v>
      </c>
      <c r="M2359" s="28" t="e">
        <f ca="1">[1]!BexGetData("DP_1","003N8EMH8GTFRIVOG7KG9IQXA","GSON1112160290")</f>
        <v>#NAME?</v>
      </c>
      <c r="N2359" s="23" t="e">
        <f ca="1">[1]!BexGetData("DP_1","003N8EMH8GTFRIVOG7KG9IX8U","GSON1112160290")</f>
        <v>#NAME?</v>
      </c>
      <c r="O2359" s="28" t="e">
        <f ca="1">[1]!BexGetData("DP_1","003N8EMH8GTFRIVOG7KG9J3KE","GSON1112160290")</f>
        <v>#NAME?</v>
      </c>
      <c r="P2359" s="23" t="e">
        <f ca="1">[1]!BexGetData("DP_1","003N8EMH8GTFRIVOG7KG9J9VY","GSON1112160290")</f>
        <v>#NAME?</v>
      </c>
      <c r="Q2359" s="23" t="e">
        <f ca="1">[1]!BexGetData("DP_1","00O2TNJGODT0G5Z4TTKYMM5MT","GSON1112160290")</f>
        <v>#NAME?</v>
      </c>
      <c r="R2359" s="23" t="e">
        <f ca="1">[1]!BexGetData("DP_1","00O2TNJGODT0G5Z4TTKYMMBYD","GSON1112160290")</f>
        <v>#NAME?</v>
      </c>
      <c r="S2359" s="23" t="e">
        <f ca="1">[1]!BexGetData("DP_1","00O2TNJGODT0G5Z4TTKYMMI9X","GSON1112160290")</f>
        <v>#NAME?</v>
      </c>
      <c r="T2359" s="23" t="e">
        <f ca="1">[1]!BexGetData("DP_1","00O2TNJGODT0G5Z4TTKYMMOLH","GSON1112160290")</f>
        <v>#NAME?</v>
      </c>
      <c r="U2359" s="28" t="e">
        <f ca="1">[1]!BexGetData("DP_1","00O2TNJGODT0G5Z4TTKYMMUX1","GSON1112160290")</f>
        <v>#NAME?</v>
      </c>
      <c r="V2359" s="23" t="e">
        <f ca="1">[1]!BexGetData("DP_1","00O2TNJGODT0G5Z4TTKYMN18L","GSON1112160290")</f>
        <v>#NAME?</v>
      </c>
      <c r="W2359" s="28" t="e">
        <f ca="1">[1]!BexGetData("DP_1","00O2TNJGODT0G5Z4TTKYMN7K5","GSON1112160290")</f>
        <v>#NAME?</v>
      </c>
    </row>
    <row r="2360" spans="1:23" x14ac:dyDescent="0.2">
      <c r="A2360" s="36" t="s">
        <v>5677</v>
      </c>
      <c r="B2360" s="27" t="s">
        <v>5678</v>
      </c>
      <c r="C2360" s="24" t="e">
        <f ca="1">[1]!BexGetData("DP_1","003N8EMH8GTFRCSWKMPXRR8GU","GSON1112160291")</f>
        <v>#NAME?</v>
      </c>
      <c r="D2360" s="24" t="e">
        <f ca="1">[1]!BexGetData("DP_1","003N8EMH8GTFRCSWKMPXRRESE","GSON1112160291")</f>
        <v>#NAME?</v>
      </c>
      <c r="E2360" s="24" t="e">
        <f ca="1">[1]!BexGetData("DP_1","003N8EMH8GTFRCSWKMPXRRL3Y","GSON1112160291")</f>
        <v>#NAME?</v>
      </c>
      <c r="F2360" s="28" t="e">
        <f ca="1">[1]!BexGetData("DP_1","003N8EMH8GTFRCSWKMPXRRRFI","GSON1112160291")</f>
        <v>#NAME?</v>
      </c>
      <c r="G2360" s="23" t="e">
        <f ca="1">[1]!BexGetData("DP_1","003N8EMH8GTFRCSWKMPXRRXR2","GSON1112160291")</f>
        <v>#NAME?</v>
      </c>
      <c r="H2360" s="23" t="e">
        <f ca="1">[1]!BexGetData("DP_1","003N8EMH8GTFRCSWKMPXRS42M","GSON1112160291")</f>
        <v>#NAME?</v>
      </c>
      <c r="I2360" s="28" t="e">
        <f ca="1">[1]!BexGetData("DP_1","003N8EMH8GTFRCSWKMPXRSAE6","GSON1112160291")</f>
        <v>#NAME?</v>
      </c>
      <c r="J2360" s="24" t="e">
        <f ca="1">[1]!BexGetData("DP_1","003N8EMH8GTFRCSWKMPXRSGPQ","GSON1112160291")</f>
        <v>#NAME?</v>
      </c>
      <c r="K2360" s="28" t="e">
        <f ca="1">[1]!BexGetData("DP_1","003N8EMH8GTFRIVNUPY288VJH","GSON1112160291")</f>
        <v>#NAME?</v>
      </c>
      <c r="L2360" s="28" t="e">
        <f ca="1">[1]!BexGetData("DP_1","003N8EMH8GTFRIVNUPY2891V1","GSON1112160291")</f>
        <v>#NAME?</v>
      </c>
      <c r="M2360" s="28" t="e">
        <f ca="1">[1]!BexGetData("DP_1","003N8EMH8GTFRIVOG7KG9IQXA","GSON1112160291")</f>
        <v>#NAME?</v>
      </c>
      <c r="N2360" s="28" t="e">
        <f ca="1">[1]!BexGetData("DP_1","003N8EMH8GTFRIVOG7KG9IX8U","GSON1112160291")</f>
        <v>#NAME?</v>
      </c>
      <c r="O2360" s="28" t="e">
        <f ca="1">[1]!BexGetData("DP_1","003N8EMH8GTFRIVOG7KG9J3KE","GSON1112160291")</f>
        <v>#NAME?</v>
      </c>
      <c r="P2360" s="28" t="e">
        <f ca="1">[1]!BexGetData("DP_1","003N8EMH8GTFRIVOG7KG9J9VY","GSON1112160291")</f>
        <v>#NAME?</v>
      </c>
      <c r="Q2360" s="24" t="e">
        <f ca="1">[1]!BexGetData("DP_1","00O2TNJGODT0G5Z4TTKYMM5MT","GSON1112160291")</f>
        <v>#NAME?</v>
      </c>
      <c r="R2360" s="28" t="e">
        <f ca="1">[1]!BexGetData("DP_1","00O2TNJGODT0G5Z4TTKYMMBYD","GSON1112160291")</f>
        <v>#NAME?</v>
      </c>
      <c r="S2360" s="28" t="e">
        <f ca="1">[1]!BexGetData("DP_1","00O2TNJGODT0G5Z4TTKYMMI9X","GSON1112160291")</f>
        <v>#NAME?</v>
      </c>
      <c r="T2360" s="28" t="e">
        <f ca="1">[1]!BexGetData("DP_1","00O2TNJGODT0G5Z4TTKYMMOLH","GSON1112160291")</f>
        <v>#NAME?</v>
      </c>
      <c r="U2360" s="28" t="e">
        <f ca="1">[1]!BexGetData("DP_1","00O2TNJGODT0G5Z4TTKYMMUX1","GSON1112160291")</f>
        <v>#NAME?</v>
      </c>
      <c r="V2360" s="28" t="e">
        <f ca="1">[1]!BexGetData("DP_1","00O2TNJGODT0G5Z4TTKYMN18L","GSON1112160291")</f>
        <v>#NAME?</v>
      </c>
      <c r="W2360" s="28" t="e">
        <f ca="1">[1]!BexGetData("DP_1","00O2TNJGODT0G5Z4TTKYMN7K5","GSON1112160291")</f>
        <v>#NAME?</v>
      </c>
    </row>
    <row r="2361" spans="1:23" x14ac:dyDescent="0.2">
      <c r="A2361" s="36" t="s">
        <v>5679</v>
      </c>
      <c r="B2361" s="27" t="s">
        <v>5680</v>
      </c>
      <c r="C2361" s="24" t="e">
        <f ca="1">[1]!BexGetData("DP_1","003N8EMH8GTFRCSWKMPXRR8GU","GSON1112160293")</f>
        <v>#NAME?</v>
      </c>
      <c r="D2361" s="24" t="e">
        <f ca="1">[1]!BexGetData("DP_1","003N8EMH8GTFRCSWKMPXRRESE","GSON1112160293")</f>
        <v>#NAME?</v>
      </c>
      <c r="E2361" s="24" t="e">
        <f ca="1">[1]!BexGetData("DP_1","003N8EMH8GTFRCSWKMPXRRL3Y","GSON1112160293")</f>
        <v>#NAME?</v>
      </c>
      <c r="F2361" s="28" t="e">
        <f ca="1">[1]!BexGetData("DP_1","003N8EMH8GTFRCSWKMPXRRRFI","GSON1112160293")</f>
        <v>#NAME?</v>
      </c>
      <c r="G2361" s="23" t="e">
        <f ca="1">[1]!BexGetData("DP_1","003N8EMH8GTFRCSWKMPXRRXR2","GSON1112160293")</f>
        <v>#NAME?</v>
      </c>
      <c r="H2361" s="23" t="e">
        <f ca="1">[1]!BexGetData("DP_1","003N8EMH8GTFRCSWKMPXRS42M","GSON1112160293")</f>
        <v>#NAME?</v>
      </c>
      <c r="I2361" s="28" t="e">
        <f ca="1">[1]!BexGetData("DP_1","003N8EMH8GTFRCSWKMPXRSAE6","GSON1112160293")</f>
        <v>#NAME?</v>
      </c>
      <c r="J2361" s="24" t="e">
        <f ca="1">[1]!BexGetData("DP_1","003N8EMH8GTFRCSWKMPXRSGPQ","GSON1112160293")</f>
        <v>#NAME?</v>
      </c>
      <c r="K2361" s="28" t="e">
        <f ca="1">[1]!BexGetData("DP_1","003N8EMH8GTFRIVNUPY288VJH","GSON1112160293")</f>
        <v>#NAME?</v>
      </c>
      <c r="L2361" s="28" t="e">
        <f ca="1">[1]!BexGetData("DP_1","003N8EMH8GTFRIVNUPY2891V1","GSON1112160293")</f>
        <v>#NAME?</v>
      </c>
      <c r="M2361" s="28" t="e">
        <f ca="1">[1]!BexGetData("DP_1","003N8EMH8GTFRIVOG7KG9IQXA","GSON1112160293")</f>
        <v>#NAME?</v>
      </c>
      <c r="N2361" s="28" t="e">
        <f ca="1">[1]!BexGetData("DP_1","003N8EMH8GTFRIVOG7KG9IX8U","GSON1112160293")</f>
        <v>#NAME?</v>
      </c>
      <c r="O2361" s="28" t="e">
        <f ca="1">[1]!BexGetData("DP_1","003N8EMH8GTFRIVOG7KG9J3KE","GSON1112160293")</f>
        <v>#NAME?</v>
      </c>
      <c r="P2361" s="28" t="e">
        <f ca="1">[1]!BexGetData("DP_1","003N8EMH8GTFRIVOG7KG9J9VY","GSON1112160293")</f>
        <v>#NAME?</v>
      </c>
      <c r="Q2361" s="24" t="e">
        <f ca="1">[1]!BexGetData("DP_1","00O2TNJGODT0G5Z4TTKYMM5MT","GSON1112160293")</f>
        <v>#NAME?</v>
      </c>
      <c r="R2361" s="28" t="e">
        <f ca="1">[1]!BexGetData("DP_1","00O2TNJGODT0G5Z4TTKYMMBYD","GSON1112160293")</f>
        <v>#NAME?</v>
      </c>
      <c r="S2361" s="28" t="e">
        <f ca="1">[1]!BexGetData("DP_1","00O2TNJGODT0G5Z4TTKYMMI9X","GSON1112160293")</f>
        <v>#NAME?</v>
      </c>
      <c r="T2361" s="28" t="e">
        <f ca="1">[1]!BexGetData("DP_1","00O2TNJGODT0G5Z4TTKYMMOLH","GSON1112160293")</f>
        <v>#NAME?</v>
      </c>
      <c r="U2361" s="28" t="e">
        <f ca="1">[1]!BexGetData("DP_1","00O2TNJGODT0G5Z4TTKYMMUX1","GSON1112160293")</f>
        <v>#NAME?</v>
      </c>
      <c r="V2361" s="28" t="e">
        <f ca="1">[1]!BexGetData("DP_1","00O2TNJGODT0G5Z4TTKYMN18L","GSON1112160293")</f>
        <v>#NAME?</v>
      </c>
      <c r="W2361" s="28" t="e">
        <f ca="1">[1]!BexGetData("DP_1","00O2TNJGODT0G5Z4TTKYMN7K5","GSON1112160293")</f>
        <v>#NAME?</v>
      </c>
    </row>
    <row r="2362" spans="1:23" x14ac:dyDescent="0.2">
      <c r="A2362" s="36" t="s">
        <v>5681</v>
      </c>
      <c r="B2362" s="27" t="s">
        <v>5682</v>
      </c>
      <c r="C2362" s="24" t="e">
        <f ca="1">[1]!BexGetData("DP_1","003N8EMH8GTFRCSWKMPXRR8GU","GSON1112160294")</f>
        <v>#NAME?</v>
      </c>
      <c r="D2362" s="24" t="e">
        <f ca="1">[1]!BexGetData("DP_1","003N8EMH8GTFRCSWKMPXRRESE","GSON1112160294")</f>
        <v>#NAME?</v>
      </c>
      <c r="E2362" s="24" t="e">
        <f ca="1">[1]!BexGetData("DP_1","003N8EMH8GTFRCSWKMPXRRL3Y","GSON1112160294")</f>
        <v>#NAME?</v>
      </c>
      <c r="F2362" s="28" t="e">
        <f ca="1">[1]!BexGetData("DP_1","003N8EMH8GTFRCSWKMPXRRRFI","GSON1112160294")</f>
        <v>#NAME?</v>
      </c>
      <c r="G2362" s="23" t="e">
        <f ca="1">[1]!BexGetData("DP_1","003N8EMH8GTFRCSWKMPXRRXR2","GSON1112160294")</f>
        <v>#NAME?</v>
      </c>
      <c r="H2362" s="23" t="e">
        <f ca="1">[1]!BexGetData("DP_1","003N8EMH8GTFRCSWKMPXRS42M","GSON1112160294")</f>
        <v>#NAME?</v>
      </c>
      <c r="I2362" s="28" t="e">
        <f ca="1">[1]!BexGetData("DP_1","003N8EMH8GTFRCSWKMPXRSAE6","GSON1112160294")</f>
        <v>#NAME?</v>
      </c>
      <c r="J2362" s="24" t="e">
        <f ca="1">[1]!BexGetData("DP_1","003N8EMH8GTFRCSWKMPXRSGPQ","GSON1112160294")</f>
        <v>#NAME?</v>
      </c>
      <c r="K2362" s="28" t="e">
        <f ca="1">[1]!BexGetData("DP_1","003N8EMH8GTFRIVNUPY288VJH","GSON1112160294")</f>
        <v>#NAME?</v>
      </c>
      <c r="L2362" s="28" t="e">
        <f ca="1">[1]!BexGetData("DP_1","003N8EMH8GTFRIVNUPY2891V1","GSON1112160294")</f>
        <v>#NAME?</v>
      </c>
      <c r="M2362" s="28" t="e">
        <f ca="1">[1]!BexGetData("DP_1","003N8EMH8GTFRIVOG7KG9IQXA","GSON1112160294")</f>
        <v>#NAME?</v>
      </c>
      <c r="N2362" s="28" t="e">
        <f ca="1">[1]!BexGetData("DP_1","003N8EMH8GTFRIVOG7KG9IX8U","GSON1112160294")</f>
        <v>#NAME?</v>
      </c>
      <c r="O2362" s="28" t="e">
        <f ca="1">[1]!BexGetData("DP_1","003N8EMH8GTFRIVOG7KG9J3KE","GSON1112160294")</f>
        <v>#NAME?</v>
      </c>
      <c r="P2362" s="28" t="e">
        <f ca="1">[1]!BexGetData("DP_1","003N8EMH8GTFRIVOG7KG9J9VY","GSON1112160294")</f>
        <v>#NAME?</v>
      </c>
      <c r="Q2362" s="24" t="e">
        <f ca="1">[1]!BexGetData("DP_1","00O2TNJGODT0G5Z4TTKYMM5MT","GSON1112160294")</f>
        <v>#NAME?</v>
      </c>
      <c r="R2362" s="28" t="e">
        <f ca="1">[1]!BexGetData("DP_1","00O2TNJGODT0G5Z4TTKYMMBYD","GSON1112160294")</f>
        <v>#NAME?</v>
      </c>
      <c r="S2362" s="28" t="e">
        <f ca="1">[1]!BexGetData("DP_1","00O2TNJGODT0G5Z4TTKYMMI9X","GSON1112160294")</f>
        <v>#NAME?</v>
      </c>
      <c r="T2362" s="28" t="e">
        <f ca="1">[1]!BexGetData("DP_1","00O2TNJGODT0G5Z4TTKYMMOLH","GSON1112160294")</f>
        <v>#NAME?</v>
      </c>
      <c r="U2362" s="28" t="e">
        <f ca="1">[1]!BexGetData("DP_1","00O2TNJGODT0G5Z4TTKYMMUX1","GSON1112160294")</f>
        <v>#NAME?</v>
      </c>
      <c r="V2362" s="28" t="e">
        <f ca="1">[1]!BexGetData("DP_1","00O2TNJGODT0G5Z4TTKYMN18L","GSON1112160294")</f>
        <v>#NAME?</v>
      </c>
      <c r="W2362" s="28" t="e">
        <f ca="1">[1]!BexGetData("DP_1","00O2TNJGODT0G5Z4TTKYMN7K5","GSON1112160294")</f>
        <v>#NAME?</v>
      </c>
    </row>
    <row r="2363" spans="1:23" x14ac:dyDescent="0.2">
      <c r="A2363" s="36" t="s">
        <v>5683</v>
      </c>
      <c r="B2363" s="27" t="s">
        <v>5684</v>
      </c>
      <c r="C2363" s="23" t="e">
        <f ca="1">[1]!BexGetData("DP_1","003N8EMH8GTFRCSWKMPXRR8GU","GSON1112160295")</f>
        <v>#NAME?</v>
      </c>
      <c r="D2363" s="23" t="e">
        <f ca="1">[1]!BexGetData("DP_1","003N8EMH8GTFRCSWKMPXRRESE","GSON1112160295")</f>
        <v>#NAME?</v>
      </c>
      <c r="E2363" s="28" t="e">
        <f ca="1">[1]!BexGetData("DP_1","003N8EMH8GTFRCSWKMPXRRL3Y","GSON1112160295")</f>
        <v>#NAME?</v>
      </c>
      <c r="F2363" s="28" t="e">
        <f ca="1">[1]!BexGetData("DP_1","003N8EMH8GTFRCSWKMPXRRRFI","GSON1112160295")</f>
        <v>#NAME?</v>
      </c>
      <c r="G2363" s="23" t="e">
        <f ca="1">[1]!BexGetData("DP_1","003N8EMH8GTFRCSWKMPXRRXR2","GSON1112160295")</f>
        <v>#NAME?</v>
      </c>
      <c r="H2363" s="23" t="e">
        <f ca="1">[1]!BexGetData("DP_1","003N8EMH8GTFRCSWKMPXRS42M","GSON1112160295")</f>
        <v>#NAME?</v>
      </c>
      <c r="I2363" s="28" t="e">
        <f ca="1">[1]!BexGetData("DP_1","003N8EMH8GTFRCSWKMPXRSAE6","GSON1112160295")</f>
        <v>#NAME?</v>
      </c>
      <c r="J2363" s="24" t="e">
        <f ca="1">[1]!BexGetData("DP_1","003N8EMH8GTFRCSWKMPXRSGPQ","GSON1112160295")</f>
        <v>#NAME?</v>
      </c>
      <c r="K2363" s="28" t="e">
        <f ca="1">[1]!BexGetData("DP_1","003N8EMH8GTFRIVNUPY288VJH","GSON1112160295")</f>
        <v>#NAME?</v>
      </c>
      <c r="L2363" s="28" t="e">
        <f ca="1">[1]!BexGetData("DP_1","003N8EMH8GTFRIVNUPY2891V1","GSON1112160295")</f>
        <v>#NAME?</v>
      </c>
      <c r="M2363" s="28" t="e">
        <f ca="1">[1]!BexGetData("DP_1","003N8EMH8GTFRIVOG7KG9IQXA","GSON1112160295")</f>
        <v>#NAME?</v>
      </c>
      <c r="N2363" s="28" t="e">
        <f ca="1">[1]!BexGetData("DP_1","003N8EMH8GTFRIVOG7KG9IX8U","GSON1112160295")</f>
        <v>#NAME?</v>
      </c>
      <c r="O2363" s="28" t="e">
        <f ca="1">[1]!BexGetData("DP_1","003N8EMH8GTFRIVOG7KG9J3KE","GSON1112160295")</f>
        <v>#NAME?</v>
      </c>
      <c r="P2363" s="28" t="e">
        <f ca="1">[1]!BexGetData("DP_1","003N8EMH8GTFRIVOG7KG9J9VY","GSON1112160295")</f>
        <v>#NAME?</v>
      </c>
      <c r="Q2363" s="24" t="e">
        <f ca="1">[1]!BexGetData("DP_1","00O2TNJGODT0G5Z4TTKYMM5MT","GSON1112160295")</f>
        <v>#NAME?</v>
      </c>
      <c r="R2363" s="28" t="e">
        <f ca="1">[1]!BexGetData("DP_1","00O2TNJGODT0G5Z4TTKYMMBYD","GSON1112160295")</f>
        <v>#NAME?</v>
      </c>
      <c r="S2363" s="28" t="e">
        <f ca="1">[1]!BexGetData("DP_1","00O2TNJGODT0G5Z4TTKYMMI9X","GSON1112160295")</f>
        <v>#NAME?</v>
      </c>
      <c r="T2363" s="28" t="e">
        <f ca="1">[1]!BexGetData("DP_1","00O2TNJGODT0G5Z4TTKYMMOLH","GSON1112160295")</f>
        <v>#NAME?</v>
      </c>
      <c r="U2363" s="28" t="e">
        <f ca="1">[1]!BexGetData("DP_1","00O2TNJGODT0G5Z4TTKYMMUX1","GSON1112160295")</f>
        <v>#NAME?</v>
      </c>
      <c r="V2363" s="28" t="e">
        <f ca="1">[1]!BexGetData("DP_1","00O2TNJGODT0G5Z4TTKYMN18L","GSON1112160295")</f>
        <v>#NAME?</v>
      </c>
      <c r="W2363" s="28" t="e">
        <f ca="1">[1]!BexGetData("DP_1","00O2TNJGODT0G5Z4TTKYMN7K5","GSON1112160295")</f>
        <v>#NAME?</v>
      </c>
    </row>
    <row r="2364" spans="1:23" x14ac:dyDescent="0.2">
      <c r="A2364" s="36" t="s">
        <v>5685</v>
      </c>
      <c r="B2364" s="27" t="s">
        <v>5686</v>
      </c>
      <c r="C2364" s="23" t="e">
        <f ca="1">[1]!BexGetData("DP_1","003N8EMH8GTFRCSWKMPXRR8GU","GSON1112160300")</f>
        <v>#NAME?</v>
      </c>
      <c r="D2364" s="23" t="e">
        <f ca="1">[1]!BexGetData("DP_1","003N8EMH8GTFRCSWKMPXRRESE","GSON1112160300")</f>
        <v>#NAME?</v>
      </c>
      <c r="E2364" s="23" t="e">
        <f ca="1">[1]!BexGetData("DP_1","003N8EMH8GTFRCSWKMPXRRL3Y","GSON1112160300")</f>
        <v>#NAME?</v>
      </c>
      <c r="F2364" s="23" t="e">
        <f ca="1">[1]!BexGetData("DP_1","003N8EMH8GTFRCSWKMPXRRRFI","GSON1112160300")</f>
        <v>#NAME?</v>
      </c>
      <c r="G2364" s="23" t="e">
        <f ca="1">[1]!BexGetData("DP_1","003N8EMH8GTFRCSWKMPXRRXR2","GSON1112160300")</f>
        <v>#NAME?</v>
      </c>
      <c r="H2364" s="23" t="e">
        <f ca="1">[1]!BexGetData("DP_1","003N8EMH8GTFRCSWKMPXRS42M","GSON1112160300")</f>
        <v>#NAME?</v>
      </c>
      <c r="I2364" s="23" t="e">
        <f ca="1">[1]!BexGetData("DP_1","003N8EMH8GTFRCSWKMPXRSAE6","GSON1112160300")</f>
        <v>#NAME?</v>
      </c>
      <c r="J2364" s="23" t="e">
        <f ca="1">[1]!BexGetData("DP_1","003N8EMH8GTFRCSWKMPXRSGPQ","GSON1112160300")</f>
        <v>#NAME?</v>
      </c>
      <c r="K2364" s="23" t="e">
        <f ca="1">[1]!BexGetData("DP_1","003N8EMH8GTFRIVNUPY288VJH","GSON1112160300")</f>
        <v>#NAME?</v>
      </c>
      <c r="L2364" s="23" t="e">
        <f ca="1">[1]!BexGetData("DP_1","003N8EMH8GTFRIVNUPY2891V1","GSON1112160300")</f>
        <v>#NAME?</v>
      </c>
      <c r="M2364" s="23" t="e">
        <f ca="1">[1]!BexGetData("DP_1","003N8EMH8GTFRIVOG7KG9IQXA","GSON1112160300")</f>
        <v>#NAME?</v>
      </c>
      <c r="N2364" s="28" t="e">
        <f ca="1">[1]!BexGetData("DP_1","003N8EMH8GTFRIVOG7KG9IX8U","GSON1112160300")</f>
        <v>#NAME?</v>
      </c>
      <c r="O2364" s="23" t="e">
        <f ca="1">[1]!BexGetData("DP_1","003N8EMH8GTFRIVOG7KG9J3KE","GSON1112160300")</f>
        <v>#NAME?</v>
      </c>
      <c r="P2364" s="28" t="e">
        <f ca="1">[1]!BexGetData("DP_1","003N8EMH8GTFRIVOG7KG9J9VY","GSON1112160300")</f>
        <v>#NAME?</v>
      </c>
      <c r="Q2364" s="23" t="e">
        <f ca="1">[1]!BexGetData("DP_1","00O2TNJGODT0G5Z4TTKYMM5MT","GSON1112160300")</f>
        <v>#NAME?</v>
      </c>
      <c r="R2364" s="23" t="e">
        <f ca="1">[1]!BexGetData("DP_1","00O2TNJGODT0G5Z4TTKYMMBYD","GSON1112160300")</f>
        <v>#NAME?</v>
      </c>
      <c r="S2364" s="23" t="e">
        <f ca="1">[1]!BexGetData("DP_1","00O2TNJGODT0G5Z4TTKYMMI9X","GSON1112160300")</f>
        <v>#NAME?</v>
      </c>
      <c r="T2364" s="23" t="e">
        <f ca="1">[1]!BexGetData("DP_1","00O2TNJGODT0G5Z4TTKYMMOLH","GSON1112160300")</f>
        <v>#NAME?</v>
      </c>
      <c r="U2364" s="28" t="e">
        <f ca="1">[1]!BexGetData("DP_1","00O2TNJGODT0G5Z4TTKYMMUX1","GSON1112160300")</f>
        <v>#NAME?</v>
      </c>
      <c r="V2364" s="23" t="e">
        <f ca="1">[1]!BexGetData("DP_1","00O2TNJGODT0G5Z4TTKYMN18L","GSON1112160300")</f>
        <v>#NAME?</v>
      </c>
      <c r="W2364" s="28" t="e">
        <f ca="1">[1]!BexGetData("DP_1","00O2TNJGODT0G5Z4TTKYMN7K5","GSON1112160300")</f>
        <v>#NAME?</v>
      </c>
    </row>
    <row r="2365" spans="1:23" x14ac:dyDescent="0.2">
      <c r="A2365" s="36" t="s">
        <v>5687</v>
      </c>
      <c r="B2365" s="27" t="s">
        <v>5688</v>
      </c>
      <c r="C2365" s="23" t="e">
        <f ca="1">[1]!BexGetData("DP_1","003N8EMH8GTFRCSWKMPXRR8GU","GSON1112160301")</f>
        <v>#NAME?</v>
      </c>
      <c r="D2365" s="23" t="e">
        <f ca="1">[1]!BexGetData("DP_1","003N8EMH8GTFRCSWKMPXRRESE","GSON1112160301")</f>
        <v>#NAME?</v>
      </c>
      <c r="E2365" s="28" t="e">
        <f ca="1">[1]!BexGetData("DP_1","003N8EMH8GTFRCSWKMPXRRL3Y","GSON1112160301")</f>
        <v>#NAME?</v>
      </c>
      <c r="F2365" s="28" t="e">
        <f ca="1">[1]!BexGetData("DP_1","003N8EMH8GTFRCSWKMPXRRRFI","GSON1112160301")</f>
        <v>#NAME?</v>
      </c>
      <c r="G2365" s="23" t="e">
        <f ca="1">[1]!BexGetData("DP_1","003N8EMH8GTFRCSWKMPXRRXR2","GSON1112160301")</f>
        <v>#NAME?</v>
      </c>
      <c r="H2365" s="23" t="e">
        <f ca="1">[1]!BexGetData("DP_1","003N8EMH8GTFRCSWKMPXRS42M","GSON1112160301")</f>
        <v>#NAME?</v>
      </c>
      <c r="I2365" s="28" t="e">
        <f ca="1">[1]!BexGetData("DP_1","003N8EMH8GTFRCSWKMPXRSAE6","GSON1112160301")</f>
        <v>#NAME?</v>
      </c>
      <c r="J2365" s="24" t="e">
        <f ca="1">[1]!BexGetData("DP_1","003N8EMH8GTFRCSWKMPXRSGPQ","GSON1112160301")</f>
        <v>#NAME?</v>
      </c>
      <c r="K2365" s="28" t="e">
        <f ca="1">[1]!BexGetData("DP_1","003N8EMH8GTFRIVNUPY288VJH","GSON1112160301")</f>
        <v>#NAME?</v>
      </c>
      <c r="L2365" s="28" t="e">
        <f ca="1">[1]!BexGetData("DP_1","003N8EMH8GTFRIVNUPY2891V1","GSON1112160301")</f>
        <v>#NAME?</v>
      </c>
      <c r="M2365" s="28" t="e">
        <f ca="1">[1]!BexGetData("DP_1","003N8EMH8GTFRIVOG7KG9IQXA","GSON1112160301")</f>
        <v>#NAME?</v>
      </c>
      <c r="N2365" s="28" t="e">
        <f ca="1">[1]!BexGetData("DP_1","003N8EMH8GTFRIVOG7KG9IX8U","GSON1112160301")</f>
        <v>#NAME?</v>
      </c>
      <c r="O2365" s="28" t="e">
        <f ca="1">[1]!BexGetData("DP_1","003N8EMH8GTFRIVOG7KG9J3KE","GSON1112160301")</f>
        <v>#NAME?</v>
      </c>
      <c r="P2365" s="28" t="e">
        <f ca="1">[1]!BexGetData("DP_1","003N8EMH8GTFRIVOG7KG9J9VY","GSON1112160301")</f>
        <v>#NAME?</v>
      </c>
      <c r="Q2365" s="24" t="e">
        <f ca="1">[1]!BexGetData("DP_1","00O2TNJGODT0G5Z4TTKYMM5MT","GSON1112160301")</f>
        <v>#NAME?</v>
      </c>
      <c r="R2365" s="28" t="e">
        <f ca="1">[1]!BexGetData("DP_1","00O2TNJGODT0G5Z4TTKYMMBYD","GSON1112160301")</f>
        <v>#NAME?</v>
      </c>
      <c r="S2365" s="28" t="e">
        <f ca="1">[1]!BexGetData("DP_1","00O2TNJGODT0G5Z4TTKYMMI9X","GSON1112160301")</f>
        <v>#NAME?</v>
      </c>
      <c r="T2365" s="28" t="e">
        <f ca="1">[1]!BexGetData("DP_1","00O2TNJGODT0G5Z4TTKYMMOLH","GSON1112160301")</f>
        <v>#NAME?</v>
      </c>
      <c r="U2365" s="28" t="e">
        <f ca="1">[1]!BexGetData("DP_1","00O2TNJGODT0G5Z4TTKYMMUX1","GSON1112160301")</f>
        <v>#NAME?</v>
      </c>
      <c r="V2365" s="28" t="e">
        <f ca="1">[1]!BexGetData("DP_1","00O2TNJGODT0G5Z4TTKYMN18L","GSON1112160301")</f>
        <v>#NAME?</v>
      </c>
      <c r="W2365" s="28" t="e">
        <f ca="1">[1]!BexGetData("DP_1","00O2TNJGODT0G5Z4TTKYMN7K5","GSON1112160301")</f>
        <v>#NAME?</v>
      </c>
    </row>
    <row r="2366" spans="1:23" x14ac:dyDescent="0.2">
      <c r="A2366" s="36" t="s">
        <v>5689</v>
      </c>
      <c r="B2366" s="27" t="s">
        <v>5690</v>
      </c>
      <c r="C2366" s="23" t="e">
        <f ca="1">[1]!BexGetData("DP_1","003N8EMH8GTFRCSWKMPXRR8GU","GSON1112160302")</f>
        <v>#NAME?</v>
      </c>
      <c r="D2366" s="23" t="e">
        <f ca="1">[1]!BexGetData("DP_1","003N8EMH8GTFRCSWKMPXRRESE","GSON1112160302")</f>
        <v>#NAME?</v>
      </c>
      <c r="E2366" s="23" t="e">
        <f ca="1">[1]!BexGetData("DP_1","003N8EMH8GTFRCSWKMPXRRL3Y","GSON1112160302")</f>
        <v>#NAME?</v>
      </c>
      <c r="F2366" s="23" t="e">
        <f ca="1">[1]!BexGetData("DP_1","003N8EMH8GTFRCSWKMPXRRRFI","GSON1112160302")</f>
        <v>#NAME?</v>
      </c>
      <c r="G2366" s="28" t="e">
        <f ca="1">[1]!BexGetData("DP_1","003N8EMH8GTFRCSWKMPXRRXR2","GSON1112160302")</f>
        <v>#NAME?</v>
      </c>
      <c r="H2366" s="23" t="e">
        <f ca="1">[1]!BexGetData("DP_1","003N8EMH8GTFRCSWKMPXRS42M","GSON1112160302")</f>
        <v>#NAME?</v>
      </c>
      <c r="I2366" s="23" t="e">
        <f ca="1">[1]!BexGetData("DP_1","003N8EMH8GTFRCSWKMPXRSAE6","GSON1112160302")</f>
        <v>#NAME?</v>
      </c>
      <c r="J2366" s="24" t="e">
        <f ca="1">[1]!BexGetData("DP_1","003N8EMH8GTFRCSWKMPXRSGPQ","GSON1112160302")</f>
        <v>#NAME?</v>
      </c>
      <c r="K2366" s="23" t="e">
        <f ca="1">[1]!BexGetData("DP_1","003N8EMH8GTFRIVNUPY288VJH","GSON1112160302")</f>
        <v>#NAME?</v>
      </c>
      <c r="L2366" s="23" t="e">
        <f ca="1">[1]!BexGetData("DP_1","003N8EMH8GTFRIVNUPY2891V1","GSON1112160302")</f>
        <v>#NAME?</v>
      </c>
      <c r="M2366" s="28" t="e">
        <f ca="1">[1]!BexGetData("DP_1","003N8EMH8GTFRIVOG7KG9IQXA","GSON1112160302")</f>
        <v>#NAME?</v>
      </c>
      <c r="N2366" s="23" t="e">
        <f ca="1">[1]!BexGetData("DP_1","003N8EMH8GTFRIVOG7KG9IX8U","GSON1112160302")</f>
        <v>#NAME?</v>
      </c>
      <c r="O2366" s="28" t="e">
        <f ca="1">[1]!BexGetData("DP_1","003N8EMH8GTFRIVOG7KG9J3KE","GSON1112160302")</f>
        <v>#NAME?</v>
      </c>
      <c r="P2366" s="23" t="e">
        <f ca="1">[1]!BexGetData("DP_1","003N8EMH8GTFRIVOG7KG9J9VY","GSON1112160302")</f>
        <v>#NAME?</v>
      </c>
      <c r="Q2366" s="24" t="e">
        <f ca="1">[1]!BexGetData("DP_1","00O2TNJGODT0G5Z4TTKYMM5MT","GSON1112160302")</f>
        <v>#NAME?</v>
      </c>
      <c r="R2366" s="23" t="e">
        <f ca="1">[1]!BexGetData("DP_1","00O2TNJGODT0G5Z4TTKYMMBYD","GSON1112160302")</f>
        <v>#NAME?</v>
      </c>
      <c r="S2366" s="23" t="e">
        <f ca="1">[1]!BexGetData("DP_1","00O2TNJGODT0G5Z4TTKYMMI9X","GSON1112160302")</f>
        <v>#NAME?</v>
      </c>
      <c r="T2366" s="23" t="e">
        <f ca="1">[1]!BexGetData("DP_1","00O2TNJGODT0G5Z4TTKYMMOLH","GSON1112160302")</f>
        <v>#NAME?</v>
      </c>
      <c r="U2366" s="28" t="e">
        <f ca="1">[1]!BexGetData("DP_1","00O2TNJGODT0G5Z4TTKYMMUX1","GSON1112160302")</f>
        <v>#NAME?</v>
      </c>
      <c r="V2366" s="23" t="e">
        <f ca="1">[1]!BexGetData("DP_1","00O2TNJGODT0G5Z4TTKYMN18L","GSON1112160302")</f>
        <v>#NAME?</v>
      </c>
      <c r="W2366" s="28" t="e">
        <f ca="1">[1]!BexGetData("DP_1","00O2TNJGODT0G5Z4TTKYMN7K5","GSON1112160302")</f>
        <v>#NAME?</v>
      </c>
    </row>
    <row r="2367" spans="1:23" x14ac:dyDescent="0.2">
      <c r="A2367" s="36" t="s">
        <v>5691</v>
      </c>
      <c r="B2367" s="27" t="s">
        <v>5692</v>
      </c>
      <c r="C2367" s="23" t="e">
        <f ca="1">[1]!BexGetData("DP_1","003N8EMH8GTFRCSWKMPXRR8GU","GSON1112160303")</f>
        <v>#NAME?</v>
      </c>
      <c r="D2367" s="23" t="e">
        <f ca="1">[1]!BexGetData("DP_1","003N8EMH8GTFRCSWKMPXRRESE","GSON1112160303")</f>
        <v>#NAME?</v>
      </c>
      <c r="E2367" s="28" t="e">
        <f ca="1">[1]!BexGetData("DP_1","003N8EMH8GTFRCSWKMPXRRL3Y","GSON1112160303")</f>
        <v>#NAME?</v>
      </c>
      <c r="F2367" s="28" t="e">
        <f ca="1">[1]!BexGetData("DP_1","003N8EMH8GTFRCSWKMPXRRRFI","GSON1112160303")</f>
        <v>#NAME?</v>
      </c>
      <c r="G2367" s="23" t="e">
        <f ca="1">[1]!BexGetData("DP_1","003N8EMH8GTFRCSWKMPXRRXR2","GSON1112160303")</f>
        <v>#NAME?</v>
      </c>
      <c r="H2367" s="23" t="e">
        <f ca="1">[1]!BexGetData("DP_1","003N8EMH8GTFRCSWKMPXRS42M","GSON1112160303")</f>
        <v>#NAME?</v>
      </c>
      <c r="I2367" s="28" t="e">
        <f ca="1">[1]!BexGetData("DP_1","003N8EMH8GTFRCSWKMPXRSAE6","GSON1112160303")</f>
        <v>#NAME?</v>
      </c>
      <c r="J2367" s="24" t="e">
        <f ca="1">[1]!BexGetData("DP_1","003N8EMH8GTFRCSWKMPXRSGPQ","GSON1112160303")</f>
        <v>#NAME?</v>
      </c>
      <c r="K2367" s="28" t="e">
        <f ca="1">[1]!BexGetData("DP_1","003N8EMH8GTFRIVNUPY288VJH","GSON1112160303")</f>
        <v>#NAME?</v>
      </c>
      <c r="L2367" s="28" t="e">
        <f ca="1">[1]!BexGetData("DP_1","003N8EMH8GTFRIVNUPY2891V1","GSON1112160303")</f>
        <v>#NAME?</v>
      </c>
      <c r="M2367" s="28" t="e">
        <f ca="1">[1]!BexGetData("DP_1","003N8EMH8GTFRIVOG7KG9IQXA","GSON1112160303")</f>
        <v>#NAME?</v>
      </c>
      <c r="N2367" s="28" t="e">
        <f ca="1">[1]!BexGetData("DP_1","003N8EMH8GTFRIVOG7KG9IX8U","GSON1112160303")</f>
        <v>#NAME?</v>
      </c>
      <c r="O2367" s="28" t="e">
        <f ca="1">[1]!BexGetData("DP_1","003N8EMH8GTFRIVOG7KG9J3KE","GSON1112160303")</f>
        <v>#NAME?</v>
      </c>
      <c r="P2367" s="28" t="e">
        <f ca="1">[1]!BexGetData("DP_1","003N8EMH8GTFRIVOG7KG9J9VY","GSON1112160303")</f>
        <v>#NAME?</v>
      </c>
      <c r="Q2367" s="24" t="e">
        <f ca="1">[1]!BexGetData("DP_1","00O2TNJGODT0G5Z4TTKYMM5MT","GSON1112160303")</f>
        <v>#NAME?</v>
      </c>
      <c r="R2367" s="28" t="e">
        <f ca="1">[1]!BexGetData("DP_1","00O2TNJGODT0G5Z4TTKYMMBYD","GSON1112160303")</f>
        <v>#NAME?</v>
      </c>
      <c r="S2367" s="28" t="e">
        <f ca="1">[1]!BexGetData("DP_1","00O2TNJGODT0G5Z4TTKYMMI9X","GSON1112160303")</f>
        <v>#NAME?</v>
      </c>
      <c r="T2367" s="28" t="e">
        <f ca="1">[1]!BexGetData("DP_1","00O2TNJGODT0G5Z4TTKYMMOLH","GSON1112160303")</f>
        <v>#NAME?</v>
      </c>
      <c r="U2367" s="28" t="e">
        <f ca="1">[1]!BexGetData("DP_1","00O2TNJGODT0G5Z4TTKYMMUX1","GSON1112160303")</f>
        <v>#NAME?</v>
      </c>
      <c r="V2367" s="28" t="e">
        <f ca="1">[1]!BexGetData("DP_1","00O2TNJGODT0G5Z4TTKYMN18L","GSON1112160303")</f>
        <v>#NAME?</v>
      </c>
      <c r="W2367" s="28" t="e">
        <f ca="1">[1]!BexGetData("DP_1","00O2TNJGODT0G5Z4TTKYMN7K5","GSON1112160303")</f>
        <v>#NAME?</v>
      </c>
    </row>
    <row r="2368" spans="1:23" x14ac:dyDescent="0.2">
      <c r="A2368" s="36" t="s">
        <v>5693</v>
      </c>
      <c r="B2368" s="27" t="s">
        <v>5694</v>
      </c>
      <c r="C2368" s="23" t="e">
        <f ca="1">[1]!BexGetData("DP_1","003N8EMH8GTFRCSWKMPXRR8GU","GSON1112160304")</f>
        <v>#NAME?</v>
      </c>
      <c r="D2368" s="23" t="e">
        <f ca="1">[1]!BexGetData("DP_1","003N8EMH8GTFRCSWKMPXRRESE","GSON1112160304")</f>
        <v>#NAME?</v>
      </c>
      <c r="E2368" s="28" t="e">
        <f ca="1">[1]!BexGetData("DP_1","003N8EMH8GTFRCSWKMPXRRL3Y","GSON1112160304")</f>
        <v>#NAME?</v>
      </c>
      <c r="F2368" s="28" t="e">
        <f ca="1">[1]!BexGetData("DP_1","003N8EMH8GTFRCSWKMPXRRRFI","GSON1112160304")</f>
        <v>#NAME?</v>
      </c>
      <c r="G2368" s="23" t="e">
        <f ca="1">[1]!BexGetData("DP_1","003N8EMH8GTFRCSWKMPXRRXR2","GSON1112160304")</f>
        <v>#NAME?</v>
      </c>
      <c r="H2368" s="23" t="e">
        <f ca="1">[1]!BexGetData("DP_1","003N8EMH8GTFRCSWKMPXRS42M","GSON1112160304")</f>
        <v>#NAME?</v>
      </c>
      <c r="I2368" s="28" t="e">
        <f ca="1">[1]!BexGetData("DP_1","003N8EMH8GTFRCSWKMPXRSAE6","GSON1112160304")</f>
        <v>#NAME?</v>
      </c>
      <c r="J2368" s="24" t="e">
        <f ca="1">[1]!BexGetData("DP_1","003N8EMH8GTFRCSWKMPXRSGPQ","GSON1112160304")</f>
        <v>#NAME?</v>
      </c>
      <c r="K2368" s="28" t="e">
        <f ca="1">[1]!BexGetData("DP_1","003N8EMH8GTFRIVNUPY288VJH","GSON1112160304")</f>
        <v>#NAME?</v>
      </c>
      <c r="L2368" s="28" t="e">
        <f ca="1">[1]!BexGetData("DP_1","003N8EMH8GTFRIVNUPY2891V1","GSON1112160304")</f>
        <v>#NAME?</v>
      </c>
      <c r="M2368" s="28" t="e">
        <f ca="1">[1]!BexGetData("DP_1","003N8EMH8GTFRIVOG7KG9IQXA","GSON1112160304")</f>
        <v>#NAME?</v>
      </c>
      <c r="N2368" s="28" t="e">
        <f ca="1">[1]!BexGetData("DP_1","003N8EMH8GTFRIVOG7KG9IX8U","GSON1112160304")</f>
        <v>#NAME?</v>
      </c>
      <c r="O2368" s="28" t="e">
        <f ca="1">[1]!BexGetData("DP_1","003N8EMH8GTFRIVOG7KG9J3KE","GSON1112160304")</f>
        <v>#NAME?</v>
      </c>
      <c r="P2368" s="28" t="e">
        <f ca="1">[1]!BexGetData("DP_1","003N8EMH8GTFRIVOG7KG9J9VY","GSON1112160304")</f>
        <v>#NAME?</v>
      </c>
      <c r="Q2368" s="24" t="e">
        <f ca="1">[1]!BexGetData("DP_1","00O2TNJGODT0G5Z4TTKYMM5MT","GSON1112160304")</f>
        <v>#NAME?</v>
      </c>
      <c r="R2368" s="28" t="e">
        <f ca="1">[1]!BexGetData("DP_1","00O2TNJGODT0G5Z4TTKYMMBYD","GSON1112160304")</f>
        <v>#NAME?</v>
      </c>
      <c r="S2368" s="28" t="e">
        <f ca="1">[1]!BexGetData("DP_1","00O2TNJGODT0G5Z4TTKYMMI9X","GSON1112160304")</f>
        <v>#NAME?</v>
      </c>
      <c r="T2368" s="28" t="e">
        <f ca="1">[1]!BexGetData("DP_1","00O2TNJGODT0G5Z4TTKYMMOLH","GSON1112160304")</f>
        <v>#NAME?</v>
      </c>
      <c r="U2368" s="28" t="e">
        <f ca="1">[1]!BexGetData("DP_1","00O2TNJGODT0G5Z4TTKYMMUX1","GSON1112160304")</f>
        <v>#NAME?</v>
      </c>
      <c r="V2368" s="28" t="e">
        <f ca="1">[1]!BexGetData("DP_1","00O2TNJGODT0G5Z4TTKYMN18L","GSON1112160304")</f>
        <v>#NAME?</v>
      </c>
      <c r="W2368" s="28" t="e">
        <f ca="1">[1]!BexGetData("DP_1","00O2TNJGODT0G5Z4TTKYMN7K5","GSON1112160304")</f>
        <v>#NAME?</v>
      </c>
    </row>
    <row r="2369" spans="1:23" x14ac:dyDescent="0.2">
      <c r="A2369" s="36" t="s">
        <v>5695</v>
      </c>
      <c r="B2369" s="27" t="s">
        <v>5696</v>
      </c>
      <c r="C2369" s="23" t="e">
        <f ca="1">[1]!BexGetData("DP_1","003N8EMH8GTFRCSWKMPXRR8GU","GSON1112160305")</f>
        <v>#NAME?</v>
      </c>
      <c r="D2369" s="23" t="e">
        <f ca="1">[1]!BexGetData("DP_1","003N8EMH8GTFRCSWKMPXRRESE","GSON1112160305")</f>
        <v>#NAME?</v>
      </c>
      <c r="E2369" s="28" t="e">
        <f ca="1">[1]!BexGetData("DP_1","003N8EMH8GTFRCSWKMPXRRL3Y","GSON1112160305")</f>
        <v>#NAME?</v>
      </c>
      <c r="F2369" s="28" t="e">
        <f ca="1">[1]!BexGetData("DP_1","003N8EMH8GTFRCSWKMPXRRRFI","GSON1112160305")</f>
        <v>#NAME?</v>
      </c>
      <c r="G2369" s="23" t="e">
        <f ca="1">[1]!BexGetData("DP_1","003N8EMH8GTFRCSWKMPXRRXR2","GSON1112160305")</f>
        <v>#NAME?</v>
      </c>
      <c r="H2369" s="23" t="e">
        <f ca="1">[1]!BexGetData("DP_1","003N8EMH8GTFRCSWKMPXRS42M","GSON1112160305")</f>
        <v>#NAME?</v>
      </c>
      <c r="I2369" s="28" t="e">
        <f ca="1">[1]!BexGetData("DP_1","003N8EMH8GTFRCSWKMPXRSAE6","GSON1112160305")</f>
        <v>#NAME?</v>
      </c>
      <c r="J2369" s="24" t="e">
        <f ca="1">[1]!BexGetData("DP_1","003N8EMH8GTFRCSWKMPXRSGPQ","GSON1112160305")</f>
        <v>#NAME?</v>
      </c>
      <c r="K2369" s="28" t="e">
        <f ca="1">[1]!BexGetData("DP_1","003N8EMH8GTFRIVNUPY288VJH","GSON1112160305")</f>
        <v>#NAME?</v>
      </c>
      <c r="L2369" s="28" t="e">
        <f ca="1">[1]!BexGetData("DP_1","003N8EMH8GTFRIVNUPY2891V1","GSON1112160305")</f>
        <v>#NAME?</v>
      </c>
      <c r="M2369" s="28" t="e">
        <f ca="1">[1]!BexGetData("DP_1","003N8EMH8GTFRIVOG7KG9IQXA","GSON1112160305")</f>
        <v>#NAME?</v>
      </c>
      <c r="N2369" s="28" t="e">
        <f ca="1">[1]!BexGetData("DP_1","003N8EMH8GTFRIVOG7KG9IX8U","GSON1112160305")</f>
        <v>#NAME?</v>
      </c>
      <c r="O2369" s="28" t="e">
        <f ca="1">[1]!BexGetData("DP_1","003N8EMH8GTFRIVOG7KG9J3KE","GSON1112160305")</f>
        <v>#NAME?</v>
      </c>
      <c r="P2369" s="28" t="e">
        <f ca="1">[1]!BexGetData("DP_1","003N8EMH8GTFRIVOG7KG9J9VY","GSON1112160305")</f>
        <v>#NAME?</v>
      </c>
      <c r="Q2369" s="24" t="e">
        <f ca="1">[1]!BexGetData("DP_1","00O2TNJGODT0G5Z4TTKYMM5MT","GSON1112160305")</f>
        <v>#NAME?</v>
      </c>
      <c r="R2369" s="28" t="e">
        <f ca="1">[1]!BexGetData("DP_1","00O2TNJGODT0G5Z4TTKYMMBYD","GSON1112160305")</f>
        <v>#NAME?</v>
      </c>
      <c r="S2369" s="28" t="e">
        <f ca="1">[1]!BexGetData("DP_1","00O2TNJGODT0G5Z4TTKYMMI9X","GSON1112160305")</f>
        <v>#NAME?</v>
      </c>
      <c r="T2369" s="28" t="e">
        <f ca="1">[1]!BexGetData("DP_1","00O2TNJGODT0G5Z4TTKYMMOLH","GSON1112160305")</f>
        <v>#NAME?</v>
      </c>
      <c r="U2369" s="28" t="e">
        <f ca="1">[1]!BexGetData("DP_1","00O2TNJGODT0G5Z4TTKYMMUX1","GSON1112160305")</f>
        <v>#NAME?</v>
      </c>
      <c r="V2369" s="28" t="e">
        <f ca="1">[1]!BexGetData("DP_1","00O2TNJGODT0G5Z4TTKYMN18L","GSON1112160305")</f>
        <v>#NAME?</v>
      </c>
      <c r="W2369" s="28" t="e">
        <f ca="1">[1]!BexGetData("DP_1","00O2TNJGODT0G5Z4TTKYMN7K5","GSON1112160305")</f>
        <v>#NAME?</v>
      </c>
    </row>
    <row r="2370" spans="1:23" x14ac:dyDescent="0.2">
      <c r="A2370" s="36" t="s">
        <v>5697</v>
      </c>
      <c r="B2370" s="27" t="s">
        <v>5698</v>
      </c>
      <c r="C2370" s="28" t="e">
        <f ca="1">[1]!BexGetData("DP_1","003N8EMH8GTFRCSWKMPXRR8GU","GSON1112160471")</f>
        <v>#NAME?</v>
      </c>
      <c r="D2370" s="28" t="e">
        <f ca="1">[1]!BexGetData("DP_1","003N8EMH8GTFRCSWKMPXRRESE","GSON1112160471")</f>
        <v>#NAME?</v>
      </c>
      <c r="E2370" s="23" t="e">
        <f ca="1">[1]!BexGetData("DP_1","003N8EMH8GTFRCSWKMPXRRL3Y","GSON1112160471")</f>
        <v>#NAME?</v>
      </c>
      <c r="F2370" s="23" t="e">
        <f ca="1">[1]!BexGetData("DP_1","003N8EMH8GTFRCSWKMPXRRRFI","GSON1112160471")</f>
        <v>#NAME?</v>
      </c>
      <c r="G2370" s="28" t="e">
        <f ca="1">[1]!BexGetData("DP_1","003N8EMH8GTFRCSWKMPXRRXR2","GSON1112160471")</f>
        <v>#NAME?</v>
      </c>
      <c r="H2370" s="28" t="e">
        <f ca="1">[1]!BexGetData("DP_1","003N8EMH8GTFRCSWKMPXRS42M","GSON1112160471")</f>
        <v>#NAME?</v>
      </c>
      <c r="I2370" s="23" t="e">
        <f ca="1">[1]!BexGetData("DP_1","003N8EMH8GTFRCSWKMPXRSAE6","GSON1112160471")</f>
        <v>#NAME?</v>
      </c>
      <c r="J2370" s="23" t="e">
        <f ca="1">[1]!BexGetData("DP_1","003N8EMH8GTFRCSWKMPXRSGPQ","GSON1112160471")</f>
        <v>#NAME?</v>
      </c>
      <c r="K2370" s="28" t="e">
        <f ca="1">[1]!BexGetData("DP_1","003N8EMH8GTFRIVNUPY288VJH","GSON1112160471")</f>
        <v>#NAME?</v>
      </c>
      <c r="L2370" s="28" t="e">
        <f ca="1">[1]!BexGetData("DP_1","003N8EMH8GTFRIVNUPY2891V1","GSON1112160471")</f>
        <v>#NAME?</v>
      </c>
      <c r="M2370" s="28" t="e">
        <f ca="1">[1]!BexGetData("DP_1","003N8EMH8GTFRIVOG7KG9IQXA","GSON1112160471")</f>
        <v>#NAME?</v>
      </c>
      <c r="N2370" s="28" t="e">
        <f ca="1">[1]!BexGetData("DP_1","003N8EMH8GTFRIVOG7KG9IX8U","GSON1112160471")</f>
        <v>#NAME?</v>
      </c>
      <c r="O2370" s="28" t="e">
        <f ca="1">[1]!BexGetData("DP_1","003N8EMH8GTFRIVOG7KG9J3KE","GSON1112160471")</f>
        <v>#NAME?</v>
      </c>
      <c r="P2370" s="28" t="e">
        <f ca="1">[1]!BexGetData("DP_1","003N8EMH8GTFRIVOG7KG9J9VY","GSON1112160471")</f>
        <v>#NAME?</v>
      </c>
      <c r="Q2370" s="23" t="e">
        <f ca="1">[1]!BexGetData("DP_1","00O2TNJGODT0G5Z4TTKYMM5MT","GSON1112160471")</f>
        <v>#NAME?</v>
      </c>
      <c r="R2370" s="28" t="e">
        <f ca="1">[1]!BexGetData("DP_1","00O2TNJGODT0G5Z4TTKYMMBYD","GSON1112160471")</f>
        <v>#NAME?</v>
      </c>
      <c r="S2370" s="28" t="e">
        <f ca="1">[1]!BexGetData("DP_1","00O2TNJGODT0G5Z4TTKYMMI9X","GSON1112160471")</f>
        <v>#NAME?</v>
      </c>
      <c r="T2370" s="28" t="e">
        <f ca="1">[1]!BexGetData("DP_1","00O2TNJGODT0G5Z4TTKYMMOLH","GSON1112160471")</f>
        <v>#NAME?</v>
      </c>
      <c r="U2370" s="28" t="e">
        <f ca="1">[1]!BexGetData("DP_1","00O2TNJGODT0G5Z4TTKYMMUX1","GSON1112160471")</f>
        <v>#NAME?</v>
      </c>
      <c r="V2370" s="28" t="e">
        <f ca="1">[1]!BexGetData("DP_1","00O2TNJGODT0G5Z4TTKYMN18L","GSON1112160471")</f>
        <v>#NAME?</v>
      </c>
      <c r="W2370" s="28" t="e">
        <f ca="1">[1]!BexGetData("DP_1","00O2TNJGODT0G5Z4TTKYMN7K5","GSON1112160471")</f>
        <v>#NAME?</v>
      </c>
    </row>
    <row r="2371" spans="1:23" x14ac:dyDescent="0.2">
      <c r="A2371" s="36" t="s">
        <v>5699</v>
      </c>
      <c r="B2371" s="27" t="s">
        <v>5700</v>
      </c>
      <c r="C2371" s="28" t="e">
        <f ca="1">[1]!BexGetData("DP_1","003N8EMH8GTFRCSWKMPXRR8GU","GSON1112160480")</f>
        <v>#NAME?</v>
      </c>
      <c r="D2371" s="28" t="e">
        <f ca="1">[1]!BexGetData("DP_1","003N8EMH8GTFRCSWKMPXRRESE","GSON1112160480")</f>
        <v>#NAME?</v>
      </c>
      <c r="E2371" s="28" t="e">
        <f ca="1">[1]!BexGetData("DP_1","003N8EMH8GTFRCSWKMPXRRL3Y","GSON1112160480")</f>
        <v>#NAME?</v>
      </c>
      <c r="F2371" s="28" t="e">
        <f ca="1">[1]!BexGetData("DP_1","003N8EMH8GTFRCSWKMPXRRRFI","GSON1112160480")</f>
        <v>#NAME?</v>
      </c>
      <c r="G2371" s="23" t="e">
        <f ca="1">[1]!BexGetData("DP_1","003N8EMH8GTFRCSWKMPXRRXR2","GSON1112160480")</f>
        <v>#NAME?</v>
      </c>
      <c r="H2371" s="23" t="e">
        <f ca="1">[1]!BexGetData("DP_1","003N8EMH8GTFRCSWKMPXRS42M","GSON1112160480")</f>
        <v>#NAME?</v>
      </c>
      <c r="I2371" s="28" t="e">
        <f ca="1">[1]!BexGetData("DP_1","003N8EMH8GTFRCSWKMPXRSAE6","GSON1112160480")</f>
        <v>#NAME?</v>
      </c>
      <c r="J2371" s="23" t="e">
        <f ca="1">[1]!BexGetData("DP_1","003N8EMH8GTFRCSWKMPXRSGPQ","GSON1112160480")</f>
        <v>#NAME?</v>
      </c>
      <c r="K2371" s="28" t="e">
        <f ca="1">[1]!BexGetData("DP_1","003N8EMH8GTFRIVNUPY288VJH","GSON1112160480")</f>
        <v>#NAME?</v>
      </c>
      <c r="L2371" s="28" t="e">
        <f ca="1">[1]!BexGetData("DP_1","003N8EMH8GTFRIVNUPY2891V1","GSON1112160480")</f>
        <v>#NAME?</v>
      </c>
      <c r="M2371" s="28" t="e">
        <f ca="1">[1]!BexGetData("DP_1","003N8EMH8GTFRIVOG7KG9IQXA","GSON1112160480")</f>
        <v>#NAME?</v>
      </c>
      <c r="N2371" s="28" t="e">
        <f ca="1">[1]!BexGetData("DP_1","003N8EMH8GTFRIVOG7KG9IX8U","GSON1112160480")</f>
        <v>#NAME?</v>
      </c>
      <c r="O2371" s="28" t="e">
        <f ca="1">[1]!BexGetData("DP_1","003N8EMH8GTFRIVOG7KG9J3KE","GSON1112160480")</f>
        <v>#NAME?</v>
      </c>
      <c r="P2371" s="28" t="e">
        <f ca="1">[1]!BexGetData("DP_1","003N8EMH8GTFRIVOG7KG9J9VY","GSON1112160480")</f>
        <v>#NAME?</v>
      </c>
      <c r="Q2371" s="23" t="e">
        <f ca="1">[1]!BexGetData("DP_1","00O2TNJGODT0G5Z4TTKYMM5MT","GSON1112160480")</f>
        <v>#NAME?</v>
      </c>
      <c r="R2371" s="23" t="e">
        <f ca="1">[1]!BexGetData("DP_1","00O2TNJGODT0G5Z4TTKYMMBYD","GSON1112160480")</f>
        <v>#NAME?</v>
      </c>
      <c r="S2371" s="23" t="e">
        <f ca="1">[1]!BexGetData("DP_1","00O2TNJGODT0G5Z4TTKYMMI9X","GSON1112160480")</f>
        <v>#NAME?</v>
      </c>
      <c r="T2371" s="23" t="e">
        <f ca="1">[1]!BexGetData("DP_1","00O2TNJGODT0G5Z4TTKYMMOLH","GSON1112160480")</f>
        <v>#NAME?</v>
      </c>
      <c r="U2371" s="28" t="e">
        <f ca="1">[1]!BexGetData("DP_1","00O2TNJGODT0G5Z4TTKYMMUX1","GSON1112160480")</f>
        <v>#NAME?</v>
      </c>
      <c r="V2371" s="23" t="e">
        <f ca="1">[1]!BexGetData("DP_1","00O2TNJGODT0G5Z4TTKYMN18L","GSON1112160480")</f>
        <v>#NAME?</v>
      </c>
      <c r="W2371" s="28" t="e">
        <f ca="1">[1]!BexGetData("DP_1","00O2TNJGODT0G5Z4TTKYMN7K5","GSON1112160480")</f>
        <v>#NAME?</v>
      </c>
    </row>
    <row r="2372" spans="1:23" x14ac:dyDescent="0.2">
      <c r="A2372" s="36" t="s">
        <v>5701</v>
      </c>
      <c r="B2372" s="27" t="s">
        <v>5702</v>
      </c>
      <c r="C2372" s="24" t="e">
        <f ca="1">[1]!BexGetData("DP_1","003N8EMH8GTFRCSWKMPXRR8GU","GSON1112160481")</f>
        <v>#NAME?</v>
      </c>
      <c r="D2372" s="24" t="e">
        <f ca="1">[1]!BexGetData("DP_1","003N8EMH8GTFRCSWKMPXRRESE","GSON1112160481")</f>
        <v>#NAME?</v>
      </c>
      <c r="E2372" s="24" t="e">
        <f ca="1">[1]!BexGetData("DP_1","003N8EMH8GTFRCSWKMPXRRL3Y","GSON1112160481")</f>
        <v>#NAME?</v>
      </c>
      <c r="F2372" s="28" t="e">
        <f ca="1">[1]!BexGetData("DP_1","003N8EMH8GTFRCSWKMPXRRRFI","GSON1112160481")</f>
        <v>#NAME?</v>
      </c>
      <c r="G2372" s="23" t="e">
        <f ca="1">[1]!BexGetData("DP_1","003N8EMH8GTFRCSWKMPXRRXR2","GSON1112160481")</f>
        <v>#NAME?</v>
      </c>
      <c r="H2372" s="23" t="e">
        <f ca="1">[1]!BexGetData("DP_1","003N8EMH8GTFRCSWKMPXRS42M","GSON1112160481")</f>
        <v>#NAME?</v>
      </c>
      <c r="I2372" s="28" t="e">
        <f ca="1">[1]!BexGetData("DP_1","003N8EMH8GTFRCSWKMPXRSAE6","GSON1112160481")</f>
        <v>#NAME?</v>
      </c>
      <c r="J2372" s="24" t="e">
        <f ca="1">[1]!BexGetData("DP_1","003N8EMH8GTFRCSWKMPXRSGPQ","GSON1112160481")</f>
        <v>#NAME?</v>
      </c>
      <c r="K2372" s="28" t="e">
        <f ca="1">[1]!BexGetData("DP_1","003N8EMH8GTFRIVNUPY288VJH","GSON1112160481")</f>
        <v>#NAME?</v>
      </c>
      <c r="L2372" s="28" t="e">
        <f ca="1">[1]!BexGetData("DP_1","003N8EMH8GTFRIVNUPY2891V1","GSON1112160481")</f>
        <v>#NAME?</v>
      </c>
      <c r="M2372" s="28" t="e">
        <f ca="1">[1]!BexGetData("DP_1","003N8EMH8GTFRIVOG7KG9IQXA","GSON1112160481")</f>
        <v>#NAME?</v>
      </c>
      <c r="N2372" s="28" t="e">
        <f ca="1">[1]!BexGetData("DP_1","003N8EMH8GTFRIVOG7KG9IX8U","GSON1112160481")</f>
        <v>#NAME?</v>
      </c>
      <c r="O2372" s="28" t="e">
        <f ca="1">[1]!BexGetData("DP_1","003N8EMH8GTFRIVOG7KG9J3KE","GSON1112160481")</f>
        <v>#NAME?</v>
      </c>
      <c r="P2372" s="28" t="e">
        <f ca="1">[1]!BexGetData("DP_1","003N8EMH8GTFRIVOG7KG9J9VY","GSON1112160481")</f>
        <v>#NAME?</v>
      </c>
      <c r="Q2372" s="24" t="e">
        <f ca="1">[1]!BexGetData("DP_1","00O2TNJGODT0G5Z4TTKYMM5MT","GSON1112160481")</f>
        <v>#NAME?</v>
      </c>
      <c r="R2372" s="28" t="e">
        <f ca="1">[1]!BexGetData("DP_1","00O2TNJGODT0G5Z4TTKYMMBYD","GSON1112160481")</f>
        <v>#NAME?</v>
      </c>
      <c r="S2372" s="28" t="e">
        <f ca="1">[1]!BexGetData("DP_1","00O2TNJGODT0G5Z4TTKYMMI9X","GSON1112160481")</f>
        <v>#NAME?</v>
      </c>
      <c r="T2372" s="28" t="e">
        <f ca="1">[1]!BexGetData("DP_1","00O2TNJGODT0G5Z4TTKYMMOLH","GSON1112160481")</f>
        <v>#NAME?</v>
      </c>
      <c r="U2372" s="28" t="e">
        <f ca="1">[1]!BexGetData("DP_1","00O2TNJGODT0G5Z4TTKYMMUX1","GSON1112160481")</f>
        <v>#NAME?</v>
      </c>
      <c r="V2372" s="28" t="e">
        <f ca="1">[1]!BexGetData("DP_1","00O2TNJGODT0G5Z4TTKYMN18L","GSON1112160481")</f>
        <v>#NAME?</v>
      </c>
      <c r="W2372" s="28" t="e">
        <f ca="1">[1]!BexGetData("DP_1","00O2TNJGODT0G5Z4TTKYMN7K5","GSON1112160481")</f>
        <v>#NAME?</v>
      </c>
    </row>
    <row r="2373" spans="1:23" x14ac:dyDescent="0.2">
      <c r="A2373" s="36" t="s">
        <v>5703</v>
      </c>
      <c r="B2373" s="27" t="s">
        <v>5704</v>
      </c>
      <c r="C2373" s="24" t="e">
        <f ca="1">[1]!BexGetData("DP_1","003N8EMH8GTFRCSWKMPXRR8GU","GSON1112160483")</f>
        <v>#NAME?</v>
      </c>
      <c r="D2373" s="24" t="e">
        <f ca="1">[1]!BexGetData("DP_1","003N8EMH8GTFRCSWKMPXRRESE","GSON1112160483")</f>
        <v>#NAME?</v>
      </c>
      <c r="E2373" s="24" t="e">
        <f ca="1">[1]!BexGetData("DP_1","003N8EMH8GTFRCSWKMPXRRL3Y","GSON1112160483")</f>
        <v>#NAME?</v>
      </c>
      <c r="F2373" s="28" t="e">
        <f ca="1">[1]!BexGetData("DP_1","003N8EMH8GTFRCSWKMPXRRRFI","GSON1112160483")</f>
        <v>#NAME?</v>
      </c>
      <c r="G2373" s="23" t="e">
        <f ca="1">[1]!BexGetData("DP_1","003N8EMH8GTFRCSWKMPXRRXR2","GSON1112160483")</f>
        <v>#NAME?</v>
      </c>
      <c r="H2373" s="23" t="e">
        <f ca="1">[1]!BexGetData("DP_1","003N8EMH8GTFRCSWKMPXRS42M","GSON1112160483")</f>
        <v>#NAME?</v>
      </c>
      <c r="I2373" s="28" t="e">
        <f ca="1">[1]!BexGetData("DP_1","003N8EMH8GTFRCSWKMPXRSAE6","GSON1112160483")</f>
        <v>#NAME?</v>
      </c>
      <c r="J2373" s="24" t="e">
        <f ca="1">[1]!BexGetData("DP_1","003N8EMH8GTFRCSWKMPXRSGPQ","GSON1112160483")</f>
        <v>#NAME?</v>
      </c>
      <c r="K2373" s="28" t="e">
        <f ca="1">[1]!BexGetData("DP_1","003N8EMH8GTFRIVNUPY288VJH","GSON1112160483")</f>
        <v>#NAME?</v>
      </c>
      <c r="L2373" s="28" t="e">
        <f ca="1">[1]!BexGetData("DP_1","003N8EMH8GTFRIVNUPY2891V1","GSON1112160483")</f>
        <v>#NAME?</v>
      </c>
      <c r="M2373" s="28" t="e">
        <f ca="1">[1]!BexGetData("DP_1","003N8EMH8GTFRIVOG7KG9IQXA","GSON1112160483")</f>
        <v>#NAME?</v>
      </c>
      <c r="N2373" s="28" t="e">
        <f ca="1">[1]!BexGetData("DP_1","003N8EMH8GTFRIVOG7KG9IX8U","GSON1112160483")</f>
        <v>#NAME?</v>
      </c>
      <c r="O2373" s="28" t="e">
        <f ca="1">[1]!BexGetData("DP_1","003N8EMH8GTFRIVOG7KG9J3KE","GSON1112160483")</f>
        <v>#NAME?</v>
      </c>
      <c r="P2373" s="28" t="e">
        <f ca="1">[1]!BexGetData("DP_1","003N8EMH8GTFRIVOG7KG9J9VY","GSON1112160483")</f>
        <v>#NAME?</v>
      </c>
      <c r="Q2373" s="24" t="e">
        <f ca="1">[1]!BexGetData("DP_1","00O2TNJGODT0G5Z4TTKYMM5MT","GSON1112160483")</f>
        <v>#NAME?</v>
      </c>
      <c r="R2373" s="28" t="e">
        <f ca="1">[1]!BexGetData("DP_1","00O2TNJGODT0G5Z4TTKYMMBYD","GSON1112160483")</f>
        <v>#NAME?</v>
      </c>
      <c r="S2373" s="28" t="e">
        <f ca="1">[1]!BexGetData("DP_1","00O2TNJGODT0G5Z4TTKYMMI9X","GSON1112160483")</f>
        <v>#NAME?</v>
      </c>
      <c r="T2373" s="28" t="e">
        <f ca="1">[1]!BexGetData("DP_1","00O2TNJGODT0G5Z4TTKYMMOLH","GSON1112160483")</f>
        <v>#NAME?</v>
      </c>
      <c r="U2373" s="28" t="e">
        <f ca="1">[1]!BexGetData("DP_1","00O2TNJGODT0G5Z4TTKYMMUX1","GSON1112160483")</f>
        <v>#NAME?</v>
      </c>
      <c r="V2373" s="28" t="e">
        <f ca="1">[1]!BexGetData("DP_1","00O2TNJGODT0G5Z4TTKYMN18L","GSON1112160483")</f>
        <v>#NAME?</v>
      </c>
      <c r="W2373" s="28" t="e">
        <f ca="1">[1]!BexGetData("DP_1","00O2TNJGODT0G5Z4TTKYMN7K5","GSON1112160483")</f>
        <v>#NAME?</v>
      </c>
    </row>
    <row r="2374" spans="1:23" x14ac:dyDescent="0.2">
      <c r="A2374" s="36" t="s">
        <v>5705</v>
      </c>
      <c r="B2374" s="27" t="s">
        <v>5706</v>
      </c>
      <c r="C2374" s="28" t="e">
        <f ca="1">[1]!BexGetData("DP_1","003N8EMH8GTFRCSWKMPXRR8GU","GSON1112160485")</f>
        <v>#NAME?</v>
      </c>
      <c r="D2374" s="28" t="e">
        <f ca="1">[1]!BexGetData("DP_1","003N8EMH8GTFRCSWKMPXRRESE","GSON1112160485")</f>
        <v>#NAME?</v>
      </c>
      <c r="E2374" s="28" t="e">
        <f ca="1">[1]!BexGetData("DP_1","003N8EMH8GTFRCSWKMPXRRL3Y","GSON1112160485")</f>
        <v>#NAME?</v>
      </c>
      <c r="F2374" s="28" t="e">
        <f ca="1">[1]!BexGetData("DP_1","003N8EMH8GTFRCSWKMPXRRRFI","GSON1112160485")</f>
        <v>#NAME?</v>
      </c>
      <c r="G2374" s="23" t="e">
        <f ca="1">[1]!BexGetData("DP_1","003N8EMH8GTFRCSWKMPXRRXR2","GSON1112160485")</f>
        <v>#NAME?</v>
      </c>
      <c r="H2374" s="23" t="e">
        <f ca="1">[1]!BexGetData("DP_1","003N8EMH8GTFRCSWKMPXRS42M","GSON1112160485")</f>
        <v>#NAME?</v>
      </c>
      <c r="I2374" s="28" t="e">
        <f ca="1">[1]!BexGetData("DP_1","003N8EMH8GTFRCSWKMPXRSAE6","GSON1112160485")</f>
        <v>#NAME?</v>
      </c>
      <c r="J2374" s="24" t="e">
        <f ca="1">[1]!BexGetData("DP_1","003N8EMH8GTFRCSWKMPXRSGPQ","GSON1112160485")</f>
        <v>#NAME?</v>
      </c>
      <c r="K2374" s="28" t="e">
        <f ca="1">[1]!BexGetData("DP_1","003N8EMH8GTFRIVNUPY288VJH","GSON1112160485")</f>
        <v>#NAME?</v>
      </c>
      <c r="L2374" s="28" t="e">
        <f ca="1">[1]!BexGetData("DP_1","003N8EMH8GTFRIVNUPY2891V1","GSON1112160485")</f>
        <v>#NAME?</v>
      </c>
      <c r="M2374" s="28" t="e">
        <f ca="1">[1]!BexGetData("DP_1","003N8EMH8GTFRIVOG7KG9IQXA","GSON1112160485")</f>
        <v>#NAME?</v>
      </c>
      <c r="N2374" s="28" t="e">
        <f ca="1">[1]!BexGetData("DP_1","003N8EMH8GTFRIVOG7KG9IX8U","GSON1112160485")</f>
        <v>#NAME?</v>
      </c>
      <c r="O2374" s="28" t="e">
        <f ca="1">[1]!BexGetData("DP_1","003N8EMH8GTFRIVOG7KG9J3KE","GSON1112160485")</f>
        <v>#NAME?</v>
      </c>
      <c r="P2374" s="28" t="e">
        <f ca="1">[1]!BexGetData("DP_1","003N8EMH8GTFRIVOG7KG9J9VY","GSON1112160485")</f>
        <v>#NAME?</v>
      </c>
      <c r="Q2374" s="24" t="e">
        <f ca="1">[1]!BexGetData("DP_1","00O2TNJGODT0G5Z4TTKYMM5MT","GSON1112160485")</f>
        <v>#NAME?</v>
      </c>
      <c r="R2374" s="28" t="e">
        <f ca="1">[1]!BexGetData("DP_1","00O2TNJGODT0G5Z4TTKYMMBYD","GSON1112160485")</f>
        <v>#NAME?</v>
      </c>
      <c r="S2374" s="28" t="e">
        <f ca="1">[1]!BexGetData("DP_1","00O2TNJGODT0G5Z4TTKYMMI9X","GSON1112160485")</f>
        <v>#NAME?</v>
      </c>
      <c r="T2374" s="28" t="e">
        <f ca="1">[1]!BexGetData("DP_1","00O2TNJGODT0G5Z4TTKYMMOLH","GSON1112160485")</f>
        <v>#NAME?</v>
      </c>
      <c r="U2374" s="28" t="e">
        <f ca="1">[1]!BexGetData("DP_1","00O2TNJGODT0G5Z4TTKYMMUX1","GSON1112160485")</f>
        <v>#NAME?</v>
      </c>
      <c r="V2374" s="28" t="e">
        <f ca="1">[1]!BexGetData("DP_1","00O2TNJGODT0G5Z4TTKYMN18L","GSON1112160485")</f>
        <v>#NAME?</v>
      </c>
      <c r="W2374" s="28" t="e">
        <f ca="1">[1]!BexGetData("DP_1","00O2TNJGODT0G5Z4TTKYMN7K5","GSON1112160485")</f>
        <v>#NAME?</v>
      </c>
    </row>
    <row r="2375" spans="1:23" x14ac:dyDescent="0.2">
      <c r="A2375" s="36" t="s">
        <v>5707</v>
      </c>
      <c r="B2375" s="27" t="s">
        <v>5708</v>
      </c>
      <c r="C2375" s="23" t="e">
        <f ca="1">[1]!BexGetData("DP_1","003N8EMH8GTFRCSWKMPXRR8GU","GSON1112160490")</f>
        <v>#NAME?</v>
      </c>
      <c r="D2375" s="23" t="e">
        <f ca="1">[1]!BexGetData("DP_1","003N8EMH8GTFRCSWKMPXRRESE","GSON1112160490")</f>
        <v>#NAME?</v>
      </c>
      <c r="E2375" s="23" t="e">
        <f ca="1">[1]!BexGetData("DP_1","003N8EMH8GTFRCSWKMPXRRL3Y","GSON1112160490")</f>
        <v>#NAME?</v>
      </c>
      <c r="F2375" s="23" t="e">
        <f ca="1">[1]!BexGetData("DP_1","003N8EMH8GTFRCSWKMPXRRRFI","GSON1112160490")</f>
        <v>#NAME?</v>
      </c>
      <c r="G2375" s="23" t="e">
        <f ca="1">[1]!BexGetData("DP_1","003N8EMH8GTFRCSWKMPXRRXR2","GSON1112160490")</f>
        <v>#NAME?</v>
      </c>
      <c r="H2375" s="23" t="e">
        <f ca="1">[1]!BexGetData("DP_1","003N8EMH8GTFRCSWKMPXRS42M","GSON1112160490")</f>
        <v>#NAME?</v>
      </c>
      <c r="I2375" s="23" t="e">
        <f ca="1">[1]!BexGetData("DP_1","003N8EMH8GTFRCSWKMPXRSAE6","GSON1112160490")</f>
        <v>#NAME?</v>
      </c>
      <c r="J2375" s="24" t="e">
        <f ca="1">[1]!BexGetData("DP_1","003N8EMH8GTFRCSWKMPXRSGPQ","GSON1112160490")</f>
        <v>#NAME?</v>
      </c>
      <c r="K2375" s="23" t="e">
        <f ca="1">[1]!BexGetData("DP_1","003N8EMH8GTFRIVNUPY288VJH","GSON1112160490")</f>
        <v>#NAME?</v>
      </c>
      <c r="L2375" s="23" t="e">
        <f ca="1">[1]!BexGetData("DP_1","003N8EMH8GTFRIVNUPY2891V1","GSON1112160490")</f>
        <v>#NAME?</v>
      </c>
      <c r="M2375" s="23" t="e">
        <f ca="1">[1]!BexGetData("DP_1","003N8EMH8GTFRIVOG7KG9IQXA","GSON1112160490")</f>
        <v>#NAME?</v>
      </c>
      <c r="N2375" s="28" t="e">
        <f ca="1">[1]!BexGetData("DP_1","003N8EMH8GTFRIVOG7KG9IX8U","GSON1112160490")</f>
        <v>#NAME?</v>
      </c>
      <c r="O2375" s="23" t="e">
        <f ca="1">[1]!BexGetData("DP_1","003N8EMH8GTFRIVOG7KG9J3KE","GSON1112160490")</f>
        <v>#NAME?</v>
      </c>
      <c r="P2375" s="28" t="e">
        <f ca="1">[1]!BexGetData("DP_1","003N8EMH8GTFRIVOG7KG9J9VY","GSON1112160490")</f>
        <v>#NAME?</v>
      </c>
      <c r="Q2375" s="24" t="e">
        <f ca="1">[1]!BexGetData("DP_1","00O2TNJGODT0G5Z4TTKYMM5MT","GSON1112160490")</f>
        <v>#NAME?</v>
      </c>
      <c r="R2375" s="23" t="e">
        <f ca="1">[1]!BexGetData("DP_1","00O2TNJGODT0G5Z4TTKYMMBYD","GSON1112160490")</f>
        <v>#NAME?</v>
      </c>
      <c r="S2375" s="23" t="e">
        <f ca="1">[1]!BexGetData("DP_1","00O2TNJGODT0G5Z4TTKYMMI9X","GSON1112160490")</f>
        <v>#NAME?</v>
      </c>
      <c r="T2375" s="28" t="e">
        <f ca="1">[1]!BexGetData("DP_1","00O2TNJGODT0G5Z4TTKYMMOLH","GSON1112160490")</f>
        <v>#NAME?</v>
      </c>
      <c r="U2375" s="23" t="e">
        <f ca="1">[1]!BexGetData("DP_1","00O2TNJGODT0G5Z4TTKYMMUX1","GSON1112160490")</f>
        <v>#NAME?</v>
      </c>
      <c r="V2375" s="28" t="e">
        <f ca="1">[1]!BexGetData("DP_1","00O2TNJGODT0G5Z4TTKYMN18L","GSON1112160490")</f>
        <v>#NAME?</v>
      </c>
      <c r="W2375" s="23" t="e">
        <f ca="1">[1]!BexGetData("DP_1","00O2TNJGODT0G5Z4TTKYMN7K5","GSON1112160490")</f>
        <v>#NAME?</v>
      </c>
    </row>
    <row r="2376" spans="1:23" x14ac:dyDescent="0.2">
      <c r="A2376" s="36" t="s">
        <v>5709</v>
      </c>
      <c r="B2376" s="27" t="s">
        <v>5710</v>
      </c>
      <c r="C2376" s="28" t="e">
        <f ca="1">[1]!BexGetData("DP_1","003N8EMH8GTFRCSWKMPXRR8GU","GSON1112160491")</f>
        <v>#NAME?</v>
      </c>
      <c r="D2376" s="28" t="e">
        <f ca="1">[1]!BexGetData("DP_1","003N8EMH8GTFRCSWKMPXRRESE","GSON1112160491")</f>
        <v>#NAME?</v>
      </c>
      <c r="E2376" s="28" t="e">
        <f ca="1">[1]!BexGetData("DP_1","003N8EMH8GTFRCSWKMPXRRL3Y","GSON1112160491")</f>
        <v>#NAME?</v>
      </c>
      <c r="F2376" s="28" t="e">
        <f ca="1">[1]!BexGetData("DP_1","003N8EMH8GTFRCSWKMPXRRRFI","GSON1112160491")</f>
        <v>#NAME?</v>
      </c>
      <c r="G2376" s="23" t="e">
        <f ca="1">[1]!BexGetData("DP_1","003N8EMH8GTFRCSWKMPXRRXR2","GSON1112160491")</f>
        <v>#NAME?</v>
      </c>
      <c r="H2376" s="23" t="e">
        <f ca="1">[1]!BexGetData("DP_1","003N8EMH8GTFRCSWKMPXRS42M","GSON1112160491")</f>
        <v>#NAME?</v>
      </c>
      <c r="I2376" s="28" t="e">
        <f ca="1">[1]!BexGetData("DP_1","003N8EMH8GTFRCSWKMPXRSAE6","GSON1112160491")</f>
        <v>#NAME?</v>
      </c>
      <c r="J2376" s="24" t="e">
        <f ca="1">[1]!BexGetData("DP_1","003N8EMH8GTFRCSWKMPXRSGPQ","GSON1112160491")</f>
        <v>#NAME?</v>
      </c>
      <c r="K2376" s="28" t="e">
        <f ca="1">[1]!BexGetData("DP_1","003N8EMH8GTFRIVNUPY288VJH","GSON1112160491")</f>
        <v>#NAME?</v>
      </c>
      <c r="L2376" s="28" t="e">
        <f ca="1">[1]!BexGetData("DP_1","003N8EMH8GTFRIVNUPY2891V1","GSON1112160491")</f>
        <v>#NAME?</v>
      </c>
      <c r="M2376" s="28" t="e">
        <f ca="1">[1]!BexGetData("DP_1","003N8EMH8GTFRIVOG7KG9IQXA","GSON1112160491")</f>
        <v>#NAME?</v>
      </c>
      <c r="N2376" s="28" t="e">
        <f ca="1">[1]!BexGetData("DP_1","003N8EMH8GTFRIVOG7KG9IX8U","GSON1112160491")</f>
        <v>#NAME?</v>
      </c>
      <c r="O2376" s="28" t="e">
        <f ca="1">[1]!BexGetData("DP_1","003N8EMH8GTFRIVOG7KG9J3KE","GSON1112160491")</f>
        <v>#NAME?</v>
      </c>
      <c r="P2376" s="28" t="e">
        <f ca="1">[1]!BexGetData("DP_1","003N8EMH8GTFRIVOG7KG9J9VY","GSON1112160491")</f>
        <v>#NAME?</v>
      </c>
      <c r="Q2376" s="24" t="e">
        <f ca="1">[1]!BexGetData("DP_1","00O2TNJGODT0G5Z4TTKYMM5MT","GSON1112160491")</f>
        <v>#NAME?</v>
      </c>
      <c r="R2376" s="28" t="e">
        <f ca="1">[1]!BexGetData("DP_1","00O2TNJGODT0G5Z4TTKYMMBYD","GSON1112160491")</f>
        <v>#NAME?</v>
      </c>
      <c r="S2376" s="28" t="e">
        <f ca="1">[1]!BexGetData("DP_1","00O2TNJGODT0G5Z4TTKYMMI9X","GSON1112160491")</f>
        <v>#NAME?</v>
      </c>
      <c r="T2376" s="28" t="e">
        <f ca="1">[1]!BexGetData("DP_1","00O2TNJGODT0G5Z4TTKYMMOLH","GSON1112160491")</f>
        <v>#NAME?</v>
      </c>
      <c r="U2376" s="28" t="e">
        <f ca="1">[1]!BexGetData("DP_1","00O2TNJGODT0G5Z4TTKYMMUX1","GSON1112160491")</f>
        <v>#NAME?</v>
      </c>
      <c r="V2376" s="28" t="e">
        <f ca="1">[1]!BexGetData("DP_1","00O2TNJGODT0G5Z4TTKYMN18L","GSON1112160491")</f>
        <v>#NAME?</v>
      </c>
      <c r="W2376" s="28" t="e">
        <f ca="1">[1]!BexGetData("DP_1","00O2TNJGODT0G5Z4TTKYMN7K5","GSON1112160491")</f>
        <v>#NAME?</v>
      </c>
    </row>
    <row r="2377" spans="1:23" x14ac:dyDescent="0.2">
      <c r="A2377" s="36" t="s">
        <v>5711</v>
      </c>
      <c r="B2377" s="27" t="s">
        <v>5712</v>
      </c>
      <c r="C2377" s="23" t="e">
        <f ca="1">[1]!BexGetData("DP_1","003N8EMH8GTFRCSWKMPXRR8GU","GSON1112160493")</f>
        <v>#NAME?</v>
      </c>
      <c r="D2377" s="23" t="e">
        <f ca="1">[1]!BexGetData("DP_1","003N8EMH8GTFRCSWKMPXRRESE","GSON1112160493")</f>
        <v>#NAME?</v>
      </c>
      <c r="E2377" s="28" t="e">
        <f ca="1">[1]!BexGetData("DP_1","003N8EMH8GTFRCSWKMPXRRL3Y","GSON1112160493")</f>
        <v>#NAME?</v>
      </c>
      <c r="F2377" s="28" t="e">
        <f ca="1">[1]!BexGetData("DP_1","003N8EMH8GTFRCSWKMPXRRRFI","GSON1112160493")</f>
        <v>#NAME?</v>
      </c>
      <c r="G2377" s="23" t="e">
        <f ca="1">[1]!BexGetData("DP_1","003N8EMH8GTFRCSWKMPXRRXR2","GSON1112160493")</f>
        <v>#NAME?</v>
      </c>
      <c r="H2377" s="23" t="e">
        <f ca="1">[1]!BexGetData("DP_1","003N8EMH8GTFRCSWKMPXRS42M","GSON1112160493")</f>
        <v>#NAME?</v>
      </c>
      <c r="I2377" s="28" t="e">
        <f ca="1">[1]!BexGetData("DP_1","003N8EMH8GTFRCSWKMPXRSAE6","GSON1112160493")</f>
        <v>#NAME?</v>
      </c>
      <c r="J2377" s="24" t="e">
        <f ca="1">[1]!BexGetData("DP_1","003N8EMH8GTFRCSWKMPXRSGPQ","GSON1112160493")</f>
        <v>#NAME?</v>
      </c>
      <c r="K2377" s="28" t="e">
        <f ca="1">[1]!BexGetData("DP_1","003N8EMH8GTFRIVNUPY288VJH","GSON1112160493")</f>
        <v>#NAME?</v>
      </c>
      <c r="L2377" s="28" t="e">
        <f ca="1">[1]!BexGetData("DP_1","003N8EMH8GTFRIVNUPY2891V1","GSON1112160493")</f>
        <v>#NAME?</v>
      </c>
      <c r="M2377" s="28" t="e">
        <f ca="1">[1]!BexGetData("DP_1","003N8EMH8GTFRIVOG7KG9IQXA","GSON1112160493")</f>
        <v>#NAME?</v>
      </c>
      <c r="N2377" s="28" t="e">
        <f ca="1">[1]!BexGetData("DP_1","003N8EMH8GTFRIVOG7KG9IX8U","GSON1112160493")</f>
        <v>#NAME?</v>
      </c>
      <c r="O2377" s="28" t="e">
        <f ca="1">[1]!BexGetData("DP_1","003N8EMH8GTFRIVOG7KG9J3KE","GSON1112160493")</f>
        <v>#NAME?</v>
      </c>
      <c r="P2377" s="28" t="e">
        <f ca="1">[1]!BexGetData("DP_1","003N8EMH8GTFRIVOG7KG9J9VY","GSON1112160493")</f>
        <v>#NAME?</v>
      </c>
      <c r="Q2377" s="24" t="e">
        <f ca="1">[1]!BexGetData("DP_1","00O2TNJGODT0G5Z4TTKYMM5MT","GSON1112160493")</f>
        <v>#NAME?</v>
      </c>
      <c r="R2377" s="28" t="e">
        <f ca="1">[1]!BexGetData("DP_1","00O2TNJGODT0G5Z4TTKYMMBYD","GSON1112160493")</f>
        <v>#NAME?</v>
      </c>
      <c r="S2377" s="28" t="e">
        <f ca="1">[1]!BexGetData("DP_1","00O2TNJGODT0G5Z4TTKYMMI9X","GSON1112160493")</f>
        <v>#NAME?</v>
      </c>
      <c r="T2377" s="28" t="e">
        <f ca="1">[1]!BexGetData("DP_1","00O2TNJGODT0G5Z4TTKYMMOLH","GSON1112160493")</f>
        <v>#NAME?</v>
      </c>
      <c r="U2377" s="28" t="e">
        <f ca="1">[1]!BexGetData("DP_1","00O2TNJGODT0G5Z4TTKYMMUX1","GSON1112160493")</f>
        <v>#NAME?</v>
      </c>
      <c r="V2377" s="28" t="e">
        <f ca="1">[1]!BexGetData("DP_1","00O2TNJGODT0G5Z4TTKYMN18L","GSON1112160493")</f>
        <v>#NAME?</v>
      </c>
      <c r="W2377" s="28" t="e">
        <f ca="1">[1]!BexGetData("DP_1","00O2TNJGODT0G5Z4TTKYMN7K5","GSON1112160493")</f>
        <v>#NAME?</v>
      </c>
    </row>
    <row r="2378" spans="1:23" x14ac:dyDescent="0.2">
      <c r="A2378" s="36" t="s">
        <v>5713</v>
      </c>
      <c r="B2378" s="27" t="s">
        <v>5714</v>
      </c>
      <c r="C2378" s="23" t="e">
        <f ca="1">[1]!BexGetData("DP_1","003N8EMH8GTFRCSWKMPXRR8GU","GSON1112160494")</f>
        <v>#NAME?</v>
      </c>
      <c r="D2378" s="23" t="e">
        <f ca="1">[1]!BexGetData("DP_1","003N8EMH8GTFRCSWKMPXRRESE","GSON1112160494")</f>
        <v>#NAME?</v>
      </c>
      <c r="E2378" s="28" t="e">
        <f ca="1">[1]!BexGetData("DP_1","003N8EMH8GTFRCSWKMPXRRL3Y","GSON1112160494")</f>
        <v>#NAME?</v>
      </c>
      <c r="F2378" s="28" t="e">
        <f ca="1">[1]!BexGetData("DP_1","003N8EMH8GTFRCSWKMPXRRRFI","GSON1112160494")</f>
        <v>#NAME?</v>
      </c>
      <c r="G2378" s="23" t="e">
        <f ca="1">[1]!BexGetData("DP_1","003N8EMH8GTFRCSWKMPXRRXR2","GSON1112160494")</f>
        <v>#NAME?</v>
      </c>
      <c r="H2378" s="23" t="e">
        <f ca="1">[1]!BexGetData("DP_1","003N8EMH8GTFRCSWKMPXRS42M","GSON1112160494")</f>
        <v>#NAME?</v>
      </c>
      <c r="I2378" s="28" t="e">
        <f ca="1">[1]!BexGetData("DP_1","003N8EMH8GTFRCSWKMPXRSAE6","GSON1112160494")</f>
        <v>#NAME?</v>
      </c>
      <c r="J2378" s="24" t="e">
        <f ca="1">[1]!BexGetData("DP_1","003N8EMH8GTFRCSWKMPXRSGPQ","GSON1112160494")</f>
        <v>#NAME?</v>
      </c>
      <c r="K2378" s="28" t="e">
        <f ca="1">[1]!BexGetData("DP_1","003N8EMH8GTFRIVNUPY288VJH","GSON1112160494")</f>
        <v>#NAME?</v>
      </c>
      <c r="L2378" s="28" t="e">
        <f ca="1">[1]!BexGetData("DP_1","003N8EMH8GTFRIVNUPY2891V1","GSON1112160494")</f>
        <v>#NAME?</v>
      </c>
      <c r="M2378" s="28" t="e">
        <f ca="1">[1]!BexGetData("DP_1","003N8EMH8GTFRIVOG7KG9IQXA","GSON1112160494")</f>
        <v>#NAME?</v>
      </c>
      <c r="N2378" s="28" t="e">
        <f ca="1">[1]!BexGetData("DP_1","003N8EMH8GTFRIVOG7KG9IX8U","GSON1112160494")</f>
        <v>#NAME?</v>
      </c>
      <c r="O2378" s="28" t="e">
        <f ca="1">[1]!BexGetData("DP_1","003N8EMH8GTFRIVOG7KG9J3KE","GSON1112160494")</f>
        <v>#NAME?</v>
      </c>
      <c r="P2378" s="28" t="e">
        <f ca="1">[1]!BexGetData("DP_1","003N8EMH8GTFRIVOG7KG9J9VY","GSON1112160494")</f>
        <v>#NAME?</v>
      </c>
      <c r="Q2378" s="24" t="e">
        <f ca="1">[1]!BexGetData("DP_1","00O2TNJGODT0G5Z4TTKYMM5MT","GSON1112160494")</f>
        <v>#NAME?</v>
      </c>
      <c r="R2378" s="28" t="e">
        <f ca="1">[1]!BexGetData("DP_1","00O2TNJGODT0G5Z4TTKYMMBYD","GSON1112160494")</f>
        <v>#NAME?</v>
      </c>
      <c r="S2378" s="28" t="e">
        <f ca="1">[1]!BexGetData("DP_1","00O2TNJGODT0G5Z4TTKYMMI9X","GSON1112160494")</f>
        <v>#NAME?</v>
      </c>
      <c r="T2378" s="28" t="e">
        <f ca="1">[1]!BexGetData("DP_1","00O2TNJGODT0G5Z4TTKYMMOLH","GSON1112160494")</f>
        <v>#NAME?</v>
      </c>
      <c r="U2378" s="28" t="e">
        <f ca="1">[1]!BexGetData("DP_1","00O2TNJGODT0G5Z4TTKYMMUX1","GSON1112160494")</f>
        <v>#NAME?</v>
      </c>
      <c r="V2378" s="28" t="e">
        <f ca="1">[1]!BexGetData("DP_1","00O2TNJGODT0G5Z4TTKYMN18L","GSON1112160494")</f>
        <v>#NAME?</v>
      </c>
      <c r="W2378" s="28" t="e">
        <f ca="1">[1]!BexGetData("DP_1","00O2TNJGODT0G5Z4TTKYMN7K5","GSON1112160494")</f>
        <v>#NAME?</v>
      </c>
    </row>
    <row r="2379" spans="1:23" x14ac:dyDescent="0.2">
      <c r="A2379" s="36" t="s">
        <v>5715</v>
      </c>
      <c r="B2379" s="27" t="s">
        <v>5716</v>
      </c>
      <c r="C2379" s="23" t="e">
        <f ca="1">[1]!BexGetData("DP_1","003N8EMH8GTFRCSWKMPXRR8GU","GSON1112160495")</f>
        <v>#NAME?</v>
      </c>
      <c r="D2379" s="23" t="e">
        <f ca="1">[1]!BexGetData("DP_1","003N8EMH8GTFRCSWKMPXRRESE","GSON1112160495")</f>
        <v>#NAME?</v>
      </c>
      <c r="E2379" s="28" t="e">
        <f ca="1">[1]!BexGetData("DP_1","003N8EMH8GTFRCSWKMPXRRL3Y","GSON1112160495")</f>
        <v>#NAME?</v>
      </c>
      <c r="F2379" s="28" t="e">
        <f ca="1">[1]!BexGetData("DP_1","003N8EMH8GTFRCSWKMPXRRRFI","GSON1112160495")</f>
        <v>#NAME?</v>
      </c>
      <c r="G2379" s="23" t="e">
        <f ca="1">[1]!BexGetData("DP_1","003N8EMH8GTFRCSWKMPXRRXR2","GSON1112160495")</f>
        <v>#NAME?</v>
      </c>
      <c r="H2379" s="23" t="e">
        <f ca="1">[1]!BexGetData("DP_1","003N8EMH8GTFRCSWKMPXRS42M","GSON1112160495")</f>
        <v>#NAME?</v>
      </c>
      <c r="I2379" s="28" t="e">
        <f ca="1">[1]!BexGetData("DP_1","003N8EMH8GTFRCSWKMPXRSAE6","GSON1112160495")</f>
        <v>#NAME?</v>
      </c>
      <c r="J2379" s="24" t="e">
        <f ca="1">[1]!BexGetData("DP_1","003N8EMH8GTFRCSWKMPXRSGPQ","GSON1112160495")</f>
        <v>#NAME?</v>
      </c>
      <c r="K2379" s="28" t="e">
        <f ca="1">[1]!BexGetData("DP_1","003N8EMH8GTFRIVNUPY288VJH","GSON1112160495")</f>
        <v>#NAME?</v>
      </c>
      <c r="L2379" s="28" t="e">
        <f ca="1">[1]!BexGetData("DP_1","003N8EMH8GTFRIVNUPY2891V1","GSON1112160495")</f>
        <v>#NAME?</v>
      </c>
      <c r="M2379" s="28" t="e">
        <f ca="1">[1]!BexGetData("DP_1","003N8EMH8GTFRIVOG7KG9IQXA","GSON1112160495")</f>
        <v>#NAME?</v>
      </c>
      <c r="N2379" s="28" t="e">
        <f ca="1">[1]!BexGetData("DP_1","003N8EMH8GTFRIVOG7KG9IX8U","GSON1112160495")</f>
        <v>#NAME?</v>
      </c>
      <c r="O2379" s="28" t="e">
        <f ca="1">[1]!BexGetData("DP_1","003N8EMH8GTFRIVOG7KG9J3KE","GSON1112160495")</f>
        <v>#NAME?</v>
      </c>
      <c r="P2379" s="28" t="e">
        <f ca="1">[1]!BexGetData("DP_1","003N8EMH8GTFRIVOG7KG9J9VY","GSON1112160495")</f>
        <v>#NAME?</v>
      </c>
      <c r="Q2379" s="24" t="e">
        <f ca="1">[1]!BexGetData("DP_1","00O2TNJGODT0G5Z4TTKYMM5MT","GSON1112160495")</f>
        <v>#NAME?</v>
      </c>
      <c r="R2379" s="28" t="e">
        <f ca="1">[1]!BexGetData("DP_1","00O2TNJGODT0G5Z4TTKYMMBYD","GSON1112160495")</f>
        <v>#NAME?</v>
      </c>
      <c r="S2379" s="28" t="e">
        <f ca="1">[1]!BexGetData("DP_1","00O2TNJGODT0G5Z4TTKYMMI9X","GSON1112160495")</f>
        <v>#NAME?</v>
      </c>
      <c r="T2379" s="28" t="e">
        <f ca="1">[1]!BexGetData("DP_1","00O2TNJGODT0G5Z4TTKYMMOLH","GSON1112160495")</f>
        <v>#NAME?</v>
      </c>
      <c r="U2379" s="28" t="e">
        <f ca="1">[1]!BexGetData("DP_1","00O2TNJGODT0G5Z4TTKYMMUX1","GSON1112160495")</f>
        <v>#NAME?</v>
      </c>
      <c r="V2379" s="28" t="e">
        <f ca="1">[1]!BexGetData("DP_1","00O2TNJGODT0G5Z4TTKYMN18L","GSON1112160495")</f>
        <v>#NAME?</v>
      </c>
      <c r="W2379" s="28" t="e">
        <f ca="1">[1]!BexGetData("DP_1","00O2TNJGODT0G5Z4TTKYMN7K5","GSON1112160495")</f>
        <v>#NAME?</v>
      </c>
    </row>
    <row r="2380" spans="1:23" x14ac:dyDescent="0.2">
      <c r="A2380" s="36" t="s">
        <v>5717</v>
      </c>
      <c r="B2380" s="27" t="s">
        <v>5718</v>
      </c>
      <c r="C2380" s="23" t="e">
        <f ca="1">[1]!BexGetData("DP_1","003N8EMH8GTFRCSWKMPXRR8GU","GSON1112160500")</f>
        <v>#NAME?</v>
      </c>
      <c r="D2380" s="23" t="e">
        <f ca="1">[1]!BexGetData("DP_1","003N8EMH8GTFRCSWKMPXRRESE","GSON1112160500")</f>
        <v>#NAME?</v>
      </c>
      <c r="E2380" s="28" t="e">
        <f ca="1">[1]!BexGetData("DP_1","003N8EMH8GTFRCSWKMPXRRL3Y","GSON1112160500")</f>
        <v>#NAME?</v>
      </c>
      <c r="F2380" s="23" t="e">
        <f ca="1">[1]!BexGetData("DP_1","003N8EMH8GTFRCSWKMPXRRRFI","GSON1112160500")</f>
        <v>#NAME?</v>
      </c>
      <c r="G2380" s="23" t="e">
        <f ca="1">[1]!BexGetData("DP_1","003N8EMH8GTFRCSWKMPXRRXR2","GSON1112160500")</f>
        <v>#NAME?</v>
      </c>
      <c r="H2380" s="23" t="e">
        <f ca="1">[1]!BexGetData("DP_1","003N8EMH8GTFRCSWKMPXRS42M","GSON1112160500")</f>
        <v>#NAME?</v>
      </c>
      <c r="I2380" s="23" t="e">
        <f ca="1">[1]!BexGetData("DP_1","003N8EMH8GTFRCSWKMPXRSAE6","GSON1112160500")</f>
        <v>#NAME?</v>
      </c>
      <c r="J2380" s="24" t="e">
        <f ca="1">[1]!BexGetData("DP_1","003N8EMH8GTFRCSWKMPXRSGPQ","GSON1112160500")</f>
        <v>#NAME?</v>
      </c>
      <c r="K2380" s="23" t="e">
        <f ca="1">[1]!BexGetData("DP_1","003N8EMH8GTFRIVNUPY288VJH","GSON1112160500")</f>
        <v>#NAME?</v>
      </c>
      <c r="L2380" s="23" t="e">
        <f ca="1">[1]!BexGetData("DP_1","003N8EMH8GTFRIVNUPY2891V1","GSON1112160500")</f>
        <v>#NAME?</v>
      </c>
      <c r="M2380" s="23" t="e">
        <f ca="1">[1]!BexGetData("DP_1","003N8EMH8GTFRIVOG7KG9IQXA","GSON1112160500")</f>
        <v>#NAME?</v>
      </c>
      <c r="N2380" s="28" t="e">
        <f ca="1">[1]!BexGetData("DP_1","003N8EMH8GTFRIVOG7KG9IX8U","GSON1112160500")</f>
        <v>#NAME?</v>
      </c>
      <c r="O2380" s="23" t="e">
        <f ca="1">[1]!BexGetData("DP_1","003N8EMH8GTFRIVOG7KG9J3KE","GSON1112160500")</f>
        <v>#NAME?</v>
      </c>
      <c r="P2380" s="28" t="e">
        <f ca="1">[1]!BexGetData("DP_1","003N8EMH8GTFRIVOG7KG9J9VY","GSON1112160500")</f>
        <v>#NAME?</v>
      </c>
      <c r="Q2380" s="24" t="e">
        <f ca="1">[1]!BexGetData("DP_1","00O2TNJGODT0G5Z4TTKYMM5MT","GSON1112160500")</f>
        <v>#NAME?</v>
      </c>
      <c r="R2380" s="23" t="e">
        <f ca="1">[1]!BexGetData("DP_1","00O2TNJGODT0G5Z4TTKYMMBYD","GSON1112160500")</f>
        <v>#NAME?</v>
      </c>
      <c r="S2380" s="23" t="e">
        <f ca="1">[1]!BexGetData("DP_1","00O2TNJGODT0G5Z4TTKYMMI9X","GSON1112160500")</f>
        <v>#NAME?</v>
      </c>
      <c r="T2380" s="28" t="e">
        <f ca="1">[1]!BexGetData("DP_1","00O2TNJGODT0G5Z4TTKYMMOLH","GSON1112160500")</f>
        <v>#NAME?</v>
      </c>
      <c r="U2380" s="23" t="e">
        <f ca="1">[1]!BexGetData("DP_1","00O2TNJGODT0G5Z4TTKYMMUX1","GSON1112160500")</f>
        <v>#NAME?</v>
      </c>
      <c r="V2380" s="28" t="e">
        <f ca="1">[1]!BexGetData("DP_1","00O2TNJGODT0G5Z4TTKYMN18L","GSON1112160500")</f>
        <v>#NAME?</v>
      </c>
      <c r="W2380" s="23" t="e">
        <f ca="1">[1]!BexGetData("DP_1","00O2TNJGODT0G5Z4TTKYMN7K5","GSON1112160500")</f>
        <v>#NAME?</v>
      </c>
    </row>
    <row r="2381" spans="1:23" x14ac:dyDescent="0.2">
      <c r="A2381" s="36" t="s">
        <v>5719</v>
      </c>
      <c r="B2381" s="27" t="s">
        <v>5720</v>
      </c>
      <c r="C2381" s="23" t="e">
        <f ca="1">[1]!BexGetData("DP_1","003N8EMH8GTFRCSWKMPXRR8GU","GSON1112160501")</f>
        <v>#NAME?</v>
      </c>
      <c r="D2381" s="23" t="e">
        <f ca="1">[1]!BexGetData("DP_1","003N8EMH8GTFRCSWKMPXRRESE","GSON1112160501")</f>
        <v>#NAME?</v>
      </c>
      <c r="E2381" s="28" t="e">
        <f ca="1">[1]!BexGetData("DP_1","003N8EMH8GTFRCSWKMPXRRL3Y","GSON1112160501")</f>
        <v>#NAME?</v>
      </c>
      <c r="F2381" s="28" t="e">
        <f ca="1">[1]!BexGetData("DP_1","003N8EMH8GTFRCSWKMPXRRRFI","GSON1112160501")</f>
        <v>#NAME?</v>
      </c>
      <c r="G2381" s="23" t="e">
        <f ca="1">[1]!BexGetData("DP_1","003N8EMH8GTFRCSWKMPXRRXR2","GSON1112160501")</f>
        <v>#NAME?</v>
      </c>
      <c r="H2381" s="23" t="e">
        <f ca="1">[1]!BexGetData("DP_1","003N8EMH8GTFRCSWKMPXRS42M","GSON1112160501")</f>
        <v>#NAME?</v>
      </c>
      <c r="I2381" s="28" t="e">
        <f ca="1">[1]!BexGetData("DP_1","003N8EMH8GTFRCSWKMPXRSAE6","GSON1112160501")</f>
        <v>#NAME?</v>
      </c>
      <c r="J2381" s="24" t="e">
        <f ca="1">[1]!BexGetData("DP_1","003N8EMH8GTFRCSWKMPXRSGPQ","GSON1112160501")</f>
        <v>#NAME?</v>
      </c>
      <c r="K2381" s="28" t="e">
        <f ca="1">[1]!BexGetData("DP_1","003N8EMH8GTFRIVNUPY288VJH","GSON1112160501")</f>
        <v>#NAME?</v>
      </c>
      <c r="L2381" s="28" t="e">
        <f ca="1">[1]!BexGetData("DP_1","003N8EMH8GTFRIVNUPY2891V1","GSON1112160501")</f>
        <v>#NAME?</v>
      </c>
      <c r="M2381" s="28" t="e">
        <f ca="1">[1]!BexGetData("DP_1","003N8EMH8GTFRIVOG7KG9IQXA","GSON1112160501")</f>
        <v>#NAME?</v>
      </c>
      <c r="N2381" s="28" t="e">
        <f ca="1">[1]!BexGetData("DP_1","003N8EMH8GTFRIVOG7KG9IX8U","GSON1112160501")</f>
        <v>#NAME?</v>
      </c>
      <c r="O2381" s="28" t="e">
        <f ca="1">[1]!BexGetData("DP_1","003N8EMH8GTFRIVOG7KG9J3KE","GSON1112160501")</f>
        <v>#NAME?</v>
      </c>
      <c r="P2381" s="28" t="e">
        <f ca="1">[1]!BexGetData("DP_1","003N8EMH8GTFRIVOG7KG9J9VY","GSON1112160501")</f>
        <v>#NAME?</v>
      </c>
      <c r="Q2381" s="24" t="e">
        <f ca="1">[1]!BexGetData("DP_1","00O2TNJGODT0G5Z4TTKYMM5MT","GSON1112160501")</f>
        <v>#NAME?</v>
      </c>
      <c r="R2381" s="28" t="e">
        <f ca="1">[1]!BexGetData("DP_1","00O2TNJGODT0G5Z4TTKYMMBYD","GSON1112160501")</f>
        <v>#NAME?</v>
      </c>
      <c r="S2381" s="28" t="e">
        <f ca="1">[1]!BexGetData("DP_1","00O2TNJGODT0G5Z4TTKYMMI9X","GSON1112160501")</f>
        <v>#NAME?</v>
      </c>
      <c r="T2381" s="28" t="e">
        <f ca="1">[1]!BexGetData("DP_1","00O2TNJGODT0G5Z4TTKYMMOLH","GSON1112160501")</f>
        <v>#NAME?</v>
      </c>
      <c r="U2381" s="28" t="e">
        <f ca="1">[1]!BexGetData("DP_1","00O2TNJGODT0G5Z4TTKYMMUX1","GSON1112160501")</f>
        <v>#NAME?</v>
      </c>
      <c r="V2381" s="28" t="e">
        <f ca="1">[1]!BexGetData("DP_1","00O2TNJGODT0G5Z4TTKYMN18L","GSON1112160501")</f>
        <v>#NAME?</v>
      </c>
      <c r="W2381" s="28" t="e">
        <f ca="1">[1]!BexGetData("DP_1","00O2TNJGODT0G5Z4TTKYMN7K5","GSON1112160501")</f>
        <v>#NAME?</v>
      </c>
    </row>
    <row r="2382" spans="1:23" x14ac:dyDescent="0.2">
      <c r="A2382" s="36" t="s">
        <v>1710</v>
      </c>
      <c r="B2382" s="27" t="s">
        <v>1711</v>
      </c>
      <c r="C2382" s="23" t="e">
        <f ca="1">[1]!BexGetData("DP_1","003N8EMH8GTFRCSWKMPXRR8GU","GSON1112160503")</f>
        <v>#NAME?</v>
      </c>
      <c r="D2382" s="23" t="e">
        <f ca="1">[1]!BexGetData("DP_1","003N8EMH8GTFRCSWKMPXRRESE","GSON1112160503")</f>
        <v>#NAME?</v>
      </c>
      <c r="E2382" s="28" t="e">
        <f ca="1">[1]!BexGetData("DP_1","003N8EMH8GTFRCSWKMPXRRL3Y","GSON1112160503")</f>
        <v>#NAME?</v>
      </c>
      <c r="F2382" s="28" t="e">
        <f ca="1">[1]!BexGetData("DP_1","003N8EMH8GTFRCSWKMPXRRRFI","GSON1112160503")</f>
        <v>#NAME?</v>
      </c>
      <c r="G2382" s="23" t="e">
        <f ca="1">[1]!BexGetData("DP_1","003N8EMH8GTFRCSWKMPXRRXR2","GSON1112160503")</f>
        <v>#NAME?</v>
      </c>
      <c r="H2382" s="23" t="e">
        <f ca="1">[1]!BexGetData("DP_1","003N8EMH8GTFRCSWKMPXRS42M","GSON1112160503")</f>
        <v>#NAME?</v>
      </c>
      <c r="I2382" s="28" t="e">
        <f ca="1">[1]!BexGetData("DP_1","003N8EMH8GTFRCSWKMPXRSAE6","GSON1112160503")</f>
        <v>#NAME?</v>
      </c>
      <c r="J2382" s="24" t="e">
        <f ca="1">[1]!BexGetData("DP_1","003N8EMH8GTFRCSWKMPXRSGPQ","GSON1112160503")</f>
        <v>#NAME?</v>
      </c>
      <c r="K2382" s="28" t="e">
        <f ca="1">[1]!BexGetData("DP_1","003N8EMH8GTFRIVNUPY288VJH","GSON1112160503")</f>
        <v>#NAME?</v>
      </c>
      <c r="L2382" s="28" t="e">
        <f ca="1">[1]!BexGetData("DP_1","003N8EMH8GTFRIVNUPY2891V1","GSON1112160503")</f>
        <v>#NAME?</v>
      </c>
      <c r="M2382" s="28" t="e">
        <f ca="1">[1]!BexGetData("DP_1","003N8EMH8GTFRIVOG7KG9IQXA","GSON1112160503")</f>
        <v>#NAME?</v>
      </c>
      <c r="N2382" s="28" t="e">
        <f ca="1">[1]!BexGetData("DP_1","003N8EMH8GTFRIVOG7KG9IX8U","GSON1112160503")</f>
        <v>#NAME?</v>
      </c>
      <c r="O2382" s="28" t="e">
        <f ca="1">[1]!BexGetData("DP_1","003N8EMH8GTFRIVOG7KG9J3KE","GSON1112160503")</f>
        <v>#NAME?</v>
      </c>
      <c r="P2382" s="28" t="e">
        <f ca="1">[1]!BexGetData("DP_1","003N8EMH8GTFRIVOG7KG9J9VY","GSON1112160503")</f>
        <v>#NAME?</v>
      </c>
      <c r="Q2382" s="24" t="e">
        <f ca="1">[1]!BexGetData("DP_1","00O2TNJGODT0G5Z4TTKYMM5MT","GSON1112160503")</f>
        <v>#NAME?</v>
      </c>
      <c r="R2382" s="28" t="e">
        <f ca="1">[1]!BexGetData("DP_1","00O2TNJGODT0G5Z4TTKYMMBYD","GSON1112160503")</f>
        <v>#NAME?</v>
      </c>
      <c r="S2382" s="28" t="e">
        <f ca="1">[1]!BexGetData("DP_1","00O2TNJGODT0G5Z4TTKYMMI9X","GSON1112160503")</f>
        <v>#NAME?</v>
      </c>
      <c r="T2382" s="28" t="e">
        <f ca="1">[1]!BexGetData("DP_1","00O2TNJGODT0G5Z4TTKYMMOLH","GSON1112160503")</f>
        <v>#NAME?</v>
      </c>
      <c r="U2382" s="28" t="e">
        <f ca="1">[1]!BexGetData("DP_1","00O2TNJGODT0G5Z4TTKYMMUX1","GSON1112160503")</f>
        <v>#NAME?</v>
      </c>
      <c r="V2382" s="28" t="e">
        <f ca="1">[1]!BexGetData("DP_1","00O2TNJGODT0G5Z4TTKYMN18L","GSON1112160503")</f>
        <v>#NAME?</v>
      </c>
      <c r="W2382" s="28" t="e">
        <f ca="1">[1]!BexGetData("DP_1","00O2TNJGODT0G5Z4TTKYMN7K5","GSON1112160503")</f>
        <v>#NAME?</v>
      </c>
    </row>
    <row r="2383" spans="1:23" x14ac:dyDescent="0.2">
      <c r="A2383" s="36" t="s">
        <v>5721</v>
      </c>
      <c r="B2383" s="27" t="s">
        <v>5722</v>
      </c>
      <c r="C2383" s="23" t="e">
        <f ca="1">[1]!BexGetData("DP_1","003N8EMH8GTFRCSWKMPXRR8GU","GSON1112160504")</f>
        <v>#NAME?</v>
      </c>
      <c r="D2383" s="23" t="e">
        <f ca="1">[1]!BexGetData("DP_1","003N8EMH8GTFRCSWKMPXRRESE","GSON1112160504")</f>
        <v>#NAME?</v>
      </c>
      <c r="E2383" s="28" t="e">
        <f ca="1">[1]!BexGetData("DP_1","003N8EMH8GTFRCSWKMPXRRL3Y","GSON1112160504")</f>
        <v>#NAME?</v>
      </c>
      <c r="F2383" s="28" t="e">
        <f ca="1">[1]!BexGetData("DP_1","003N8EMH8GTFRCSWKMPXRRRFI","GSON1112160504")</f>
        <v>#NAME?</v>
      </c>
      <c r="G2383" s="23" t="e">
        <f ca="1">[1]!BexGetData("DP_1","003N8EMH8GTFRCSWKMPXRRXR2","GSON1112160504")</f>
        <v>#NAME?</v>
      </c>
      <c r="H2383" s="23" t="e">
        <f ca="1">[1]!BexGetData("DP_1","003N8EMH8GTFRCSWKMPXRS42M","GSON1112160504")</f>
        <v>#NAME?</v>
      </c>
      <c r="I2383" s="28" t="e">
        <f ca="1">[1]!BexGetData("DP_1","003N8EMH8GTFRCSWKMPXRSAE6","GSON1112160504")</f>
        <v>#NAME?</v>
      </c>
      <c r="J2383" s="24" t="e">
        <f ca="1">[1]!BexGetData("DP_1","003N8EMH8GTFRCSWKMPXRSGPQ","GSON1112160504")</f>
        <v>#NAME?</v>
      </c>
      <c r="K2383" s="28" t="e">
        <f ca="1">[1]!BexGetData("DP_1","003N8EMH8GTFRIVNUPY288VJH","GSON1112160504")</f>
        <v>#NAME?</v>
      </c>
      <c r="L2383" s="28" t="e">
        <f ca="1">[1]!BexGetData("DP_1","003N8EMH8GTFRIVNUPY2891V1","GSON1112160504")</f>
        <v>#NAME?</v>
      </c>
      <c r="M2383" s="28" t="e">
        <f ca="1">[1]!BexGetData("DP_1","003N8EMH8GTFRIVOG7KG9IQXA","GSON1112160504")</f>
        <v>#NAME?</v>
      </c>
      <c r="N2383" s="28" t="e">
        <f ca="1">[1]!BexGetData("DP_1","003N8EMH8GTFRIVOG7KG9IX8U","GSON1112160504")</f>
        <v>#NAME?</v>
      </c>
      <c r="O2383" s="28" t="e">
        <f ca="1">[1]!BexGetData("DP_1","003N8EMH8GTFRIVOG7KG9J3KE","GSON1112160504")</f>
        <v>#NAME?</v>
      </c>
      <c r="P2383" s="28" t="e">
        <f ca="1">[1]!BexGetData("DP_1","003N8EMH8GTFRIVOG7KG9J9VY","GSON1112160504")</f>
        <v>#NAME?</v>
      </c>
      <c r="Q2383" s="24" t="e">
        <f ca="1">[1]!BexGetData("DP_1","00O2TNJGODT0G5Z4TTKYMM5MT","GSON1112160504")</f>
        <v>#NAME?</v>
      </c>
      <c r="R2383" s="28" t="e">
        <f ca="1">[1]!BexGetData("DP_1","00O2TNJGODT0G5Z4TTKYMMBYD","GSON1112160504")</f>
        <v>#NAME?</v>
      </c>
      <c r="S2383" s="28" t="e">
        <f ca="1">[1]!BexGetData("DP_1","00O2TNJGODT0G5Z4TTKYMMI9X","GSON1112160504")</f>
        <v>#NAME?</v>
      </c>
      <c r="T2383" s="28" t="e">
        <f ca="1">[1]!BexGetData("DP_1","00O2TNJGODT0G5Z4TTKYMMOLH","GSON1112160504")</f>
        <v>#NAME?</v>
      </c>
      <c r="U2383" s="28" t="e">
        <f ca="1">[1]!BexGetData("DP_1","00O2TNJGODT0G5Z4TTKYMMUX1","GSON1112160504")</f>
        <v>#NAME?</v>
      </c>
      <c r="V2383" s="28" t="e">
        <f ca="1">[1]!BexGetData("DP_1","00O2TNJGODT0G5Z4TTKYMN18L","GSON1112160504")</f>
        <v>#NAME?</v>
      </c>
      <c r="W2383" s="28" t="e">
        <f ca="1">[1]!BexGetData("DP_1","00O2TNJGODT0G5Z4TTKYMN7K5","GSON1112160504")</f>
        <v>#NAME?</v>
      </c>
    </row>
    <row r="2384" spans="1:23" x14ac:dyDescent="0.2">
      <c r="A2384" s="36" t="s">
        <v>5723</v>
      </c>
      <c r="B2384" s="27" t="s">
        <v>5724</v>
      </c>
      <c r="C2384" s="28" t="e">
        <f ca="1">[1]!BexGetData("DP_1","003N8EMH8GTFRCSWKMPXRR8GU","GSON1112160505")</f>
        <v>#NAME?</v>
      </c>
      <c r="D2384" s="28" t="e">
        <f ca="1">[1]!BexGetData("DP_1","003N8EMH8GTFRCSWKMPXRRESE","GSON1112160505")</f>
        <v>#NAME?</v>
      </c>
      <c r="E2384" s="28" t="e">
        <f ca="1">[1]!BexGetData("DP_1","003N8EMH8GTFRCSWKMPXRRL3Y","GSON1112160505")</f>
        <v>#NAME?</v>
      </c>
      <c r="F2384" s="28" t="e">
        <f ca="1">[1]!BexGetData("DP_1","003N8EMH8GTFRCSWKMPXRRRFI","GSON1112160505")</f>
        <v>#NAME?</v>
      </c>
      <c r="G2384" s="23" t="e">
        <f ca="1">[1]!BexGetData("DP_1","003N8EMH8GTFRCSWKMPXRRXR2","GSON1112160505")</f>
        <v>#NAME?</v>
      </c>
      <c r="H2384" s="23" t="e">
        <f ca="1">[1]!BexGetData("DP_1","003N8EMH8GTFRCSWKMPXRS42M","GSON1112160505")</f>
        <v>#NAME?</v>
      </c>
      <c r="I2384" s="28" t="e">
        <f ca="1">[1]!BexGetData("DP_1","003N8EMH8GTFRCSWKMPXRSAE6","GSON1112160505")</f>
        <v>#NAME?</v>
      </c>
      <c r="J2384" s="24" t="e">
        <f ca="1">[1]!BexGetData("DP_1","003N8EMH8GTFRCSWKMPXRSGPQ","GSON1112160505")</f>
        <v>#NAME?</v>
      </c>
      <c r="K2384" s="28" t="e">
        <f ca="1">[1]!BexGetData("DP_1","003N8EMH8GTFRIVNUPY288VJH","GSON1112160505")</f>
        <v>#NAME?</v>
      </c>
      <c r="L2384" s="28" t="e">
        <f ca="1">[1]!BexGetData("DP_1","003N8EMH8GTFRIVNUPY2891V1","GSON1112160505")</f>
        <v>#NAME?</v>
      </c>
      <c r="M2384" s="28" t="e">
        <f ca="1">[1]!BexGetData("DP_1","003N8EMH8GTFRIVOG7KG9IQXA","GSON1112160505")</f>
        <v>#NAME?</v>
      </c>
      <c r="N2384" s="28" t="e">
        <f ca="1">[1]!BexGetData("DP_1","003N8EMH8GTFRIVOG7KG9IX8U","GSON1112160505")</f>
        <v>#NAME?</v>
      </c>
      <c r="O2384" s="28" t="e">
        <f ca="1">[1]!BexGetData("DP_1","003N8EMH8GTFRIVOG7KG9J3KE","GSON1112160505")</f>
        <v>#NAME?</v>
      </c>
      <c r="P2384" s="28" t="e">
        <f ca="1">[1]!BexGetData("DP_1","003N8EMH8GTFRIVOG7KG9J9VY","GSON1112160505")</f>
        <v>#NAME?</v>
      </c>
      <c r="Q2384" s="24" t="e">
        <f ca="1">[1]!BexGetData("DP_1","00O2TNJGODT0G5Z4TTKYMM5MT","GSON1112160505")</f>
        <v>#NAME?</v>
      </c>
      <c r="R2384" s="28" t="e">
        <f ca="1">[1]!BexGetData("DP_1","00O2TNJGODT0G5Z4TTKYMMBYD","GSON1112160505")</f>
        <v>#NAME?</v>
      </c>
      <c r="S2384" s="28" t="e">
        <f ca="1">[1]!BexGetData("DP_1","00O2TNJGODT0G5Z4TTKYMMI9X","GSON1112160505")</f>
        <v>#NAME?</v>
      </c>
      <c r="T2384" s="28" t="e">
        <f ca="1">[1]!BexGetData("DP_1","00O2TNJGODT0G5Z4TTKYMMOLH","GSON1112160505")</f>
        <v>#NAME?</v>
      </c>
      <c r="U2384" s="28" t="e">
        <f ca="1">[1]!BexGetData("DP_1","00O2TNJGODT0G5Z4TTKYMMUX1","GSON1112160505")</f>
        <v>#NAME?</v>
      </c>
      <c r="V2384" s="28" t="e">
        <f ca="1">[1]!BexGetData("DP_1","00O2TNJGODT0G5Z4TTKYMN18L","GSON1112160505")</f>
        <v>#NAME?</v>
      </c>
      <c r="W2384" s="28" t="e">
        <f ca="1">[1]!BexGetData("DP_1","00O2TNJGODT0G5Z4TTKYMN7K5","GSON1112160505")</f>
        <v>#NAME?</v>
      </c>
    </row>
    <row r="2385" spans="1:23" x14ac:dyDescent="0.2">
      <c r="A2385" s="36" t="s">
        <v>5725</v>
      </c>
      <c r="B2385" s="27" t="s">
        <v>5726</v>
      </c>
      <c r="C2385" s="28" t="e">
        <f ca="1">[1]!BexGetData("DP_1","003N8EMH8GTFRCSWKMPXRR8GU","GSON1112160510")</f>
        <v>#NAME?</v>
      </c>
      <c r="D2385" s="28" t="e">
        <f ca="1">[1]!BexGetData("DP_1","003N8EMH8GTFRCSWKMPXRRESE","GSON1112160510")</f>
        <v>#NAME?</v>
      </c>
      <c r="E2385" s="28" t="e">
        <f ca="1">[1]!BexGetData("DP_1","003N8EMH8GTFRCSWKMPXRRL3Y","GSON1112160510")</f>
        <v>#NAME?</v>
      </c>
      <c r="F2385" s="28" t="e">
        <f ca="1">[1]!BexGetData("DP_1","003N8EMH8GTFRCSWKMPXRRRFI","GSON1112160510")</f>
        <v>#NAME?</v>
      </c>
      <c r="G2385" s="28" t="e">
        <f ca="1">[1]!BexGetData("DP_1","003N8EMH8GTFRCSWKMPXRRXR2","GSON1112160510")</f>
        <v>#NAME?</v>
      </c>
      <c r="H2385" s="23" t="e">
        <f ca="1">[1]!BexGetData("DP_1","003N8EMH8GTFRCSWKMPXRS42M","GSON1112160510")</f>
        <v>#NAME?</v>
      </c>
      <c r="I2385" s="28" t="e">
        <f ca="1">[1]!BexGetData("DP_1","003N8EMH8GTFRCSWKMPXRSAE6","GSON1112160510")</f>
        <v>#NAME?</v>
      </c>
      <c r="J2385" s="23" t="e">
        <f ca="1">[1]!BexGetData("DP_1","003N8EMH8GTFRCSWKMPXRSGPQ","GSON1112160510")</f>
        <v>#NAME?</v>
      </c>
      <c r="K2385" s="28" t="e">
        <f ca="1">[1]!BexGetData("DP_1","003N8EMH8GTFRIVNUPY288VJH","GSON1112160510")</f>
        <v>#NAME?</v>
      </c>
      <c r="L2385" s="28" t="e">
        <f ca="1">[1]!BexGetData("DP_1","003N8EMH8GTFRIVNUPY2891V1","GSON1112160510")</f>
        <v>#NAME?</v>
      </c>
      <c r="M2385" s="28" t="e">
        <f ca="1">[1]!BexGetData("DP_1","003N8EMH8GTFRIVOG7KG9IQXA","GSON1112160510")</f>
        <v>#NAME?</v>
      </c>
      <c r="N2385" s="28" t="e">
        <f ca="1">[1]!BexGetData("DP_1","003N8EMH8GTFRIVOG7KG9IX8U","GSON1112160510")</f>
        <v>#NAME?</v>
      </c>
      <c r="O2385" s="28" t="e">
        <f ca="1">[1]!BexGetData("DP_1","003N8EMH8GTFRIVOG7KG9J3KE","GSON1112160510")</f>
        <v>#NAME?</v>
      </c>
      <c r="P2385" s="28" t="e">
        <f ca="1">[1]!BexGetData("DP_1","003N8EMH8GTFRIVOG7KG9J9VY","GSON1112160510")</f>
        <v>#NAME?</v>
      </c>
      <c r="Q2385" s="23" t="e">
        <f ca="1">[1]!BexGetData("DP_1","00O2TNJGODT0G5Z4TTKYMM5MT","GSON1112160510")</f>
        <v>#NAME?</v>
      </c>
      <c r="R2385" s="23" t="e">
        <f ca="1">[1]!BexGetData("DP_1","00O2TNJGODT0G5Z4TTKYMMBYD","GSON1112160510")</f>
        <v>#NAME?</v>
      </c>
      <c r="S2385" s="23" t="e">
        <f ca="1">[1]!BexGetData("DP_1","00O2TNJGODT0G5Z4TTKYMMI9X","GSON1112160510")</f>
        <v>#NAME?</v>
      </c>
      <c r="T2385" s="23" t="e">
        <f ca="1">[1]!BexGetData("DP_1","00O2TNJGODT0G5Z4TTKYMMOLH","GSON1112160510")</f>
        <v>#NAME?</v>
      </c>
      <c r="U2385" s="28" t="e">
        <f ca="1">[1]!BexGetData("DP_1","00O2TNJGODT0G5Z4TTKYMMUX1","GSON1112160510")</f>
        <v>#NAME?</v>
      </c>
      <c r="V2385" s="23" t="e">
        <f ca="1">[1]!BexGetData("DP_1","00O2TNJGODT0G5Z4TTKYMN18L","GSON1112160510")</f>
        <v>#NAME?</v>
      </c>
      <c r="W2385" s="28" t="e">
        <f ca="1">[1]!BexGetData("DP_1","00O2TNJGODT0G5Z4TTKYMN7K5","GSON1112160510")</f>
        <v>#NAME?</v>
      </c>
    </row>
    <row r="2386" spans="1:23" x14ac:dyDescent="0.2">
      <c r="A2386" s="36" t="s">
        <v>5727</v>
      </c>
      <c r="B2386" s="27" t="s">
        <v>5728</v>
      </c>
      <c r="C2386" s="24" t="e">
        <f ca="1">[1]!BexGetData("DP_1","003N8EMH8GTFRCSWKMPXRR8GU","GSON1112160513")</f>
        <v>#NAME?</v>
      </c>
      <c r="D2386" s="24" t="e">
        <f ca="1">[1]!BexGetData("DP_1","003N8EMH8GTFRCSWKMPXRRESE","GSON1112160513")</f>
        <v>#NAME?</v>
      </c>
      <c r="E2386" s="24" t="e">
        <f ca="1">[1]!BexGetData("DP_1","003N8EMH8GTFRCSWKMPXRRL3Y","GSON1112160513")</f>
        <v>#NAME?</v>
      </c>
      <c r="F2386" s="28" t="e">
        <f ca="1">[1]!BexGetData("DP_1","003N8EMH8GTFRCSWKMPXRRRFI","GSON1112160513")</f>
        <v>#NAME?</v>
      </c>
      <c r="G2386" s="23" t="e">
        <f ca="1">[1]!BexGetData("DP_1","003N8EMH8GTFRCSWKMPXRRXR2","GSON1112160513")</f>
        <v>#NAME?</v>
      </c>
      <c r="H2386" s="23" t="e">
        <f ca="1">[1]!BexGetData("DP_1","003N8EMH8GTFRCSWKMPXRS42M","GSON1112160513")</f>
        <v>#NAME?</v>
      </c>
      <c r="I2386" s="28" t="e">
        <f ca="1">[1]!BexGetData("DP_1","003N8EMH8GTFRCSWKMPXRSAE6","GSON1112160513")</f>
        <v>#NAME?</v>
      </c>
      <c r="J2386" s="24" t="e">
        <f ca="1">[1]!BexGetData("DP_1","003N8EMH8GTFRCSWKMPXRSGPQ","GSON1112160513")</f>
        <v>#NAME?</v>
      </c>
      <c r="K2386" s="28" t="e">
        <f ca="1">[1]!BexGetData("DP_1","003N8EMH8GTFRIVNUPY288VJH","GSON1112160513")</f>
        <v>#NAME?</v>
      </c>
      <c r="L2386" s="28" t="e">
        <f ca="1">[1]!BexGetData("DP_1","003N8EMH8GTFRIVNUPY2891V1","GSON1112160513")</f>
        <v>#NAME?</v>
      </c>
      <c r="M2386" s="28" t="e">
        <f ca="1">[1]!BexGetData("DP_1","003N8EMH8GTFRIVOG7KG9IQXA","GSON1112160513")</f>
        <v>#NAME?</v>
      </c>
      <c r="N2386" s="28" t="e">
        <f ca="1">[1]!BexGetData("DP_1","003N8EMH8GTFRIVOG7KG9IX8U","GSON1112160513")</f>
        <v>#NAME?</v>
      </c>
      <c r="O2386" s="28" t="e">
        <f ca="1">[1]!BexGetData("DP_1","003N8EMH8GTFRIVOG7KG9J3KE","GSON1112160513")</f>
        <v>#NAME?</v>
      </c>
      <c r="P2386" s="28" t="e">
        <f ca="1">[1]!BexGetData("DP_1","003N8EMH8GTFRIVOG7KG9J9VY","GSON1112160513")</f>
        <v>#NAME?</v>
      </c>
      <c r="Q2386" s="24" t="e">
        <f ca="1">[1]!BexGetData("DP_1","00O2TNJGODT0G5Z4TTKYMM5MT","GSON1112160513")</f>
        <v>#NAME?</v>
      </c>
      <c r="R2386" s="28" t="e">
        <f ca="1">[1]!BexGetData("DP_1","00O2TNJGODT0G5Z4TTKYMMBYD","GSON1112160513")</f>
        <v>#NAME?</v>
      </c>
      <c r="S2386" s="28" t="e">
        <f ca="1">[1]!BexGetData("DP_1","00O2TNJGODT0G5Z4TTKYMMI9X","GSON1112160513")</f>
        <v>#NAME?</v>
      </c>
      <c r="T2386" s="28" t="e">
        <f ca="1">[1]!BexGetData("DP_1","00O2TNJGODT0G5Z4TTKYMMOLH","GSON1112160513")</f>
        <v>#NAME?</v>
      </c>
      <c r="U2386" s="28" t="e">
        <f ca="1">[1]!BexGetData("DP_1","00O2TNJGODT0G5Z4TTKYMMUX1","GSON1112160513")</f>
        <v>#NAME?</v>
      </c>
      <c r="V2386" s="28" t="e">
        <f ca="1">[1]!BexGetData("DP_1","00O2TNJGODT0G5Z4TTKYMN18L","GSON1112160513")</f>
        <v>#NAME?</v>
      </c>
      <c r="W2386" s="28" t="e">
        <f ca="1">[1]!BexGetData("DP_1","00O2TNJGODT0G5Z4TTKYMN7K5","GSON1112160513")</f>
        <v>#NAME?</v>
      </c>
    </row>
    <row r="2387" spans="1:23" x14ac:dyDescent="0.2">
      <c r="A2387" s="36" t="s">
        <v>5729</v>
      </c>
      <c r="B2387" s="27" t="s">
        <v>5730</v>
      </c>
      <c r="C2387" s="24" t="e">
        <f ca="1">[1]!BexGetData("DP_1","003N8EMH8GTFRCSWKMPXRR8GU","GSON1112160514")</f>
        <v>#NAME?</v>
      </c>
      <c r="D2387" s="24" t="e">
        <f ca="1">[1]!BexGetData("DP_1","003N8EMH8GTFRCSWKMPXRRESE","GSON1112160514")</f>
        <v>#NAME?</v>
      </c>
      <c r="E2387" s="24" t="e">
        <f ca="1">[1]!BexGetData("DP_1","003N8EMH8GTFRCSWKMPXRRL3Y","GSON1112160514")</f>
        <v>#NAME?</v>
      </c>
      <c r="F2387" s="28" t="e">
        <f ca="1">[1]!BexGetData("DP_1","003N8EMH8GTFRCSWKMPXRRRFI","GSON1112160514")</f>
        <v>#NAME?</v>
      </c>
      <c r="G2387" s="23" t="e">
        <f ca="1">[1]!BexGetData("DP_1","003N8EMH8GTFRCSWKMPXRRXR2","GSON1112160514")</f>
        <v>#NAME?</v>
      </c>
      <c r="H2387" s="23" t="e">
        <f ca="1">[1]!BexGetData("DP_1","003N8EMH8GTFRCSWKMPXRS42M","GSON1112160514")</f>
        <v>#NAME?</v>
      </c>
      <c r="I2387" s="28" t="e">
        <f ca="1">[1]!BexGetData("DP_1","003N8EMH8GTFRCSWKMPXRSAE6","GSON1112160514")</f>
        <v>#NAME?</v>
      </c>
      <c r="J2387" s="24" t="e">
        <f ca="1">[1]!BexGetData("DP_1","003N8EMH8GTFRCSWKMPXRSGPQ","GSON1112160514")</f>
        <v>#NAME?</v>
      </c>
      <c r="K2387" s="28" t="e">
        <f ca="1">[1]!BexGetData("DP_1","003N8EMH8GTFRIVNUPY288VJH","GSON1112160514")</f>
        <v>#NAME?</v>
      </c>
      <c r="L2387" s="28" t="e">
        <f ca="1">[1]!BexGetData("DP_1","003N8EMH8GTFRIVNUPY2891V1","GSON1112160514")</f>
        <v>#NAME?</v>
      </c>
      <c r="M2387" s="28" t="e">
        <f ca="1">[1]!BexGetData("DP_1","003N8EMH8GTFRIVOG7KG9IQXA","GSON1112160514")</f>
        <v>#NAME?</v>
      </c>
      <c r="N2387" s="28" t="e">
        <f ca="1">[1]!BexGetData("DP_1","003N8EMH8GTFRIVOG7KG9IX8U","GSON1112160514")</f>
        <v>#NAME?</v>
      </c>
      <c r="O2387" s="28" t="e">
        <f ca="1">[1]!BexGetData("DP_1","003N8EMH8GTFRIVOG7KG9J3KE","GSON1112160514")</f>
        <v>#NAME?</v>
      </c>
      <c r="P2387" s="28" t="e">
        <f ca="1">[1]!BexGetData("DP_1","003N8EMH8GTFRIVOG7KG9J9VY","GSON1112160514")</f>
        <v>#NAME?</v>
      </c>
      <c r="Q2387" s="24" t="e">
        <f ca="1">[1]!BexGetData("DP_1","00O2TNJGODT0G5Z4TTKYMM5MT","GSON1112160514")</f>
        <v>#NAME?</v>
      </c>
      <c r="R2387" s="28" t="e">
        <f ca="1">[1]!BexGetData("DP_1","00O2TNJGODT0G5Z4TTKYMMBYD","GSON1112160514")</f>
        <v>#NAME?</v>
      </c>
      <c r="S2387" s="28" t="e">
        <f ca="1">[1]!BexGetData("DP_1","00O2TNJGODT0G5Z4TTKYMMI9X","GSON1112160514")</f>
        <v>#NAME?</v>
      </c>
      <c r="T2387" s="28" t="e">
        <f ca="1">[1]!BexGetData("DP_1","00O2TNJGODT0G5Z4TTKYMMOLH","GSON1112160514")</f>
        <v>#NAME?</v>
      </c>
      <c r="U2387" s="28" t="e">
        <f ca="1">[1]!BexGetData("DP_1","00O2TNJGODT0G5Z4TTKYMMUX1","GSON1112160514")</f>
        <v>#NAME?</v>
      </c>
      <c r="V2387" s="28" t="e">
        <f ca="1">[1]!BexGetData("DP_1","00O2TNJGODT0G5Z4TTKYMN18L","GSON1112160514")</f>
        <v>#NAME?</v>
      </c>
      <c r="W2387" s="28" t="e">
        <f ca="1">[1]!BexGetData("DP_1","00O2TNJGODT0G5Z4TTKYMN7K5","GSON1112160514")</f>
        <v>#NAME?</v>
      </c>
    </row>
    <row r="2388" spans="1:23" x14ac:dyDescent="0.2">
      <c r="A2388" s="36" t="s">
        <v>5731</v>
      </c>
      <c r="B2388" s="27" t="s">
        <v>5732</v>
      </c>
      <c r="C2388" s="23" t="e">
        <f ca="1">[1]!BexGetData("DP_1","003N8EMH8GTFRCSWKMPXRR8GU","GSON1112160520")</f>
        <v>#NAME?</v>
      </c>
      <c r="D2388" s="23" t="e">
        <f ca="1">[1]!BexGetData("DP_1","003N8EMH8GTFRCSWKMPXRRESE","GSON1112160520")</f>
        <v>#NAME?</v>
      </c>
      <c r="E2388" s="23" t="e">
        <f ca="1">[1]!BexGetData("DP_1","003N8EMH8GTFRCSWKMPXRRL3Y","GSON1112160520")</f>
        <v>#NAME?</v>
      </c>
      <c r="F2388" s="24" t="e">
        <f ca="1">[1]!BexGetData("DP_1","003N8EMH8GTFRCSWKMPXRRRFI","GSON1112160520")</f>
        <v>#NAME?</v>
      </c>
      <c r="G2388" s="24" t="e">
        <f ca="1">[1]!BexGetData("DP_1","003N8EMH8GTFRCSWKMPXRRXR2","GSON1112160520")</f>
        <v>#NAME?</v>
      </c>
      <c r="H2388" s="24" t="e">
        <f ca="1">[1]!BexGetData("DP_1","003N8EMH8GTFRCSWKMPXRS42M","GSON1112160520")</f>
        <v>#NAME?</v>
      </c>
      <c r="I2388" s="24" t="e">
        <f ca="1">[1]!BexGetData("DP_1","003N8EMH8GTFRCSWKMPXRSAE6","GSON1112160520")</f>
        <v>#NAME?</v>
      </c>
      <c r="J2388" s="24" t="e">
        <f ca="1">[1]!BexGetData("DP_1","003N8EMH8GTFRCSWKMPXRSGPQ","GSON1112160520")</f>
        <v>#NAME?</v>
      </c>
      <c r="K2388" s="23" t="e">
        <f ca="1">[1]!BexGetData("DP_1","003N8EMH8GTFRIVNUPY288VJH","GSON1112160520")</f>
        <v>#NAME?</v>
      </c>
      <c r="L2388" s="23" t="e">
        <f ca="1">[1]!BexGetData("DP_1","003N8EMH8GTFRIVNUPY2891V1","GSON1112160520")</f>
        <v>#NAME?</v>
      </c>
      <c r="M2388" s="28" t="e">
        <f ca="1">[1]!BexGetData("DP_1","003N8EMH8GTFRIVOG7KG9IQXA","GSON1112160520")</f>
        <v>#NAME?</v>
      </c>
      <c r="N2388" s="23" t="e">
        <f ca="1">[1]!BexGetData("DP_1","003N8EMH8GTFRIVOG7KG9IX8U","GSON1112160520")</f>
        <v>#NAME?</v>
      </c>
      <c r="O2388" s="28" t="e">
        <f ca="1">[1]!BexGetData("DP_1","003N8EMH8GTFRIVOG7KG9J3KE","GSON1112160520")</f>
        <v>#NAME?</v>
      </c>
      <c r="P2388" s="23" t="e">
        <f ca="1">[1]!BexGetData("DP_1","003N8EMH8GTFRIVOG7KG9J9VY","GSON1112160520")</f>
        <v>#NAME?</v>
      </c>
      <c r="Q2388" s="24" t="e">
        <f ca="1">[1]!BexGetData("DP_1","00O2TNJGODT0G5Z4TTKYMM5MT","GSON1112160520")</f>
        <v>#NAME?</v>
      </c>
      <c r="R2388" s="24" t="e">
        <f ca="1">[1]!BexGetData("DP_1","00O2TNJGODT0G5Z4TTKYMMBYD","GSON1112160520")</f>
        <v>#NAME?</v>
      </c>
      <c r="S2388" s="24" t="e">
        <f ca="1">[1]!BexGetData("DP_1","00O2TNJGODT0G5Z4TTKYMMI9X","GSON1112160520")</f>
        <v>#NAME?</v>
      </c>
      <c r="T2388" s="24" t="e">
        <f ca="1">[1]!BexGetData("DP_1","00O2TNJGODT0G5Z4TTKYMMOLH","GSON1112160520")</f>
        <v>#NAME?</v>
      </c>
      <c r="U2388" s="24" t="e">
        <f ca="1">[1]!BexGetData("DP_1","00O2TNJGODT0G5Z4TTKYMMUX1","GSON1112160520")</f>
        <v>#NAME?</v>
      </c>
      <c r="V2388" s="24" t="e">
        <f ca="1">[1]!BexGetData("DP_1","00O2TNJGODT0G5Z4TTKYMN18L","GSON1112160520")</f>
        <v>#NAME?</v>
      </c>
      <c r="W2388" s="24" t="e">
        <f ca="1">[1]!BexGetData("DP_1","00O2TNJGODT0G5Z4TTKYMN7K5","GSON1112160520")</f>
        <v>#NAME?</v>
      </c>
    </row>
    <row r="2389" spans="1:23" x14ac:dyDescent="0.2">
      <c r="A2389" s="36" t="s">
        <v>5733</v>
      </c>
      <c r="B2389" s="27" t="s">
        <v>5734</v>
      </c>
      <c r="C2389" s="23" t="e">
        <f ca="1">[1]!BexGetData("DP_1","003N8EMH8GTFRCSWKMPXRR8GU","GSON1112160521")</f>
        <v>#NAME?</v>
      </c>
      <c r="D2389" s="23" t="e">
        <f ca="1">[1]!BexGetData("DP_1","003N8EMH8GTFRCSWKMPXRRESE","GSON1112160521")</f>
        <v>#NAME?</v>
      </c>
      <c r="E2389" s="28" t="e">
        <f ca="1">[1]!BexGetData("DP_1","003N8EMH8GTFRCSWKMPXRRL3Y","GSON1112160521")</f>
        <v>#NAME?</v>
      </c>
      <c r="F2389" s="24" t="e">
        <f ca="1">[1]!BexGetData("DP_1","003N8EMH8GTFRCSWKMPXRRRFI","GSON1112160521")</f>
        <v>#NAME?</v>
      </c>
      <c r="G2389" s="24" t="e">
        <f ca="1">[1]!BexGetData("DP_1","003N8EMH8GTFRCSWKMPXRRXR2","GSON1112160521")</f>
        <v>#NAME?</v>
      </c>
      <c r="H2389" s="24" t="e">
        <f ca="1">[1]!BexGetData("DP_1","003N8EMH8GTFRCSWKMPXRS42M","GSON1112160521")</f>
        <v>#NAME?</v>
      </c>
      <c r="I2389" s="24" t="e">
        <f ca="1">[1]!BexGetData("DP_1","003N8EMH8GTFRCSWKMPXRSAE6","GSON1112160521")</f>
        <v>#NAME?</v>
      </c>
      <c r="J2389" s="24" t="e">
        <f ca="1">[1]!BexGetData("DP_1","003N8EMH8GTFRCSWKMPXRSGPQ","GSON1112160521")</f>
        <v>#NAME?</v>
      </c>
      <c r="K2389" s="28" t="e">
        <f ca="1">[1]!BexGetData("DP_1","003N8EMH8GTFRIVNUPY288VJH","GSON1112160521")</f>
        <v>#NAME?</v>
      </c>
      <c r="L2389" s="28" t="e">
        <f ca="1">[1]!BexGetData("DP_1","003N8EMH8GTFRIVNUPY2891V1","GSON1112160521")</f>
        <v>#NAME?</v>
      </c>
      <c r="M2389" s="28" t="e">
        <f ca="1">[1]!BexGetData("DP_1","003N8EMH8GTFRIVOG7KG9IQXA","GSON1112160521")</f>
        <v>#NAME?</v>
      </c>
      <c r="N2389" s="28" t="e">
        <f ca="1">[1]!BexGetData("DP_1","003N8EMH8GTFRIVOG7KG9IX8U","GSON1112160521")</f>
        <v>#NAME?</v>
      </c>
      <c r="O2389" s="28" t="e">
        <f ca="1">[1]!BexGetData("DP_1","003N8EMH8GTFRIVOG7KG9J3KE","GSON1112160521")</f>
        <v>#NAME?</v>
      </c>
      <c r="P2389" s="28" t="e">
        <f ca="1">[1]!BexGetData("DP_1","003N8EMH8GTFRIVOG7KG9J9VY","GSON1112160521")</f>
        <v>#NAME?</v>
      </c>
      <c r="Q2389" s="24" t="e">
        <f ca="1">[1]!BexGetData("DP_1","00O2TNJGODT0G5Z4TTKYMM5MT","GSON1112160521")</f>
        <v>#NAME?</v>
      </c>
      <c r="R2389" s="24" t="e">
        <f ca="1">[1]!BexGetData("DP_1","00O2TNJGODT0G5Z4TTKYMMBYD","GSON1112160521")</f>
        <v>#NAME?</v>
      </c>
      <c r="S2389" s="24" t="e">
        <f ca="1">[1]!BexGetData("DP_1","00O2TNJGODT0G5Z4TTKYMMI9X","GSON1112160521")</f>
        <v>#NAME?</v>
      </c>
      <c r="T2389" s="24" t="e">
        <f ca="1">[1]!BexGetData("DP_1","00O2TNJGODT0G5Z4TTKYMMOLH","GSON1112160521")</f>
        <v>#NAME?</v>
      </c>
      <c r="U2389" s="24" t="e">
        <f ca="1">[1]!BexGetData("DP_1","00O2TNJGODT0G5Z4TTKYMMUX1","GSON1112160521")</f>
        <v>#NAME?</v>
      </c>
      <c r="V2389" s="24" t="e">
        <f ca="1">[1]!BexGetData("DP_1","00O2TNJGODT0G5Z4TTKYMN18L","GSON1112160521")</f>
        <v>#NAME?</v>
      </c>
      <c r="W2389" s="24" t="e">
        <f ca="1">[1]!BexGetData("DP_1","00O2TNJGODT0G5Z4TTKYMN7K5","GSON1112160521")</f>
        <v>#NAME?</v>
      </c>
    </row>
    <row r="2390" spans="1:23" x14ac:dyDescent="0.2">
      <c r="A2390" s="36" t="s">
        <v>5735</v>
      </c>
      <c r="B2390" s="27" t="s">
        <v>5736</v>
      </c>
      <c r="C2390" s="23" t="e">
        <f ca="1">[1]!BexGetData("DP_1","003N8EMH8GTFRCSWKMPXRR8GU","GSON1112160523")</f>
        <v>#NAME?</v>
      </c>
      <c r="D2390" s="23" t="e">
        <f ca="1">[1]!BexGetData("DP_1","003N8EMH8GTFRCSWKMPXRRESE","GSON1112160523")</f>
        <v>#NAME?</v>
      </c>
      <c r="E2390" s="28" t="e">
        <f ca="1">[1]!BexGetData("DP_1","003N8EMH8GTFRCSWKMPXRRL3Y","GSON1112160523")</f>
        <v>#NAME?</v>
      </c>
      <c r="F2390" s="24" t="e">
        <f ca="1">[1]!BexGetData("DP_1","003N8EMH8GTFRCSWKMPXRRRFI","GSON1112160523")</f>
        <v>#NAME?</v>
      </c>
      <c r="G2390" s="24" t="e">
        <f ca="1">[1]!BexGetData("DP_1","003N8EMH8GTFRCSWKMPXRRXR2","GSON1112160523")</f>
        <v>#NAME?</v>
      </c>
      <c r="H2390" s="24" t="e">
        <f ca="1">[1]!BexGetData("DP_1","003N8EMH8GTFRCSWKMPXRS42M","GSON1112160523")</f>
        <v>#NAME?</v>
      </c>
      <c r="I2390" s="24" t="e">
        <f ca="1">[1]!BexGetData("DP_1","003N8EMH8GTFRCSWKMPXRSAE6","GSON1112160523")</f>
        <v>#NAME?</v>
      </c>
      <c r="J2390" s="24" t="e">
        <f ca="1">[1]!BexGetData("DP_1","003N8EMH8GTFRCSWKMPXRSGPQ","GSON1112160523")</f>
        <v>#NAME?</v>
      </c>
      <c r="K2390" s="28" t="e">
        <f ca="1">[1]!BexGetData("DP_1","003N8EMH8GTFRIVNUPY288VJH","GSON1112160523")</f>
        <v>#NAME?</v>
      </c>
      <c r="L2390" s="28" t="e">
        <f ca="1">[1]!BexGetData("DP_1","003N8EMH8GTFRIVNUPY2891V1","GSON1112160523")</f>
        <v>#NAME?</v>
      </c>
      <c r="M2390" s="28" t="e">
        <f ca="1">[1]!BexGetData("DP_1","003N8EMH8GTFRIVOG7KG9IQXA","GSON1112160523")</f>
        <v>#NAME?</v>
      </c>
      <c r="N2390" s="28" t="e">
        <f ca="1">[1]!BexGetData("DP_1","003N8EMH8GTFRIVOG7KG9IX8U","GSON1112160523")</f>
        <v>#NAME?</v>
      </c>
      <c r="O2390" s="28" t="e">
        <f ca="1">[1]!BexGetData("DP_1","003N8EMH8GTFRIVOG7KG9J3KE","GSON1112160523")</f>
        <v>#NAME?</v>
      </c>
      <c r="P2390" s="28" t="e">
        <f ca="1">[1]!BexGetData("DP_1","003N8EMH8GTFRIVOG7KG9J9VY","GSON1112160523")</f>
        <v>#NAME?</v>
      </c>
      <c r="Q2390" s="24" t="e">
        <f ca="1">[1]!BexGetData("DP_1","00O2TNJGODT0G5Z4TTKYMM5MT","GSON1112160523")</f>
        <v>#NAME?</v>
      </c>
      <c r="R2390" s="24" t="e">
        <f ca="1">[1]!BexGetData("DP_1","00O2TNJGODT0G5Z4TTKYMMBYD","GSON1112160523")</f>
        <v>#NAME?</v>
      </c>
      <c r="S2390" s="24" t="e">
        <f ca="1">[1]!BexGetData("DP_1","00O2TNJGODT0G5Z4TTKYMMI9X","GSON1112160523")</f>
        <v>#NAME?</v>
      </c>
      <c r="T2390" s="24" t="e">
        <f ca="1">[1]!BexGetData("DP_1","00O2TNJGODT0G5Z4TTKYMMOLH","GSON1112160523")</f>
        <v>#NAME?</v>
      </c>
      <c r="U2390" s="24" t="e">
        <f ca="1">[1]!BexGetData("DP_1","00O2TNJGODT0G5Z4TTKYMMUX1","GSON1112160523")</f>
        <v>#NAME?</v>
      </c>
      <c r="V2390" s="24" t="e">
        <f ca="1">[1]!BexGetData("DP_1","00O2TNJGODT0G5Z4TTKYMN18L","GSON1112160523")</f>
        <v>#NAME?</v>
      </c>
      <c r="W2390" s="24" t="e">
        <f ca="1">[1]!BexGetData("DP_1","00O2TNJGODT0G5Z4TTKYMN7K5","GSON1112160523")</f>
        <v>#NAME?</v>
      </c>
    </row>
    <row r="2391" spans="1:23" x14ac:dyDescent="0.2">
      <c r="A2391" s="36" t="s">
        <v>5737</v>
      </c>
      <c r="B2391" s="27" t="s">
        <v>5738</v>
      </c>
      <c r="C2391" s="23" t="e">
        <f ca="1">[1]!BexGetData("DP_1","003N8EMH8GTFRCSWKMPXRR8GU","GSON1112160524")</f>
        <v>#NAME?</v>
      </c>
      <c r="D2391" s="23" t="e">
        <f ca="1">[1]!BexGetData("DP_1","003N8EMH8GTFRCSWKMPXRRESE","GSON1112160524")</f>
        <v>#NAME?</v>
      </c>
      <c r="E2391" s="28" t="e">
        <f ca="1">[1]!BexGetData("DP_1","003N8EMH8GTFRCSWKMPXRRL3Y","GSON1112160524")</f>
        <v>#NAME?</v>
      </c>
      <c r="F2391" s="24" t="e">
        <f ca="1">[1]!BexGetData("DP_1","003N8EMH8GTFRCSWKMPXRRRFI","GSON1112160524")</f>
        <v>#NAME?</v>
      </c>
      <c r="G2391" s="24" t="e">
        <f ca="1">[1]!BexGetData("DP_1","003N8EMH8GTFRCSWKMPXRRXR2","GSON1112160524")</f>
        <v>#NAME?</v>
      </c>
      <c r="H2391" s="24" t="e">
        <f ca="1">[1]!BexGetData("DP_1","003N8EMH8GTFRCSWKMPXRS42M","GSON1112160524")</f>
        <v>#NAME?</v>
      </c>
      <c r="I2391" s="24" t="e">
        <f ca="1">[1]!BexGetData("DP_1","003N8EMH8GTFRCSWKMPXRSAE6","GSON1112160524")</f>
        <v>#NAME?</v>
      </c>
      <c r="J2391" s="24" t="e">
        <f ca="1">[1]!BexGetData("DP_1","003N8EMH8GTFRCSWKMPXRSGPQ","GSON1112160524")</f>
        <v>#NAME?</v>
      </c>
      <c r="K2391" s="28" t="e">
        <f ca="1">[1]!BexGetData("DP_1","003N8EMH8GTFRIVNUPY288VJH","GSON1112160524")</f>
        <v>#NAME?</v>
      </c>
      <c r="L2391" s="28" t="e">
        <f ca="1">[1]!BexGetData("DP_1","003N8EMH8GTFRIVNUPY2891V1","GSON1112160524")</f>
        <v>#NAME?</v>
      </c>
      <c r="M2391" s="28" t="e">
        <f ca="1">[1]!BexGetData("DP_1","003N8EMH8GTFRIVOG7KG9IQXA","GSON1112160524")</f>
        <v>#NAME?</v>
      </c>
      <c r="N2391" s="28" t="e">
        <f ca="1">[1]!BexGetData("DP_1","003N8EMH8GTFRIVOG7KG9IX8U","GSON1112160524")</f>
        <v>#NAME?</v>
      </c>
      <c r="O2391" s="28" t="e">
        <f ca="1">[1]!BexGetData("DP_1","003N8EMH8GTFRIVOG7KG9J3KE","GSON1112160524")</f>
        <v>#NAME?</v>
      </c>
      <c r="P2391" s="28" t="e">
        <f ca="1">[1]!BexGetData("DP_1","003N8EMH8GTFRIVOG7KG9J9VY","GSON1112160524")</f>
        <v>#NAME?</v>
      </c>
      <c r="Q2391" s="24" t="e">
        <f ca="1">[1]!BexGetData("DP_1","00O2TNJGODT0G5Z4TTKYMM5MT","GSON1112160524")</f>
        <v>#NAME?</v>
      </c>
      <c r="R2391" s="24" t="e">
        <f ca="1">[1]!BexGetData("DP_1","00O2TNJGODT0G5Z4TTKYMMBYD","GSON1112160524")</f>
        <v>#NAME?</v>
      </c>
      <c r="S2391" s="24" t="e">
        <f ca="1">[1]!BexGetData("DP_1","00O2TNJGODT0G5Z4TTKYMMI9X","GSON1112160524")</f>
        <v>#NAME?</v>
      </c>
      <c r="T2391" s="24" t="e">
        <f ca="1">[1]!BexGetData("DP_1","00O2TNJGODT0G5Z4TTKYMMOLH","GSON1112160524")</f>
        <v>#NAME?</v>
      </c>
      <c r="U2391" s="24" t="e">
        <f ca="1">[1]!BexGetData("DP_1","00O2TNJGODT0G5Z4TTKYMMUX1","GSON1112160524")</f>
        <v>#NAME?</v>
      </c>
      <c r="V2391" s="24" t="e">
        <f ca="1">[1]!BexGetData("DP_1","00O2TNJGODT0G5Z4TTKYMN18L","GSON1112160524")</f>
        <v>#NAME?</v>
      </c>
      <c r="W2391" s="24" t="e">
        <f ca="1">[1]!BexGetData("DP_1","00O2TNJGODT0G5Z4TTKYMN7K5","GSON1112160524")</f>
        <v>#NAME?</v>
      </c>
    </row>
    <row r="2392" spans="1:23" x14ac:dyDescent="0.2">
      <c r="A2392" s="36" t="s">
        <v>1712</v>
      </c>
      <c r="B2392" s="27" t="s">
        <v>1713</v>
      </c>
      <c r="C2392" s="23" t="e">
        <f ca="1">[1]!BexGetData("DP_1","003N8EMH8GTFRCSWKMPXRR8GU","GSON1112170010")</f>
        <v>#NAME?</v>
      </c>
      <c r="D2392" s="28" t="e">
        <f ca="1">[1]!BexGetData("DP_1","003N8EMH8GTFRCSWKMPXRRESE","GSON1112170010")</f>
        <v>#NAME?</v>
      </c>
      <c r="E2392" s="23" t="e">
        <f ca="1">[1]!BexGetData("DP_1","003N8EMH8GTFRCSWKMPXRRL3Y","GSON1112170010")</f>
        <v>#NAME?</v>
      </c>
      <c r="F2392" s="23" t="e">
        <f ca="1">[1]!BexGetData("DP_1","003N8EMH8GTFRCSWKMPXRRRFI","GSON1112170010")</f>
        <v>#NAME?</v>
      </c>
      <c r="G2392" s="23" t="e">
        <f ca="1">[1]!BexGetData("DP_1","003N8EMH8GTFRCSWKMPXRRXR2","GSON1112170010")</f>
        <v>#NAME?</v>
      </c>
      <c r="H2392" s="23" t="e">
        <f ca="1">[1]!BexGetData("DP_1","003N8EMH8GTFRCSWKMPXRS42M","GSON1112170010")</f>
        <v>#NAME?</v>
      </c>
      <c r="I2392" s="23" t="e">
        <f ca="1">[1]!BexGetData("DP_1","003N8EMH8GTFRCSWKMPXRSAE6","GSON1112170010")</f>
        <v>#NAME?</v>
      </c>
      <c r="J2392" s="23" t="e">
        <f ca="1">[1]!BexGetData("DP_1","003N8EMH8GTFRCSWKMPXRSGPQ","GSON1112170010")</f>
        <v>#NAME?</v>
      </c>
      <c r="K2392" s="23" t="e">
        <f ca="1">[1]!BexGetData("DP_1","003N8EMH8GTFRIVNUPY288VJH","GSON1112170010")</f>
        <v>#NAME?</v>
      </c>
      <c r="L2392" s="23" t="e">
        <f ca="1">[1]!BexGetData("DP_1","003N8EMH8GTFRIVNUPY2891V1","GSON1112170010")</f>
        <v>#NAME?</v>
      </c>
      <c r="M2392" s="28" t="e">
        <f ca="1">[1]!BexGetData("DP_1","003N8EMH8GTFRIVOG7KG9IQXA","GSON1112170010")</f>
        <v>#NAME?</v>
      </c>
      <c r="N2392" s="23" t="e">
        <f ca="1">[1]!BexGetData("DP_1","003N8EMH8GTFRIVOG7KG9IX8U","GSON1112170010")</f>
        <v>#NAME?</v>
      </c>
      <c r="O2392" s="28" t="e">
        <f ca="1">[1]!BexGetData("DP_1","003N8EMH8GTFRIVOG7KG9J3KE","GSON1112170010")</f>
        <v>#NAME?</v>
      </c>
      <c r="P2392" s="23" t="e">
        <f ca="1">[1]!BexGetData("DP_1","003N8EMH8GTFRIVOG7KG9J9VY","GSON1112170010")</f>
        <v>#NAME?</v>
      </c>
      <c r="Q2392" s="23" t="e">
        <f ca="1">[1]!BexGetData("DP_1","00O2TNJGODT0G5Z4TTKYMM5MT","GSON1112170010")</f>
        <v>#NAME?</v>
      </c>
      <c r="R2392" s="23" t="e">
        <f ca="1">[1]!BexGetData("DP_1","00O2TNJGODT0G5Z4TTKYMMBYD","GSON1112170010")</f>
        <v>#NAME?</v>
      </c>
      <c r="S2392" s="23" t="e">
        <f ca="1">[1]!BexGetData("DP_1","00O2TNJGODT0G5Z4TTKYMMI9X","GSON1112170010")</f>
        <v>#NAME?</v>
      </c>
      <c r="T2392" s="28" t="e">
        <f ca="1">[1]!BexGetData("DP_1","00O2TNJGODT0G5Z4TTKYMMOLH","GSON1112170010")</f>
        <v>#NAME?</v>
      </c>
      <c r="U2392" s="23" t="e">
        <f ca="1">[1]!BexGetData("DP_1","00O2TNJGODT0G5Z4TTKYMMUX1","GSON1112170010")</f>
        <v>#NAME?</v>
      </c>
      <c r="V2392" s="28" t="e">
        <f ca="1">[1]!BexGetData("DP_1","00O2TNJGODT0G5Z4TTKYMN18L","GSON1112170010")</f>
        <v>#NAME?</v>
      </c>
      <c r="W2392" s="23" t="e">
        <f ca="1">[1]!BexGetData("DP_1","00O2TNJGODT0G5Z4TTKYMN7K5","GSON1112170010")</f>
        <v>#NAME?</v>
      </c>
    </row>
    <row r="2393" spans="1:23" x14ac:dyDescent="0.2">
      <c r="A2393" s="36" t="s">
        <v>1199</v>
      </c>
      <c r="B2393" s="27" t="s">
        <v>1200</v>
      </c>
      <c r="C2393" s="23" t="e">
        <f ca="1">[1]!BexGetData("DP_1","003N8EMH8GTFRCSWKMPXRR8GU","GSON1112170011")</f>
        <v>#NAME?</v>
      </c>
      <c r="D2393" s="23" t="e">
        <f ca="1">[1]!BexGetData("DP_1","003N8EMH8GTFRCSWKMPXRRESE","GSON1112170011")</f>
        <v>#NAME?</v>
      </c>
      <c r="E2393" s="28" t="e">
        <f ca="1">[1]!BexGetData("DP_1","003N8EMH8GTFRCSWKMPXRRL3Y","GSON1112170011")</f>
        <v>#NAME?</v>
      </c>
      <c r="F2393" s="28" t="e">
        <f ca="1">[1]!BexGetData("DP_1","003N8EMH8GTFRCSWKMPXRRRFI","GSON1112170011")</f>
        <v>#NAME?</v>
      </c>
      <c r="G2393" s="23" t="e">
        <f ca="1">[1]!BexGetData("DP_1","003N8EMH8GTFRCSWKMPXRRXR2","GSON1112170011")</f>
        <v>#NAME?</v>
      </c>
      <c r="H2393" s="23" t="e">
        <f ca="1">[1]!BexGetData("DP_1","003N8EMH8GTFRCSWKMPXRS42M","GSON1112170011")</f>
        <v>#NAME?</v>
      </c>
      <c r="I2393" s="28" t="e">
        <f ca="1">[1]!BexGetData("DP_1","003N8EMH8GTFRCSWKMPXRSAE6","GSON1112170011")</f>
        <v>#NAME?</v>
      </c>
      <c r="J2393" s="24" t="e">
        <f ca="1">[1]!BexGetData("DP_1","003N8EMH8GTFRCSWKMPXRSGPQ","GSON1112170011")</f>
        <v>#NAME?</v>
      </c>
      <c r="K2393" s="28" t="e">
        <f ca="1">[1]!BexGetData("DP_1","003N8EMH8GTFRIVNUPY288VJH","GSON1112170011")</f>
        <v>#NAME?</v>
      </c>
      <c r="L2393" s="28" t="e">
        <f ca="1">[1]!BexGetData("DP_1","003N8EMH8GTFRIVNUPY2891V1","GSON1112170011")</f>
        <v>#NAME?</v>
      </c>
      <c r="M2393" s="28" t="e">
        <f ca="1">[1]!BexGetData("DP_1","003N8EMH8GTFRIVOG7KG9IQXA","GSON1112170011")</f>
        <v>#NAME?</v>
      </c>
      <c r="N2393" s="28" t="e">
        <f ca="1">[1]!BexGetData("DP_1","003N8EMH8GTFRIVOG7KG9IX8U","GSON1112170011")</f>
        <v>#NAME?</v>
      </c>
      <c r="O2393" s="28" t="e">
        <f ca="1">[1]!BexGetData("DP_1","003N8EMH8GTFRIVOG7KG9J3KE","GSON1112170011")</f>
        <v>#NAME?</v>
      </c>
      <c r="P2393" s="28" t="e">
        <f ca="1">[1]!BexGetData("DP_1","003N8EMH8GTFRIVOG7KG9J9VY","GSON1112170011")</f>
        <v>#NAME?</v>
      </c>
      <c r="Q2393" s="24" t="e">
        <f ca="1">[1]!BexGetData("DP_1","00O2TNJGODT0G5Z4TTKYMM5MT","GSON1112170011")</f>
        <v>#NAME?</v>
      </c>
      <c r="R2393" s="28" t="e">
        <f ca="1">[1]!BexGetData("DP_1","00O2TNJGODT0G5Z4TTKYMMBYD","GSON1112170011")</f>
        <v>#NAME?</v>
      </c>
      <c r="S2393" s="28" t="e">
        <f ca="1">[1]!BexGetData("DP_1","00O2TNJGODT0G5Z4TTKYMMI9X","GSON1112170011")</f>
        <v>#NAME?</v>
      </c>
      <c r="T2393" s="28" t="e">
        <f ca="1">[1]!BexGetData("DP_1","00O2TNJGODT0G5Z4TTKYMMOLH","GSON1112170011")</f>
        <v>#NAME?</v>
      </c>
      <c r="U2393" s="28" t="e">
        <f ca="1">[1]!BexGetData("DP_1","00O2TNJGODT0G5Z4TTKYMMUX1","GSON1112170011")</f>
        <v>#NAME?</v>
      </c>
      <c r="V2393" s="28" t="e">
        <f ca="1">[1]!BexGetData("DP_1","00O2TNJGODT0G5Z4TTKYMN18L","GSON1112170011")</f>
        <v>#NAME?</v>
      </c>
      <c r="W2393" s="28" t="e">
        <f ca="1">[1]!BexGetData("DP_1","00O2TNJGODT0G5Z4TTKYMN7K5","GSON1112170011")</f>
        <v>#NAME?</v>
      </c>
    </row>
    <row r="2394" spans="1:23" x14ac:dyDescent="0.2">
      <c r="A2394" s="36" t="s">
        <v>1714</v>
      </c>
      <c r="B2394" s="27" t="s">
        <v>1715</v>
      </c>
      <c r="C2394" s="24" t="e">
        <f ca="1">[1]!BexGetData("DP_1","003N8EMH8GTFRCSWKMPXRR8GU","GSON1112170013")</f>
        <v>#NAME?</v>
      </c>
      <c r="D2394" s="24" t="e">
        <f ca="1">[1]!BexGetData("DP_1","003N8EMH8GTFRCSWKMPXRRESE","GSON1112170013")</f>
        <v>#NAME?</v>
      </c>
      <c r="E2394" s="24" t="e">
        <f ca="1">[1]!BexGetData("DP_1","003N8EMH8GTFRCSWKMPXRRL3Y","GSON1112170013")</f>
        <v>#NAME?</v>
      </c>
      <c r="F2394" s="28" t="e">
        <f ca="1">[1]!BexGetData("DP_1","003N8EMH8GTFRCSWKMPXRRRFI","GSON1112170013")</f>
        <v>#NAME?</v>
      </c>
      <c r="G2394" s="23" t="e">
        <f ca="1">[1]!BexGetData("DP_1","003N8EMH8GTFRCSWKMPXRRXR2","GSON1112170013")</f>
        <v>#NAME?</v>
      </c>
      <c r="H2394" s="23" t="e">
        <f ca="1">[1]!BexGetData("DP_1","003N8EMH8GTFRCSWKMPXRS42M","GSON1112170013")</f>
        <v>#NAME?</v>
      </c>
      <c r="I2394" s="28" t="e">
        <f ca="1">[1]!BexGetData("DP_1","003N8EMH8GTFRCSWKMPXRSAE6","GSON1112170013")</f>
        <v>#NAME?</v>
      </c>
      <c r="J2394" s="24" t="e">
        <f ca="1">[1]!BexGetData("DP_1","003N8EMH8GTFRCSWKMPXRSGPQ","GSON1112170013")</f>
        <v>#NAME?</v>
      </c>
      <c r="K2394" s="28" t="e">
        <f ca="1">[1]!BexGetData("DP_1","003N8EMH8GTFRIVNUPY288VJH","GSON1112170013")</f>
        <v>#NAME?</v>
      </c>
      <c r="L2394" s="28" t="e">
        <f ca="1">[1]!BexGetData("DP_1","003N8EMH8GTFRIVNUPY2891V1","GSON1112170013")</f>
        <v>#NAME?</v>
      </c>
      <c r="M2394" s="28" t="e">
        <f ca="1">[1]!BexGetData("DP_1","003N8EMH8GTFRIVOG7KG9IQXA","GSON1112170013")</f>
        <v>#NAME?</v>
      </c>
      <c r="N2394" s="28" t="e">
        <f ca="1">[1]!BexGetData("DP_1","003N8EMH8GTFRIVOG7KG9IX8U","GSON1112170013")</f>
        <v>#NAME?</v>
      </c>
      <c r="O2394" s="28" t="e">
        <f ca="1">[1]!BexGetData("DP_1","003N8EMH8GTFRIVOG7KG9J3KE","GSON1112170013")</f>
        <v>#NAME?</v>
      </c>
      <c r="P2394" s="28" t="e">
        <f ca="1">[1]!BexGetData("DP_1","003N8EMH8GTFRIVOG7KG9J9VY","GSON1112170013")</f>
        <v>#NAME?</v>
      </c>
      <c r="Q2394" s="24" t="e">
        <f ca="1">[1]!BexGetData("DP_1","00O2TNJGODT0G5Z4TTKYMM5MT","GSON1112170013")</f>
        <v>#NAME?</v>
      </c>
      <c r="R2394" s="28" t="e">
        <f ca="1">[1]!BexGetData("DP_1","00O2TNJGODT0G5Z4TTKYMMBYD","GSON1112170013")</f>
        <v>#NAME?</v>
      </c>
      <c r="S2394" s="28" t="e">
        <f ca="1">[1]!BexGetData("DP_1","00O2TNJGODT0G5Z4TTKYMMI9X","GSON1112170013")</f>
        <v>#NAME?</v>
      </c>
      <c r="T2394" s="28" t="e">
        <f ca="1">[1]!BexGetData("DP_1","00O2TNJGODT0G5Z4TTKYMMOLH","GSON1112170013")</f>
        <v>#NAME?</v>
      </c>
      <c r="U2394" s="28" t="e">
        <f ca="1">[1]!BexGetData("DP_1","00O2TNJGODT0G5Z4TTKYMMUX1","GSON1112170013")</f>
        <v>#NAME?</v>
      </c>
      <c r="V2394" s="28" t="e">
        <f ca="1">[1]!BexGetData("DP_1","00O2TNJGODT0G5Z4TTKYMN18L","GSON1112170013")</f>
        <v>#NAME?</v>
      </c>
      <c r="W2394" s="28" t="e">
        <f ca="1">[1]!BexGetData("DP_1","00O2TNJGODT0G5Z4TTKYMN7K5","GSON1112170013")</f>
        <v>#NAME?</v>
      </c>
    </row>
    <row r="2395" spans="1:23" x14ac:dyDescent="0.2">
      <c r="A2395" s="36" t="s">
        <v>5739</v>
      </c>
      <c r="B2395" s="27" t="s">
        <v>5740</v>
      </c>
      <c r="C2395" s="23" t="e">
        <f ca="1">[1]!BexGetData("DP_1","003N8EMH8GTFRCSWKMPXRR8GU","GSON1112170015")</f>
        <v>#NAME?</v>
      </c>
      <c r="D2395" s="23" t="e">
        <f ca="1">[1]!BexGetData("DP_1","003N8EMH8GTFRCSWKMPXRRESE","GSON1112170015")</f>
        <v>#NAME?</v>
      </c>
      <c r="E2395" s="28" t="e">
        <f ca="1">[1]!BexGetData("DP_1","003N8EMH8GTFRCSWKMPXRRL3Y","GSON1112170015")</f>
        <v>#NAME?</v>
      </c>
      <c r="F2395" s="28" t="e">
        <f ca="1">[1]!BexGetData("DP_1","003N8EMH8GTFRCSWKMPXRRRFI","GSON1112170015")</f>
        <v>#NAME?</v>
      </c>
      <c r="G2395" s="23" t="e">
        <f ca="1">[1]!BexGetData("DP_1","003N8EMH8GTFRCSWKMPXRRXR2","GSON1112170015")</f>
        <v>#NAME?</v>
      </c>
      <c r="H2395" s="23" t="e">
        <f ca="1">[1]!BexGetData("DP_1","003N8EMH8GTFRCSWKMPXRS42M","GSON1112170015")</f>
        <v>#NAME?</v>
      </c>
      <c r="I2395" s="28" t="e">
        <f ca="1">[1]!BexGetData("DP_1","003N8EMH8GTFRCSWKMPXRSAE6","GSON1112170015")</f>
        <v>#NAME?</v>
      </c>
      <c r="J2395" s="24" t="e">
        <f ca="1">[1]!BexGetData("DP_1","003N8EMH8GTFRCSWKMPXRSGPQ","GSON1112170015")</f>
        <v>#NAME?</v>
      </c>
      <c r="K2395" s="28" t="e">
        <f ca="1">[1]!BexGetData("DP_1","003N8EMH8GTFRIVNUPY288VJH","GSON1112170015")</f>
        <v>#NAME?</v>
      </c>
      <c r="L2395" s="28" t="e">
        <f ca="1">[1]!BexGetData("DP_1","003N8EMH8GTFRIVNUPY2891V1","GSON1112170015")</f>
        <v>#NAME?</v>
      </c>
      <c r="M2395" s="28" t="e">
        <f ca="1">[1]!BexGetData("DP_1","003N8EMH8GTFRIVOG7KG9IQXA","GSON1112170015")</f>
        <v>#NAME?</v>
      </c>
      <c r="N2395" s="28" t="e">
        <f ca="1">[1]!BexGetData("DP_1","003N8EMH8GTFRIVOG7KG9IX8U","GSON1112170015")</f>
        <v>#NAME?</v>
      </c>
      <c r="O2395" s="28" t="e">
        <f ca="1">[1]!BexGetData("DP_1","003N8EMH8GTFRIVOG7KG9J3KE","GSON1112170015")</f>
        <v>#NAME?</v>
      </c>
      <c r="P2395" s="28" t="e">
        <f ca="1">[1]!BexGetData("DP_1","003N8EMH8GTFRIVOG7KG9J9VY","GSON1112170015")</f>
        <v>#NAME?</v>
      </c>
      <c r="Q2395" s="24" t="e">
        <f ca="1">[1]!BexGetData("DP_1","00O2TNJGODT0G5Z4TTKYMM5MT","GSON1112170015")</f>
        <v>#NAME?</v>
      </c>
      <c r="R2395" s="28" t="e">
        <f ca="1">[1]!BexGetData("DP_1","00O2TNJGODT0G5Z4TTKYMMBYD","GSON1112170015")</f>
        <v>#NAME?</v>
      </c>
      <c r="S2395" s="28" t="e">
        <f ca="1">[1]!BexGetData("DP_1","00O2TNJGODT0G5Z4TTKYMMI9X","GSON1112170015")</f>
        <v>#NAME?</v>
      </c>
      <c r="T2395" s="28" t="e">
        <f ca="1">[1]!BexGetData("DP_1","00O2TNJGODT0G5Z4TTKYMMOLH","GSON1112170015")</f>
        <v>#NAME?</v>
      </c>
      <c r="U2395" s="28" t="e">
        <f ca="1">[1]!BexGetData("DP_1","00O2TNJGODT0G5Z4TTKYMMUX1","GSON1112170015")</f>
        <v>#NAME?</v>
      </c>
      <c r="V2395" s="28" t="e">
        <f ca="1">[1]!BexGetData("DP_1","00O2TNJGODT0G5Z4TTKYMN18L","GSON1112170015")</f>
        <v>#NAME?</v>
      </c>
      <c r="W2395" s="28" t="e">
        <f ca="1">[1]!BexGetData("DP_1","00O2TNJGODT0G5Z4TTKYMN7K5","GSON1112170015")</f>
        <v>#NAME?</v>
      </c>
    </row>
    <row r="2396" spans="1:23" x14ac:dyDescent="0.2">
      <c r="A2396" s="36" t="s">
        <v>5741</v>
      </c>
      <c r="B2396" s="27" t="s">
        <v>5742</v>
      </c>
      <c r="C2396" s="23" t="e">
        <f ca="1">[1]!BexGetData("DP_1","003N8EMH8GTFRCSWKMPXRR8GU","GSON1112180010")</f>
        <v>#NAME?</v>
      </c>
      <c r="D2396" s="23" t="e">
        <f ca="1">[1]!BexGetData("DP_1","003N8EMH8GTFRCSWKMPXRRESE","GSON1112180010")</f>
        <v>#NAME?</v>
      </c>
      <c r="E2396" s="28" t="e">
        <f ca="1">[1]!BexGetData("DP_1","003N8EMH8GTFRCSWKMPXRRL3Y","GSON1112180010")</f>
        <v>#NAME?</v>
      </c>
      <c r="F2396" s="23" t="e">
        <f ca="1">[1]!BexGetData("DP_1","003N8EMH8GTFRCSWKMPXRRRFI","GSON1112180010")</f>
        <v>#NAME?</v>
      </c>
      <c r="G2396" s="23" t="e">
        <f ca="1">[1]!BexGetData("DP_1","003N8EMH8GTFRCSWKMPXRRXR2","GSON1112180010")</f>
        <v>#NAME?</v>
      </c>
      <c r="H2396" s="23" t="e">
        <f ca="1">[1]!BexGetData("DP_1","003N8EMH8GTFRCSWKMPXRS42M","GSON1112180010")</f>
        <v>#NAME?</v>
      </c>
      <c r="I2396" s="23" t="e">
        <f ca="1">[1]!BexGetData("DP_1","003N8EMH8GTFRCSWKMPXRSAE6","GSON1112180010")</f>
        <v>#NAME?</v>
      </c>
      <c r="J2396" s="23" t="e">
        <f ca="1">[1]!BexGetData("DP_1","003N8EMH8GTFRCSWKMPXRSGPQ","GSON1112180010")</f>
        <v>#NAME?</v>
      </c>
      <c r="K2396" s="23" t="e">
        <f ca="1">[1]!BexGetData("DP_1","003N8EMH8GTFRIVNUPY288VJH","GSON1112180010")</f>
        <v>#NAME?</v>
      </c>
      <c r="L2396" s="23" t="e">
        <f ca="1">[1]!BexGetData("DP_1","003N8EMH8GTFRIVNUPY2891V1","GSON1112180010")</f>
        <v>#NAME?</v>
      </c>
      <c r="M2396" s="23" t="e">
        <f ca="1">[1]!BexGetData("DP_1","003N8EMH8GTFRIVOG7KG9IQXA","GSON1112180010")</f>
        <v>#NAME?</v>
      </c>
      <c r="N2396" s="28" t="e">
        <f ca="1">[1]!BexGetData("DP_1","003N8EMH8GTFRIVOG7KG9IX8U","GSON1112180010")</f>
        <v>#NAME?</v>
      </c>
      <c r="O2396" s="23" t="e">
        <f ca="1">[1]!BexGetData("DP_1","003N8EMH8GTFRIVOG7KG9J3KE","GSON1112180010")</f>
        <v>#NAME?</v>
      </c>
      <c r="P2396" s="28" t="e">
        <f ca="1">[1]!BexGetData("DP_1","003N8EMH8GTFRIVOG7KG9J9VY","GSON1112180010")</f>
        <v>#NAME?</v>
      </c>
      <c r="Q2396" s="23" t="e">
        <f ca="1">[1]!BexGetData("DP_1","00O2TNJGODT0G5Z4TTKYMM5MT","GSON1112180010")</f>
        <v>#NAME?</v>
      </c>
      <c r="R2396" s="23" t="e">
        <f ca="1">[1]!BexGetData("DP_1","00O2TNJGODT0G5Z4TTKYMMBYD","GSON1112180010")</f>
        <v>#NAME?</v>
      </c>
      <c r="S2396" s="23" t="e">
        <f ca="1">[1]!BexGetData("DP_1","00O2TNJGODT0G5Z4TTKYMMI9X","GSON1112180010")</f>
        <v>#NAME?</v>
      </c>
      <c r="T2396" s="23" t="e">
        <f ca="1">[1]!BexGetData("DP_1","00O2TNJGODT0G5Z4TTKYMMOLH","GSON1112180010")</f>
        <v>#NAME?</v>
      </c>
      <c r="U2396" s="28" t="e">
        <f ca="1">[1]!BexGetData("DP_1","00O2TNJGODT0G5Z4TTKYMMUX1","GSON1112180010")</f>
        <v>#NAME?</v>
      </c>
      <c r="V2396" s="23" t="e">
        <f ca="1">[1]!BexGetData("DP_1","00O2TNJGODT0G5Z4TTKYMN18L","GSON1112180010")</f>
        <v>#NAME?</v>
      </c>
      <c r="W2396" s="28" t="e">
        <f ca="1">[1]!BexGetData("DP_1","00O2TNJGODT0G5Z4TTKYMN7K5","GSON1112180010")</f>
        <v>#NAME?</v>
      </c>
    </row>
    <row r="2397" spans="1:23" x14ac:dyDescent="0.2">
      <c r="A2397" s="36" t="s">
        <v>5743</v>
      </c>
      <c r="B2397" s="27" t="s">
        <v>5744</v>
      </c>
      <c r="C2397" s="28" t="e">
        <f ca="1">[1]!BexGetData("DP_1","003N8EMH8GTFRCSWKMPXRR8GU","GSON1112180011")</f>
        <v>#NAME?</v>
      </c>
      <c r="D2397" s="28" t="e">
        <f ca="1">[1]!BexGetData("DP_1","003N8EMH8GTFRCSWKMPXRRESE","GSON1112180011")</f>
        <v>#NAME?</v>
      </c>
      <c r="E2397" s="28" t="e">
        <f ca="1">[1]!BexGetData("DP_1","003N8EMH8GTFRCSWKMPXRRL3Y","GSON1112180011")</f>
        <v>#NAME?</v>
      </c>
      <c r="F2397" s="28" t="e">
        <f ca="1">[1]!BexGetData("DP_1","003N8EMH8GTFRCSWKMPXRRRFI","GSON1112180011")</f>
        <v>#NAME?</v>
      </c>
      <c r="G2397" s="23" t="e">
        <f ca="1">[1]!BexGetData("DP_1","003N8EMH8GTFRCSWKMPXRRXR2","GSON1112180011")</f>
        <v>#NAME?</v>
      </c>
      <c r="H2397" s="23" t="e">
        <f ca="1">[1]!BexGetData("DP_1","003N8EMH8GTFRCSWKMPXRS42M","GSON1112180011")</f>
        <v>#NAME?</v>
      </c>
      <c r="I2397" s="28" t="e">
        <f ca="1">[1]!BexGetData("DP_1","003N8EMH8GTFRCSWKMPXRSAE6","GSON1112180011")</f>
        <v>#NAME?</v>
      </c>
      <c r="J2397" s="24" t="e">
        <f ca="1">[1]!BexGetData("DP_1","003N8EMH8GTFRCSWKMPXRSGPQ","GSON1112180011")</f>
        <v>#NAME?</v>
      </c>
      <c r="K2397" s="28" t="e">
        <f ca="1">[1]!BexGetData("DP_1","003N8EMH8GTFRIVNUPY288VJH","GSON1112180011")</f>
        <v>#NAME?</v>
      </c>
      <c r="L2397" s="28" t="e">
        <f ca="1">[1]!BexGetData("DP_1","003N8EMH8GTFRIVNUPY2891V1","GSON1112180011")</f>
        <v>#NAME?</v>
      </c>
      <c r="M2397" s="28" t="e">
        <f ca="1">[1]!BexGetData("DP_1","003N8EMH8GTFRIVOG7KG9IQXA","GSON1112180011")</f>
        <v>#NAME?</v>
      </c>
      <c r="N2397" s="28" t="e">
        <f ca="1">[1]!BexGetData("DP_1","003N8EMH8GTFRIVOG7KG9IX8U","GSON1112180011")</f>
        <v>#NAME?</v>
      </c>
      <c r="O2397" s="28" t="e">
        <f ca="1">[1]!BexGetData("DP_1","003N8EMH8GTFRIVOG7KG9J3KE","GSON1112180011")</f>
        <v>#NAME?</v>
      </c>
      <c r="P2397" s="28" t="e">
        <f ca="1">[1]!BexGetData("DP_1","003N8EMH8GTFRIVOG7KG9J9VY","GSON1112180011")</f>
        <v>#NAME?</v>
      </c>
      <c r="Q2397" s="24" t="e">
        <f ca="1">[1]!BexGetData("DP_1","00O2TNJGODT0G5Z4TTKYMM5MT","GSON1112180011")</f>
        <v>#NAME?</v>
      </c>
      <c r="R2397" s="28" t="e">
        <f ca="1">[1]!BexGetData("DP_1","00O2TNJGODT0G5Z4TTKYMMBYD","GSON1112180011")</f>
        <v>#NAME?</v>
      </c>
      <c r="S2397" s="28" t="e">
        <f ca="1">[1]!BexGetData("DP_1","00O2TNJGODT0G5Z4TTKYMMI9X","GSON1112180011")</f>
        <v>#NAME?</v>
      </c>
      <c r="T2397" s="28" t="e">
        <f ca="1">[1]!BexGetData("DP_1","00O2TNJGODT0G5Z4TTKYMMOLH","GSON1112180011")</f>
        <v>#NAME?</v>
      </c>
      <c r="U2397" s="28" t="e">
        <f ca="1">[1]!BexGetData("DP_1","00O2TNJGODT0G5Z4TTKYMMUX1","GSON1112180011")</f>
        <v>#NAME?</v>
      </c>
      <c r="V2397" s="28" t="e">
        <f ca="1">[1]!BexGetData("DP_1","00O2TNJGODT0G5Z4TTKYMN18L","GSON1112180011")</f>
        <v>#NAME?</v>
      </c>
      <c r="W2397" s="28" t="e">
        <f ca="1">[1]!BexGetData("DP_1","00O2TNJGODT0G5Z4TTKYMN7K5","GSON1112180011")</f>
        <v>#NAME?</v>
      </c>
    </row>
    <row r="2398" spans="1:23" x14ac:dyDescent="0.2">
      <c r="A2398" s="36" t="s">
        <v>5745</v>
      </c>
      <c r="B2398" s="27" t="s">
        <v>5746</v>
      </c>
      <c r="C2398" s="23" t="e">
        <f ca="1">[1]!BexGetData("DP_1","003N8EMH8GTFRCSWKMPXRR8GU","GSON1112180013")</f>
        <v>#NAME?</v>
      </c>
      <c r="D2398" s="23" t="e">
        <f ca="1">[1]!BexGetData("DP_1","003N8EMH8GTFRCSWKMPXRRESE","GSON1112180013")</f>
        <v>#NAME?</v>
      </c>
      <c r="E2398" s="28" t="e">
        <f ca="1">[1]!BexGetData("DP_1","003N8EMH8GTFRCSWKMPXRRL3Y","GSON1112180013")</f>
        <v>#NAME?</v>
      </c>
      <c r="F2398" s="28" t="e">
        <f ca="1">[1]!BexGetData("DP_1","003N8EMH8GTFRCSWKMPXRRRFI","GSON1112180013")</f>
        <v>#NAME?</v>
      </c>
      <c r="G2398" s="23" t="e">
        <f ca="1">[1]!BexGetData("DP_1","003N8EMH8GTFRCSWKMPXRRXR2","GSON1112180013")</f>
        <v>#NAME?</v>
      </c>
      <c r="H2398" s="23" t="e">
        <f ca="1">[1]!BexGetData("DP_1","003N8EMH8GTFRCSWKMPXRS42M","GSON1112180013")</f>
        <v>#NAME?</v>
      </c>
      <c r="I2398" s="28" t="e">
        <f ca="1">[1]!BexGetData("DP_1","003N8EMH8GTFRCSWKMPXRSAE6","GSON1112180013")</f>
        <v>#NAME?</v>
      </c>
      <c r="J2398" s="24" t="e">
        <f ca="1">[1]!BexGetData("DP_1","003N8EMH8GTFRCSWKMPXRSGPQ","GSON1112180013")</f>
        <v>#NAME?</v>
      </c>
      <c r="K2398" s="28" t="e">
        <f ca="1">[1]!BexGetData("DP_1","003N8EMH8GTFRIVNUPY288VJH","GSON1112180013")</f>
        <v>#NAME?</v>
      </c>
      <c r="L2398" s="28" t="e">
        <f ca="1">[1]!BexGetData("DP_1","003N8EMH8GTFRIVNUPY2891V1","GSON1112180013")</f>
        <v>#NAME?</v>
      </c>
      <c r="M2398" s="28" t="e">
        <f ca="1">[1]!BexGetData("DP_1","003N8EMH8GTFRIVOG7KG9IQXA","GSON1112180013")</f>
        <v>#NAME?</v>
      </c>
      <c r="N2398" s="28" t="e">
        <f ca="1">[1]!BexGetData("DP_1","003N8EMH8GTFRIVOG7KG9IX8U","GSON1112180013")</f>
        <v>#NAME?</v>
      </c>
      <c r="O2398" s="28" t="e">
        <f ca="1">[1]!BexGetData("DP_1","003N8EMH8GTFRIVOG7KG9J3KE","GSON1112180013")</f>
        <v>#NAME?</v>
      </c>
      <c r="P2398" s="28" t="e">
        <f ca="1">[1]!BexGetData("DP_1","003N8EMH8GTFRIVOG7KG9J9VY","GSON1112180013")</f>
        <v>#NAME?</v>
      </c>
      <c r="Q2398" s="24" t="e">
        <f ca="1">[1]!BexGetData("DP_1","00O2TNJGODT0G5Z4TTKYMM5MT","GSON1112180013")</f>
        <v>#NAME?</v>
      </c>
      <c r="R2398" s="28" t="e">
        <f ca="1">[1]!BexGetData("DP_1","00O2TNJGODT0G5Z4TTKYMMBYD","GSON1112180013")</f>
        <v>#NAME?</v>
      </c>
      <c r="S2398" s="28" t="e">
        <f ca="1">[1]!BexGetData("DP_1","00O2TNJGODT0G5Z4TTKYMMI9X","GSON1112180013")</f>
        <v>#NAME?</v>
      </c>
      <c r="T2398" s="28" t="e">
        <f ca="1">[1]!BexGetData("DP_1","00O2TNJGODT0G5Z4TTKYMMOLH","GSON1112180013")</f>
        <v>#NAME?</v>
      </c>
      <c r="U2398" s="28" t="e">
        <f ca="1">[1]!BexGetData("DP_1","00O2TNJGODT0G5Z4TTKYMMUX1","GSON1112180013")</f>
        <v>#NAME?</v>
      </c>
      <c r="V2398" s="28" t="e">
        <f ca="1">[1]!BexGetData("DP_1","00O2TNJGODT0G5Z4TTKYMN18L","GSON1112180013")</f>
        <v>#NAME?</v>
      </c>
      <c r="W2398" s="28" t="e">
        <f ca="1">[1]!BexGetData("DP_1","00O2TNJGODT0G5Z4TTKYMN7K5","GSON1112180013")</f>
        <v>#NAME?</v>
      </c>
    </row>
    <row r="2399" spans="1:23" x14ac:dyDescent="0.2">
      <c r="A2399" s="36" t="s">
        <v>5747</v>
      </c>
      <c r="B2399" s="27" t="s">
        <v>5748</v>
      </c>
      <c r="C2399" s="23" t="e">
        <f ca="1">[1]!BexGetData("DP_1","003N8EMH8GTFRCSWKMPXRR8GU","GSON1112180014")</f>
        <v>#NAME?</v>
      </c>
      <c r="D2399" s="23" t="e">
        <f ca="1">[1]!BexGetData("DP_1","003N8EMH8GTFRCSWKMPXRRESE","GSON1112180014")</f>
        <v>#NAME?</v>
      </c>
      <c r="E2399" s="28" t="e">
        <f ca="1">[1]!BexGetData("DP_1","003N8EMH8GTFRCSWKMPXRRL3Y","GSON1112180014")</f>
        <v>#NAME?</v>
      </c>
      <c r="F2399" s="24" t="e">
        <f ca="1">[1]!BexGetData("DP_1","003N8EMH8GTFRCSWKMPXRRRFI","GSON1112180014")</f>
        <v>#NAME?</v>
      </c>
      <c r="G2399" s="24" t="e">
        <f ca="1">[1]!BexGetData("DP_1","003N8EMH8GTFRCSWKMPXRRXR2","GSON1112180014")</f>
        <v>#NAME?</v>
      </c>
      <c r="H2399" s="24" t="e">
        <f ca="1">[1]!BexGetData("DP_1","003N8EMH8GTFRCSWKMPXRS42M","GSON1112180014")</f>
        <v>#NAME?</v>
      </c>
      <c r="I2399" s="24" t="e">
        <f ca="1">[1]!BexGetData("DP_1","003N8EMH8GTFRCSWKMPXRSAE6","GSON1112180014")</f>
        <v>#NAME?</v>
      </c>
      <c r="J2399" s="24" t="e">
        <f ca="1">[1]!BexGetData("DP_1","003N8EMH8GTFRCSWKMPXRSGPQ","GSON1112180014")</f>
        <v>#NAME?</v>
      </c>
      <c r="K2399" s="28" t="e">
        <f ca="1">[1]!BexGetData("DP_1","003N8EMH8GTFRIVNUPY288VJH","GSON1112180014")</f>
        <v>#NAME?</v>
      </c>
      <c r="L2399" s="28" t="e">
        <f ca="1">[1]!BexGetData("DP_1","003N8EMH8GTFRIVNUPY2891V1","GSON1112180014")</f>
        <v>#NAME?</v>
      </c>
      <c r="M2399" s="28" t="e">
        <f ca="1">[1]!BexGetData("DP_1","003N8EMH8GTFRIVOG7KG9IQXA","GSON1112180014")</f>
        <v>#NAME?</v>
      </c>
      <c r="N2399" s="28" t="e">
        <f ca="1">[1]!BexGetData("DP_1","003N8EMH8GTFRIVOG7KG9IX8U","GSON1112180014")</f>
        <v>#NAME?</v>
      </c>
      <c r="O2399" s="28" t="e">
        <f ca="1">[1]!BexGetData("DP_1","003N8EMH8GTFRIVOG7KG9J3KE","GSON1112180014")</f>
        <v>#NAME?</v>
      </c>
      <c r="P2399" s="28" t="e">
        <f ca="1">[1]!BexGetData("DP_1","003N8EMH8GTFRIVOG7KG9J9VY","GSON1112180014")</f>
        <v>#NAME?</v>
      </c>
      <c r="Q2399" s="24" t="e">
        <f ca="1">[1]!BexGetData("DP_1","00O2TNJGODT0G5Z4TTKYMM5MT","GSON1112180014")</f>
        <v>#NAME?</v>
      </c>
      <c r="R2399" s="24" t="e">
        <f ca="1">[1]!BexGetData("DP_1","00O2TNJGODT0G5Z4TTKYMMBYD","GSON1112180014")</f>
        <v>#NAME?</v>
      </c>
      <c r="S2399" s="24" t="e">
        <f ca="1">[1]!BexGetData("DP_1","00O2TNJGODT0G5Z4TTKYMMI9X","GSON1112180014")</f>
        <v>#NAME?</v>
      </c>
      <c r="T2399" s="24" t="e">
        <f ca="1">[1]!BexGetData("DP_1","00O2TNJGODT0G5Z4TTKYMMOLH","GSON1112180014")</f>
        <v>#NAME?</v>
      </c>
      <c r="U2399" s="24" t="e">
        <f ca="1">[1]!BexGetData("DP_1","00O2TNJGODT0G5Z4TTKYMMUX1","GSON1112180014")</f>
        <v>#NAME?</v>
      </c>
      <c r="V2399" s="24" t="e">
        <f ca="1">[1]!BexGetData("DP_1","00O2TNJGODT0G5Z4TTKYMN18L","GSON1112180014")</f>
        <v>#NAME?</v>
      </c>
      <c r="W2399" s="24" t="e">
        <f ca="1">[1]!BexGetData("DP_1","00O2TNJGODT0G5Z4TTKYMN7K5","GSON1112180014")</f>
        <v>#NAME?</v>
      </c>
    </row>
    <row r="2400" spans="1:23" x14ac:dyDescent="0.2">
      <c r="A2400" s="36" t="s">
        <v>5749</v>
      </c>
      <c r="B2400" s="27" t="s">
        <v>5750</v>
      </c>
      <c r="C2400" s="23" t="e">
        <f ca="1">[1]!BexGetData("DP_1","003N8EMH8GTFRCSWKMPXRR8GU","GSON1112180015")</f>
        <v>#NAME?</v>
      </c>
      <c r="D2400" s="23" t="e">
        <f ca="1">[1]!BexGetData("DP_1","003N8EMH8GTFRCSWKMPXRRESE","GSON1112180015")</f>
        <v>#NAME?</v>
      </c>
      <c r="E2400" s="28" t="e">
        <f ca="1">[1]!BexGetData("DP_1","003N8EMH8GTFRCSWKMPXRRL3Y","GSON1112180015")</f>
        <v>#NAME?</v>
      </c>
      <c r="F2400" s="28" t="e">
        <f ca="1">[1]!BexGetData("DP_1","003N8EMH8GTFRCSWKMPXRRRFI","GSON1112180015")</f>
        <v>#NAME?</v>
      </c>
      <c r="G2400" s="23" t="e">
        <f ca="1">[1]!BexGetData("DP_1","003N8EMH8GTFRCSWKMPXRRXR2","GSON1112180015")</f>
        <v>#NAME?</v>
      </c>
      <c r="H2400" s="23" t="e">
        <f ca="1">[1]!BexGetData("DP_1","003N8EMH8GTFRCSWKMPXRS42M","GSON1112180015")</f>
        <v>#NAME?</v>
      </c>
      <c r="I2400" s="28" t="e">
        <f ca="1">[1]!BexGetData("DP_1","003N8EMH8GTFRCSWKMPXRSAE6","GSON1112180015")</f>
        <v>#NAME?</v>
      </c>
      <c r="J2400" s="24" t="e">
        <f ca="1">[1]!BexGetData("DP_1","003N8EMH8GTFRCSWKMPXRSGPQ","GSON1112180015")</f>
        <v>#NAME?</v>
      </c>
      <c r="K2400" s="28" t="e">
        <f ca="1">[1]!BexGetData("DP_1","003N8EMH8GTFRIVNUPY288VJH","GSON1112180015")</f>
        <v>#NAME?</v>
      </c>
      <c r="L2400" s="28" t="e">
        <f ca="1">[1]!BexGetData("DP_1","003N8EMH8GTFRIVNUPY2891V1","GSON1112180015")</f>
        <v>#NAME?</v>
      </c>
      <c r="M2400" s="28" t="e">
        <f ca="1">[1]!BexGetData("DP_1","003N8EMH8GTFRIVOG7KG9IQXA","GSON1112180015")</f>
        <v>#NAME?</v>
      </c>
      <c r="N2400" s="28" t="e">
        <f ca="1">[1]!BexGetData("DP_1","003N8EMH8GTFRIVOG7KG9IX8U","GSON1112180015")</f>
        <v>#NAME?</v>
      </c>
      <c r="O2400" s="28" t="e">
        <f ca="1">[1]!BexGetData("DP_1","003N8EMH8GTFRIVOG7KG9J3KE","GSON1112180015")</f>
        <v>#NAME?</v>
      </c>
      <c r="P2400" s="28" t="e">
        <f ca="1">[1]!BexGetData("DP_1","003N8EMH8GTFRIVOG7KG9J9VY","GSON1112180015")</f>
        <v>#NAME?</v>
      </c>
      <c r="Q2400" s="24" t="e">
        <f ca="1">[1]!BexGetData("DP_1","00O2TNJGODT0G5Z4TTKYMM5MT","GSON1112180015")</f>
        <v>#NAME?</v>
      </c>
      <c r="R2400" s="28" t="e">
        <f ca="1">[1]!BexGetData("DP_1","00O2TNJGODT0G5Z4TTKYMMBYD","GSON1112180015")</f>
        <v>#NAME?</v>
      </c>
      <c r="S2400" s="28" t="e">
        <f ca="1">[1]!BexGetData("DP_1","00O2TNJGODT0G5Z4TTKYMMI9X","GSON1112180015")</f>
        <v>#NAME?</v>
      </c>
      <c r="T2400" s="28" t="e">
        <f ca="1">[1]!BexGetData("DP_1","00O2TNJGODT0G5Z4TTKYMMOLH","GSON1112180015")</f>
        <v>#NAME?</v>
      </c>
      <c r="U2400" s="28" t="e">
        <f ca="1">[1]!BexGetData("DP_1","00O2TNJGODT0G5Z4TTKYMMUX1","GSON1112180015")</f>
        <v>#NAME?</v>
      </c>
      <c r="V2400" s="28" t="e">
        <f ca="1">[1]!BexGetData("DP_1","00O2TNJGODT0G5Z4TTKYMN18L","GSON1112180015")</f>
        <v>#NAME?</v>
      </c>
      <c r="W2400" s="28" t="e">
        <f ca="1">[1]!BexGetData("DP_1","00O2TNJGODT0G5Z4TTKYMN7K5","GSON1112180015")</f>
        <v>#NAME?</v>
      </c>
    </row>
    <row r="2401" spans="1:23" x14ac:dyDescent="0.2">
      <c r="A2401" s="36" t="s">
        <v>5751</v>
      </c>
      <c r="B2401" s="27" t="s">
        <v>5752</v>
      </c>
      <c r="C2401" s="28" t="e">
        <f ca="1">[1]!BexGetData("DP_1","003N8EMH8GTFRCSWKMPXRR8GU","GSON1112180020")</f>
        <v>#NAME?</v>
      </c>
      <c r="D2401" s="28" t="e">
        <f ca="1">[1]!BexGetData("DP_1","003N8EMH8GTFRCSWKMPXRRESE","GSON1112180020")</f>
        <v>#NAME?</v>
      </c>
      <c r="E2401" s="28" t="e">
        <f ca="1">[1]!BexGetData("DP_1","003N8EMH8GTFRCSWKMPXRRL3Y","GSON1112180020")</f>
        <v>#NAME?</v>
      </c>
      <c r="F2401" s="28" t="e">
        <f ca="1">[1]!BexGetData("DP_1","003N8EMH8GTFRCSWKMPXRRRFI","GSON1112180020")</f>
        <v>#NAME?</v>
      </c>
      <c r="G2401" s="23" t="e">
        <f ca="1">[1]!BexGetData("DP_1","003N8EMH8GTFRCSWKMPXRRXR2","GSON1112180020")</f>
        <v>#NAME?</v>
      </c>
      <c r="H2401" s="23" t="e">
        <f ca="1">[1]!BexGetData("DP_1","003N8EMH8GTFRCSWKMPXRS42M","GSON1112180020")</f>
        <v>#NAME?</v>
      </c>
      <c r="I2401" s="28" t="e">
        <f ca="1">[1]!BexGetData("DP_1","003N8EMH8GTFRCSWKMPXRSAE6","GSON1112180020")</f>
        <v>#NAME?</v>
      </c>
      <c r="J2401" s="24" t="e">
        <f ca="1">[1]!BexGetData("DP_1","003N8EMH8GTFRCSWKMPXRSGPQ","GSON1112180020")</f>
        <v>#NAME?</v>
      </c>
      <c r="K2401" s="28" t="e">
        <f ca="1">[1]!BexGetData("DP_1","003N8EMH8GTFRIVNUPY288VJH","GSON1112180020")</f>
        <v>#NAME?</v>
      </c>
      <c r="L2401" s="28" t="e">
        <f ca="1">[1]!BexGetData("DP_1","003N8EMH8GTFRIVNUPY2891V1","GSON1112180020")</f>
        <v>#NAME?</v>
      </c>
      <c r="M2401" s="28" t="e">
        <f ca="1">[1]!BexGetData("DP_1","003N8EMH8GTFRIVOG7KG9IQXA","GSON1112180020")</f>
        <v>#NAME?</v>
      </c>
      <c r="N2401" s="28" t="e">
        <f ca="1">[1]!BexGetData("DP_1","003N8EMH8GTFRIVOG7KG9IX8U","GSON1112180020")</f>
        <v>#NAME?</v>
      </c>
      <c r="O2401" s="28" t="e">
        <f ca="1">[1]!BexGetData("DP_1","003N8EMH8GTFRIVOG7KG9J3KE","GSON1112180020")</f>
        <v>#NAME?</v>
      </c>
      <c r="P2401" s="28" t="e">
        <f ca="1">[1]!BexGetData("DP_1","003N8EMH8GTFRIVOG7KG9J9VY","GSON1112180020")</f>
        <v>#NAME?</v>
      </c>
      <c r="Q2401" s="24" t="e">
        <f ca="1">[1]!BexGetData("DP_1","00O2TNJGODT0G5Z4TTKYMM5MT","GSON1112180020")</f>
        <v>#NAME?</v>
      </c>
      <c r="R2401" s="28" t="e">
        <f ca="1">[1]!BexGetData("DP_1","00O2TNJGODT0G5Z4TTKYMMBYD","GSON1112180020")</f>
        <v>#NAME?</v>
      </c>
      <c r="S2401" s="28" t="e">
        <f ca="1">[1]!BexGetData("DP_1","00O2TNJGODT0G5Z4TTKYMMI9X","GSON1112180020")</f>
        <v>#NAME?</v>
      </c>
      <c r="T2401" s="28" t="e">
        <f ca="1">[1]!BexGetData("DP_1","00O2TNJGODT0G5Z4TTKYMMOLH","GSON1112180020")</f>
        <v>#NAME?</v>
      </c>
      <c r="U2401" s="28" t="e">
        <f ca="1">[1]!BexGetData("DP_1","00O2TNJGODT0G5Z4TTKYMMUX1","GSON1112180020")</f>
        <v>#NAME?</v>
      </c>
      <c r="V2401" s="28" t="e">
        <f ca="1">[1]!BexGetData("DP_1","00O2TNJGODT0G5Z4TTKYMN18L","GSON1112180020")</f>
        <v>#NAME?</v>
      </c>
      <c r="W2401" s="28" t="e">
        <f ca="1">[1]!BexGetData("DP_1","00O2TNJGODT0G5Z4TTKYMN7K5","GSON1112180020")</f>
        <v>#NAME?</v>
      </c>
    </row>
    <row r="2402" spans="1:23" x14ac:dyDescent="0.2">
      <c r="A2402" s="36" t="s">
        <v>5753</v>
      </c>
      <c r="B2402" s="27" t="s">
        <v>5754</v>
      </c>
      <c r="C2402" s="28" t="e">
        <f ca="1">[1]!BexGetData("DP_1","003N8EMH8GTFRCSWKMPXRR8GU","GSON1112180021")</f>
        <v>#NAME?</v>
      </c>
      <c r="D2402" s="28" t="e">
        <f ca="1">[1]!BexGetData("DP_1","003N8EMH8GTFRCSWKMPXRRESE","GSON1112180021")</f>
        <v>#NAME?</v>
      </c>
      <c r="E2402" s="28" t="e">
        <f ca="1">[1]!BexGetData("DP_1","003N8EMH8GTFRCSWKMPXRRL3Y","GSON1112180021")</f>
        <v>#NAME?</v>
      </c>
      <c r="F2402" s="28" t="e">
        <f ca="1">[1]!BexGetData("DP_1","003N8EMH8GTFRCSWKMPXRRRFI","GSON1112180021")</f>
        <v>#NAME?</v>
      </c>
      <c r="G2402" s="23" t="e">
        <f ca="1">[1]!BexGetData("DP_1","003N8EMH8GTFRCSWKMPXRRXR2","GSON1112180021")</f>
        <v>#NAME?</v>
      </c>
      <c r="H2402" s="23" t="e">
        <f ca="1">[1]!BexGetData("DP_1","003N8EMH8GTFRCSWKMPXRS42M","GSON1112180021")</f>
        <v>#NAME?</v>
      </c>
      <c r="I2402" s="28" t="e">
        <f ca="1">[1]!BexGetData("DP_1","003N8EMH8GTFRCSWKMPXRSAE6","GSON1112180021")</f>
        <v>#NAME?</v>
      </c>
      <c r="J2402" s="24" t="e">
        <f ca="1">[1]!BexGetData("DP_1","003N8EMH8GTFRCSWKMPXRSGPQ","GSON1112180021")</f>
        <v>#NAME?</v>
      </c>
      <c r="K2402" s="28" t="e">
        <f ca="1">[1]!BexGetData("DP_1","003N8EMH8GTFRIVNUPY288VJH","GSON1112180021")</f>
        <v>#NAME?</v>
      </c>
      <c r="L2402" s="28" t="e">
        <f ca="1">[1]!BexGetData("DP_1","003N8EMH8GTFRIVNUPY2891V1","GSON1112180021")</f>
        <v>#NAME?</v>
      </c>
      <c r="M2402" s="28" t="e">
        <f ca="1">[1]!BexGetData("DP_1","003N8EMH8GTFRIVOG7KG9IQXA","GSON1112180021")</f>
        <v>#NAME?</v>
      </c>
      <c r="N2402" s="28" t="e">
        <f ca="1">[1]!BexGetData("DP_1","003N8EMH8GTFRIVOG7KG9IX8U","GSON1112180021")</f>
        <v>#NAME?</v>
      </c>
      <c r="O2402" s="28" t="e">
        <f ca="1">[1]!BexGetData("DP_1","003N8EMH8GTFRIVOG7KG9J3KE","GSON1112180021")</f>
        <v>#NAME?</v>
      </c>
      <c r="P2402" s="28" t="e">
        <f ca="1">[1]!BexGetData("DP_1","003N8EMH8GTFRIVOG7KG9J9VY","GSON1112180021")</f>
        <v>#NAME?</v>
      </c>
      <c r="Q2402" s="24" t="e">
        <f ca="1">[1]!BexGetData("DP_1","00O2TNJGODT0G5Z4TTKYMM5MT","GSON1112180021")</f>
        <v>#NAME?</v>
      </c>
      <c r="R2402" s="28" t="e">
        <f ca="1">[1]!BexGetData("DP_1","00O2TNJGODT0G5Z4TTKYMMBYD","GSON1112180021")</f>
        <v>#NAME?</v>
      </c>
      <c r="S2402" s="28" t="e">
        <f ca="1">[1]!BexGetData("DP_1","00O2TNJGODT0G5Z4TTKYMMI9X","GSON1112180021")</f>
        <v>#NAME?</v>
      </c>
      <c r="T2402" s="28" t="e">
        <f ca="1">[1]!BexGetData("DP_1","00O2TNJGODT0G5Z4TTKYMMOLH","GSON1112180021")</f>
        <v>#NAME?</v>
      </c>
      <c r="U2402" s="28" t="e">
        <f ca="1">[1]!BexGetData("DP_1","00O2TNJGODT0G5Z4TTKYMMUX1","GSON1112180021")</f>
        <v>#NAME?</v>
      </c>
      <c r="V2402" s="28" t="e">
        <f ca="1">[1]!BexGetData("DP_1","00O2TNJGODT0G5Z4TTKYMN18L","GSON1112180021")</f>
        <v>#NAME?</v>
      </c>
      <c r="W2402" s="28" t="e">
        <f ca="1">[1]!BexGetData("DP_1","00O2TNJGODT0G5Z4TTKYMN7K5","GSON1112180021")</f>
        <v>#NAME?</v>
      </c>
    </row>
    <row r="2403" spans="1:23" x14ac:dyDescent="0.2">
      <c r="A2403" s="36" t="s">
        <v>5755</v>
      </c>
      <c r="B2403" s="27" t="s">
        <v>5756</v>
      </c>
      <c r="C2403" s="28" t="e">
        <f ca="1">[1]!BexGetData("DP_1","003N8EMH8GTFRCSWKMPXRR8GU","GSON1112180023")</f>
        <v>#NAME?</v>
      </c>
      <c r="D2403" s="28" t="e">
        <f ca="1">[1]!BexGetData("DP_1","003N8EMH8GTFRCSWKMPXRRESE","GSON1112180023")</f>
        <v>#NAME?</v>
      </c>
      <c r="E2403" s="28" t="e">
        <f ca="1">[1]!BexGetData("DP_1","003N8EMH8GTFRCSWKMPXRRL3Y","GSON1112180023")</f>
        <v>#NAME?</v>
      </c>
      <c r="F2403" s="28" t="e">
        <f ca="1">[1]!BexGetData("DP_1","003N8EMH8GTFRCSWKMPXRRRFI","GSON1112180023")</f>
        <v>#NAME?</v>
      </c>
      <c r="G2403" s="23" t="e">
        <f ca="1">[1]!BexGetData("DP_1","003N8EMH8GTFRCSWKMPXRRXR2","GSON1112180023")</f>
        <v>#NAME?</v>
      </c>
      <c r="H2403" s="23" t="e">
        <f ca="1">[1]!BexGetData("DP_1","003N8EMH8GTFRCSWKMPXRS42M","GSON1112180023")</f>
        <v>#NAME?</v>
      </c>
      <c r="I2403" s="28" t="e">
        <f ca="1">[1]!BexGetData("DP_1","003N8EMH8GTFRCSWKMPXRSAE6","GSON1112180023")</f>
        <v>#NAME?</v>
      </c>
      <c r="J2403" s="24" t="e">
        <f ca="1">[1]!BexGetData("DP_1","003N8EMH8GTFRCSWKMPXRSGPQ","GSON1112180023")</f>
        <v>#NAME?</v>
      </c>
      <c r="K2403" s="28" t="e">
        <f ca="1">[1]!BexGetData("DP_1","003N8EMH8GTFRIVNUPY288VJH","GSON1112180023")</f>
        <v>#NAME?</v>
      </c>
      <c r="L2403" s="28" t="e">
        <f ca="1">[1]!BexGetData("DP_1","003N8EMH8GTFRIVNUPY2891V1","GSON1112180023")</f>
        <v>#NAME?</v>
      </c>
      <c r="M2403" s="28" t="e">
        <f ca="1">[1]!BexGetData("DP_1","003N8EMH8GTFRIVOG7KG9IQXA","GSON1112180023")</f>
        <v>#NAME?</v>
      </c>
      <c r="N2403" s="28" t="e">
        <f ca="1">[1]!BexGetData("DP_1","003N8EMH8GTFRIVOG7KG9IX8U","GSON1112180023")</f>
        <v>#NAME?</v>
      </c>
      <c r="O2403" s="28" t="e">
        <f ca="1">[1]!BexGetData("DP_1","003N8EMH8GTFRIVOG7KG9J3KE","GSON1112180023")</f>
        <v>#NAME?</v>
      </c>
      <c r="P2403" s="28" t="e">
        <f ca="1">[1]!BexGetData("DP_1","003N8EMH8GTFRIVOG7KG9J9VY","GSON1112180023")</f>
        <v>#NAME?</v>
      </c>
      <c r="Q2403" s="24" t="e">
        <f ca="1">[1]!BexGetData("DP_1","00O2TNJGODT0G5Z4TTKYMM5MT","GSON1112180023")</f>
        <v>#NAME?</v>
      </c>
      <c r="R2403" s="28" t="e">
        <f ca="1">[1]!BexGetData("DP_1","00O2TNJGODT0G5Z4TTKYMMBYD","GSON1112180023")</f>
        <v>#NAME?</v>
      </c>
      <c r="S2403" s="28" t="e">
        <f ca="1">[1]!BexGetData("DP_1","00O2TNJGODT0G5Z4TTKYMMI9X","GSON1112180023")</f>
        <v>#NAME?</v>
      </c>
      <c r="T2403" s="28" t="e">
        <f ca="1">[1]!BexGetData("DP_1","00O2TNJGODT0G5Z4TTKYMMOLH","GSON1112180023")</f>
        <v>#NAME?</v>
      </c>
      <c r="U2403" s="28" t="e">
        <f ca="1">[1]!BexGetData("DP_1","00O2TNJGODT0G5Z4TTKYMMUX1","GSON1112180023")</f>
        <v>#NAME?</v>
      </c>
      <c r="V2403" s="28" t="e">
        <f ca="1">[1]!BexGetData("DP_1","00O2TNJGODT0G5Z4TTKYMN18L","GSON1112180023")</f>
        <v>#NAME?</v>
      </c>
      <c r="W2403" s="28" t="e">
        <f ca="1">[1]!BexGetData("DP_1","00O2TNJGODT0G5Z4TTKYMN7K5","GSON1112180023")</f>
        <v>#NAME?</v>
      </c>
    </row>
    <row r="2404" spans="1:23" x14ac:dyDescent="0.2">
      <c r="A2404" s="36" t="s">
        <v>5757</v>
      </c>
      <c r="B2404" s="27" t="s">
        <v>5758</v>
      </c>
      <c r="C2404" s="24" t="e">
        <f ca="1">[1]!BexGetData("DP_1","003N8EMH8GTFRCSWKMPXRR8GU","GSON1112180024")</f>
        <v>#NAME?</v>
      </c>
      <c r="D2404" s="24" t="e">
        <f ca="1">[1]!BexGetData("DP_1","003N8EMH8GTFRCSWKMPXRRESE","GSON1112180024")</f>
        <v>#NAME?</v>
      </c>
      <c r="E2404" s="24" t="e">
        <f ca="1">[1]!BexGetData("DP_1","003N8EMH8GTFRCSWKMPXRRL3Y","GSON1112180024")</f>
        <v>#NAME?</v>
      </c>
      <c r="F2404" s="28" t="e">
        <f ca="1">[1]!BexGetData("DP_1","003N8EMH8GTFRCSWKMPXRRRFI","GSON1112180024")</f>
        <v>#NAME?</v>
      </c>
      <c r="G2404" s="23" t="e">
        <f ca="1">[1]!BexGetData("DP_1","003N8EMH8GTFRCSWKMPXRRXR2","GSON1112180024")</f>
        <v>#NAME?</v>
      </c>
      <c r="H2404" s="23" t="e">
        <f ca="1">[1]!BexGetData("DP_1","003N8EMH8GTFRCSWKMPXRS42M","GSON1112180024")</f>
        <v>#NAME?</v>
      </c>
      <c r="I2404" s="28" t="e">
        <f ca="1">[1]!BexGetData("DP_1","003N8EMH8GTFRCSWKMPXRSAE6","GSON1112180024")</f>
        <v>#NAME?</v>
      </c>
      <c r="J2404" s="24" t="e">
        <f ca="1">[1]!BexGetData("DP_1","003N8EMH8GTFRCSWKMPXRSGPQ","GSON1112180024")</f>
        <v>#NAME?</v>
      </c>
      <c r="K2404" s="28" t="e">
        <f ca="1">[1]!BexGetData("DP_1","003N8EMH8GTFRIVNUPY288VJH","GSON1112180024")</f>
        <v>#NAME?</v>
      </c>
      <c r="L2404" s="28" t="e">
        <f ca="1">[1]!BexGetData("DP_1","003N8EMH8GTFRIVNUPY2891V1","GSON1112180024")</f>
        <v>#NAME?</v>
      </c>
      <c r="M2404" s="28" t="e">
        <f ca="1">[1]!BexGetData("DP_1","003N8EMH8GTFRIVOG7KG9IQXA","GSON1112180024")</f>
        <v>#NAME?</v>
      </c>
      <c r="N2404" s="28" t="e">
        <f ca="1">[1]!BexGetData("DP_1","003N8EMH8GTFRIVOG7KG9IX8U","GSON1112180024")</f>
        <v>#NAME?</v>
      </c>
      <c r="O2404" s="28" t="e">
        <f ca="1">[1]!BexGetData("DP_1","003N8EMH8GTFRIVOG7KG9J3KE","GSON1112180024")</f>
        <v>#NAME?</v>
      </c>
      <c r="P2404" s="28" t="e">
        <f ca="1">[1]!BexGetData("DP_1","003N8EMH8GTFRIVOG7KG9J9VY","GSON1112180024")</f>
        <v>#NAME?</v>
      </c>
      <c r="Q2404" s="24" t="e">
        <f ca="1">[1]!BexGetData("DP_1","00O2TNJGODT0G5Z4TTKYMM5MT","GSON1112180024")</f>
        <v>#NAME?</v>
      </c>
      <c r="R2404" s="28" t="e">
        <f ca="1">[1]!BexGetData("DP_1","00O2TNJGODT0G5Z4TTKYMMBYD","GSON1112180024")</f>
        <v>#NAME?</v>
      </c>
      <c r="S2404" s="28" t="e">
        <f ca="1">[1]!BexGetData("DP_1","00O2TNJGODT0G5Z4TTKYMMI9X","GSON1112180024")</f>
        <v>#NAME?</v>
      </c>
      <c r="T2404" s="28" t="e">
        <f ca="1">[1]!BexGetData("DP_1","00O2TNJGODT0G5Z4TTKYMMOLH","GSON1112180024")</f>
        <v>#NAME?</v>
      </c>
      <c r="U2404" s="28" t="e">
        <f ca="1">[1]!BexGetData("DP_1","00O2TNJGODT0G5Z4TTKYMMUX1","GSON1112180024")</f>
        <v>#NAME?</v>
      </c>
      <c r="V2404" s="28" t="e">
        <f ca="1">[1]!BexGetData("DP_1","00O2TNJGODT0G5Z4TTKYMN18L","GSON1112180024")</f>
        <v>#NAME?</v>
      </c>
      <c r="W2404" s="28" t="e">
        <f ca="1">[1]!BexGetData("DP_1","00O2TNJGODT0G5Z4TTKYMN7K5","GSON1112180024")</f>
        <v>#NAME?</v>
      </c>
    </row>
    <row r="2405" spans="1:23" x14ac:dyDescent="0.2">
      <c r="A2405" s="36" t="s">
        <v>5759</v>
      </c>
      <c r="B2405" s="27" t="s">
        <v>5760</v>
      </c>
      <c r="C2405" s="28" t="e">
        <f ca="1">[1]!BexGetData("DP_1","003N8EMH8GTFRCSWKMPXRR8GU","GSON1112190010")</f>
        <v>#NAME?</v>
      </c>
      <c r="D2405" s="28" t="e">
        <f ca="1">[1]!BexGetData("DP_1","003N8EMH8GTFRCSWKMPXRRESE","GSON1112190010")</f>
        <v>#NAME?</v>
      </c>
      <c r="E2405" s="28" t="e">
        <f ca="1">[1]!BexGetData("DP_1","003N8EMH8GTFRCSWKMPXRRL3Y","GSON1112190010")</f>
        <v>#NAME?</v>
      </c>
      <c r="F2405" s="28" t="e">
        <f ca="1">[1]!BexGetData("DP_1","003N8EMH8GTFRCSWKMPXRRRFI","GSON1112190010")</f>
        <v>#NAME?</v>
      </c>
      <c r="G2405" s="23" t="e">
        <f ca="1">[1]!BexGetData("DP_1","003N8EMH8GTFRCSWKMPXRRXR2","GSON1112190010")</f>
        <v>#NAME?</v>
      </c>
      <c r="H2405" s="23" t="e">
        <f ca="1">[1]!BexGetData("DP_1","003N8EMH8GTFRCSWKMPXRS42M","GSON1112190010")</f>
        <v>#NAME?</v>
      </c>
      <c r="I2405" s="28" t="e">
        <f ca="1">[1]!BexGetData("DP_1","003N8EMH8GTFRCSWKMPXRSAE6","GSON1112190010")</f>
        <v>#NAME?</v>
      </c>
      <c r="J2405" s="23" t="e">
        <f ca="1">[1]!BexGetData("DP_1","003N8EMH8GTFRCSWKMPXRSGPQ","GSON1112190010")</f>
        <v>#NAME?</v>
      </c>
      <c r="K2405" s="28" t="e">
        <f ca="1">[1]!BexGetData("DP_1","003N8EMH8GTFRIVNUPY288VJH","GSON1112190010")</f>
        <v>#NAME?</v>
      </c>
      <c r="L2405" s="28" t="e">
        <f ca="1">[1]!BexGetData("DP_1","003N8EMH8GTFRIVNUPY2891V1","GSON1112190010")</f>
        <v>#NAME?</v>
      </c>
      <c r="M2405" s="28" t="e">
        <f ca="1">[1]!BexGetData("DP_1","003N8EMH8GTFRIVOG7KG9IQXA","GSON1112190010")</f>
        <v>#NAME?</v>
      </c>
      <c r="N2405" s="28" t="e">
        <f ca="1">[1]!BexGetData("DP_1","003N8EMH8GTFRIVOG7KG9IX8U","GSON1112190010")</f>
        <v>#NAME?</v>
      </c>
      <c r="O2405" s="28" t="e">
        <f ca="1">[1]!BexGetData("DP_1","003N8EMH8GTFRIVOG7KG9J3KE","GSON1112190010")</f>
        <v>#NAME?</v>
      </c>
      <c r="P2405" s="28" t="e">
        <f ca="1">[1]!BexGetData("DP_1","003N8EMH8GTFRIVOG7KG9J9VY","GSON1112190010")</f>
        <v>#NAME?</v>
      </c>
      <c r="Q2405" s="23" t="e">
        <f ca="1">[1]!BexGetData("DP_1","00O2TNJGODT0G5Z4TTKYMM5MT","GSON1112190010")</f>
        <v>#NAME?</v>
      </c>
      <c r="R2405" s="23" t="e">
        <f ca="1">[1]!BexGetData("DP_1","00O2TNJGODT0G5Z4TTKYMMBYD","GSON1112190010")</f>
        <v>#NAME?</v>
      </c>
      <c r="S2405" s="23" t="e">
        <f ca="1">[1]!BexGetData("DP_1","00O2TNJGODT0G5Z4TTKYMMI9X","GSON1112190010")</f>
        <v>#NAME?</v>
      </c>
      <c r="T2405" s="28" t="e">
        <f ca="1">[1]!BexGetData("DP_1","00O2TNJGODT0G5Z4TTKYMMOLH","GSON1112190010")</f>
        <v>#NAME?</v>
      </c>
      <c r="U2405" s="23" t="e">
        <f ca="1">[1]!BexGetData("DP_1","00O2TNJGODT0G5Z4TTKYMMUX1","GSON1112190010")</f>
        <v>#NAME?</v>
      </c>
      <c r="V2405" s="28" t="e">
        <f ca="1">[1]!BexGetData("DP_1","00O2TNJGODT0G5Z4TTKYMN18L","GSON1112190010")</f>
        <v>#NAME?</v>
      </c>
      <c r="W2405" s="23" t="e">
        <f ca="1">[1]!BexGetData("DP_1","00O2TNJGODT0G5Z4TTKYMN7K5","GSON1112190010")</f>
        <v>#NAME?</v>
      </c>
    </row>
    <row r="2406" spans="1:23" x14ac:dyDescent="0.2">
      <c r="A2406" s="36" t="s">
        <v>5761</v>
      </c>
      <c r="B2406" s="27" t="s">
        <v>5762</v>
      </c>
      <c r="C2406" s="28" t="e">
        <f ca="1">[1]!BexGetData("DP_1","003N8EMH8GTFRCSWKMPXRR8GU","GSON1112551250")</f>
        <v>#NAME?</v>
      </c>
      <c r="D2406" s="23" t="e">
        <f ca="1">[1]!BexGetData("DP_1","003N8EMH8GTFRCSWKMPXRRESE","GSON1112551250")</f>
        <v>#NAME?</v>
      </c>
      <c r="E2406" s="28" t="e">
        <f ca="1">[1]!BexGetData("DP_1","003N8EMH8GTFRCSWKMPXRRL3Y","GSON1112551250")</f>
        <v>#NAME?</v>
      </c>
      <c r="F2406" s="23" t="e">
        <f ca="1">[1]!BexGetData("DP_1","003N8EMH8GTFRCSWKMPXRRRFI","GSON1112551250")</f>
        <v>#NAME?</v>
      </c>
      <c r="G2406" s="23" t="e">
        <f ca="1">[1]!BexGetData("DP_1","003N8EMH8GTFRCSWKMPXRRXR2","GSON1112551250")</f>
        <v>#NAME?</v>
      </c>
      <c r="H2406" s="23" t="e">
        <f ca="1">[1]!BexGetData("DP_1","003N8EMH8GTFRCSWKMPXRS42M","GSON1112551250")</f>
        <v>#NAME?</v>
      </c>
      <c r="I2406" s="23" t="e">
        <f ca="1">[1]!BexGetData("DP_1","003N8EMH8GTFRCSWKMPXRSAE6","GSON1112551250")</f>
        <v>#NAME?</v>
      </c>
      <c r="J2406" s="24" t="e">
        <f ca="1">[1]!BexGetData("DP_1","003N8EMH8GTFRCSWKMPXRSGPQ","GSON1112551250")</f>
        <v>#NAME?</v>
      </c>
      <c r="K2406" s="23" t="e">
        <f ca="1">[1]!BexGetData("DP_1","003N8EMH8GTFRIVNUPY288VJH","GSON1112551250")</f>
        <v>#NAME?</v>
      </c>
      <c r="L2406" s="23" t="e">
        <f ca="1">[1]!BexGetData("DP_1","003N8EMH8GTFRIVNUPY2891V1","GSON1112551250")</f>
        <v>#NAME?</v>
      </c>
      <c r="M2406" s="23" t="e">
        <f ca="1">[1]!BexGetData("DP_1","003N8EMH8GTFRIVOG7KG9IQXA","GSON1112551250")</f>
        <v>#NAME?</v>
      </c>
      <c r="N2406" s="28" t="e">
        <f ca="1">[1]!BexGetData("DP_1","003N8EMH8GTFRIVOG7KG9IX8U","GSON1112551250")</f>
        <v>#NAME?</v>
      </c>
      <c r="O2406" s="23" t="e">
        <f ca="1">[1]!BexGetData("DP_1","003N8EMH8GTFRIVOG7KG9J3KE","GSON1112551250")</f>
        <v>#NAME?</v>
      </c>
      <c r="P2406" s="28" t="e">
        <f ca="1">[1]!BexGetData("DP_1","003N8EMH8GTFRIVOG7KG9J9VY","GSON1112551250")</f>
        <v>#NAME?</v>
      </c>
      <c r="Q2406" s="24" t="e">
        <f ca="1">[1]!BexGetData("DP_1","00O2TNJGODT0G5Z4TTKYMM5MT","GSON1112551250")</f>
        <v>#NAME?</v>
      </c>
      <c r="R2406" s="23" t="e">
        <f ca="1">[1]!BexGetData("DP_1","00O2TNJGODT0G5Z4TTKYMMBYD","GSON1112551250")</f>
        <v>#NAME?</v>
      </c>
      <c r="S2406" s="23" t="e">
        <f ca="1">[1]!BexGetData("DP_1","00O2TNJGODT0G5Z4TTKYMMI9X","GSON1112551250")</f>
        <v>#NAME?</v>
      </c>
      <c r="T2406" s="28" t="e">
        <f ca="1">[1]!BexGetData("DP_1","00O2TNJGODT0G5Z4TTKYMMOLH","GSON1112551250")</f>
        <v>#NAME?</v>
      </c>
      <c r="U2406" s="23" t="e">
        <f ca="1">[1]!BexGetData("DP_1","00O2TNJGODT0G5Z4TTKYMMUX1","GSON1112551250")</f>
        <v>#NAME?</v>
      </c>
      <c r="V2406" s="28" t="e">
        <f ca="1">[1]!BexGetData("DP_1","00O2TNJGODT0G5Z4TTKYMN18L","GSON1112551250")</f>
        <v>#NAME?</v>
      </c>
      <c r="W2406" s="23" t="e">
        <f ca="1">[1]!BexGetData("DP_1","00O2TNJGODT0G5Z4TTKYMN7K5","GSON1112551250")</f>
        <v>#NAME?</v>
      </c>
    </row>
    <row r="2407" spans="1:23" x14ac:dyDescent="0.2">
      <c r="A2407" s="36" t="s">
        <v>5763</v>
      </c>
      <c r="B2407" s="27" t="s">
        <v>5764</v>
      </c>
      <c r="C2407" s="28" t="e">
        <f ca="1">[1]!BexGetData("DP_1","003N8EMH8GTFRCSWKMPXRR8GU","GSON1112551251")</f>
        <v>#NAME?</v>
      </c>
      <c r="D2407" s="28" t="e">
        <f ca="1">[1]!BexGetData("DP_1","003N8EMH8GTFRCSWKMPXRRESE","GSON1112551251")</f>
        <v>#NAME?</v>
      </c>
      <c r="E2407" s="28" t="e">
        <f ca="1">[1]!BexGetData("DP_1","003N8EMH8GTFRCSWKMPXRRL3Y","GSON1112551251")</f>
        <v>#NAME?</v>
      </c>
      <c r="F2407" s="28" t="e">
        <f ca="1">[1]!BexGetData("DP_1","003N8EMH8GTFRCSWKMPXRRRFI","GSON1112551251")</f>
        <v>#NAME?</v>
      </c>
      <c r="G2407" s="23" t="e">
        <f ca="1">[1]!BexGetData("DP_1","003N8EMH8GTFRCSWKMPXRRXR2","GSON1112551251")</f>
        <v>#NAME?</v>
      </c>
      <c r="H2407" s="23" t="e">
        <f ca="1">[1]!BexGetData("DP_1","003N8EMH8GTFRCSWKMPXRS42M","GSON1112551251")</f>
        <v>#NAME?</v>
      </c>
      <c r="I2407" s="28" t="e">
        <f ca="1">[1]!BexGetData("DP_1","003N8EMH8GTFRCSWKMPXRSAE6","GSON1112551251")</f>
        <v>#NAME?</v>
      </c>
      <c r="J2407" s="24" t="e">
        <f ca="1">[1]!BexGetData("DP_1","003N8EMH8GTFRCSWKMPXRSGPQ","GSON1112551251")</f>
        <v>#NAME?</v>
      </c>
      <c r="K2407" s="28" t="e">
        <f ca="1">[1]!BexGetData("DP_1","003N8EMH8GTFRIVNUPY288VJH","GSON1112551251")</f>
        <v>#NAME?</v>
      </c>
      <c r="L2407" s="28" t="e">
        <f ca="1">[1]!BexGetData("DP_1","003N8EMH8GTFRIVNUPY2891V1","GSON1112551251")</f>
        <v>#NAME?</v>
      </c>
      <c r="M2407" s="28" t="e">
        <f ca="1">[1]!BexGetData("DP_1","003N8EMH8GTFRIVOG7KG9IQXA","GSON1112551251")</f>
        <v>#NAME?</v>
      </c>
      <c r="N2407" s="28" t="e">
        <f ca="1">[1]!BexGetData("DP_1","003N8EMH8GTFRIVOG7KG9IX8U","GSON1112551251")</f>
        <v>#NAME?</v>
      </c>
      <c r="O2407" s="28" t="e">
        <f ca="1">[1]!BexGetData("DP_1","003N8EMH8GTFRIVOG7KG9J3KE","GSON1112551251")</f>
        <v>#NAME?</v>
      </c>
      <c r="P2407" s="28" t="e">
        <f ca="1">[1]!BexGetData("DP_1","003N8EMH8GTFRIVOG7KG9J9VY","GSON1112551251")</f>
        <v>#NAME?</v>
      </c>
      <c r="Q2407" s="24" t="e">
        <f ca="1">[1]!BexGetData("DP_1","00O2TNJGODT0G5Z4TTKYMM5MT","GSON1112551251")</f>
        <v>#NAME?</v>
      </c>
      <c r="R2407" s="28" t="e">
        <f ca="1">[1]!BexGetData("DP_1","00O2TNJGODT0G5Z4TTKYMMBYD","GSON1112551251")</f>
        <v>#NAME?</v>
      </c>
      <c r="S2407" s="28" t="e">
        <f ca="1">[1]!BexGetData("DP_1","00O2TNJGODT0G5Z4TTKYMMI9X","GSON1112551251")</f>
        <v>#NAME?</v>
      </c>
      <c r="T2407" s="28" t="e">
        <f ca="1">[1]!BexGetData("DP_1","00O2TNJGODT0G5Z4TTKYMMOLH","GSON1112551251")</f>
        <v>#NAME?</v>
      </c>
      <c r="U2407" s="28" t="e">
        <f ca="1">[1]!BexGetData("DP_1","00O2TNJGODT0G5Z4TTKYMMUX1","GSON1112551251")</f>
        <v>#NAME?</v>
      </c>
      <c r="V2407" s="28" t="e">
        <f ca="1">[1]!BexGetData("DP_1","00O2TNJGODT0G5Z4TTKYMN18L","GSON1112551251")</f>
        <v>#NAME?</v>
      </c>
      <c r="W2407" s="28" t="e">
        <f ca="1">[1]!BexGetData("DP_1","00O2TNJGODT0G5Z4TTKYMN7K5","GSON1112551251")</f>
        <v>#NAME?</v>
      </c>
    </row>
    <row r="2408" spans="1:23" x14ac:dyDescent="0.2">
      <c r="A2408" s="36" t="s">
        <v>5765</v>
      </c>
      <c r="B2408" s="27" t="s">
        <v>5766</v>
      </c>
      <c r="C2408" s="28" t="e">
        <f ca="1">[1]!BexGetData("DP_1","003N8EMH8GTFRCSWKMPXRR8GU","GSON1112551252")</f>
        <v>#NAME?</v>
      </c>
      <c r="D2408" s="28" t="e">
        <f ca="1">[1]!BexGetData("DP_1","003N8EMH8GTFRCSWKMPXRRESE","GSON1112551252")</f>
        <v>#NAME?</v>
      </c>
      <c r="E2408" s="28" t="e">
        <f ca="1">[1]!BexGetData("DP_1","003N8EMH8GTFRCSWKMPXRRL3Y","GSON1112551252")</f>
        <v>#NAME?</v>
      </c>
      <c r="F2408" s="28" t="e">
        <f ca="1">[1]!BexGetData("DP_1","003N8EMH8GTFRCSWKMPXRRRFI","GSON1112551252")</f>
        <v>#NAME?</v>
      </c>
      <c r="G2408" s="23" t="e">
        <f ca="1">[1]!BexGetData("DP_1","003N8EMH8GTFRCSWKMPXRRXR2","GSON1112551252")</f>
        <v>#NAME?</v>
      </c>
      <c r="H2408" s="23" t="e">
        <f ca="1">[1]!BexGetData("DP_1","003N8EMH8GTFRCSWKMPXRS42M","GSON1112551252")</f>
        <v>#NAME?</v>
      </c>
      <c r="I2408" s="28" t="e">
        <f ca="1">[1]!BexGetData("DP_1","003N8EMH8GTFRCSWKMPXRSAE6","GSON1112551252")</f>
        <v>#NAME?</v>
      </c>
      <c r="J2408" s="24" t="e">
        <f ca="1">[1]!BexGetData("DP_1","003N8EMH8GTFRCSWKMPXRSGPQ","GSON1112551252")</f>
        <v>#NAME?</v>
      </c>
      <c r="K2408" s="28" t="e">
        <f ca="1">[1]!BexGetData("DP_1","003N8EMH8GTFRIVNUPY288VJH","GSON1112551252")</f>
        <v>#NAME?</v>
      </c>
      <c r="L2408" s="28" t="e">
        <f ca="1">[1]!BexGetData("DP_1","003N8EMH8GTFRIVNUPY2891V1","GSON1112551252")</f>
        <v>#NAME?</v>
      </c>
      <c r="M2408" s="28" t="e">
        <f ca="1">[1]!BexGetData("DP_1","003N8EMH8GTFRIVOG7KG9IQXA","GSON1112551252")</f>
        <v>#NAME?</v>
      </c>
      <c r="N2408" s="28" t="e">
        <f ca="1">[1]!BexGetData("DP_1","003N8EMH8GTFRIVOG7KG9IX8U","GSON1112551252")</f>
        <v>#NAME?</v>
      </c>
      <c r="O2408" s="28" t="e">
        <f ca="1">[1]!BexGetData("DP_1","003N8EMH8GTFRIVOG7KG9J3KE","GSON1112551252")</f>
        <v>#NAME?</v>
      </c>
      <c r="P2408" s="28" t="e">
        <f ca="1">[1]!BexGetData("DP_1","003N8EMH8GTFRIVOG7KG9J9VY","GSON1112551252")</f>
        <v>#NAME?</v>
      </c>
      <c r="Q2408" s="24" t="e">
        <f ca="1">[1]!BexGetData("DP_1","00O2TNJGODT0G5Z4TTKYMM5MT","GSON1112551252")</f>
        <v>#NAME?</v>
      </c>
      <c r="R2408" s="28" t="e">
        <f ca="1">[1]!BexGetData("DP_1","00O2TNJGODT0G5Z4TTKYMMBYD","GSON1112551252")</f>
        <v>#NAME?</v>
      </c>
      <c r="S2408" s="28" t="e">
        <f ca="1">[1]!BexGetData("DP_1","00O2TNJGODT0G5Z4TTKYMMI9X","GSON1112551252")</f>
        <v>#NAME?</v>
      </c>
      <c r="T2408" s="28" t="e">
        <f ca="1">[1]!BexGetData("DP_1","00O2TNJGODT0G5Z4TTKYMMOLH","GSON1112551252")</f>
        <v>#NAME?</v>
      </c>
      <c r="U2408" s="28" t="e">
        <f ca="1">[1]!BexGetData("DP_1","00O2TNJGODT0G5Z4TTKYMMUX1","GSON1112551252")</f>
        <v>#NAME?</v>
      </c>
      <c r="V2408" s="28" t="e">
        <f ca="1">[1]!BexGetData("DP_1","00O2TNJGODT0G5Z4TTKYMN18L","GSON1112551252")</f>
        <v>#NAME?</v>
      </c>
      <c r="W2408" s="28" t="e">
        <f ca="1">[1]!BexGetData("DP_1","00O2TNJGODT0G5Z4TTKYMN7K5","GSON1112551252")</f>
        <v>#NAME?</v>
      </c>
    </row>
    <row r="2409" spans="1:23" x14ac:dyDescent="0.2">
      <c r="A2409" s="36" t="s">
        <v>5767</v>
      </c>
      <c r="B2409" s="27" t="s">
        <v>5768</v>
      </c>
      <c r="C2409" s="23" t="e">
        <f ca="1">[1]!BexGetData("DP_1","003N8EMH8GTFRCSWKMPXRR8GU","GSON1112551253")</f>
        <v>#NAME?</v>
      </c>
      <c r="D2409" s="23" t="e">
        <f ca="1">[1]!BexGetData("DP_1","003N8EMH8GTFRCSWKMPXRRESE","GSON1112551253")</f>
        <v>#NAME?</v>
      </c>
      <c r="E2409" s="28" t="e">
        <f ca="1">[1]!BexGetData("DP_1","003N8EMH8GTFRCSWKMPXRRL3Y","GSON1112551253")</f>
        <v>#NAME?</v>
      </c>
      <c r="F2409" s="28" t="e">
        <f ca="1">[1]!BexGetData("DP_1","003N8EMH8GTFRCSWKMPXRRRFI","GSON1112551253")</f>
        <v>#NAME?</v>
      </c>
      <c r="G2409" s="23" t="e">
        <f ca="1">[1]!BexGetData("DP_1","003N8EMH8GTFRCSWKMPXRRXR2","GSON1112551253")</f>
        <v>#NAME?</v>
      </c>
      <c r="H2409" s="23" t="e">
        <f ca="1">[1]!BexGetData("DP_1","003N8EMH8GTFRCSWKMPXRS42M","GSON1112551253")</f>
        <v>#NAME?</v>
      </c>
      <c r="I2409" s="28" t="e">
        <f ca="1">[1]!BexGetData("DP_1","003N8EMH8GTFRCSWKMPXRSAE6","GSON1112551253")</f>
        <v>#NAME?</v>
      </c>
      <c r="J2409" s="24" t="e">
        <f ca="1">[1]!BexGetData("DP_1","003N8EMH8GTFRCSWKMPXRSGPQ","GSON1112551253")</f>
        <v>#NAME?</v>
      </c>
      <c r="K2409" s="28" t="e">
        <f ca="1">[1]!BexGetData("DP_1","003N8EMH8GTFRIVNUPY288VJH","GSON1112551253")</f>
        <v>#NAME?</v>
      </c>
      <c r="L2409" s="28" t="e">
        <f ca="1">[1]!BexGetData("DP_1","003N8EMH8GTFRIVNUPY2891V1","GSON1112551253")</f>
        <v>#NAME?</v>
      </c>
      <c r="M2409" s="28" t="e">
        <f ca="1">[1]!BexGetData("DP_1","003N8EMH8GTFRIVOG7KG9IQXA","GSON1112551253")</f>
        <v>#NAME?</v>
      </c>
      <c r="N2409" s="28" t="e">
        <f ca="1">[1]!BexGetData("DP_1","003N8EMH8GTFRIVOG7KG9IX8U","GSON1112551253")</f>
        <v>#NAME?</v>
      </c>
      <c r="O2409" s="28" t="e">
        <f ca="1">[1]!BexGetData("DP_1","003N8EMH8GTFRIVOG7KG9J3KE","GSON1112551253")</f>
        <v>#NAME?</v>
      </c>
      <c r="P2409" s="28" t="e">
        <f ca="1">[1]!BexGetData("DP_1","003N8EMH8GTFRIVOG7KG9J9VY","GSON1112551253")</f>
        <v>#NAME?</v>
      </c>
      <c r="Q2409" s="24" t="e">
        <f ca="1">[1]!BexGetData("DP_1","00O2TNJGODT0G5Z4TTKYMM5MT","GSON1112551253")</f>
        <v>#NAME?</v>
      </c>
      <c r="R2409" s="28" t="e">
        <f ca="1">[1]!BexGetData("DP_1","00O2TNJGODT0G5Z4TTKYMMBYD","GSON1112551253")</f>
        <v>#NAME?</v>
      </c>
      <c r="S2409" s="28" t="e">
        <f ca="1">[1]!BexGetData("DP_1","00O2TNJGODT0G5Z4TTKYMMI9X","GSON1112551253")</f>
        <v>#NAME?</v>
      </c>
      <c r="T2409" s="28" t="e">
        <f ca="1">[1]!BexGetData("DP_1","00O2TNJGODT0G5Z4TTKYMMOLH","GSON1112551253")</f>
        <v>#NAME?</v>
      </c>
      <c r="U2409" s="28" t="e">
        <f ca="1">[1]!BexGetData("DP_1","00O2TNJGODT0G5Z4TTKYMMUX1","GSON1112551253")</f>
        <v>#NAME?</v>
      </c>
      <c r="V2409" s="28" t="e">
        <f ca="1">[1]!BexGetData("DP_1","00O2TNJGODT0G5Z4TTKYMN18L","GSON1112551253")</f>
        <v>#NAME?</v>
      </c>
      <c r="W2409" s="28" t="e">
        <f ca="1">[1]!BexGetData("DP_1","00O2TNJGODT0G5Z4TTKYMN7K5","GSON1112551253")</f>
        <v>#NAME?</v>
      </c>
    </row>
    <row r="2410" spans="1:23" x14ac:dyDescent="0.2">
      <c r="A2410" s="36" t="s">
        <v>5769</v>
      </c>
      <c r="B2410" s="27" t="s">
        <v>5770</v>
      </c>
      <c r="C2410" s="28" t="e">
        <f ca="1">[1]!BexGetData("DP_1","003N8EMH8GTFRCSWKMPXRR8GU","GSON1112551255")</f>
        <v>#NAME?</v>
      </c>
      <c r="D2410" s="28" t="e">
        <f ca="1">[1]!BexGetData("DP_1","003N8EMH8GTFRCSWKMPXRRESE","GSON1112551255")</f>
        <v>#NAME?</v>
      </c>
      <c r="E2410" s="28" t="e">
        <f ca="1">[1]!BexGetData("DP_1","003N8EMH8GTFRCSWKMPXRRL3Y","GSON1112551255")</f>
        <v>#NAME?</v>
      </c>
      <c r="F2410" s="28" t="e">
        <f ca="1">[1]!BexGetData("DP_1","003N8EMH8GTFRCSWKMPXRRRFI","GSON1112551255")</f>
        <v>#NAME?</v>
      </c>
      <c r="G2410" s="23" t="e">
        <f ca="1">[1]!BexGetData("DP_1","003N8EMH8GTFRCSWKMPXRRXR2","GSON1112551255")</f>
        <v>#NAME?</v>
      </c>
      <c r="H2410" s="23" t="e">
        <f ca="1">[1]!BexGetData("DP_1","003N8EMH8GTFRCSWKMPXRS42M","GSON1112551255")</f>
        <v>#NAME?</v>
      </c>
      <c r="I2410" s="28" t="e">
        <f ca="1">[1]!BexGetData("DP_1","003N8EMH8GTFRCSWKMPXRSAE6","GSON1112551255")</f>
        <v>#NAME?</v>
      </c>
      <c r="J2410" s="24" t="e">
        <f ca="1">[1]!BexGetData("DP_1","003N8EMH8GTFRCSWKMPXRSGPQ","GSON1112551255")</f>
        <v>#NAME?</v>
      </c>
      <c r="K2410" s="28" t="e">
        <f ca="1">[1]!BexGetData("DP_1","003N8EMH8GTFRIVNUPY288VJH","GSON1112551255")</f>
        <v>#NAME?</v>
      </c>
      <c r="L2410" s="28" t="e">
        <f ca="1">[1]!BexGetData("DP_1","003N8EMH8GTFRIVNUPY2891V1","GSON1112551255")</f>
        <v>#NAME?</v>
      </c>
      <c r="M2410" s="28" t="e">
        <f ca="1">[1]!BexGetData("DP_1","003N8EMH8GTFRIVOG7KG9IQXA","GSON1112551255")</f>
        <v>#NAME?</v>
      </c>
      <c r="N2410" s="28" t="e">
        <f ca="1">[1]!BexGetData("DP_1","003N8EMH8GTFRIVOG7KG9IX8U","GSON1112551255")</f>
        <v>#NAME?</v>
      </c>
      <c r="O2410" s="28" t="e">
        <f ca="1">[1]!BexGetData("DP_1","003N8EMH8GTFRIVOG7KG9J3KE","GSON1112551255")</f>
        <v>#NAME?</v>
      </c>
      <c r="P2410" s="28" t="e">
        <f ca="1">[1]!BexGetData("DP_1","003N8EMH8GTFRIVOG7KG9J9VY","GSON1112551255")</f>
        <v>#NAME?</v>
      </c>
      <c r="Q2410" s="24" t="e">
        <f ca="1">[1]!BexGetData("DP_1","00O2TNJGODT0G5Z4TTKYMM5MT","GSON1112551255")</f>
        <v>#NAME?</v>
      </c>
      <c r="R2410" s="28" t="e">
        <f ca="1">[1]!BexGetData("DP_1","00O2TNJGODT0G5Z4TTKYMMBYD","GSON1112551255")</f>
        <v>#NAME?</v>
      </c>
      <c r="S2410" s="28" t="e">
        <f ca="1">[1]!BexGetData("DP_1","00O2TNJGODT0G5Z4TTKYMMI9X","GSON1112551255")</f>
        <v>#NAME?</v>
      </c>
      <c r="T2410" s="28" t="e">
        <f ca="1">[1]!BexGetData("DP_1","00O2TNJGODT0G5Z4TTKYMMOLH","GSON1112551255")</f>
        <v>#NAME?</v>
      </c>
      <c r="U2410" s="28" t="e">
        <f ca="1">[1]!BexGetData("DP_1","00O2TNJGODT0G5Z4TTKYMMUX1","GSON1112551255")</f>
        <v>#NAME?</v>
      </c>
      <c r="V2410" s="28" t="e">
        <f ca="1">[1]!BexGetData("DP_1","00O2TNJGODT0G5Z4TTKYMN18L","GSON1112551255")</f>
        <v>#NAME?</v>
      </c>
      <c r="W2410" s="28" t="e">
        <f ca="1">[1]!BexGetData("DP_1","00O2TNJGODT0G5Z4TTKYMN7K5","GSON1112551255")</f>
        <v>#NAME?</v>
      </c>
    </row>
    <row r="2411" spans="1:23" x14ac:dyDescent="0.2">
      <c r="A2411" s="36" t="s">
        <v>1201</v>
      </c>
      <c r="B2411" s="27" t="s">
        <v>436</v>
      </c>
      <c r="C2411" s="23" t="e">
        <f ca="1">[1]!BexGetData("DP_1","003N8EMH8GTFRCSWKMPXRR8GU","GSON1112990012")</f>
        <v>#NAME?</v>
      </c>
      <c r="D2411" s="23" t="e">
        <f ca="1">[1]!BexGetData("DP_1","003N8EMH8GTFRCSWKMPXRRESE","GSON1112990012")</f>
        <v>#NAME?</v>
      </c>
      <c r="E2411" s="23" t="e">
        <f ca="1">[1]!BexGetData("DP_1","003N8EMH8GTFRCSWKMPXRRL3Y","GSON1112990012")</f>
        <v>#NAME?</v>
      </c>
      <c r="F2411" s="23" t="e">
        <f ca="1">[1]!BexGetData("DP_1","003N8EMH8GTFRCSWKMPXRRRFI","GSON1112990012")</f>
        <v>#NAME?</v>
      </c>
      <c r="G2411" s="23" t="e">
        <f ca="1">[1]!BexGetData("DP_1","003N8EMH8GTFRCSWKMPXRRXR2","GSON1112990012")</f>
        <v>#NAME?</v>
      </c>
      <c r="H2411" s="23" t="e">
        <f ca="1">[1]!BexGetData("DP_1","003N8EMH8GTFRCSWKMPXRS42M","GSON1112990012")</f>
        <v>#NAME?</v>
      </c>
      <c r="I2411" s="23" t="e">
        <f ca="1">[1]!BexGetData("DP_1","003N8EMH8GTFRCSWKMPXRSAE6","GSON1112990012")</f>
        <v>#NAME?</v>
      </c>
      <c r="J2411" s="24" t="e">
        <f ca="1">[1]!BexGetData("DP_1","003N8EMH8GTFRCSWKMPXRSGPQ","GSON1112990012")</f>
        <v>#NAME?</v>
      </c>
      <c r="K2411" s="28" t="e">
        <f ca="1">[1]!BexGetData("DP_1","003N8EMH8GTFRIVNUPY288VJH","GSON1112990012")</f>
        <v>#NAME?</v>
      </c>
      <c r="L2411" s="28" t="e">
        <f ca="1">[1]!BexGetData("DP_1","003N8EMH8GTFRIVNUPY2891V1","GSON1112990012")</f>
        <v>#NAME?</v>
      </c>
      <c r="M2411" s="28" t="e">
        <f ca="1">[1]!BexGetData("DP_1","003N8EMH8GTFRIVOG7KG9IQXA","GSON1112990012")</f>
        <v>#NAME?</v>
      </c>
      <c r="N2411" s="28" t="e">
        <f ca="1">[1]!BexGetData("DP_1","003N8EMH8GTFRIVOG7KG9IX8U","GSON1112990012")</f>
        <v>#NAME?</v>
      </c>
      <c r="O2411" s="28" t="e">
        <f ca="1">[1]!BexGetData("DP_1","003N8EMH8GTFRIVOG7KG9J3KE","GSON1112990012")</f>
        <v>#NAME?</v>
      </c>
      <c r="P2411" s="28" t="e">
        <f ca="1">[1]!BexGetData("DP_1","003N8EMH8GTFRIVOG7KG9J9VY","GSON1112990012")</f>
        <v>#NAME?</v>
      </c>
      <c r="Q2411" s="24" t="e">
        <f ca="1">[1]!BexGetData("DP_1","00O2TNJGODT0G5Z4TTKYMM5MT","GSON1112990012")</f>
        <v>#NAME?</v>
      </c>
      <c r="R2411" s="23" t="e">
        <f ca="1">[1]!BexGetData("DP_1","00O2TNJGODT0G5Z4TTKYMMBYD","GSON1112990012")</f>
        <v>#NAME?</v>
      </c>
      <c r="S2411" s="23" t="e">
        <f ca="1">[1]!BexGetData("DP_1","00O2TNJGODT0G5Z4TTKYMMI9X","GSON1112990012")</f>
        <v>#NAME?</v>
      </c>
      <c r="T2411" s="23" t="e">
        <f ca="1">[1]!BexGetData("DP_1","00O2TNJGODT0G5Z4TTKYMMOLH","GSON1112990012")</f>
        <v>#NAME?</v>
      </c>
      <c r="U2411" s="28" t="e">
        <f ca="1">[1]!BexGetData("DP_1","00O2TNJGODT0G5Z4TTKYMMUX1","GSON1112990012")</f>
        <v>#NAME?</v>
      </c>
      <c r="V2411" s="23" t="e">
        <f ca="1">[1]!BexGetData("DP_1","00O2TNJGODT0G5Z4TTKYMN18L","GSON1112990012")</f>
        <v>#NAME?</v>
      </c>
      <c r="W2411" s="28" t="e">
        <f ca="1">[1]!BexGetData("DP_1","00O2TNJGODT0G5Z4TTKYMN7K5","GSON1112990012")</f>
        <v>#NAME?</v>
      </c>
    </row>
    <row r="2412" spans="1:23" x14ac:dyDescent="0.2">
      <c r="A2412" s="36" t="s">
        <v>5771</v>
      </c>
      <c r="B2412" s="27" t="s">
        <v>5772</v>
      </c>
      <c r="C2412" s="23" t="e">
        <f ca="1">[1]!BexGetData("DP_1","003N8EMH8GTFRCSWKMPXRR8GU","GSON1112990013")</f>
        <v>#NAME?</v>
      </c>
      <c r="D2412" s="23" t="e">
        <f ca="1">[1]!BexGetData("DP_1","003N8EMH8GTFRCSWKMPXRRESE","GSON1112990013")</f>
        <v>#NAME?</v>
      </c>
      <c r="E2412" s="28" t="e">
        <f ca="1">[1]!BexGetData("DP_1","003N8EMH8GTFRCSWKMPXRRL3Y","GSON1112990013")</f>
        <v>#NAME?</v>
      </c>
      <c r="F2412" s="24" t="e">
        <f ca="1">[1]!BexGetData("DP_1","003N8EMH8GTFRCSWKMPXRRRFI","GSON1112990013")</f>
        <v>#NAME?</v>
      </c>
      <c r="G2412" s="24" t="e">
        <f ca="1">[1]!BexGetData("DP_1","003N8EMH8GTFRCSWKMPXRRXR2","GSON1112990013")</f>
        <v>#NAME?</v>
      </c>
      <c r="H2412" s="24" t="e">
        <f ca="1">[1]!BexGetData("DP_1","003N8EMH8GTFRCSWKMPXRS42M","GSON1112990013")</f>
        <v>#NAME?</v>
      </c>
      <c r="I2412" s="24" t="e">
        <f ca="1">[1]!BexGetData("DP_1","003N8EMH8GTFRCSWKMPXRSAE6","GSON1112990013")</f>
        <v>#NAME?</v>
      </c>
      <c r="J2412" s="24" t="e">
        <f ca="1">[1]!BexGetData("DP_1","003N8EMH8GTFRCSWKMPXRSGPQ","GSON1112990013")</f>
        <v>#NAME?</v>
      </c>
      <c r="K2412" s="28" t="e">
        <f ca="1">[1]!BexGetData("DP_1","003N8EMH8GTFRIVNUPY288VJH","GSON1112990013")</f>
        <v>#NAME?</v>
      </c>
      <c r="L2412" s="28" t="e">
        <f ca="1">[1]!BexGetData("DP_1","003N8EMH8GTFRIVNUPY2891V1","GSON1112990013")</f>
        <v>#NAME?</v>
      </c>
      <c r="M2412" s="28" t="e">
        <f ca="1">[1]!BexGetData("DP_1","003N8EMH8GTFRIVOG7KG9IQXA","GSON1112990013")</f>
        <v>#NAME?</v>
      </c>
      <c r="N2412" s="28" t="e">
        <f ca="1">[1]!BexGetData("DP_1","003N8EMH8GTFRIVOG7KG9IX8U","GSON1112990013")</f>
        <v>#NAME?</v>
      </c>
      <c r="O2412" s="28" t="e">
        <f ca="1">[1]!BexGetData("DP_1","003N8EMH8GTFRIVOG7KG9J3KE","GSON1112990013")</f>
        <v>#NAME?</v>
      </c>
      <c r="P2412" s="28" t="e">
        <f ca="1">[1]!BexGetData("DP_1","003N8EMH8GTFRIVOG7KG9J9VY","GSON1112990013")</f>
        <v>#NAME?</v>
      </c>
      <c r="Q2412" s="24" t="e">
        <f ca="1">[1]!BexGetData("DP_1","00O2TNJGODT0G5Z4TTKYMM5MT","GSON1112990013")</f>
        <v>#NAME?</v>
      </c>
      <c r="R2412" s="24" t="e">
        <f ca="1">[1]!BexGetData("DP_1","00O2TNJGODT0G5Z4TTKYMMBYD","GSON1112990013")</f>
        <v>#NAME?</v>
      </c>
      <c r="S2412" s="24" t="e">
        <f ca="1">[1]!BexGetData("DP_1","00O2TNJGODT0G5Z4TTKYMMI9X","GSON1112990013")</f>
        <v>#NAME?</v>
      </c>
      <c r="T2412" s="24" t="e">
        <f ca="1">[1]!BexGetData("DP_1","00O2TNJGODT0G5Z4TTKYMMOLH","GSON1112990013")</f>
        <v>#NAME?</v>
      </c>
      <c r="U2412" s="24" t="e">
        <f ca="1">[1]!BexGetData("DP_1","00O2TNJGODT0G5Z4TTKYMMUX1","GSON1112990013")</f>
        <v>#NAME?</v>
      </c>
      <c r="V2412" s="24" t="e">
        <f ca="1">[1]!BexGetData("DP_1","00O2TNJGODT0G5Z4TTKYMN18L","GSON1112990013")</f>
        <v>#NAME?</v>
      </c>
      <c r="W2412" s="24" t="e">
        <f ca="1">[1]!BexGetData("DP_1","00O2TNJGODT0G5Z4TTKYMN7K5","GSON1112990013")</f>
        <v>#NAME?</v>
      </c>
    </row>
    <row r="2413" spans="1:23" x14ac:dyDescent="0.2">
      <c r="A2413" s="36" t="s">
        <v>5773</v>
      </c>
      <c r="B2413" s="27" t="s">
        <v>5774</v>
      </c>
      <c r="C2413" s="23" t="e">
        <f ca="1">[1]!BexGetData("DP_1","003N8EMH8GTFRCSWKMPXRR8GU","GSON1112990022")</f>
        <v>#NAME?</v>
      </c>
      <c r="D2413" s="23" t="e">
        <f ca="1">[1]!BexGetData("DP_1","003N8EMH8GTFRCSWKMPXRRESE","GSON1112990022")</f>
        <v>#NAME?</v>
      </c>
      <c r="E2413" s="23" t="e">
        <f ca="1">[1]!BexGetData("DP_1","003N8EMH8GTFRCSWKMPXRRL3Y","GSON1112990022")</f>
        <v>#NAME?</v>
      </c>
      <c r="F2413" s="23" t="e">
        <f ca="1">[1]!BexGetData("DP_1","003N8EMH8GTFRCSWKMPXRRRFI","GSON1112990022")</f>
        <v>#NAME?</v>
      </c>
      <c r="G2413" s="23" t="e">
        <f ca="1">[1]!BexGetData("DP_1","003N8EMH8GTFRCSWKMPXRRXR2","GSON1112990022")</f>
        <v>#NAME?</v>
      </c>
      <c r="H2413" s="23" t="e">
        <f ca="1">[1]!BexGetData("DP_1","003N8EMH8GTFRCSWKMPXRS42M","GSON1112990022")</f>
        <v>#NAME?</v>
      </c>
      <c r="I2413" s="23" t="e">
        <f ca="1">[1]!BexGetData("DP_1","003N8EMH8GTFRCSWKMPXRSAE6","GSON1112990022")</f>
        <v>#NAME?</v>
      </c>
      <c r="J2413" s="24" t="e">
        <f ca="1">[1]!BexGetData("DP_1","003N8EMH8GTFRCSWKMPXRSGPQ","GSON1112990022")</f>
        <v>#NAME?</v>
      </c>
      <c r="K2413" s="28" t="e">
        <f ca="1">[1]!BexGetData("DP_1","003N8EMH8GTFRIVNUPY288VJH","GSON1112990022")</f>
        <v>#NAME?</v>
      </c>
      <c r="L2413" s="28" t="e">
        <f ca="1">[1]!BexGetData("DP_1","003N8EMH8GTFRIVNUPY2891V1","GSON1112990022")</f>
        <v>#NAME?</v>
      </c>
      <c r="M2413" s="28" t="e">
        <f ca="1">[1]!BexGetData("DP_1","003N8EMH8GTFRIVOG7KG9IQXA","GSON1112990022")</f>
        <v>#NAME?</v>
      </c>
      <c r="N2413" s="28" t="e">
        <f ca="1">[1]!BexGetData("DP_1","003N8EMH8GTFRIVOG7KG9IX8U","GSON1112990022")</f>
        <v>#NAME?</v>
      </c>
      <c r="O2413" s="28" t="e">
        <f ca="1">[1]!BexGetData("DP_1","003N8EMH8GTFRIVOG7KG9J3KE","GSON1112990022")</f>
        <v>#NAME?</v>
      </c>
      <c r="P2413" s="28" t="e">
        <f ca="1">[1]!BexGetData("DP_1","003N8EMH8GTFRIVOG7KG9J9VY","GSON1112990022")</f>
        <v>#NAME?</v>
      </c>
      <c r="Q2413" s="24" t="e">
        <f ca="1">[1]!BexGetData("DP_1","00O2TNJGODT0G5Z4TTKYMM5MT","GSON1112990022")</f>
        <v>#NAME?</v>
      </c>
      <c r="R2413" s="23" t="e">
        <f ca="1">[1]!BexGetData("DP_1","00O2TNJGODT0G5Z4TTKYMMBYD","GSON1112990022")</f>
        <v>#NAME?</v>
      </c>
      <c r="S2413" s="23" t="e">
        <f ca="1">[1]!BexGetData("DP_1","00O2TNJGODT0G5Z4TTKYMMI9X","GSON1112990022")</f>
        <v>#NAME?</v>
      </c>
      <c r="T2413" s="28" t="e">
        <f ca="1">[1]!BexGetData("DP_1","00O2TNJGODT0G5Z4TTKYMMOLH","GSON1112990022")</f>
        <v>#NAME?</v>
      </c>
      <c r="U2413" s="23" t="e">
        <f ca="1">[1]!BexGetData("DP_1","00O2TNJGODT0G5Z4TTKYMMUX1","GSON1112990022")</f>
        <v>#NAME?</v>
      </c>
      <c r="V2413" s="28" t="e">
        <f ca="1">[1]!BexGetData("DP_1","00O2TNJGODT0G5Z4TTKYMN18L","GSON1112990022")</f>
        <v>#NAME?</v>
      </c>
      <c r="W2413" s="23" t="e">
        <f ca="1">[1]!BexGetData("DP_1","00O2TNJGODT0G5Z4TTKYMN7K5","GSON1112990022")</f>
        <v>#NAME?</v>
      </c>
    </row>
    <row r="2414" spans="1:23" x14ac:dyDescent="0.2">
      <c r="A2414" s="36" t="s">
        <v>5775</v>
      </c>
      <c r="B2414" s="27" t="s">
        <v>5776</v>
      </c>
      <c r="C2414" s="23" t="e">
        <f ca="1">[1]!BexGetData("DP_1","003N8EMH8GTFRCSWKMPXRR8GU","GSON1112990031")</f>
        <v>#NAME?</v>
      </c>
      <c r="D2414" s="23" t="e">
        <f ca="1">[1]!BexGetData("DP_1","003N8EMH8GTFRCSWKMPXRRESE","GSON1112990031")</f>
        <v>#NAME?</v>
      </c>
      <c r="E2414" s="23" t="e">
        <f ca="1">[1]!BexGetData("DP_1","003N8EMH8GTFRCSWKMPXRRL3Y","GSON1112990031")</f>
        <v>#NAME?</v>
      </c>
      <c r="F2414" s="23" t="e">
        <f ca="1">[1]!BexGetData("DP_1","003N8EMH8GTFRCSWKMPXRRRFI","GSON1112990031")</f>
        <v>#NAME?</v>
      </c>
      <c r="G2414" s="23" t="e">
        <f ca="1">[1]!BexGetData("DP_1","003N8EMH8GTFRCSWKMPXRRXR2","GSON1112990031")</f>
        <v>#NAME?</v>
      </c>
      <c r="H2414" s="23" t="e">
        <f ca="1">[1]!BexGetData("DP_1","003N8EMH8GTFRCSWKMPXRS42M","GSON1112990031")</f>
        <v>#NAME?</v>
      </c>
      <c r="I2414" s="23" t="e">
        <f ca="1">[1]!BexGetData("DP_1","003N8EMH8GTFRCSWKMPXRSAE6","GSON1112990031")</f>
        <v>#NAME?</v>
      </c>
      <c r="J2414" s="24" t="e">
        <f ca="1">[1]!BexGetData("DP_1","003N8EMH8GTFRCSWKMPXRSGPQ","GSON1112990031")</f>
        <v>#NAME?</v>
      </c>
      <c r="K2414" s="23" t="e">
        <f ca="1">[1]!BexGetData("DP_1","003N8EMH8GTFRIVNUPY288VJH","GSON1112990031")</f>
        <v>#NAME?</v>
      </c>
      <c r="L2414" s="23" t="e">
        <f ca="1">[1]!BexGetData("DP_1","003N8EMH8GTFRIVNUPY2891V1","GSON1112990031")</f>
        <v>#NAME?</v>
      </c>
      <c r="M2414" s="28" t="e">
        <f ca="1">[1]!BexGetData("DP_1","003N8EMH8GTFRIVOG7KG9IQXA","GSON1112990031")</f>
        <v>#NAME?</v>
      </c>
      <c r="N2414" s="23" t="e">
        <f ca="1">[1]!BexGetData("DP_1","003N8EMH8GTFRIVOG7KG9IX8U","GSON1112990031")</f>
        <v>#NAME?</v>
      </c>
      <c r="O2414" s="28" t="e">
        <f ca="1">[1]!BexGetData("DP_1","003N8EMH8GTFRIVOG7KG9J3KE","GSON1112990031")</f>
        <v>#NAME?</v>
      </c>
      <c r="P2414" s="23" t="e">
        <f ca="1">[1]!BexGetData("DP_1","003N8EMH8GTFRIVOG7KG9J9VY","GSON1112990031")</f>
        <v>#NAME?</v>
      </c>
      <c r="Q2414" s="24" t="e">
        <f ca="1">[1]!BexGetData("DP_1","00O2TNJGODT0G5Z4TTKYMM5MT","GSON1112990031")</f>
        <v>#NAME?</v>
      </c>
      <c r="R2414" s="23" t="e">
        <f ca="1">[1]!BexGetData("DP_1","00O2TNJGODT0G5Z4TTKYMMBYD","GSON1112990031")</f>
        <v>#NAME?</v>
      </c>
      <c r="S2414" s="23" t="e">
        <f ca="1">[1]!BexGetData("DP_1","00O2TNJGODT0G5Z4TTKYMMI9X","GSON1112990031")</f>
        <v>#NAME?</v>
      </c>
      <c r="T2414" s="23" t="e">
        <f ca="1">[1]!BexGetData("DP_1","00O2TNJGODT0G5Z4TTKYMMOLH","GSON1112990031")</f>
        <v>#NAME?</v>
      </c>
      <c r="U2414" s="28" t="e">
        <f ca="1">[1]!BexGetData("DP_1","00O2TNJGODT0G5Z4TTKYMMUX1","GSON1112990031")</f>
        <v>#NAME?</v>
      </c>
      <c r="V2414" s="23" t="e">
        <f ca="1">[1]!BexGetData("DP_1","00O2TNJGODT0G5Z4TTKYMN18L","GSON1112990031")</f>
        <v>#NAME?</v>
      </c>
      <c r="W2414" s="28" t="e">
        <f ca="1">[1]!BexGetData("DP_1","00O2TNJGODT0G5Z4TTKYMN7K5","GSON1112990031")</f>
        <v>#NAME?</v>
      </c>
    </row>
    <row r="2415" spans="1:23" x14ac:dyDescent="0.2">
      <c r="A2415" s="36" t="s">
        <v>5777</v>
      </c>
      <c r="B2415" s="27" t="s">
        <v>5778</v>
      </c>
      <c r="C2415" s="23" t="e">
        <f ca="1">[1]!BexGetData("DP_1","003N8EMH8GTFRCSWKMPXRR8GU","GSON1112990032")</f>
        <v>#NAME?</v>
      </c>
      <c r="D2415" s="23" t="e">
        <f ca="1">[1]!BexGetData("DP_1","003N8EMH8GTFRCSWKMPXRRESE","GSON1112990032")</f>
        <v>#NAME?</v>
      </c>
      <c r="E2415" s="28" t="e">
        <f ca="1">[1]!BexGetData("DP_1","003N8EMH8GTFRCSWKMPXRRL3Y","GSON1112990032")</f>
        <v>#NAME?</v>
      </c>
      <c r="F2415" s="28" t="e">
        <f ca="1">[1]!BexGetData("DP_1","003N8EMH8GTFRCSWKMPXRRRFI","GSON1112990032")</f>
        <v>#NAME?</v>
      </c>
      <c r="G2415" s="23" t="e">
        <f ca="1">[1]!BexGetData("DP_1","003N8EMH8GTFRCSWKMPXRRXR2","GSON1112990032")</f>
        <v>#NAME?</v>
      </c>
      <c r="H2415" s="23" t="e">
        <f ca="1">[1]!BexGetData("DP_1","003N8EMH8GTFRCSWKMPXRS42M","GSON1112990032")</f>
        <v>#NAME?</v>
      </c>
      <c r="I2415" s="28" t="e">
        <f ca="1">[1]!BexGetData("DP_1","003N8EMH8GTFRCSWKMPXRSAE6","GSON1112990032")</f>
        <v>#NAME?</v>
      </c>
      <c r="J2415" s="24" t="e">
        <f ca="1">[1]!BexGetData("DP_1","003N8EMH8GTFRCSWKMPXRSGPQ","GSON1112990032")</f>
        <v>#NAME?</v>
      </c>
      <c r="K2415" s="28" t="e">
        <f ca="1">[1]!BexGetData("DP_1","003N8EMH8GTFRIVNUPY288VJH","GSON1112990032")</f>
        <v>#NAME?</v>
      </c>
      <c r="L2415" s="28" t="e">
        <f ca="1">[1]!BexGetData("DP_1","003N8EMH8GTFRIVNUPY2891V1","GSON1112990032")</f>
        <v>#NAME?</v>
      </c>
      <c r="M2415" s="28" t="e">
        <f ca="1">[1]!BexGetData("DP_1","003N8EMH8GTFRIVOG7KG9IQXA","GSON1112990032")</f>
        <v>#NAME?</v>
      </c>
      <c r="N2415" s="28" t="e">
        <f ca="1">[1]!BexGetData("DP_1","003N8EMH8GTFRIVOG7KG9IX8U","GSON1112990032")</f>
        <v>#NAME?</v>
      </c>
      <c r="O2415" s="28" t="e">
        <f ca="1">[1]!BexGetData("DP_1","003N8EMH8GTFRIVOG7KG9J3KE","GSON1112990032")</f>
        <v>#NAME?</v>
      </c>
      <c r="P2415" s="28" t="e">
        <f ca="1">[1]!BexGetData("DP_1","003N8EMH8GTFRIVOG7KG9J9VY","GSON1112990032")</f>
        <v>#NAME?</v>
      </c>
      <c r="Q2415" s="24" t="e">
        <f ca="1">[1]!BexGetData("DP_1","00O2TNJGODT0G5Z4TTKYMM5MT","GSON1112990032")</f>
        <v>#NAME?</v>
      </c>
      <c r="R2415" s="28" t="e">
        <f ca="1">[1]!BexGetData("DP_1","00O2TNJGODT0G5Z4TTKYMMBYD","GSON1112990032")</f>
        <v>#NAME?</v>
      </c>
      <c r="S2415" s="28" t="e">
        <f ca="1">[1]!BexGetData("DP_1","00O2TNJGODT0G5Z4TTKYMMI9X","GSON1112990032")</f>
        <v>#NAME?</v>
      </c>
      <c r="T2415" s="28" t="e">
        <f ca="1">[1]!BexGetData("DP_1","00O2TNJGODT0G5Z4TTKYMMOLH","GSON1112990032")</f>
        <v>#NAME?</v>
      </c>
      <c r="U2415" s="28" t="e">
        <f ca="1">[1]!BexGetData("DP_1","00O2TNJGODT0G5Z4TTKYMMUX1","GSON1112990032")</f>
        <v>#NAME?</v>
      </c>
      <c r="V2415" s="28" t="e">
        <f ca="1">[1]!BexGetData("DP_1","00O2TNJGODT0G5Z4TTKYMN18L","GSON1112990032")</f>
        <v>#NAME?</v>
      </c>
      <c r="W2415" s="28" t="e">
        <f ca="1">[1]!BexGetData("DP_1","00O2TNJGODT0G5Z4TTKYMN7K5","GSON1112990032")</f>
        <v>#NAME?</v>
      </c>
    </row>
    <row r="2416" spans="1:23" x14ac:dyDescent="0.2">
      <c r="A2416" s="36" t="s">
        <v>5779</v>
      </c>
      <c r="B2416" s="27" t="s">
        <v>1716</v>
      </c>
      <c r="C2416" s="28" t="e">
        <f ca="1">[1]!BexGetData("DP_1","003N8EMH8GTFRCSWKMPXRR8GU","GSON1112990033")</f>
        <v>#NAME?</v>
      </c>
      <c r="D2416" s="23" t="e">
        <f ca="1">[1]!BexGetData("DP_1","003N8EMH8GTFRCSWKMPXRRESE","GSON1112990033")</f>
        <v>#NAME?</v>
      </c>
      <c r="E2416" s="23" t="e">
        <f ca="1">[1]!BexGetData("DP_1","003N8EMH8GTFRCSWKMPXRRL3Y","GSON1112990033")</f>
        <v>#NAME?</v>
      </c>
      <c r="F2416" s="23" t="e">
        <f ca="1">[1]!BexGetData("DP_1","003N8EMH8GTFRCSWKMPXRRRFI","GSON1112990033")</f>
        <v>#NAME?</v>
      </c>
      <c r="G2416" s="28" t="e">
        <f ca="1">[1]!BexGetData("DP_1","003N8EMH8GTFRCSWKMPXRRXR2","GSON1112990033")</f>
        <v>#NAME?</v>
      </c>
      <c r="H2416" s="23" t="e">
        <f ca="1">[1]!BexGetData("DP_1","003N8EMH8GTFRCSWKMPXRS42M","GSON1112990033")</f>
        <v>#NAME?</v>
      </c>
      <c r="I2416" s="23" t="e">
        <f ca="1">[1]!BexGetData("DP_1","003N8EMH8GTFRCSWKMPXRSAE6","GSON1112990033")</f>
        <v>#NAME?</v>
      </c>
      <c r="J2416" s="24" t="e">
        <f ca="1">[1]!BexGetData("DP_1","003N8EMH8GTFRCSWKMPXRSGPQ","GSON1112990033")</f>
        <v>#NAME?</v>
      </c>
      <c r="K2416" s="23" t="e">
        <f ca="1">[1]!BexGetData("DP_1","003N8EMH8GTFRIVNUPY288VJH","GSON1112990033")</f>
        <v>#NAME?</v>
      </c>
      <c r="L2416" s="23" t="e">
        <f ca="1">[1]!BexGetData("DP_1","003N8EMH8GTFRIVNUPY2891V1","GSON1112990033")</f>
        <v>#NAME?</v>
      </c>
      <c r="M2416" s="23" t="e">
        <f ca="1">[1]!BexGetData("DP_1","003N8EMH8GTFRIVOG7KG9IQXA","GSON1112990033")</f>
        <v>#NAME?</v>
      </c>
      <c r="N2416" s="28" t="e">
        <f ca="1">[1]!BexGetData("DP_1","003N8EMH8GTFRIVOG7KG9IX8U","GSON1112990033")</f>
        <v>#NAME?</v>
      </c>
      <c r="O2416" s="23" t="e">
        <f ca="1">[1]!BexGetData("DP_1","003N8EMH8GTFRIVOG7KG9J3KE","GSON1112990033")</f>
        <v>#NAME?</v>
      </c>
      <c r="P2416" s="28" t="e">
        <f ca="1">[1]!BexGetData("DP_1","003N8EMH8GTFRIVOG7KG9J9VY","GSON1112990033")</f>
        <v>#NAME?</v>
      </c>
      <c r="Q2416" s="24" t="e">
        <f ca="1">[1]!BexGetData("DP_1","00O2TNJGODT0G5Z4TTKYMM5MT","GSON1112990033")</f>
        <v>#NAME?</v>
      </c>
      <c r="R2416" s="23" t="e">
        <f ca="1">[1]!BexGetData("DP_1","00O2TNJGODT0G5Z4TTKYMMBYD","GSON1112990033")</f>
        <v>#NAME?</v>
      </c>
      <c r="S2416" s="23" t="e">
        <f ca="1">[1]!BexGetData("DP_1","00O2TNJGODT0G5Z4TTKYMMI9X","GSON1112990033")</f>
        <v>#NAME?</v>
      </c>
      <c r="T2416" s="23" t="e">
        <f ca="1">[1]!BexGetData("DP_1","00O2TNJGODT0G5Z4TTKYMMOLH","GSON1112990033")</f>
        <v>#NAME?</v>
      </c>
      <c r="U2416" s="28" t="e">
        <f ca="1">[1]!BexGetData("DP_1","00O2TNJGODT0G5Z4TTKYMMUX1","GSON1112990033")</f>
        <v>#NAME?</v>
      </c>
      <c r="V2416" s="23" t="e">
        <f ca="1">[1]!BexGetData("DP_1","00O2TNJGODT0G5Z4TTKYMN18L","GSON1112990033")</f>
        <v>#NAME?</v>
      </c>
      <c r="W2416" s="28" t="e">
        <f ca="1">[1]!BexGetData("DP_1","00O2TNJGODT0G5Z4TTKYMN7K5","GSON1112990033")</f>
        <v>#NAME?</v>
      </c>
    </row>
    <row r="2417" spans="1:23" x14ac:dyDescent="0.2">
      <c r="A2417" s="35" t="s">
        <v>437</v>
      </c>
      <c r="B2417" s="27" t="s">
        <v>438</v>
      </c>
      <c r="C2417" s="23" t="e">
        <f ca="1">[1]!BexGetData("DP_1","003N8EMH8GTFRCSWKMPXRR8GU","GSON1114")</f>
        <v>#NAME?</v>
      </c>
      <c r="D2417" s="23" t="e">
        <f ca="1">[1]!BexGetData("DP_1","003N8EMH8GTFRCSWKMPXRRESE","GSON1114")</f>
        <v>#NAME?</v>
      </c>
      <c r="E2417" s="23" t="e">
        <f ca="1">[1]!BexGetData("DP_1","003N8EMH8GTFRCSWKMPXRRL3Y","GSON1114")</f>
        <v>#NAME?</v>
      </c>
      <c r="F2417" s="23" t="e">
        <f ca="1">[1]!BexGetData("DP_1","003N8EMH8GTFRCSWKMPXRRRFI","GSON1114")</f>
        <v>#NAME?</v>
      </c>
      <c r="G2417" s="23" t="e">
        <f ca="1">[1]!BexGetData("DP_1","003N8EMH8GTFRCSWKMPXRRXR2","GSON1114")</f>
        <v>#NAME?</v>
      </c>
      <c r="H2417" s="23" t="e">
        <f ca="1">[1]!BexGetData("DP_1","003N8EMH8GTFRCSWKMPXRS42M","GSON1114")</f>
        <v>#NAME?</v>
      </c>
      <c r="I2417" s="23" t="e">
        <f ca="1">[1]!BexGetData("DP_1","003N8EMH8GTFRCSWKMPXRSAE6","GSON1114")</f>
        <v>#NAME?</v>
      </c>
      <c r="J2417" s="23" t="e">
        <f ca="1">[1]!BexGetData("DP_1","003N8EMH8GTFRCSWKMPXRSGPQ","GSON1114")</f>
        <v>#NAME?</v>
      </c>
      <c r="K2417" s="23" t="e">
        <f ca="1">[1]!BexGetData("DP_1","003N8EMH8GTFRIVNUPY288VJH","GSON1114")</f>
        <v>#NAME?</v>
      </c>
      <c r="L2417" s="23" t="e">
        <f ca="1">[1]!BexGetData("DP_1","003N8EMH8GTFRIVNUPY2891V1","GSON1114")</f>
        <v>#NAME?</v>
      </c>
      <c r="M2417" s="23" t="e">
        <f ca="1">[1]!BexGetData("DP_1","003N8EMH8GTFRIVOG7KG9IQXA","GSON1114")</f>
        <v>#NAME?</v>
      </c>
      <c r="N2417" s="28" t="e">
        <f ca="1">[1]!BexGetData("DP_1","003N8EMH8GTFRIVOG7KG9IX8U","GSON1114")</f>
        <v>#NAME?</v>
      </c>
      <c r="O2417" s="23" t="e">
        <f ca="1">[1]!BexGetData("DP_1","003N8EMH8GTFRIVOG7KG9J3KE","GSON1114")</f>
        <v>#NAME?</v>
      </c>
      <c r="P2417" s="28" t="e">
        <f ca="1">[1]!BexGetData("DP_1","003N8EMH8GTFRIVOG7KG9J9VY","GSON1114")</f>
        <v>#NAME?</v>
      </c>
      <c r="Q2417" s="23" t="e">
        <f ca="1">[1]!BexGetData("DP_1","00O2TNJGODT0G5Z4TTKYMM5MT","GSON1114")</f>
        <v>#NAME?</v>
      </c>
      <c r="R2417" s="23" t="e">
        <f ca="1">[1]!BexGetData("DP_1","00O2TNJGODT0G5Z4TTKYMMBYD","GSON1114")</f>
        <v>#NAME?</v>
      </c>
      <c r="S2417" s="23" t="e">
        <f ca="1">[1]!BexGetData("DP_1","00O2TNJGODT0G5Z4TTKYMMI9X","GSON1114")</f>
        <v>#NAME?</v>
      </c>
      <c r="T2417" s="28" t="e">
        <f ca="1">[1]!BexGetData("DP_1","00O2TNJGODT0G5Z4TTKYMMOLH","GSON1114")</f>
        <v>#NAME?</v>
      </c>
      <c r="U2417" s="23" t="e">
        <f ca="1">[1]!BexGetData("DP_1","00O2TNJGODT0G5Z4TTKYMMUX1","GSON1114")</f>
        <v>#NAME?</v>
      </c>
      <c r="V2417" s="28" t="e">
        <f ca="1">[1]!BexGetData("DP_1","00O2TNJGODT0G5Z4TTKYMN18L","GSON1114")</f>
        <v>#NAME?</v>
      </c>
      <c r="W2417" s="23" t="e">
        <f ca="1">[1]!BexGetData("DP_1","00O2TNJGODT0G5Z4TTKYMN7K5","GSON1114")</f>
        <v>#NAME?</v>
      </c>
    </row>
    <row r="2418" spans="1:23" x14ac:dyDescent="0.2">
      <c r="A2418" s="36" t="s">
        <v>1202</v>
      </c>
      <c r="B2418" s="27" t="s">
        <v>439</v>
      </c>
      <c r="C2418" s="23" t="e">
        <f ca="1">[1]!BexGetData("DP_1","003N8EMH8GTFRCSWKMPXRR8GU","GSON1114100001")</f>
        <v>#NAME?</v>
      </c>
      <c r="D2418" s="23" t="e">
        <f ca="1">[1]!BexGetData("DP_1","003N8EMH8GTFRCSWKMPXRRESE","GSON1114100001")</f>
        <v>#NAME?</v>
      </c>
      <c r="E2418" s="23" t="e">
        <f ca="1">[1]!BexGetData("DP_1","003N8EMH8GTFRCSWKMPXRRL3Y","GSON1114100001")</f>
        <v>#NAME?</v>
      </c>
      <c r="F2418" s="23" t="e">
        <f ca="1">[1]!BexGetData("DP_1","003N8EMH8GTFRCSWKMPXRRRFI","GSON1114100001")</f>
        <v>#NAME?</v>
      </c>
      <c r="G2418" s="23" t="e">
        <f ca="1">[1]!BexGetData("DP_1","003N8EMH8GTFRCSWKMPXRRXR2","GSON1114100001")</f>
        <v>#NAME?</v>
      </c>
      <c r="H2418" s="23" t="e">
        <f ca="1">[1]!BexGetData("DP_1","003N8EMH8GTFRCSWKMPXRS42M","GSON1114100001")</f>
        <v>#NAME?</v>
      </c>
      <c r="I2418" s="23" t="e">
        <f ca="1">[1]!BexGetData("DP_1","003N8EMH8GTFRCSWKMPXRSAE6","GSON1114100001")</f>
        <v>#NAME?</v>
      </c>
      <c r="J2418" s="23" t="e">
        <f ca="1">[1]!BexGetData("DP_1","003N8EMH8GTFRCSWKMPXRSGPQ","GSON1114100001")</f>
        <v>#NAME?</v>
      </c>
      <c r="K2418" s="23" t="e">
        <f ca="1">[1]!BexGetData("DP_1","003N8EMH8GTFRIVNUPY288VJH","GSON1114100001")</f>
        <v>#NAME?</v>
      </c>
      <c r="L2418" s="23" t="e">
        <f ca="1">[1]!BexGetData("DP_1","003N8EMH8GTFRIVNUPY2891V1","GSON1114100001")</f>
        <v>#NAME?</v>
      </c>
      <c r="M2418" s="23" t="e">
        <f ca="1">[1]!BexGetData("DP_1","003N8EMH8GTFRIVOG7KG9IQXA","GSON1114100001")</f>
        <v>#NAME?</v>
      </c>
      <c r="N2418" s="28" t="e">
        <f ca="1">[1]!BexGetData("DP_1","003N8EMH8GTFRIVOG7KG9IX8U","GSON1114100001")</f>
        <v>#NAME?</v>
      </c>
      <c r="O2418" s="23" t="e">
        <f ca="1">[1]!BexGetData("DP_1","003N8EMH8GTFRIVOG7KG9J3KE","GSON1114100001")</f>
        <v>#NAME?</v>
      </c>
      <c r="P2418" s="28" t="e">
        <f ca="1">[1]!BexGetData("DP_1","003N8EMH8GTFRIVOG7KG9J9VY","GSON1114100001")</f>
        <v>#NAME?</v>
      </c>
      <c r="Q2418" s="23" t="e">
        <f ca="1">[1]!BexGetData("DP_1","00O2TNJGODT0G5Z4TTKYMM5MT","GSON1114100001")</f>
        <v>#NAME?</v>
      </c>
      <c r="R2418" s="23" t="e">
        <f ca="1">[1]!BexGetData("DP_1","00O2TNJGODT0G5Z4TTKYMMBYD","GSON1114100001")</f>
        <v>#NAME?</v>
      </c>
      <c r="S2418" s="23" t="e">
        <f ca="1">[1]!BexGetData("DP_1","00O2TNJGODT0G5Z4TTKYMMI9X","GSON1114100001")</f>
        <v>#NAME?</v>
      </c>
      <c r="T2418" s="28" t="e">
        <f ca="1">[1]!BexGetData("DP_1","00O2TNJGODT0G5Z4TTKYMMOLH","GSON1114100001")</f>
        <v>#NAME?</v>
      </c>
      <c r="U2418" s="23" t="e">
        <f ca="1">[1]!BexGetData("DP_1","00O2TNJGODT0G5Z4TTKYMMUX1","GSON1114100001")</f>
        <v>#NAME?</v>
      </c>
      <c r="V2418" s="28" t="e">
        <f ca="1">[1]!BexGetData("DP_1","00O2TNJGODT0G5Z4TTKYMN18L","GSON1114100001")</f>
        <v>#NAME?</v>
      </c>
      <c r="W2418" s="23" t="e">
        <f ca="1">[1]!BexGetData("DP_1","00O2TNJGODT0G5Z4TTKYMN7K5","GSON1114100001")</f>
        <v>#NAME?</v>
      </c>
    </row>
    <row r="2419" spans="1:23" x14ac:dyDescent="0.2">
      <c r="A2419" s="35" t="s">
        <v>440</v>
      </c>
      <c r="B2419" s="27" t="s">
        <v>441</v>
      </c>
      <c r="C2419" s="23" t="e">
        <f ca="1">[1]!BexGetData("DP_1","003N8EMH8GTFRCSWKMPXRR8GU","GSON1115")</f>
        <v>#NAME?</v>
      </c>
      <c r="D2419" s="23" t="e">
        <f ca="1">[1]!BexGetData("DP_1","003N8EMH8GTFRCSWKMPXRRESE","GSON1115")</f>
        <v>#NAME?</v>
      </c>
      <c r="E2419" s="23" t="e">
        <f ca="1">[1]!BexGetData("DP_1","003N8EMH8GTFRCSWKMPXRRL3Y","GSON1115")</f>
        <v>#NAME?</v>
      </c>
      <c r="F2419" s="23" t="e">
        <f ca="1">[1]!BexGetData("DP_1","003N8EMH8GTFRCSWKMPXRRRFI","GSON1115")</f>
        <v>#NAME?</v>
      </c>
      <c r="G2419" s="23" t="e">
        <f ca="1">[1]!BexGetData("DP_1","003N8EMH8GTFRCSWKMPXRRXR2","GSON1115")</f>
        <v>#NAME?</v>
      </c>
      <c r="H2419" s="23" t="e">
        <f ca="1">[1]!BexGetData("DP_1","003N8EMH8GTFRCSWKMPXRS42M","GSON1115")</f>
        <v>#NAME?</v>
      </c>
      <c r="I2419" s="23" t="e">
        <f ca="1">[1]!BexGetData("DP_1","003N8EMH8GTFRCSWKMPXRSAE6","GSON1115")</f>
        <v>#NAME?</v>
      </c>
      <c r="J2419" s="23" t="e">
        <f ca="1">[1]!BexGetData("DP_1","003N8EMH8GTFRCSWKMPXRSGPQ","GSON1115")</f>
        <v>#NAME?</v>
      </c>
      <c r="K2419" s="23" t="e">
        <f ca="1">[1]!BexGetData("DP_1","003N8EMH8GTFRIVNUPY288VJH","GSON1115")</f>
        <v>#NAME?</v>
      </c>
      <c r="L2419" s="23" t="e">
        <f ca="1">[1]!BexGetData("DP_1","003N8EMH8GTFRIVNUPY2891V1","GSON1115")</f>
        <v>#NAME?</v>
      </c>
      <c r="M2419" s="28" t="e">
        <f ca="1">[1]!BexGetData("DP_1","003N8EMH8GTFRIVOG7KG9IQXA","GSON1115")</f>
        <v>#NAME?</v>
      </c>
      <c r="N2419" s="23" t="e">
        <f ca="1">[1]!BexGetData("DP_1","003N8EMH8GTFRIVOG7KG9IX8U","GSON1115")</f>
        <v>#NAME?</v>
      </c>
      <c r="O2419" s="28" t="e">
        <f ca="1">[1]!BexGetData("DP_1","003N8EMH8GTFRIVOG7KG9J3KE","GSON1115")</f>
        <v>#NAME?</v>
      </c>
      <c r="P2419" s="23" t="e">
        <f ca="1">[1]!BexGetData("DP_1","003N8EMH8GTFRIVOG7KG9J9VY","GSON1115")</f>
        <v>#NAME?</v>
      </c>
      <c r="Q2419" s="23" t="e">
        <f ca="1">[1]!BexGetData("DP_1","00O2TNJGODT0G5Z4TTKYMM5MT","GSON1115")</f>
        <v>#NAME?</v>
      </c>
      <c r="R2419" s="23" t="e">
        <f ca="1">[1]!BexGetData("DP_1","00O2TNJGODT0G5Z4TTKYMMBYD","GSON1115")</f>
        <v>#NAME?</v>
      </c>
      <c r="S2419" s="23" t="e">
        <f ca="1">[1]!BexGetData("DP_1","00O2TNJGODT0G5Z4TTKYMMI9X","GSON1115")</f>
        <v>#NAME?</v>
      </c>
      <c r="T2419" s="23" t="e">
        <f ca="1">[1]!BexGetData("DP_1","00O2TNJGODT0G5Z4TTKYMMOLH","GSON1115")</f>
        <v>#NAME?</v>
      </c>
      <c r="U2419" s="28" t="e">
        <f ca="1">[1]!BexGetData("DP_1","00O2TNJGODT0G5Z4TTKYMMUX1","GSON1115")</f>
        <v>#NAME?</v>
      </c>
      <c r="V2419" s="23" t="e">
        <f ca="1">[1]!BexGetData("DP_1","00O2TNJGODT0G5Z4TTKYMN18L","GSON1115")</f>
        <v>#NAME?</v>
      </c>
      <c r="W2419" s="28" t="e">
        <f ca="1">[1]!BexGetData("DP_1","00O2TNJGODT0G5Z4TTKYMN7K5","GSON1115")</f>
        <v>#NAME?</v>
      </c>
    </row>
    <row r="2420" spans="1:23" x14ac:dyDescent="0.2">
      <c r="A2420" s="36" t="s">
        <v>442</v>
      </c>
      <c r="B2420" s="27" t="s">
        <v>443</v>
      </c>
      <c r="C2420" s="23" t="e">
        <f ca="1">[1]!BexGetData("DP_1","003N8EMH8GTFRCSWKMPXRR8GU","GSON1115100001")</f>
        <v>#NAME?</v>
      </c>
      <c r="D2420" s="23" t="e">
        <f ca="1">[1]!BexGetData("DP_1","003N8EMH8GTFRCSWKMPXRRESE","GSON1115100001")</f>
        <v>#NAME?</v>
      </c>
      <c r="E2420" s="23" t="e">
        <f ca="1">[1]!BexGetData("DP_1","003N8EMH8GTFRCSWKMPXRRL3Y","GSON1115100001")</f>
        <v>#NAME?</v>
      </c>
      <c r="F2420" s="23" t="e">
        <f ca="1">[1]!BexGetData("DP_1","003N8EMH8GTFRCSWKMPXRRRFI","GSON1115100001")</f>
        <v>#NAME?</v>
      </c>
      <c r="G2420" s="23" t="e">
        <f ca="1">[1]!BexGetData("DP_1","003N8EMH8GTFRCSWKMPXRRXR2","GSON1115100001")</f>
        <v>#NAME?</v>
      </c>
      <c r="H2420" s="23" t="e">
        <f ca="1">[1]!BexGetData("DP_1","003N8EMH8GTFRCSWKMPXRS42M","GSON1115100001")</f>
        <v>#NAME?</v>
      </c>
      <c r="I2420" s="23" t="e">
        <f ca="1">[1]!BexGetData("DP_1","003N8EMH8GTFRCSWKMPXRSAE6","GSON1115100001")</f>
        <v>#NAME?</v>
      </c>
      <c r="J2420" s="23" t="e">
        <f ca="1">[1]!BexGetData("DP_1","003N8EMH8GTFRCSWKMPXRSGPQ","GSON1115100001")</f>
        <v>#NAME?</v>
      </c>
      <c r="K2420" s="23" t="e">
        <f ca="1">[1]!BexGetData("DP_1","003N8EMH8GTFRIVNUPY288VJH","GSON1115100001")</f>
        <v>#NAME?</v>
      </c>
      <c r="L2420" s="23" t="e">
        <f ca="1">[1]!BexGetData("DP_1","003N8EMH8GTFRIVNUPY2891V1","GSON1115100001")</f>
        <v>#NAME?</v>
      </c>
      <c r="M2420" s="28" t="e">
        <f ca="1">[1]!BexGetData("DP_1","003N8EMH8GTFRIVOG7KG9IQXA","GSON1115100001")</f>
        <v>#NAME?</v>
      </c>
      <c r="N2420" s="23" t="e">
        <f ca="1">[1]!BexGetData("DP_1","003N8EMH8GTFRIVOG7KG9IX8U","GSON1115100001")</f>
        <v>#NAME?</v>
      </c>
      <c r="O2420" s="28" t="e">
        <f ca="1">[1]!BexGetData("DP_1","003N8EMH8GTFRIVOG7KG9J3KE","GSON1115100001")</f>
        <v>#NAME?</v>
      </c>
      <c r="P2420" s="23" t="e">
        <f ca="1">[1]!BexGetData("DP_1","003N8EMH8GTFRIVOG7KG9J9VY","GSON1115100001")</f>
        <v>#NAME?</v>
      </c>
      <c r="Q2420" s="23" t="e">
        <f ca="1">[1]!BexGetData("DP_1","00O2TNJGODT0G5Z4TTKYMM5MT","GSON1115100001")</f>
        <v>#NAME?</v>
      </c>
      <c r="R2420" s="23" t="e">
        <f ca="1">[1]!BexGetData("DP_1","00O2TNJGODT0G5Z4TTKYMMBYD","GSON1115100001")</f>
        <v>#NAME?</v>
      </c>
      <c r="S2420" s="23" t="e">
        <f ca="1">[1]!BexGetData("DP_1","00O2TNJGODT0G5Z4TTKYMMI9X","GSON1115100001")</f>
        <v>#NAME?</v>
      </c>
      <c r="T2420" s="23" t="e">
        <f ca="1">[1]!BexGetData("DP_1","00O2TNJGODT0G5Z4TTKYMMOLH","GSON1115100001")</f>
        <v>#NAME?</v>
      </c>
      <c r="U2420" s="28" t="e">
        <f ca="1">[1]!BexGetData("DP_1","00O2TNJGODT0G5Z4TTKYMMUX1","GSON1115100001")</f>
        <v>#NAME?</v>
      </c>
      <c r="V2420" s="23" t="e">
        <f ca="1">[1]!BexGetData("DP_1","00O2TNJGODT0G5Z4TTKYMN18L","GSON1115100001")</f>
        <v>#NAME?</v>
      </c>
      <c r="W2420" s="28" t="e">
        <f ca="1">[1]!BexGetData("DP_1","00O2TNJGODT0G5Z4TTKYMN7K5","GSON1115100001")</f>
        <v>#NAME?</v>
      </c>
    </row>
    <row r="2421" spans="1:23" x14ac:dyDescent="0.2">
      <c r="A2421" s="35" t="s">
        <v>1203</v>
      </c>
      <c r="B2421" s="27" t="s">
        <v>1204</v>
      </c>
      <c r="C2421" s="23" t="e">
        <f ca="1">[1]!BexGetData("DP_1","003N8EMH8GTFRCSWKMPXRR8GU","GSON1116")</f>
        <v>#NAME?</v>
      </c>
      <c r="D2421" s="23" t="e">
        <f ca="1">[1]!BexGetData("DP_1","003N8EMH8GTFRCSWKMPXRRESE","GSON1116")</f>
        <v>#NAME?</v>
      </c>
      <c r="E2421" s="23" t="e">
        <f ca="1">[1]!BexGetData("DP_1","003N8EMH8GTFRCSWKMPXRRL3Y","GSON1116")</f>
        <v>#NAME?</v>
      </c>
      <c r="F2421" s="23" t="e">
        <f ca="1">[1]!BexGetData("DP_1","003N8EMH8GTFRCSWKMPXRRRFI","GSON1116")</f>
        <v>#NAME?</v>
      </c>
      <c r="G2421" s="23" t="e">
        <f ca="1">[1]!BexGetData("DP_1","003N8EMH8GTFRCSWKMPXRRXR2","GSON1116")</f>
        <v>#NAME?</v>
      </c>
      <c r="H2421" s="23" t="e">
        <f ca="1">[1]!BexGetData("DP_1","003N8EMH8GTFRCSWKMPXRS42M","GSON1116")</f>
        <v>#NAME?</v>
      </c>
      <c r="I2421" s="23" t="e">
        <f ca="1">[1]!BexGetData("DP_1","003N8EMH8GTFRCSWKMPXRSAE6","GSON1116")</f>
        <v>#NAME?</v>
      </c>
      <c r="J2421" s="23" t="e">
        <f ca="1">[1]!BexGetData("DP_1","003N8EMH8GTFRCSWKMPXRSGPQ","GSON1116")</f>
        <v>#NAME?</v>
      </c>
      <c r="K2421" s="23" t="e">
        <f ca="1">[1]!BexGetData("DP_1","003N8EMH8GTFRIVNUPY288VJH","GSON1116")</f>
        <v>#NAME?</v>
      </c>
      <c r="L2421" s="23" t="e">
        <f ca="1">[1]!BexGetData("DP_1","003N8EMH8GTFRIVNUPY2891V1","GSON1116")</f>
        <v>#NAME?</v>
      </c>
      <c r="M2421" s="28" t="e">
        <f ca="1">[1]!BexGetData("DP_1","003N8EMH8GTFRIVOG7KG9IQXA","GSON1116")</f>
        <v>#NAME?</v>
      </c>
      <c r="N2421" s="23" t="e">
        <f ca="1">[1]!BexGetData("DP_1","003N8EMH8GTFRIVOG7KG9IX8U","GSON1116")</f>
        <v>#NAME?</v>
      </c>
      <c r="O2421" s="28" t="e">
        <f ca="1">[1]!BexGetData("DP_1","003N8EMH8GTFRIVOG7KG9J3KE","GSON1116")</f>
        <v>#NAME?</v>
      </c>
      <c r="P2421" s="23" t="e">
        <f ca="1">[1]!BexGetData("DP_1","003N8EMH8GTFRIVOG7KG9J9VY","GSON1116")</f>
        <v>#NAME?</v>
      </c>
      <c r="Q2421" s="23" t="e">
        <f ca="1">[1]!BexGetData("DP_1","00O2TNJGODT0G5Z4TTKYMM5MT","GSON1116")</f>
        <v>#NAME?</v>
      </c>
      <c r="R2421" s="23" t="e">
        <f ca="1">[1]!BexGetData("DP_1","00O2TNJGODT0G5Z4TTKYMMBYD","GSON1116")</f>
        <v>#NAME?</v>
      </c>
      <c r="S2421" s="23" t="e">
        <f ca="1">[1]!BexGetData("DP_1","00O2TNJGODT0G5Z4TTKYMMI9X","GSON1116")</f>
        <v>#NAME?</v>
      </c>
      <c r="T2421" s="28" t="e">
        <f ca="1">[1]!BexGetData("DP_1","00O2TNJGODT0G5Z4TTKYMMOLH","GSON1116")</f>
        <v>#NAME?</v>
      </c>
      <c r="U2421" s="23" t="e">
        <f ca="1">[1]!BexGetData("DP_1","00O2TNJGODT0G5Z4TTKYMMUX1","GSON1116")</f>
        <v>#NAME?</v>
      </c>
      <c r="V2421" s="28" t="e">
        <f ca="1">[1]!BexGetData("DP_1","00O2TNJGODT0G5Z4TTKYMN18L","GSON1116")</f>
        <v>#NAME?</v>
      </c>
      <c r="W2421" s="23" t="e">
        <f ca="1">[1]!BexGetData("DP_1","00O2TNJGODT0G5Z4TTKYMN7K5","GSON1116")</f>
        <v>#NAME?</v>
      </c>
    </row>
    <row r="2422" spans="1:23" x14ac:dyDescent="0.2">
      <c r="A2422" s="36" t="s">
        <v>5780</v>
      </c>
      <c r="B2422" s="27" t="s">
        <v>5781</v>
      </c>
      <c r="C2422" s="23" t="e">
        <f ca="1">[1]!BexGetData("DP_1","003N8EMH8GTFRCSWKMPXRR8GU","GSON1116030990")</f>
        <v>#NAME?</v>
      </c>
      <c r="D2422" s="23" t="e">
        <f ca="1">[1]!BexGetData("DP_1","003N8EMH8GTFRCSWKMPXRRESE","GSON1116030990")</f>
        <v>#NAME?</v>
      </c>
      <c r="E2422" s="23" t="e">
        <f ca="1">[1]!BexGetData("DP_1","003N8EMH8GTFRCSWKMPXRRL3Y","GSON1116030990")</f>
        <v>#NAME?</v>
      </c>
      <c r="F2422" s="23" t="e">
        <f ca="1">[1]!BexGetData("DP_1","003N8EMH8GTFRCSWKMPXRRRFI","GSON1116030990")</f>
        <v>#NAME?</v>
      </c>
      <c r="G2422" s="23" t="e">
        <f ca="1">[1]!BexGetData("DP_1","003N8EMH8GTFRCSWKMPXRRXR2","GSON1116030990")</f>
        <v>#NAME?</v>
      </c>
      <c r="H2422" s="23" t="e">
        <f ca="1">[1]!BexGetData("DP_1","003N8EMH8GTFRCSWKMPXRS42M","GSON1116030990")</f>
        <v>#NAME?</v>
      </c>
      <c r="I2422" s="23" t="e">
        <f ca="1">[1]!BexGetData("DP_1","003N8EMH8GTFRCSWKMPXRSAE6","GSON1116030990")</f>
        <v>#NAME?</v>
      </c>
      <c r="J2422" s="24" t="e">
        <f ca="1">[1]!BexGetData("DP_1","003N8EMH8GTFRCSWKMPXRSGPQ","GSON1116030990")</f>
        <v>#NAME?</v>
      </c>
      <c r="K2422" s="23" t="e">
        <f ca="1">[1]!BexGetData("DP_1","003N8EMH8GTFRIVNUPY288VJH","GSON1116030990")</f>
        <v>#NAME?</v>
      </c>
      <c r="L2422" s="23" t="e">
        <f ca="1">[1]!BexGetData("DP_1","003N8EMH8GTFRIVNUPY2891V1","GSON1116030990")</f>
        <v>#NAME?</v>
      </c>
      <c r="M2422" s="23" t="e">
        <f ca="1">[1]!BexGetData("DP_1","003N8EMH8GTFRIVOG7KG9IQXA","GSON1116030990")</f>
        <v>#NAME?</v>
      </c>
      <c r="N2422" s="28" t="e">
        <f ca="1">[1]!BexGetData("DP_1","003N8EMH8GTFRIVOG7KG9IX8U","GSON1116030990")</f>
        <v>#NAME?</v>
      </c>
      <c r="O2422" s="23" t="e">
        <f ca="1">[1]!BexGetData("DP_1","003N8EMH8GTFRIVOG7KG9J3KE","GSON1116030990")</f>
        <v>#NAME?</v>
      </c>
      <c r="P2422" s="28" t="e">
        <f ca="1">[1]!BexGetData("DP_1","003N8EMH8GTFRIVOG7KG9J9VY","GSON1116030990")</f>
        <v>#NAME?</v>
      </c>
      <c r="Q2422" s="24" t="e">
        <f ca="1">[1]!BexGetData("DP_1","00O2TNJGODT0G5Z4TTKYMM5MT","GSON1116030990")</f>
        <v>#NAME?</v>
      </c>
      <c r="R2422" s="23" t="e">
        <f ca="1">[1]!BexGetData("DP_1","00O2TNJGODT0G5Z4TTKYMMBYD","GSON1116030990")</f>
        <v>#NAME?</v>
      </c>
      <c r="S2422" s="23" t="e">
        <f ca="1">[1]!BexGetData("DP_1","00O2TNJGODT0G5Z4TTKYMMI9X","GSON1116030990")</f>
        <v>#NAME?</v>
      </c>
      <c r="T2422" s="28" t="e">
        <f ca="1">[1]!BexGetData("DP_1","00O2TNJGODT0G5Z4TTKYMMOLH","GSON1116030990")</f>
        <v>#NAME?</v>
      </c>
      <c r="U2422" s="23" t="e">
        <f ca="1">[1]!BexGetData("DP_1","00O2TNJGODT0G5Z4TTKYMMUX1","GSON1116030990")</f>
        <v>#NAME?</v>
      </c>
      <c r="V2422" s="28" t="e">
        <f ca="1">[1]!BexGetData("DP_1","00O2TNJGODT0G5Z4TTKYMN18L","GSON1116030990")</f>
        <v>#NAME?</v>
      </c>
      <c r="W2422" s="23" t="e">
        <f ca="1">[1]!BexGetData("DP_1","00O2TNJGODT0G5Z4TTKYMN7K5","GSON1116030990")</f>
        <v>#NAME?</v>
      </c>
    </row>
    <row r="2423" spans="1:23" x14ac:dyDescent="0.2">
      <c r="A2423" s="36" t="s">
        <v>5782</v>
      </c>
      <c r="B2423" s="27" t="s">
        <v>5783</v>
      </c>
      <c r="C2423" s="23" t="e">
        <f ca="1">[1]!BexGetData("DP_1","003N8EMH8GTFRCSWKMPXRR8GU","GSON1116030991")</f>
        <v>#NAME?</v>
      </c>
      <c r="D2423" s="23" t="e">
        <f ca="1">[1]!BexGetData("DP_1","003N8EMH8GTFRCSWKMPXRRESE","GSON1116030991")</f>
        <v>#NAME?</v>
      </c>
      <c r="E2423" s="28" t="e">
        <f ca="1">[1]!BexGetData("DP_1","003N8EMH8GTFRCSWKMPXRRL3Y","GSON1116030991")</f>
        <v>#NAME?</v>
      </c>
      <c r="F2423" s="28" t="e">
        <f ca="1">[1]!BexGetData("DP_1","003N8EMH8GTFRCSWKMPXRRRFI","GSON1116030991")</f>
        <v>#NAME?</v>
      </c>
      <c r="G2423" s="23" t="e">
        <f ca="1">[1]!BexGetData("DP_1","003N8EMH8GTFRCSWKMPXRRXR2","GSON1116030991")</f>
        <v>#NAME?</v>
      </c>
      <c r="H2423" s="23" t="e">
        <f ca="1">[1]!BexGetData("DP_1","003N8EMH8GTFRCSWKMPXRS42M","GSON1116030991")</f>
        <v>#NAME?</v>
      </c>
      <c r="I2423" s="28" t="e">
        <f ca="1">[1]!BexGetData("DP_1","003N8EMH8GTFRCSWKMPXRSAE6","GSON1116030991")</f>
        <v>#NAME?</v>
      </c>
      <c r="J2423" s="24" t="e">
        <f ca="1">[1]!BexGetData("DP_1","003N8EMH8GTFRCSWKMPXRSGPQ","GSON1116030991")</f>
        <v>#NAME?</v>
      </c>
      <c r="K2423" s="28" t="e">
        <f ca="1">[1]!BexGetData("DP_1","003N8EMH8GTFRIVNUPY288VJH","GSON1116030991")</f>
        <v>#NAME?</v>
      </c>
      <c r="L2423" s="28" t="e">
        <f ca="1">[1]!BexGetData("DP_1","003N8EMH8GTFRIVNUPY2891V1","GSON1116030991")</f>
        <v>#NAME?</v>
      </c>
      <c r="M2423" s="28" t="e">
        <f ca="1">[1]!BexGetData("DP_1","003N8EMH8GTFRIVOG7KG9IQXA","GSON1116030991")</f>
        <v>#NAME?</v>
      </c>
      <c r="N2423" s="28" t="e">
        <f ca="1">[1]!BexGetData("DP_1","003N8EMH8GTFRIVOG7KG9IX8U","GSON1116030991")</f>
        <v>#NAME?</v>
      </c>
      <c r="O2423" s="28" t="e">
        <f ca="1">[1]!BexGetData("DP_1","003N8EMH8GTFRIVOG7KG9J3KE","GSON1116030991")</f>
        <v>#NAME?</v>
      </c>
      <c r="P2423" s="28" t="e">
        <f ca="1">[1]!BexGetData("DP_1","003N8EMH8GTFRIVOG7KG9J9VY","GSON1116030991")</f>
        <v>#NAME?</v>
      </c>
      <c r="Q2423" s="24" t="e">
        <f ca="1">[1]!BexGetData("DP_1","00O2TNJGODT0G5Z4TTKYMM5MT","GSON1116030991")</f>
        <v>#NAME?</v>
      </c>
      <c r="R2423" s="28" t="e">
        <f ca="1">[1]!BexGetData("DP_1","00O2TNJGODT0G5Z4TTKYMMBYD","GSON1116030991")</f>
        <v>#NAME?</v>
      </c>
      <c r="S2423" s="28" t="e">
        <f ca="1">[1]!BexGetData("DP_1","00O2TNJGODT0G5Z4TTKYMMI9X","GSON1116030991")</f>
        <v>#NAME?</v>
      </c>
      <c r="T2423" s="28" t="e">
        <f ca="1">[1]!BexGetData("DP_1","00O2TNJGODT0G5Z4TTKYMMOLH","GSON1116030991")</f>
        <v>#NAME?</v>
      </c>
      <c r="U2423" s="28" t="e">
        <f ca="1">[1]!BexGetData("DP_1","00O2TNJGODT0G5Z4TTKYMMUX1","GSON1116030991")</f>
        <v>#NAME?</v>
      </c>
      <c r="V2423" s="28" t="e">
        <f ca="1">[1]!BexGetData("DP_1","00O2TNJGODT0G5Z4TTKYMN18L","GSON1116030991")</f>
        <v>#NAME?</v>
      </c>
      <c r="W2423" s="28" t="e">
        <f ca="1">[1]!BexGetData("DP_1","00O2TNJGODT0G5Z4TTKYMN7K5","GSON1116030991")</f>
        <v>#NAME?</v>
      </c>
    </row>
    <row r="2424" spans="1:23" x14ac:dyDescent="0.2">
      <c r="A2424" s="36" t="s">
        <v>5784</v>
      </c>
      <c r="B2424" s="27" t="s">
        <v>5785</v>
      </c>
      <c r="C2424" s="23" t="e">
        <f ca="1">[1]!BexGetData("DP_1","003N8EMH8GTFRCSWKMPXRR8GU","GSON1116030992")</f>
        <v>#NAME?</v>
      </c>
      <c r="D2424" s="23" t="e">
        <f ca="1">[1]!BexGetData("DP_1","003N8EMH8GTFRCSWKMPXRRESE","GSON1116030992")</f>
        <v>#NAME?</v>
      </c>
      <c r="E2424" s="28" t="e">
        <f ca="1">[1]!BexGetData("DP_1","003N8EMH8GTFRCSWKMPXRRL3Y","GSON1116030992")</f>
        <v>#NAME?</v>
      </c>
      <c r="F2424" s="23" t="e">
        <f ca="1">[1]!BexGetData("DP_1","003N8EMH8GTFRCSWKMPXRRRFI","GSON1116030992")</f>
        <v>#NAME?</v>
      </c>
      <c r="G2424" s="23" t="e">
        <f ca="1">[1]!BexGetData("DP_1","003N8EMH8GTFRCSWKMPXRRXR2","GSON1116030992")</f>
        <v>#NAME?</v>
      </c>
      <c r="H2424" s="23" t="e">
        <f ca="1">[1]!BexGetData("DP_1","003N8EMH8GTFRCSWKMPXRS42M","GSON1116030992")</f>
        <v>#NAME?</v>
      </c>
      <c r="I2424" s="23" t="e">
        <f ca="1">[1]!BexGetData("DP_1","003N8EMH8GTFRCSWKMPXRSAE6","GSON1116030992")</f>
        <v>#NAME?</v>
      </c>
      <c r="J2424" s="24" t="e">
        <f ca="1">[1]!BexGetData("DP_1","003N8EMH8GTFRCSWKMPXRSGPQ","GSON1116030992")</f>
        <v>#NAME?</v>
      </c>
      <c r="K2424" s="23" t="e">
        <f ca="1">[1]!BexGetData("DP_1","003N8EMH8GTFRIVNUPY288VJH","GSON1116030992")</f>
        <v>#NAME?</v>
      </c>
      <c r="L2424" s="23" t="e">
        <f ca="1">[1]!BexGetData("DP_1","003N8EMH8GTFRIVNUPY2891V1","GSON1116030992")</f>
        <v>#NAME?</v>
      </c>
      <c r="M2424" s="28" t="e">
        <f ca="1">[1]!BexGetData("DP_1","003N8EMH8GTFRIVOG7KG9IQXA","GSON1116030992")</f>
        <v>#NAME?</v>
      </c>
      <c r="N2424" s="23" t="e">
        <f ca="1">[1]!BexGetData("DP_1","003N8EMH8GTFRIVOG7KG9IX8U","GSON1116030992")</f>
        <v>#NAME?</v>
      </c>
      <c r="O2424" s="28" t="e">
        <f ca="1">[1]!BexGetData("DP_1","003N8EMH8GTFRIVOG7KG9J3KE","GSON1116030992")</f>
        <v>#NAME?</v>
      </c>
      <c r="P2424" s="23" t="e">
        <f ca="1">[1]!BexGetData("DP_1","003N8EMH8GTFRIVOG7KG9J9VY","GSON1116030992")</f>
        <v>#NAME?</v>
      </c>
      <c r="Q2424" s="24" t="e">
        <f ca="1">[1]!BexGetData("DP_1","00O2TNJGODT0G5Z4TTKYMM5MT","GSON1116030992")</f>
        <v>#NAME?</v>
      </c>
      <c r="R2424" s="23" t="e">
        <f ca="1">[1]!BexGetData("DP_1","00O2TNJGODT0G5Z4TTKYMMBYD","GSON1116030992")</f>
        <v>#NAME?</v>
      </c>
      <c r="S2424" s="23" t="e">
        <f ca="1">[1]!BexGetData("DP_1","00O2TNJGODT0G5Z4TTKYMMI9X","GSON1116030992")</f>
        <v>#NAME?</v>
      </c>
      <c r="T2424" s="23" t="e">
        <f ca="1">[1]!BexGetData("DP_1","00O2TNJGODT0G5Z4TTKYMMOLH","GSON1116030992")</f>
        <v>#NAME?</v>
      </c>
      <c r="U2424" s="28" t="e">
        <f ca="1">[1]!BexGetData("DP_1","00O2TNJGODT0G5Z4TTKYMMUX1","GSON1116030992")</f>
        <v>#NAME?</v>
      </c>
      <c r="V2424" s="23" t="e">
        <f ca="1">[1]!BexGetData("DP_1","00O2TNJGODT0G5Z4TTKYMN18L","GSON1116030992")</f>
        <v>#NAME?</v>
      </c>
      <c r="W2424" s="28" t="e">
        <f ca="1">[1]!BexGetData("DP_1","00O2TNJGODT0G5Z4TTKYMN7K5","GSON1116030992")</f>
        <v>#NAME?</v>
      </c>
    </row>
    <row r="2425" spans="1:23" x14ac:dyDescent="0.2">
      <c r="A2425" s="36" t="s">
        <v>5786</v>
      </c>
      <c r="B2425" s="27" t="s">
        <v>5787</v>
      </c>
      <c r="C2425" s="23" t="e">
        <f ca="1">[1]!BexGetData("DP_1","003N8EMH8GTFRCSWKMPXRR8GU","GSON1116030993")</f>
        <v>#NAME?</v>
      </c>
      <c r="D2425" s="23" t="e">
        <f ca="1">[1]!BexGetData("DP_1","003N8EMH8GTFRCSWKMPXRRESE","GSON1116030993")</f>
        <v>#NAME?</v>
      </c>
      <c r="E2425" s="28" t="e">
        <f ca="1">[1]!BexGetData("DP_1","003N8EMH8GTFRCSWKMPXRRL3Y","GSON1116030993")</f>
        <v>#NAME?</v>
      </c>
      <c r="F2425" s="28" t="e">
        <f ca="1">[1]!BexGetData("DP_1","003N8EMH8GTFRCSWKMPXRRRFI","GSON1116030993")</f>
        <v>#NAME?</v>
      </c>
      <c r="G2425" s="23" t="e">
        <f ca="1">[1]!BexGetData("DP_1","003N8EMH8GTFRCSWKMPXRRXR2","GSON1116030993")</f>
        <v>#NAME?</v>
      </c>
      <c r="H2425" s="23" t="e">
        <f ca="1">[1]!BexGetData("DP_1","003N8EMH8GTFRCSWKMPXRS42M","GSON1116030993")</f>
        <v>#NAME?</v>
      </c>
      <c r="I2425" s="28" t="e">
        <f ca="1">[1]!BexGetData("DP_1","003N8EMH8GTFRCSWKMPXRSAE6","GSON1116030993")</f>
        <v>#NAME?</v>
      </c>
      <c r="J2425" s="24" t="e">
        <f ca="1">[1]!BexGetData("DP_1","003N8EMH8GTFRCSWKMPXRSGPQ","GSON1116030993")</f>
        <v>#NAME?</v>
      </c>
      <c r="K2425" s="28" t="e">
        <f ca="1">[1]!BexGetData("DP_1","003N8EMH8GTFRIVNUPY288VJH","GSON1116030993")</f>
        <v>#NAME?</v>
      </c>
      <c r="L2425" s="28" t="e">
        <f ca="1">[1]!BexGetData("DP_1","003N8EMH8GTFRIVNUPY2891V1","GSON1116030993")</f>
        <v>#NAME?</v>
      </c>
      <c r="M2425" s="28" t="e">
        <f ca="1">[1]!BexGetData("DP_1","003N8EMH8GTFRIVOG7KG9IQXA","GSON1116030993")</f>
        <v>#NAME?</v>
      </c>
      <c r="N2425" s="28" t="e">
        <f ca="1">[1]!BexGetData("DP_1","003N8EMH8GTFRIVOG7KG9IX8U","GSON1116030993")</f>
        <v>#NAME?</v>
      </c>
      <c r="O2425" s="28" t="e">
        <f ca="1">[1]!BexGetData("DP_1","003N8EMH8GTFRIVOG7KG9J3KE","GSON1116030993")</f>
        <v>#NAME?</v>
      </c>
      <c r="P2425" s="28" t="e">
        <f ca="1">[1]!BexGetData("DP_1","003N8EMH8GTFRIVOG7KG9J9VY","GSON1116030993")</f>
        <v>#NAME?</v>
      </c>
      <c r="Q2425" s="24" t="e">
        <f ca="1">[1]!BexGetData("DP_1","00O2TNJGODT0G5Z4TTKYMM5MT","GSON1116030993")</f>
        <v>#NAME?</v>
      </c>
      <c r="R2425" s="28" t="e">
        <f ca="1">[1]!BexGetData("DP_1","00O2TNJGODT0G5Z4TTKYMMBYD","GSON1116030993")</f>
        <v>#NAME?</v>
      </c>
      <c r="S2425" s="28" t="e">
        <f ca="1">[1]!BexGetData("DP_1","00O2TNJGODT0G5Z4TTKYMMI9X","GSON1116030993")</f>
        <v>#NAME?</v>
      </c>
      <c r="T2425" s="28" t="e">
        <f ca="1">[1]!BexGetData("DP_1","00O2TNJGODT0G5Z4TTKYMMOLH","GSON1116030993")</f>
        <v>#NAME?</v>
      </c>
      <c r="U2425" s="28" t="e">
        <f ca="1">[1]!BexGetData("DP_1","00O2TNJGODT0G5Z4TTKYMMUX1","GSON1116030993")</f>
        <v>#NAME?</v>
      </c>
      <c r="V2425" s="28" t="e">
        <f ca="1">[1]!BexGetData("DP_1","00O2TNJGODT0G5Z4TTKYMN18L","GSON1116030993")</f>
        <v>#NAME?</v>
      </c>
      <c r="W2425" s="28" t="e">
        <f ca="1">[1]!BexGetData("DP_1","00O2TNJGODT0G5Z4TTKYMN7K5","GSON1116030993")</f>
        <v>#NAME?</v>
      </c>
    </row>
    <row r="2426" spans="1:23" x14ac:dyDescent="0.2">
      <c r="A2426" s="36" t="s">
        <v>5788</v>
      </c>
      <c r="B2426" s="27" t="s">
        <v>5789</v>
      </c>
      <c r="C2426" s="24" t="e">
        <f ca="1">[1]!BexGetData("DP_1","003N8EMH8GTFRCSWKMPXRR8GU","GSON1116030994")</f>
        <v>#NAME?</v>
      </c>
      <c r="D2426" s="24" t="e">
        <f ca="1">[1]!BexGetData("DP_1","003N8EMH8GTFRCSWKMPXRRESE","GSON1116030994")</f>
        <v>#NAME?</v>
      </c>
      <c r="E2426" s="24" t="e">
        <f ca="1">[1]!BexGetData("DP_1","003N8EMH8GTFRCSWKMPXRRL3Y","GSON1116030994")</f>
        <v>#NAME?</v>
      </c>
      <c r="F2426" s="28" t="e">
        <f ca="1">[1]!BexGetData("DP_1","003N8EMH8GTFRCSWKMPXRRRFI","GSON1116030994")</f>
        <v>#NAME?</v>
      </c>
      <c r="G2426" s="23" t="e">
        <f ca="1">[1]!BexGetData("DP_1","003N8EMH8GTFRCSWKMPXRRXR2","GSON1116030994")</f>
        <v>#NAME?</v>
      </c>
      <c r="H2426" s="23" t="e">
        <f ca="1">[1]!BexGetData("DP_1","003N8EMH8GTFRCSWKMPXRS42M","GSON1116030994")</f>
        <v>#NAME?</v>
      </c>
      <c r="I2426" s="28" t="e">
        <f ca="1">[1]!BexGetData("DP_1","003N8EMH8GTFRCSWKMPXRSAE6","GSON1116030994")</f>
        <v>#NAME?</v>
      </c>
      <c r="J2426" s="24" t="e">
        <f ca="1">[1]!BexGetData("DP_1","003N8EMH8GTFRCSWKMPXRSGPQ","GSON1116030994")</f>
        <v>#NAME?</v>
      </c>
      <c r="K2426" s="28" t="e">
        <f ca="1">[1]!BexGetData("DP_1","003N8EMH8GTFRIVNUPY288VJH","GSON1116030994")</f>
        <v>#NAME?</v>
      </c>
      <c r="L2426" s="28" t="e">
        <f ca="1">[1]!BexGetData("DP_1","003N8EMH8GTFRIVNUPY2891V1","GSON1116030994")</f>
        <v>#NAME?</v>
      </c>
      <c r="M2426" s="28" t="e">
        <f ca="1">[1]!BexGetData("DP_1","003N8EMH8GTFRIVOG7KG9IQXA","GSON1116030994")</f>
        <v>#NAME?</v>
      </c>
      <c r="N2426" s="28" t="e">
        <f ca="1">[1]!BexGetData("DP_1","003N8EMH8GTFRIVOG7KG9IX8U","GSON1116030994")</f>
        <v>#NAME?</v>
      </c>
      <c r="O2426" s="28" t="e">
        <f ca="1">[1]!BexGetData("DP_1","003N8EMH8GTFRIVOG7KG9J3KE","GSON1116030994")</f>
        <v>#NAME?</v>
      </c>
      <c r="P2426" s="28" t="e">
        <f ca="1">[1]!BexGetData("DP_1","003N8EMH8GTFRIVOG7KG9J9VY","GSON1116030994")</f>
        <v>#NAME?</v>
      </c>
      <c r="Q2426" s="24" t="e">
        <f ca="1">[1]!BexGetData("DP_1","00O2TNJGODT0G5Z4TTKYMM5MT","GSON1116030994")</f>
        <v>#NAME?</v>
      </c>
      <c r="R2426" s="28" t="e">
        <f ca="1">[1]!BexGetData("DP_1","00O2TNJGODT0G5Z4TTKYMMBYD","GSON1116030994")</f>
        <v>#NAME?</v>
      </c>
      <c r="S2426" s="28" t="e">
        <f ca="1">[1]!BexGetData("DP_1","00O2TNJGODT0G5Z4TTKYMMI9X","GSON1116030994")</f>
        <v>#NAME?</v>
      </c>
      <c r="T2426" s="28" t="e">
        <f ca="1">[1]!BexGetData("DP_1","00O2TNJGODT0G5Z4TTKYMMOLH","GSON1116030994")</f>
        <v>#NAME?</v>
      </c>
      <c r="U2426" s="28" t="e">
        <f ca="1">[1]!BexGetData("DP_1","00O2TNJGODT0G5Z4TTKYMMUX1","GSON1116030994")</f>
        <v>#NAME?</v>
      </c>
      <c r="V2426" s="28" t="e">
        <f ca="1">[1]!BexGetData("DP_1","00O2TNJGODT0G5Z4TTKYMN18L","GSON1116030994")</f>
        <v>#NAME?</v>
      </c>
      <c r="W2426" s="28" t="e">
        <f ca="1">[1]!BexGetData("DP_1","00O2TNJGODT0G5Z4TTKYMN7K5","GSON1116030994")</f>
        <v>#NAME?</v>
      </c>
    </row>
    <row r="2427" spans="1:23" x14ac:dyDescent="0.2">
      <c r="A2427" s="36" t="s">
        <v>5790</v>
      </c>
      <c r="B2427" s="27" t="s">
        <v>5791</v>
      </c>
      <c r="C2427" s="23" t="e">
        <f ca="1">[1]!BexGetData("DP_1","003N8EMH8GTFRCSWKMPXRR8GU","GSON1116030995")</f>
        <v>#NAME?</v>
      </c>
      <c r="D2427" s="23" t="e">
        <f ca="1">[1]!BexGetData("DP_1","003N8EMH8GTFRCSWKMPXRRESE","GSON1116030995")</f>
        <v>#NAME?</v>
      </c>
      <c r="E2427" s="28" t="e">
        <f ca="1">[1]!BexGetData("DP_1","003N8EMH8GTFRCSWKMPXRRL3Y","GSON1116030995")</f>
        <v>#NAME?</v>
      </c>
      <c r="F2427" s="28" t="e">
        <f ca="1">[1]!BexGetData("DP_1","003N8EMH8GTFRCSWKMPXRRRFI","GSON1116030995")</f>
        <v>#NAME?</v>
      </c>
      <c r="G2427" s="23" t="e">
        <f ca="1">[1]!BexGetData("DP_1","003N8EMH8GTFRCSWKMPXRRXR2","GSON1116030995")</f>
        <v>#NAME?</v>
      </c>
      <c r="H2427" s="23" t="e">
        <f ca="1">[1]!BexGetData("DP_1","003N8EMH8GTFRCSWKMPXRS42M","GSON1116030995")</f>
        <v>#NAME?</v>
      </c>
      <c r="I2427" s="28" t="e">
        <f ca="1">[1]!BexGetData("DP_1","003N8EMH8GTFRCSWKMPXRSAE6","GSON1116030995")</f>
        <v>#NAME?</v>
      </c>
      <c r="J2427" s="24" t="e">
        <f ca="1">[1]!BexGetData("DP_1","003N8EMH8GTFRCSWKMPXRSGPQ","GSON1116030995")</f>
        <v>#NAME?</v>
      </c>
      <c r="K2427" s="28" t="e">
        <f ca="1">[1]!BexGetData("DP_1","003N8EMH8GTFRIVNUPY288VJH","GSON1116030995")</f>
        <v>#NAME?</v>
      </c>
      <c r="L2427" s="28" t="e">
        <f ca="1">[1]!BexGetData("DP_1","003N8EMH8GTFRIVNUPY2891V1","GSON1116030995")</f>
        <v>#NAME?</v>
      </c>
      <c r="M2427" s="28" t="e">
        <f ca="1">[1]!BexGetData("DP_1","003N8EMH8GTFRIVOG7KG9IQXA","GSON1116030995")</f>
        <v>#NAME?</v>
      </c>
      <c r="N2427" s="28" t="e">
        <f ca="1">[1]!BexGetData("DP_1","003N8EMH8GTFRIVOG7KG9IX8U","GSON1116030995")</f>
        <v>#NAME?</v>
      </c>
      <c r="O2427" s="28" t="e">
        <f ca="1">[1]!BexGetData("DP_1","003N8EMH8GTFRIVOG7KG9J3KE","GSON1116030995")</f>
        <v>#NAME?</v>
      </c>
      <c r="P2427" s="28" t="e">
        <f ca="1">[1]!BexGetData("DP_1","003N8EMH8GTFRIVOG7KG9J9VY","GSON1116030995")</f>
        <v>#NAME?</v>
      </c>
      <c r="Q2427" s="24" t="e">
        <f ca="1">[1]!BexGetData("DP_1","00O2TNJGODT0G5Z4TTKYMM5MT","GSON1116030995")</f>
        <v>#NAME?</v>
      </c>
      <c r="R2427" s="28" t="e">
        <f ca="1">[1]!BexGetData("DP_1","00O2TNJGODT0G5Z4TTKYMMBYD","GSON1116030995")</f>
        <v>#NAME?</v>
      </c>
      <c r="S2427" s="28" t="e">
        <f ca="1">[1]!BexGetData("DP_1","00O2TNJGODT0G5Z4TTKYMMI9X","GSON1116030995")</f>
        <v>#NAME?</v>
      </c>
      <c r="T2427" s="28" t="e">
        <f ca="1">[1]!BexGetData("DP_1","00O2TNJGODT0G5Z4TTKYMMOLH","GSON1116030995")</f>
        <v>#NAME?</v>
      </c>
      <c r="U2427" s="28" t="e">
        <f ca="1">[1]!BexGetData("DP_1","00O2TNJGODT0G5Z4TTKYMMUX1","GSON1116030995")</f>
        <v>#NAME?</v>
      </c>
      <c r="V2427" s="28" t="e">
        <f ca="1">[1]!BexGetData("DP_1","00O2TNJGODT0G5Z4TTKYMN18L","GSON1116030995")</f>
        <v>#NAME?</v>
      </c>
      <c r="W2427" s="28" t="e">
        <f ca="1">[1]!BexGetData("DP_1","00O2TNJGODT0G5Z4TTKYMN7K5","GSON1116030995")</f>
        <v>#NAME?</v>
      </c>
    </row>
    <row r="2428" spans="1:23" x14ac:dyDescent="0.2">
      <c r="A2428" s="36" t="s">
        <v>5792</v>
      </c>
      <c r="B2428" s="27" t="s">
        <v>5793</v>
      </c>
      <c r="C2428" s="24" t="e">
        <f ca="1">[1]!BexGetData("DP_1","003N8EMH8GTFRCSWKMPXRR8GU","GSON1116031050")</f>
        <v>#NAME?</v>
      </c>
      <c r="D2428" s="24" t="e">
        <f ca="1">[1]!BexGetData("DP_1","003N8EMH8GTFRCSWKMPXRRESE","GSON1116031050")</f>
        <v>#NAME?</v>
      </c>
      <c r="E2428" s="24" t="e">
        <f ca="1">[1]!BexGetData("DP_1","003N8EMH8GTFRCSWKMPXRRL3Y","GSON1116031050")</f>
        <v>#NAME?</v>
      </c>
      <c r="F2428" s="28" t="e">
        <f ca="1">[1]!BexGetData("DP_1","003N8EMH8GTFRCSWKMPXRRRFI","GSON1116031050")</f>
        <v>#NAME?</v>
      </c>
      <c r="G2428" s="23" t="e">
        <f ca="1">[1]!BexGetData("DP_1","003N8EMH8GTFRCSWKMPXRRXR2","GSON1116031050")</f>
        <v>#NAME?</v>
      </c>
      <c r="H2428" s="23" t="e">
        <f ca="1">[1]!BexGetData("DP_1","003N8EMH8GTFRCSWKMPXRS42M","GSON1116031050")</f>
        <v>#NAME?</v>
      </c>
      <c r="I2428" s="28" t="e">
        <f ca="1">[1]!BexGetData("DP_1","003N8EMH8GTFRCSWKMPXRSAE6","GSON1116031050")</f>
        <v>#NAME?</v>
      </c>
      <c r="J2428" s="24" t="e">
        <f ca="1">[1]!BexGetData("DP_1","003N8EMH8GTFRCSWKMPXRSGPQ","GSON1116031050")</f>
        <v>#NAME?</v>
      </c>
      <c r="K2428" s="28" t="e">
        <f ca="1">[1]!BexGetData("DP_1","003N8EMH8GTFRIVNUPY288VJH","GSON1116031050")</f>
        <v>#NAME?</v>
      </c>
      <c r="L2428" s="28" t="e">
        <f ca="1">[1]!BexGetData("DP_1","003N8EMH8GTFRIVNUPY2891V1","GSON1116031050")</f>
        <v>#NAME?</v>
      </c>
      <c r="M2428" s="28" t="e">
        <f ca="1">[1]!BexGetData("DP_1","003N8EMH8GTFRIVOG7KG9IQXA","GSON1116031050")</f>
        <v>#NAME?</v>
      </c>
      <c r="N2428" s="28" t="e">
        <f ca="1">[1]!BexGetData("DP_1","003N8EMH8GTFRIVOG7KG9IX8U","GSON1116031050")</f>
        <v>#NAME?</v>
      </c>
      <c r="O2428" s="28" t="e">
        <f ca="1">[1]!BexGetData("DP_1","003N8EMH8GTFRIVOG7KG9J3KE","GSON1116031050")</f>
        <v>#NAME?</v>
      </c>
      <c r="P2428" s="28" t="e">
        <f ca="1">[1]!BexGetData("DP_1","003N8EMH8GTFRIVOG7KG9J9VY","GSON1116031050")</f>
        <v>#NAME?</v>
      </c>
      <c r="Q2428" s="24" t="e">
        <f ca="1">[1]!BexGetData("DP_1","00O2TNJGODT0G5Z4TTKYMM5MT","GSON1116031050")</f>
        <v>#NAME?</v>
      </c>
      <c r="R2428" s="28" t="e">
        <f ca="1">[1]!BexGetData("DP_1","00O2TNJGODT0G5Z4TTKYMMBYD","GSON1116031050")</f>
        <v>#NAME?</v>
      </c>
      <c r="S2428" s="28" t="e">
        <f ca="1">[1]!BexGetData("DP_1","00O2TNJGODT0G5Z4TTKYMMI9X","GSON1116031050")</f>
        <v>#NAME?</v>
      </c>
      <c r="T2428" s="28" t="e">
        <f ca="1">[1]!BexGetData("DP_1","00O2TNJGODT0G5Z4TTKYMMOLH","GSON1116031050")</f>
        <v>#NAME?</v>
      </c>
      <c r="U2428" s="28" t="e">
        <f ca="1">[1]!BexGetData("DP_1","00O2TNJGODT0G5Z4TTKYMMUX1","GSON1116031050")</f>
        <v>#NAME?</v>
      </c>
      <c r="V2428" s="28" t="e">
        <f ca="1">[1]!BexGetData("DP_1","00O2TNJGODT0G5Z4TTKYMN18L","GSON1116031050")</f>
        <v>#NAME?</v>
      </c>
      <c r="W2428" s="28" t="e">
        <f ca="1">[1]!BexGetData("DP_1","00O2TNJGODT0G5Z4TTKYMN7K5","GSON1116031050")</f>
        <v>#NAME?</v>
      </c>
    </row>
    <row r="2429" spans="1:23" x14ac:dyDescent="0.2">
      <c r="A2429" s="36" t="s">
        <v>5794</v>
      </c>
      <c r="B2429" s="27" t="s">
        <v>5795</v>
      </c>
      <c r="C2429" s="24" t="e">
        <f ca="1">[1]!BexGetData("DP_1","003N8EMH8GTFRCSWKMPXRR8GU","GSON1116031053")</f>
        <v>#NAME?</v>
      </c>
      <c r="D2429" s="24" t="e">
        <f ca="1">[1]!BexGetData("DP_1","003N8EMH8GTFRCSWKMPXRRESE","GSON1116031053")</f>
        <v>#NAME?</v>
      </c>
      <c r="E2429" s="24" t="e">
        <f ca="1">[1]!BexGetData("DP_1","003N8EMH8GTFRCSWKMPXRRL3Y","GSON1116031053")</f>
        <v>#NAME?</v>
      </c>
      <c r="F2429" s="28" t="e">
        <f ca="1">[1]!BexGetData("DP_1","003N8EMH8GTFRCSWKMPXRRRFI","GSON1116031053")</f>
        <v>#NAME?</v>
      </c>
      <c r="G2429" s="23" t="e">
        <f ca="1">[1]!BexGetData("DP_1","003N8EMH8GTFRCSWKMPXRRXR2","GSON1116031053")</f>
        <v>#NAME?</v>
      </c>
      <c r="H2429" s="23" t="e">
        <f ca="1">[1]!BexGetData("DP_1","003N8EMH8GTFRCSWKMPXRS42M","GSON1116031053")</f>
        <v>#NAME?</v>
      </c>
      <c r="I2429" s="28" t="e">
        <f ca="1">[1]!BexGetData("DP_1","003N8EMH8GTFRCSWKMPXRSAE6","GSON1116031053")</f>
        <v>#NAME?</v>
      </c>
      <c r="J2429" s="24" t="e">
        <f ca="1">[1]!BexGetData("DP_1","003N8EMH8GTFRCSWKMPXRSGPQ","GSON1116031053")</f>
        <v>#NAME?</v>
      </c>
      <c r="K2429" s="28" t="e">
        <f ca="1">[1]!BexGetData("DP_1","003N8EMH8GTFRIVNUPY288VJH","GSON1116031053")</f>
        <v>#NAME?</v>
      </c>
      <c r="L2429" s="28" t="e">
        <f ca="1">[1]!BexGetData("DP_1","003N8EMH8GTFRIVNUPY2891V1","GSON1116031053")</f>
        <v>#NAME?</v>
      </c>
      <c r="M2429" s="28" t="e">
        <f ca="1">[1]!BexGetData("DP_1","003N8EMH8GTFRIVOG7KG9IQXA","GSON1116031053")</f>
        <v>#NAME?</v>
      </c>
      <c r="N2429" s="28" t="e">
        <f ca="1">[1]!BexGetData("DP_1","003N8EMH8GTFRIVOG7KG9IX8U","GSON1116031053")</f>
        <v>#NAME?</v>
      </c>
      <c r="O2429" s="28" t="e">
        <f ca="1">[1]!BexGetData("DP_1","003N8EMH8GTFRIVOG7KG9J3KE","GSON1116031053")</f>
        <v>#NAME?</v>
      </c>
      <c r="P2429" s="28" t="e">
        <f ca="1">[1]!BexGetData("DP_1","003N8EMH8GTFRIVOG7KG9J9VY","GSON1116031053")</f>
        <v>#NAME?</v>
      </c>
      <c r="Q2429" s="24" t="e">
        <f ca="1">[1]!BexGetData("DP_1","00O2TNJGODT0G5Z4TTKYMM5MT","GSON1116031053")</f>
        <v>#NAME?</v>
      </c>
      <c r="R2429" s="28" t="e">
        <f ca="1">[1]!BexGetData("DP_1","00O2TNJGODT0G5Z4TTKYMMBYD","GSON1116031053")</f>
        <v>#NAME?</v>
      </c>
      <c r="S2429" s="28" t="e">
        <f ca="1">[1]!BexGetData("DP_1","00O2TNJGODT0G5Z4TTKYMMI9X","GSON1116031053")</f>
        <v>#NAME?</v>
      </c>
      <c r="T2429" s="28" t="e">
        <f ca="1">[1]!BexGetData("DP_1","00O2TNJGODT0G5Z4TTKYMMOLH","GSON1116031053")</f>
        <v>#NAME?</v>
      </c>
      <c r="U2429" s="28" t="e">
        <f ca="1">[1]!BexGetData("DP_1","00O2TNJGODT0G5Z4TTKYMMUX1","GSON1116031053")</f>
        <v>#NAME?</v>
      </c>
      <c r="V2429" s="28" t="e">
        <f ca="1">[1]!BexGetData("DP_1","00O2TNJGODT0G5Z4TTKYMN18L","GSON1116031053")</f>
        <v>#NAME?</v>
      </c>
      <c r="W2429" s="28" t="e">
        <f ca="1">[1]!BexGetData("DP_1","00O2TNJGODT0G5Z4TTKYMN7K5","GSON1116031053")</f>
        <v>#NAME?</v>
      </c>
    </row>
    <row r="2430" spans="1:23" x14ac:dyDescent="0.2">
      <c r="A2430" s="36" t="s">
        <v>5796</v>
      </c>
      <c r="B2430" s="27" t="s">
        <v>5797</v>
      </c>
      <c r="C2430" s="24" t="e">
        <f ca="1">[1]!BexGetData("DP_1","003N8EMH8GTFRCSWKMPXRR8GU","GSON1116031055")</f>
        <v>#NAME?</v>
      </c>
      <c r="D2430" s="24" t="e">
        <f ca="1">[1]!BexGetData("DP_1","003N8EMH8GTFRCSWKMPXRRESE","GSON1116031055")</f>
        <v>#NAME?</v>
      </c>
      <c r="E2430" s="24" t="e">
        <f ca="1">[1]!BexGetData("DP_1","003N8EMH8GTFRCSWKMPXRRL3Y","GSON1116031055")</f>
        <v>#NAME?</v>
      </c>
      <c r="F2430" s="28" t="e">
        <f ca="1">[1]!BexGetData("DP_1","003N8EMH8GTFRCSWKMPXRRRFI","GSON1116031055")</f>
        <v>#NAME?</v>
      </c>
      <c r="G2430" s="23" t="e">
        <f ca="1">[1]!BexGetData("DP_1","003N8EMH8GTFRCSWKMPXRRXR2","GSON1116031055")</f>
        <v>#NAME?</v>
      </c>
      <c r="H2430" s="23" t="e">
        <f ca="1">[1]!BexGetData("DP_1","003N8EMH8GTFRCSWKMPXRS42M","GSON1116031055")</f>
        <v>#NAME?</v>
      </c>
      <c r="I2430" s="28" t="e">
        <f ca="1">[1]!BexGetData("DP_1","003N8EMH8GTFRCSWKMPXRSAE6","GSON1116031055")</f>
        <v>#NAME?</v>
      </c>
      <c r="J2430" s="24" t="e">
        <f ca="1">[1]!BexGetData("DP_1","003N8EMH8GTFRCSWKMPXRSGPQ","GSON1116031055")</f>
        <v>#NAME?</v>
      </c>
      <c r="K2430" s="28" t="e">
        <f ca="1">[1]!BexGetData("DP_1","003N8EMH8GTFRIVNUPY288VJH","GSON1116031055")</f>
        <v>#NAME?</v>
      </c>
      <c r="L2430" s="28" t="e">
        <f ca="1">[1]!BexGetData("DP_1","003N8EMH8GTFRIVNUPY2891V1","GSON1116031055")</f>
        <v>#NAME?</v>
      </c>
      <c r="M2430" s="28" t="e">
        <f ca="1">[1]!BexGetData("DP_1","003N8EMH8GTFRIVOG7KG9IQXA","GSON1116031055")</f>
        <v>#NAME?</v>
      </c>
      <c r="N2430" s="28" t="e">
        <f ca="1">[1]!BexGetData("DP_1","003N8EMH8GTFRIVOG7KG9IX8U","GSON1116031055")</f>
        <v>#NAME?</v>
      </c>
      <c r="O2430" s="28" t="e">
        <f ca="1">[1]!BexGetData("DP_1","003N8EMH8GTFRIVOG7KG9J3KE","GSON1116031055")</f>
        <v>#NAME?</v>
      </c>
      <c r="P2430" s="28" t="e">
        <f ca="1">[1]!BexGetData("DP_1","003N8EMH8GTFRIVOG7KG9J9VY","GSON1116031055")</f>
        <v>#NAME?</v>
      </c>
      <c r="Q2430" s="24" t="e">
        <f ca="1">[1]!BexGetData("DP_1","00O2TNJGODT0G5Z4TTKYMM5MT","GSON1116031055")</f>
        <v>#NAME?</v>
      </c>
      <c r="R2430" s="28" t="e">
        <f ca="1">[1]!BexGetData("DP_1","00O2TNJGODT0G5Z4TTKYMMBYD","GSON1116031055")</f>
        <v>#NAME?</v>
      </c>
      <c r="S2430" s="28" t="e">
        <f ca="1">[1]!BexGetData("DP_1","00O2TNJGODT0G5Z4TTKYMMI9X","GSON1116031055")</f>
        <v>#NAME?</v>
      </c>
      <c r="T2430" s="28" t="e">
        <f ca="1">[1]!BexGetData("DP_1","00O2TNJGODT0G5Z4TTKYMMOLH","GSON1116031055")</f>
        <v>#NAME?</v>
      </c>
      <c r="U2430" s="28" t="e">
        <f ca="1">[1]!BexGetData("DP_1","00O2TNJGODT0G5Z4TTKYMMUX1","GSON1116031055")</f>
        <v>#NAME?</v>
      </c>
      <c r="V2430" s="28" t="e">
        <f ca="1">[1]!BexGetData("DP_1","00O2TNJGODT0G5Z4TTKYMN18L","GSON1116031055")</f>
        <v>#NAME?</v>
      </c>
      <c r="W2430" s="28" t="e">
        <f ca="1">[1]!BexGetData("DP_1","00O2TNJGODT0G5Z4TTKYMN7K5","GSON1116031055")</f>
        <v>#NAME?</v>
      </c>
    </row>
    <row r="2431" spans="1:23" x14ac:dyDescent="0.2">
      <c r="A2431" s="36" t="s">
        <v>5798</v>
      </c>
      <c r="B2431" s="27" t="s">
        <v>5799</v>
      </c>
      <c r="C2431" s="23" t="e">
        <f ca="1">[1]!BexGetData("DP_1","003N8EMH8GTFRCSWKMPXRR8GU","GSON1116031060")</f>
        <v>#NAME?</v>
      </c>
      <c r="D2431" s="23" t="e">
        <f ca="1">[1]!BexGetData("DP_1","003N8EMH8GTFRCSWKMPXRRESE","GSON1116031060")</f>
        <v>#NAME?</v>
      </c>
      <c r="E2431" s="28" t="e">
        <f ca="1">[1]!BexGetData("DP_1","003N8EMH8GTFRCSWKMPXRRL3Y","GSON1116031060")</f>
        <v>#NAME?</v>
      </c>
      <c r="F2431" s="24" t="e">
        <f ca="1">[1]!BexGetData("DP_1","003N8EMH8GTFRCSWKMPXRRRFI","GSON1116031060")</f>
        <v>#NAME?</v>
      </c>
      <c r="G2431" s="24" t="e">
        <f ca="1">[1]!BexGetData("DP_1","003N8EMH8GTFRCSWKMPXRRXR2","GSON1116031060")</f>
        <v>#NAME?</v>
      </c>
      <c r="H2431" s="24" t="e">
        <f ca="1">[1]!BexGetData("DP_1","003N8EMH8GTFRCSWKMPXRS42M","GSON1116031060")</f>
        <v>#NAME?</v>
      </c>
      <c r="I2431" s="24" t="e">
        <f ca="1">[1]!BexGetData("DP_1","003N8EMH8GTFRCSWKMPXRSAE6","GSON1116031060")</f>
        <v>#NAME?</v>
      </c>
      <c r="J2431" s="24" t="e">
        <f ca="1">[1]!BexGetData("DP_1","003N8EMH8GTFRCSWKMPXRSGPQ","GSON1116031060")</f>
        <v>#NAME?</v>
      </c>
      <c r="K2431" s="28" t="e">
        <f ca="1">[1]!BexGetData("DP_1","003N8EMH8GTFRIVNUPY288VJH","GSON1116031060")</f>
        <v>#NAME?</v>
      </c>
      <c r="L2431" s="28" t="e">
        <f ca="1">[1]!BexGetData("DP_1","003N8EMH8GTFRIVNUPY2891V1","GSON1116031060")</f>
        <v>#NAME?</v>
      </c>
      <c r="M2431" s="28" t="e">
        <f ca="1">[1]!BexGetData("DP_1","003N8EMH8GTFRIVOG7KG9IQXA","GSON1116031060")</f>
        <v>#NAME?</v>
      </c>
      <c r="N2431" s="28" t="e">
        <f ca="1">[1]!BexGetData("DP_1","003N8EMH8GTFRIVOG7KG9IX8U","GSON1116031060")</f>
        <v>#NAME?</v>
      </c>
      <c r="O2431" s="28" t="e">
        <f ca="1">[1]!BexGetData("DP_1","003N8EMH8GTFRIVOG7KG9J3KE","GSON1116031060")</f>
        <v>#NAME?</v>
      </c>
      <c r="P2431" s="28" t="e">
        <f ca="1">[1]!BexGetData("DP_1","003N8EMH8GTFRIVOG7KG9J9VY","GSON1116031060")</f>
        <v>#NAME?</v>
      </c>
      <c r="Q2431" s="24" t="e">
        <f ca="1">[1]!BexGetData("DP_1","00O2TNJGODT0G5Z4TTKYMM5MT","GSON1116031060")</f>
        <v>#NAME?</v>
      </c>
      <c r="R2431" s="24" t="e">
        <f ca="1">[1]!BexGetData("DP_1","00O2TNJGODT0G5Z4TTKYMMBYD","GSON1116031060")</f>
        <v>#NAME?</v>
      </c>
      <c r="S2431" s="24" t="e">
        <f ca="1">[1]!BexGetData("DP_1","00O2TNJGODT0G5Z4TTKYMMI9X","GSON1116031060")</f>
        <v>#NAME?</v>
      </c>
      <c r="T2431" s="24" t="e">
        <f ca="1">[1]!BexGetData("DP_1","00O2TNJGODT0G5Z4TTKYMMOLH","GSON1116031060")</f>
        <v>#NAME?</v>
      </c>
      <c r="U2431" s="24" t="e">
        <f ca="1">[1]!BexGetData("DP_1","00O2TNJGODT0G5Z4TTKYMMUX1","GSON1116031060")</f>
        <v>#NAME?</v>
      </c>
      <c r="V2431" s="24" t="e">
        <f ca="1">[1]!BexGetData("DP_1","00O2TNJGODT0G5Z4TTKYMN18L","GSON1116031060")</f>
        <v>#NAME?</v>
      </c>
      <c r="W2431" s="24" t="e">
        <f ca="1">[1]!BexGetData("DP_1","00O2TNJGODT0G5Z4TTKYMN7K5","GSON1116031060")</f>
        <v>#NAME?</v>
      </c>
    </row>
    <row r="2432" spans="1:23" x14ac:dyDescent="0.2">
      <c r="A2432" s="36" t="s">
        <v>5800</v>
      </c>
      <c r="B2432" s="27" t="s">
        <v>5801</v>
      </c>
      <c r="C2432" s="23" t="e">
        <f ca="1">[1]!BexGetData("DP_1","003N8EMH8GTFRCSWKMPXRR8GU","GSON1116031061")</f>
        <v>#NAME?</v>
      </c>
      <c r="D2432" s="23" t="e">
        <f ca="1">[1]!BexGetData("DP_1","003N8EMH8GTFRCSWKMPXRRESE","GSON1116031061")</f>
        <v>#NAME?</v>
      </c>
      <c r="E2432" s="28" t="e">
        <f ca="1">[1]!BexGetData("DP_1","003N8EMH8GTFRCSWKMPXRRL3Y","GSON1116031061")</f>
        <v>#NAME?</v>
      </c>
      <c r="F2432" s="24" t="e">
        <f ca="1">[1]!BexGetData("DP_1","003N8EMH8GTFRCSWKMPXRRRFI","GSON1116031061")</f>
        <v>#NAME?</v>
      </c>
      <c r="G2432" s="24" t="e">
        <f ca="1">[1]!BexGetData("DP_1","003N8EMH8GTFRCSWKMPXRRXR2","GSON1116031061")</f>
        <v>#NAME?</v>
      </c>
      <c r="H2432" s="24" t="e">
        <f ca="1">[1]!BexGetData("DP_1","003N8EMH8GTFRCSWKMPXRS42M","GSON1116031061")</f>
        <v>#NAME?</v>
      </c>
      <c r="I2432" s="24" t="e">
        <f ca="1">[1]!BexGetData("DP_1","003N8EMH8GTFRCSWKMPXRSAE6","GSON1116031061")</f>
        <v>#NAME?</v>
      </c>
      <c r="J2432" s="24" t="e">
        <f ca="1">[1]!BexGetData("DP_1","003N8EMH8GTFRCSWKMPXRSGPQ","GSON1116031061")</f>
        <v>#NAME?</v>
      </c>
      <c r="K2432" s="28" t="e">
        <f ca="1">[1]!BexGetData("DP_1","003N8EMH8GTFRIVNUPY288VJH","GSON1116031061")</f>
        <v>#NAME?</v>
      </c>
      <c r="L2432" s="28" t="e">
        <f ca="1">[1]!BexGetData("DP_1","003N8EMH8GTFRIVNUPY2891V1","GSON1116031061")</f>
        <v>#NAME?</v>
      </c>
      <c r="M2432" s="28" t="e">
        <f ca="1">[1]!BexGetData("DP_1","003N8EMH8GTFRIVOG7KG9IQXA","GSON1116031061")</f>
        <v>#NAME?</v>
      </c>
      <c r="N2432" s="28" t="e">
        <f ca="1">[1]!BexGetData("DP_1","003N8EMH8GTFRIVOG7KG9IX8U","GSON1116031061")</f>
        <v>#NAME?</v>
      </c>
      <c r="O2432" s="28" t="e">
        <f ca="1">[1]!BexGetData("DP_1","003N8EMH8GTFRIVOG7KG9J3KE","GSON1116031061")</f>
        <v>#NAME?</v>
      </c>
      <c r="P2432" s="28" t="e">
        <f ca="1">[1]!BexGetData("DP_1","003N8EMH8GTFRIVOG7KG9J9VY","GSON1116031061")</f>
        <v>#NAME?</v>
      </c>
      <c r="Q2432" s="24" t="e">
        <f ca="1">[1]!BexGetData("DP_1","00O2TNJGODT0G5Z4TTKYMM5MT","GSON1116031061")</f>
        <v>#NAME?</v>
      </c>
      <c r="R2432" s="24" t="e">
        <f ca="1">[1]!BexGetData("DP_1","00O2TNJGODT0G5Z4TTKYMMBYD","GSON1116031061")</f>
        <v>#NAME?</v>
      </c>
      <c r="S2432" s="24" t="e">
        <f ca="1">[1]!BexGetData("DP_1","00O2TNJGODT0G5Z4TTKYMMI9X","GSON1116031061")</f>
        <v>#NAME?</v>
      </c>
      <c r="T2432" s="24" t="e">
        <f ca="1">[1]!BexGetData("DP_1","00O2TNJGODT0G5Z4TTKYMMOLH","GSON1116031061")</f>
        <v>#NAME?</v>
      </c>
      <c r="U2432" s="24" t="e">
        <f ca="1">[1]!BexGetData("DP_1","00O2TNJGODT0G5Z4TTKYMMUX1","GSON1116031061")</f>
        <v>#NAME?</v>
      </c>
      <c r="V2432" s="24" t="e">
        <f ca="1">[1]!BexGetData("DP_1","00O2TNJGODT0G5Z4TTKYMN18L","GSON1116031061")</f>
        <v>#NAME?</v>
      </c>
      <c r="W2432" s="24" t="e">
        <f ca="1">[1]!BexGetData("DP_1","00O2TNJGODT0G5Z4TTKYMN7K5","GSON1116031061")</f>
        <v>#NAME?</v>
      </c>
    </row>
    <row r="2433" spans="1:23" x14ac:dyDescent="0.2">
      <c r="A2433" s="36" t="s">
        <v>5802</v>
      </c>
      <c r="B2433" s="27" t="s">
        <v>5803</v>
      </c>
      <c r="C2433" s="23" t="e">
        <f ca="1">[1]!BexGetData("DP_1","003N8EMH8GTFRCSWKMPXRR8GU","GSON1116031063")</f>
        <v>#NAME?</v>
      </c>
      <c r="D2433" s="23" t="e">
        <f ca="1">[1]!BexGetData("DP_1","003N8EMH8GTFRCSWKMPXRRESE","GSON1116031063")</f>
        <v>#NAME?</v>
      </c>
      <c r="E2433" s="28" t="e">
        <f ca="1">[1]!BexGetData("DP_1","003N8EMH8GTFRCSWKMPXRRL3Y","GSON1116031063")</f>
        <v>#NAME?</v>
      </c>
      <c r="F2433" s="24" t="e">
        <f ca="1">[1]!BexGetData("DP_1","003N8EMH8GTFRCSWKMPXRRRFI","GSON1116031063")</f>
        <v>#NAME?</v>
      </c>
      <c r="G2433" s="24" t="e">
        <f ca="1">[1]!BexGetData("DP_1","003N8EMH8GTFRCSWKMPXRRXR2","GSON1116031063")</f>
        <v>#NAME?</v>
      </c>
      <c r="H2433" s="24" t="e">
        <f ca="1">[1]!BexGetData("DP_1","003N8EMH8GTFRCSWKMPXRS42M","GSON1116031063")</f>
        <v>#NAME?</v>
      </c>
      <c r="I2433" s="24" t="e">
        <f ca="1">[1]!BexGetData("DP_1","003N8EMH8GTFRCSWKMPXRSAE6","GSON1116031063")</f>
        <v>#NAME?</v>
      </c>
      <c r="J2433" s="24" t="e">
        <f ca="1">[1]!BexGetData("DP_1","003N8EMH8GTFRCSWKMPXRSGPQ","GSON1116031063")</f>
        <v>#NAME?</v>
      </c>
      <c r="K2433" s="28" t="e">
        <f ca="1">[1]!BexGetData("DP_1","003N8EMH8GTFRIVNUPY288VJH","GSON1116031063")</f>
        <v>#NAME?</v>
      </c>
      <c r="L2433" s="28" t="e">
        <f ca="1">[1]!BexGetData("DP_1","003N8EMH8GTFRIVNUPY2891V1","GSON1116031063")</f>
        <v>#NAME?</v>
      </c>
      <c r="M2433" s="28" t="e">
        <f ca="1">[1]!BexGetData("DP_1","003N8EMH8GTFRIVOG7KG9IQXA","GSON1116031063")</f>
        <v>#NAME?</v>
      </c>
      <c r="N2433" s="28" t="e">
        <f ca="1">[1]!BexGetData("DP_1","003N8EMH8GTFRIVOG7KG9IX8U","GSON1116031063")</f>
        <v>#NAME?</v>
      </c>
      <c r="O2433" s="28" t="e">
        <f ca="1">[1]!BexGetData("DP_1","003N8EMH8GTFRIVOG7KG9J3KE","GSON1116031063")</f>
        <v>#NAME?</v>
      </c>
      <c r="P2433" s="28" t="e">
        <f ca="1">[1]!BexGetData("DP_1","003N8EMH8GTFRIVOG7KG9J9VY","GSON1116031063")</f>
        <v>#NAME?</v>
      </c>
      <c r="Q2433" s="24" t="e">
        <f ca="1">[1]!BexGetData("DP_1","00O2TNJGODT0G5Z4TTKYMM5MT","GSON1116031063")</f>
        <v>#NAME?</v>
      </c>
      <c r="R2433" s="24" t="e">
        <f ca="1">[1]!BexGetData("DP_1","00O2TNJGODT0G5Z4TTKYMMBYD","GSON1116031063")</f>
        <v>#NAME?</v>
      </c>
      <c r="S2433" s="24" t="e">
        <f ca="1">[1]!BexGetData("DP_1","00O2TNJGODT0G5Z4TTKYMMI9X","GSON1116031063")</f>
        <v>#NAME?</v>
      </c>
      <c r="T2433" s="24" t="e">
        <f ca="1">[1]!BexGetData("DP_1","00O2TNJGODT0G5Z4TTKYMMOLH","GSON1116031063")</f>
        <v>#NAME?</v>
      </c>
      <c r="U2433" s="24" t="e">
        <f ca="1">[1]!BexGetData("DP_1","00O2TNJGODT0G5Z4TTKYMMUX1","GSON1116031063")</f>
        <v>#NAME?</v>
      </c>
      <c r="V2433" s="24" t="e">
        <f ca="1">[1]!BexGetData("DP_1","00O2TNJGODT0G5Z4TTKYMN18L","GSON1116031063")</f>
        <v>#NAME?</v>
      </c>
      <c r="W2433" s="24" t="e">
        <f ca="1">[1]!BexGetData("DP_1","00O2TNJGODT0G5Z4TTKYMN7K5","GSON1116031063")</f>
        <v>#NAME?</v>
      </c>
    </row>
    <row r="2434" spans="1:23" x14ac:dyDescent="0.2">
      <c r="A2434" s="36" t="s">
        <v>5804</v>
      </c>
      <c r="B2434" s="27" t="s">
        <v>5805</v>
      </c>
      <c r="C2434" s="23" t="e">
        <f ca="1">[1]!BexGetData("DP_1","003N8EMH8GTFRCSWKMPXRR8GU","GSON1116031070")</f>
        <v>#NAME?</v>
      </c>
      <c r="D2434" s="23" t="e">
        <f ca="1">[1]!BexGetData("DP_1","003N8EMH8GTFRCSWKMPXRRESE","GSON1116031070")</f>
        <v>#NAME?</v>
      </c>
      <c r="E2434" s="28" t="e">
        <f ca="1">[1]!BexGetData("DP_1","003N8EMH8GTFRCSWKMPXRRL3Y","GSON1116031070")</f>
        <v>#NAME?</v>
      </c>
      <c r="F2434" s="24" t="e">
        <f ca="1">[1]!BexGetData("DP_1","003N8EMH8GTFRCSWKMPXRRRFI","GSON1116031070")</f>
        <v>#NAME?</v>
      </c>
      <c r="G2434" s="24" t="e">
        <f ca="1">[1]!BexGetData("DP_1","003N8EMH8GTFRCSWKMPXRRXR2","GSON1116031070")</f>
        <v>#NAME?</v>
      </c>
      <c r="H2434" s="24" t="e">
        <f ca="1">[1]!BexGetData("DP_1","003N8EMH8GTFRCSWKMPXRS42M","GSON1116031070")</f>
        <v>#NAME?</v>
      </c>
      <c r="I2434" s="24" t="e">
        <f ca="1">[1]!BexGetData("DP_1","003N8EMH8GTFRCSWKMPXRSAE6","GSON1116031070")</f>
        <v>#NAME?</v>
      </c>
      <c r="J2434" s="24" t="e">
        <f ca="1">[1]!BexGetData("DP_1","003N8EMH8GTFRCSWKMPXRSGPQ","GSON1116031070")</f>
        <v>#NAME?</v>
      </c>
      <c r="K2434" s="28" t="e">
        <f ca="1">[1]!BexGetData("DP_1","003N8EMH8GTFRIVNUPY288VJH","GSON1116031070")</f>
        <v>#NAME?</v>
      </c>
      <c r="L2434" s="28" t="e">
        <f ca="1">[1]!BexGetData("DP_1","003N8EMH8GTFRIVNUPY2891V1","GSON1116031070")</f>
        <v>#NAME?</v>
      </c>
      <c r="M2434" s="28" t="e">
        <f ca="1">[1]!BexGetData("DP_1","003N8EMH8GTFRIVOG7KG9IQXA","GSON1116031070")</f>
        <v>#NAME?</v>
      </c>
      <c r="N2434" s="28" t="e">
        <f ca="1">[1]!BexGetData("DP_1","003N8EMH8GTFRIVOG7KG9IX8U","GSON1116031070")</f>
        <v>#NAME?</v>
      </c>
      <c r="O2434" s="28" t="e">
        <f ca="1">[1]!BexGetData("DP_1","003N8EMH8GTFRIVOG7KG9J3KE","GSON1116031070")</f>
        <v>#NAME?</v>
      </c>
      <c r="P2434" s="28" t="e">
        <f ca="1">[1]!BexGetData("DP_1","003N8EMH8GTFRIVOG7KG9J9VY","GSON1116031070")</f>
        <v>#NAME?</v>
      </c>
      <c r="Q2434" s="24" t="e">
        <f ca="1">[1]!BexGetData("DP_1","00O2TNJGODT0G5Z4TTKYMM5MT","GSON1116031070")</f>
        <v>#NAME?</v>
      </c>
      <c r="R2434" s="24" t="e">
        <f ca="1">[1]!BexGetData("DP_1","00O2TNJGODT0G5Z4TTKYMMBYD","GSON1116031070")</f>
        <v>#NAME?</v>
      </c>
      <c r="S2434" s="24" t="e">
        <f ca="1">[1]!BexGetData("DP_1","00O2TNJGODT0G5Z4TTKYMMI9X","GSON1116031070")</f>
        <v>#NAME?</v>
      </c>
      <c r="T2434" s="24" t="e">
        <f ca="1">[1]!BexGetData("DP_1","00O2TNJGODT0G5Z4TTKYMMOLH","GSON1116031070")</f>
        <v>#NAME?</v>
      </c>
      <c r="U2434" s="24" t="e">
        <f ca="1">[1]!BexGetData("DP_1","00O2TNJGODT0G5Z4TTKYMMUX1","GSON1116031070")</f>
        <v>#NAME?</v>
      </c>
      <c r="V2434" s="24" t="e">
        <f ca="1">[1]!BexGetData("DP_1","00O2TNJGODT0G5Z4TTKYMN18L","GSON1116031070")</f>
        <v>#NAME?</v>
      </c>
      <c r="W2434" s="24" t="e">
        <f ca="1">[1]!BexGetData("DP_1","00O2TNJGODT0G5Z4TTKYMN7K5","GSON1116031070")</f>
        <v>#NAME?</v>
      </c>
    </row>
    <row r="2435" spans="1:23" x14ac:dyDescent="0.2">
      <c r="A2435" s="36" t="s">
        <v>5806</v>
      </c>
      <c r="B2435" s="27" t="s">
        <v>5807</v>
      </c>
      <c r="C2435" s="23" t="e">
        <f ca="1">[1]!BexGetData("DP_1","003N8EMH8GTFRCSWKMPXRR8GU","GSON1116031073")</f>
        <v>#NAME?</v>
      </c>
      <c r="D2435" s="23" t="e">
        <f ca="1">[1]!BexGetData("DP_1","003N8EMH8GTFRCSWKMPXRRESE","GSON1116031073")</f>
        <v>#NAME?</v>
      </c>
      <c r="E2435" s="28" t="e">
        <f ca="1">[1]!BexGetData("DP_1","003N8EMH8GTFRCSWKMPXRRL3Y","GSON1116031073")</f>
        <v>#NAME?</v>
      </c>
      <c r="F2435" s="24" t="e">
        <f ca="1">[1]!BexGetData("DP_1","003N8EMH8GTFRCSWKMPXRRRFI","GSON1116031073")</f>
        <v>#NAME?</v>
      </c>
      <c r="G2435" s="24" t="e">
        <f ca="1">[1]!BexGetData("DP_1","003N8EMH8GTFRCSWKMPXRRXR2","GSON1116031073")</f>
        <v>#NAME?</v>
      </c>
      <c r="H2435" s="24" t="e">
        <f ca="1">[1]!BexGetData("DP_1","003N8EMH8GTFRCSWKMPXRS42M","GSON1116031073")</f>
        <v>#NAME?</v>
      </c>
      <c r="I2435" s="24" t="e">
        <f ca="1">[1]!BexGetData("DP_1","003N8EMH8GTFRCSWKMPXRSAE6","GSON1116031073")</f>
        <v>#NAME?</v>
      </c>
      <c r="J2435" s="24" t="e">
        <f ca="1">[1]!BexGetData("DP_1","003N8EMH8GTFRCSWKMPXRSGPQ","GSON1116031073")</f>
        <v>#NAME?</v>
      </c>
      <c r="K2435" s="28" t="e">
        <f ca="1">[1]!BexGetData("DP_1","003N8EMH8GTFRIVNUPY288VJH","GSON1116031073")</f>
        <v>#NAME?</v>
      </c>
      <c r="L2435" s="28" t="e">
        <f ca="1">[1]!BexGetData("DP_1","003N8EMH8GTFRIVNUPY2891V1","GSON1116031073")</f>
        <v>#NAME?</v>
      </c>
      <c r="M2435" s="28" t="e">
        <f ca="1">[1]!BexGetData("DP_1","003N8EMH8GTFRIVOG7KG9IQXA","GSON1116031073")</f>
        <v>#NAME?</v>
      </c>
      <c r="N2435" s="28" t="e">
        <f ca="1">[1]!BexGetData("DP_1","003N8EMH8GTFRIVOG7KG9IX8U","GSON1116031073")</f>
        <v>#NAME?</v>
      </c>
      <c r="O2435" s="28" t="e">
        <f ca="1">[1]!BexGetData("DP_1","003N8EMH8GTFRIVOG7KG9J3KE","GSON1116031073")</f>
        <v>#NAME?</v>
      </c>
      <c r="P2435" s="28" t="e">
        <f ca="1">[1]!BexGetData("DP_1","003N8EMH8GTFRIVOG7KG9J9VY","GSON1116031073")</f>
        <v>#NAME?</v>
      </c>
      <c r="Q2435" s="24" t="e">
        <f ca="1">[1]!BexGetData("DP_1","00O2TNJGODT0G5Z4TTKYMM5MT","GSON1116031073")</f>
        <v>#NAME?</v>
      </c>
      <c r="R2435" s="24" t="e">
        <f ca="1">[1]!BexGetData("DP_1","00O2TNJGODT0G5Z4TTKYMMBYD","GSON1116031073")</f>
        <v>#NAME?</v>
      </c>
      <c r="S2435" s="24" t="e">
        <f ca="1">[1]!BexGetData("DP_1","00O2TNJGODT0G5Z4TTKYMMI9X","GSON1116031073")</f>
        <v>#NAME?</v>
      </c>
      <c r="T2435" s="24" t="e">
        <f ca="1">[1]!BexGetData("DP_1","00O2TNJGODT0G5Z4TTKYMMOLH","GSON1116031073")</f>
        <v>#NAME?</v>
      </c>
      <c r="U2435" s="24" t="e">
        <f ca="1">[1]!BexGetData("DP_1","00O2TNJGODT0G5Z4TTKYMMUX1","GSON1116031073")</f>
        <v>#NAME?</v>
      </c>
      <c r="V2435" s="24" t="e">
        <f ca="1">[1]!BexGetData("DP_1","00O2TNJGODT0G5Z4TTKYMN18L","GSON1116031073")</f>
        <v>#NAME?</v>
      </c>
      <c r="W2435" s="24" t="e">
        <f ca="1">[1]!BexGetData("DP_1","00O2TNJGODT0G5Z4TTKYMN7K5","GSON1116031073")</f>
        <v>#NAME?</v>
      </c>
    </row>
    <row r="2436" spans="1:23" x14ac:dyDescent="0.2">
      <c r="A2436" s="36" t="s">
        <v>1205</v>
      </c>
      <c r="B2436" s="27" t="s">
        <v>1206</v>
      </c>
      <c r="C2436" s="23" t="e">
        <f ca="1">[1]!BexGetData("DP_1","003N8EMH8GTFRCSWKMPXRR8GU","GSON1116031080")</f>
        <v>#NAME?</v>
      </c>
      <c r="D2436" s="23" t="e">
        <f ca="1">[1]!BexGetData("DP_1","003N8EMH8GTFRCSWKMPXRRESE","GSON1116031080")</f>
        <v>#NAME?</v>
      </c>
      <c r="E2436" s="23" t="e">
        <f ca="1">[1]!BexGetData("DP_1","003N8EMH8GTFRCSWKMPXRRL3Y","GSON1116031080")</f>
        <v>#NAME?</v>
      </c>
      <c r="F2436" s="23" t="e">
        <f ca="1">[1]!BexGetData("DP_1","003N8EMH8GTFRCSWKMPXRRRFI","GSON1116031080")</f>
        <v>#NAME?</v>
      </c>
      <c r="G2436" s="23" t="e">
        <f ca="1">[1]!BexGetData("DP_1","003N8EMH8GTFRCSWKMPXRRXR2","GSON1116031080")</f>
        <v>#NAME?</v>
      </c>
      <c r="H2436" s="23" t="e">
        <f ca="1">[1]!BexGetData("DP_1","003N8EMH8GTFRCSWKMPXRS42M","GSON1116031080")</f>
        <v>#NAME?</v>
      </c>
      <c r="I2436" s="23" t="e">
        <f ca="1">[1]!BexGetData("DP_1","003N8EMH8GTFRCSWKMPXRSAE6","GSON1116031080")</f>
        <v>#NAME?</v>
      </c>
      <c r="J2436" s="24" t="e">
        <f ca="1">[1]!BexGetData("DP_1","003N8EMH8GTFRCSWKMPXRSGPQ","GSON1116031080")</f>
        <v>#NAME?</v>
      </c>
      <c r="K2436" s="23" t="e">
        <f ca="1">[1]!BexGetData("DP_1","003N8EMH8GTFRIVNUPY288VJH","GSON1116031080")</f>
        <v>#NAME?</v>
      </c>
      <c r="L2436" s="23" t="e">
        <f ca="1">[1]!BexGetData("DP_1","003N8EMH8GTFRIVNUPY2891V1","GSON1116031080")</f>
        <v>#NAME?</v>
      </c>
      <c r="M2436" s="28" t="e">
        <f ca="1">[1]!BexGetData("DP_1","003N8EMH8GTFRIVOG7KG9IQXA","GSON1116031080")</f>
        <v>#NAME?</v>
      </c>
      <c r="N2436" s="23" t="e">
        <f ca="1">[1]!BexGetData("DP_1","003N8EMH8GTFRIVOG7KG9IX8U","GSON1116031080")</f>
        <v>#NAME?</v>
      </c>
      <c r="O2436" s="28" t="e">
        <f ca="1">[1]!BexGetData("DP_1","003N8EMH8GTFRIVOG7KG9J3KE","GSON1116031080")</f>
        <v>#NAME?</v>
      </c>
      <c r="P2436" s="23" t="e">
        <f ca="1">[1]!BexGetData("DP_1","003N8EMH8GTFRIVOG7KG9J9VY","GSON1116031080")</f>
        <v>#NAME?</v>
      </c>
      <c r="Q2436" s="24" t="e">
        <f ca="1">[1]!BexGetData("DP_1","00O2TNJGODT0G5Z4TTKYMM5MT","GSON1116031080")</f>
        <v>#NAME?</v>
      </c>
      <c r="R2436" s="23" t="e">
        <f ca="1">[1]!BexGetData("DP_1","00O2TNJGODT0G5Z4TTKYMMBYD","GSON1116031080")</f>
        <v>#NAME?</v>
      </c>
      <c r="S2436" s="23" t="e">
        <f ca="1">[1]!BexGetData("DP_1","00O2TNJGODT0G5Z4TTKYMMI9X","GSON1116031080")</f>
        <v>#NAME?</v>
      </c>
      <c r="T2436" s="28" t="e">
        <f ca="1">[1]!BexGetData("DP_1","00O2TNJGODT0G5Z4TTKYMMOLH","GSON1116031080")</f>
        <v>#NAME?</v>
      </c>
      <c r="U2436" s="23" t="e">
        <f ca="1">[1]!BexGetData("DP_1","00O2TNJGODT0G5Z4TTKYMMUX1","GSON1116031080")</f>
        <v>#NAME?</v>
      </c>
      <c r="V2436" s="28" t="e">
        <f ca="1">[1]!BexGetData("DP_1","00O2TNJGODT0G5Z4TTKYMN18L","GSON1116031080")</f>
        <v>#NAME?</v>
      </c>
      <c r="W2436" s="23" t="e">
        <f ca="1">[1]!BexGetData("DP_1","00O2TNJGODT0G5Z4TTKYMN7K5","GSON1116031080")</f>
        <v>#NAME?</v>
      </c>
    </row>
    <row r="2437" spans="1:23" x14ac:dyDescent="0.2">
      <c r="A2437" s="36" t="s">
        <v>1207</v>
      </c>
      <c r="B2437" s="27" t="s">
        <v>1208</v>
      </c>
      <c r="C2437" s="23" t="e">
        <f ca="1">[1]!BexGetData("DP_1","003N8EMH8GTFRCSWKMPXRR8GU","GSON1116031081")</f>
        <v>#NAME?</v>
      </c>
      <c r="D2437" s="23" t="e">
        <f ca="1">[1]!BexGetData("DP_1","003N8EMH8GTFRCSWKMPXRRESE","GSON1116031081")</f>
        <v>#NAME?</v>
      </c>
      <c r="E2437" s="28" t="e">
        <f ca="1">[1]!BexGetData("DP_1","003N8EMH8GTFRCSWKMPXRRL3Y","GSON1116031081")</f>
        <v>#NAME?</v>
      </c>
      <c r="F2437" s="28" t="e">
        <f ca="1">[1]!BexGetData("DP_1","003N8EMH8GTFRCSWKMPXRRRFI","GSON1116031081")</f>
        <v>#NAME?</v>
      </c>
      <c r="G2437" s="23" t="e">
        <f ca="1">[1]!BexGetData("DP_1","003N8EMH8GTFRCSWKMPXRRXR2","GSON1116031081")</f>
        <v>#NAME?</v>
      </c>
      <c r="H2437" s="23" t="e">
        <f ca="1">[1]!BexGetData("DP_1","003N8EMH8GTFRCSWKMPXRS42M","GSON1116031081")</f>
        <v>#NAME?</v>
      </c>
      <c r="I2437" s="28" t="e">
        <f ca="1">[1]!BexGetData("DP_1","003N8EMH8GTFRCSWKMPXRSAE6","GSON1116031081")</f>
        <v>#NAME?</v>
      </c>
      <c r="J2437" s="24" t="e">
        <f ca="1">[1]!BexGetData("DP_1","003N8EMH8GTFRCSWKMPXRSGPQ","GSON1116031081")</f>
        <v>#NAME?</v>
      </c>
      <c r="K2437" s="28" t="e">
        <f ca="1">[1]!BexGetData("DP_1","003N8EMH8GTFRIVNUPY288VJH","GSON1116031081")</f>
        <v>#NAME?</v>
      </c>
      <c r="L2437" s="28" t="e">
        <f ca="1">[1]!BexGetData("DP_1","003N8EMH8GTFRIVNUPY2891V1","GSON1116031081")</f>
        <v>#NAME?</v>
      </c>
      <c r="M2437" s="28" t="e">
        <f ca="1">[1]!BexGetData("DP_1","003N8EMH8GTFRIVOG7KG9IQXA","GSON1116031081")</f>
        <v>#NAME?</v>
      </c>
      <c r="N2437" s="28" t="e">
        <f ca="1">[1]!BexGetData("DP_1","003N8EMH8GTFRIVOG7KG9IX8U","GSON1116031081")</f>
        <v>#NAME?</v>
      </c>
      <c r="O2437" s="28" t="e">
        <f ca="1">[1]!BexGetData("DP_1","003N8EMH8GTFRIVOG7KG9J3KE","GSON1116031081")</f>
        <v>#NAME?</v>
      </c>
      <c r="P2437" s="28" t="e">
        <f ca="1">[1]!BexGetData("DP_1","003N8EMH8GTFRIVOG7KG9J9VY","GSON1116031081")</f>
        <v>#NAME?</v>
      </c>
      <c r="Q2437" s="24" t="e">
        <f ca="1">[1]!BexGetData("DP_1","00O2TNJGODT0G5Z4TTKYMM5MT","GSON1116031081")</f>
        <v>#NAME?</v>
      </c>
      <c r="R2437" s="28" t="e">
        <f ca="1">[1]!BexGetData("DP_1","00O2TNJGODT0G5Z4TTKYMMBYD","GSON1116031081")</f>
        <v>#NAME?</v>
      </c>
      <c r="S2437" s="28" t="e">
        <f ca="1">[1]!BexGetData("DP_1","00O2TNJGODT0G5Z4TTKYMMI9X","GSON1116031081")</f>
        <v>#NAME?</v>
      </c>
      <c r="T2437" s="28" t="e">
        <f ca="1">[1]!BexGetData("DP_1","00O2TNJGODT0G5Z4TTKYMMOLH","GSON1116031081")</f>
        <v>#NAME?</v>
      </c>
      <c r="U2437" s="28" t="e">
        <f ca="1">[1]!BexGetData("DP_1","00O2TNJGODT0G5Z4TTKYMMUX1","GSON1116031081")</f>
        <v>#NAME?</v>
      </c>
      <c r="V2437" s="28" t="e">
        <f ca="1">[1]!BexGetData("DP_1","00O2TNJGODT0G5Z4TTKYMN18L","GSON1116031081")</f>
        <v>#NAME?</v>
      </c>
      <c r="W2437" s="28" t="e">
        <f ca="1">[1]!BexGetData("DP_1","00O2TNJGODT0G5Z4TTKYMN7K5","GSON1116031081")</f>
        <v>#NAME?</v>
      </c>
    </row>
    <row r="2438" spans="1:23" x14ac:dyDescent="0.2">
      <c r="A2438" s="36" t="s">
        <v>1209</v>
      </c>
      <c r="B2438" s="27" t="s">
        <v>1210</v>
      </c>
      <c r="C2438" s="23" t="e">
        <f ca="1">[1]!BexGetData("DP_1","003N8EMH8GTFRCSWKMPXRR8GU","GSON1116031083")</f>
        <v>#NAME?</v>
      </c>
      <c r="D2438" s="23" t="e">
        <f ca="1">[1]!BexGetData("DP_1","003N8EMH8GTFRCSWKMPXRRESE","GSON1116031083")</f>
        <v>#NAME?</v>
      </c>
      <c r="E2438" s="28" t="e">
        <f ca="1">[1]!BexGetData("DP_1","003N8EMH8GTFRCSWKMPXRRL3Y","GSON1116031083")</f>
        <v>#NAME?</v>
      </c>
      <c r="F2438" s="28" t="e">
        <f ca="1">[1]!BexGetData("DP_1","003N8EMH8GTFRCSWKMPXRRRFI","GSON1116031083")</f>
        <v>#NAME?</v>
      </c>
      <c r="G2438" s="23" t="e">
        <f ca="1">[1]!BexGetData("DP_1","003N8EMH8GTFRCSWKMPXRRXR2","GSON1116031083")</f>
        <v>#NAME?</v>
      </c>
      <c r="H2438" s="23" t="e">
        <f ca="1">[1]!BexGetData("DP_1","003N8EMH8GTFRCSWKMPXRS42M","GSON1116031083")</f>
        <v>#NAME?</v>
      </c>
      <c r="I2438" s="28" t="e">
        <f ca="1">[1]!BexGetData("DP_1","003N8EMH8GTFRCSWKMPXRSAE6","GSON1116031083")</f>
        <v>#NAME?</v>
      </c>
      <c r="J2438" s="24" t="e">
        <f ca="1">[1]!BexGetData("DP_1","003N8EMH8GTFRCSWKMPXRSGPQ","GSON1116031083")</f>
        <v>#NAME?</v>
      </c>
      <c r="K2438" s="28" t="e">
        <f ca="1">[1]!BexGetData("DP_1","003N8EMH8GTFRIVNUPY288VJH","GSON1116031083")</f>
        <v>#NAME?</v>
      </c>
      <c r="L2438" s="28" t="e">
        <f ca="1">[1]!BexGetData("DP_1","003N8EMH8GTFRIVNUPY2891V1","GSON1116031083")</f>
        <v>#NAME?</v>
      </c>
      <c r="M2438" s="28" t="e">
        <f ca="1">[1]!BexGetData("DP_1","003N8EMH8GTFRIVOG7KG9IQXA","GSON1116031083")</f>
        <v>#NAME?</v>
      </c>
      <c r="N2438" s="28" t="e">
        <f ca="1">[1]!BexGetData("DP_1","003N8EMH8GTFRIVOG7KG9IX8U","GSON1116031083")</f>
        <v>#NAME?</v>
      </c>
      <c r="O2438" s="28" t="e">
        <f ca="1">[1]!BexGetData("DP_1","003N8EMH8GTFRIVOG7KG9J3KE","GSON1116031083")</f>
        <v>#NAME?</v>
      </c>
      <c r="P2438" s="28" t="e">
        <f ca="1">[1]!BexGetData("DP_1","003N8EMH8GTFRIVOG7KG9J9VY","GSON1116031083")</f>
        <v>#NAME?</v>
      </c>
      <c r="Q2438" s="24" t="e">
        <f ca="1">[1]!BexGetData("DP_1","00O2TNJGODT0G5Z4TTKYMM5MT","GSON1116031083")</f>
        <v>#NAME?</v>
      </c>
      <c r="R2438" s="28" t="e">
        <f ca="1">[1]!BexGetData("DP_1","00O2TNJGODT0G5Z4TTKYMMBYD","GSON1116031083")</f>
        <v>#NAME?</v>
      </c>
      <c r="S2438" s="28" t="e">
        <f ca="1">[1]!BexGetData("DP_1","00O2TNJGODT0G5Z4TTKYMMI9X","GSON1116031083")</f>
        <v>#NAME?</v>
      </c>
      <c r="T2438" s="28" t="e">
        <f ca="1">[1]!BexGetData("DP_1","00O2TNJGODT0G5Z4TTKYMMOLH","GSON1116031083")</f>
        <v>#NAME?</v>
      </c>
      <c r="U2438" s="28" t="e">
        <f ca="1">[1]!BexGetData("DP_1","00O2TNJGODT0G5Z4TTKYMMUX1","GSON1116031083")</f>
        <v>#NAME?</v>
      </c>
      <c r="V2438" s="28" t="e">
        <f ca="1">[1]!BexGetData("DP_1","00O2TNJGODT0G5Z4TTKYMN18L","GSON1116031083")</f>
        <v>#NAME?</v>
      </c>
      <c r="W2438" s="28" t="e">
        <f ca="1">[1]!BexGetData("DP_1","00O2TNJGODT0G5Z4TTKYMN7K5","GSON1116031083")</f>
        <v>#NAME?</v>
      </c>
    </row>
    <row r="2439" spans="1:23" x14ac:dyDescent="0.2">
      <c r="A2439" s="36" t="s">
        <v>5808</v>
      </c>
      <c r="B2439" s="27" t="s">
        <v>5809</v>
      </c>
      <c r="C2439" s="23" t="e">
        <f ca="1">[1]!BexGetData("DP_1","003N8EMH8GTFRCSWKMPXRR8GU","GSON1116031084")</f>
        <v>#NAME?</v>
      </c>
      <c r="D2439" s="23" t="e">
        <f ca="1">[1]!BexGetData("DP_1","003N8EMH8GTFRCSWKMPXRRESE","GSON1116031084")</f>
        <v>#NAME?</v>
      </c>
      <c r="E2439" s="28" t="e">
        <f ca="1">[1]!BexGetData("DP_1","003N8EMH8GTFRCSWKMPXRRL3Y","GSON1116031084")</f>
        <v>#NAME?</v>
      </c>
      <c r="F2439" s="28" t="e">
        <f ca="1">[1]!BexGetData("DP_1","003N8EMH8GTFRCSWKMPXRRRFI","GSON1116031084")</f>
        <v>#NAME?</v>
      </c>
      <c r="G2439" s="23" t="e">
        <f ca="1">[1]!BexGetData("DP_1","003N8EMH8GTFRCSWKMPXRRXR2","GSON1116031084")</f>
        <v>#NAME?</v>
      </c>
      <c r="H2439" s="23" t="e">
        <f ca="1">[1]!BexGetData("DP_1","003N8EMH8GTFRCSWKMPXRS42M","GSON1116031084")</f>
        <v>#NAME?</v>
      </c>
      <c r="I2439" s="28" t="e">
        <f ca="1">[1]!BexGetData("DP_1","003N8EMH8GTFRCSWKMPXRSAE6","GSON1116031084")</f>
        <v>#NAME?</v>
      </c>
      <c r="J2439" s="24" t="e">
        <f ca="1">[1]!BexGetData("DP_1","003N8EMH8GTFRCSWKMPXRSGPQ","GSON1116031084")</f>
        <v>#NAME?</v>
      </c>
      <c r="K2439" s="28" t="e">
        <f ca="1">[1]!BexGetData("DP_1","003N8EMH8GTFRIVNUPY288VJH","GSON1116031084")</f>
        <v>#NAME?</v>
      </c>
      <c r="L2439" s="28" t="e">
        <f ca="1">[1]!BexGetData("DP_1","003N8EMH8GTFRIVNUPY2891V1","GSON1116031084")</f>
        <v>#NAME?</v>
      </c>
      <c r="M2439" s="28" t="e">
        <f ca="1">[1]!BexGetData("DP_1","003N8EMH8GTFRIVOG7KG9IQXA","GSON1116031084")</f>
        <v>#NAME?</v>
      </c>
      <c r="N2439" s="28" t="e">
        <f ca="1">[1]!BexGetData("DP_1","003N8EMH8GTFRIVOG7KG9IX8U","GSON1116031084")</f>
        <v>#NAME?</v>
      </c>
      <c r="O2439" s="28" t="e">
        <f ca="1">[1]!BexGetData("DP_1","003N8EMH8GTFRIVOG7KG9J3KE","GSON1116031084")</f>
        <v>#NAME?</v>
      </c>
      <c r="P2439" s="28" t="e">
        <f ca="1">[1]!BexGetData("DP_1","003N8EMH8GTFRIVOG7KG9J9VY","GSON1116031084")</f>
        <v>#NAME?</v>
      </c>
      <c r="Q2439" s="24" t="e">
        <f ca="1">[1]!BexGetData("DP_1","00O2TNJGODT0G5Z4TTKYMM5MT","GSON1116031084")</f>
        <v>#NAME?</v>
      </c>
      <c r="R2439" s="28" t="e">
        <f ca="1">[1]!BexGetData("DP_1","00O2TNJGODT0G5Z4TTKYMMBYD","GSON1116031084")</f>
        <v>#NAME?</v>
      </c>
      <c r="S2439" s="28" t="e">
        <f ca="1">[1]!BexGetData("DP_1","00O2TNJGODT0G5Z4TTKYMMI9X","GSON1116031084")</f>
        <v>#NAME?</v>
      </c>
      <c r="T2439" s="28" t="e">
        <f ca="1">[1]!BexGetData("DP_1","00O2TNJGODT0G5Z4TTKYMMOLH","GSON1116031084")</f>
        <v>#NAME?</v>
      </c>
      <c r="U2439" s="28" t="e">
        <f ca="1">[1]!BexGetData("DP_1","00O2TNJGODT0G5Z4TTKYMMUX1","GSON1116031084")</f>
        <v>#NAME?</v>
      </c>
      <c r="V2439" s="28" t="e">
        <f ca="1">[1]!BexGetData("DP_1","00O2TNJGODT0G5Z4TTKYMN18L","GSON1116031084")</f>
        <v>#NAME?</v>
      </c>
      <c r="W2439" s="28" t="e">
        <f ca="1">[1]!BexGetData("DP_1","00O2TNJGODT0G5Z4TTKYMN7K5","GSON1116031084")</f>
        <v>#NAME?</v>
      </c>
    </row>
    <row r="2440" spans="1:23" x14ac:dyDescent="0.2">
      <c r="A2440" s="36" t="s">
        <v>5810</v>
      </c>
      <c r="B2440" s="27" t="s">
        <v>5811</v>
      </c>
      <c r="C2440" s="23" t="e">
        <f ca="1">[1]!BexGetData("DP_1","003N8EMH8GTFRCSWKMPXRR8GU","GSON1116031085")</f>
        <v>#NAME?</v>
      </c>
      <c r="D2440" s="23" t="e">
        <f ca="1">[1]!BexGetData("DP_1","003N8EMH8GTFRCSWKMPXRRESE","GSON1116031085")</f>
        <v>#NAME?</v>
      </c>
      <c r="E2440" s="28" t="e">
        <f ca="1">[1]!BexGetData("DP_1","003N8EMH8GTFRCSWKMPXRRL3Y","GSON1116031085")</f>
        <v>#NAME?</v>
      </c>
      <c r="F2440" s="28" t="e">
        <f ca="1">[1]!BexGetData("DP_1","003N8EMH8GTFRCSWKMPXRRRFI","GSON1116031085")</f>
        <v>#NAME?</v>
      </c>
      <c r="G2440" s="23" t="e">
        <f ca="1">[1]!BexGetData("DP_1","003N8EMH8GTFRCSWKMPXRRXR2","GSON1116031085")</f>
        <v>#NAME?</v>
      </c>
      <c r="H2440" s="23" t="e">
        <f ca="1">[1]!BexGetData("DP_1","003N8EMH8GTFRCSWKMPXRS42M","GSON1116031085")</f>
        <v>#NAME?</v>
      </c>
      <c r="I2440" s="28" t="e">
        <f ca="1">[1]!BexGetData("DP_1","003N8EMH8GTFRCSWKMPXRSAE6","GSON1116031085")</f>
        <v>#NAME?</v>
      </c>
      <c r="J2440" s="24" t="e">
        <f ca="1">[1]!BexGetData("DP_1","003N8EMH8GTFRCSWKMPXRSGPQ","GSON1116031085")</f>
        <v>#NAME?</v>
      </c>
      <c r="K2440" s="28" t="e">
        <f ca="1">[1]!BexGetData("DP_1","003N8EMH8GTFRIVNUPY288VJH","GSON1116031085")</f>
        <v>#NAME?</v>
      </c>
      <c r="L2440" s="28" t="e">
        <f ca="1">[1]!BexGetData("DP_1","003N8EMH8GTFRIVNUPY2891V1","GSON1116031085")</f>
        <v>#NAME?</v>
      </c>
      <c r="M2440" s="28" t="e">
        <f ca="1">[1]!BexGetData("DP_1","003N8EMH8GTFRIVOG7KG9IQXA","GSON1116031085")</f>
        <v>#NAME?</v>
      </c>
      <c r="N2440" s="28" t="e">
        <f ca="1">[1]!BexGetData("DP_1","003N8EMH8GTFRIVOG7KG9IX8U","GSON1116031085")</f>
        <v>#NAME?</v>
      </c>
      <c r="O2440" s="28" t="e">
        <f ca="1">[1]!BexGetData("DP_1","003N8EMH8GTFRIVOG7KG9J3KE","GSON1116031085")</f>
        <v>#NAME?</v>
      </c>
      <c r="P2440" s="28" t="e">
        <f ca="1">[1]!BexGetData("DP_1","003N8EMH8GTFRIVOG7KG9J9VY","GSON1116031085")</f>
        <v>#NAME?</v>
      </c>
      <c r="Q2440" s="24" t="e">
        <f ca="1">[1]!BexGetData("DP_1","00O2TNJGODT0G5Z4TTKYMM5MT","GSON1116031085")</f>
        <v>#NAME?</v>
      </c>
      <c r="R2440" s="28" t="e">
        <f ca="1">[1]!BexGetData("DP_1","00O2TNJGODT0G5Z4TTKYMMBYD","GSON1116031085")</f>
        <v>#NAME?</v>
      </c>
      <c r="S2440" s="28" t="e">
        <f ca="1">[1]!BexGetData("DP_1","00O2TNJGODT0G5Z4TTKYMMI9X","GSON1116031085")</f>
        <v>#NAME?</v>
      </c>
      <c r="T2440" s="28" t="e">
        <f ca="1">[1]!BexGetData("DP_1","00O2TNJGODT0G5Z4TTKYMMOLH","GSON1116031085")</f>
        <v>#NAME?</v>
      </c>
      <c r="U2440" s="28" t="e">
        <f ca="1">[1]!BexGetData("DP_1","00O2TNJGODT0G5Z4TTKYMMUX1","GSON1116031085")</f>
        <v>#NAME?</v>
      </c>
      <c r="V2440" s="28" t="e">
        <f ca="1">[1]!BexGetData("DP_1","00O2TNJGODT0G5Z4TTKYMN18L","GSON1116031085")</f>
        <v>#NAME?</v>
      </c>
      <c r="W2440" s="28" t="e">
        <f ca="1">[1]!BexGetData("DP_1","00O2TNJGODT0G5Z4TTKYMN7K5","GSON1116031085")</f>
        <v>#NAME?</v>
      </c>
    </row>
    <row r="2441" spans="1:23" x14ac:dyDescent="0.2">
      <c r="A2441" s="36" t="s">
        <v>5812</v>
      </c>
      <c r="B2441" s="27" t="s">
        <v>5813</v>
      </c>
      <c r="C2441" s="24" t="e">
        <f ca="1">[1]!BexGetData("DP_1","003N8EMH8GTFRCSWKMPXRR8GU","GSON1116031130")</f>
        <v>#NAME?</v>
      </c>
      <c r="D2441" s="24" t="e">
        <f ca="1">[1]!BexGetData("DP_1","003N8EMH8GTFRCSWKMPXRRESE","GSON1116031130")</f>
        <v>#NAME?</v>
      </c>
      <c r="E2441" s="24" t="e">
        <f ca="1">[1]!BexGetData("DP_1","003N8EMH8GTFRCSWKMPXRRL3Y","GSON1116031130")</f>
        <v>#NAME?</v>
      </c>
      <c r="F2441" s="28" t="e">
        <f ca="1">[1]!BexGetData("DP_1","003N8EMH8GTFRCSWKMPXRRRFI","GSON1116031130")</f>
        <v>#NAME?</v>
      </c>
      <c r="G2441" s="23" t="e">
        <f ca="1">[1]!BexGetData("DP_1","003N8EMH8GTFRCSWKMPXRRXR2","GSON1116031130")</f>
        <v>#NAME?</v>
      </c>
      <c r="H2441" s="23" t="e">
        <f ca="1">[1]!BexGetData("DP_1","003N8EMH8GTFRCSWKMPXRS42M","GSON1116031130")</f>
        <v>#NAME?</v>
      </c>
      <c r="I2441" s="28" t="e">
        <f ca="1">[1]!BexGetData("DP_1","003N8EMH8GTFRCSWKMPXRSAE6","GSON1116031130")</f>
        <v>#NAME?</v>
      </c>
      <c r="J2441" s="24" t="e">
        <f ca="1">[1]!BexGetData("DP_1","003N8EMH8GTFRCSWKMPXRSGPQ","GSON1116031130")</f>
        <v>#NAME?</v>
      </c>
      <c r="K2441" s="28" t="e">
        <f ca="1">[1]!BexGetData("DP_1","003N8EMH8GTFRIVNUPY288VJH","GSON1116031130")</f>
        <v>#NAME?</v>
      </c>
      <c r="L2441" s="28" t="e">
        <f ca="1">[1]!BexGetData("DP_1","003N8EMH8GTFRIVNUPY2891V1","GSON1116031130")</f>
        <v>#NAME?</v>
      </c>
      <c r="M2441" s="28" t="e">
        <f ca="1">[1]!BexGetData("DP_1","003N8EMH8GTFRIVOG7KG9IQXA","GSON1116031130")</f>
        <v>#NAME?</v>
      </c>
      <c r="N2441" s="28" t="e">
        <f ca="1">[1]!BexGetData("DP_1","003N8EMH8GTFRIVOG7KG9IX8U","GSON1116031130")</f>
        <v>#NAME?</v>
      </c>
      <c r="O2441" s="28" t="e">
        <f ca="1">[1]!BexGetData("DP_1","003N8EMH8GTFRIVOG7KG9J3KE","GSON1116031130")</f>
        <v>#NAME?</v>
      </c>
      <c r="P2441" s="28" t="e">
        <f ca="1">[1]!BexGetData("DP_1","003N8EMH8GTFRIVOG7KG9J9VY","GSON1116031130")</f>
        <v>#NAME?</v>
      </c>
      <c r="Q2441" s="24" t="e">
        <f ca="1">[1]!BexGetData("DP_1","00O2TNJGODT0G5Z4TTKYMM5MT","GSON1116031130")</f>
        <v>#NAME?</v>
      </c>
      <c r="R2441" s="28" t="e">
        <f ca="1">[1]!BexGetData("DP_1","00O2TNJGODT0G5Z4TTKYMMBYD","GSON1116031130")</f>
        <v>#NAME?</v>
      </c>
      <c r="S2441" s="28" t="e">
        <f ca="1">[1]!BexGetData("DP_1","00O2TNJGODT0G5Z4TTKYMMI9X","GSON1116031130")</f>
        <v>#NAME?</v>
      </c>
      <c r="T2441" s="28" t="e">
        <f ca="1">[1]!BexGetData("DP_1","00O2TNJGODT0G5Z4TTKYMMOLH","GSON1116031130")</f>
        <v>#NAME?</v>
      </c>
      <c r="U2441" s="28" t="e">
        <f ca="1">[1]!BexGetData("DP_1","00O2TNJGODT0G5Z4TTKYMMUX1","GSON1116031130")</f>
        <v>#NAME?</v>
      </c>
      <c r="V2441" s="28" t="e">
        <f ca="1">[1]!BexGetData("DP_1","00O2TNJGODT0G5Z4TTKYMN18L","GSON1116031130")</f>
        <v>#NAME?</v>
      </c>
      <c r="W2441" s="28" t="e">
        <f ca="1">[1]!BexGetData("DP_1","00O2TNJGODT0G5Z4TTKYMN7K5","GSON1116031130")</f>
        <v>#NAME?</v>
      </c>
    </row>
    <row r="2442" spans="1:23" x14ac:dyDescent="0.2">
      <c r="A2442" s="36" t="s">
        <v>5814</v>
      </c>
      <c r="B2442" s="27" t="s">
        <v>5815</v>
      </c>
      <c r="C2442" s="28" t="e">
        <f ca="1">[1]!BexGetData("DP_1","003N8EMH8GTFRCSWKMPXRR8GU","GSON1116031131")</f>
        <v>#NAME?</v>
      </c>
      <c r="D2442" s="28" t="e">
        <f ca="1">[1]!BexGetData("DP_1","003N8EMH8GTFRCSWKMPXRRESE","GSON1116031131")</f>
        <v>#NAME?</v>
      </c>
      <c r="E2442" s="28" t="e">
        <f ca="1">[1]!BexGetData("DP_1","003N8EMH8GTFRCSWKMPXRRL3Y","GSON1116031131")</f>
        <v>#NAME?</v>
      </c>
      <c r="F2442" s="28" t="e">
        <f ca="1">[1]!BexGetData("DP_1","003N8EMH8GTFRCSWKMPXRRRFI","GSON1116031131")</f>
        <v>#NAME?</v>
      </c>
      <c r="G2442" s="23" t="e">
        <f ca="1">[1]!BexGetData("DP_1","003N8EMH8GTFRCSWKMPXRRXR2","GSON1116031131")</f>
        <v>#NAME?</v>
      </c>
      <c r="H2442" s="23" t="e">
        <f ca="1">[1]!BexGetData("DP_1","003N8EMH8GTFRCSWKMPXRS42M","GSON1116031131")</f>
        <v>#NAME?</v>
      </c>
      <c r="I2442" s="28" t="e">
        <f ca="1">[1]!BexGetData("DP_1","003N8EMH8GTFRCSWKMPXRSAE6","GSON1116031131")</f>
        <v>#NAME?</v>
      </c>
      <c r="J2442" s="24" t="e">
        <f ca="1">[1]!BexGetData("DP_1","003N8EMH8GTFRCSWKMPXRSGPQ","GSON1116031131")</f>
        <v>#NAME?</v>
      </c>
      <c r="K2442" s="28" t="e">
        <f ca="1">[1]!BexGetData("DP_1","003N8EMH8GTFRIVNUPY288VJH","GSON1116031131")</f>
        <v>#NAME?</v>
      </c>
      <c r="L2442" s="28" t="e">
        <f ca="1">[1]!BexGetData("DP_1","003N8EMH8GTFRIVNUPY2891V1","GSON1116031131")</f>
        <v>#NAME?</v>
      </c>
      <c r="M2442" s="28" t="e">
        <f ca="1">[1]!BexGetData("DP_1","003N8EMH8GTFRIVOG7KG9IQXA","GSON1116031131")</f>
        <v>#NAME?</v>
      </c>
      <c r="N2442" s="28" t="e">
        <f ca="1">[1]!BexGetData("DP_1","003N8EMH8GTFRIVOG7KG9IX8U","GSON1116031131")</f>
        <v>#NAME?</v>
      </c>
      <c r="O2442" s="28" t="e">
        <f ca="1">[1]!BexGetData("DP_1","003N8EMH8GTFRIVOG7KG9J3KE","GSON1116031131")</f>
        <v>#NAME?</v>
      </c>
      <c r="P2442" s="28" t="e">
        <f ca="1">[1]!BexGetData("DP_1","003N8EMH8GTFRIVOG7KG9J9VY","GSON1116031131")</f>
        <v>#NAME?</v>
      </c>
      <c r="Q2442" s="24" t="e">
        <f ca="1">[1]!BexGetData("DP_1","00O2TNJGODT0G5Z4TTKYMM5MT","GSON1116031131")</f>
        <v>#NAME?</v>
      </c>
      <c r="R2442" s="28" t="e">
        <f ca="1">[1]!BexGetData("DP_1","00O2TNJGODT0G5Z4TTKYMMBYD","GSON1116031131")</f>
        <v>#NAME?</v>
      </c>
      <c r="S2442" s="28" t="e">
        <f ca="1">[1]!BexGetData("DP_1","00O2TNJGODT0G5Z4TTKYMMI9X","GSON1116031131")</f>
        <v>#NAME?</v>
      </c>
      <c r="T2442" s="28" t="e">
        <f ca="1">[1]!BexGetData("DP_1","00O2TNJGODT0G5Z4TTKYMMOLH","GSON1116031131")</f>
        <v>#NAME?</v>
      </c>
      <c r="U2442" s="28" t="e">
        <f ca="1">[1]!BexGetData("DP_1","00O2TNJGODT0G5Z4TTKYMMUX1","GSON1116031131")</f>
        <v>#NAME?</v>
      </c>
      <c r="V2442" s="28" t="e">
        <f ca="1">[1]!BexGetData("DP_1","00O2TNJGODT0G5Z4TTKYMN18L","GSON1116031131")</f>
        <v>#NAME?</v>
      </c>
      <c r="W2442" s="28" t="e">
        <f ca="1">[1]!BexGetData("DP_1","00O2TNJGODT0G5Z4TTKYMN7K5","GSON1116031131")</f>
        <v>#NAME?</v>
      </c>
    </row>
    <row r="2443" spans="1:23" x14ac:dyDescent="0.2">
      <c r="A2443" s="36" t="s">
        <v>5816</v>
      </c>
      <c r="B2443" s="27" t="s">
        <v>5817</v>
      </c>
      <c r="C2443" s="24" t="e">
        <f ca="1">[1]!BexGetData("DP_1","003N8EMH8GTFRCSWKMPXRR8GU","GSON1116031133")</f>
        <v>#NAME?</v>
      </c>
      <c r="D2443" s="24" t="e">
        <f ca="1">[1]!BexGetData("DP_1","003N8EMH8GTFRCSWKMPXRRESE","GSON1116031133")</f>
        <v>#NAME?</v>
      </c>
      <c r="E2443" s="24" t="e">
        <f ca="1">[1]!BexGetData("DP_1","003N8EMH8GTFRCSWKMPXRRL3Y","GSON1116031133")</f>
        <v>#NAME?</v>
      </c>
      <c r="F2443" s="28" t="e">
        <f ca="1">[1]!BexGetData("DP_1","003N8EMH8GTFRCSWKMPXRRRFI","GSON1116031133")</f>
        <v>#NAME?</v>
      </c>
      <c r="G2443" s="23" t="e">
        <f ca="1">[1]!BexGetData("DP_1","003N8EMH8GTFRCSWKMPXRRXR2","GSON1116031133")</f>
        <v>#NAME?</v>
      </c>
      <c r="H2443" s="23" t="e">
        <f ca="1">[1]!BexGetData("DP_1","003N8EMH8GTFRCSWKMPXRS42M","GSON1116031133")</f>
        <v>#NAME?</v>
      </c>
      <c r="I2443" s="28" t="e">
        <f ca="1">[1]!BexGetData("DP_1","003N8EMH8GTFRCSWKMPXRSAE6","GSON1116031133")</f>
        <v>#NAME?</v>
      </c>
      <c r="J2443" s="24" t="e">
        <f ca="1">[1]!BexGetData("DP_1","003N8EMH8GTFRCSWKMPXRSGPQ","GSON1116031133")</f>
        <v>#NAME?</v>
      </c>
      <c r="K2443" s="28" t="e">
        <f ca="1">[1]!BexGetData("DP_1","003N8EMH8GTFRIVNUPY288VJH","GSON1116031133")</f>
        <v>#NAME?</v>
      </c>
      <c r="L2443" s="28" t="e">
        <f ca="1">[1]!BexGetData("DP_1","003N8EMH8GTFRIVNUPY2891V1","GSON1116031133")</f>
        <v>#NAME?</v>
      </c>
      <c r="M2443" s="28" t="e">
        <f ca="1">[1]!BexGetData("DP_1","003N8EMH8GTFRIVOG7KG9IQXA","GSON1116031133")</f>
        <v>#NAME?</v>
      </c>
      <c r="N2443" s="28" t="e">
        <f ca="1">[1]!BexGetData("DP_1","003N8EMH8GTFRIVOG7KG9IX8U","GSON1116031133")</f>
        <v>#NAME?</v>
      </c>
      <c r="O2443" s="28" t="e">
        <f ca="1">[1]!BexGetData("DP_1","003N8EMH8GTFRIVOG7KG9J3KE","GSON1116031133")</f>
        <v>#NAME?</v>
      </c>
      <c r="P2443" s="28" t="e">
        <f ca="1">[1]!BexGetData("DP_1","003N8EMH8GTFRIVOG7KG9J9VY","GSON1116031133")</f>
        <v>#NAME?</v>
      </c>
      <c r="Q2443" s="24" t="e">
        <f ca="1">[1]!BexGetData("DP_1","00O2TNJGODT0G5Z4TTKYMM5MT","GSON1116031133")</f>
        <v>#NAME?</v>
      </c>
      <c r="R2443" s="28" t="e">
        <f ca="1">[1]!BexGetData("DP_1","00O2TNJGODT0G5Z4TTKYMMBYD","GSON1116031133")</f>
        <v>#NAME?</v>
      </c>
      <c r="S2443" s="28" t="e">
        <f ca="1">[1]!BexGetData("DP_1","00O2TNJGODT0G5Z4TTKYMMI9X","GSON1116031133")</f>
        <v>#NAME?</v>
      </c>
      <c r="T2443" s="28" t="e">
        <f ca="1">[1]!BexGetData("DP_1","00O2TNJGODT0G5Z4TTKYMMOLH","GSON1116031133")</f>
        <v>#NAME?</v>
      </c>
      <c r="U2443" s="28" t="e">
        <f ca="1">[1]!BexGetData("DP_1","00O2TNJGODT0G5Z4TTKYMMUX1","GSON1116031133")</f>
        <v>#NAME?</v>
      </c>
      <c r="V2443" s="28" t="e">
        <f ca="1">[1]!BexGetData("DP_1","00O2TNJGODT0G5Z4TTKYMN18L","GSON1116031133")</f>
        <v>#NAME?</v>
      </c>
      <c r="W2443" s="28" t="e">
        <f ca="1">[1]!BexGetData("DP_1","00O2TNJGODT0G5Z4TTKYMN7K5","GSON1116031133")</f>
        <v>#NAME?</v>
      </c>
    </row>
    <row r="2444" spans="1:23" x14ac:dyDescent="0.2">
      <c r="A2444" s="36" t="s">
        <v>5818</v>
      </c>
      <c r="B2444" s="27" t="s">
        <v>5819</v>
      </c>
      <c r="C2444" s="28" t="e">
        <f ca="1">[1]!BexGetData("DP_1","003N8EMH8GTFRCSWKMPXRR8GU","GSON1116031135")</f>
        <v>#NAME?</v>
      </c>
      <c r="D2444" s="28" t="e">
        <f ca="1">[1]!BexGetData("DP_1","003N8EMH8GTFRCSWKMPXRRESE","GSON1116031135")</f>
        <v>#NAME?</v>
      </c>
      <c r="E2444" s="28" t="e">
        <f ca="1">[1]!BexGetData("DP_1","003N8EMH8GTFRCSWKMPXRRL3Y","GSON1116031135")</f>
        <v>#NAME?</v>
      </c>
      <c r="F2444" s="28" t="e">
        <f ca="1">[1]!BexGetData("DP_1","003N8EMH8GTFRCSWKMPXRRRFI","GSON1116031135")</f>
        <v>#NAME?</v>
      </c>
      <c r="G2444" s="23" t="e">
        <f ca="1">[1]!BexGetData("DP_1","003N8EMH8GTFRCSWKMPXRRXR2","GSON1116031135")</f>
        <v>#NAME?</v>
      </c>
      <c r="H2444" s="23" t="e">
        <f ca="1">[1]!BexGetData("DP_1","003N8EMH8GTFRCSWKMPXRS42M","GSON1116031135")</f>
        <v>#NAME?</v>
      </c>
      <c r="I2444" s="28" t="e">
        <f ca="1">[1]!BexGetData("DP_1","003N8EMH8GTFRCSWKMPXRSAE6","GSON1116031135")</f>
        <v>#NAME?</v>
      </c>
      <c r="J2444" s="24" t="e">
        <f ca="1">[1]!BexGetData("DP_1","003N8EMH8GTFRCSWKMPXRSGPQ","GSON1116031135")</f>
        <v>#NAME?</v>
      </c>
      <c r="K2444" s="28" t="e">
        <f ca="1">[1]!BexGetData("DP_1","003N8EMH8GTFRIVNUPY288VJH","GSON1116031135")</f>
        <v>#NAME?</v>
      </c>
      <c r="L2444" s="28" t="e">
        <f ca="1">[1]!BexGetData("DP_1","003N8EMH8GTFRIVNUPY2891V1","GSON1116031135")</f>
        <v>#NAME?</v>
      </c>
      <c r="M2444" s="28" t="e">
        <f ca="1">[1]!BexGetData("DP_1","003N8EMH8GTFRIVOG7KG9IQXA","GSON1116031135")</f>
        <v>#NAME?</v>
      </c>
      <c r="N2444" s="28" t="e">
        <f ca="1">[1]!BexGetData("DP_1","003N8EMH8GTFRIVOG7KG9IX8U","GSON1116031135")</f>
        <v>#NAME?</v>
      </c>
      <c r="O2444" s="28" t="e">
        <f ca="1">[1]!BexGetData("DP_1","003N8EMH8GTFRIVOG7KG9J3KE","GSON1116031135")</f>
        <v>#NAME?</v>
      </c>
      <c r="P2444" s="28" t="e">
        <f ca="1">[1]!BexGetData("DP_1","003N8EMH8GTFRIVOG7KG9J9VY","GSON1116031135")</f>
        <v>#NAME?</v>
      </c>
      <c r="Q2444" s="24" t="e">
        <f ca="1">[1]!BexGetData("DP_1","00O2TNJGODT0G5Z4TTKYMM5MT","GSON1116031135")</f>
        <v>#NAME?</v>
      </c>
      <c r="R2444" s="28" t="e">
        <f ca="1">[1]!BexGetData("DP_1","00O2TNJGODT0G5Z4TTKYMMBYD","GSON1116031135")</f>
        <v>#NAME?</v>
      </c>
      <c r="S2444" s="28" t="e">
        <f ca="1">[1]!BexGetData("DP_1","00O2TNJGODT0G5Z4TTKYMMI9X","GSON1116031135")</f>
        <v>#NAME?</v>
      </c>
      <c r="T2444" s="28" t="e">
        <f ca="1">[1]!BexGetData("DP_1","00O2TNJGODT0G5Z4TTKYMMOLH","GSON1116031135")</f>
        <v>#NAME?</v>
      </c>
      <c r="U2444" s="28" t="e">
        <f ca="1">[1]!BexGetData("DP_1","00O2TNJGODT0G5Z4TTKYMMUX1","GSON1116031135")</f>
        <v>#NAME?</v>
      </c>
      <c r="V2444" s="28" t="e">
        <f ca="1">[1]!BexGetData("DP_1","00O2TNJGODT0G5Z4TTKYMN18L","GSON1116031135")</f>
        <v>#NAME?</v>
      </c>
      <c r="W2444" s="28" t="e">
        <f ca="1">[1]!BexGetData("DP_1","00O2TNJGODT0G5Z4TTKYMN7K5","GSON1116031135")</f>
        <v>#NAME?</v>
      </c>
    </row>
    <row r="2445" spans="1:23" x14ac:dyDescent="0.2">
      <c r="A2445" s="36" t="s">
        <v>5820</v>
      </c>
      <c r="B2445" s="27" t="s">
        <v>5821</v>
      </c>
      <c r="C2445" s="23" t="e">
        <f ca="1">[1]!BexGetData("DP_1","003N8EMH8GTFRCSWKMPXRR8GU","GSON1116031450")</f>
        <v>#NAME?</v>
      </c>
      <c r="D2445" s="23" t="e">
        <f ca="1">[1]!BexGetData("DP_1","003N8EMH8GTFRCSWKMPXRRESE","GSON1116031450")</f>
        <v>#NAME?</v>
      </c>
      <c r="E2445" s="23" t="e">
        <f ca="1">[1]!BexGetData("DP_1","003N8EMH8GTFRCSWKMPXRRL3Y","GSON1116031450")</f>
        <v>#NAME?</v>
      </c>
      <c r="F2445" s="24" t="e">
        <f ca="1">[1]!BexGetData("DP_1","003N8EMH8GTFRCSWKMPXRRRFI","GSON1116031450")</f>
        <v>#NAME?</v>
      </c>
      <c r="G2445" s="24" t="e">
        <f ca="1">[1]!BexGetData("DP_1","003N8EMH8GTFRCSWKMPXRRXR2","GSON1116031450")</f>
        <v>#NAME?</v>
      </c>
      <c r="H2445" s="24" t="e">
        <f ca="1">[1]!BexGetData("DP_1","003N8EMH8GTFRCSWKMPXRS42M","GSON1116031450")</f>
        <v>#NAME?</v>
      </c>
      <c r="I2445" s="24" t="e">
        <f ca="1">[1]!BexGetData("DP_1","003N8EMH8GTFRCSWKMPXRSAE6","GSON1116031450")</f>
        <v>#NAME?</v>
      </c>
      <c r="J2445" s="24" t="e">
        <f ca="1">[1]!BexGetData("DP_1","003N8EMH8GTFRCSWKMPXRSGPQ","GSON1116031450")</f>
        <v>#NAME?</v>
      </c>
      <c r="K2445" s="23" t="e">
        <f ca="1">[1]!BexGetData("DP_1","003N8EMH8GTFRIVNUPY288VJH","GSON1116031450")</f>
        <v>#NAME?</v>
      </c>
      <c r="L2445" s="23" t="e">
        <f ca="1">[1]!BexGetData("DP_1","003N8EMH8GTFRIVNUPY2891V1","GSON1116031450")</f>
        <v>#NAME?</v>
      </c>
      <c r="M2445" s="28" t="e">
        <f ca="1">[1]!BexGetData("DP_1","003N8EMH8GTFRIVOG7KG9IQXA","GSON1116031450")</f>
        <v>#NAME?</v>
      </c>
      <c r="N2445" s="23" t="e">
        <f ca="1">[1]!BexGetData("DP_1","003N8EMH8GTFRIVOG7KG9IX8U","GSON1116031450")</f>
        <v>#NAME?</v>
      </c>
      <c r="O2445" s="28" t="e">
        <f ca="1">[1]!BexGetData("DP_1","003N8EMH8GTFRIVOG7KG9J3KE","GSON1116031450")</f>
        <v>#NAME?</v>
      </c>
      <c r="P2445" s="23" t="e">
        <f ca="1">[1]!BexGetData("DP_1","003N8EMH8GTFRIVOG7KG9J9VY","GSON1116031450")</f>
        <v>#NAME?</v>
      </c>
      <c r="Q2445" s="24" t="e">
        <f ca="1">[1]!BexGetData("DP_1","00O2TNJGODT0G5Z4TTKYMM5MT","GSON1116031450")</f>
        <v>#NAME?</v>
      </c>
      <c r="R2445" s="24" t="e">
        <f ca="1">[1]!BexGetData("DP_1","00O2TNJGODT0G5Z4TTKYMMBYD","GSON1116031450")</f>
        <v>#NAME?</v>
      </c>
      <c r="S2445" s="24" t="e">
        <f ca="1">[1]!BexGetData("DP_1","00O2TNJGODT0G5Z4TTKYMMI9X","GSON1116031450")</f>
        <v>#NAME?</v>
      </c>
      <c r="T2445" s="24" t="e">
        <f ca="1">[1]!BexGetData("DP_1","00O2TNJGODT0G5Z4TTKYMMOLH","GSON1116031450")</f>
        <v>#NAME?</v>
      </c>
      <c r="U2445" s="24" t="e">
        <f ca="1">[1]!BexGetData("DP_1","00O2TNJGODT0G5Z4TTKYMMUX1","GSON1116031450")</f>
        <v>#NAME?</v>
      </c>
      <c r="V2445" s="24" t="e">
        <f ca="1">[1]!BexGetData("DP_1","00O2TNJGODT0G5Z4TTKYMN18L","GSON1116031450")</f>
        <v>#NAME?</v>
      </c>
      <c r="W2445" s="24" t="e">
        <f ca="1">[1]!BexGetData("DP_1","00O2TNJGODT0G5Z4TTKYMN7K5","GSON1116031450")</f>
        <v>#NAME?</v>
      </c>
    </row>
    <row r="2446" spans="1:23" x14ac:dyDescent="0.2">
      <c r="A2446" s="36" t="s">
        <v>5822</v>
      </c>
      <c r="B2446" s="27" t="s">
        <v>5823</v>
      </c>
      <c r="C2446" s="23" t="e">
        <f ca="1">[1]!BexGetData("DP_1","003N8EMH8GTFRCSWKMPXRR8GU","GSON1116031451")</f>
        <v>#NAME?</v>
      </c>
      <c r="D2446" s="23" t="e">
        <f ca="1">[1]!BexGetData("DP_1","003N8EMH8GTFRCSWKMPXRRESE","GSON1116031451")</f>
        <v>#NAME?</v>
      </c>
      <c r="E2446" s="28" t="e">
        <f ca="1">[1]!BexGetData("DP_1","003N8EMH8GTFRCSWKMPXRRL3Y","GSON1116031451")</f>
        <v>#NAME?</v>
      </c>
      <c r="F2446" s="24" t="e">
        <f ca="1">[1]!BexGetData("DP_1","003N8EMH8GTFRCSWKMPXRRRFI","GSON1116031451")</f>
        <v>#NAME?</v>
      </c>
      <c r="G2446" s="24" t="e">
        <f ca="1">[1]!BexGetData("DP_1","003N8EMH8GTFRCSWKMPXRRXR2","GSON1116031451")</f>
        <v>#NAME?</v>
      </c>
      <c r="H2446" s="24" t="e">
        <f ca="1">[1]!BexGetData("DP_1","003N8EMH8GTFRCSWKMPXRS42M","GSON1116031451")</f>
        <v>#NAME?</v>
      </c>
      <c r="I2446" s="24" t="e">
        <f ca="1">[1]!BexGetData("DP_1","003N8EMH8GTFRCSWKMPXRSAE6","GSON1116031451")</f>
        <v>#NAME?</v>
      </c>
      <c r="J2446" s="24" t="e">
        <f ca="1">[1]!BexGetData("DP_1","003N8EMH8GTFRCSWKMPXRSGPQ","GSON1116031451")</f>
        <v>#NAME?</v>
      </c>
      <c r="K2446" s="28" t="e">
        <f ca="1">[1]!BexGetData("DP_1","003N8EMH8GTFRIVNUPY288VJH","GSON1116031451")</f>
        <v>#NAME?</v>
      </c>
      <c r="L2446" s="28" t="e">
        <f ca="1">[1]!BexGetData("DP_1","003N8EMH8GTFRIVNUPY2891V1","GSON1116031451")</f>
        <v>#NAME?</v>
      </c>
      <c r="M2446" s="28" t="e">
        <f ca="1">[1]!BexGetData("DP_1","003N8EMH8GTFRIVOG7KG9IQXA","GSON1116031451")</f>
        <v>#NAME?</v>
      </c>
      <c r="N2446" s="28" t="e">
        <f ca="1">[1]!BexGetData("DP_1","003N8EMH8GTFRIVOG7KG9IX8U","GSON1116031451")</f>
        <v>#NAME?</v>
      </c>
      <c r="O2446" s="28" t="e">
        <f ca="1">[1]!BexGetData("DP_1","003N8EMH8GTFRIVOG7KG9J3KE","GSON1116031451")</f>
        <v>#NAME?</v>
      </c>
      <c r="P2446" s="28" t="e">
        <f ca="1">[1]!BexGetData("DP_1","003N8EMH8GTFRIVOG7KG9J9VY","GSON1116031451")</f>
        <v>#NAME?</v>
      </c>
      <c r="Q2446" s="24" t="e">
        <f ca="1">[1]!BexGetData("DP_1","00O2TNJGODT0G5Z4TTKYMM5MT","GSON1116031451")</f>
        <v>#NAME?</v>
      </c>
      <c r="R2446" s="24" t="e">
        <f ca="1">[1]!BexGetData("DP_1","00O2TNJGODT0G5Z4TTKYMMBYD","GSON1116031451")</f>
        <v>#NAME?</v>
      </c>
      <c r="S2446" s="24" t="e">
        <f ca="1">[1]!BexGetData("DP_1","00O2TNJGODT0G5Z4TTKYMMI9X","GSON1116031451")</f>
        <v>#NAME?</v>
      </c>
      <c r="T2446" s="24" t="e">
        <f ca="1">[1]!BexGetData("DP_1","00O2TNJGODT0G5Z4TTKYMMOLH","GSON1116031451")</f>
        <v>#NAME?</v>
      </c>
      <c r="U2446" s="24" t="e">
        <f ca="1">[1]!BexGetData("DP_1","00O2TNJGODT0G5Z4TTKYMMUX1","GSON1116031451")</f>
        <v>#NAME?</v>
      </c>
      <c r="V2446" s="24" t="e">
        <f ca="1">[1]!BexGetData("DP_1","00O2TNJGODT0G5Z4TTKYMN18L","GSON1116031451")</f>
        <v>#NAME?</v>
      </c>
      <c r="W2446" s="24" t="e">
        <f ca="1">[1]!BexGetData("DP_1","00O2TNJGODT0G5Z4TTKYMN7K5","GSON1116031451")</f>
        <v>#NAME?</v>
      </c>
    </row>
    <row r="2447" spans="1:23" x14ac:dyDescent="0.2">
      <c r="A2447" s="36" t="s">
        <v>5824</v>
      </c>
      <c r="B2447" s="27" t="s">
        <v>5825</v>
      </c>
      <c r="C2447" s="23" t="e">
        <f ca="1">[1]!BexGetData("DP_1","003N8EMH8GTFRCSWKMPXRR8GU","GSON1116031453")</f>
        <v>#NAME?</v>
      </c>
      <c r="D2447" s="23" t="e">
        <f ca="1">[1]!BexGetData("DP_1","003N8EMH8GTFRCSWKMPXRRESE","GSON1116031453")</f>
        <v>#NAME?</v>
      </c>
      <c r="E2447" s="28" t="e">
        <f ca="1">[1]!BexGetData("DP_1","003N8EMH8GTFRCSWKMPXRRL3Y","GSON1116031453")</f>
        <v>#NAME?</v>
      </c>
      <c r="F2447" s="24" t="e">
        <f ca="1">[1]!BexGetData("DP_1","003N8EMH8GTFRCSWKMPXRRRFI","GSON1116031453")</f>
        <v>#NAME?</v>
      </c>
      <c r="G2447" s="24" t="e">
        <f ca="1">[1]!BexGetData("DP_1","003N8EMH8GTFRCSWKMPXRRXR2","GSON1116031453")</f>
        <v>#NAME?</v>
      </c>
      <c r="H2447" s="24" t="e">
        <f ca="1">[1]!BexGetData("DP_1","003N8EMH8GTFRCSWKMPXRS42M","GSON1116031453")</f>
        <v>#NAME?</v>
      </c>
      <c r="I2447" s="24" t="e">
        <f ca="1">[1]!BexGetData("DP_1","003N8EMH8GTFRCSWKMPXRSAE6","GSON1116031453")</f>
        <v>#NAME?</v>
      </c>
      <c r="J2447" s="24" t="e">
        <f ca="1">[1]!BexGetData("DP_1","003N8EMH8GTFRCSWKMPXRSGPQ","GSON1116031453")</f>
        <v>#NAME?</v>
      </c>
      <c r="K2447" s="28" t="e">
        <f ca="1">[1]!BexGetData("DP_1","003N8EMH8GTFRIVNUPY288VJH","GSON1116031453")</f>
        <v>#NAME?</v>
      </c>
      <c r="L2447" s="28" t="e">
        <f ca="1">[1]!BexGetData("DP_1","003N8EMH8GTFRIVNUPY2891V1","GSON1116031453")</f>
        <v>#NAME?</v>
      </c>
      <c r="M2447" s="28" t="e">
        <f ca="1">[1]!BexGetData("DP_1","003N8EMH8GTFRIVOG7KG9IQXA","GSON1116031453")</f>
        <v>#NAME?</v>
      </c>
      <c r="N2447" s="28" t="e">
        <f ca="1">[1]!BexGetData("DP_1","003N8EMH8GTFRIVOG7KG9IX8U","GSON1116031453")</f>
        <v>#NAME?</v>
      </c>
      <c r="O2447" s="28" t="e">
        <f ca="1">[1]!BexGetData("DP_1","003N8EMH8GTFRIVOG7KG9J3KE","GSON1116031453")</f>
        <v>#NAME?</v>
      </c>
      <c r="P2447" s="28" t="e">
        <f ca="1">[1]!BexGetData("DP_1","003N8EMH8GTFRIVOG7KG9J9VY","GSON1116031453")</f>
        <v>#NAME?</v>
      </c>
      <c r="Q2447" s="24" t="e">
        <f ca="1">[1]!BexGetData("DP_1","00O2TNJGODT0G5Z4TTKYMM5MT","GSON1116031453")</f>
        <v>#NAME?</v>
      </c>
      <c r="R2447" s="24" t="e">
        <f ca="1">[1]!BexGetData("DP_1","00O2TNJGODT0G5Z4TTKYMMBYD","GSON1116031453")</f>
        <v>#NAME?</v>
      </c>
      <c r="S2447" s="24" t="e">
        <f ca="1">[1]!BexGetData("DP_1","00O2TNJGODT0G5Z4TTKYMMI9X","GSON1116031453")</f>
        <v>#NAME?</v>
      </c>
      <c r="T2447" s="24" t="e">
        <f ca="1">[1]!BexGetData("DP_1","00O2TNJGODT0G5Z4TTKYMMOLH","GSON1116031453")</f>
        <v>#NAME?</v>
      </c>
      <c r="U2447" s="24" t="e">
        <f ca="1">[1]!BexGetData("DP_1","00O2TNJGODT0G5Z4TTKYMMUX1","GSON1116031453")</f>
        <v>#NAME?</v>
      </c>
      <c r="V2447" s="24" t="e">
        <f ca="1">[1]!BexGetData("DP_1","00O2TNJGODT0G5Z4TTKYMN18L","GSON1116031453")</f>
        <v>#NAME?</v>
      </c>
      <c r="W2447" s="24" t="e">
        <f ca="1">[1]!BexGetData("DP_1","00O2TNJGODT0G5Z4TTKYMN7K5","GSON1116031453")</f>
        <v>#NAME?</v>
      </c>
    </row>
    <row r="2448" spans="1:23" x14ac:dyDescent="0.2">
      <c r="A2448" s="36" t="s">
        <v>5826</v>
      </c>
      <c r="B2448" s="27" t="s">
        <v>5827</v>
      </c>
      <c r="C2448" s="23" t="e">
        <f ca="1">[1]!BexGetData("DP_1","003N8EMH8GTFRCSWKMPXRR8GU","GSON1116031455")</f>
        <v>#NAME?</v>
      </c>
      <c r="D2448" s="23" t="e">
        <f ca="1">[1]!BexGetData("DP_1","003N8EMH8GTFRCSWKMPXRRESE","GSON1116031455")</f>
        <v>#NAME?</v>
      </c>
      <c r="E2448" s="28" t="e">
        <f ca="1">[1]!BexGetData("DP_1","003N8EMH8GTFRCSWKMPXRRL3Y","GSON1116031455")</f>
        <v>#NAME?</v>
      </c>
      <c r="F2448" s="24" t="e">
        <f ca="1">[1]!BexGetData("DP_1","003N8EMH8GTFRCSWKMPXRRRFI","GSON1116031455")</f>
        <v>#NAME?</v>
      </c>
      <c r="G2448" s="24" t="e">
        <f ca="1">[1]!BexGetData("DP_1","003N8EMH8GTFRCSWKMPXRRXR2","GSON1116031455")</f>
        <v>#NAME?</v>
      </c>
      <c r="H2448" s="24" t="e">
        <f ca="1">[1]!BexGetData("DP_1","003N8EMH8GTFRCSWKMPXRS42M","GSON1116031455")</f>
        <v>#NAME?</v>
      </c>
      <c r="I2448" s="24" t="e">
        <f ca="1">[1]!BexGetData("DP_1","003N8EMH8GTFRCSWKMPXRSAE6","GSON1116031455")</f>
        <v>#NAME?</v>
      </c>
      <c r="J2448" s="24" t="e">
        <f ca="1">[1]!BexGetData("DP_1","003N8EMH8GTFRCSWKMPXRSGPQ","GSON1116031455")</f>
        <v>#NAME?</v>
      </c>
      <c r="K2448" s="28" t="e">
        <f ca="1">[1]!BexGetData("DP_1","003N8EMH8GTFRIVNUPY288VJH","GSON1116031455")</f>
        <v>#NAME?</v>
      </c>
      <c r="L2448" s="28" t="e">
        <f ca="1">[1]!BexGetData("DP_1","003N8EMH8GTFRIVNUPY2891V1","GSON1116031455")</f>
        <v>#NAME?</v>
      </c>
      <c r="M2448" s="28" t="e">
        <f ca="1">[1]!BexGetData("DP_1","003N8EMH8GTFRIVOG7KG9IQXA","GSON1116031455")</f>
        <v>#NAME?</v>
      </c>
      <c r="N2448" s="28" t="e">
        <f ca="1">[1]!BexGetData("DP_1","003N8EMH8GTFRIVOG7KG9IX8U","GSON1116031455")</f>
        <v>#NAME?</v>
      </c>
      <c r="O2448" s="28" t="e">
        <f ca="1">[1]!BexGetData("DP_1","003N8EMH8GTFRIVOG7KG9J3KE","GSON1116031455")</f>
        <v>#NAME?</v>
      </c>
      <c r="P2448" s="28" t="e">
        <f ca="1">[1]!BexGetData("DP_1","003N8EMH8GTFRIVOG7KG9J9VY","GSON1116031455")</f>
        <v>#NAME?</v>
      </c>
      <c r="Q2448" s="24" t="e">
        <f ca="1">[1]!BexGetData("DP_1","00O2TNJGODT0G5Z4TTKYMM5MT","GSON1116031455")</f>
        <v>#NAME?</v>
      </c>
      <c r="R2448" s="24" t="e">
        <f ca="1">[1]!BexGetData("DP_1","00O2TNJGODT0G5Z4TTKYMMBYD","GSON1116031455")</f>
        <v>#NAME?</v>
      </c>
      <c r="S2448" s="24" t="e">
        <f ca="1">[1]!BexGetData("DP_1","00O2TNJGODT0G5Z4TTKYMMI9X","GSON1116031455")</f>
        <v>#NAME?</v>
      </c>
      <c r="T2448" s="24" t="e">
        <f ca="1">[1]!BexGetData("DP_1","00O2TNJGODT0G5Z4TTKYMMOLH","GSON1116031455")</f>
        <v>#NAME?</v>
      </c>
      <c r="U2448" s="24" t="e">
        <f ca="1">[1]!BexGetData("DP_1","00O2TNJGODT0G5Z4TTKYMMUX1","GSON1116031455")</f>
        <v>#NAME?</v>
      </c>
      <c r="V2448" s="24" t="e">
        <f ca="1">[1]!BexGetData("DP_1","00O2TNJGODT0G5Z4TTKYMN18L","GSON1116031455")</f>
        <v>#NAME?</v>
      </c>
      <c r="W2448" s="24" t="e">
        <f ca="1">[1]!BexGetData("DP_1","00O2TNJGODT0G5Z4TTKYMN7K5","GSON1116031455")</f>
        <v>#NAME?</v>
      </c>
    </row>
    <row r="2449" spans="1:23" x14ac:dyDescent="0.2">
      <c r="A2449" s="36" t="s">
        <v>5828</v>
      </c>
      <c r="B2449" s="27" t="s">
        <v>5829</v>
      </c>
      <c r="C2449" s="23" t="e">
        <f ca="1">[1]!BexGetData("DP_1","003N8EMH8GTFRCSWKMPXRR8GU","GSON1116031460")</f>
        <v>#NAME?</v>
      </c>
      <c r="D2449" s="23" t="e">
        <f ca="1">[1]!BexGetData("DP_1","003N8EMH8GTFRCSWKMPXRRESE","GSON1116031460")</f>
        <v>#NAME?</v>
      </c>
      <c r="E2449" s="23" t="e">
        <f ca="1">[1]!BexGetData("DP_1","003N8EMH8GTFRCSWKMPXRRL3Y","GSON1116031460")</f>
        <v>#NAME?</v>
      </c>
      <c r="F2449" s="24" t="e">
        <f ca="1">[1]!BexGetData("DP_1","003N8EMH8GTFRCSWKMPXRRRFI","GSON1116031460")</f>
        <v>#NAME?</v>
      </c>
      <c r="G2449" s="24" t="e">
        <f ca="1">[1]!BexGetData("DP_1","003N8EMH8GTFRCSWKMPXRRXR2","GSON1116031460")</f>
        <v>#NAME?</v>
      </c>
      <c r="H2449" s="24" t="e">
        <f ca="1">[1]!BexGetData("DP_1","003N8EMH8GTFRCSWKMPXRS42M","GSON1116031460")</f>
        <v>#NAME?</v>
      </c>
      <c r="I2449" s="24" t="e">
        <f ca="1">[1]!BexGetData("DP_1","003N8EMH8GTFRCSWKMPXRSAE6","GSON1116031460")</f>
        <v>#NAME?</v>
      </c>
      <c r="J2449" s="24" t="e">
        <f ca="1">[1]!BexGetData("DP_1","003N8EMH8GTFRCSWKMPXRSGPQ","GSON1116031460")</f>
        <v>#NAME?</v>
      </c>
      <c r="K2449" s="23" t="e">
        <f ca="1">[1]!BexGetData("DP_1","003N8EMH8GTFRIVNUPY288VJH","GSON1116031460")</f>
        <v>#NAME?</v>
      </c>
      <c r="L2449" s="23" t="e">
        <f ca="1">[1]!BexGetData("DP_1","003N8EMH8GTFRIVNUPY2891V1","GSON1116031460")</f>
        <v>#NAME?</v>
      </c>
      <c r="M2449" s="28" t="e">
        <f ca="1">[1]!BexGetData("DP_1","003N8EMH8GTFRIVOG7KG9IQXA","GSON1116031460")</f>
        <v>#NAME?</v>
      </c>
      <c r="N2449" s="23" t="e">
        <f ca="1">[1]!BexGetData("DP_1","003N8EMH8GTFRIVOG7KG9IX8U","GSON1116031460")</f>
        <v>#NAME?</v>
      </c>
      <c r="O2449" s="28" t="e">
        <f ca="1">[1]!BexGetData("DP_1","003N8EMH8GTFRIVOG7KG9J3KE","GSON1116031460")</f>
        <v>#NAME?</v>
      </c>
      <c r="P2449" s="23" t="e">
        <f ca="1">[1]!BexGetData("DP_1","003N8EMH8GTFRIVOG7KG9J9VY","GSON1116031460")</f>
        <v>#NAME?</v>
      </c>
      <c r="Q2449" s="24" t="e">
        <f ca="1">[1]!BexGetData("DP_1","00O2TNJGODT0G5Z4TTKYMM5MT","GSON1116031460")</f>
        <v>#NAME?</v>
      </c>
      <c r="R2449" s="24" t="e">
        <f ca="1">[1]!BexGetData("DP_1","00O2TNJGODT0G5Z4TTKYMMBYD","GSON1116031460")</f>
        <v>#NAME?</v>
      </c>
      <c r="S2449" s="24" t="e">
        <f ca="1">[1]!BexGetData("DP_1","00O2TNJGODT0G5Z4TTKYMMI9X","GSON1116031460")</f>
        <v>#NAME?</v>
      </c>
      <c r="T2449" s="24" t="e">
        <f ca="1">[1]!BexGetData("DP_1","00O2TNJGODT0G5Z4TTKYMMOLH","GSON1116031460")</f>
        <v>#NAME?</v>
      </c>
      <c r="U2449" s="24" t="e">
        <f ca="1">[1]!BexGetData("DP_1","00O2TNJGODT0G5Z4TTKYMMUX1","GSON1116031460")</f>
        <v>#NAME?</v>
      </c>
      <c r="V2449" s="24" t="e">
        <f ca="1">[1]!BexGetData("DP_1","00O2TNJGODT0G5Z4TTKYMN18L","GSON1116031460")</f>
        <v>#NAME?</v>
      </c>
      <c r="W2449" s="24" t="e">
        <f ca="1">[1]!BexGetData("DP_1","00O2TNJGODT0G5Z4TTKYMN7K5","GSON1116031460")</f>
        <v>#NAME?</v>
      </c>
    </row>
    <row r="2450" spans="1:23" x14ac:dyDescent="0.2">
      <c r="A2450" s="36" t="s">
        <v>2572</v>
      </c>
      <c r="B2450" s="27" t="s">
        <v>5830</v>
      </c>
      <c r="C2450" s="23" t="e">
        <f ca="1">[1]!BexGetData("DP_1","003N8EMH8GTFRCSWKMPXRR8GU","GSON1116031461")</f>
        <v>#NAME?</v>
      </c>
      <c r="D2450" s="23" t="e">
        <f ca="1">[1]!BexGetData("DP_1","003N8EMH8GTFRCSWKMPXRRESE","GSON1116031461")</f>
        <v>#NAME?</v>
      </c>
      <c r="E2450" s="28" t="e">
        <f ca="1">[1]!BexGetData("DP_1","003N8EMH8GTFRCSWKMPXRRL3Y","GSON1116031461")</f>
        <v>#NAME?</v>
      </c>
      <c r="F2450" s="24" t="e">
        <f ca="1">[1]!BexGetData("DP_1","003N8EMH8GTFRCSWKMPXRRRFI","GSON1116031461")</f>
        <v>#NAME?</v>
      </c>
      <c r="G2450" s="24" t="e">
        <f ca="1">[1]!BexGetData("DP_1","003N8EMH8GTFRCSWKMPXRRXR2","GSON1116031461")</f>
        <v>#NAME?</v>
      </c>
      <c r="H2450" s="24" t="e">
        <f ca="1">[1]!BexGetData("DP_1","003N8EMH8GTFRCSWKMPXRS42M","GSON1116031461")</f>
        <v>#NAME?</v>
      </c>
      <c r="I2450" s="24" t="e">
        <f ca="1">[1]!BexGetData("DP_1","003N8EMH8GTFRCSWKMPXRSAE6","GSON1116031461")</f>
        <v>#NAME?</v>
      </c>
      <c r="J2450" s="24" t="e">
        <f ca="1">[1]!BexGetData("DP_1","003N8EMH8GTFRCSWKMPXRSGPQ","GSON1116031461")</f>
        <v>#NAME?</v>
      </c>
      <c r="K2450" s="28" t="e">
        <f ca="1">[1]!BexGetData("DP_1","003N8EMH8GTFRIVNUPY288VJH","GSON1116031461")</f>
        <v>#NAME?</v>
      </c>
      <c r="L2450" s="28" t="e">
        <f ca="1">[1]!BexGetData("DP_1","003N8EMH8GTFRIVNUPY2891V1","GSON1116031461")</f>
        <v>#NAME?</v>
      </c>
      <c r="M2450" s="28" t="e">
        <f ca="1">[1]!BexGetData("DP_1","003N8EMH8GTFRIVOG7KG9IQXA","GSON1116031461")</f>
        <v>#NAME?</v>
      </c>
      <c r="N2450" s="28" t="e">
        <f ca="1">[1]!BexGetData("DP_1","003N8EMH8GTFRIVOG7KG9IX8U","GSON1116031461")</f>
        <v>#NAME?</v>
      </c>
      <c r="O2450" s="28" t="e">
        <f ca="1">[1]!BexGetData("DP_1","003N8EMH8GTFRIVOG7KG9J3KE","GSON1116031461")</f>
        <v>#NAME?</v>
      </c>
      <c r="P2450" s="28" t="e">
        <f ca="1">[1]!BexGetData("DP_1","003N8EMH8GTFRIVOG7KG9J9VY","GSON1116031461")</f>
        <v>#NAME?</v>
      </c>
      <c r="Q2450" s="24" t="e">
        <f ca="1">[1]!BexGetData("DP_1","00O2TNJGODT0G5Z4TTKYMM5MT","GSON1116031461")</f>
        <v>#NAME?</v>
      </c>
      <c r="R2450" s="24" t="e">
        <f ca="1">[1]!BexGetData("DP_1","00O2TNJGODT0G5Z4TTKYMMBYD","GSON1116031461")</f>
        <v>#NAME?</v>
      </c>
      <c r="S2450" s="24" t="e">
        <f ca="1">[1]!BexGetData("DP_1","00O2TNJGODT0G5Z4TTKYMMI9X","GSON1116031461")</f>
        <v>#NAME?</v>
      </c>
      <c r="T2450" s="24" t="e">
        <f ca="1">[1]!BexGetData("DP_1","00O2TNJGODT0G5Z4TTKYMMOLH","GSON1116031461")</f>
        <v>#NAME?</v>
      </c>
      <c r="U2450" s="24" t="e">
        <f ca="1">[1]!BexGetData("DP_1","00O2TNJGODT0G5Z4TTKYMMUX1","GSON1116031461")</f>
        <v>#NAME?</v>
      </c>
      <c r="V2450" s="24" t="e">
        <f ca="1">[1]!BexGetData("DP_1","00O2TNJGODT0G5Z4TTKYMN18L","GSON1116031461")</f>
        <v>#NAME?</v>
      </c>
      <c r="W2450" s="24" t="e">
        <f ca="1">[1]!BexGetData("DP_1","00O2TNJGODT0G5Z4TTKYMN7K5","GSON1116031461")</f>
        <v>#NAME?</v>
      </c>
    </row>
    <row r="2451" spans="1:23" x14ac:dyDescent="0.2">
      <c r="A2451" s="36" t="s">
        <v>5831</v>
      </c>
      <c r="B2451" s="27" t="s">
        <v>5832</v>
      </c>
      <c r="C2451" s="23" t="e">
        <f ca="1">[1]!BexGetData("DP_1","003N8EMH8GTFRCSWKMPXRR8GU","GSON1116031463")</f>
        <v>#NAME?</v>
      </c>
      <c r="D2451" s="23" t="e">
        <f ca="1">[1]!BexGetData("DP_1","003N8EMH8GTFRCSWKMPXRRESE","GSON1116031463")</f>
        <v>#NAME?</v>
      </c>
      <c r="E2451" s="28" t="e">
        <f ca="1">[1]!BexGetData("DP_1","003N8EMH8GTFRCSWKMPXRRL3Y","GSON1116031463")</f>
        <v>#NAME?</v>
      </c>
      <c r="F2451" s="24" t="e">
        <f ca="1">[1]!BexGetData("DP_1","003N8EMH8GTFRCSWKMPXRRRFI","GSON1116031463")</f>
        <v>#NAME?</v>
      </c>
      <c r="G2451" s="24" t="e">
        <f ca="1">[1]!BexGetData("DP_1","003N8EMH8GTFRCSWKMPXRRXR2","GSON1116031463")</f>
        <v>#NAME?</v>
      </c>
      <c r="H2451" s="24" t="e">
        <f ca="1">[1]!BexGetData("DP_1","003N8EMH8GTFRCSWKMPXRS42M","GSON1116031463")</f>
        <v>#NAME?</v>
      </c>
      <c r="I2451" s="24" t="e">
        <f ca="1">[1]!BexGetData("DP_1","003N8EMH8GTFRCSWKMPXRSAE6","GSON1116031463")</f>
        <v>#NAME?</v>
      </c>
      <c r="J2451" s="24" t="e">
        <f ca="1">[1]!BexGetData("DP_1","003N8EMH8GTFRCSWKMPXRSGPQ","GSON1116031463")</f>
        <v>#NAME?</v>
      </c>
      <c r="K2451" s="28" t="e">
        <f ca="1">[1]!BexGetData("DP_1","003N8EMH8GTFRIVNUPY288VJH","GSON1116031463")</f>
        <v>#NAME?</v>
      </c>
      <c r="L2451" s="28" t="e">
        <f ca="1">[1]!BexGetData("DP_1","003N8EMH8GTFRIVNUPY2891V1","GSON1116031463")</f>
        <v>#NAME?</v>
      </c>
      <c r="M2451" s="28" t="e">
        <f ca="1">[1]!BexGetData("DP_1","003N8EMH8GTFRIVOG7KG9IQXA","GSON1116031463")</f>
        <v>#NAME?</v>
      </c>
      <c r="N2451" s="28" t="e">
        <f ca="1">[1]!BexGetData("DP_1","003N8EMH8GTFRIVOG7KG9IX8U","GSON1116031463")</f>
        <v>#NAME?</v>
      </c>
      <c r="O2451" s="28" t="e">
        <f ca="1">[1]!BexGetData("DP_1","003N8EMH8GTFRIVOG7KG9J3KE","GSON1116031463")</f>
        <v>#NAME?</v>
      </c>
      <c r="P2451" s="28" t="e">
        <f ca="1">[1]!BexGetData("DP_1","003N8EMH8GTFRIVOG7KG9J9VY","GSON1116031463")</f>
        <v>#NAME?</v>
      </c>
      <c r="Q2451" s="24" t="e">
        <f ca="1">[1]!BexGetData("DP_1","00O2TNJGODT0G5Z4TTKYMM5MT","GSON1116031463")</f>
        <v>#NAME?</v>
      </c>
      <c r="R2451" s="24" t="e">
        <f ca="1">[1]!BexGetData("DP_1","00O2TNJGODT0G5Z4TTKYMMBYD","GSON1116031463")</f>
        <v>#NAME?</v>
      </c>
      <c r="S2451" s="24" t="e">
        <f ca="1">[1]!BexGetData("DP_1","00O2TNJGODT0G5Z4TTKYMMI9X","GSON1116031463")</f>
        <v>#NAME?</v>
      </c>
      <c r="T2451" s="24" t="e">
        <f ca="1">[1]!BexGetData("DP_1","00O2TNJGODT0G5Z4TTKYMMOLH","GSON1116031463")</f>
        <v>#NAME?</v>
      </c>
      <c r="U2451" s="24" t="e">
        <f ca="1">[1]!BexGetData("DP_1","00O2TNJGODT0G5Z4TTKYMMUX1","GSON1116031463")</f>
        <v>#NAME?</v>
      </c>
      <c r="V2451" s="24" t="e">
        <f ca="1">[1]!BexGetData("DP_1","00O2TNJGODT0G5Z4TTKYMN18L","GSON1116031463")</f>
        <v>#NAME?</v>
      </c>
      <c r="W2451" s="24" t="e">
        <f ca="1">[1]!BexGetData("DP_1","00O2TNJGODT0G5Z4TTKYMN7K5","GSON1116031463")</f>
        <v>#NAME?</v>
      </c>
    </row>
    <row r="2452" spans="1:23" x14ac:dyDescent="0.2">
      <c r="A2452" s="36" t="s">
        <v>5833</v>
      </c>
      <c r="B2452" s="27" t="s">
        <v>5834</v>
      </c>
      <c r="C2452" s="23" t="e">
        <f ca="1">[1]!BexGetData("DP_1","003N8EMH8GTFRCSWKMPXRR8GU","GSON1116031465")</f>
        <v>#NAME?</v>
      </c>
      <c r="D2452" s="23" t="e">
        <f ca="1">[1]!BexGetData("DP_1","003N8EMH8GTFRCSWKMPXRRESE","GSON1116031465")</f>
        <v>#NAME?</v>
      </c>
      <c r="E2452" s="28" t="e">
        <f ca="1">[1]!BexGetData("DP_1","003N8EMH8GTFRCSWKMPXRRL3Y","GSON1116031465")</f>
        <v>#NAME?</v>
      </c>
      <c r="F2452" s="24" t="e">
        <f ca="1">[1]!BexGetData("DP_1","003N8EMH8GTFRCSWKMPXRRRFI","GSON1116031465")</f>
        <v>#NAME?</v>
      </c>
      <c r="G2452" s="24" t="e">
        <f ca="1">[1]!BexGetData("DP_1","003N8EMH8GTFRCSWKMPXRRXR2","GSON1116031465")</f>
        <v>#NAME?</v>
      </c>
      <c r="H2452" s="24" t="e">
        <f ca="1">[1]!BexGetData("DP_1","003N8EMH8GTFRCSWKMPXRS42M","GSON1116031465")</f>
        <v>#NAME?</v>
      </c>
      <c r="I2452" s="24" t="e">
        <f ca="1">[1]!BexGetData("DP_1","003N8EMH8GTFRCSWKMPXRSAE6","GSON1116031465")</f>
        <v>#NAME?</v>
      </c>
      <c r="J2452" s="24" t="e">
        <f ca="1">[1]!BexGetData("DP_1","003N8EMH8GTFRCSWKMPXRSGPQ","GSON1116031465")</f>
        <v>#NAME?</v>
      </c>
      <c r="K2452" s="28" t="e">
        <f ca="1">[1]!BexGetData("DP_1","003N8EMH8GTFRIVNUPY288VJH","GSON1116031465")</f>
        <v>#NAME?</v>
      </c>
      <c r="L2452" s="28" t="e">
        <f ca="1">[1]!BexGetData("DP_1","003N8EMH8GTFRIVNUPY2891V1","GSON1116031465")</f>
        <v>#NAME?</v>
      </c>
      <c r="M2452" s="28" t="e">
        <f ca="1">[1]!BexGetData("DP_1","003N8EMH8GTFRIVOG7KG9IQXA","GSON1116031465")</f>
        <v>#NAME?</v>
      </c>
      <c r="N2452" s="28" t="e">
        <f ca="1">[1]!BexGetData("DP_1","003N8EMH8GTFRIVOG7KG9IX8U","GSON1116031465")</f>
        <v>#NAME?</v>
      </c>
      <c r="O2452" s="28" t="e">
        <f ca="1">[1]!BexGetData("DP_1","003N8EMH8GTFRIVOG7KG9J3KE","GSON1116031465")</f>
        <v>#NAME?</v>
      </c>
      <c r="P2452" s="28" t="e">
        <f ca="1">[1]!BexGetData("DP_1","003N8EMH8GTFRIVOG7KG9J9VY","GSON1116031465")</f>
        <v>#NAME?</v>
      </c>
      <c r="Q2452" s="24" t="e">
        <f ca="1">[1]!BexGetData("DP_1","00O2TNJGODT0G5Z4TTKYMM5MT","GSON1116031465")</f>
        <v>#NAME?</v>
      </c>
      <c r="R2452" s="24" t="e">
        <f ca="1">[1]!BexGetData("DP_1","00O2TNJGODT0G5Z4TTKYMMBYD","GSON1116031465")</f>
        <v>#NAME?</v>
      </c>
      <c r="S2452" s="24" t="e">
        <f ca="1">[1]!BexGetData("DP_1","00O2TNJGODT0G5Z4TTKYMMI9X","GSON1116031465")</f>
        <v>#NAME?</v>
      </c>
      <c r="T2452" s="24" t="e">
        <f ca="1">[1]!BexGetData("DP_1","00O2TNJGODT0G5Z4TTKYMMOLH","GSON1116031465")</f>
        <v>#NAME?</v>
      </c>
      <c r="U2452" s="24" t="e">
        <f ca="1">[1]!BexGetData("DP_1","00O2TNJGODT0G5Z4TTKYMMUX1","GSON1116031465")</f>
        <v>#NAME?</v>
      </c>
      <c r="V2452" s="24" t="e">
        <f ca="1">[1]!BexGetData("DP_1","00O2TNJGODT0G5Z4TTKYMN18L","GSON1116031465")</f>
        <v>#NAME?</v>
      </c>
      <c r="W2452" s="24" t="e">
        <f ca="1">[1]!BexGetData("DP_1","00O2TNJGODT0G5Z4TTKYMN7K5","GSON1116031465")</f>
        <v>#NAME?</v>
      </c>
    </row>
    <row r="2453" spans="1:23" x14ac:dyDescent="0.2">
      <c r="A2453" s="36" t="s">
        <v>5835</v>
      </c>
      <c r="B2453" s="27" t="s">
        <v>5836</v>
      </c>
      <c r="C2453" s="23" t="e">
        <f ca="1">[1]!BexGetData("DP_1","003N8EMH8GTFRCSWKMPXRR8GU","GSON1116060930")</f>
        <v>#NAME?</v>
      </c>
      <c r="D2453" s="28" t="e">
        <f ca="1">[1]!BexGetData("DP_1","003N8EMH8GTFRCSWKMPXRRESE","GSON1116060930")</f>
        <v>#NAME?</v>
      </c>
      <c r="E2453" s="23" t="e">
        <f ca="1">[1]!BexGetData("DP_1","003N8EMH8GTFRCSWKMPXRRL3Y","GSON1116060930")</f>
        <v>#NAME?</v>
      </c>
      <c r="F2453" s="23" t="e">
        <f ca="1">[1]!BexGetData("DP_1","003N8EMH8GTFRCSWKMPXRRRFI","GSON1116060930")</f>
        <v>#NAME?</v>
      </c>
      <c r="G2453" s="23" t="e">
        <f ca="1">[1]!BexGetData("DP_1","003N8EMH8GTFRCSWKMPXRRXR2","GSON1116060930")</f>
        <v>#NAME?</v>
      </c>
      <c r="H2453" s="23" t="e">
        <f ca="1">[1]!BexGetData("DP_1","003N8EMH8GTFRCSWKMPXRS42M","GSON1116060930")</f>
        <v>#NAME?</v>
      </c>
      <c r="I2453" s="23" t="e">
        <f ca="1">[1]!BexGetData("DP_1","003N8EMH8GTFRCSWKMPXRSAE6","GSON1116060930")</f>
        <v>#NAME?</v>
      </c>
      <c r="J2453" s="24" t="e">
        <f ca="1">[1]!BexGetData("DP_1","003N8EMH8GTFRCSWKMPXRSGPQ","GSON1116060930")</f>
        <v>#NAME?</v>
      </c>
      <c r="K2453" s="23" t="e">
        <f ca="1">[1]!BexGetData("DP_1","003N8EMH8GTFRIVNUPY288VJH","GSON1116060930")</f>
        <v>#NAME?</v>
      </c>
      <c r="L2453" s="23" t="e">
        <f ca="1">[1]!BexGetData("DP_1","003N8EMH8GTFRIVNUPY2891V1","GSON1116060930")</f>
        <v>#NAME?</v>
      </c>
      <c r="M2453" s="28" t="e">
        <f ca="1">[1]!BexGetData("DP_1","003N8EMH8GTFRIVOG7KG9IQXA","GSON1116060930")</f>
        <v>#NAME?</v>
      </c>
      <c r="N2453" s="23" t="e">
        <f ca="1">[1]!BexGetData("DP_1","003N8EMH8GTFRIVOG7KG9IX8U","GSON1116060930")</f>
        <v>#NAME?</v>
      </c>
      <c r="O2453" s="28" t="e">
        <f ca="1">[1]!BexGetData("DP_1","003N8EMH8GTFRIVOG7KG9J3KE","GSON1116060930")</f>
        <v>#NAME?</v>
      </c>
      <c r="P2453" s="23" t="e">
        <f ca="1">[1]!BexGetData("DP_1","003N8EMH8GTFRIVOG7KG9J9VY","GSON1116060930")</f>
        <v>#NAME?</v>
      </c>
      <c r="Q2453" s="24" t="e">
        <f ca="1">[1]!BexGetData("DP_1","00O2TNJGODT0G5Z4TTKYMM5MT","GSON1116060930")</f>
        <v>#NAME?</v>
      </c>
      <c r="R2453" s="23" t="e">
        <f ca="1">[1]!BexGetData("DP_1","00O2TNJGODT0G5Z4TTKYMMBYD","GSON1116060930")</f>
        <v>#NAME?</v>
      </c>
      <c r="S2453" s="23" t="e">
        <f ca="1">[1]!BexGetData("DP_1","00O2TNJGODT0G5Z4TTKYMMI9X","GSON1116060930")</f>
        <v>#NAME?</v>
      </c>
      <c r="T2453" s="28" t="e">
        <f ca="1">[1]!BexGetData("DP_1","00O2TNJGODT0G5Z4TTKYMMOLH","GSON1116060930")</f>
        <v>#NAME?</v>
      </c>
      <c r="U2453" s="23" t="e">
        <f ca="1">[1]!BexGetData("DP_1","00O2TNJGODT0G5Z4TTKYMMUX1","GSON1116060930")</f>
        <v>#NAME?</v>
      </c>
      <c r="V2453" s="28" t="e">
        <f ca="1">[1]!BexGetData("DP_1","00O2TNJGODT0G5Z4TTKYMN18L","GSON1116060930")</f>
        <v>#NAME?</v>
      </c>
      <c r="W2453" s="23" t="e">
        <f ca="1">[1]!BexGetData("DP_1","00O2TNJGODT0G5Z4TTKYMN7K5","GSON1116060930")</f>
        <v>#NAME?</v>
      </c>
    </row>
    <row r="2454" spans="1:23" x14ac:dyDescent="0.2">
      <c r="A2454" s="36" t="s">
        <v>5837</v>
      </c>
      <c r="B2454" s="27" t="s">
        <v>5838</v>
      </c>
      <c r="C2454" s="23" t="e">
        <f ca="1">[1]!BexGetData("DP_1","003N8EMH8GTFRCSWKMPXRR8GU","GSON1116060931")</f>
        <v>#NAME?</v>
      </c>
      <c r="D2454" s="23" t="e">
        <f ca="1">[1]!BexGetData("DP_1","003N8EMH8GTFRCSWKMPXRRESE","GSON1116060931")</f>
        <v>#NAME?</v>
      </c>
      <c r="E2454" s="28" t="e">
        <f ca="1">[1]!BexGetData("DP_1","003N8EMH8GTFRCSWKMPXRRL3Y","GSON1116060931")</f>
        <v>#NAME?</v>
      </c>
      <c r="F2454" s="28" t="e">
        <f ca="1">[1]!BexGetData("DP_1","003N8EMH8GTFRCSWKMPXRRRFI","GSON1116060931")</f>
        <v>#NAME?</v>
      </c>
      <c r="G2454" s="23" t="e">
        <f ca="1">[1]!BexGetData("DP_1","003N8EMH8GTFRCSWKMPXRRXR2","GSON1116060931")</f>
        <v>#NAME?</v>
      </c>
      <c r="H2454" s="23" t="e">
        <f ca="1">[1]!BexGetData("DP_1","003N8EMH8GTFRCSWKMPXRS42M","GSON1116060931")</f>
        <v>#NAME?</v>
      </c>
      <c r="I2454" s="28" t="e">
        <f ca="1">[1]!BexGetData("DP_1","003N8EMH8GTFRCSWKMPXRSAE6","GSON1116060931")</f>
        <v>#NAME?</v>
      </c>
      <c r="J2454" s="24" t="e">
        <f ca="1">[1]!BexGetData("DP_1","003N8EMH8GTFRCSWKMPXRSGPQ","GSON1116060931")</f>
        <v>#NAME?</v>
      </c>
      <c r="K2454" s="28" t="e">
        <f ca="1">[1]!BexGetData("DP_1","003N8EMH8GTFRIVNUPY288VJH","GSON1116060931")</f>
        <v>#NAME?</v>
      </c>
      <c r="L2454" s="28" t="e">
        <f ca="1">[1]!BexGetData("DP_1","003N8EMH8GTFRIVNUPY2891V1","GSON1116060931")</f>
        <v>#NAME?</v>
      </c>
      <c r="M2454" s="28" t="e">
        <f ca="1">[1]!BexGetData("DP_1","003N8EMH8GTFRIVOG7KG9IQXA","GSON1116060931")</f>
        <v>#NAME?</v>
      </c>
      <c r="N2454" s="28" t="e">
        <f ca="1">[1]!BexGetData("DP_1","003N8EMH8GTFRIVOG7KG9IX8U","GSON1116060931")</f>
        <v>#NAME?</v>
      </c>
      <c r="O2454" s="28" t="e">
        <f ca="1">[1]!BexGetData("DP_1","003N8EMH8GTFRIVOG7KG9J3KE","GSON1116060931")</f>
        <v>#NAME?</v>
      </c>
      <c r="P2454" s="28" t="e">
        <f ca="1">[1]!BexGetData("DP_1","003N8EMH8GTFRIVOG7KG9J9VY","GSON1116060931")</f>
        <v>#NAME?</v>
      </c>
      <c r="Q2454" s="24" t="e">
        <f ca="1">[1]!BexGetData("DP_1","00O2TNJGODT0G5Z4TTKYMM5MT","GSON1116060931")</f>
        <v>#NAME?</v>
      </c>
      <c r="R2454" s="28" t="e">
        <f ca="1">[1]!BexGetData("DP_1","00O2TNJGODT0G5Z4TTKYMMBYD","GSON1116060931")</f>
        <v>#NAME?</v>
      </c>
      <c r="S2454" s="28" t="e">
        <f ca="1">[1]!BexGetData("DP_1","00O2TNJGODT0G5Z4TTKYMMI9X","GSON1116060931")</f>
        <v>#NAME?</v>
      </c>
      <c r="T2454" s="28" t="e">
        <f ca="1">[1]!BexGetData("DP_1","00O2TNJGODT0G5Z4TTKYMMOLH","GSON1116060931")</f>
        <v>#NAME?</v>
      </c>
      <c r="U2454" s="28" t="e">
        <f ca="1">[1]!BexGetData("DP_1","00O2TNJGODT0G5Z4TTKYMMUX1","GSON1116060931")</f>
        <v>#NAME?</v>
      </c>
      <c r="V2454" s="28" t="e">
        <f ca="1">[1]!BexGetData("DP_1","00O2TNJGODT0G5Z4TTKYMN18L","GSON1116060931")</f>
        <v>#NAME?</v>
      </c>
      <c r="W2454" s="28" t="e">
        <f ca="1">[1]!BexGetData("DP_1","00O2TNJGODT0G5Z4TTKYMN7K5","GSON1116060931")</f>
        <v>#NAME?</v>
      </c>
    </row>
    <row r="2455" spans="1:23" x14ac:dyDescent="0.2">
      <c r="A2455" s="36" t="s">
        <v>5839</v>
      </c>
      <c r="B2455" s="27" t="s">
        <v>5840</v>
      </c>
      <c r="C2455" s="24" t="e">
        <f ca="1">[1]!BexGetData("DP_1","003N8EMH8GTFRCSWKMPXRR8GU","GSON1116060933")</f>
        <v>#NAME?</v>
      </c>
      <c r="D2455" s="24" t="e">
        <f ca="1">[1]!BexGetData("DP_1","003N8EMH8GTFRCSWKMPXRRESE","GSON1116060933")</f>
        <v>#NAME?</v>
      </c>
      <c r="E2455" s="24" t="e">
        <f ca="1">[1]!BexGetData("DP_1","003N8EMH8GTFRCSWKMPXRRL3Y","GSON1116060933")</f>
        <v>#NAME?</v>
      </c>
      <c r="F2455" s="28" t="e">
        <f ca="1">[1]!BexGetData("DP_1","003N8EMH8GTFRCSWKMPXRRRFI","GSON1116060933")</f>
        <v>#NAME?</v>
      </c>
      <c r="G2455" s="23" t="e">
        <f ca="1">[1]!BexGetData("DP_1","003N8EMH8GTFRCSWKMPXRRXR2","GSON1116060933")</f>
        <v>#NAME?</v>
      </c>
      <c r="H2455" s="23" t="e">
        <f ca="1">[1]!BexGetData("DP_1","003N8EMH8GTFRCSWKMPXRS42M","GSON1116060933")</f>
        <v>#NAME?</v>
      </c>
      <c r="I2455" s="28" t="e">
        <f ca="1">[1]!BexGetData("DP_1","003N8EMH8GTFRCSWKMPXRSAE6","GSON1116060933")</f>
        <v>#NAME?</v>
      </c>
      <c r="J2455" s="24" t="e">
        <f ca="1">[1]!BexGetData("DP_1","003N8EMH8GTFRCSWKMPXRSGPQ","GSON1116060933")</f>
        <v>#NAME?</v>
      </c>
      <c r="K2455" s="28" t="e">
        <f ca="1">[1]!BexGetData("DP_1","003N8EMH8GTFRIVNUPY288VJH","GSON1116060933")</f>
        <v>#NAME?</v>
      </c>
      <c r="L2455" s="28" t="e">
        <f ca="1">[1]!BexGetData("DP_1","003N8EMH8GTFRIVNUPY2891V1","GSON1116060933")</f>
        <v>#NAME?</v>
      </c>
      <c r="M2455" s="28" t="e">
        <f ca="1">[1]!BexGetData("DP_1","003N8EMH8GTFRIVOG7KG9IQXA","GSON1116060933")</f>
        <v>#NAME?</v>
      </c>
      <c r="N2455" s="28" t="e">
        <f ca="1">[1]!BexGetData("DP_1","003N8EMH8GTFRIVOG7KG9IX8U","GSON1116060933")</f>
        <v>#NAME?</v>
      </c>
      <c r="O2455" s="28" t="e">
        <f ca="1">[1]!BexGetData("DP_1","003N8EMH8GTFRIVOG7KG9J3KE","GSON1116060933")</f>
        <v>#NAME?</v>
      </c>
      <c r="P2455" s="28" t="e">
        <f ca="1">[1]!BexGetData("DP_1","003N8EMH8GTFRIVOG7KG9J9VY","GSON1116060933")</f>
        <v>#NAME?</v>
      </c>
      <c r="Q2455" s="24" t="e">
        <f ca="1">[1]!BexGetData("DP_1","00O2TNJGODT0G5Z4TTKYMM5MT","GSON1116060933")</f>
        <v>#NAME?</v>
      </c>
      <c r="R2455" s="28" t="e">
        <f ca="1">[1]!BexGetData("DP_1","00O2TNJGODT0G5Z4TTKYMMBYD","GSON1116060933")</f>
        <v>#NAME?</v>
      </c>
      <c r="S2455" s="28" t="e">
        <f ca="1">[1]!BexGetData("DP_1","00O2TNJGODT0G5Z4TTKYMMI9X","GSON1116060933")</f>
        <v>#NAME?</v>
      </c>
      <c r="T2455" s="28" t="e">
        <f ca="1">[1]!BexGetData("DP_1","00O2TNJGODT0G5Z4TTKYMMOLH","GSON1116060933")</f>
        <v>#NAME?</v>
      </c>
      <c r="U2455" s="28" t="e">
        <f ca="1">[1]!BexGetData("DP_1","00O2TNJGODT0G5Z4TTKYMMUX1","GSON1116060933")</f>
        <v>#NAME?</v>
      </c>
      <c r="V2455" s="28" t="e">
        <f ca="1">[1]!BexGetData("DP_1","00O2TNJGODT0G5Z4TTKYMN18L","GSON1116060933")</f>
        <v>#NAME?</v>
      </c>
      <c r="W2455" s="28" t="e">
        <f ca="1">[1]!BexGetData("DP_1","00O2TNJGODT0G5Z4TTKYMN7K5","GSON1116060933")</f>
        <v>#NAME?</v>
      </c>
    </row>
    <row r="2456" spans="1:23" x14ac:dyDescent="0.2">
      <c r="A2456" s="36" t="s">
        <v>5841</v>
      </c>
      <c r="B2456" s="27" t="s">
        <v>5842</v>
      </c>
      <c r="C2456" s="24" t="e">
        <f ca="1">[1]!BexGetData("DP_1","003N8EMH8GTFRCSWKMPXRR8GU","GSON1116060934")</f>
        <v>#NAME?</v>
      </c>
      <c r="D2456" s="24" t="e">
        <f ca="1">[1]!BexGetData("DP_1","003N8EMH8GTFRCSWKMPXRRESE","GSON1116060934")</f>
        <v>#NAME?</v>
      </c>
      <c r="E2456" s="24" t="e">
        <f ca="1">[1]!BexGetData("DP_1","003N8EMH8GTFRCSWKMPXRRL3Y","GSON1116060934")</f>
        <v>#NAME?</v>
      </c>
      <c r="F2456" s="28" t="e">
        <f ca="1">[1]!BexGetData("DP_1","003N8EMH8GTFRCSWKMPXRRRFI","GSON1116060934")</f>
        <v>#NAME?</v>
      </c>
      <c r="G2456" s="23" t="e">
        <f ca="1">[1]!BexGetData("DP_1","003N8EMH8GTFRCSWKMPXRRXR2","GSON1116060934")</f>
        <v>#NAME?</v>
      </c>
      <c r="H2456" s="23" t="e">
        <f ca="1">[1]!BexGetData("DP_1","003N8EMH8GTFRCSWKMPXRS42M","GSON1116060934")</f>
        <v>#NAME?</v>
      </c>
      <c r="I2456" s="28" t="e">
        <f ca="1">[1]!BexGetData("DP_1","003N8EMH8GTFRCSWKMPXRSAE6","GSON1116060934")</f>
        <v>#NAME?</v>
      </c>
      <c r="J2456" s="24" t="e">
        <f ca="1">[1]!BexGetData("DP_1","003N8EMH8GTFRCSWKMPXRSGPQ","GSON1116060934")</f>
        <v>#NAME?</v>
      </c>
      <c r="K2456" s="28" t="e">
        <f ca="1">[1]!BexGetData("DP_1","003N8EMH8GTFRIVNUPY288VJH","GSON1116060934")</f>
        <v>#NAME?</v>
      </c>
      <c r="L2456" s="28" t="e">
        <f ca="1">[1]!BexGetData("DP_1","003N8EMH8GTFRIVNUPY2891V1","GSON1116060934")</f>
        <v>#NAME?</v>
      </c>
      <c r="M2456" s="28" t="e">
        <f ca="1">[1]!BexGetData("DP_1","003N8EMH8GTFRIVOG7KG9IQXA","GSON1116060934")</f>
        <v>#NAME?</v>
      </c>
      <c r="N2456" s="28" t="e">
        <f ca="1">[1]!BexGetData("DP_1","003N8EMH8GTFRIVOG7KG9IX8U","GSON1116060934")</f>
        <v>#NAME?</v>
      </c>
      <c r="O2456" s="28" t="e">
        <f ca="1">[1]!BexGetData("DP_1","003N8EMH8GTFRIVOG7KG9J3KE","GSON1116060934")</f>
        <v>#NAME?</v>
      </c>
      <c r="P2456" s="28" t="e">
        <f ca="1">[1]!BexGetData("DP_1","003N8EMH8GTFRIVOG7KG9J9VY","GSON1116060934")</f>
        <v>#NAME?</v>
      </c>
      <c r="Q2456" s="24" t="e">
        <f ca="1">[1]!BexGetData("DP_1","00O2TNJGODT0G5Z4TTKYMM5MT","GSON1116060934")</f>
        <v>#NAME?</v>
      </c>
      <c r="R2456" s="28" t="e">
        <f ca="1">[1]!BexGetData("DP_1","00O2TNJGODT0G5Z4TTKYMMBYD","GSON1116060934")</f>
        <v>#NAME?</v>
      </c>
      <c r="S2456" s="28" t="e">
        <f ca="1">[1]!BexGetData("DP_1","00O2TNJGODT0G5Z4TTKYMMI9X","GSON1116060934")</f>
        <v>#NAME?</v>
      </c>
      <c r="T2456" s="28" t="e">
        <f ca="1">[1]!BexGetData("DP_1","00O2TNJGODT0G5Z4TTKYMMOLH","GSON1116060934")</f>
        <v>#NAME?</v>
      </c>
      <c r="U2456" s="28" t="e">
        <f ca="1">[1]!BexGetData("DP_1","00O2TNJGODT0G5Z4TTKYMMUX1","GSON1116060934")</f>
        <v>#NAME?</v>
      </c>
      <c r="V2456" s="28" t="e">
        <f ca="1">[1]!BexGetData("DP_1","00O2TNJGODT0G5Z4TTKYMN18L","GSON1116060934")</f>
        <v>#NAME?</v>
      </c>
      <c r="W2456" s="28" t="e">
        <f ca="1">[1]!BexGetData("DP_1","00O2TNJGODT0G5Z4TTKYMN7K5","GSON1116060934")</f>
        <v>#NAME?</v>
      </c>
    </row>
    <row r="2457" spans="1:23" x14ac:dyDescent="0.2">
      <c r="A2457" s="36" t="s">
        <v>5843</v>
      </c>
      <c r="B2457" s="27" t="s">
        <v>5844</v>
      </c>
      <c r="C2457" s="23" t="e">
        <f ca="1">[1]!BexGetData("DP_1","003N8EMH8GTFRCSWKMPXRR8GU","GSON1116060935")</f>
        <v>#NAME?</v>
      </c>
      <c r="D2457" s="23" t="e">
        <f ca="1">[1]!BexGetData("DP_1","003N8EMH8GTFRCSWKMPXRRESE","GSON1116060935")</f>
        <v>#NAME?</v>
      </c>
      <c r="E2457" s="28" t="e">
        <f ca="1">[1]!BexGetData("DP_1","003N8EMH8GTFRCSWKMPXRRL3Y","GSON1116060935")</f>
        <v>#NAME?</v>
      </c>
      <c r="F2457" s="28" t="e">
        <f ca="1">[1]!BexGetData("DP_1","003N8EMH8GTFRCSWKMPXRRRFI","GSON1116060935")</f>
        <v>#NAME?</v>
      </c>
      <c r="G2457" s="23" t="e">
        <f ca="1">[1]!BexGetData("DP_1","003N8EMH8GTFRCSWKMPXRRXR2","GSON1116060935")</f>
        <v>#NAME?</v>
      </c>
      <c r="H2457" s="23" t="e">
        <f ca="1">[1]!BexGetData("DP_1","003N8EMH8GTFRCSWKMPXRS42M","GSON1116060935")</f>
        <v>#NAME?</v>
      </c>
      <c r="I2457" s="28" t="e">
        <f ca="1">[1]!BexGetData("DP_1","003N8EMH8GTFRCSWKMPXRSAE6","GSON1116060935")</f>
        <v>#NAME?</v>
      </c>
      <c r="J2457" s="24" t="e">
        <f ca="1">[1]!BexGetData("DP_1","003N8EMH8GTFRCSWKMPXRSGPQ","GSON1116060935")</f>
        <v>#NAME?</v>
      </c>
      <c r="K2457" s="28" t="e">
        <f ca="1">[1]!BexGetData("DP_1","003N8EMH8GTFRIVNUPY288VJH","GSON1116060935")</f>
        <v>#NAME?</v>
      </c>
      <c r="L2457" s="28" t="e">
        <f ca="1">[1]!BexGetData("DP_1","003N8EMH8GTFRIVNUPY2891V1","GSON1116060935")</f>
        <v>#NAME?</v>
      </c>
      <c r="M2457" s="28" t="e">
        <f ca="1">[1]!BexGetData("DP_1","003N8EMH8GTFRIVOG7KG9IQXA","GSON1116060935")</f>
        <v>#NAME?</v>
      </c>
      <c r="N2457" s="28" t="e">
        <f ca="1">[1]!BexGetData("DP_1","003N8EMH8GTFRIVOG7KG9IX8U","GSON1116060935")</f>
        <v>#NAME?</v>
      </c>
      <c r="O2457" s="28" t="e">
        <f ca="1">[1]!BexGetData("DP_1","003N8EMH8GTFRIVOG7KG9J3KE","GSON1116060935")</f>
        <v>#NAME?</v>
      </c>
      <c r="P2457" s="28" t="e">
        <f ca="1">[1]!BexGetData("DP_1","003N8EMH8GTFRIVOG7KG9J9VY","GSON1116060935")</f>
        <v>#NAME?</v>
      </c>
      <c r="Q2457" s="24" t="e">
        <f ca="1">[1]!BexGetData("DP_1","00O2TNJGODT0G5Z4TTKYMM5MT","GSON1116060935")</f>
        <v>#NAME?</v>
      </c>
      <c r="R2457" s="28" t="e">
        <f ca="1">[1]!BexGetData("DP_1","00O2TNJGODT0G5Z4TTKYMMBYD","GSON1116060935")</f>
        <v>#NAME?</v>
      </c>
      <c r="S2457" s="28" t="e">
        <f ca="1">[1]!BexGetData("DP_1","00O2TNJGODT0G5Z4TTKYMMI9X","GSON1116060935")</f>
        <v>#NAME?</v>
      </c>
      <c r="T2457" s="28" t="e">
        <f ca="1">[1]!BexGetData("DP_1","00O2TNJGODT0G5Z4TTKYMMOLH","GSON1116060935")</f>
        <v>#NAME?</v>
      </c>
      <c r="U2457" s="28" t="e">
        <f ca="1">[1]!BexGetData("DP_1","00O2TNJGODT0G5Z4TTKYMMUX1","GSON1116060935")</f>
        <v>#NAME?</v>
      </c>
      <c r="V2457" s="28" t="e">
        <f ca="1">[1]!BexGetData("DP_1","00O2TNJGODT0G5Z4TTKYMN18L","GSON1116060935")</f>
        <v>#NAME?</v>
      </c>
      <c r="W2457" s="28" t="e">
        <f ca="1">[1]!BexGetData("DP_1","00O2TNJGODT0G5Z4TTKYMN7K5","GSON1116060935")</f>
        <v>#NAME?</v>
      </c>
    </row>
    <row r="2458" spans="1:23" x14ac:dyDescent="0.2">
      <c r="A2458" s="36" t="s">
        <v>5845</v>
      </c>
      <c r="B2458" s="27" t="s">
        <v>5846</v>
      </c>
      <c r="C2458" s="23" t="e">
        <f ca="1">[1]!BexGetData("DP_1","003N8EMH8GTFRCSWKMPXRR8GU","GSON1116110400")</f>
        <v>#NAME?</v>
      </c>
      <c r="D2458" s="23" t="e">
        <f ca="1">[1]!BexGetData("DP_1","003N8EMH8GTFRCSWKMPXRRESE","GSON1116110400")</f>
        <v>#NAME?</v>
      </c>
      <c r="E2458" s="23" t="e">
        <f ca="1">[1]!BexGetData("DP_1","003N8EMH8GTFRCSWKMPXRRL3Y","GSON1116110400")</f>
        <v>#NAME?</v>
      </c>
      <c r="F2458" s="24" t="e">
        <f ca="1">[1]!BexGetData("DP_1","003N8EMH8GTFRCSWKMPXRRRFI","GSON1116110400")</f>
        <v>#NAME?</v>
      </c>
      <c r="G2458" s="24" t="e">
        <f ca="1">[1]!BexGetData("DP_1","003N8EMH8GTFRCSWKMPXRRXR2","GSON1116110400")</f>
        <v>#NAME?</v>
      </c>
      <c r="H2458" s="24" t="e">
        <f ca="1">[1]!BexGetData("DP_1","003N8EMH8GTFRCSWKMPXRS42M","GSON1116110400")</f>
        <v>#NAME?</v>
      </c>
      <c r="I2458" s="24" t="e">
        <f ca="1">[1]!BexGetData("DP_1","003N8EMH8GTFRCSWKMPXRSAE6","GSON1116110400")</f>
        <v>#NAME?</v>
      </c>
      <c r="J2458" s="24" t="e">
        <f ca="1">[1]!BexGetData("DP_1","003N8EMH8GTFRCSWKMPXRSGPQ","GSON1116110400")</f>
        <v>#NAME?</v>
      </c>
      <c r="K2458" s="23" t="e">
        <f ca="1">[1]!BexGetData("DP_1","003N8EMH8GTFRIVNUPY288VJH","GSON1116110400")</f>
        <v>#NAME?</v>
      </c>
      <c r="L2458" s="23" t="e">
        <f ca="1">[1]!BexGetData("DP_1","003N8EMH8GTFRIVNUPY2891V1","GSON1116110400")</f>
        <v>#NAME?</v>
      </c>
      <c r="M2458" s="28" t="e">
        <f ca="1">[1]!BexGetData("DP_1","003N8EMH8GTFRIVOG7KG9IQXA","GSON1116110400")</f>
        <v>#NAME?</v>
      </c>
      <c r="N2458" s="23" t="e">
        <f ca="1">[1]!BexGetData("DP_1","003N8EMH8GTFRIVOG7KG9IX8U","GSON1116110400")</f>
        <v>#NAME?</v>
      </c>
      <c r="O2458" s="28" t="e">
        <f ca="1">[1]!BexGetData("DP_1","003N8EMH8GTFRIVOG7KG9J3KE","GSON1116110400")</f>
        <v>#NAME?</v>
      </c>
      <c r="P2458" s="23" t="e">
        <f ca="1">[1]!BexGetData("DP_1","003N8EMH8GTFRIVOG7KG9J9VY","GSON1116110400")</f>
        <v>#NAME?</v>
      </c>
      <c r="Q2458" s="24" t="e">
        <f ca="1">[1]!BexGetData("DP_1","00O2TNJGODT0G5Z4TTKYMM5MT","GSON1116110400")</f>
        <v>#NAME?</v>
      </c>
      <c r="R2458" s="24" t="e">
        <f ca="1">[1]!BexGetData("DP_1","00O2TNJGODT0G5Z4TTKYMMBYD","GSON1116110400")</f>
        <v>#NAME?</v>
      </c>
      <c r="S2458" s="24" t="e">
        <f ca="1">[1]!BexGetData("DP_1","00O2TNJGODT0G5Z4TTKYMMI9X","GSON1116110400")</f>
        <v>#NAME?</v>
      </c>
      <c r="T2458" s="24" t="e">
        <f ca="1">[1]!BexGetData("DP_1","00O2TNJGODT0G5Z4TTKYMMOLH","GSON1116110400")</f>
        <v>#NAME?</v>
      </c>
      <c r="U2458" s="24" t="e">
        <f ca="1">[1]!BexGetData("DP_1","00O2TNJGODT0G5Z4TTKYMMUX1","GSON1116110400")</f>
        <v>#NAME?</v>
      </c>
      <c r="V2458" s="24" t="e">
        <f ca="1">[1]!BexGetData("DP_1","00O2TNJGODT0G5Z4TTKYMN18L","GSON1116110400")</f>
        <v>#NAME?</v>
      </c>
      <c r="W2458" s="24" t="e">
        <f ca="1">[1]!BexGetData("DP_1","00O2TNJGODT0G5Z4TTKYMN7K5","GSON1116110400")</f>
        <v>#NAME?</v>
      </c>
    </row>
    <row r="2459" spans="1:23" x14ac:dyDescent="0.2">
      <c r="A2459" s="36" t="s">
        <v>4347</v>
      </c>
      <c r="B2459" s="27" t="s">
        <v>5847</v>
      </c>
      <c r="C2459" s="23" t="e">
        <f ca="1">[1]!BexGetData("DP_1","003N8EMH8GTFRCSWKMPXRR8GU","GSON1116110401")</f>
        <v>#NAME?</v>
      </c>
      <c r="D2459" s="23" t="e">
        <f ca="1">[1]!BexGetData("DP_1","003N8EMH8GTFRCSWKMPXRRESE","GSON1116110401")</f>
        <v>#NAME?</v>
      </c>
      <c r="E2459" s="28" t="e">
        <f ca="1">[1]!BexGetData("DP_1","003N8EMH8GTFRCSWKMPXRRL3Y","GSON1116110401")</f>
        <v>#NAME?</v>
      </c>
      <c r="F2459" s="24" t="e">
        <f ca="1">[1]!BexGetData("DP_1","003N8EMH8GTFRCSWKMPXRRRFI","GSON1116110401")</f>
        <v>#NAME?</v>
      </c>
      <c r="G2459" s="24" t="e">
        <f ca="1">[1]!BexGetData("DP_1","003N8EMH8GTFRCSWKMPXRRXR2","GSON1116110401")</f>
        <v>#NAME?</v>
      </c>
      <c r="H2459" s="24" t="e">
        <f ca="1">[1]!BexGetData("DP_1","003N8EMH8GTFRCSWKMPXRS42M","GSON1116110401")</f>
        <v>#NAME?</v>
      </c>
      <c r="I2459" s="24" t="e">
        <f ca="1">[1]!BexGetData("DP_1","003N8EMH8GTFRCSWKMPXRSAE6","GSON1116110401")</f>
        <v>#NAME?</v>
      </c>
      <c r="J2459" s="24" t="e">
        <f ca="1">[1]!BexGetData("DP_1","003N8EMH8GTFRCSWKMPXRSGPQ","GSON1116110401")</f>
        <v>#NAME?</v>
      </c>
      <c r="K2459" s="28" t="e">
        <f ca="1">[1]!BexGetData("DP_1","003N8EMH8GTFRIVNUPY288VJH","GSON1116110401")</f>
        <v>#NAME?</v>
      </c>
      <c r="L2459" s="28" t="e">
        <f ca="1">[1]!BexGetData("DP_1","003N8EMH8GTFRIVNUPY2891V1","GSON1116110401")</f>
        <v>#NAME?</v>
      </c>
      <c r="M2459" s="28" t="e">
        <f ca="1">[1]!BexGetData("DP_1","003N8EMH8GTFRIVOG7KG9IQXA","GSON1116110401")</f>
        <v>#NAME?</v>
      </c>
      <c r="N2459" s="28" t="e">
        <f ca="1">[1]!BexGetData("DP_1","003N8EMH8GTFRIVOG7KG9IX8U","GSON1116110401")</f>
        <v>#NAME?</v>
      </c>
      <c r="O2459" s="28" t="e">
        <f ca="1">[1]!BexGetData("DP_1","003N8EMH8GTFRIVOG7KG9J3KE","GSON1116110401")</f>
        <v>#NAME?</v>
      </c>
      <c r="P2459" s="28" t="e">
        <f ca="1">[1]!BexGetData("DP_1","003N8EMH8GTFRIVOG7KG9J9VY","GSON1116110401")</f>
        <v>#NAME?</v>
      </c>
      <c r="Q2459" s="24" t="e">
        <f ca="1">[1]!BexGetData("DP_1","00O2TNJGODT0G5Z4TTKYMM5MT","GSON1116110401")</f>
        <v>#NAME?</v>
      </c>
      <c r="R2459" s="24" t="e">
        <f ca="1">[1]!BexGetData("DP_1","00O2TNJGODT0G5Z4TTKYMMBYD","GSON1116110401")</f>
        <v>#NAME?</v>
      </c>
      <c r="S2459" s="24" t="e">
        <f ca="1">[1]!BexGetData("DP_1","00O2TNJGODT0G5Z4TTKYMMI9X","GSON1116110401")</f>
        <v>#NAME?</v>
      </c>
      <c r="T2459" s="24" t="e">
        <f ca="1">[1]!BexGetData("DP_1","00O2TNJGODT0G5Z4TTKYMMOLH","GSON1116110401")</f>
        <v>#NAME?</v>
      </c>
      <c r="U2459" s="24" t="e">
        <f ca="1">[1]!BexGetData("DP_1","00O2TNJGODT0G5Z4TTKYMMUX1","GSON1116110401")</f>
        <v>#NAME?</v>
      </c>
      <c r="V2459" s="24" t="e">
        <f ca="1">[1]!BexGetData("DP_1","00O2TNJGODT0G5Z4TTKYMN18L","GSON1116110401")</f>
        <v>#NAME?</v>
      </c>
      <c r="W2459" s="24" t="e">
        <f ca="1">[1]!BexGetData("DP_1","00O2TNJGODT0G5Z4TTKYMN7K5","GSON1116110401")</f>
        <v>#NAME?</v>
      </c>
    </row>
    <row r="2460" spans="1:23" x14ac:dyDescent="0.2">
      <c r="A2460" s="36" t="s">
        <v>5848</v>
      </c>
      <c r="B2460" s="27" t="s">
        <v>5849</v>
      </c>
      <c r="C2460" s="23" t="e">
        <f ca="1">[1]!BexGetData("DP_1","003N8EMH8GTFRCSWKMPXRR8GU","GSON1116110403")</f>
        <v>#NAME?</v>
      </c>
      <c r="D2460" s="23" t="e">
        <f ca="1">[1]!BexGetData("DP_1","003N8EMH8GTFRCSWKMPXRRESE","GSON1116110403")</f>
        <v>#NAME?</v>
      </c>
      <c r="E2460" s="28" t="e">
        <f ca="1">[1]!BexGetData("DP_1","003N8EMH8GTFRCSWKMPXRRL3Y","GSON1116110403")</f>
        <v>#NAME?</v>
      </c>
      <c r="F2460" s="24" t="e">
        <f ca="1">[1]!BexGetData("DP_1","003N8EMH8GTFRCSWKMPXRRRFI","GSON1116110403")</f>
        <v>#NAME?</v>
      </c>
      <c r="G2460" s="24" t="e">
        <f ca="1">[1]!BexGetData("DP_1","003N8EMH8GTFRCSWKMPXRRXR2","GSON1116110403")</f>
        <v>#NAME?</v>
      </c>
      <c r="H2460" s="24" t="e">
        <f ca="1">[1]!BexGetData("DP_1","003N8EMH8GTFRCSWKMPXRS42M","GSON1116110403")</f>
        <v>#NAME?</v>
      </c>
      <c r="I2460" s="24" t="e">
        <f ca="1">[1]!BexGetData("DP_1","003N8EMH8GTFRCSWKMPXRSAE6","GSON1116110403")</f>
        <v>#NAME?</v>
      </c>
      <c r="J2460" s="24" t="e">
        <f ca="1">[1]!BexGetData("DP_1","003N8EMH8GTFRCSWKMPXRSGPQ","GSON1116110403")</f>
        <v>#NAME?</v>
      </c>
      <c r="K2460" s="28" t="e">
        <f ca="1">[1]!BexGetData("DP_1","003N8EMH8GTFRIVNUPY288VJH","GSON1116110403")</f>
        <v>#NAME?</v>
      </c>
      <c r="L2460" s="28" t="e">
        <f ca="1">[1]!BexGetData("DP_1","003N8EMH8GTFRIVNUPY2891V1","GSON1116110403")</f>
        <v>#NAME?</v>
      </c>
      <c r="M2460" s="28" t="e">
        <f ca="1">[1]!BexGetData("DP_1","003N8EMH8GTFRIVOG7KG9IQXA","GSON1116110403")</f>
        <v>#NAME?</v>
      </c>
      <c r="N2460" s="28" t="e">
        <f ca="1">[1]!BexGetData("DP_1","003N8EMH8GTFRIVOG7KG9IX8U","GSON1116110403")</f>
        <v>#NAME?</v>
      </c>
      <c r="O2460" s="28" t="e">
        <f ca="1">[1]!BexGetData("DP_1","003N8EMH8GTFRIVOG7KG9J3KE","GSON1116110403")</f>
        <v>#NAME?</v>
      </c>
      <c r="P2460" s="28" t="e">
        <f ca="1">[1]!BexGetData("DP_1","003N8EMH8GTFRIVOG7KG9J9VY","GSON1116110403")</f>
        <v>#NAME?</v>
      </c>
      <c r="Q2460" s="24" t="e">
        <f ca="1">[1]!BexGetData("DP_1","00O2TNJGODT0G5Z4TTKYMM5MT","GSON1116110403")</f>
        <v>#NAME?</v>
      </c>
      <c r="R2460" s="24" t="e">
        <f ca="1">[1]!BexGetData("DP_1","00O2TNJGODT0G5Z4TTKYMMBYD","GSON1116110403")</f>
        <v>#NAME?</v>
      </c>
      <c r="S2460" s="24" t="e">
        <f ca="1">[1]!BexGetData("DP_1","00O2TNJGODT0G5Z4TTKYMMI9X","GSON1116110403")</f>
        <v>#NAME?</v>
      </c>
      <c r="T2460" s="24" t="e">
        <f ca="1">[1]!BexGetData("DP_1","00O2TNJGODT0G5Z4TTKYMMOLH","GSON1116110403")</f>
        <v>#NAME?</v>
      </c>
      <c r="U2460" s="24" t="e">
        <f ca="1">[1]!BexGetData("DP_1","00O2TNJGODT0G5Z4TTKYMMUX1","GSON1116110403")</f>
        <v>#NAME?</v>
      </c>
      <c r="V2460" s="24" t="e">
        <f ca="1">[1]!BexGetData("DP_1","00O2TNJGODT0G5Z4TTKYMN18L","GSON1116110403")</f>
        <v>#NAME?</v>
      </c>
      <c r="W2460" s="24" t="e">
        <f ca="1">[1]!BexGetData("DP_1","00O2TNJGODT0G5Z4TTKYMN7K5","GSON1116110403")</f>
        <v>#NAME?</v>
      </c>
    </row>
    <row r="2461" spans="1:23" x14ac:dyDescent="0.2">
      <c r="A2461" s="36" t="s">
        <v>5850</v>
      </c>
      <c r="B2461" s="27" t="s">
        <v>5851</v>
      </c>
      <c r="C2461" s="23" t="e">
        <f ca="1">[1]!BexGetData("DP_1","003N8EMH8GTFRCSWKMPXRR8GU","GSON1116110404")</f>
        <v>#NAME?</v>
      </c>
      <c r="D2461" s="23" t="e">
        <f ca="1">[1]!BexGetData("DP_1","003N8EMH8GTFRCSWKMPXRRESE","GSON1116110404")</f>
        <v>#NAME?</v>
      </c>
      <c r="E2461" s="28" t="e">
        <f ca="1">[1]!BexGetData("DP_1","003N8EMH8GTFRCSWKMPXRRL3Y","GSON1116110404")</f>
        <v>#NAME?</v>
      </c>
      <c r="F2461" s="24" t="e">
        <f ca="1">[1]!BexGetData("DP_1","003N8EMH8GTFRCSWKMPXRRRFI","GSON1116110404")</f>
        <v>#NAME?</v>
      </c>
      <c r="G2461" s="24" t="e">
        <f ca="1">[1]!BexGetData("DP_1","003N8EMH8GTFRCSWKMPXRRXR2","GSON1116110404")</f>
        <v>#NAME?</v>
      </c>
      <c r="H2461" s="24" t="e">
        <f ca="1">[1]!BexGetData("DP_1","003N8EMH8GTFRCSWKMPXRS42M","GSON1116110404")</f>
        <v>#NAME?</v>
      </c>
      <c r="I2461" s="24" t="e">
        <f ca="1">[1]!BexGetData("DP_1","003N8EMH8GTFRCSWKMPXRSAE6","GSON1116110404")</f>
        <v>#NAME?</v>
      </c>
      <c r="J2461" s="24" t="e">
        <f ca="1">[1]!BexGetData("DP_1","003N8EMH8GTFRCSWKMPXRSGPQ","GSON1116110404")</f>
        <v>#NAME?</v>
      </c>
      <c r="K2461" s="28" t="e">
        <f ca="1">[1]!BexGetData("DP_1","003N8EMH8GTFRIVNUPY288VJH","GSON1116110404")</f>
        <v>#NAME?</v>
      </c>
      <c r="L2461" s="28" t="e">
        <f ca="1">[1]!BexGetData("DP_1","003N8EMH8GTFRIVNUPY2891V1","GSON1116110404")</f>
        <v>#NAME?</v>
      </c>
      <c r="M2461" s="28" t="e">
        <f ca="1">[1]!BexGetData("DP_1","003N8EMH8GTFRIVOG7KG9IQXA","GSON1116110404")</f>
        <v>#NAME?</v>
      </c>
      <c r="N2461" s="28" t="e">
        <f ca="1">[1]!BexGetData("DP_1","003N8EMH8GTFRIVOG7KG9IX8U","GSON1116110404")</f>
        <v>#NAME?</v>
      </c>
      <c r="O2461" s="28" t="e">
        <f ca="1">[1]!BexGetData("DP_1","003N8EMH8GTFRIVOG7KG9J3KE","GSON1116110404")</f>
        <v>#NAME?</v>
      </c>
      <c r="P2461" s="28" t="e">
        <f ca="1">[1]!BexGetData("DP_1","003N8EMH8GTFRIVOG7KG9J9VY","GSON1116110404")</f>
        <v>#NAME?</v>
      </c>
      <c r="Q2461" s="24" t="e">
        <f ca="1">[1]!BexGetData("DP_1","00O2TNJGODT0G5Z4TTKYMM5MT","GSON1116110404")</f>
        <v>#NAME?</v>
      </c>
      <c r="R2461" s="24" t="e">
        <f ca="1">[1]!BexGetData("DP_1","00O2TNJGODT0G5Z4TTKYMMBYD","GSON1116110404")</f>
        <v>#NAME?</v>
      </c>
      <c r="S2461" s="24" t="e">
        <f ca="1">[1]!BexGetData("DP_1","00O2TNJGODT0G5Z4TTKYMMI9X","GSON1116110404")</f>
        <v>#NAME?</v>
      </c>
      <c r="T2461" s="24" t="e">
        <f ca="1">[1]!BexGetData("DP_1","00O2TNJGODT0G5Z4TTKYMMOLH","GSON1116110404")</f>
        <v>#NAME?</v>
      </c>
      <c r="U2461" s="24" t="e">
        <f ca="1">[1]!BexGetData("DP_1","00O2TNJGODT0G5Z4TTKYMMUX1","GSON1116110404")</f>
        <v>#NAME?</v>
      </c>
      <c r="V2461" s="24" t="e">
        <f ca="1">[1]!BexGetData("DP_1","00O2TNJGODT0G5Z4TTKYMN18L","GSON1116110404")</f>
        <v>#NAME?</v>
      </c>
      <c r="W2461" s="24" t="e">
        <f ca="1">[1]!BexGetData("DP_1","00O2TNJGODT0G5Z4TTKYMN7K5","GSON1116110404")</f>
        <v>#NAME?</v>
      </c>
    </row>
    <row r="2462" spans="1:23" x14ac:dyDescent="0.2">
      <c r="A2462" s="36" t="s">
        <v>5852</v>
      </c>
      <c r="B2462" s="27" t="s">
        <v>5853</v>
      </c>
      <c r="C2462" s="23" t="e">
        <f ca="1">[1]!BexGetData("DP_1","003N8EMH8GTFRCSWKMPXRR8GU","GSON1116110405")</f>
        <v>#NAME?</v>
      </c>
      <c r="D2462" s="23" t="e">
        <f ca="1">[1]!BexGetData("DP_1","003N8EMH8GTFRCSWKMPXRRESE","GSON1116110405")</f>
        <v>#NAME?</v>
      </c>
      <c r="E2462" s="28" t="e">
        <f ca="1">[1]!BexGetData("DP_1","003N8EMH8GTFRCSWKMPXRRL3Y","GSON1116110405")</f>
        <v>#NAME?</v>
      </c>
      <c r="F2462" s="24" t="e">
        <f ca="1">[1]!BexGetData("DP_1","003N8EMH8GTFRCSWKMPXRRRFI","GSON1116110405")</f>
        <v>#NAME?</v>
      </c>
      <c r="G2462" s="24" t="e">
        <f ca="1">[1]!BexGetData("DP_1","003N8EMH8GTFRCSWKMPXRRXR2","GSON1116110405")</f>
        <v>#NAME?</v>
      </c>
      <c r="H2462" s="24" t="e">
        <f ca="1">[1]!BexGetData("DP_1","003N8EMH8GTFRCSWKMPXRS42M","GSON1116110405")</f>
        <v>#NAME?</v>
      </c>
      <c r="I2462" s="24" t="e">
        <f ca="1">[1]!BexGetData("DP_1","003N8EMH8GTFRCSWKMPXRSAE6","GSON1116110405")</f>
        <v>#NAME?</v>
      </c>
      <c r="J2462" s="24" t="e">
        <f ca="1">[1]!BexGetData("DP_1","003N8EMH8GTFRCSWKMPXRSGPQ","GSON1116110405")</f>
        <v>#NAME?</v>
      </c>
      <c r="K2462" s="28" t="e">
        <f ca="1">[1]!BexGetData("DP_1","003N8EMH8GTFRIVNUPY288VJH","GSON1116110405")</f>
        <v>#NAME?</v>
      </c>
      <c r="L2462" s="28" t="e">
        <f ca="1">[1]!BexGetData("DP_1","003N8EMH8GTFRIVNUPY2891V1","GSON1116110405")</f>
        <v>#NAME?</v>
      </c>
      <c r="M2462" s="28" t="e">
        <f ca="1">[1]!BexGetData("DP_1","003N8EMH8GTFRIVOG7KG9IQXA","GSON1116110405")</f>
        <v>#NAME?</v>
      </c>
      <c r="N2462" s="28" t="e">
        <f ca="1">[1]!BexGetData("DP_1","003N8EMH8GTFRIVOG7KG9IX8U","GSON1116110405")</f>
        <v>#NAME?</v>
      </c>
      <c r="O2462" s="28" t="e">
        <f ca="1">[1]!BexGetData("DP_1","003N8EMH8GTFRIVOG7KG9J3KE","GSON1116110405")</f>
        <v>#NAME?</v>
      </c>
      <c r="P2462" s="28" t="e">
        <f ca="1">[1]!BexGetData("DP_1","003N8EMH8GTFRIVOG7KG9J9VY","GSON1116110405")</f>
        <v>#NAME?</v>
      </c>
      <c r="Q2462" s="24" t="e">
        <f ca="1">[1]!BexGetData("DP_1","00O2TNJGODT0G5Z4TTKYMM5MT","GSON1116110405")</f>
        <v>#NAME?</v>
      </c>
      <c r="R2462" s="24" t="e">
        <f ca="1">[1]!BexGetData("DP_1","00O2TNJGODT0G5Z4TTKYMMBYD","GSON1116110405")</f>
        <v>#NAME?</v>
      </c>
      <c r="S2462" s="24" t="e">
        <f ca="1">[1]!BexGetData("DP_1","00O2TNJGODT0G5Z4TTKYMMI9X","GSON1116110405")</f>
        <v>#NAME?</v>
      </c>
      <c r="T2462" s="24" t="e">
        <f ca="1">[1]!BexGetData("DP_1","00O2TNJGODT0G5Z4TTKYMMOLH","GSON1116110405")</f>
        <v>#NAME?</v>
      </c>
      <c r="U2462" s="24" t="e">
        <f ca="1">[1]!BexGetData("DP_1","00O2TNJGODT0G5Z4TTKYMMUX1","GSON1116110405")</f>
        <v>#NAME?</v>
      </c>
      <c r="V2462" s="24" t="e">
        <f ca="1">[1]!BexGetData("DP_1","00O2TNJGODT0G5Z4TTKYMN18L","GSON1116110405")</f>
        <v>#NAME?</v>
      </c>
      <c r="W2462" s="24" t="e">
        <f ca="1">[1]!BexGetData("DP_1","00O2TNJGODT0G5Z4TTKYMN7K5","GSON1116110405")</f>
        <v>#NAME?</v>
      </c>
    </row>
    <row r="2463" spans="1:23" x14ac:dyDescent="0.2">
      <c r="A2463" s="36" t="s">
        <v>5854</v>
      </c>
      <c r="B2463" s="27" t="s">
        <v>5855</v>
      </c>
      <c r="C2463" s="23" t="e">
        <f ca="1">[1]!BexGetData("DP_1","003N8EMH8GTFRCSWKMPXRR8GU","GSON1116110410")</f>
        <v>#NAME?</v>
      </c>
      <c r="D2463" s="23" t="e">
        <f ca="1">[1]!BexGetData("DP_1","003N8EMH8GTFRCSWKMPXRRESE","GSON1116110410")</f>
        <v>#NAME?</v>
      </c>
      <c r="E2463" s="23" t="e">
        <f ca="1">[1]!BexGetData("DP_1","003N8EMH8GTFRCSWKMPXRRL3Y","GSON1116110410")</f>
        <v>#NAME?</v>
      </c>
      <c r="F2463" s="24" t="e">
        <f ca="1">[1]!BexGetData("DP_1","003N8EMH8GTFRCSWKMPXRRRFI","GSON1116110410")</f>
        <v>#NAME?</v>
      </c>
      <c r="G2463" s="24" t="e">
        <f ca="1">[1]!BexGetData("DP_1","003N8EMH8GTFRCSWKMPXRRXR2","GSON1116110410")</f>
        <v>#NAME?</v>
      </c>
      <c r="H2463" s="24" t="e">
        <f ca="1">[1]!BexGetData("DP_1","003N8EMH8GTFRCSWKMPXRS42M","GSON1116110410")</f>
        <v>#NAME?</v>
      </c>
      <c r="I2463" s="24" t="e">
        <f ca="1">[1]!BexGetData("DP_1","003N8EMH8GTFRCSWKMPXRSAE6","GSON1116110410")</f>
        <v>#NAME?</v>
      </c>
      <c r="J2463" s="24" t="e">
        <f ca="1">[1]!BexGetData("DP_1","003N8EMH8GTFRCSWKMPXRSGPQ","GSON1116110410")</f>
        <v>#NAME?</v>
      </c>
      <c r="K2463" s="23" t="e">
        <f ca="1">[1]!BexGetData("DP_1","003N8EMH8GTFRIVNUPY288VJH","GSON1116110410")</f>
        <v>#NAME?</v>
      </c>
      <c r="L2463" s="23" t="e">
        <f ca="1">[1]!BexGetData("DP_1","003N8EMH8GTFRIVNUPY2891V1","GSON1116110410")</f>
        <v>#NAME?</v>
      </c>
      <c r="M2463" s="28" t="e">
        <f ca="1">[1]!BexGetData("DP_1","003N8EMH8GTFRIVOG7KG9IQXA","GSON1116110410")</f>
        <v>#NAME?</v>
      </c>
      <c r="N2463" s="23" t="e">
        <f ca="1">[1]!BexGetData("DP_1","003N8EMH8GTFRIVOG7KG9IX8U","GSON1116110410")</f>
        <v>#NAME?</v>
      </c>
      <c r="O2463" s="28" t="e">
        <f ca="1">[1]!BexGetData("DP_1","003N8EMH8GTFRIVOG7KG9J3KE","GSON1116110410")</f>
        <v>#NAME?</v>
      </c>
      <c r="P2463" s="23" t="e">
        <f ca="1">[1]!BexGetData("DP_1","003N8EMH8GTFRIVOG7KG9J9VY","GSON1116110410")</f>
        <v>#NAME?</v>
      </c>
      <c r="Q2463" s="24" t="e">
        <f ca="1">[1]!BexGetData("DP_1","00O2TNJGODT0G5Z4TTKYMM5MT","GSON1116110410")</f>
        <v>#NAME?</v>
      </c>
      <c r="R2463" s="24" t="e">
        <f ca="1">[1]!BexGetData("DP_1","00O2TNJGODT0G5Z4TTKYMMBYD","GSON1116110410")</f>
        <v>#NAME?</v>
      </c>
      <c r="S2463" s="24" t="e">
        <f ca="1">[1]!BexGetData("DP_1","00O2TNJGODT0G5Z4TTKYMMI9X","GSON1116110410")</f>
        <v>#NAME?</v>
      </c>
      <c r="T2463" s="24" t="e">
        <f ca="1">[1]!BexGetData("DP_1","00O2TNJGODT0G5Z4TTKYMMOLH","GSON1116110410")</f>
        <v>#NAME?</v>
      </c>
      <c r="U2463" s="24" t="e">
        <f ca="1">[1]!BexGetData("DP_1","00O2TNJGODT0G5Z4TTKYMMUX1","GSON1116110410")</f>
        <v>#NAME?</v>
      </c>
      <c r="V2463" s="24" t="e">
        <f ca="1">[1]!BexGetData("DP_1","00O2TNJGODT0G5Z4TTKYMN18L","GSON1116110410")</f>
        <v>#NAME?</v>
      </c>
      <c r="W2463" s="24" t="e">
        <f ca="1">[1]!BexGetData("DP_1","00O2TNJGODT0G5Z4TTKYMN7K5","GSON1116110410")</f>
        <v>#NAME?</v>
      </c>
    </row>
    <row r="2464" spans="1:23" x14ac:dyDescent="0.2">
      <c r="A2464" s="36" t="s">
        <v>5856</v>
      </c>
      <c r="B2464" s="27" t="s">
        <v>5857</v>
      </c>
      <c r="C2464" s="23" t="e">
        <f ca="1">[1]!BexGetData("DP_1","003N8EMH8GTFRCSWKMPXRR8GU","GSON1116110411")</f>
        <v>#NAME?</v>
      </c>
      <c r="D2464" s="23" t="e">
        <f ca="1">[1]!BexGetData("DP_1","003N8EMH8GTFRCSWKMPXRRESE","GSON1116110411")</f>
        <v>#NAME?</v>
      </c>
      <c r="E2464" s="28" t="e">
        <f ca="1">[1]!BexGetData("DP_1","003N8EMH8GTFRCSWKMPXRRL3Y","GSON1116110411")</f>
        <v>#NAME?</v>
      </c>
      <c r="F2464" s="24" t="e">
        <f ca="1">[1]!BexGetData("DP_1","003N8EMH8GTFRCSWKMPXRRRFI","GSON1116110411")</f>
        <v>#NAME?</v>
      </c>
      <c r="G2464" s="24" t="e">
        <f ca="1">[1]!BexGetData("DP_1","003N8EMH8GTFRCSWKMPXRRXR2","GSON1116110411")</f>
        <v>#NAME?</v>
      </c>
      <c r="H2464" s="24" t="e">
        <f ca="1">[1]!BexGetData("DP_1","003N8EMH8GTFRCSWKMPXRS42M","GSON1116110411")</f>
        <v>#NAME?</v>
      </c>
      <c r="I2464" s="24" t="e">
        <f ca="1">[1]!BexGetData("DP_1","003N8EMH8GTFRCSWKMPXRSAE6","GSON1116110411")</f>
        <v>#NAME?</v>
      </c>
      <c r="J2464" s="24" t="e">
        <f ca="1">[1]!BexGetData("DP_1","003N8EMH8GTFRCSWKMPXRSGPQ","GSON1116110411")</f>
        <v>#NAME?</v>
      </c>
      <c r="K2464" s="28" t="e">
        <f ca="1">[1]!BexGetData("DP_1","003N8EMH8GTFRIVNUPY288VJH","GSON1116110411")</f>
        <v>#NAME?</v>
      </c>
      <c r="L2464" s="28" t="e">
        <f ca="1">[1]!BexGetData("DP_1","003N8EMH8GTFRIVNUPY2891V1","GSON1116110411")</f>
        <v>#NAME?</v>
      </c>
      <c r="M2464" s="28" t="e">
        <f ca="1">[1]!BexGetData("DP_1","003N8EMH8GTFRIVOG7KG9IQXA","GSON1116110411")</f>
        <v>#NAME?</v>
      </c>
      <c r="N2464" s="28" t="e">
        <f ca="1">[1]!BexGetData("DP_1","003N8EMH8GTFRIVOG7KG9IX8U","GSON1116110411")</f>
        <v>#NAME?</v>
      </c>
      <c r="O2464" s="28" t="e">
        <f ca="1">[1]!BexGetData("DP_1","003N8EMH8GTFRIVOG7KG9J3KE","GSON1116110411")</f>
        <v>#NAME?</v>
      </c>
      <c r="P2464" s="28" t="e">
        <f ca="1">[1]!BexGetData("DP_1","003N8EMH8GTFRIVOG7KG9J9VY","GSON1116110411")</f>
        <v>#NAME?</v>
      </c>
      <c r="Q2464" s="24" t="e">
        <f ca="1">[1]!BexGetData("DP_1","00O2TNJGODT0G5Z4TTKYMM5MT","GSON1116110411")</f>
        <v>#NAME?</v>
      </c>
      <c r="R2464" s="24" t="e">
        <f ca="1">[1]!BexGetData("DP_1","00O2TNJGODT0G5Z4TTKYMMBYD","GSON1116110411")</f>
        <v>#NAME?</v>
      </c>
      <c r="S2464" s="24" t="e">
        <f ca="1">[1]!BexGetData("DP_1","00O2TNJGODT0G5Z4TTKYMMI9X","GSON1116110411")</f>
        <v>#NAME?</v>
      </c>
      <c r="T2464" s="24" t="e">
        <f ca="1">[1]!BexGetData("DP_1","00O2TNJGODT0G5Z4TTKYMMOLH","GSON1116110411")</f>
        <v>#NAME?</v>
      </c>
      <c r="U2464" s="24" t="e">
        <f ca="1">[1]!BexGetData("DP_1","00O2TNJGODT0G5Z4TTKYMMUX1","GSON1116110411")</f>
        <v>#NAME?</v>
      </c>
      <c r="V2464" s="24" t="e">
        <f ca="1">[1]!BexGetData("DP_1","00O2TNJGODT0G5Z4TTKYMN18L","GSON1116110411")</f>
        <v>#NAME?</v>
      </c>
      <c r="W2464" s="24" t="e">
        <f ca="1">[1]!BexGetData("DP_1","00O2TNJGODT0G5Z4TTKYMN7K5","GSON1116110411")</f>
        <v>#NAME?</v>
      </c>
    </row>
    <row r="2465" spans="1:23" x14ac:dyDescent="0.2">
      <c r="A2465" s="36" t="s">
        <v>5858</v>
      </c>
      <c r="B2465" s="27" t="s">
        <v>5859</v>
      </c>
      <c r="C2465" s="23" t="e">
        <f ca="1">[1]!BexGetData("DP_1","003N8EMH8GTFRCSWKMPXRR8GU","GSON1116110413")</f>
        <v>#NAME?</v>
      </c>
      <c r="D2465" s="23" t="e">
        <f ca="1">[1]!BexGetData("DP_1","003N8EMH8GTFRCSWKMPXRRESE","GSON1116110413")</f>
        <v>#NAME?</v>
      </c>
      <c r="E2465" s="28" t="e">
        <f ca="1">[1]!BexGetData("DP_1","003N8EMH8GTFRCSWKMPXRRL3Y","GSON1116110413")</f>
        <v>#NAME?</v>
      </c>
      <c r="F2465" s="24" t="e">
        <f ca="1">[1]!BexGetData("DP_1","003N8EMH8GTFRCSWKMPXRRRFI","GSON1116110413")</f>
        <v>#NAME?</v>
      </c>
      <c r="G2465" s="24" t="e">
        <f ca="1">[1]!BexGetData("DP_1","003N8EMH8GTFRCSWKMPXRRXR2","GSON1116110413")</f>
        <v>#NAME?</v>
      </c>
      <c r="H2465" s="24" t="e">
        <f ca="1">[1]!BexGetData("DP_1","003N8EMH8GTFRCSWKMPXRS42M","GSON1116110413")</f>
        <v>#NAME?</v>
      </c>
      <c r="I2465" s="24" t="e">
        <f ca="1">[1]!BexGetData("DP_1","003N8EMH8GTFRCSWKMPXRSAE6","GSON1116110413")</f>
        <v>#NAME?</v>
      </c>
      <c r="J2465" s="24" t="e">
        <f ca="1">[1]!BexGetData("DP_1","003N8EMH8GTFRCSWKMPXRSGPQ","GSON1116110413")</f>
        <v>#NAME?</v>
      </c>
      <c r="K2465" s="28" t="e">
        <f ca="1">[1]!BexGetData("DP_1","003N8EMH8GTFRIVNUPY288VJH","GSON1116110413")</f>
        <v>#NAME?</v>
      </c>
      <c r="L2465" s="28" t="e">
        <f ca="1">[1]!BexGetData("DP_1","003N8EMH8GTFRIVNUPY2891V1","GSON1116110413")</f>
        <v>#NAME?</v>
      </c>
      <c r="M2465" s="28" t="e">
        <f ca="1">[1]!BexGetData("DP_1","003N8EMH8GTFRIVOG7KG9IQXA","GSON1116110413")</f>
        <v>#NAME?</v>
      </c>
      <c r="N2465" s="28" t="e">
        <f ca="1">[1]!BexGetData("DP_1","003N8EMH8GTFRIVOG7KG9IX8U","GSON1116110413")</f>
        <v>#NAME?</v>
      </c>
      <c r="O2465" s="28" t="e">
        <f ca="1">[1]!BexGetData("DP_1","003N8EMH8GTFRIVOG7KG9J3KE","GSON1116110413")</f>
        <v>#NAME?</v>
      </c>
      <c r="P2465" s="28" t="e">
        <f ca="1">[1]!BexGetData("DP_1","003N8EMH8GTFRIVOG7KG9J9VY","GSON1116110413")</f>
        <v>#NAME?</v>
      </c>
      <c r="Q2465" s="24" t="e">
        <f ca="1">[1]!BexGetData("DP_1","00O2TNJGODT0G5Z4TTKYMM5MT","GSON1116110413")</f>
        <v>#NAME?</v>
      </c>
      <c r="R2465" s="24" t="e">
        <f ca="1">[1]!BexGetData("DP_1","00O2TNJGODT0G5Z4TTKYMMBYD","GSON1116110413")</f>
        <v>#NAME?</v>
      </c>
      <c r="S2465" s="24" t="e">
        <f ca="1">[1]!BexGetData("DP_1","00O2TNJGODT0G5Z4TTKYMMI9X","GSON1116110413")</f>
        <v>#NAME?</v>
      </c>
      <c r="T2465" s="24" t="e">
        <f ca="1">[1]!BexGetData("DP_1","00O2TNJGODT0G5Z4TTKYMMOLH","GSON1116110413")</f>
        <v>#NAME?</v>
      </c>
      <c r="U2465" s="24" t="e">
        <f ca="1">[1]!BexGetData("DP_1","00O2TNJGODT0G5Z4TTKYMMUX1","GSON1116110413")</f>
        <v>#NAME?</v>
      </c>
      <c r="V2465" s="24" t="e">
        <f ca="1">[1]!BexGetData("DP_1","00O2TNJGODT0G5Z4TTKYMN18L","GSON1116110413")</f>
        <v>#NAME?</v>
      </c>
      <c r="W2465" s="24" t="e">
        <f ca="1">[1]!BexGetData("DP_1","00O2TNJGODT0G5Z4TTKYMN7K5","GSON1116110413")</f>
        <v>#NAME?</v>
      </c>
    </row>
    <row r="2466" spans="1:23" x14ac:dyDescent="0.2">
      <c r="A2466" s="36" t="s">
        <v>5860</v>
      </c>
      <c r="B2466" s="27" t="s">
        <v>5861</v>
      </c>
      <c r="C2466" s="23" t="e">
        <f ca="1">[1]!BexGetData("DP_1","003N8EMH8GTFRCSWKMPXRR8GU","GSON1116110414")</f>
        <v>#NAME?</v>
      </c>
      <c r="D2466" s="23" t="e">
        <f ca="1">[1]!BexGetData("DP_1","003N8EMH8GTFRCSWKMPXRRESE","GSON1116110414")</f>
        <v>#NAME?</v>
      </c>
      <c r="E2466" s="28" t="e">
        <f ca="1">[1]!BexGetData("DP_1","003N8EMH8GTFRCSWKMPXRRL3Y","GSON1116110414")</f>
        <v>#NAME?</v>
      </c>
      <c r="F2466" s="24" t="e">
        <f ca="1">[1]!BexGetData("DP_1","003N8EMH8GTFRCSWKMPXRRRFI","GSON1116110414")</f>
        <v>#NAME?</v>
      </c>
      <c r="G2466" s="24" t="e">
        <f ca="1">[1]!BexGetData("DP_1","003N8EMH8GTFRCSWKMPXRRXR2","GSON1116110414")</f>
        <v>#NAME?</v>
      </c>
      <c r="H2466" s="24" t="e">
        <f ca="1">[1]!BexGetData("DP_1","003N8EMH8GTFRCSWKMPXRS42M","GSON1116110414")</f>
        <v>#NAME?</v>
      </c>
      <c r="I2466" s="24" t="e">
        <f ca="1">[1]!BexGetData("DP_1","003N8EMH8GTFRCSWKMPXRSAE6","GSON1116110414")</f>
        <v>#NAME?</v>
      </c>
      <c r="J2466" s="24" t="e">
        <f ca="1">[1]!BexGetData("DP_1","003N8EMH8GTFRCSWKMPXRSGPQ","GSON1116110414")</f>
        <v>#NAME?</v>
      </c>
      <c r="K2466" s="28" t="e">
        <f ca="1">[1]!BexGetData("DP_1","003N8EMH8GTFRIVNUPY288VJH","GSON1116110414")</f>
        <v>#NAME?</v>
      </c>
      <c r="L2466" s="28" t="e">
        <f ca="1">[1]!BexGetData("DP_1","003N8EMH8GTFRIVNUPY2891V1","GSON1116110414")</f>
        <v>#NAME?</v>
      </c>
      <c r="M2466" s="28" t="e">
        <f ca="1">[1]!BexGetData("DP_1","003N8EMH8GTFRIVOG7KG9IQXA","GSON1116110414")</f>
        <v>#NAME?</v>
      </c>
      <c r="N2466" s="28" t="e">
        <f ca="1">[1]!BexGetData("DP_1","003N8EMH8GTFRIVOG7KG9IX8U","GSON1116110414")</f>
        <v>#NAME?</v>
      </c>
      <c r="O2466" s="28" t="e">
        <f ca="1">[1]!BexGetData("DP_1","003N8EMH8GTFRIVOG7KG9J3KE","GSON1116110414")</f>
        <v>#NAME?</v>
      </c>
      <c r="P2466" s="28" t="e">
        <f ca="1">[1]!BexGetData("DP_1","003N8EMH8GTFRIVOG7KG9J9VY","GSON1116110414")</f>
        <v>#NAME?</v>
      </c>
      <c r="Q2466" s="24" t="e">
        <f ca="1">[1]!BexGetData("DP_1","00O2TNJGODT0G5Z4TTKYMM5MT","GSON1116110414")</f>
        <v>#NAME?</v>
      </c>
      <c r="R2466" s="24" t="e">
        <f ca="1">[1]!BexGetData("DP_1","00O2TNJGODT0G5Z4TTKYMMBYD","GSON1116110414")</f>
        <v>#NAME?</v>
      </c>
      <c r="S2466" s="24" t="e">
        <f ca="1">[1]!BexGetData("DP_1","00O2TNJGODT0G5Z4TTKYMMI9X","GSON1116110414")</f>
        <v>#NAME?</v>
      </c>
      <c r="T2466" s="24" t="e">
        <f ca="1">[1]!BexGetData("DP_1","00O2TNJGODT0G5Z4TTKYMMOLH","GSON1116110414")</f>
        <v>#NAME?</v>
      </c>
      <c r="U2466" s="24" t="e">
        <f ca="1">[1]!BexGetData("DP_1","00O2TNJGODT0G5Z4TTKYMMUX1","GSON1116110414")</f>
        <v>#NAME?</v>
      </c>
      <c r="V2466" s="24" t="e">
        <f ca="1">[1]!BexGetData("DP_1","00O2TNJGODT0G5Z4TTKYMN18L","GSON1116110414")</f>
        <v>#NAME?</v>
      </c>
      <c r="W2466" s="24" t="e">
        <f ca="1">[1]!BexGetData("DP_1","00O2TNJGODT0G5Z4TTKYMN7K5","GSON1116110414")</f>
        <v>#NAME?</v>
      </c>
    </row>
    <row r="2467" spans="1:23" x14ac:dyDescent="0.2">
      <c r="A2467" s="36" t="s">
        <v>5862</v>
      </c>
      <c r="B2467" s="27" t="s">
        <v>5863</v>
      </c>
      <c r="C2467" s="23" t="e">
        <f ca="1">[1]!BexGetData("DP_1","003N8EMH8GTFRCSWKMPXRR8GU","GSON1116110415")</f>
        <v>#NAME?</v>
      </c>
      <c r="D2467" s="23" t="e">
        <f ca="1">[1]!BexGetData("DP_1","003N8EMH8GTFRCSWKMPXRRESE","GSON1116110415")</f>
        <v>#NAME?</v>
      </c>
      <c r="E2467" s="28" t="e">
        <f ca="1">[1]!BexGetData("DP_1","003N8EMH8GTFRCSWKMPXRRL3Y","GSON1116110415")</f>
        <v>#NAME?</v>
      </c>
      <c r="F2467" s="24" t="e">
        <f ca="1">[1]!BexGetData("DP_1","003N8EMH8GTFRCSWKMPXRRRFI","GSON1116110415")</f>
        <v>#NAME?</v>
      </c>
      <c r="G2467" s="24" t="e">
        <f ca="1">[1]!BexGetData("DP_1","003N8EMH8GTFRCSWKMPXRRXR2","GSON1116110415")</f>
        <v>#NAME?</v>
      </c>
      <c r="H2467" s="24" t="e">
        <f ca="1">[1]!BexGetData("DP_1","003N8EMH8GTFRCSWKMPXRS42M","GSON1116110415")</f>
        <v>#NAME?</v>
      </c>
      <c r="I2467" s="24" t="e">
        <f ca="1">[1]!BexGetData("DP_1","003N8EMH8GTFRCSWKMPXRSAE6","GSON1116110415")</f>
        <v>#NAME?</v>
      </c>
      <c r="J2467" s="24" t="e">
        <f ca="1">[1]!BexGetData("DP_1","003N8EMH8GTFRCSWKMPXRSGPQ","GSON1116110415")</f>
        <v>#NAME?</v>
      </c>
      <c r="K2467" s="28" t="e">
        <f ca="1">[1]!BexGetData("DP_1","003N8EMH8GTFRIVNUPY288VJH","GSON1116110415")</f>
        <v>#NAME?</v>
      </c>
      <c r="L2467" s="28" t="e">
        <f ca="1">[1]!BexGetData("DP_1","003N8EMH8GTFRIVNUPY2891V1","GSON1116110415")</f>
        <v>#NAME?</v>
      </c>
      <c r="M2467" s="28" t="e">
        <f ca="1">[1]!BexGetData("DP_1","003N8EMH8GTFRIVOG7KG9IQXA","GSON1116110415")</f>
        <v>#NAME?</v>
      </c>
      <c r="N2467" s="28" t="e">
        <f ca="1">[1]!BexGetData("DP_1","003N8EMH8GTFRIVOG7KG9IX8U","GSON1116110415")</f>
        <v>#NAME?</v>
      </c>
      <c r="O2467" s="28" t="e">
        <f ca="1">[1]!BexGetData("DP_1","003N8EMH8GTFRIVOG7KG9J3KE","GSON1116110415")</f>
        <v>#NAME?</v>
      </c>
      <c r="P2467" s="28" t="e">
        <f ca="1">[1]!BexGetData("DP_1","003N8EMH8GTFRIVOG7KG9J9VY","GSON1116110415")</f>
        <v>#NAME?</v>
      </c>
      <c r="Q2467" s="24" t="e">
        <f ca="1">[1]!BexGetData("DP_1","00O2TNJGODT0G5Z4TTKYMM5MT","GSON1116110415")</f>
        <v>#NAME?</v>
      </c>
      <c r="R2467" s="24" t="e">
        <f ca="1">[1]!BexGetData("DP_1","00O2TNJGODT0G5Z4TTKYMMBYD","GSON1116110415")</f>
        <v>#NAME?</v>
      </c>
      <c r="S2467" s="24" t="e">
        <f ca="1">[1]!BexGetData("DP_1","00O2TNJGODT0G5Z4TTKYMMI9X","GSON1116110415")</f>
        <v>#NAME?</v>
      </c>
      <c r="T2467" s="24" t="e">
        <f ca="1">[1]!BexGetData("DP_1","00O2TNJGODT0G5Z4TTKYMMOLH","GSON1116110415")</f>
        <v>#NAME?</v>
      </c>
      <c r="U2467" s="24" t="e">
        <f ca="1">[1]!BexGetData("DP_1","00O2TNJGODT0G5Z4TTKYMMUX1","GSON1116110415")</f>
        <v>#NAME?</v>
      </c>
      <c r="V2467" s="24" t="e">
        <f ca="1">[1]!BexGetData("DP_1","00O2TNJGODT0G5Z4TTKYMN18L","GSON1116110415")</f>
        <v>#NAME?</v>
      </c>
      <c r="W2467" s="24" t="e">
        <f ca="1">[1]!BexGetData("DP_1","00O2TNJGODT0G5Z4TTKYMN7K5","GSON1116110415")</f>
        <v>#NAME?</v>
      </c>
    </row>
    <row r="2468" spans="1:23" x14ac:dyDescent="0.2">
      <c r="A2468" s="36" t="s">
        <v>5864</v>
      </c>
      <c r="B2468" s="27" t="s">
        <v>5865</v>
      </c>
      <c r="C2468" s="23" t="e">
        <f ca="1">[1]!BexGetData("DP_1","003N8EMH8GTFRCSWKMPXRR8GU","GSON1116130210")</f>
        <v>#NAME?</v>
      </c>
      <c r="D2468" s="23" t="e">
        <f ca="1">[1]!BexGetData("DP_1","003N8EMH8GTFRCSWKMPXRRESE","GSON1116130210")</f>
        <v>#NAME?</v>
      </c>
      <c r="E2468" s="23" t="e">
        <f ca="1">[1]!BexGetData("DP_1","003N8EMH8GTFRCSWKMPXRRL3Y","GSON1116130210")</f>
        <v>#NAME?</v>
      </c>
      <c r="F2468" s="24" t="e">
        <f ca="1">[1]!BexGetData("DP_1","003N8EMH8GTFRCSWKMPXRRRFI","GSON1116130210")</f>
        <v>#NAME?</v>
      </c>
      <c r="G2468" s="24" t="e">
        <f ca="1">[1]!BexGetData("DP_1","003N8EMH8GTFRCSWKMPXRRXR2","GSON1116130210")</f>
        <v>#NAME?</v>
      </c>
      <c r="H2468" s="24" t="e">
        <f ca="1">[1]!BexGetData("DP_1","003N8EMH8GTFRCSWKMPXRS42M","GSON1116130210")</f>
        <v>#NAME?</v>
      </c>
      <c r="I2468" s="24" t="e">
        <f ca="1">[1]!BexGetData("DP_1","003N8EMH8GTFRCSWKMPXRSAE6","GSON1116130210")</f>
        <v>#NAME?</v>
      </c>
      <c r="J2468" s="24" t="e">
        <f ca="1">[1]!BexGetData("DP_1","003N8EMH8GTFRCSWKMPXRSGPQ","GSON1116130210")</f>
        <v>#NAME?</v>
      </c>
      <c r="K2468" s="23" t="e">
        <f ca="1">[1]!BexGetData("DP_1","003N8EMH8GTFRIVNUPY288VJH","GSON1116130210")</f>
        <v>#NAME?</v>
      </c>
      <c r="L2468" s="23" t="e">
        <f ca="1">[1]!BexGetData("DP_1","003N8EMH8GTFRIVNUPY2891V1","GSON1116130210")</f>
        <v>#NAME?</v>
      </c>
      <c r="M2468" s="28" t="e">
        <f ca="1">[1]!BexGetData("DP_1","003N8EMH8GTFRIVOG7KG9IQXA","GSON1116130210")</f>
        <v>#NAME?</v>
      </c>
      <c r="N2468" s="23" t="e">
        <f ca="1">[1]!BexGetData("DP_1","003N8EMH8GTFRIVOG7KG9IX8U","GSON1116130210")</f>
        <v>#NAME?</v>
      </c>
      <c r="O2468" s="28" t="e">
        <f ca="1">[1]!BexGetData("DP_1","003N8EMH8GTFRIVOG7KG9J3KE","GSON1116130210")</f>
        <v>#NAME?</v>
      </c>
      <c r="P2468" s="23" t="e">
        <f ca="1">[1]!BexGetData("DP_1","003N8EMH8GTFRIVOG7KG9J9VY","GSON1116130210")</f>
        <v>#NAME?</v>
      </c>
      <c r="Q2468" s="24" t="e">
        <f ca="1">[1]!BexGetData("DP_1","00O2TNJGODT0G5Z4TTKYMM5MT","GSON1116130210")</f>
        <v>#NAME?</v>
      </c>
      <c r="R2468" s="24" t="e">
        <f ca="1">[1]!BexGetData("DP_1","00O2TNJGODT0G5Z4TTKYMMBYD","GSON1116130210")</f>
        <v>#NAME?</v>
      </c>
      <c r="S2468" s="24" t="e">
        <f ca="1">[1]!BexGetData("DP_1","00O2TNJGODT0G5Z4TTKYMMI9X","GSON1116130210")</f>
        <v>#NAME?</v>
      </c>
      <c r="T2468" s="24" t="e">
        <f ca="1">[1]!BexGetData("DP_1","00O2TNJGODT0G5Z4TTKYMMOLH","GSON1116130210")</f>
        <v>#NAME?</v>
      </c>
      <c r="U2468" s="24" t="e">
        <f ca="1">[1]!BexGetData("DP_1","00O2TNJGODT0G5Z4TTKYMMUX1","GSON1116130210")</f>
        <v>#NAME?</v>
      </c>
      <c r="V2468" s="24" t="e">
        <f ca="1">[1]!BexGetData("DP_1","00O2TNJGODT0G5Z4TTKYMN18L","GSON1116130210")</f>
        <v>#NAME?</v>
      </c>
      <c r="W2468" s="24" t="e">
        <f ca="1">[1]!BexGetData("DP_1","00O2TNJGODT0G5Z4TTKYMN7K5","GSON1116130210")</f>
        <v>#NAME?</v>
      </c>
    </row>
    <row r="2469" spans="1:23" x14ac:dyDescent="0.2">
      <c r="A2469" s="36" t="s">
        <v>4529</v>
      </c>
      <c r="B2469" s="27" t="s">
        <v>5866</v>
      </c>
      <c r="C2469" s="23" t="e">
        <f ca="1">[1]!BexGetData("DP_1","003N8EMH8GTFRCSWKMPXRR8GU","GSON1116130211")</f>
        <v>#NAME?</v>
      </c>
      <c r="D2469" s="23" t="e">
        <f ca="1">[1]!BexGetData("DP_1","003N8EMH8GTFRCSWKMPXRRESE","GSON1116130211")</f>
        <v>#NAME?</v>
      </c>
      <c r="E2469" s="28" t="e">
        <f ca="1">[1]!BexGetData("DP_1","003N8EMH8GTFRCSWKMPXRRL3Y","GSON1116130211")</f>
        <v>#NAME?</v>
      </c>
      <c r="F2469" s="24" t="e">
        <f ca="1">[1]!BexGetData("DP_1","003N8EMH8GTFRCSWKMPXRRRFI","GSON1116130211")</f>
        <v>#NAME?</v>
      </c>
      <c r="G2469" s="24" t="e">
        <f ca="1">[1]!BexGetData("DP_1","003N8EMH8GTFRCSWKMPXRRXR2","GSON1116130211")</f>
        <v>#NAME?</v>
      </c>
      <c r="H2469" s="24" t="e">
        <f ca="1">[1]!BexGetData("DP_1","003N8EMH8GTFRCSWKMPXRS42M","GSON1116130211")</f>
        <v>#NAME?</v>
      </c>
      <c r="I2469" s="24" t="e">
        <f ca="1">[1]!BexGetData("DP_1","003N8EMH8GTFRCSWKMPXRSAE6","GSON1116130211")</f>
        <v>#NAME?</v>
      </c>
      <c r="J2469" s="24" t="e">
        <f ca="1">[1]!BexGetData("DP_1","003N8EMH8GTFRCSWKMPXRSGPQ","GSON1116130211")</f>
        <v>#NAME?</v>
      </c>
      <c r="K2469" s="28" t="e">
        <f ca="1">[1]!BexGetData("DP_1","003N8EMH8GTFRIVNUPY288VJH","GSON1116130211")</f>
        <v>#NAME?</v>
      </c>
      <c r="L2469" s="28" t="e">
        <f ca="1">[1]!BexGetData("DP_1","003N8EMH8GTFRIVNUPY2891V1","GSON1116130211")</f>
        <v>#NAME?</v>
      </c>
      <c r="M2469" s="28" t="e">
        <f ca="1">[1]!BexGetData("DP_1","003N8EMH8GTFRIVOG7KG9IQXA","GSON1116130211")</f>
        <v>#NAME?</v>
      </c>
      <c r="N2469" s="28" t="e">
        <f ca="1">[1]!BexGetData("DP_1","003N8EMH8GTFRIVOG7KG9IX8U","GSON1116130211")</f>
        <v>#NAME?</v>
      </c>
      <c r="O2469" s="28" t="e">
        <f ca="1">[1]!BexGetData("DP_1","003N8EMH8GTFRIVOG7KG9J3KE","GSON1116130211")</f>
        <v>#NAME?</v>
      </c>
      <c r="P2469" s="28" t="e">
        <f ca="1">[1]!BexGetData("DP_1","003N8EMH8GTFRIVOG7KG9J9VY","GSON1116130211")</f>
        <v>#NAME?</v>
      </c>
      <c r="Q2469" s="24" t="e">
        <f ca="1">[1]!BexGetData("DP_1","00O2TNJGODT0G5Z4TTKYMM5MT","GSON1116130211")</f>
        <v>#NAME?</v>
      </c>
      <c r="R2469" s="24" t="e">
        <f ca="1">[1]!BexGetData("DP_1","00O2TNJGODT0G5Z4TTKYMMBYD","GSON1116130211")</f>
        <v>#NAME?</v>
      </c>
      <c r="S2469" s="24" t="e">
        <f ca="1">[1]!BexGetData("DP_1","00O2TNJGODT0G5Z4TTKYMMI9X","GSON1116130211")</f>
        <v>#NAME?</v>
      </c>
      <c r="T2469" s="24" t="e">
        <f ca="1">[1]!BexGetData("DP_1","00O2TNJGODT0G5Z4TTKYMMOLH","GSON1116130211")</f>
        <v>#NAME?</v>
      </c>
      <c r="U2469" s="24" t="e">
        <f ca="1">[1]!BexGetData("DP_1","00O2TNJGODT0G5Z4TTKYMMUX1","GSON1116130211")</f>
        <v>#NAME?</v>
      </c>
      <c r="V2469" s="24" t="e">
        <f ca="1">[1]!BexGetData("DP_1","00O2TNJGODT0G5Z4TTKYMN18L","GSON1116130211")</f>
        <v>#NAME?</v>
      </c>
      <c r="W2469" s="24" t="e">
        <f ca="1">[1]!BexGetData("DP_1","00O2TNJGODT0G5Z4TTKYMN7K5","GSON1116130211")</f>
        <v>#NAME?</v>
      </c>
    </row>
    <row r="2470" spans="1:23" x14ac:dyDescent="0.2">
      <c r="A2470" s="36" t="s">
        <v>5867</v>
      </c>
      <c r="B2470" s="27" t="s">
        <v>5868</v>
      </c>
      <c r="C2470" s="23" t="e">
        <f ca="1">[1]!BexGetData("DP_1","003N8EMH8GTFRCSWKMPXRR8GU","GSON1116130213")</f>
        <v>#NAME?</v>
      </c>
      <c r="D2470" s="23" t="e">
        <f ca="1">[1]!BexGetData("DP_1","003N8EMH8GTFRCSWKMPXRRESE","GSON1116130213")</f>
        <v>#NAME?</v>
      </c>
      <c r="E2470" s="23" t="e">
        <f ca="1">[1]!BexGetData("DP_1","003N8EMH8GTFRCSWKMPXRRL3Y","GSON1116130213")</f>
        <v>#NAME?</v>
      </c>
      <c r="F2470" s="24" t="e">
        <f ca="1">[1]!BexGetData("DP_1","003N8EMH8GTFRCSWKMPXRRRFI","GSON1116130213")</f>
        <v>#NAME?</v>
      </c>
      <c r="G2470" s="24" t="e">
        <f ca="1">[1]!BexGetData("DP_1","003N8EMH8GTFRCSWKMPXRRXR2","GSON1116130213")</f>
        <v>#NAME?</v>
      </c>
      <c r="H2470" s="24" t="e">
        <f ca="1">[1]!BexGetData("DP_1","003N8EMH8GTFRCSWKMPXRS42M","GSON1116130213")</f>
        <v>#NAME?</v>
      </c>
      <c r="I2470" s="24" t="e">
        <f ca="1">[1]!BexGetData("DP_1","003N8EMH8GTFRCSWKMPXRSAE6","GSON1116130213")</f>
        <v>#NAME?</v>
      </c>
      <c r="J2470" s="24" t="e">
        <f ca="1">[1]!BexGetData("DP_1","003N8EMH8GTFRCSWKMPXRSGPQ","GSON1116130213")</f>
        <v>#NAME?</v>
      </c>
      <c r="K2470" s="23" t="e">
        <f ca="1">[1]!BexGetData("DP_1","003N8EMH8GTFRIVNUPY288VJH","GSON1116130213")</f>
        <v>#NAME?</v>
      </c>
      <c r="L2470" s="23" t="e">
        <f ca="1">[1]!BexGetData("DP_1","003N8EMH8GTFRIVNUPY2891V1","GSON1116130213")</f>
        <v>#NAME?</v>
      </c>
      <c r="M2470" s="23" t="e">
        <f ca="1">[1]!BexGetData("DP_1","003N8EMH8GTFRIVOG7KG9IQXA","GSON1116130213")</f>
        <v>#NAME?</v>
      </c>
      <c r="N2470" s="28" t="e">
        <f ca="1">[1]!BexGetData("DP_1","003N8EMH8GTFRIVOG7KG9IX8U","GSON1116130213")</f>
        <v>#NAME?</v>
      </c>
      <c r="O2470" s="23" t="e">
        <f ca="1">[1]!BexGetData("DP_1","003N8EMH8GTFRIVOG7KG9J3KE","GSON1116130213")</f>
        <v>#NAME?</v>
      </c>
      <c r="P2470" s="28" t="e">
        <f ca="1">[1]!BexGetData("DP_1","003N8EMH8GTFRIVOG7KG9J9VY","GSON1116130213")</f>
        <v>#NAME?</v>
      </c>
      <c r="Q2470" s="24" t="e">
        <f ca="1">[1]!BexGetData("DP_1","00O2TNJGODT0G5Z4TTKYMM5MT","GSON1116130213")</f>
        <v>#NAME?</v>
      </c>
      <c r="R2470" s="24" t="e">
        <f ca="1">[1]!BexGetData("DP_1","00O2TNJGODT0G5Z4TTKYMMBYD","GSON1116130213")</f>
        <v>#NAME?</v>
      </c>
      <c r="S2470" s="24" t="e">
        <f ca="1">[1]!BexGetData("DP_1","00O2TNJGODT0G5Z4TTKYMMI9X","GSON1116130213")</f>
        <v>#NAME?</v>
      </c>
      <c r="T2470" s="24" t="e">
        <f ca="1">[1]!BexGetData("DP_1","00O2TNJGODT0G5Z4TTKYMMOLH","GSON1116130213")</f>
        <v>#NAME?</v>
      </c>
      <c r="U2470" s="24" t="e">
        <f ca="1">[1]!BexGetData("DP_1","00O2TNJGODT0G5Z4TTKYMMUX1","GSON1116130213")</f>
        <v>#NAME?</v>
      </c>
      <c r="V2470" s="24" t="e">
        <f ca="1">[1]!BexGetData("DP_1","00O2TNJGODT0G5Z4TTKYMN18L","GSON1116130213")</f>
        <v>#NAME?</v>
      </c>
      <c r="W2470" s="24" t="e">
        <f ca="1">[1]!BexGetData("DP_1","00O2TNJGODT0G5Z4TTKYMN7K5","GSON1116130213")</f>
        <v>#NAME?</v>
      </c>
    </row>
    <row r="2471" spans="1:23" x14ac:dyDescent="0.2">
      <c r="A2471" s="36" t="s">
        <v>5869</v>
      </c>
      <c r="B2471" s="27" t="s">
        <v>5870</v>
      </c>
      <c r="C2471" s="23" t="e">
        <f ca="1">[1]!BexGetData("DP_1","003N8EMH8GTFRCSWKMPXRR8GU","GSON1116130215")</f>
        <v>#NAME?</v>
      </c>
      <c r="D2471" s="23" t="e">
        <f ca="1">[1]!BexGetData("DP_1","003N8EMH8GTFRCSWKMPXRRESE","GSON1116130215")</f>
        <v>#NAME?</v>
      </c>
      <c r="E2471" s="28" t="e">
        <f ca="1">[1]!BexGetData("DP_1","003N8EMH8GTFRCSWKMPXRRL3Y","GSON1116130215")</f>
        <v>#NAME?</v>
      </c>
      <c r="F2471" s="24" t="e">
        <f ca="1">[1]!BexGetData("DP_1","003N8EMH8GTFRCSWKMPXRRRFI","GSON1116130215")</f>
        <v>#NAME?</v>
      </c>
      <c r="G2471" s="24" t="e">
        <f ca="1">[1]!BexGetData("DP_1","003N8EMH8GTFRCSWKMPXRRXR2","GSON1116130215")</f>
        <v>#NAME?</v>
      </c>
      <c r="H2471" s="24" t="e">
        <f ca="1">[1]!BexGetData("DP_1","003N8EMH8GTFRCSWKMPXRS42M","GSON1116130215")</f>
        <v>#NAME?</v>
      </c>
      <c r="I2471" s="24" t="e">
        <f ca="1">[1]!BexGetData("DP_1","003N8EMH8GTFRCSWKMPXRSAE6","GSON1116130215")</f>
        <v>#NAME?</v>
      </c>
      <c r="J2471" s="24" t="e">
        <f ca="1">[1]!BexGetData("DP_1","003N8EMH8GTFRCSWKMPXRSGPQ","GSON1116130215")</f>
        <v>#NAME?</v>
      </c>
      <c r="K2471" s="28" t="e">
        <f ca="1">[1]!BexGetData("DP_1","003N8EMH8GTFRIVNUPY288VJH","GSON1116130215")</f>
        <v>#NAME?</v>
      </c>
      <c r="L2471" s="28" t="e">
        <f ca="1">[1]!BexGetData("DP_1","003N8EMH8GTFRIVNUPY2891V1","GSON1116130215")</f>
        <v>#NAME?</v>
      </c>
      <c r="M2471" s="28" t="e">
        <f ca="1">[1]!BexGetData("DP_1","003N8EMH8GTFRIVOG7KG9IQXA","GSON1116130215")</f>
        <v>#NAME?</v>
      </c>
      <c r="N2471" s="28" t="e">
        <f ca="1">[1]!BexGetData("DP_1","003N8EMH8GTFRIVOG7KG9IX8U","GSON1116130215")</f>
        <v>#NAME?</v>
      </c>
      <c r="O2471" s="28" t="e">
        <f ca="1">[1]!BexGetData("DP_1","003N8EMH8GTFRIVOG7KG9J3KE","GSON1116130215")</f>
        <v>#NAME?</v>
      </c>
      <c r="P2471" s="28" t="e">
        <f ca="1">[1]!BexGetData("DP_1","003N8EMH8GTFRIVOG7KG9J9VY","GSON1116130215")</f>
        <v>#NAME?</v>
      </c>
      <c r="Q2471" s="24" t="e">
        <f ca="1">[1]!BexGetData("DP_1","00O2TNJGODT0G5Z4TTKYMM5MT","GSON1116130215")</f>
        <v>#NAME?</v>
      </c>
      <c r="R2471" s="24" t="e">
        <f ca="1">[1]!BexGetData("DP_1","00O2TNJGODT0G5Z4TTKYMMBYD","GSON1116130215")</f>
        <v>#NAME?</v>
      </c>
      <c r="S2471" s="24" t="e">
        <f ca="1">[1]!BexGetData("DP_1","00O2TNJGODT0G5Z4TTKYMMI9X","GSON1116130215")</f>
        <v>#NAME?</v>
      </c>
      <c r="T2471" s="24" t="e">
        <f ca="1">[1]!BexGetData("DP_1","00O2TNJGODT0G5Z4TTKYMMOLH","GSON1116130215")</f>
        <v>#NAME?</v>
      </c>
      <c r="U2471" s="24" t="e">
        <f ca="1">[1]!BexGetData("DP_1","00O2TNJGODT0G5Z4TTKYMMUX1","GSON1116130215")</f>
        <v>#NAME?</v>
      </c>
      <c r="V2471" s="24" t="e">
        <f ca="1">[1]!BexGetData("DP_1","00O2TNJGODT0G5Z4TTKYMN18L","GSON1116130215")</f>
        <v>#NAME?</v>
      </c>
      <c r="W2471" s="24" t="e">
        <f ca="1">[1]!BexGetData("DP_1","00O2TNJGODT0G5Z4TTKYMN7K5","GSON1116130215")</f>
        <v>#NAME?</v>
      </c>
    </row>
    <row r="2472" spans="1:23" x14ac:dyDescent="0.2">
      <c r="A2472" s="36" t="s">
        <v>1211</v>
      </c>
      <c r="B2472" s="27" t="s">
        <v>1212</v>
      </c>
      <c r="C2472" s="23" t="e">
        <f ca="1">[1]!BexGetData("DP_1","003N8EMH8GTFRCSWKMPXRR8GU","GSON1116150010")</f>
        <v>#NAME?</v>
      </c>
      <c r="D2472" s="23" t="e">
        <f ca="1">[1]!BexGetData("DP_1","003N8EMH8GTFRCSWKMPXRRESE","GSON1116150010")</f>
        <v>#NAME?</v>
      </c>
      <c r="E2472" s="23" t="e">
        <f ca="1">[1]!BexGetData("DP_1","003N8EMH8GTFRCSWKMPXRRL3Y","GSON1116150010")</f>
        <v>#NAME?</v>
      </c>
      <c r="F2472" s="23" t="e">
        <f ca="1">[1]!BexGetData("DP_1","003N8EMH8GTFRCSWKMPXRRRFI","GSON1116150010")</f>
        <v>#NAME?</v>
      </c>
      <c r="G2472" s="23" t="e">
        <f ca="1">[1]!BexGetData("DP_1","003N8EMH8GTFRCSWKMPXRRXR2","GSON1116150010")</f>
        <v>#NAME?</v>
      </c>
      <c r="H2472" s="23" t="e">
        <f ca="1">[1]!BexGetData("DP_1","003N8EMH8GTFRCSWKMPXRS42M","GSON1116150010")</f>
        <v>#NAME?</v>
      </c>
      <c r="I2472" s="23" t="e">
        <f ca="1">[1]!BexGetData("DP_1","003N8EMH8GTFRCSWKMPXRSAE6","GSON1116150010")</f>
        <v>#NAME?</v>
      </c>
      <c r="J2472" s="23" t="e">
        <f ca="1">[1]!BexGetData("DP_1","003N8EMH8GTFRCSWKMPXRSGPQ","GSON1116150010")</f>
        <v>#NAME?</v>
      </c>
      <c r="K2472" s="23" t="e">
        <f ca="1">[1]!BexGetData("DP_1","003N8EMH8GTFRIVNUPY288VJH","GSON1116150010")</f>
        <v>#NAME?</v>
      </c>
      <c r="L2472" s="23" t="e">
        <f ca="1">[1]!BexGetData("DP_1","003N8EMH8GTFRIVNUPY2891V1","GSON1116150010")</f>
        <v>#NAME?</v>
      </c>
      <c r="M2472" s="23" t="e">
        <f ca="1">[1]!BexGetData("DP_1","003N8EMH8GTFRIVOG7KG9IQXA","GSON1116150010")</f>
        <v>#NAME?</v>
      </c>
      <c r="N2472" s="28" t="e">
        <f ca="1">[1]!BexGetData("DP_1","003N8EMH8GTFRIVOG7KG9IX8U","GSON1116150010")</f>
        <v>#NAME?</v>
      </c>
      <c r="O2472" s="23" t="e">
        <f ca="1">[1]!BexGetData("DP_1","003N8EMH8GTFRIVOG7KG9J3KE","GSON1116150010")</f>
        <v>#NAME?</v>
      </c>
      <c r="P2472" s="28" t="e">
        <f ca="1">[1]!BexGetData("DP_1","003N8EMH8GTFRIVOG7KG9J9VY","GSON1116150010")</f>
        <v>#NAME?</v>
      </c>
      <c r="Q2472" s="23" t="e">
        <f ca="1">[1]!BexGetData("DP_1","00O2TNJGODT0G5Z4TTKYMM5MT","GSON1116150010")</f>
        <v>#NAME?</v>
      </c>
      <c r="R2472" s="23" t="e">
        <f ca="1">[1]!BexGetData("DP_1","00O2TNJGODT0G5Z4TTKYMMBYD","GSON1116150010")</f>
        <v>#NAME?</v>
      </c>
      <c r="S2472" s="23" t="e">
        <f ca="1">[1]!BexGetData("DP_1","00O2TNJGODT0G5Z4TTKYMMI9X","GSON1116150010")</f>
        <v>#NAME?</v>
      </c>
      <c r="T2472" s="28" t="e">
        <f ca="1">[1]!BexGetData("DP_1","00O2TNJGODT0G5Z4TTKYMMOLH","GSON1116150010")</f>
        <v>#NAME?</v>
      </c>
      <c r="U2472" s="23" t="e">
        <f ca="1">[1]!BexGetData("DP_1","00O2TNJGODT0G5Z4TTKYMMUX1","GSON1116150010")</f>
        <v>#NAME?</v>
      </c>
      <c r="V2472" s="28" t="e">
        <f ca="1">[1]!BexGetData("DP_1","00O2TNJGODT0G5Z4TTKYMN18L","GSON1116150010")</f>
        <v>#NAME?</v>
      </c>
      <c r="W2472" s="23" t="e">
        <f ca="1">[1]!BexGetData("DP_1","00O2TNJGODT0G5Z4TTKYMN7K5","GSON1116150010")</f>
        <v>#NAME?</v>
      </c>
    </row>
    <row r="2473" spans="1:23" x14ac:dyDescent="0.2">
      <c r="A2473" s="36" t="s">
        <v>1213</v>
      </c>
      <c r="B2473" s="27" t="s">
        <v>1214</v>
      </c>
      <c r="C2473" s="23" t="e">
        <f ca="1">[1]!BexGetData("DP_1","003N8EMH8GTFRCSWKMPXRR8GU","GSON1116150011")</f>
        <v>#NAME?</v>
      </c>
      <c r="D2473" s="23" t="e">
        <f ca="1">[1]!BexGetData("DP_1","003N8EMH8GTFRCSWKMPXRRESE","GSON1116150011")</f>
        <v>#NAME?</v>
      </c>
      <c r="E2473" s="28" t="e">
        <f ca="1">[1]!BexGetData("DP_1","003N8EMH8GTFRCSWKMPXRRL3Y","GSON1116150011")</f>
        <v>#NAME?</v>
      </c>
      <c r="F2473" s="28" t="e">
        <f ca="1">[1]!BexGetData("DP_1","003N8EMH8GTFRCSWKMPXRRRFI","GSON1116150011")</f>
        <v>#NAME?</v>
      </c>
      <c r="G2473" s="23" t="e">
        <f ca="1">[1]!BexGetData("DP_1","003N8EMH8GTFRCSWKMPXRRXR2","GSON1116150011")</f>
        <v>#NAME?</v>
      </c>
      <c r="H2473" s="23" t="e">
        <f ca="1">[1]!BexGetData("DP_1","003N8EMH8GTFRCSWKMPXRS42M","GSON1116150011")</f>
        <v>#NAME?</v>
      </c>
      <c r="I2473" s="28" t="e">
        <f ca="1">[1]!BexGetData("DP_1","003N8EMH8GTFRCSWKMPXRSAE6","GSON1116150011")</f>
        <v>#NAME?</v>
      </c>
      <c r="J2473" s="24" t="e">
        <f ca="1">[1]!BexGetData("DP_1","003N8EMH8GTFRCSWKMPXRSGPQ","GSON1116150011")</f>
        <v>#NAME?</v>
      </c>
      <c r="K2473" s="28" t="e">
        <f ca="1">[1]!BexGetData("DP_1","003N8EMH8GTFRIVNUPY288VJH","GSON1116150011")</f>
        <v>#NAME?</v>
      </c>
      <c r="L2473" s="28" t="e">
        <f ca="1">[1]!BexGetData("DP_1","003N8EMH8GTFRIVNUPY2891V1","GSON1116150011")</f>
        <v>#NAME?</v>
      </c>
      <c r="M2473" s="28" t="e">
        <f ca="1">[1]!BexGetData("DP_1","003N8EMH8GTFRIVOG7KG9IQXA","GSON1116150011")</f>
        <v>#NAME?</v>
      </c>
      <c r="N2473" s="28" t="e">
        <f ca="1">[1]!BexGetData("DP_1","003N8EMH8GTFRIVOG7KG9IX8U","GSON1116150011")</f>
        <v>#NAME?</v>
      </c>
      <c r="O2473" s="28" t="e">
        <f ca="1">[1]!BexGetData("DP_1","003N8EMH8GTFRIVOG7KG9J3KE","GSON1116150011")</f>
        <v>#NAME?</v>
      </c>
      <c r="P2473" s="28" t="e">
        <f ca="1">[1]!BexGetData("DP_1","003N8EMH8GTFRIVOG7KG9J9VY","GSON1116150011")</f>
        <v>#NAME?</v>
      </c>
      <c r="Q2473" s="24" t="e">
        <f ca="1">[1]!BexGetData("DP_1","00O2TNJGODT0G5Z4TTKYMM5MT","GSON1116150011")</f>
        <v>#NAME?</v>
      </c>
      <c r="R2473" s="28" t="e">
        <f ca="1">[1]!BexGetData("DP_1","00O2TNJGODT0G5Z4TTKYMMBYD","GSON1116150011")</f>
        <v>#NAME?</v>
      </c>
      <c r="S2473" s="28" t="e">
        <f ca="1">[1]!BexGetData("DP_1","00O2TNJGODT0G5Z4TTKYMMI9X","GSON1116150011")</f>
        <v>#NAME?</v>
      </c>
      <c r="T2473" s="28" t="e">
        <f ca="1">[1]!BexGetData("DP_1","00O2TNJGODT0G5Z4TTKYMMOLH","GSON1116150011")</f>
        <v>#NAME?</v>
      </c>
      <c r="U2473" s="28" t="e">
        <f ca="1">[1]!BexGetData("DP_1","00O2TNJGODT0G5Z4TTKYMMUX1","GSON1116150011")</f>
        <v>#NAME?</v>
      </c>
      <c r="V2473" s="28" t="e">
        <f ca="1">[1]!BexGetData("DP_1","00O2TNJGODT0G5Z4TTKYMN18L","GSON1116150011")</f>
        <v>#NAME?</v>
      </c>
      <c r="W2473" s="28" t="e">
        <f ca="1">[1]!BexGetData("DP_1","00O2TNJGODT0G5Z4TTKYMN7K5","GSON1116150011")</f>
        <v>#NAME?</v>
      </c>
    </row>
    <row r="2474" spans="1:23" x14ac:dyDescent="0.2">
      <c r="A2474" s="36" t="s">
        <v>1717</v>
      </c>
      <c r="B2474" s="27" t="s">
        <v>1718</v>
      </c>
      <c r="C2474" s="23" t="e">
        <f ca="1">[1]!BexGetData("DP_1","003N8EMH8GTFRCSWKMPXRR8GU","GSON1116150013")</f>
        <v>#NAME?</v>
      </c>
      <c r="D2474" s="23" t="e">
        <f ca="1">[1]!BexGetData("DP_1","003N8EMH8GTFRCSWKMPXRRESE","GSON1116150013")</f>
        <v>#NAME?</v>
      </c>
      <c r="E2474" s="28" t="e">
        <f ca="1">[1]!BexGetData("DP_1","003N8EMH8GTFRCSWKMPXRRL3Y","GSON1116150013")</f>
        <v>#NAME?</v>
      </c>
      <c r="F2474" s="28" t="e">
        <f ca="1">[1]!BexGetData("DP_1","003N8EMH8GTFRCSWKMPXRRRFI","GSON1116150013")</f>
        <v>#NAME?</v>
      </c>
      <c r="G2474" s="23" t="e">
        <f ca="1">[1]!BexGetData("DP_1","003N8EMH8GTFRCSWKMPXRRXR2","GSON1116150013")</f>
        <v>#NAME?</v>
      </c>
      <c r="H2474" s="23" t="e">
        <f ca="1">[1]!BexGetData("DP_1","003N8EMH8GTFRCSWKMPXRS42M","GSON1116150013")</f>
        <v>#NAME?</v>
      </c>
      <c r="I2474" s="28" t="e">
        <f ca="1">[1]!BexGetData("DP_1","003N8EMH8GTFRCSWKMPXRSAE6","GSON1116150013")</f>
        <v>#NAME?</v>
      </c>
      <c r="J2474" s="24" t="e">
        <f ca="1">[1]!BexGetData("DP_1","003N8EMH8GTFRCSWKMPXRSGPQ","GSON1116150013")</f>
        <v>#NAME?</v>
      </c>
      <c r="K2474" s="28" t="e">
        <f ca="1">[1]!BexGetData("DP_1","003N8EMH8GTFRIVNUPY288VJH","GSON1116150013")</f>
        <v>#NAME?</v>
      </c>
      <c r="L2474" s="28" t="e">
        <f ca="1">[1]!BexGetData("DP_1","003N8EMH8GTFRIVNUPY2891V1","GSON1116150013")</f>
        <v>#NAME?</v>
      </c>
      <c r="M2474" s="28" t="e">
        <f ca="1">[1]!BexGetData("DP_1","003N8EMH8GTFRIVOG7KG9IQXA","GSON1116150013")</f>
        <v>#NAME?</v>
      </c>
      <c r="N2474" s="28" t="e">
        <f ca="1">[1]!BexGetData("DP_1","003N8EMH8GTFRIVOG7KG9IX8U","GSON1116150013")</f>
        <v>#NAME?</v>
      </c>
      <c r="O2474" s="28" t="e">
        <f ca="1">[1]!BexGetData("DP_1","003N8EMH8GTFRIVOG7KG9J3KE","GSON1116150013")</f>
        <v>#NAME?</v>
      </c>
      <c r="P2474" s="28" t="e">
        <f ca="1">[1]!BexGetData("DP_1","003N8EMH8GTFRIVOG7KG9J9VY","GSON1116150013")</f>
        <v>#NAME?</v>
      </c>
      <c r="Q2474" s="24" t="e">
        <f ca="1">[1]!BexGetData("DP_1","00O2TNJGODT0G5Z4TTKYMM5MT","GSON1116150013")</f>
        <v>#NAME?</v>
      </c>
      <c r="R2474" s="28" t="e">
        <f ca="1">[1]!BexGetData("DP_1","00O2TNJGODT0G5Z4TTKYMMBYD","GSON1116150013")</f>
        <v>#NAME?</v>
      </c>
      <c r="S2474" s="28" t="e">
        <f ca="1">[1]!BexGetData("DP_1","00O2TNJGODT0G5Z4TTKYMMI9X","GSON1116150013")</f>
        <v>#NAME?</v>
      </c>
      <c r="T2474" s="28" t="e">
        <f ca="1">[1]!BexGetData("DP_1","00O2TNJGODT0G5Z4TTKYMMOLH","GSON1116150013")</f>
        <v>#NAME?</v>
      </c>
      <c r="U2474" s="28" t="e">
        <f ca="1">[1]!BexGetData("DP_1","00O2TNJGODT0G5Z4TTKYMMUX1","GSON1116150013")</f>
        <v>#NAME?</v>
      </c>
      <c r="V2474" s="28" t="e">
        <f ca="1">[1]!BexGetData("DP_1","00O2TNJGODT0G5Z4TTKYMN18L","GSON1116150013")</f>
        <v>#NAME?</v>
      </c>
      <c r="W2474" s="28" t="e">
        <f ca="1">[1]!BexGetData("DP_1","00O2TNJGODT0G5Z4TTKYMN7K5","GSON1116150013")</f>
        <v>#NAME?</v>
      </c>
    </row>
    <row r="2475" spans="1:23" x14ac:dyDescent="0.2">
      <c r="A2475" s="36" t="s">
        <v>5871</v>
      </c>
      <c r="B2475" s="27" t="s">
        <v>5872</v>
      </c>
      <c r="C2475" s="24" t="e">
        <f ca="1">[1]!BexGetData("DP_1","003N8EMH8GTFRCSWKMPXRR8GU","GSON1116150014")</f>
        <v>#NAME?</v>
      </c>
      <c r="D2475" s="24" t="e">
        <f ca="1">[1]!BexGetData("DP_1","003N8EMH8GTFRCSWKMPXRRESE","GSON1116150014")</f>
        <v>#NAME?</v>
      </c>
      <c r="E2475" s="24" t="e">
        <f ca="1">[1]!BexGetData("DP_1","003N8EMH8GTFRCSWKMPXRRL3Y","GSON1116150014")</f>
        <v>#NAME?</v>
      </c>
      <c r="F2475" s="28" t="e">
        <f ca="1">[1]!BexGetData("DP_1","003N8EMH8GTFRCSWKMPXRRRFI","GSON1116150014")</f>
        <v>#NAME?</v>
      </c>
      <c r="G2475" s="23" t="e">
        <f ca="1">[1]!BexGetData("DP_1","003N8EMH8GTFRCSWKMPXRRXR2","GSON1116150014")</f>
        <v>#NAME?</v>
      </c>
      <c r="H2475" s="23" t="e">
        <f ca="1">[1]!BexGetData("DP_1","003N8EMH8GTFRCSWKMPXRS42M","GSON1116150014")</f>
        <v>#NAME?</v>
      </c>
      <c r="I2475" s="28" t="e">
        <f ca="1">[1]!BexGetData("DP_1","003N8EMH8GTFRCSWKMPXRSAE6","GSON1116150014")</f>
        <v>#NAME?</v>
      </c>
      <c r="J2475" s="24" t="e">
        <f ca="1">[1]!BexGetData("DP_1","003N8EMH8GTFRCSWKMPXRSGPQ","GSON1116150014")</f>
        <v>#NAME?</v>
      </c>
      <c r="K2475" s="28" t="e">
        <f ca="1">[1]!BexGetData("DP_1","003N8EMH8GTFRIVNUPY288VJH","GSON1116150014")</f>
        <v>#NAME?</v>
      </c>
      <c r="L2475" s="28" t="e">
        <f ca="1">[1]!BexGetData("DP_1","003N8EMH8GTFRIVNUPY2891V1","GSON1116150014")</f>
        <v>#NAME?</v>
      </c>
      <c r="M2475" s="28" t="e">
        <f ca="1">[1]!BexGetData("DP_1","003N8EMH8GTFRIVOG7KG9IQXA","GSON1116150014")</f>
        <v>#NAME?</v>
      </c>
      <c r="N2475" s="28" t="e">
        <f ca="1">[1]!BexGetData("DP_1","003N8EMH8GTFRIVOG7KG9IX8U","GSON1116150014")</f>
        <v>#NAME?</v>
      </c>
      <c r="O2475" s="28" t="e">
        <f ca="1">[1]!BexGetData("DP_1","003N8EMH8GTFRIVOG7KG9J3KE","GSON1116150014")</f>
        <v>#NAME?</v>
      </c>
      <c r="P2475" s="28" t="e">
        <f ca="1">[1]!BexGetData("DP_1","003N8EMH8GTFRIVOG7KG9J9VY","GSON1116150014")</f>
        <v>#NAME?</v>
      </c>
      <c r="Q2475" s="24" t="e">
        <f ca="1">[1]!BexGetData("DP_1","00O2TNJGODT0G5Z4TTKYMM5MT","GSON1116150014")</f>
        <v>#NAME?</v>
      </c>
      <c r="R2475" s="28" t="e">
        <f ca="1">[1]!BexGetData("DP_1","00O2TNJGODT0G5Z4TTKYMMBYD","GSON1116150014")</f>
        <v>#NAME?</v>
      </c>
      <c r="S2475" s="28" t="e">
        <f ca="1">[1]!BexGetData("DP_1","00O2TNJGODT0G5Z4TTKYMMI9X","GSON1116150014")</f>
        <v>#NAME?</v>
      </c>
      <c r="T2475" s="28" t="e">
        <f ca="1">[1]!BexGetData("DP_1","00O2TNJGODT0G5Z4TTKYMMOLH","GSON1116150014")</f>
        <v>#NAME?</v>
      </c>
      <c r="U2475" s="28" t="e">
        <f ca="1">[1]!BexGetData("DP_1","00O2TNJGODT0G5Z4TTKYMMUX1","GSON1116150014")</f>
        <v>#NAME?</v>
      </c>
      <c r="V2475" s="28" t="e">
        <f ca="1">[1]!BexGetData("DP_1","00O2TNJGODT0G5Z4TTKYMN18L","GSON1116150014")</f>
        <v>#NAME?</v>
      </c>
      <c r="W2475" s="28" t="e">
        <f ca="1">[1]!BexGetData("DP_1","00O2TNJGODT0G5Z4TTKYMN7K5","GSON1116150014")</f>
        <v>#NAME?</v>
      </c>
    </row>
    <row r="2476" spans="1:23" x14ac:dyDescent="0.2">
      <c r="A2476" s="36" t="s">
        <v>5873</v>
      </c>
      <c r="B2476" s="27" t="s">
        <v>5874</v>
      </c>
      <c r="C2476" s="23" t="e">
        <f ca="1">[1]!BexGetData("DP_1","003N8EMH8GTFRCSWKMPXRR8GU","GSON1116150015")</f>
        <v>#NAME?</v>
      </c>
      <c r="D2476" s="23" t="e">
        <f ca="1">[1]!BexGetData("DP_1","003N8EMH8GTFRCSWKMPXRRESE","GSON1116150015")</f>
        <v>#NAME?</v>
      </c>
      <c r="E2476" s="28" t="e">
        <f ca="1">[1]!BexGetData("DP_1","003N8EMH8GTFRCSWKMPXRRL3Y","GSON1116150015")</f>
        <v>#NAME?</v>
      </c>
      <c r="F2476" s="28" t="e">
        <f ca="1">[1]!BexGetData("DP_1","003N8EMH8GTFRCSWKMPXRRRFI","GSON1116150015")</f>
        <v>#NAME?</v>
      </c>
      <c r="G2476" s="23" t="e">
        <f ca="1">[1]!BexGetData("DP_1","003N8EMH8GTFRCSWKMPXRRXR2","GSON1116150015")</f>
        <v>#NAME?</v>
      </c>
      <c r="H2476" s="23" t="e">
        <f ca="1">[1]!BexGetData("DP_1","003N8EMH8GTFRCSWKMPXRS42M","GSON1116150015")</f>
        <v>#NAME?</v>
      </c>
      <c r="I2476" s="28" t="e">
        <f ca="1">[1]!BexGetData("DP_1","003N8EMH8GTFRCSWKMPXRSAE6","GSON1116150015")</f>
        <v>#NAME?</v>
      </c>
      <c r="J2476" s="24" t="e">
        <f ca="1">[1]!BexGetData("DP_1","003N8EMH8GTFRCSWKMPXRSGPQ","GSON1116150015")</f>
        <v>#NAME?</v>
      </c>
      <c r="K2476" s="28" t="e">
        <f ca="1">[1]!BexGetData("DP_1","003N8EMH8GTFRIVNUPY288VJH","GSON1116150015")</f>
        <v>#NAME?</v>
      </c>
      <c r="L2476" s="28" t="e">
        <f ca="1">[1]!BexGetData("DP_1","003N8EMH8GTFRIVNUPY2891V1","GSON1116150015")</f>
        <v>#NAME?</v>
      </c>
      <c r="M2476" s="28" t="e">
        <f ca="1">[1]!BexGetData("DP_1","003N8EMH8GTFRIVOG7KG9IQXA","GSON1116150015")</f>
        <v>#NAME?</v>
      </c>
      <c r="N2476" s="28" t="e">
        <f ca="1">[1]!BexGetData("DP_1","003N8EMH8GTFRIVOG7KG9IX8U","GSON1116150015")</f>
        <v>#NAME?</v>
      </c>
      <c r="O2476" s="28" t="e">
        <f ca="1">[1]!BexGetData("DP_1","003N8EMH8GTFRIVOG7KG9J3KE","GSON1116150015")</f>
        <v>#NAME?</v>
      </c>
      <c r="P2476" s="28" t="e">
        <f ca="1">[1]!BexGetData("DP_1","003N8EMH8GTFRIVOG7KG9J9VY","GSON1116150015")</f>
        <v>#NAME?</v>
      </c>
      <c r="Q2476" s="24" t="e">
        <f ca="1">[1]!BexGetData("DP_1","00O2TNJGODT0G5Z4TTKYMM5MT","GSON1116150015")</f>
        <v>#NAME?</v>
      </c>
      <c r="R2476" s="28" t="e">
        <f ca="1">[1]!BexGetData("DP_1","00O2TNJGODT0G5Z4TTKYMMBYD","GSON1116150015")</f>
        <v>#NAME?</v>
      </c>
      <c r="S2476" s="28" t="e">
        <f ca="1">[1]!BexGetData("DP_1","00O2TNJGODT0G5Z4TTKYMMI9X","GSON1116150015")</f>
        <v>#NAME?</v>
      </c>
      <c r="T2476" s="28" t="e">
        <f ca="1">[1]!BexGetData("DP_1","00O2TNJGODT0G5Z4TTKYMMOLH","GSON1116150015")</f>
        <v>#NAME?</v>
      </c>
      <c r="U2476" s="28" t="e">
        <f ca="1">[1]!BexGetData("DP_1","00O2TNJGODT0G5Z4TTKYMMUX1","GSON1116150015")</f>
        <v>#NAME?</v>
      </c>
      <c r="V2476" s="28" t="e">
        <f ca="1">[1]!BexGetData("DP_1","00O2TNJGODT0G5Z4TTKYMN18L","GSON1116150015")</f>
        <v>#NAME?</v>
      </c>
      <c r="W2476" s="28" t="e">
        <f ca="1">[1]!BexGetData("DP_1","00O2TNJGODT0G5Z4TTKYMN7K5","GSON1116150015")</f>
        <v>#NAME?</v>
      </c>
    </row>
    <row r="2477" spans="1:23" x14ac:dyDescent="0.2">
      <c r="A2477" s="36" t="s">
        <v>1719</v>
      </c>
      <c r="B2477" s="27" t="s">
        <v>1720</v>
      </c>
      <c r="C2477" s="23" t="e">
        <f ca="1">[1]!BexGetData("DP_1","003N8EMH8GTFRCSWKMPXRR8GU","GSON1116150360")</f>
        <v>#NAME?</v>
      </c>
      <c r="D2477" s="23" t="e">
        <f ca="1">[1]!BexGetData("DP_1","003N8EMH8GTFRCSWKMPXRRESE","GSON1116150360")</f>
        <v>#NAME?</v>
      </c>
      <c r="E2477" s="23" t="e">
        <f ca="1">[1]!BexGetData("DP_1","003N8EMH8GTFRCSWKMPXRRL3Y","GSON1116150360")</f>
        <v>#NAME?</v>
      </c>
      <c r="F2477" s="23" t="e">
        <f ca="1">[1]!BexGetData("DP_1","003N8EMH8GTFRCSWKMPXRRRFI","GSON1116150360")</f>
        <v>#NAME?</v>
      </c>
      <c r="G2477" s="23" t="e">
        <f ca="1">[1]!BexGetData("DP_1","003N8EMH8GTFRCSWKMPXRRXR2","GSON1116150360")</f>
        <v>#NAME?</v>
      </c>
      <c r="H2477" s="23" t="e">
        <f ca="1">[1]!BexGetData("DP_1","003N8EMH8GTFRCSWKMPXRS42M","GSON1116150360")</f>
        <v>#NAME?</v>
      </c>
      <c r="I2477" s="23" t="e">
        <f ca="1">[1]!BexGetData("DP_1","003N8EMH8GTFRCSWKMPXRSAE6","GSON1116150360")</f>
        <v>#NAME?</v>
      </c>
      <c r="J2477" s="23" t="e">
        <f ca="1">[1]!BexGetData("DP_1","003N8EMH8GTFRCSWKMPXRSGPQ","GSON1116150360")</f>
        <v>#NAME?</v>
      </c>
      <c r="K2477" s="23" t="e">
        <f ca="1">[1]!BexGetData("DP_1","003N8EMH8GTFRIVNUPY288VJH","GSON1116150360")</f>
        <v>#NAME?</v>
      </c>
      <c r="L2477" s="23" t="e">
        <f ca="1">[1]!BexGetData("DP_1","003N8EMH8GTFRIVNUPY2891V1","GSON1116150360")</f>
        <v>#NAME?</v>
      </c>
      <c r="M2477" s="28" t="e">
        <f ca="1">[1]!BexGetData("DP_1","003N8EMH8GTFRIVOG7KG9IQXA","GSON1116150360")</f>
        <v>#NAME?</v>
      </c>
      <c r="N2477" s="23" t="e">
        <f ca="1">[1]!BexGetData("DP_1","003N8EMH8GTFRIVOG7KG9IX8U","GSON1116150360")</f>
        <v>#NAME?</v>
      </c>
      <c r="O2477" s="28" t="e">
        <f ca="1">[1]!BexGetData("DP_1","003N8EMH8GTFRIVOG7KG9J3KE","GSON1116150360")</f>
        <v>#NAME?</v>
      </c>
      <c r="P2477" s="23" t="e">
        <f ca="1">[1]!BexGetData("DP_1","003N8EMH8GTFRIVOG7KG9J9VY","GSON1116150360")</f>
        <v>#NAME?</v>
      </c>
      <c r="Q2477" s="23" t="e">
        <f ca="1">[1]!BexGetData("DP_1","00O2TNJGODT0G5Z4TTKYMM5MT","GSON1116150360")</f>
        <v>#NAME?</v>
      </c>
      <c r="R2477" s="23" t="e">
        <f ca="1">[1]!BexGetData("DP_1","00O2TNJGODT0G5Z4TTKYMMBYD","GSON1116150360")</f>
        <v>#NAME?</v>
      </c>
      <c r="S2477" s="23" t="e">
        <f ca="1">[1]!BexGetData("DP_1","00O2TNJGODT0G5Z4TTKYMMI9X","GSON1116150360")</f>
        <v>#NAME?</v>
      </c>
      <c r="T2477" s="28" t="e">
        <f ca="1">[1]!BexGetData("DP_1","00O2TNJGODT0G5Z4TTKYMMOLH","GSON1116150360")</f>
        <v>#NAME?</v>
      </c>
      <c r="U2477" s="23" t="e">
        <f ca="1">[1]!BexGetData("DP_1","00O2TNJGODT0G5Z4TTKYMMUX1","GSON1116150360")</f>
        <v>#NAME?</v>
      </c>
      <c r="V2477" s="28" t="e">
        <f ca="1">[1]!BexGetData("DP_1","00O2TNJGODT0G5Z4TTKYMN18L","GSON1116150360")</f>
        <v>#NAME?</v>
      </c>
      <c r="W2477" s="23" t="e">
        <f ca="1">[1]!BexGetData("DP_1","00O2TNJGODT0G5Z4TTKYMN7K5","GSON1116150360")</f>
        <v>#NAME?</v>
      </c>
    </row>
    <row r="2478" spans="1:23" x14ac:dyDescent="0.2">
      <c r="A2478" s="36" t="s">
        <v>1721</v>
      </c>
      <c r="B2478" s="27" t="s">
        <v>1722</v>
      </c>
      <c r="C2478" s="23" t="e">
        <f ca="1">[1]!BexGetData("DP_1","003N8EMH8GTFRCSWKMPXRR8GU","GSON1116150361")</f>
        <v>#NAME?</v>
      </c>
      <c r="D2478" s="23" t="e">
        <f ca="1">[1]!BexGetData("DP_1","003N8EMH8GTFRCSWKMPXRRESE","GSON1116150361")</f>
        <v>#NAME?</v>
      </c>
      <c r="E2478" s="23" t="e">
        <f ca="1">[1]!BexGetData("DP_1","003N8EMH8GTFRCSWKMPXRRL3Y","GSON1116150361")</f>
        <v>#NAME?</v>
      </c>
      <c r="F2478" s="28" t="e">
        <f ca="1">[1]!BexGetData("DP_1","003N8EMH8GTFRCSWKMPXRRRFI","GSON1116150361")</f>
        <v>#NAME?</v>
      </c>
      <c r="G2478" s="23" t="e">
        <f ca="1">[1]!BexGetData("DP_1","003N8EMH8GTFRCSWKMPXRRXR2","GSON1116150361")</f>
        <v>#NAME?</v>
      </c>
      <c r="H2478" s="23" t="e">
        <f ca="1">[1]!BexGetData("DP_1","003N8EMH8GTFRCSWKMPXRS42M","GSON1116150361")</f>
        <v>#NAME?</v>
      </c>
      <c r="I2478" s="28" t="e">
        <f ca="1">[1]!BexGetData("DP_1","003N8EMH8GTFRCSWKMPXRSAE6","GSON1116150361")</f>
        <v>#NAME?</v>
      </c>
      <c r="J2478" s="24" t="e">
        <f ca="1">[1]!BexGetData("DP_1","003N8EMH8GTFRCSWKMPXRSGPQ","GSON1116150361")</f>
        <v>#NAME?</v>
      </c>
      <c r="K2478" s="23" t="e">
        <f ca="1">[1]!BexGetData("DP_1","003N8EMH8GTFRIVNUPY288VJH","GSON1116150361")</f>
        <v>#NAME?</v>
      </c>
      <c r="L2478" s="23" t="e">
        <f ca="1">[1]!BexGetData("DP_1","003N8EMH8GTFRIVNUPY2891V1","GSON1116150361")</f>
        <v>#NAME?</v>
      </c>
      <c r="M2478" s="28" t="e">
        <f ca="1">[1]!BexGetData("DP_1","003N8EMH8GTFRIVOG7KG9IQXA","GSON1116150361")</f>
        <v>#NAME?</v>
      </c>
      <c r="N2478" s="23" t="e">
        <f ca="1">[1]!BexGetData("DP_1","003N8EMH8GTFRIVOG7KG9IX8U","GSON1116150361")</f>
        <v>#NAME?</v>
      </c>
      <c r="O2478" s="28" t="e">
        <f ca="1">[1]!BexGetData("DP_1","003N8EMH8GTFRIVOG7KG9J3KE","GSON1116150361")</f>
        <v>#NAME?</v>
      </c>
      <c r="P2478" s="23" t="e">
        <f ca="1">[1]!BexGetData("DP_1","003N8EMH8GTFRIVOG7KG9J9VY","GSON1116150361")</f>
        <v>#NAME?</v>
      </c>
      <c r="Q2478" s="24" t="e">
        <f ca="1">[1]!BexGetData("DP_1","00O2TNJGODT0G5Z4TTKYMM5MT","GSON1116150361")</f>
        <v>#NAME?</v>
      </c>
      <c r="R2478" s="28" t="e">
        <f ca="1">[1]!BexGetData("DP_1","00O2TNJGODT0G5Z4TTKYMMBYD","GSON1116150361")</f>
        <v>#NAME?</v>
      </c>
      <c r="S2478" s="28" t="e">
        <f ca="1">[1]!BexGetData("DP_1","00O2TNJGODT0G5Z4TTKYMMI9X","GSON1116150361")</f>
        <v>#NAME?</v>
      </c>
      <c r="T2478" s="28" t="e">
        <f ca="1">[1]!BexGetData("DP_1","00O2TNJGODT0G5Z4TTKYMMOLH","GSON1116150361")</f>
        <v>#NAME?</v>
      </c>
      <c r="U2478" s="28" t="e">
        <f ca="1">[1]!BexGetData("DP_1","00O2TNJGODT0G5Z4TTKYMMUX1","GSON1116150361")</f>
        <v>#NAME?</v>
      </c>
      <c r="V2478" s="28" t="e">
        <f ca="1">[1]!BexGetData("DP_1","00O2TNJGODT0G5Z4TTKYMN18L","GSON1116150361")</f>
        <v>#NAME?</v>
      </c>
      <c r="W2478" s="28" t="e">
        <f ca="1">[1]!BexGetData("DP_1","00O2TNJGODT0G5Z4TTKYMN7K5","GSON1116150361")</f>
        <v>#NAME?</v>
      </c>
    </row>
    <row r="2479" spans="1:23" x14ac:dyDescent="0.2">
      <c r="A2479" s="36" t="s">
        <v>5875</v>
      </c>
      <c r="B2479" s="27" t="s">
        <v>5876</v>
      </c>
      <c r="C2479" s="23" t="e">
        <f ca="1">[1]!BexGetData("DP_1","003N8EMH8GTFRCSWKMPXRR8GU","GSON1116150363")</f>
        <v>#NAME?</v>
      </c>
      <c r="D2479" s="23" t="e">
        <f ca="1">[1]!BexGetData("DP_1","003N8EMH8GTFRCSWKMPXRRESE","GSON1116150363")</f>
        <v>#NAME?</v>
      </c>
      <c r="E2479" s="23" t="e">
        <f ca="1">[1]!BexGetData("DP_1","003N8EMH8GTFRCSWKMPXRRL3Y","GSON1116150363")</f>
        <v>#NAME?</v>
      </c>
      <c r="F2479" s="23" t="e">
        <f ca="1">[1]!BexGetData("DP_1","003N8EMH8GTFRCSWKMPXRRRFI","GSON1116150363")</f>
        <v>#NAME?</v>
      </c>
      <c r="G2479" s="23" t="e">
        <f ca="1">[1]!BexGetData("DP_1","003N8EMH8GTFRCSWKMPXRRXR2","GSON1116150363")</f>
        <v>#NAME?</v>
      </c>
      <c r="H2479" s="23" t="e">
        <f ca="1">[1]!BexGetData("DP_1","003N8EMH8GTFRCSWKMPXRS42M","GSON1116150363")</f>
        <v>#NAME?</v>
      </c>
      <c r="I2479" s="23" t="e">
        <f ca="1">[1]!BexGetData("DP_1","003N8EMH8GTFRCSWKMPXRSAE6","GSON1116150363")</f>
        <v>#NAME?</v>
      </c>
      <c r="J2479" s="23" t="e">
        <f ca="1">[1]!BexGetData("DP_1","003N8EMH8GTFRCSWKMPXRSGPQ","GSON1116150363")</f>
        <v>#NAME?</v>
      </c>
      <c r="K2479" s="23" t="e">
        <f ca="1">[1]!BexGetData("DP_1","003N8EMH8GTFRIVNUPY288VJH","GSON1116150363")</f>
        <v>#NAME?</v>
      </c>
      <c r="L2479" s="23" t="e">
        <f ca="1">[1]!BexGetData("DP_1","003N8EMH8GTFRIVNUPY2891V1","GSON1116150363")</f>
        <v>#NAME?</v>
      </c>
      <c r="M2479" s="28" t="e">
        <f ca="1">[1]!BexGetData("DP_1","003N8EMH8GTFRIVOG7KG9IQXA","GSON1116150363")</f>
        <v>#NAME?</v>
      </c>
      <c r="N2479" s="23" t="e">
        <f ca="1">[1]!BexGetData("DP_1","003N8EMH8GTFRIVOG7KG9IX8U","GSON1116150363")</f>
        <v>#NAME?</v>
      </c>
      <c r="O2479" s="28" t="e">
        <f ca="1">[1]!BexGetData("DP_1","003N8EMH8GTFRIVOG7KG9J3KE","GSON1116150363")</f>
        <v>#NAME?</v>
      </c>
      <c r="P2479" s="23" t="e">
        <f ca="1">[1]!BexGetData("DP_1","003N8EMH8GTFRIVOG7KG9J9VY","GSON1116150363")</f>
        <v>#NAME?</v>
      </c>
      <c r="Q2479" s="23" t="e">
        <f ca="1">[1]!BexGetData("DP_1","00O2TNJGODT0G5Z4TTKYMM5MT","GSON1116150363")</f>
        <v>#NAME?</v>
      </c>
      <c r="R2479" s="28" t="e">
        <f ca="1">[1]!BexGetData("DP_1","00O2TNJGODT0G5Z4TTKYMMBYD","GSON1116150363")</f>
        <v>#NAME?</v>
      </c>
      <c r="S2479" s="28" t="e">
        <f ca="1">[1]!BexGetData("DP_1","00O2TNJGODT0G5Z4TTKYMMI9X","GSON1116150363")</f>
        <v>#NAME?</v>
      </c>
      <c r="T2479" s="28" t="e">
        <f ca="1">[1]!BexGetData("DP_1","00O2TNJGODT0G5Z4TTKYMMOLH","GSON1116150363")</f>
        <v>#NAME?</v>
      </c>
      <c r="U2479" s="28" t="e">
        <f ca="1">[1]!BexGetData("DP_1","00O2TNJGODT0G5Z4TTKYMMUX1","GSON1116150363")</f>
        <v>#NAME?</v>
      </c>
      <c r="V2479" s="28" t="e">
        <f ca="1">[1]!BexGetData("DP_1","00O2TNJGODT0G5Z4TTKYMN18L","GSON1116150363")</f>
        <v>#NAME?</v>
      </c>
      <c r="W2479" s="28" t="e">
        <f ca="1">[1]!BexGetData("DP_1","00O2TNJGODT0G5Z4TTKYMN7K5","GSON1116150363")</f>
        <v>#NAME?</v>
      </c>
    </row>
    <row r="2480" spans="1:23" x14ac:dyDescent="0.2">
      <c r="A2480" s="36" t="s">
        <v>5877</v>
      </c>
      <c r="B2480" s="27" t="s">
        <v>5878</v>
      </c>
      <c r="C2480" s="23" t="e">
        <f ca="1">[1]!BexGetData("DP_1","003N8EMH8GTFRCSWKMPXRR8GU","GSON1116150364")</f>
        <v>#NAME?</v>
      </c>
      <c r="D2480" s="23" t="e">
        <f ca="1">[1]!BexGetData("DP_1","003N8EMH8GTFRCSWKMPXRRESE","GSON1116150364")</f>
        <v>#NAME?</v>
      </c>
      <c r="E2480" s="28" t="e">
        <f ca="1">[1]!BexGetData("DP_1","003N8EMH8GTFRCSWKMPXRRL3Y","GSON1116150364")</f>
        <v>#NAME?</v>
      </c>
      <c r="F2480" s="28" t="e">
        <f ca="1">[1]!BexGetData("DP_1","003N8EMH8GTFRCSWKMPXRRRFI","GSON1116150364")</f>
        <v>#NAME?</v>
      </c>
      <c r="G2480" s="23" t="e">
        <f ca="1">[1]!BexGetData("DP_1","003N8EMH8GTFRCSWKMPXRRXR2","GSON1116150364")</f>
        <v>#NAME?</v>
      </c>
      <c r="H2480" s="23" t="e">
        <f ca="1">[1]!BexGetData("DP_1","003N8EMH8GTFRCSWKMPXRS42M","GSON1116150364")</f>
        <v>#NAME?</v>
      </c>
      <c r="I2480" s="28" t="e">
        <f ca="1">[1]!BexGetData("DP_1","003N8EMH8GTFRCSWKMPXRSAE6","GSON1116150364")</f>
        <v>#NAME?</v>
      </c>
      <c r="J2480" s="24" t="e">
        <f ca="1">[1]!BexGetData("DP_1","003N8EMH8GTFRCSWKMPXRSGPQ","GSON1116150364")</f>
        <v>#NAME?</v>
      </c>
      <c r="K2480" s="28" t="e">
        <f ca="1">[1]!BexGetData("DP_1","003N8EMH8GTFRIVNUPY288VJH","GSON1116150364")</f>
        <v>#NAME?</v>
      </c>
      <c r="L2480" s="28" t="e">
        <f ca="1">[1]!BexGetData("DP_1","003N8EMH8GTFRIVNUPY2891V1","GSON1116150364")</f>
        <v>#NAME?</v>
      </c>
      <c r="M2480" s="28" t="e">
        <f ca="1">[1]!BexGetData("DP_1","003N8EMH8GTFRIVOG7KG9IQXA","GSON1116150364")</f>
        <v>#NAME?</v>
      </c>
      <c r="N2480" s="28" t="e">
        <f ca="1">[1]!BexGetData("DP_1","003N8EMH8GTFRIVOG7KG9IX8U","GSON1116150364")</f>
        <v>#NAME?</v>
      </c>
      <c r="O2480" s="28" t="e">
        <f ca="1">[1]!BexGetData("DP_1","003N8EMH8GTFRIVOG7KG9J3KE","GSON1116150364")</f>
        <v>#NAME?</v>
      </c>
      <c r="P2480" s="28" t="e">
        <f ca="1">[1]!BexGetData("DP_1","003N8EMH8GTFRIVOG7KG9J9VY","GSON1116150364")</f>
        <v>#NAME?</v>
      </c>
      <c r="Q2480" s="24" t="e">
        <f ca="1">[1]!BexGetData("DP_1","00O2TNJGODT0G5Z4TTKYMM5MT","GSON1116150364")</f>
        <v>#NAME?</v>
      </c>
      <c r="R2480" s="28" t="e">
        <f ca="1">[1]!BexGetData("DP_1","00O2TNJGODT0G5Z4TTKYMMBYD","GSON1116150364")</f>
        <v>#NAME?</v>
      </c>
      <c r="S2480" s="28" t="e">
        <f ca="1">[1]!BexGetData("DP_1","00O2TNJGODT0G5Z4TTKYMMI9X","GSON1116150364")</f>
        <v>#NAME?</v>
      </c>
      <c r="T2480" s="28" t="e">
        <f ca="1">[1]!BexGetData("DP_1","00O2TNJGODT0G5Z4TTKYMMOLH","GSON1116150364")</f>
        <v>#NAME?</v>
      </c>
      <c r="U2480" s="28" t="e">
        <f ca="1">[1]!BexGetData("DP_1","00O2TNJGODT0G5Z4TTKYMMUX1","GSON1116150364")</f>
        <v>#NAME?</v>
      </c>
      <c r="V2480" s="28" t="e">
        <f ca="1">[1]!BexGetData("DP_1","00O2TNJGODT0G5Z4TTKYMN18L","GSON1116150364")</f>
        <v>#NAME?</v>
      </c>
      <c r="W2480" s="28" t="e">
        <f ca="1">[1]!BexGetData("DP_1","00O2TNJGODT0G5Z4TTKYMN7K5","GSON1116150364")</f>
        <v>#NAME?</v>
      </c>
    </row>
    <row r="2481" spans="1:23" x14ac:dyDescent="0.2">
      <c r="A2481" s="36" t="s">
        <v>5879</v>
      </c>
      <c r="B2481" s="27" t="s">
        <v>5880</v>
      </c>
      <c r="C2481" s="23" t="e">
        <f ca="1">[1]!BexGetData("DP_1","003N8EMH8GTFRCSWKMPXRR8GU","GSON1116150365")</f>
        <v>#NAME?</v>
      </c>
      <c r="D2481" s="23" t="e">
        <f ca="1">[1]!BexGetData("DP_1","003N8EMH8GTFRCSWKMPXRRESE","GSON1116150365")</f>
        <v>#NAME?</v>
      </c>
      <c r="E2481" s="28" t="e">
        <f ca="1">[1]!BexGetData("DP_1","003N8EMH8GTFRCSWKMPXRRL3Y","GSON1116150365")</f>
        <v>#NAME?</v>
      </c>
      <c r="F2481" s="28" t="e">
        <f ca="1">[1]!BexGetData("DP_1","003N8EMH8GTFRCSWKMPXRRRFI","GSON1116150365")</f>
        <v>#NAME?</v>
      </c>
      <c r="G2481" s="23" t="e">
        <f ca="1">[1]!BexGetData("DP_1","003N8EMH8GTFRCSWKMPXRRXR2","GSON1116150365")</f>
        <v>#NAME?</v>
      </c>
      <c r="H2481" s="23" t="e">
        <f ca="1">[1]!BexGetData("DP_1","003N8EMH8GTFRCSWKMPXRS42M","GSON1116150365")</f>
        <v>#NAME?</v>
      </c>
      <c r="I2481" s="28" t="e">
        <f ca="1">[1]!BexGetData("DP_1","003N8EMH8GTFRCSWKMPXRSAE6","GSON1116150365")</f>
        <v>#NAME?</v>
      </c>
      <c r="J2481" s="24" t="e">
        <f ca="1">[1]!BexGetData("DP_1","003N8EMH8GTFRCSWKMPXRSGPQ","GSON1116150365")</f>
        <v>#NAME?</v>
      </c>
      <c r="K2481" s="28" t="e">
        <f ca="1">[1]!BexGetData("DP_1","003N8EMH8GTFRIVNUPY288VJH","GSON1116150365")</f>
        <v>#NAME?</v>
      </c>
      <c r="L2481" s="28" t="e">
        <f ca="1">[1]!BexGetData("DP_1","003N8EMH8GTFRIVNUPY2891V1","GSON1116150365")</f>
        <v>#NAME?</v>
      </c>
      <c r="M2481" s="28" t="e">
        <f ca="1">[1]!BexGetData("DP_1","003N8EMH8GTFRIVOG7KG9IQXA","GSON1116150365")</f>
        <v>#NAME?</v>
      </c>
      <c r="N2481" s="28" t="e">
        <f ca="1">[1]!BexGetData("DP_1","003N8EMH8GTFRIVOG7KG9IX8U","GSON1116150365")</f>
        <v>#NAME?</v>
      </c>
      <c r="O2481" s="28" t="e">
        <f ca="1">[1]!BexGetData("DP_1","003N8EMH8GTFRIVOG7KG9J3KE","GSON1116150365")</f>
        <v>#NAME?</v>
      </c>
      <c r="P2481" s="28" t="e">
        <f ca="1">[1]!BexGetData("DP_1","003N8EMH8GTFRIVOG7KG9J9VY","GSON1116150365")</f>
        <v>#NAME?</v>
      </c>
      <c r="Q2481" s="24" t="e">
        <f ca="1">[1]!BexGetData("DP_1","00O2TNJGODT0G5Z4TTKYMM5MT","GSON1116150365")</f>
        <v>#NAME?</v>
      </c>
      <c r="R2481" s="28" t="e">
        <f ca="1">[1]!BexGetData("DP_1","00O2TNJGODT0G5Z4TTKYMMBYD","GSON1116150365")</f>
        <v>#NAME?</v>
      </c>
      <c r="S2481" s="28" t="e">
        <f ca="1">[1]!BexGetData("DP_1","00O2TNJGODT0G5Z4TTKYMMI9X","GSON1116150365")</f>
        <v>#NAME?</v>
      </c>
      <c r="T2481" s="28" t="e">
        <f ca="1">[1]!BexGetData("DP_1","00O2TNJGODT0G5Z4TTKYMMOLH","GSON1116150365")</f>
        <v>#NAME?</v>
      </c>
      <c r="U2481" s="28" t="e">
        <f ca="1">[1]!BexGetData("DP_1","00O2TNJGODT0G5Z4TTKYMMUX1","GSON1116150365")</f>
        <v>#NAME?</v>
      </c>
      <c r="V2481" s="28" t="e">
        <f ca="1">[1]!BexGetData("DP_1","00O2TNJGODT0G5Z4TTKYMN18L","GSON1116150365")</f>
        <v>#NAME?</v>
      </c>
      <c r="W2481" s="28" t="e">
        <f ca="1">[1]!BexGetData("DP_1","00O2TNJGODT0G5Z4TTKYMN7K5","GSON1116150365")</f>
        <v>#NAME?</v>
      </c>
    </row>
    <row r="2482" spans="1:23" x14ac:dyDescent="0.2">
      <c r="A2482" s="36" t="s">
        <v>1215</v>
      </c>
      <c r="B2482" s="27" t="s">
        <v>1216</v>
      </c>
      <c r="C2482" s="23" t="e">
        <f ca="1">[1]!BexGetData("DP_1","003N8EMH8GTFRCSWKMPXRR8GU","GSON1116150440")</f>
        <v>#NAME?</v>
      </c>
      <c r="D2482" s="23" t="e">
        <f ca="1">[1]!BexGetData("DP_1","003N8EMH8GTFRCSWKMPXRRESE","GSON1116150440")</f>
        <v>#NAME?</v>
      </c>
      <c r="E2482" s="23" t="e">
        <f ca="1">[1]!BexGetData("DP_1","003N8EMH8GTFRCSWKMPXRRL3Y","GSON1116150440")</f>
        <v>#NAME?</v>
      </c>
      <c r="F2482" s="23" t="e">
        <f ca="1">[1]!BexGetData("DP_1","003N8EMH8GTFRCSWKMPXRRRFI","GSON1116150440")</f>
        <v>#NAME?</v>
      </c>
      <c r="G2482" s="23" t="e">
        <f ca="1">[1]!BexGetData("DP_1","003N8EMH8GTFRCSWKMPXRRXR2","GSON1116150440")</f>
        <v>#NAME?</v>
      </c>
      <c r="H2482" s="23" t="e">
        <f ca="1">[1]!BexGetData("DP_1","003N8EMH8GTFRCSWKMPXRS42M","GSON1116150440")</f>
        <v>#NAME?</v>
      </c>
      <c r="I2482" s="23" t="e">
        <f ca="1">[1]!BexGetData("DP_1","003N8EMH8GTFRCSWKMPXRSAE6","GSON1116150440")</f>
        <v>#NAME?</v>
      </c>
      <c r="J2482" s="23" t="e">
        <f ca="1">[1]!BexGetData("DP_1","003N8EMH8GTFRCSWKMPXRSGPQ","GSON1116150440")</f>
        <v>#NAME?</v>
      </c>
      <c r="K2482" s="23" t="e">
        <f ca="1">[1]!BexGetData("DP_1","003N8EMH8GTFRIVNUPY288VJH","GSON1116150440")</f>
        <v>#NAME?</v>
      </c>
      <c r="L2482" s="23" t="e">
        <f ca="1">[1]!BexGetData("DP_1","003N8EMH8GTFRIVNUPY2891V1","GSON1116150440")</f>
        <v>#NAME?</v>
      </c>
      <c r="M2482" s="23" t="e">
        <f ca="1">[1]!BexGetData("DP_1","003N8EMH8GTFRIVOG7KG9IQXA","GSON1116150440")</f>
        <v>#NAME?</v>
      </c>
      <c r="N2482" s="28" t="e">
        <f ca="1">[1]!BexGetData("DP_1","003N8EMH8GTFRIVOG7KG9IX8U","GSON1116150440")</f>
        <v>#NAME?</v>
      </c>
      <c r="O2482" s="23" t="e">
        <f ca="1">[1]!BexGetData("DP_1","003N8EMH8GTFRIVOG7KG9J3KE","GSON1116150440")</f>
        <v>#NAME?</v>
      </c>
      <c r="P2482" s="28" t="e">
        <f ca="1">[1]!BexGetData("DP_1","003N8EMH8GTFRIVOG7KG9J9VY","GSON1116150440")</f>
        <v>#NAME?</v>
      </c>
      <c r="Q2482" s="23" t="e">
        <f ca="1">[1]!BexGetData("DP_1","00O2TNJGODT0G5Z4TTKYMM5MT","GSON1116150440")</f>
        <v>#NAME?</v>
      </c>
      <c r="R2482" s="23" t="e">
        <f ca="1">[1]!BexGetData("DP_1","00O2TNJGODT0G5Z4TTKYMMBYD","GSON1116150440")</f>
        <v>#NAME?</v>
      </c>
      <c r="S2482" s="23" t="e">
        <f ca="1">[1]!BexGetData("DP_1","00O2TNJGODT0G5Z4TTKYMMI9X","GSON1116150440")</f>
        <v>#NAME?</v>
      </c>
      <c r="T2482" s="28" t="e">
        <f ca="1">[1]!BexGetData("DP_1","00O2TNJGODT0G5Z4TTKYMMOLH","GSON1116150440")</f>
        <v>#NAME?</v>
      </c>
      <c r="U2482" s="23" t="e">
        <f ca="1">[1]!BexGetData("DP_1","00O2TNJGODT0G5Z4TTKYMMUX1","GSON1116150440")</f>
        <v>#NAME?</v>
      </c>
      <c r="V2482" s="28" t="e">
        <f ca="1">[1]!BexGetData("DP_1","00O2TNJGODT0G5Z4TTKYMN18L","GSON1116150440")</f>
        <v>#NAME?</v>
      </c>
      <c r="W2482" s="23" t="e">
        <f ca="1">[1]!BexGetData("DP_1","00O2TNJGODT0G5Z4TTKYMN7K5","GSON1116150440")</f>
        <v>#NAME?</v>
      </c>
    </row>
    <row r="2483" spans="1:23" x14ac:dyDescent="0.2">
      <c r="A2483" s="36" t="s">
        <v>1217</v>
      </c>
      <c r="B2483" s="27" t="s">
        <v>1218</v>
      </c>
      <c r="C2483" s="23" t="e">
        <f ca="1">[1]!BexGetData("DP_1","003N8EMH8GTFRCSWKMPXRR8GU","GSON1116150441")</f>
        <v>#NAME?</v>
      </c>
      <c r="D2483" s="23" t="e">
        <f ca="1">[1]!BexGetData("DP_1","003N8EMH8GTFRCSWKMPXRRESE","GSON1116150441")</f>
        <v>#NAME?</v>
      </c>
      <c r="E2483" s="28" t="e">
        <f ca="1">[1]!BexGetData("DP_1","003N8EMH8GTFRCSWKMPXRRL3Y","GSON1116150441")</f>
        <v>#NAME?</v>
      </c>
      <c r="F2483" s="28" t="e">
        <f ca="1">[1]!BexGetData("DP_1","003N8EMH8GTFRCSWKMPXRRRFI","GSON1116150441")</f>
        <v>#NAME?</v>
      </c>
      <c r="G2483" s="23" t="e">
        <f ca="1">[1]!BexGetData("DP_1","003N8EMH8GTFRCSWKMPXRRXR2","GSON1116150441")</f>
        <v>#NAME?</v>
      </c>
      <c r="H2483" s="23" t="e">
        <f ca="1">[1]!BexGetData("DP_1","003N8EMH8GTFRCSWKMPXRS42M","GSON1116150441")</f>
        <v>#NAME?</v>
      </c>
      <c r="I2483" s="28" t="e">
        <f ca="1">[1]!BexGetData("DP_1","003N8EMH8GTFRCSWKMPXRSAE6","GSON1116150441")</f>
        <v>#NAME?</v>
      </c>
      <c r="J2483" s="24" t="e">
        <f ca="1">[1]!BexGetData("DP_1","003N8EMH8GTFRCSWKMPXRSGPQ","GSON1116150441")</f>
        <v>#NAME?</v>
      </c>
      <c r="K2483" s="28" t="e">
        <f ca="1">[1]!BexGetData("DP_1","003N8EMH8GTFRIVNUPY288VJH","GSON1116150441")</f>
        <v>#NAME?</v>
      </c>
      <c r="L2483" s="28" t="e">
        <f ca="1">[1]!BexGetData("DP_1","003N8EMH8GTFRIVNUPY2891V1","GSON1116150441")</f>
        <v>#NAME?</v>
      </c>
      <c r="M2483" s="28" t="e">
        <f ca="1">[1]!BexGetData("DP_1","003N8EMH8GTFRIVOG7KG9IQXA","GSON1116150441")</f>
        <v>#NAME?</v>
      </c>
      <c r="N2483" s="28" t="e">
        <f ca="1">[1]!BexGetData("DP_1","003N8EMH8GTFRIVOG7KG9IX8U","GSON1116150441")</f>
        <v>#NAME?</v>
      </c>
      <c r="O2483" s="28" t="e">
        <f ca="1">[1]!BexGetData("DP_1","003N8EMH8GTFRIVOG7KG9J3KE","GSON1116150441")</f>
        <v>#NAME?</v>
      </c>
      <c r="P2483" s="28" t="e">
        <f ca="1">[1]!BexGetData("DP_1","003N8EMH8GTFRIVOG7KG9J9VY","GSON1116150441")</f>
        <v>#NAME?</v>
      </c>
      <c r="Q2483" s="24" t="e">
        <f ca="1">[1]!BexGetData("DP_1","00O2TNJGODT0G5Z4TTKYMM5MT","GSON1116150441")</f>
        <v>#NAME?</v>
      </c>
      <c r="R2483" s="28" t="e">
        <f ca="1">[1]!BexGetData("DP_1","00O2TNJGODT0G5Z4TTKYMMBYD","GSON1116150441")</f>
        <v>#NAME?</v>
      </c>
      <c r="S2483" s="28" t="e">
        <f ca="1">[1]!BexGetData("DP_1","00O2TNJGODT0G5Z4TTKYMMI9X","GSON1116150441")</f>
        <v>#NAME?</v>
      </c>
      <c r="T2483" s="28" t="e">
        <f ca="1">[1]!BexGetData("DP_1","00O2TNJGODT0G5Z4TTKYMMOLH","GSON1116150441")</f>
        <v>#NAME?</v>
      </c>
      <c r="U2483" s="28" t="e">
        <f ca="1">[1]!BexGetData("DP_1","00O2TNJGODT0G5Z4TTKYMMUX1","GSON1116150441")</f>
        <v>#NAME?</v>
      </c>
      <c r="V2483" s="28" t="e">
        <f ca="1">[1]!BexGetData("DP_1","00O2TNJGODT0G5Z4TTKYMN18L","GSON1116150441")</f>
        <v>#NAME?</v>
      </c>
      <c r="W2483" s="28" t="e">
        <f ca="1">[1]!BexGetData("DP_1","00O2TNJGODT0G5Z4TTKYMN7K5","GSON1116150441")</f>
        <v>#NAME?</v>
      </c>
    </row>
    <row r="2484" spans="1:23" x14ac:dyDescent="0.2">
      <c r="A2484" s="36" t="s">
        <v>5881</v>
      </c>
      <c r="B2484" s="27" t="s">
        <v>5882</v>
      </c>
      <c r="C2484" s="23" t="e">
        <f ca="1">[1]!BexGetData("DP_1","003N8EMH8GTFRCSWKMPXRR8GU","GSON1116150443")</f>
        <v>#NAME?</v>
      </c>
      <c r="D2484" s="23" t="e">
        <f ca="1">[1]!BexGetData("DP_1","003N8EMH8GTFRCSWKMPXRRESE","GSON1116150443")</f>
        <v>#NAME?</v>
      </c>
      <c r="E2484" s="28" t="e">
        <f ca="1">[1]!BexGetData("DP_1","003N8EMH8GTFRCSWKMPXRRL3Y","GSON1116150443")</f>
        <v>#NAME?</v>
      </c>
      <c r="F2484" s="28" t="e">
        <f ca="1">[1]!BexGetData("DP_1","003N8EMH8GTFRCSWKMPXRRRFI","GSON1116150443")</f>
        <v>#NAME?</v>
      </c>
      <c r="G2484" s="23" t="e">
        <f ca="1">[1]!BexGetData("DP_1","003N8EMH8GTFRCSWKMPXRRXR2","GSON1116150443")</f>
        <v>#NAME?</v>
      </c>
      <c r="H2484" s="23" t="e">
        <f ca="1">[1]!BexGetData("DP_1","003N8EMH8GTFRCSWKMPXRS42M","GSON1116150443")</f>
        <v>#NAME?</v>
      </c>
      <c r="I2484" s="28" t="e">
        <f ca="1">[1]!BexGetData("DP_1","003N8EMH8GTFRCSWKMPXRSAE6","GSON1116150443")</f>
        <v>#NAME?</v>
      </c>
      <c r="J2484" s="24" t="e">
        <f ca="1">[1]!BexGetData("DP_1","003N8EMH8GTFRCSWKMPXRSGPQ","GSON1116150443")</f>
        <v>#NAME?</v>
      </c>
      <c r="K2484" s="28" t="e">
        <f ca="1">[1]!BexGetData("DP_1","003N8EMH8GTFRIVNUPY288VJH","GSON1116150443")</f>
        <v>#NAME?</v>
      </c>
      <c r="L2484" s="28" t="e">
        <f ca="1">[1]!BexGetData("DP_1","003N8EMH8GTFRIVNUPY2891V1","GSON1116150443")</f>
        <v>#NAME?</v>
      </c>
      <c r="M2484" s="28" t="e">
        <f ca="1">[1]!BexGetData("DP_1","003N8EMH8GTFRIVOG7KG9IQXA","GSON1116150443")</f>
        <v>#NAME?</v>
      </c>
      <c r="N2484" s="28" t="e">
        <f ca="1">[1]!BexGetData("DP_1","003N8EMH8GTFRIVOG7KG9IX8U","GSON1116150443")</f>
        <v>#NAME?</v>
      </c>
      <c r="O2484" s="28" t="e">
        <f ca="1">[1]!BexGetData("DP_1","003N8EMH8GTFRIVOG7KG9J3KE","GSON1116150443")</f>
        <v>#NAME?</v>
      </c>
      <c r="P2484" s="28" t="e">
        <f ca="1">[1]!BexGetData("DP_1","003N8EMH8GTFRIVOG7KG9J9VY","GSON1116150443")</f>
        <v>#NAME?</v>
      </c>
      <c r="Q2484" s="24" t="e">
        <f ca="1">[1]!BexGetData("DP_1","00O2TNJGODT0G5Z4TTKYMM5MT","GSON1116150443")</f>
        <v>#NAME?</v>
      </c>
      <c r="R2484" s="28" t="e">
        <f ca="1">[1]!BexGetData("DP_1","00O2TNJGODT0G5Z4TTKYMMBYD","GSON1116150443")</f>
        <v>#NAME?</v>
      </c>
      <c r="S2484" s="28" t="e">
        <f ca="1">[1]!BexGetData("DP_1","00O2TNJGODT0G5Z4TTKYMMI9X","GSON1116150443")</f>
        <v>#NAME?</v>
      </c>
      <c r="T2484" s="28" t="e">
        <f ca="1">[1]!BexGetData("DP_1","00O2TNJGODT0G5Z4TTKYMMOLH","GSON1116150443")</f>
        <v>#NAME?</v>
      </c>
      <c r="U2484" s="28" t="e">
        <f ca="1">[1]!BexGetData("DP_1","00O2TNJGODT0G5Z4TTKYMMUX1","GSON1116150443")</f>
        <v>#NAME?</v>
      </c>
      <c r="V2484" s="28" t="e">
        <f ca="1">[1]!BexGetData("DP_1","00O2TNJGODT0G5Z4TTKYMN18L","GSON1116150443")</f>
        <v>#NAME?</v>
      </c>
      <c r="W2484" s="28" t="e">
        <f ca="1">[1]!BexGetData("DP_1","00O2TNJGODT0G5Z4TTKYMN7K5","GSON1116150443")</f>
        <v>#NAME?</v>
      </c>
    </row>
    <row r="2485" spans="1:23" x14ac:dyDescent="0.2">
      <c r="A2485" s="36" t="s">
        <v>5883</v>
      </c>
      <c r="B2485" s="27" t="s">
        <v>5884</v>
      </c>
      <c r="C2485" s="24" t="e">
        <f ca="1">[1]!BexGetData("DP_1","003N8EMH8GTFRCSWKMPXRR8GU","GSON1116150444")</f>
        <v>#NAME?</v>
      </c>
      <c r="D2485" s="24" t="e">
        <f ca="1">[1]!BexGetData("DP_1","003N8EMH8GTFRCSWKMPXRRESE","GSON1116150444")</f>
        <v>#NAME?</v>
      </c>
      <c r="E2485" s="24" t="e">
        <f ca="1">[1]!BexGetData("DP_1","003N8EMH8GTFRCSWKMPXRRL3Y","GSON1116150444")</f>
        <v>#NAME?</v>
      </c>
      <c r="F2485" s="28" t="e">
        <f ca="1">[1]!BexGetData("DP_1","003N8EMH8GTFRCSWKMPXRRRFI","GSON1116150444")</f>
        <v>#NAME?</v>
      </c>
      <c r="G2485" s="23" t="e">
        <f ca="1">[1]!BexGetData("DP_1","003N8EMH8GTFRCSWKMPXRRXR2","GSON1116150444")</f>
        <v>#NAME?</v>
      </c>
      <c r="H2485" s="23" t="e">
        <f ca="1">[1]!BexGetData("DP_1","003N8EMH8GTFRCSWKMPXRS42M","GSON1116150444")</f>
        <v>#NAME?</v>
      </c>
      <c r="I2485" s="28" t="e">
        <f ca="1">[1]!BexGetData("DP_1","003N8EMH8GTFRCSWKMPXRSAE6","GSON1116150444")</f>
        <v>#NAME?</v>
      </c>
      <c r="J2485" s="24" t="e">
        <f ca="1">[1]!BexGetData("DP_1","003N8EMH8GTFRCSWKMPXRSGPQ","GSON1116150444")</f>
        <v>#NAME?</v>
      </c>
      <c r="K2485" s="28" t="e">
        <f ca="1">[1]!BexGetData("DP_1","003N8EMH8GTFRIVNUPY288VJH","GSON1116150444")</f>
        <v>#NAME?</v>
      </c>
      <c r="L2485" s="28" t="e">
        <f ca="1">[1]!BexGetData("DP_1","003N8EMH8GTFRIVNUPY2891V1","GSON1116150444")</f>
        <v>#NAME?</v>
      </c>
      <c r="M2485" s="28" t="e">
        <f ca="1">[1]!BexGetData("DP_1","003N8EMH8GTFRIVOG7KG9IQXA","GSON1116150444")</f>
        <v>#NAME?</v>
      </c>
      <c r="N2485" s="28" t="e">
        <f ca="1">[1]!BexGetData("DP_1","003N8EMH8GTFRIVOG7KG9IX8U","GSON1116150444")</f>
        <v>#NAME?</v>
      </c>
      <c r="O2485" s="28" t="e">
        <f ca="1">[1]!BexGetData("DP_1","003N8EMH8GTFRIVOG7KG9J3KE","GSON1116150444")</f>
        <v>#NAME?</v>
      </c>
      <c r="P2485" s="28" t="e">
        <f ca="1">[1]!BexGetData("DP_1","003N8EMH8GTFRIVOG7KG9J9VY","GSON1116150444")</f>
        <v>#NAME?</v>
      </c>
      <c r="Q2485" s="24" t="e">
        <f ca="1">[1]!BexGetData("DP_1","00O2TNJGODT0G5Z4TTKYMM5MT","GSON1116150444")</f>
        <v>#NAME?</v>
      </c>
      <c r="R2485" s="28" t="e">
        <f ca="1">[1]!BexGetData("DP_1","00O2TNJGODT0G5Z4TTKYMMBYD","GSON1116150444")</f>
        <v>#NAME?</v>
      </c>
      <c r="S2485" s="28" t="e">
        <f ca="1">[1]!BexGetData("DP_1","00O2TNJGODT0G5Z4TTKYMMI9X","GSON1116150444")</f>
        <v>#NAME?</v>
      </c>
      <c r="T2485" s="28" t="e">
        <f ca="1">[1]!BexGetData("DP_1","00O2TNJGODT0G5Z4TTKYMMOLH","GSON1116150444")</f>
        <v>#NAME?</v>
      </c>
      <c r="U2485" s="28" t="e">
        <f ca="1">[1]!BexGetData("DP_1","00O2TNJGODT0G5Z4TTKYMMUX1","GSON1116150444")</f>
        <v>#NAME?</v>
      </c>
      <c r="V2485" s="28" t="e">
        <f ca="1">[1]!BexGetData("DP_1","00O2TNJGODT0G5Z4TTKYMN18L","GSON1116150444")</f>
        <v>#NAME?</v>
      </c>
      <c r="W2485" s="28" t="e">
        <f ca="1">[1]!BexGetData("DP_1","00O2TNJGODT0G5Z4TTKYMN7K5","GSON1116150444")</f>
        <v>#NAME?</v>
      </c>
    </row>
    <row r="2486" spans="1:23" x14ac:dyDescent="0.2">
      <c r="A2486" s="36" t="s">
        <v>5885</v>
      </c>
      <c r="B2486" s="27" t="s">
        <v>5886</v>
      </c>
      <c r="C2486" s="23" t="e">
        <f ca="1">[1]!BexGetData("DP_1","003N8EMH8GTFRCSWKMPXRR8GU","GSON1116150445")</f>
        <v>#NAME?</v>
      </c>
      <c r="D2486" s="23" t="e">
        <f ca="1">[1]!BexGetData("DP_1","003N8EMH8GTFRCSWKMPXRRESE","GSON1116150445")</f>
        <v>#NAME?</v>
      </c>
      <c r="E2486" s="28" t="e">
        <f ca="1">[1]!BexGetData("DP_1","003N8EMH8GTFRCSWKMPXRRL3Y","GSON1116150445")</f>
        <v>#NAME?</v>
      </c>
      <c r="F2486" s="28" t="e">
        <f ca="1">[1]!BexGetData("DP_1","003N8EMH8GTFRCSWKMPXRRRFI","GSON1116150445")</f>
        <v>#NAME?</v>
      </c>
      <c r="G2486" s="23" t="e">
        <f ca="1">[1]!BexGetData("DP_1","003N8EMH8GTFRCSWKMPXRRXR2","GSON1116150445")</f>
        <v>#NAME?</v>
      </c>
      <c r="H2486" s="23" t="e">
        <f ca="1">[1]!BexGetData("DP_1","003N8EMH8GTFRCSWKMPXRS42M","GSON1116150445")</f>
        <v>#NAME?</v>
      </c>
      <c r="I2486" s="28" t="e">
        <f ca="1">[1]!BexGetData("DP_1","003N8EMH8GTFRCSWKMPXRSAE6","GSON1116150445")</f>
        <v>#NAME?</v>
      </c>
      <c r="J2486" s="24" t="e">
        <f ca="1">[1]!BexGetData("DP_1","003N8EMH8GTFRCSWKMPXRSGPQ","GSON1116150445")</f>
        <v>#NAME?</v>
      </c>
      <c r="K2486" s="28" t="e">
        <f ca="1">[1]!BexGetData("DP_1","003N8EMH8GTFRIVNUPY288VJH","GSON1116150445")</f>
        <v>#NAME?</v>
      </c>
      <c r="L2486" s="28" t="e">
        <f ca="1">[1]!BexGetData("DP_1","003N8EMH8GTFRIVNUPY2891V1","GSON1116150445")</f>
        <v>#NAME?</v>
      </c>
      <c r="M2486" s="28" t="e">
        <f ca="1">[1]!BexGetData("DP_1","003N8EMH8GTFRIVOG7KG9IQXA","GSON1116150445")</f>
        <v>#NAME?</v>
      </c>
      <c r="N2486" s="28" t="e">
        <f ca="1">[1]!BexGetData("DP_1","003N8EMH8GTFRIVOG7KG9IX8U","GSON1116150445")</f>
        <v>#NAME?</v>
      </c>
      <c r="O2486" s="28" t="e">
        <f ca="1">[1]!BexGetData("DP_1","003N8EMH8GTFRIVOG7KG9J3KE","GSON1116150445")</f>
        <v>#NAME?</v>
      </c>
      <c r="P2486" s="28" t="e">
        <f ca="1">[1]!BexGetData("DP_1","003N8EMH8GTFRIVOG7KG9J9VY","GSON1116150445")</f>
        <v>#NAME?</v>
      </c>
      <c r="Q2486" s="24" t="e">
        <f ca="1">[1]!BexGetData("DP_1","00O2TNJGODT0G5Z4TTKYMM5MT","GSON1116150445")</f>
        <v>#NAME?</v>
      </c>
      <c r="R2486" s="28" t="e">
        <f ca="1">[1]!BexGetData("DP_1","00O2TNJGODT0G5Z4TTKYMMBYD","GSON1116150445")</f>
        <v>#NAME?</v>
      </c>
      <c r="S2486" s="28" t="e">
        <f ca="1">[1]!BexGetData("DP_1","00O2TNJGODT0G5Z4TTKYMMI9X","GSON1116150445")</f>
        <v>#NAME?</v>
      </c>
      <c r="T2486" s="28" t="e">
        <f ca="1">[1]!BexGetData("DP_1","00O2TNJGODT0G5Z4TTKYMMOLH","GSON1116150445")</f>
        <v>#NAME?</v>
      </c>
      <c r="U2486" s="28" t="e">
        <f ca="1">[1]!BexGetData("DP_1","00O2TNJGODT0G5Z4TTKYMMUX1","GSON1116150445")</f>
        <v>#NAME?</v>
      </c>
      <c r="V2486" s="28" t="e">
        <f ca="1">[1]!BexGetData("DP_1","00O2TNJGODT0G5Z4TTKYMN18L","GSON1116150445")</f>
        <v>#NAME?</v>
      </c>
      <c r="W2486" s="28" t="e">
        <f ca="1">[1]!BexGetData("DP_1","00O2TNJGODT0G5Z4TTKYMN7K5","GSON1116150445")</f>
        <v>#NAME?</v>
      </c>
    </row>
    <row r="2487" spans="1:23" x14ac:dyDescent="0.2">
      <c r="A2487" s="36" t="s">
        <v>5887</v>
      </c>
      <c r="B2487" s="27" t="s">
        <v>5888</v>
      </c>
      <c r="C2487" s="23" t="e">
        <f ca="1">[1]!BexGetData("DP_1","003N8EMH8GTFRCSWKMPXRR8GU","GSON1116151193")</f>
        <v>#NAME?</v>
      </c>
      <c r="D2487" s="23" t="e">
        <f ca="1">[1]!BexGetData("DP_1","003N8EMH8GTFRCSWKMPXRRESE","GSON1116151193")</f>
        <v>#NAME?</v>
      </c>
      <c r="E2487" s="28" t="e">
        <f ca="1">[1]!BexGetData("DP_1","003N8EMH8GTFRCSWKMPXRRL3Y","GSON1116151193")</f>
        <v>#NAME?</v>
      </c>
      <c r="F2487" s="24" t="e">
        <f ca="1">[1]!BexGetData("DP_1","003N8EMH8GTFRCSWKMPXRRRFI","GSON1116151193")</f>
        <v>#NAME?</v>
      </c>
      <c r="G2487" s="24" t="e">
        <f ca="1">[1]!BexGetData("DP_1","003N8EMH8GTFRCSWKMPXRRXR2","GSON1116151193")</f>
        <v>#NAME?</v>
      </c>
      <c r="H2487" s="24" t="e">
        <f ca="1">[1]!BexGetData("DP_1","003N8EMH8GTFRCSWKMPXRS42M","GSON1116151193")</f>
        <v>#NAME?</v>
      </c>
      <c r="I2487" s="24" t="e">
        <f ca="1">[1]!BexGetData("DP_1","003N8EMH8GTFRCSWKMPXRSAE6","GSON1116151193")</f>
        <v>#NAME?</v>
      </c>
      <c r="J2487" s="24" t="e">
        <f ca="1">[1]!BexGetData("DP_1","003N8EMH8GTFRCSWKMPXRSGPQ","GSON1116151193")</f>
        <v>#NAME?</v>
      </c>
      <c r="K2487" s="28" t="e">
        <f ca="1">[1]!BexGetData("DP_1","003N8EMH8GTFRIVNUPY288VJH","GSON1116151193")</f>
        <v>#NAME?</v>
      </c>
      <c r="L2487" s="28" t="e">
        <f ca="1">[1]!BexGetData("DP_1","003N8EMH8GTFRIVNUPY2891V1","GSON1116151193")</f>
        <v>#NAME?</v>
      </c>
      <c r="M2487" s="28" t="e">
        <f ca="1">[1]!BexGetData("DP_1","003N8EMH8GTFRIVOG7KG9IQXA","GSON1116151193")</f>
        <v>#NAME?</v>
      </c>
      <c r="N2487" s="28" t="e">
        <f ca="1">[1]!BexGetData("DP_1","003N8EMH8GTFRIVOG7KG9IX8U","GSON1116151193")</f>
        <v>#NAME?</v>
      </c>
      <c r="O2487" s="28" t="e">
        <f ca="1">[1]!BexGetData("DP_1","003N8EMH8GTFRIVOG7KG9J3KE","GSON1116151193")</f>
        <v>#NAME?</v>
      </c>
      <c r="P2487" s="28" t="e">
        <f ca="1">[1]!BexGetData("DP_1","003N8EMH8GTFRIVOG7KG9J9VY","GSON1116151193")</f>
        <v>#NAME?</v>
      </c>
      <c r="Q2487" s="24" t="e">
        <f ca="1">[1]!BexGetData("DP_1","00O2TNJGODT0G5Z4TTKYMM5MT","GSON1116151193")</f>
        <v>#NAME?</v>
      </c>
      <c r="R2487" s="24" t="e">
        <f ca="1">[1]!BexGetData("DP_1","00O2TNJGODT0G5Z4TTKYMMBYD","GSON1116151193")</f>
        <v>#NAME?</v>
      </c>
      <c r="S2487" s="24" t="e">
        <f ca="1">[1]!BexGetData("DP_1","00O2TNJGODT0G5Z4TTKYMMI9X","GSON1116151193")</f>
        <v>#NAME?</v>
      </c>
      <c r="T2487" s="24" t="e">
        <f ca="1">[1]!BexGetData("DP_1","00O2TNJGODT0G5Z4TTKYMMOLH","GSON1116151193")</f>
        <v>#NAME?</v>
      </c>
      <c r="U2487" s="24" t="e">
        <f ca="1">[1]!BexGetData("DP_1","00O2TNJGODT0G5Z4TTKYMMUX1","GSON1116151193")</f>
        <v>#NAME?</v>
      </c>
      <c r="V2487" s="24" t="e">
        <f ca="1">[1]!BexGetData("DP_1","00O2TNJGODT0G5Z4TTKYMN18L","GSON1116151193")</f>
        <v>#NAME?</v>
      </c>
      <c r="W2487" s="24" t="e">
        <f ca="1">[1]!BexGetData("DP_1","00O2TNJGODT0G5Z4TTKYMN7K5","GSON1116151193")</f>
        <v>#NAME?</v>
      </c>
    </row>
    <row r="2488" spans="1:23" x14ac:dyDescent="0.2">
      <c r="A2488" s="36" t="s">
        <v>5889</v>
      </c>
      <c r="B2488" s="27" t="s">
        <v>5890</v>
      </c>
      <c r="C2488" s="23" t="e">
        <f ca="1">[1]!BexGetData("DP_1","003N8EMH8GTFRCSWKMPXRR8GU","GSON1116151470")</f>
        <v>#NAME?</v>
      </c>
      <c r="D2488" s="23" t="e">
        <f ca="1">[1]!BexGetData("DP_1","003N8EMH8GTFRCSWKMPXRRESE","GSON1116151470")</f>
        <v>#NAME?</v>
      </c>
      <c r="E2488" s="23" t="e">
        <f ca="1">[1]!BexGetData("DP_1","003N8EMH8GTFRCSWKMPXRRL3Y","GSON1116151470")</f>
        <v>#NAME?</v>
      </c>
      <c r="F2488" s="24" t="e">
        <f ca="1">[1]!BexGetData("DP_1","003N8EMH8GTFRCSWKMPXRRRFI","GSON1116151470")</f>
        <v>#NAME?</v>
      </c>
      <c r="G2488" s="24" t="e">
        <f ca="1">[1]!BexGetData("DP_1","003N8EMH8GTFRCSWKMPXRRXR2","GSON1116151470")</f>
        <v>#NAME?</v>
      </c>
      <c r="H2488" s="24" t="e">
        <f ca="1">[1]!BexGetData("DP_1","003N8EMH8GTFRCSWKMPXRS42M","GSON1116151470")</f>
        <v>#NAME?</v>
      </c>
      <c r="I2488" s="24" t="e">
        <f ca="1">[1]!BexGetData("DP_1","003N8EMH8GTFRCSWKMPXRSAE6","GSON1116151470")</f>
        <v>#NAME?</v>
      </c>
      <c r="J2488" s="24" t="e">
        <f ca="1">[1]!BexGetData("DP_1","003N8EMH8GTFRCSWKMPXRSGPQ","GSON1116151470")</f>
        <v>#NAME?</v>
      </c>
      <c r="K2488" s="23" t="e">
        <f ca="1">[1]!BexGetData("DP_1","003N8EMH8GTFRIVNUPY288VJH","GSON1116151470")</f>
        <v>#NAME?</v>
      </c>
      <c r="L2488" s="23" t="e">
        <f ca="1">[1]!BexGetData("DP_1","003N8EMH8GTFRIVNUPY2891V1","GSON1116151470")</f>
        <v>#NAME?</v>
      </c>
      <c r="M2488" s="28" t="e">
        <f ca="1">[1]!BexGetData("DP_1","003N8EMH8GTFRIVOG7KG9IQXA","GSON1116151470")</f>
        <v>#NAME?</v>
      </c>
      <c r="N2488" s="23" t="e">
        <f ca="1">[1]!BexGetData("DP_1","003N8EMH8GTFRIVOG7KG9IX8U","GSON1116151470")</f>
        <v>#NAME?</v>
      </c>
      <c r="O2488" s="28" t="e">
        <f ca="1">[1]!BexGetData("DP_1","003N8EMH8GTFRIVOG7KG9J3KE","GSON1116151470")</f>
        <v>#NAME?</v>
      </c>
      <c r="P2488" s="23" t="e">
        <f ca="1">[1]!BexGetData("DP_1","003N8EMH8GTFRIVOG7KG9J9VY","GSON1116151470")</f>
        <v>#NAME?</v>
      </c>
      <c r="Q2488" s="24" t="e">
        <f ca="1">[1]!BexGetData("DP_1","00O2TNJGODT0G5Z4TTKYMM5MT","GSON1116151470")</f>
        <v>#NAME?</v>
      </c>
      <c r="R2488" s="24" t="e">
        <f ca="1">[1]!BexGetData("DP_1","00O2TNJGODT0G5Z4TTKYMMBYD","GSON1116151470")</f>
        <v>#NAME?</v>
      </c>
      <c r="S2488" s="24" t="e">
        <f ca="1">[1]!BexGetData("DP_1","00O2TNJGODT0G5Z4TTKYMMI9X","GSON1116151470")</f>
        <v>#NAME?</v>
      </c>
      <c r="T2488" s="24" t="e">
        <f ca="1">[1]!BexGetData("DP_1","00O2TNJGODT0G5Z4TTKYMMOLH","GSON1116151470")</f>
        <v>#NAME?</v>
      </c>
      <c r="U2488" s="24" t="e">
        <f ca="1">[1]!BexGetData("DP_1","00O2TNJGODT0G5Z4TTKYMMUX1","GSON1116151470")</f>
        <v>#NAME?</v>
      </c>
      <c r="V2488" s="24" t="e">
        <f ca="1">[1]!BexGetData("DP_1","00O2TNJGODT0G5Z4TTKYMN18L","GSON1116151470")</f>
        <v>#NAME?</v>
      </c>
      <c r="W2488" s="24" t="e">
        <f ca="1">[1]!BexGetData("DP_1","00O2TNJGODT0G5Z4TTKYMN7K5","GSON1116151470")</f>
        <v>#NAME?</v>
      </c>
    </row>
    <row r="2489" spans="1:23" x14ac:dyDescent="0.2">
      <c r="A2489" s="36" t="s">
        <v>5891</v>
      </c>
      <c r="B2489" s="27" t="s">
        <v>5892</v>
      </c>
      <c r="C2489" s="23" t="e">
        <f ca="1">[1]!BexGetData("DP_1","003N8EMH8GTFRCSWKMPXRR8GU","GSON1116151471")</f>
        <v>#NAME?</v>
      </c>
      <c r="D2489" s="23" t="e">
        <f ca="1">[1]!BexGetData("DP_1","003N8EMH8GTFRCSWKMPXRRESE","GSON1116151471")</f>
        <v>#NAME?</v>
      </c>
      <c r="E2489" s="28" t="e">
        <f ca="1">[1]!BexGetData("DP_1","003N8EMH8GTFRCSWKMPXRRL3Y","GSON1116151471")</f>
        <v>#NAME?</v>
      </c>
      <c r="F2489" s="24" t="e">
        <f ca="1">[1]!BexGetData("DP_1","003N8EMH8GTFRCSWKMPXRRRFI","GSON1116151471")</f>
        <v>#NAME?</v>
      </c>
      <c r="G2489" s="24" t="e">
        <f ca="1">[1]!BexGetData("DP_1","003N8EMH8GTFRCSWKMPXRRXR2","GSON1116151471")</f>
        <v>#NAME?</v>
      </c>
      <c r="H2489" s="24" t="e">
        <f ca="1">[1]!BexGetData("DP_1","003N8EMH8GTFRCSWKMPXRS42M","GSON1116151471")</f>
        <v>#NAME?</v>
      </c>
      <c r="I2489" s="24" t="e">
        <f ca="1">[1]!BexGetData("DP_1","003N8EMH8GTFRCSWKMPXRSAE6","GSON1116151471")</f>
        <v>#NAME?</v>
      </c>
      <c r="J2489" s="24" t="e">
        <f ca="1">[1]!BexGetData("DP_1","003N8EMH8GTFRCSWKMPXRSGPQ","GSON1116151471")</f>
        <v>#NAME?</v>
      </c>
      <c r="K2489" s="28" t="e">
        <f ca="1">[1]!BexGetData("DP_1","003N8EMH8GTFRIVNUPY288VJH","GSON1116151471")</f>
        <v>#NAME?</v>
      </c>
      <c r="L2489" s="28" t="e">
        <f ca="1">[1]!BexGetData("DP_1","003N8EMH8GTFRIVNUPY2891V1","GSON1116151471")</f>
        <v>#NAME?</v>
      </c>
      <c r="M2489" s="28" t="e">
        <f ca="1">[1]!BexGetData("DP_1","003N8EMH8GTFRIVOG7KG9IQXA","GSON1116151471")</f>
        <v>#NAME?</v>
      </c>
      <c r="N2489" s="28" t="e">
        <f ca="1">[1]!BexGetData("DP_1","003N8EMH8GTFRIVOG7KG9IX8U","GSON1116151471")</f>
        <v>#NAME?</v>
      </c>
      <c r="O2489" s="28" t="e">
        <f ca="1">[1]!BexGetData("DP_1","003N8EMH8GTFRIVOG7KG9J3KE","GSON1116151471")</f>
        <v>#NAME?</v>
      </c>
      <c r="P2489" s="28" t="e">
        <f ca="1">[1]!BexGetData("DP_1","003N8EMH8GTFRIVOG7KG9J9VY","GSON1116151471")</f>
        <v>#NAME?</v>
      </c>
      <c r="Q2489" s="24" t="e">
        <f ca="1">[1]!BexGetData("DP_1","00O2TNJGODT0G5Z4TTKYMM5MT","GSON1116151471")</f>
        <v>#NAME?</v>
      </c>
      <c r="R2489" s="24" t="e">
        <f ca="1">[1]!BexGetData("DP_1","00O2TNJGODT0G5Z4TTKYMMBYD","GSON1116151471")</f>
        <v>#NAME?</v>
      </c>
      <c r="S2489" s="24" t="e">
        <f ca="1">[1]!BexGetData("DP_1","00O2TNJGODT0G5Z4TTKYMMI9X","GSON1116151471")</f>
        <v>#NAME?</v>
      </c>
      <c r="T2489" s="24" t="e">
        <f ca="1">[1]!BexGetData("DP_1","00O2TNJGODT0G5Z4TTKYMMOLH","GSON1116151471")</f>
        <v>#NAME?</v>
      </c>
      <c r="U2489" s="24" t="e">
        <f ca="1">[1]!BexGetData("DP_1","00O2TNJGODT0G5Z4TTKYMMUX1","GSON1116151471")</f>
        <v>#NAME?</v>
      </c>
      <c r="V2489" s="24" t="e">
        <f ca="1">[1]!BexGetData("DP_1","00O2TNJGODT0G5Z4TTKYMN18L","GSON1116151471")</f>
        <v>#NAME?</v>
      </c>
      <c r="W2489" s="24" t="e">
        <f ca="1">[1]!BexGetData("DP_1","00O2TNJGODT0G5Z4TTKYMN7K5","GSON1116151471")</f>
        <v>#NAME?</v>
      </c>
    </row>
    <row r="2490" spans="1:23" x14ac:dyDescent="0.2">
      <c r="A2490" s="36" t="s">
        <v>5893</v>
      </c>
      <c r="B2490" s="27" t="s">
        <v>5894</v>
      </c>
      <c r="C2490" s="23" t="e">
        <f ca="1">[1]!BexGetData("DP_1","003N8EMH8GTFRCSWKMPXRR8GU","GSON1116151473")</f>
        <v>#NAME?</v>
      </c>
      <c r="D2490" s="23" t="e">
        <f ca="1">[1]!BexGetData("DP_1","003N8EMH8GTFRCSWKMPXRRESE","GSON1116151473")</f>
        <v>#NAME?</v>
      </c>
      <c r="E2490" s="28" t="e">
        <f ca="1">[1]!BexGetData("DP_1","003N8EMH8GTFRCSWKMPXRRL3Y","GSON1116151473")</f>
        <v>#NAME?</v>
      </c>
      <c r="F2490" s="24" t="e">
        <f ca="1">[1]!BexGetData("DP_1","003N8EMH8GTFRCSWKMPXRRRFI","GSON1116151473")</f>
        <v>#NAME?</v>
      </c>
      <c r="G2490" s="24" t="e">
        <f ca="1">[1]!BexGetData("DP_1","003N8EMH8GTFRCSWKMPXRRXR2","GSON1116151473")</f>
        <v>#NAME?</v>
      </c>
      <c r="H2490" s="24" t="e">
        <f ca="1">[1]!BexGetData("DP_1","003N8EMH8GTFRCSWKMPXRS42M","GSON1116151473")</f>
        <v>#NAME?</v>
      </c>
      <c r="I2490" s="24" t="e">
        <f ca="1">[1]!BexGetData("DP_1","003N8EMH8GTFRCSWKMPXRSAE6","GSON1116151473")</f>
        <v>#NAME?</v>
      </c>
      <c r="J2490" s="24" t="e">
        <f ca="1">[1]!BexGetData("DP_1","003N8EMH8GTFRCSWKMPXRSGPQ","GSON1116151473")</f>
        <v>#NAME?</v>
      </c>
      <c r="K2490" s="28" t="e">
        <f ca="1">[1]!BexGetData("DP_1","003N8EMH8GTFRIVNUPY288VJH","GSON1116151473")</f>
        <v>#NAME?</v>
      </c>
      <c r="L2490" s="28" t="e">
        <f ca="1">[1]!BexGetData("DP_1","003N8EMH8GTFRIVNUPY2891V1","GSON1116151473")</f>
        <v>#NAME?</v>
      </c>
      <c r="M2490" s="28" t="e">
        <f ca="1">[1]!BexGetData("DP_1","003N8EMH8GTFRIVOG7KG9IQXA","GSON1116151473")</f>
        <v>#NAME?</v>
      </c>
      <c r="N2490" s="28" t="e">
        <f ca="1">[1]!BexGetData("DP_1","003N8EMH8GTFRIVOG7KG9IX8U","GSON1116151473")</f>
        <v>#NAME?</v>
      </c>
      <c r="O2490" s="28" t="e">
        <f ca="1">[1]!BexGetData("DP_1","003N8EMH8GTFRIVOG7KG9J3KE","GSON1116151473")</f>
        <v>#NAME?</v>
      </c>
      <c r="P2490" s="28" t="e">
        <f ca="1">[1]!BexGetData("DP_1","003N8EMH8GTFRIVOG7KG9J9VY","GSON1116151473")</f>
        <v>#NAME?</v>
      </c>
      <c r="Q2490" s="24" t="e">
        <f ca="1">[1]!BexGetData("DP_1","00O2TNJGODT0G5Z4TTKYMM5MT","GSON1116151473")</f>
        <v>#NAME?</v>
      </c>
      <c r="R2490" s="24" t="e">
        <f ca="1">[1]!BexGetData("DP_1","00O2TNJGODT0G5Z4TTKYMMBYD","GSON1116151473")</f>
        <v>#NAME?</v>
      </c>
      <c r="S2490" s="24" t="e">
        <f ca="1">[1]!BexGetData("DP_1","00O2TNJGODT0G5Z4TTKYMMI9X","GSON1116151473")</f>
        <v>#NAME?</v>
      </c>
      <c r="T2490" s="24" t="e">
        <f ca="1">[1]!BexGetData("DP_1","00O2TNJGODT0G5Z4TTKYMMOLH","GSON1116151473")</f>
        <v>#NAME?</v>
      </c>
      <c r="U2490" s="24" t="e">
        <f ca="1">[1]!BexGetData("DP_1","00O2TNJGODT0G5Z4TTKYMMUX1","GSON1116151473")</f>
        <v>#NAME?</v>
      </c>
      <c r="V2490" s="24" t="e">
        <f ca="1">[1]!BexGetData("DP_1","00O2TNJGODT0G5Z4TTKYMN18L","GSON1116151473")</f>
        <v>#NAME?</v>
      </c>
      <c r="W2490" s="24" t="e">
        <f ca="1">[1]!BexGetData("DP_1","00O2TNJGODT0G5Z4TTKYMN7K5","GSON1116151473")</f>
        <v>#NAME?</v>
      </c>
    </row>
    <row r="2491" spans="1:23" x14ac:dyDescent="0.2">
      <c r="A2491" s="36" t="s">
        <v>5895</v>
      </c>
      <c r="B2491" s="27" t="s">
        <v>5896</v>
      </c>
      <c r="C2491" s="23" t="e">
        <f ca="1">[1]!BexGetData("DP_1","003N8EMH8GTFRCSWKMPXRR8GU","GSON1116151474")</f>
        <v>#NAME?</v>
      </c>
      <c r="D2491" s="23" t="e">
        <f ca="1">[1]!BexGetData("DP_1","003N8EMH8GTFRCSWKMPXRRESE","GSON1116151474")</f>
        <v>#NAME?</v>
      </c>
      <c r="E2491" s="28" t="e">
        <f ca="1">[1]!BexGetData("DP_1","003N8EMH8GTFRCSWKMPXRRL3Y","GSON1116151474")</f>
        <v>#NAME?</v>
      </c>
      <c r="F2491" s="24" t="e">
        <f ca="1">[1]!BexGetData("DP_1","003N8EMH8GTFRCSWKMPXRRRFI","GSON1116151474")</f>
        <v>#NAME?</v>
      </c>
      <c r="G2491" s="24" t="e">
        <f ca="1">[1]!BexGetData("DP_1","003N8EMH8GTFRCSWKMPXRRXR2","GSON1116151474")</f>
        <v>#NAME?</v>
      </c>
      <c r="H2491" s="24" t="e">
        <f ca="1">[1]!BexGetData("DP_1","003N8EMH8GTFRCSWKMPXRS42M","GSON1116151474")</f>
        <v>#NAME?</v>
      </c>
      <c r="I2491" s="24" t="e">
        <f ca="1">[1]!BexGetData("DP_1","003N8EMH8GTFRCSWKMPXRSAE6","GSON1116151474")</f>
        <v>#NAME?</v>
      </c>
      <c r="J2491" s="24" t="e">
        <f ca="1">[1]!BexGetData("DP_1","003N8EMH8GTFRCSWKMPXRSGPQ","GSON1116151474")</f>
        <v>#NAME?</v>
      </c>
      <c r="K2491" s="28" t="e">
        <f ca="1">[1]!BexGetData("DP_1","003N8EMH8GTFRIVNUPY288VJH","GSON1116151474")</f>
        <v>#NAME?</v>
      </c>
      <c r="L2491" s="28" t="e">
        <f ca="1">[1]!BexGetData("DP_1","003N8EMH8GTFRIVNUPY2891V1","GSON1116151474")</f>
        <v>#NAME?</v>
      </c>
      <c r="M2491" s="28" t="e">
        <f ca="1">[1]!BexGetData("DP_1","003N8EMH8GTFRIVOG7KG9IQXA","GSON1116151474")</f>
        <v>#NAME?</v>
      </c>
      <c r="N2491" s="28" t="e">
        <f ca="1">[1]!BexGetData("DP_1","003N8EMH8GTFRIVOG7KG9IX8U","GSON1116151474")</f>
        <v>#NAME?</v>
      </c>
      <c r="O2491" s="28" t="e">
        <f ca="1">[1]!BexGetData("DP_1","003N8EMH8GTFRIVOG7KG9J3KE","GSON1116151474")</f>
        <v>#NAME?</v>
      </c>
      <c r="P2491" s="28" t="e">
        <f ca="1">[1]!BexGetData("DP_1","003N8EMH8GTFRIVOG7KG9J9VY","GSON1116151474")</f>
        <v>#NAME?</v>
      </c>
      <c r="Q2491" s="24" t="e">
        <f ca="1">[1]!BexGetData("DP_1","00O2TNJGODT0G5Z4TTKYMM5MT","GSON1116151474")</f>
        <v>#NAME?</v>
      </c>
      <c r="R2491" s="24" t="e">
        <f ca="1">[1]!BexGetData("DP_1","00O2TNJGODT0G5Z4TTKYMMBYD","GSON1116151474")</f>
        <v>#NAME?</v>
      </c>
      <c r="S2491" s="24" t="e">
        <f ca="1">[1]!BexGetData("DP_1","00O2TNJGODT0G5Z4TTKYMMI9X","GSON1116151474")</f>
        <v>#NAME?</v>
      </c>
      <c r="T2491" s="24" t="e">
        <f ca="1">[1]!BexGetData("DP_1","00O2TNJGODT0G5Z4TTKYMMOLH","GSON1116151474")</f>
        <v>#NAME?</v>
      </c>
      <c r="U2491" s="24" t="e">
        <f ca="1">[1]!BexGetData("DP_1","00O2TNJGODT0G5Z4TTKYMMUX1","GSON1116151474")</f>
        <v>#NAME?</v>
      </c>
      <c r="V2491" s="24" t="e">
        <f ca="1">[1]!BexGetData("DP_1","00O2TNJGODT0G5Z4TTKYMN18L","GSON1116151474")</f>
        <v>#NAME?</v>
      </c>
      <c r="W2491" s="24" t="e">
        <f ca="1">[1]!BexGetData("DP_1","00O2TNJGODT0G5Z4TTKYMN7K5","GSON1116151474")</f>
        <v>#NAME?</v>
      </c>
    </row>
    <row r="2492" spans="1:23" x14ac:dyDescent="0.2">
      <c r="A2492" s="36" t="s">
        <v>5897</v>
      </c>
      <c r="B2492" s="27" t="s">
        <v>5898</v>
      </c>
      <c r="C2492" s="23" t="e">
        <f ca="1">[1]!BexGetData("DP_1","003N8EMH8GTFRCSWKMPXRR8GU","GSON1116151475")</f>
        <v>#NAME?</v>
      </c>
      <c r="D2492" s="23" t="e">
        <f ca="1">[1]!BexGetData("DP_1","003N8EMH8GTFRCSWKMPXRRESE","GSON1116151475")</f>
        <v>#NAME?</v>
      </c>
      <c r="E2492" s="28" t="e">
        <f ca="1">[1]!BexGetData("DP_1","003N8EMH8GTFRCSWKMPXRRL3Y","GSON1116151475")</f>
        <v>#NAME?</v>
      </c>
      <c r="F2492" s="24" t="e">
        <f ca="1">[1]!BexGetData("DP_1","003N8EMH8GTFRCSWKMPXRRRFI","GSON1116151475")</f>
        <v>#NAME?</v>
      </c>
      <c r="G2492" s="24" t="e">
        <f ca="1">[1]!BexGetData("DP_1","003N8EMH8GTFRCSWKMPXRRXR2","GSON1116151475")</f>
        <v>#NAME?</v>
      </c>
      <c r="H2492" s="24" t="e">
        <f ca="1">[1]!BexGetData("DP_1","003N8EMH8GTFRCSWKMPXRS42M","GSON1116151475")</f>
        <v>#NAME?</v>
      </c>
      <c r="I2492" s="24" t="e">
        <f ca="1">[1]!BexGetData("DP_1","003N8EMH8GTFRCSWKMPXRSAE6","GSON1116151475")</f>
        <v>#NAME?</v>
      </c>
      <c r="J2492" s="24" t="e">
        <f ca="1">[1]!BexGetData("DP_1","003N8EMH8GTFRCSWKMPXRSGPQ","GSON1116151475")</f>
        <v>#NAME?</v>
      </c>
      <c r="K2492" s="28" t="e">
        <f ca="1">[1]!BexGetData("DP_1","003N8EMH8GTFRIVNUPY288VJH","GSON1116151475")</f>
        <v>#NAME?</v>
      </c>
      <c r="L2492" s="28" t="e">
        <f ca="1">[1]!BexGetData("DP_1","003N8EMH8GTFRIVNUPY2891V1","GSON1116151475")</f>
        <v>#NAME?</v>
      </c>
      <c r="M2492" s="28" t="e">
        <f ca="1">[1]!BexGetData("DP_1","003N8EMH8GTFRIVOG7KG9IQXA","GSON1116151475")</f>
        <v>#NAME?</v>
      </c>
      <c r="N2492" s="28" t="e">
        <f ca="1">[1]!BexGetData("DP_1","003N8EMH8GTFRIVOG7KG9IX8U","GSON1116151475")</f>
        <v>#NAME?</v>
      </c>
      <c r="O2492" s="28" t="e">
        <f ca="1">[1]!BexGetData("DP_1","003N8EMH8GTFRIVOG7KG9J3KE","GSON1116151475")</f>
        <v>#NAME?</v>
      </c>
      <c r="P2492" s="28" t="e">
        <f ca="1">[1]!BexGetData("DP_1","003N8EMH8GTFRIVOG7KG9J9VY","GSON1116151475")</f>
        <v>#NAME?</v>
      </c>
      <c r="Q2492" s="24" t="e">
        <f ca="1">[1]!BexGetData("DP_1","00O2TNJGODT0G5Z4TTKYMM5MT","GSON1116151475")</f>
        <v>#NAME?</v>
      </c>
      <c r="R2492" s="24" t="e">
        <f ca="1">[1]!BexGetData("DP_1","00O2TNJGODT0G5Z4TTKYMMBYD","GSON1116151475")</f>
        <v>#NAME?</v>
      </c>
      <c r="S2492" s="24" t="e">
        <f ca="1">[1]!BexGetData("DP_1","00O2TNJGODT0G5Z4TTKYMMI9X","GSON1116151475")</f>
        <v>#NAME?</v>
      </c>
      <c r="T2492" s="24" t="e">
        <f ca="1">[1]!BexGetData("DP_1","00O2TNJGODT0G5Z4TTKYMMOLH","GSON1116151475")</f>
        <v>#NAME?</v>
      </c>
      <c r="U2492" s="24" t="e">
        <f ca="1">[1]!BexGetData("DP_1","00O2TNJGODT0G5Z4TTKYMMUX1","GSON1116151475")</f>
        <v>#NAME?</v>
      </c>
      <c r="V2492" s="24" t="e">
        <f ca="1">[1]!BexGetData("DP_1","00O2TNJGODT0G5Z4TTKYMN18L","GSON1116151475")</f>
        <v>#NAME?</v>
      </c>
      <c r="W2492" s="24" t="e">
        <f ca="1">[1]!BexGetData("DP_1","00O2TNJGODT0G5Z4TTKYMN7K5","GSON1116151475")</f>
        <v>#NAME?</v>
      </c>
    </row>
    <row r="2493" spans="1:23" x14ac:dyDescent="0.2">
      <c r="A2493" s="36" t="s">
        <v>5899</v>
      </c>
      <c r="B2493" s="27" t="s">
        <v>5900</v>
      </c>
      <c r="C2493" s="23" t="e">
        <f ca="1">[1]!BexGetData("DP_1","003N8EMH8GTFRCSWKMPXRR8GU","GSON1116151480")</f>
        <v>#NAME?</v>
      </c>
      <c r="D2493" s="23" t="e">
        <f ca="1">[1]!BexGetData("DP_1","003N8EMH8GTFRCSWKMPXRRESE","GSON1116151480")</f>
        <v>#NAME?</v>
      </c>
      <c r="E2493" s="23" t="e">
        <f ca="1">[1]!BexGetData("DP_1","003N8EMH8GTFRCSWKMPXRRL3Y","GSON1116151480")</f>
        <v>#NAME?</v>
      </c>
      <c r="F2493" s="24" t="e">
        <f ca="1">[1]!BexGetData("DP_1","003N8EMH8GTFRCSWKMPXRRRFI","GSON1116151480")</f>
        <v>#NAME?</v>
      </c>
      <c r="G2493" s="24" t="e">
        <f ca="1">[1]!BexGetData("DP_1","003N8EMH8GTFRCSWKMPXRRXR2","GSON1116151480")</f>
        <v>#NAME?</v>
      </c>
      <c r="H2493" s="24" t="e">
        <f ca="1">[1]!BexGetData("DP_1","003N8EMH8GTFRCSWKMPXRS42M","GSON1116151480")</f>
        <v>#NAME?</v>
      </c>
      <c r="I2493" s="24" t="e">
        <f ca="1">[1]!BexGetData("DP_1","003N8EMH8GTFRCSWKMPXRSAE6","GSON1116151480")</f>
        <v>#NAME?</v>
      </c>
      <c r="J2493" s="24" t="e">
        <f ca="1">[1]!BexGetData("DP_1","003N8EMH8GTFRCSWKMPXRSGPQ","GSON1116151480")</f>
        <v>#NAME?</v>
      </c>
      <c r="K2493" s="23" t="e">
        <f ca="1">[1]!BexGetData("DP_1","003N8EMH8GTFRIVNUPY288VJH","GSON1116151480")</f>
        <v>#NAME?</v>
      </c>
      <c r="L2493" s="23" t="e">
        <f ca="1">[1]!BexGetData("DP_1","003N8EMH8GTFRIVNUPY2891V1","GSON1116151480")</f>
        <v>#NAME?</v>
      </c>
      <c r="M2493" s="28" t="e">
        <f ca="1">[1]!BexGetData("DP_1","003N8EMH8GTFRIVOG7KG9IQXA","GSON1116151480")</f>
        <v>#NAME?</v>
      </c>
      <c r="N2493" s="23" t="e">
        <f ca="1">[1]!BexGetData("DP_1","003N8EMH8GTFRIVOG7KG9IX8U","GSON1116151480")</f>
        <v>#NAME?</v>
      </c>
      <c r="O2493" s="28" t="e">
        <f ca="1">[1]!BexGetData("DP_1","003N8EMH8GTFRIVOG7KG9J3KE","GSON1116151480")</f>
        <v>#NAME?</v>
      </c>
      <c r="P2493" s="23" t="e">
        <f ca="1">[1]!BexGetData("DP_1","003N8EMH8GTFRIVOG7KG9J9VY","GSON1116151480")</f>
        <v>#NAME?</v>
      </c>
      <c r="Q2493" s="24" t="e">
        <f ca="1">[1]!BexGetData("DP_1","00O2TNJGODT0G5Z4TTKYMM5MT","GSON1116151480")</f>
        <v>#NAME?</v>
      </c>
      <c r="R2493" s="24" t="e">
        <f ca="1">[1]!BexGetData("DP_1","00O2TNJGODT0G5Z4TTKYMMBYD","GSON1116151480")</f>
        <v>#NAME?</v>
      </c>
      <c r="S2493" s="24" t="e">
        <f ca="1">[1]!BexGetData("DP_1","00O2TNJGODT0G5Z4TTKYMMI9X","GSON1116151480")</f>
        <v>#NAME?</v>
      </c>
      <c r="T2493" s="24" t="e">
        <f ca="1">[1]!BexGetData("DP_1","00O2TNJGODT0G5Z4TTKYMMOLH","GSON1116151480")</f>
        <v>#NAME?</v>
      </c>
      <c r="U2493" s="24" t="e">
        <f ca="1">[1]!BexGetData("DP_1","00O2TNJGODT0G5Z4TTKYMMUX1","GSON1116151480")</f>
        <v>#NAME?</v>
      </c>
      <c r="V2493" s="24" t="e">
        <f ca="1">[1]!BexGetData("DP_1","00O2TNJGODT0G5Z4TTKYMN18L","GSON1116151480")</f>
        <v>#NAME?</v>
      </c>
      <c r="W2493" s="24" t="e">
        <f ca="1">[1]!BexGetData("DP_1","00O2TNJGODT0G5Z4TTKYMN7K5","GSON1116151480")</f>
        <v>#NAME?</v>
      </c>
    </row>
    <row r="2494" spans="1:23" x14ac:dyDescent="0.2">
      <c r="A2494" s="36" t="s">
        <v>5901</v>
      </c>
      <c r="B2494" s="27" t="s">
        <v>5902</v>
      </c>
      <c r="C2494" s="23" t="e">
        <f ca="1">[1]!BexGetData("DP_1","003N8EMH8GTFRCSWKMPXRR8GU","GSON1116151481")</f>
        <v>#NAME?</v>
      </c>
      <c r="D2494" s="23" t="e">
        <f ca="1">[1]!BexGetData("DP_1","003N8EMH8GTFRCSWKMPXRRESE","GSON1116151481")</f>
        <v>#NAME?</v>
      </c>
      <c r="E2494" s="28" t="e">
        <f ca="1">[1]!BexGetData("DP_1","003N8EMH8GTFRCSWKMPXRRL3Y","GSON1116151481")</f>
        <v>#NAME?</v>
      </c>
      <c r="F2494" s="24" t="e">
        <f ca="1">[1]!BexGetData("DP_1","003N8EMH8GTFRCSWKMPXRRRFI","GSON1116151481")</f>
        <v>#NAME?</v>
      </c>
      <c r="G2494" s="24" t="e">
        <f ca="1">[1]!BexGetData("DP_1","003N8EMH8GTFRCSWKMPXRRXR2","GSON1116151481")</f>
        <v>#NAME?</v>
      </c>
      <c r="H2494" s="24" t="e">
        <f ca="1">[1]!BexGetData("DP_1","003N8EMH8GTFRCSWKMPXRS42M","GSON1116151481")</f>
        <v>#NAME?</v>
      </c>
      <c r="I2494" s="24" t="e">
        <f ca="1">[1]!BexGetData("DP_1","003N8EMH8GTFRCSWKMPXRSAE6","GSON1116151481")</f>
        <v>#NAME?</v>
      </c>
      <c r="J2494" s="24" t="e">
        <f ca="1">[1]!BexGetData("DP_1","003N8EMH8GTFRCSWKMPXRSGPQ","GSON1116151481")</f>
        <v>#NAME?</v>
      </c>
      <c r="K2494" s="28" t="e">
        <f ca="1">[1]!BexGetData("DP_1","003N8EMH8GTFRIVNUPY288VJH","GSON1116151481")</f>
        <v>#NAME?</v>
      </c>
      <c r="L2494" s="28" t="e">
        <f ca="1">[1]!BexGetData("DP_1","003N8EMH8GTFRIVNUPY2891V1","GSON1116151481")</f>
        <v>#NAME?</v>
      </c>
      <c r="M2494" s="28" t="e">
        <f ca="1">[1]!BexGetData("DP_1","003N8EMH8GTFRIVOG7KG9IQXA","GSON1116151481")</f>
        <v>#NAME?</v>
      </c>
      <c r="N2494" s="28" t="e">
        <f ca="1">[1]!BexGetData("DP_1","003N8EMH8GTFRIVOG7KG9IX8U","GSON1116151481")</f>
        <v>#NAME?</v>
      </c>
      <c r="O2494" s="28" t="e">
        <f ca="1">[1]!BexGetData("DP_1","003N8EMH8GTFRIVOG7KG9J3KE","GSON1116151481")</f>
        <v>#NAME?</v>
      </c>
      <c r="P2494" s="28" t="e">
        <f ca="1">[1]!BexGetData("DP_1","003N8EMH8GTFRIVOG7KG9J9VY","GSON1116151481")</f>
        <v>#NAME?</v>
      </c>
      <c r="Q2494" s="24" t="e">
        <f ca="1">[1]!BexGetData("DP_1","00O2TNJGODT0G5Z4TTKYMM5MT","GSON1116151481")</f>
        <v>#NAME?</v>
      </c>
      <c r="R2494" s="24" t="e">
        <f ca="1">[1]!BexGetData("DP_1","00O2TNJGODT0G5Z4TTKYMMBYD","GSON1116151481")</f>
        <v>#NAME?</v>
      </c>
      <c r="S2494" s="24" t="e">
        <f ca="1">[1]!BexGetData("DP_1","00O2TNJGODT0G5Z4TTKYMMI9X","GSON1116151481")</f>
        <v>#NAME?</v>
      </c>
      <c r="T2494" s="24" t="e">
        <f ca="1">[1]!BexGetData("DP_1","00O2TNJGODT0G5Z4TTKYMMOLH","GSON1116151481")</f>
        <v>#NAME?</v>
      </c>
      <c r="U2494" s="24" t="e">
        <f ca="1">[1]!BexGetData("DP_1","00O2TNJGODT0G5Z4TTKYMMUX1","GSON1116151481")</f>
        <v>#NAME?</v>
      </c>
      <c r="V2494" s="24" t="e">
        <f ca="1">[1]!BexGetData("DP_1","00O2TNJGODT0G5Z4TTKYMN18L","GSON1116151481")</f>
        <v>#NAME?</v>
      </c>
      <c r="W2494" s="24" t="e">
        <f ca="1">[1]!BexGetData("DP_1","00O2TNJGODT0G5Z4TTKYMN7K5","GSON1116151481")</f>
        <v>#NAME?</v>
      </c>
    </row>
    <row r="2495" spans="1:23" x14ac:dyDescent="0.2">
      <c r="A2495" s="36" t="s">
        <v>5903</v>
      </c>
      <c r="B2495" s="27" t="s">
        <v>5904</v>
      </c>
      <c r="C2495" s="23" t="e">
        <f ca="1">[1]!BexGetData("DP_1","003N8EMH8GTFRCSWKMPXRR8GU","GSON1116151483")</f>
        <v>#NAME?</v>
      </c>
      <c r="D2495" s="23" t="e">
        <f ca="1">[1]!BexGetData("DP_1","003N8EMH8GTFRCSWKMPXRRESE","GSON1116151483")</f>
        <v>#NAME?</v>
      </c>
      <c r="E2495" s="28" t="e">
        <f ca="1">[1]!BexGetData("DP_1","003N8EMH8GTFRCSWKMPXRRL3Y","GSON1116151483")</f>
        <v>#NAME?</v>
      </c>
      <c r="F2495" s="24" t="e">
        <f ca="1">[1]!BexGetData("DP_1","003N8EMH8GTFRCSWKMPXRRRFI","GSON1116151483")</f>
        <v>#NAME?</v>
      </c>
      <c r="G2495" s="24" t="e">
        <f ca="1">[1]!BexGetData("DP_1","003N8EMH8GTFRCSWKMPXRRXR2","GSON1116151483")</f>
        <v>#NAME?</v>
      </c>
      <c r="H2495" s="24" t="e">
        <f ca="1">[1]!BexGetData("DP_1","003N8EMH8GTFRCSWKMPXRS42M","GSON1116151483")</f>
        <v>#NAME?</v>
      </c>
      <c r="I2495" s="24" t="e">
        <f ca="1">[1]!BexGetData("DP_1","003N8EMH8GTFRCSWKMPXRSAE6","GSON1116151483")</f>
        <v>#NAME?</v>
      </c>
      <c r="J2495" s="24" t="e">
        <f ca="1">[1]!BexGetData("DP_1","003N8EMH8GTFRCSWKMPXRSGPQ","GSON1116151483")</f>
        <v>#NAME?</v>
      </c>
      <c r="K2495" s="28" t="e">
        <f ca="1">[1]!BexGetData("DP_1","003N8EMH8GTFRIVNUPY288VJH","GSON1116151483")</f>
        <v>#NAME?</v>
      </c>
      <c r="L2495" s="28" t="e">
        <f ca="1">[1]!BexGetData("DP_1","003N8EMH8GTFRIVNUPY2891V1","GSON1116151483")</f>
        <v>#NAME?</v>
      </c>
      <c r="M2495" s="28" t="e">
        <f ca="1">[1]!BexGetData("DP_1","003N8EMH8GTFRIVOG7KG9IQXA","GSON1116151483")</f>
        <v>#NAME?</v>
      </c>
      <c r="N2495" s="28" t="e">
        <f ca="1">[1]!BexGetData("DP_1","003N8EMH8GTFRIVOG7KG9IX8U","GSON1116151483")</f>
        <v>#NAME?</v>
      </c>
      <c r="O2495" s="28" t="e">
        <f ca="1">[1]!BexGetData("DP_1","003N8EMH8GTFRIVOG7KG9J3KE","GSON1116151483")</f>
        <v>#NAME?</v>
      </c>
      <c r="P2495" s="28" t="e">
        <f ca="1">[1]!BexGetData("DP_1","003N8EMH8GTFRIVOG7KG9J9VY","GSON1116151483")</f>
        <v>#NAME?</v>
      </c>
      <c r="Q2495" s="24" t="e">
        <f ca="1">[1]!BexGetData("DP_1","00O2TNJGODT0G5Z4TTKYMM5MT","GSON1116151483")</f>
        <v>#NAME?</v>
      </c>
      <c r="R2495" s="24" t="e">
        <f ca="1">[1]!BexGetData("DP_1","00O2TNJGODT0G5Z4TTKYMMBYD","GSON1116151483")</f>
        <v>#NAME?</v>
      </c>
      <c r="S2495" s="24" t="e">
        <f ca="1">[1]!BexGetData("DP_1","00O2TNJGODT0G5Z4TTKYMMI9X","GSON1116151483")</f>
        <v>#NAME?</v>
      </c>
      <c r="T2495" s="24" t="e">
        <f ca="1">[1]!BexGetData("DP_1","00O2TNJGODT0G5Z4TTKYMMOLH","GSON1116151483")</f>
        <v>#NAME?</v>
      </c>
      <c r="U2495" s="24" t="e">
        <f ca="1">[1]!BexGetData("DP_1","00O2TNJGODT0G5Z4TTKYMMUX1","GSON1116151483")</f>
        <v>#NAME?</v>
      </c>
      <c r="V2495" s="24" t="e">
        <f ca="1">[1]!BexGetData("DP_1","00O2TNJGODT0G5Z4TTKYMN18L","GSON1116151483")</f>
        <v>#NAME?</v>
      </c>
      <c r="W2495" s="24" t="e">
        <f ca="1">[1]!BexGetData("DP_1","00O2TNJGODT0G5Z4TTKYMN7K5","GSON1116151483")</f>
        <v>#NAME?</v>
      </c>
    </row>
    <row r="2496" spans="1:23" x14ac:dyDescent="0.2">
      <c r="A2496" s="36" t="s">
        <v>5905</v>
      </c>
      <c r="B2496" s="27" t="s">
        <v>5906</v>
      </c>
      <c r="C2496" s="23" t="e">
        <f ca="1">[1]!BexGetData("DP_1","003N8EMH8GTFRCSWKMPXRR8GU","GSON1116151484")</f>
        <v>#NAME?</v>
      </c>
      <c r="D2496" s="23" t="e">
        <f ca="1">[1]!BexGetData("DP_1","003N8EMH8GTFRCSWKMPXRRESE","GSON1116151484")</f>
        <v>#NAME?</v>
      </c>
      <c r="E2496" s="28" t="e">
        <f ca="1">[1]!BexGetData("DP_1","003N8EMH8GTFRCSWKMPXRRL3Y","GSON1116151484")</f>
        <v>#NAME?</v>
      </c>
      <c r="F2496" s="24" t="e">
        <f ca="1">[1]!BexGetData("DP_1","003N8EMH8GTFRCSWKMPXRRRFI","GSON1116151484")</f>
        <v>#NAME?</v>
      </c>
      <c r="G2496" s="24" t="e">
        <f ca="1">[1]!BexGetData("DP_1","003N8EMH8GTFRCSWKMPXRRXR2","GSON1116151484")</f>
        <v>#NAME?</v>
      </c>
      <c r="H2496" s="24" t="e">
        <f ca="1">[1]!BexGetData("DP_1","003N8EMH8GTFRCSWKMPXRS42M","GSON1116151484")</f>
        <v>#NAME?</v>
      </c>
      <c r="I2496" s="24" t="e">
        <f ca="1">[1]!BexGetData("DP_1","003N8EMH8GTFRCSWKMPXRSAE6","GSON1116151484")</f>
        <v>#NAME?</v>
      </c>
      <c r="J2496" s="24" t="e">
        <f ca="1">[1]!BexGetData("DP_1","003N8EMH8GTFRCSWKMPXRSGPQ","GSON1116151484")</f>
        <v>#NAME?</v>
      </c>
      <c r="K2496" s="28" t="e">
        <f ca="1">[1]!BexGetData("DP_1","003N8EMH8GTFRIVNUPY288VJH","GSON1116151484")</f>
        <v>#NAME?</v>
      </c>
      <c r="L2496" s="28" t="e">
        <f ca="1">[1]!BexGetData("DP_1","003N8EMH8GTFRIVNUPY2891V1","GSON1116151484")</f>
        <v>#NAME?</v>
      </c>
      <c r="M2496" s="28" t="e">
        <f ca="1">[1]!BexGetData("DP_1","003N8EMH8GTFRIVOG7KG9IQXA","GSON1116151484")</f>
        <v>#NAME?</v>
      </c>
      <c r="N2496" s="28" t="e">
        <f ca="1">[1]!BexGetData("DP_1","003N8EMH8GTFRIVOG7KG9IX8U","GSON1116151484")</f>
        <v>#NAME?</v>
      </c>
      <c r="O2496" s="28" t="e">
        <f ca="1">[1]!BexGetData("DP_1","003N8EMH8GTFRIVOG7KG9J3KE","GSON1116151484")</f>
        <v>#NAME?</v>
      </c>
      <c r="P2496" s="28" t="e">
        <f ca="1">[1]!BexGetData("DP_1","003N8EMH8GTFRIVOG7KG9J9VY","GSON1116151484")</f>
        <v>#NAME?</v>
      </c>
      <c r="Q2496" s="24" t="e">
        <f ca="1">[1]!BexGetData("DP_1","00O2TNJGODT0G5Z4TTKYMM5MT","GSON1116151484")</f>
        <v>#NAME?</v>
      </c>
      <c r="R2496" s="24" t="e">
        <f ca="1">[1]!BexGetData("DP_1","00O2TNJGODT0G5Z4TTKYMMBYD","GSON1116151484")</f>
        <v>#NAME?</v>
      </c>
      <c r="S2496" s="24" t="e">
        <f ca="1">[1]!BexGetData("DP_1","00O2TNJGODT0G5Z4TTKYMMI9X","GSON1116151484")</f>
        <v>#NAME?</v>
      </c>
      <c r="T2496" s="24" t="e">
        <f ca="1">[1]!BexGetData("DP_1","00O2TNJGODT0G5Z4TTKYMMOLH","GSON1116151484")</f>
        <v>#NAME?</v>
      </c>
      <c r="U2496" s="24" t="e">
        <f ca="1">[1]!BexGetData("DP_1","00O2TNJGODT0G5Z4TTKYMMUX1","GSON1116151484")</f>
        <v>#NAME?</v>
      </c>
      <c r="V2496" s="24" t="e">
        <f ca="1">[1]!BexGetData("DP_1","00O2TNJGODT0G5Z4TTKYMN18L","GSON1116151484")</f>
        <v>#NAME?</v>
      </c>
      <c r="W2496" s="24" t="e">
        <f ca="1">[1]!BexGetData("DP_1","00O2TNJGODT0G5Z4TTKYMN7K5","GSON1116151484")</f>
        <v>#NAME?</v>
      </c>
    </row>
    <row r="2497" spans="1:23" x14ac:dyDescent="0.2">
      <c r="A2497" s="36" t="s">
        <v>5907</v>
      </c>
      <c r="B2497" s="27" t="s">
        <v>5908</v>
      </c>
      <c r="C2497" s="23" t="e">
        <f ca="1">[1]!BexGetData("DP_1","003N8EMH8GTFRCSWKMPXRR8GU","GSON1116151485")</f>
        <v>#NAME?</v>
      </c>
      <c r="D2497" s="23" t="e">
        <f ca="1">[1]!BexGetData("DP_1","003N8EMH8GTFRCSWKMPXRRESE","GSON1116151485")</f>
        <v>#NAME?</v>
      </c>
      <c r="E2497" s="28" t="e">
        <f ca="1">[1]!BexGetData("DP_1","003N8EMH8GTFRCSWKMPXRRL3Y","GSON1116151485")</f>
        <v>#NAME?</v>
      </c>
      <c r="F2497" s="24" t="e">
        <f ca="1">[1]!BexGetData("DP_1","003N8EMH8GTFRCSWKMPXRRRFI","GSON1116151485")</f>
        <v>#NAME?</v>
      </c>
      <c r="G2497" s="24" t="e">
        <f ca="1">[1]!BexGetData("DP_1","003N8EMH8GTFRCSWKMPXRRXR2","GSON1116151485")</f>
        <v>#NAME?</v>
      </c>
      <c r="H2497" s="24" t="e">
        <f ca="1">[1]!BexGetData("DP_1","003N8EMH8GTFRCSWKMPXRS42M","GSON1116151485")</f>
        <v>#NAME?</v>
      </c>
      <c r="I2497" s="24" t="e">
        <f ca="1">[1]!BexGetData("DP_1","003N8EMH8GTFRCSWKMPXRSAE6","GSON1116151485")</f>
        <v>#NAME?</v>
      </c>
      <c r="J2497" s="24" t="e">
        <f ca="1">[1]!BexGetData("DP_1","003N8EMH8GTFRCSWKMPXRSGPQ","GSON1116151485")</f>
        <v>#NAME?</v>
      </c>
      <c r="K2497" s="28" t="e">
        <f ca="1">[1]!BexGetData("DP_1","003N8EMH8GTFRIVNUPY288VJH","GSON1116151485")</f>
        <v>#NAME?</v>
      </c>
      <c r="L2497" s="28" t="e">
        <f ca="1">[1]!BexGetData("DP_1","003N8EMH8GTFRIVNUPY2891V1","GSON1116151485")</f>
        <v>#NAME?</v>
      </c>
      <c r="M2497" s="28" t="e">
        <f ca="1">[1]!BexGetData("DP_1","003N8EMH8GTFRIVOG7KG9IQXA","GSON1116151485")</f>
        <v>#NAME?</v>
      </c>
      <c r="N2497" s="28" t="e">
        <f ca="1">[1]!BexGetData("DP_1","003N8EMH8GTFRIVOG7KG9IX8U","GSON1116151485")</f>
        <v>#NAME?</v>
      </c>
      <c r="O2497" s="28" t="e">
        <f ca="1">[1]!BexGetData("DP_1","003N8EMH8GTFRIVOG7KG9J3KE","GSON1116151485")</f>
        <v>#NAME?</v>
      </c>
      <c r="P2497" s="28" t="e">
        <f ca="1">[1]!BexGetData("DP_1","003N8EMH8GTFRIVOG7KG9J9VY","GSON1116151485")</f>
        <v>#NAME?</v>
      </c>
      <c r="Q2497" s="24" t="e">
        <f ca="1">[1]!BexGetData("DP_1","00O2TNJGODT0G5Z4TTKYMM5MT","GSON1116151485")</f>
        <v>#NAME?</v>
      </c>
      <c r="R2497" s="24" t="e">
        <f ca="1">[1]!BexGetData("DP_1","00O2TNJGODT0G5Z4TTKYMMBYD","GSON1116151485")</f>
        <v>#NAME?</v>
      </c>
      <c r="S2497" s="24" t="e">
        <f ca="1">[1]!BexGetData("DP_1","00O2TNJGODT0G5Z4TTKYMMI9X","GSON1116151485")</f>
        <v>#NAME?</v>
      </c>
      <c r="T2497" s="24" t="e">
        <f ca="1">[1]!BexGetData("DP_1","00O2TNJGODT0G5Z4TTKYMMOLH","GSON1116151485")</f>
        <v>#NAME?</v>
      </c>
      <c r="U2497" s="24" t="e">
        <f ca="1">[1]!BexGetData("DP_1","00O2TNJGODT0G5Z4TTKYMMUX1","GSON1116151485")</f>
        <v>#NAME?</v>
      </c>
      <c r="V2497" s="24" t="e">
        <f ca="1">[1]!BexGetData("DP_1","00O2TNJGODT0G5Z4TTKYMN18L","GSON1116151485")</f>
        <v>#NAME?</v>
      </c>
      <c r="W2497" s="24" t="e">
        <f ca="1">[1]!BexGetData("DP_1","00O2TNJGODT0G5Z4TTKYMN7K5","GSON1116151485")</f>
        <v>#NAME?</v>
      </c>
    </row>
    <row r="2498" spans="1:23" x14ac:dyDescent="0.2">
      <c r="A2498" s="36" t="s">
        <v>5909</v>
      </c>
      <c r="B2498" s="27" t="s">
        <v>5910</v>
      </c>
      <c r="C2498" s="23" t="e">
        <f ca="1">[1]!BexGetData("DP_1","003N8EMH8GTFRCSWKMPXRR8GU","GSON1116151610")</f>
        <v>#NAME?</v>
      </c>
      <c r="D2498" s="23" t="e">
        <f ca="1">[1]!BexGetData("DP_1","003N8EMH8GTFRCSWKMPXRRESE","GSON1116151610")</f>
        <v>#NAME?</v>
      </c>
      <c r="E2498" s="28" t="e">
        <f ca="1">[1]!BexGetData("DP_1","003N8EMH8GTFRCSWKMPXRRL3Y","GSON1116151610")</f>
        <v>#NAME?</v>
      </c>
      <c r="F2498" s="24" t="e">
        <f ca="1">[1]!BexGetData("DP_1","003N8EMH8GTFRCSWKMPXRRRFI","GSON1116151610")</f>
        <v>#NAME?</v>
      </c>
      <c r="G2498" s="24" t="e">
        <f ca="1">[1]!BexGetData("DP_1","003N8EMH8GTFRCSWKMPXRRXR2","GSON1116151610")</f>
        <v>#NAME?</v>
      </c>
      <c r="H2498" s="24" t="e">
        <f ca="1">[1]!BexGetData("DP_1","003N8EMH8GTFRCSWKMPXRS42M","GSON1116151610")</f>
        <v>#NAME?</v>
      </c>
      <c r="I2498" s="24" t="e">
        <f ca="1">[1]!BexGetData("DP_1","003N8EMH8GTFRCSWKMPXRSAE6","GSON1116151610")</f>
        <v>#NAME?</v>
      </c>
      <c r="J2498" s="24" t="e">
        <f ca="1">[1]!BexGetData("DP_1","003N8EMH8GTFRCSWKMPXRSGPQ","GSON1116151610")</f>
        <v>#NAME?</v>
      </c>
      <c r="K2498" s="28" t="e">
        <f ca="1">[1]!BexGetData("DP_1","003N8EMH8GTFRIVNUPY288VJH","GSON1116151610")</f>
        <v>#NAME?</v>
      </c>
      <c r="L2498" s="28" t="e">
        <f ca="1">[1]!BexGetData("DP_1","003N8EMH8GTFRIVNUPY2891V1","GSON1116151610")</f>
        <v>#NAME?</v>
      </c>
      <c r="M2498" s="28" t="e">
        <f ca="1">[1]!BexGetData("DP_1","003N8EMH8GTFRIVOG7KG9IQXA","GSON1116151610")</f>
        <v>#NAME?</v>
      </c>
      <c r="N2498" s="28" t="e">
        <f ca="1">[1]!BexGetData("DP_1","003N8EMH8GTFRIVOG7KG9IX8U","GSON1116151610")</f>
        <v>#NAME?</v>
      </c>
      <c r="O2498" s="28" t="e">
        <f ca="1">[1]!BexGetData("DP_1","003N8EMH8GTFRIVOG7KG9J3KE","GSON1116151610")</f>
        <v>#NAME?</v>
      </c>
      <c r="P2498" s="28" t="e">
        <f ca="1">[1]!BexGetData("DP_1","003N8EMH8GTFRIVOG7KG9J9VY","GSON1116151610")</f>
        <v>#NAME?</v>
      </c>
      <c r="Q2498" s="24" t="e">
        <f ca="1">[1]!BexGetData("DP_1","00O2TNJGODT0G5Z4TTKYMM5MT","GSON1116151610")</f>
        <v>#NAME?</v>
      </c>
      <c r="R2498" s="24" t="e">
        <f ca="1">[1]!BexGetData("DP_1","00O2TNJGODT0G5Z4TTKYMMBYD","GSON1116151610")</f>
        <v>#NAME?</v>
      </c>
      <c r="S2498" s="24" t="e">
        <f ca="1">[1]!BexGetData("DP_1","00O2TNJGODT0G5Z4TTKYMMI9X","GSON1116151610")</f>
        <v>#NAME?</v>
      </c>
      <c r="T2498" s="24" t="e">
        <f ca="1">[1]!BexGetData("DP_1","00O2TNJGODT0G5Z4TTKYMMOLH","GSON1116151610")</f>
        <v>#NAME?</v>
      </c>
      <c r="U2498" s="24" t="e">
        <f ca="1">[1]!BexGetData("DP_1","00O2TNJGODT0G5Z4TTKYMMUX1","GSON1116151610")</f>
        <v>#NAME?</v>
      </c>
      <c r="V2498" s="24" t="e">
        <f ca="1">[1]!BexGetData("DP_1","00O2TNJGODT0G5Z4TTKYMN18L","GSON1116151610")</f>
        <v>#NAME?</v>
      </c>
      <c r="W2498" s="24" t="e">
        <f ca="1">[1]!BexGetData("DP_1","00O2TNJGODT0G5Z4TTKYMN7K5","GSON1116151610")</f>
        <v>#NAME?</v>
      </c>
    </row>
    <row r="2499" spans="1:23" x14ac:dyDescent="0.2">
      <c r="A2499" s="36" t="s">
        <v>5911</v>
      </c>
      <c r="B2499" s="27" t="s">
        <v>5912</v>
      </c>
      <c r="C2499" s="23" t="e">
        <f ca="1">[1]!BexGetData("DP_1","003N8EMH8GTFRCSWKMPXRR8GU","GSON1116151611")</f>
        <v>#NAME?</v>
      </c>
      <c r="D2499" s="23" t="e">
        <f ca="1">[1]!BexGetData("DP_1","003N8EMH8GTFRCSWKMPXRRESE","GSON1116151611")</f>
        <v>#NAME?</v>
      </c>
      <c r="E2499" s="28" t="e">
        <f ca="1">[1]!BexGetData("DP_1","003N8EMH8GTFRCSWKMPXRRL3Y","GSON1116151611")</f>
        <v>#NAME?</v>
      </c>
      <c r="F2499" s="24" t="e">
        <f ca="1">[1]!BexGetData("DP_1","003N8EMH8GTFRCSWKMPXRRRFI","GSON1116151611")</f>
        <v>#NAME?</v>
      </c>
      <c r="G2499" s="24" t="e">
        <f ca="1">[1]!BexGetData("DP_1","003N8EMH8GTFRCSWKMPXRRXR2","GSON1116151611")</f>
        <v>#NAME?</v>
      </c>
      <c r="H2499" s="24" t="e">
        <f ca="1">[1]!BexGetData("DP_1","003N8EMH8GTFRCSWKMPXRS42M","GSON1116151611")</f>
        <v>#NAME?</v>
      </c>
      <c r="I2499" s="24" t="e">
        <f ca="1">[1]!BexGetData("DP_1","003N8EMH8GTFRCSWKMPXRSAE6","GSON1116151611")</f>
        <v>#NAME?</v>
      </c>
      <c r="J2499" s="24" t="e">
        <f ca="1">[1]!BexGetData("DP_1","003N8EMH8GTFRCSWKMPXRSGPQ","GSON1116151611")</f>
        <v>#NAME?</v>
      </c>
      <c r="K2499" s="28" t="e">
        <f ca="1">[1]!BexGetData("DP_1","003N8EMH8GTFRIVNUPY288VJH","GSON1116151611")</f>
        <v>#NAME?</v>
      </c>
      <c r="L2499" s="28" t="e">
        <f ca="1">[1]!BexGetData("DP_1","003N8EMH8GTFRIVNUPY2891V1","GSON1116151611")</f>
        <v>#NAME?</v>
      </c>
      <c r="M2499" s="28" t="e">
        <f ca="1">[1]!BexGetData("DP_1","003N8EMH8GTFRIVOG7KG9IQXA","GSON1116151611")</f>
        <v>#NAME?</v>
      </c>
      <c r="N2499" s="28" t="e">
        <f ca="1">[1]!BexGetData("DP_1","003N8EMH8GTFRIVOG7KG9IX8U","GSON1116151611")</f>
        <v>#NAME?</v>
      </c>
      <c r="O2499" s="28" t="e">
        <f ca="1">[1]!BexGetData("DP_1","003N8EMH8GTFRIVOG7KG9J3KE","GSON1116151611")</f>
        <v>#NAME?</v>
      </c>
      <c r="P2499" s="28" t="e">
        <f ca="1">[1]!BexGetData("DP_1","003N8EMH8GTFRIVOG7KG9J9VY","GSON1116151611")</f>
        <v>#NAME?</v>
      </c>
      <c r="Q2499" s="24" t="e">
        <f ca="1">[1]!BexGetData("DP_1","00O2TNJGODT0G5Z4TTKYMM5MT","GSON1116151611")</f>
        <v>#NAME?</v>
      </c>
      <c r="R2499" s="24" t="e">
        <f ca="1">[1]!BexGetData("DP_1","00O2TNJGODT0G5Z4TTKYMMBYD","GSON1116151611")</f>
        <v>#NAME?</v>
      </c>
      <c r="S2499" s="24" t="e">
        <f ca="1">[1]!BexGetData("DP_1","00O2TNJGODT0G5Z4TTKYMMI9X","GSON1116151611")</f>
        <v>#NAME?</v>
      </c>
      <c r="T2499" s="24" t="e">
        <f ca="1">[1]!BexGetData("DP_1","00O2TNJGODT0G5Z4TTKYMMOLH","GSON1116151611")</f>
        <v>#NAME?</v>
      </c>
      <c r="U2499" s="24" t="e">
        <f ca="1">[1]!BexGetData("DP_1","00O2TNJGODT0G5Z4TTKYMMUX1","GSON1116151611")</f>
        <v>#NAME?</v>
      </c>
      <c r="V2499" s="24" t="e">
        <f ca="1">[1]!BexGetData("DP_1","00O2TNJGODT0G5Z4TTKYMN18L","GSON1116151611")</f>
        <v>#NAME?</v>
      </c>
      <c r="W2499" s="24" t="e">
        <f ca="1">[1]!BexGetData("DP_1","00O2TNJGODT0G5Z4TTKYMN7K5","GSON1116151611")</f>
        <v>#NAME?</v>
      </c>
    </row>
    <row r="2500" spans="1:23" x14ac:dyDescent="0.2">
      <c r="A2500" s="36" t="s">
        <v>5913</v>
      </c>
      <c r="B2500" s="27" t="s">
        <v>5914</v>
      </c>
      <c r="C2500" s="23" t="e">
        <f ca="1">[1]!BexGetData("DP_1","003N8EMH8GTFRCSWKMPXRR8GU","GSON1116151613")</f>
        <v>#NAME?</v>
      </c>
      <c r="D2500" s="23" t="e">
        <f ca="1">[1]!BexGetData("DP_1","003N8EMH8GTFRCSWKMPXRRESE","GSON1116151613")</f>
        <v>#NAME?</v>
      </c>
      <c r="E2500" s="28" t="e">
        <f ca="1">[1]!BexGetData("DP_1","003N8EMH8GTFRCSWKMPXRRL3Y","GSON1116151613")</f>
        <v>#NAME?</v>
      </c>
      <c r="F2500" s="24" t="e">
        <f ca="1">[1]!BexGetData("DP_1","003N8EMH8GTFRCSWKMPXRRRFI","GSON1116151613")</f>
        <v>#NAME?</v>
      </c>
      <c r="G2500" s="24" t="e">
        <f ca="1">[1]!BexGetData("DP_1","003N8EMH8GTFRCSWKMPXRRXR2","GSON1116151613")</f>
        <v>#NAME?</v>
      </c>
      <c r="H2500" s="24" t="e">
        <f ca="1">[1]!BexGetData("DP_1","003N8EMH8GTFRCSWKMPXRS42M","GSON1116151613")</f>
        <v>#NAME?</v>
      </c>
      <c r="I2500" s="24" t="e">
        <f ca="1">[1]!BexGetData("DP_1","003N8EMH8GTFRCSWKMPXRSAE6","GSON1116151613")</f>
        <v>#NAME?</v>
      </c>
      <c r="J2500" s="24" t="e">
        <f ca="1">[1]!BexGetData("DP_1","003N8EMH8GTFRCSWKMPXRSGPQ","GSON1116151613")</f>
        <v>#NAME?</v>
      </c>
      <c r="K2500" s="28" t="e">
        <f ca="1">[1]!BexGetData("DP_1","003N8EMH8GTFRIVNUPY288VJH","GSON1116151613")</f>
        <v>#NAME?</v>
      </c>
      <c r="L2500" s="28" t="e">
        <f ca="1">[1]!BexGetData("DP_1","003N8EMH8GTFRIVNUPY2891V1","GSON1116151613")</f>
        <v>#NAME?</v>
      </c>
      <c r="M2500" s="28" t="e">
        <f ca="1">[1]!BexGetData("DP_1","003N8EMH8GTFRIVOG7KG9IQXA","GSON1116151613")</f>
        <v>#NAME?</v>
      </c>
      <c r="N2500" s="28" t="e">
        <f ca="1">[1]!BexGetData("DP_1","003N8EMH8GTFRIVOG7KG9IX8U","GSON1116151613")</f>
        <v>#NAME?</v>
      </c>
      <c r="O2500" s="28" t="e">
        <f ca="1">[1]!BexGetData("DP_1","003N8EMH8GTFRIVOG7KG9J3KE","GSON1116151613")</f>
        <v>#NAME?</v>
      </c>
      <c r="P2500" s="28" t="e">
        <f ca="1">[1]!BexGetData("DP_1","003N8EMH8GTFRIVOG7KG9J9VY","GSON1116151613")</f>
        <v>#NAME?</v>
      </c>
      <c r="Q2500" s="24" t="e">
        <f ca="1">[1]!BexGetData("DP_1","00O2TNJGODT0G5Z4TTKYMM5MT","GSON1116151613")</f>
        <v>#NAME?</v>
      </c>
      <c r="R2500" s="24" t="e">
        <f ca="1">[1]!BexGetData("DP_1","00O2TNJGODT0G5Z4TTKYMMBYD","GSON1116151613")</f>
        <v>#NAME?</v>
      </c>
      <c r="S2500" s="24" t="e">
        <f ca="1">[1]!BexGetData("DP_1","00O2TNJGODT0G5Z4TTKYMMI9X","GSON1116151613")</f>
        <v>#NAME?</v>
      </c>
      <c r="T2500" s="24" t="e">
        <f ca="1">[1]!BexGetData("DP_1","00O2TNJGODT0G5Z4TTKYMMOLH","GSON1116151613")</f>
        <v>#NAME?</v>
      </c>
      <c r="U2500" s="24" t="e">
        <f ca="1">[1]!BexGetData("DP_1","00O2TNJGODT0G5Z4TTKYMMUX1","GSON1116151613")</f>
        <v>#NAME?</v>
      </c>
      <c r="V2500" s="24" t="e">
        <f ca="1">[1]!BexGetData("DP_1","00O2TNJGODT0G5Z4TTKYMN18L","GSON1116151613")</f>
        <v>#NAME?</v>
      </c>
      <c r="W2500" s="24" t="e">
        <f ca="1">[1]!BexGetData("DP_1","00O2TNJGODT0G5Z4TTKYMN7K5","GSON1116151613")</f>
        <v>#NAME?</v>
      </c>
    </row>
    <row r="2501" spans="1:23" x14ac:dyDescent="0.2">
      <c r="A2501" s="36" t="s">
        <v>5915</v>
      </c>
      <c r="B2501" s="27" t="s">
        <v>5916</v>
      </c>
      <c r="C2501" s="23" t="e">
        <f ca="1">[1]!BexGetData("DP_1","003N8EMH8GTFRCSWKMPXRR8GU","GSON1116151614")</f>
        <v>#NAME?</v>
      </c>
      <c r="D2501" s="23" t="e">
        <f ca="1">[1]!BexGetData("DP_1","003N8EMH8GTFRCSWKMPXRRESE","GSON1116151614")</f>
        <v>#NAME?</v>
      </c>
      <c r="E2501" s="28" t="e">
        <f ca="1">[1]!BexGetData("DP_1","003N8EMH8GTFRCSWKMPXRRL3Y","GSON1116151614")</f>
        <v>#NAME?</v>
      </c>
      <c r="F2501" s="24" t="e">
        <f ca="1">[1]!BexGetData("DP_1","003N8EMH8GTFRCSWKMPXRRRFI","GSON1116151614")</f>
        <v>#NAME?</v>
      </c>
      <c r="G2501" s="24" t="e">
        <f ca="1">[1]!BexGetData("DP_1","003N8EMH8GTFRCSWKMPXRRXR2","GSON1116151614")</f>
        <v>#NAME?</v>
      </c>
      <c r="H2501" s="24" t="e">
        <f ca="1">[1]!BexGetData("DP_1","003N8EMH8GTFRCSWKMPXRS42M","GSON1116151614")</f>
        <v>#NAME?</v>
      </c>
      <c r="I2501" s="24" t="e">
        <f ca="1">[1]!BexGetData("DP_1","003N8EMH8GTFRCSWKMPXRSAE6","GSON1116151614")</f>
        <v>#NAME?</v>
      </c>
      <c r="J2501" s="24" t="e">
        <f ca="1">[1]!BexGetData("DP_1","003N8EMH8GTFRCSWKMPXRSGPQ","GSON1116151614")</f>
        <v>#NAME?</v>
      </c>
      <c r="K2501" s="28" t="e">
        <f ca="1">[1]!BexGetData("DP_1","003N8EMH8GTFRIVNUPY288VJH","GSON1116151614")</f>
        <v>#NAME?</v>
      </c>
      <c r="L2501" s="28" t="e">
        <f ca="1">[1]!BexGetData("DP_1","003N8EMH8GTFRIVNUPY2891V1","GSON1116151614")</f>
        <v>#NAME?</v>
      </c>
      <c r="M2501" s="28" t="e">
        <f ca="1">[1]!BexGetData("DP_1","003N8EMH8GTFRIVOG7KG9IQXA","GSON1116151614")</f>
        <v>#NAME?</v>
      </c>
      <c r="N2501" s="28" t="e">
        <f ca="1">[1]!BexGetData("DP_1","003N8EMH8GTFRIVOG7KG9IX8U","GSON1116151614")</f>
        <v>#NAME?</v>
      </c>
      <c r="O2501" s="28" t="e">
        <f ca="1">[1]!BexGetData("DP_1","003N8EMH8GTFRIVOG7KG9J3KE","GSON1116151614")</f>
        <v>#NAME?</v>
      </c>
      <c r="P2501" s="28" t="e">
        <f ca="1">[1]!BexGetData("DP_1","003N8EMH8GTFRIVOG7KG9J9VY","GSON1116151614")</f>
        <v>#NAME?</v>
      </c>
      <c r="Q2501" s="24" t="e">
        <f ca="1">[1]!BexGetData("DP_1","00O2TNJGODT0G5Z4TTKYMM5MT","GSON1116151614")</f>
        <v>#NAME?</v>
      </c>
      <c r="R2501" s="24" t="e">
        <f ca="1">[1]!BexGetData("DP_1","00O2TNJGODT0G5Z4TTKYMMBYD","GSON1116151614")</f>
        <v>#NAME?</v>
      </c>
      <c r="S2501" s="24" t="e">
        <f ca="1">[1]!BexGetData("DP_1","00O2TNJGODT0G5Z4TTKYMMI9X","GSON1116151614")</f>
        <v>#NAME?</v>
      </c>
      <c r="T2501" s="24" t="e">
        <f ca="1">[1]!BexGetData("DP_1","00O2TNJGODT0G5Z4TTKYMMOLH","GSON1116151614")</f>
        <v>#NAME?</v>
      </c>
      <c r="U2501" s="24" t="e">
        <f ca="1">[1]!BexGetData("DP_1","00O2TNJGODT0G5Z4TTKYMMUX1","GSON1116151614")</f>
        <v>#NAME?</v>
      </c>
      <c r="V2501" s="24" t="e">
        <f ca="1">[1]!BexGetData("DP_1","00O2TNJGODT0G5Z4TTKYMN18L","GSON1116151614")</f>
        <v>#NAME?</v>
      </c>
      <c r="W2501" s="24" t="e">
        <f ca="1">[1]!BexGetData("DP_1","00O2TNJGODT0G5Z4TTKYMN7K5","GSON1116151614")</f>
        <v>#NAME?</v>
      </c>
    </row>
    <row r="2502" spans="1:23" x14ac:dyDescent="0.2">
      <c r="A2502" s="36" t="s">
        <v>5917</v>
      </c>
      <c r="B2502" s="27" t="s">
        <v>5918</v>
      </c>
      <c r="C2502" s="23" t="e">
        <f ca="1">[1]!BexGetData("DP_1","003N8EMH8GTFRCSWKMPXRR8GU","GSON1116151615")</f>
        <v>#NAME?</v>
      </c>
      <c r="D2502" s="23" t="e">
        <f ca="1">[1]!BexGetData("DP_1","003N8EMH8GTFRCSWKMPXRRESE","GSON1116151615")</f>
        <v>#NAME?</v>
      </c>
      <c r="E2502" s="28" t="e">
        <f ca="1">[1]!BexGetData("DP_1","003N8EMH8GTFRCSWKMPXRRL3Y","GSON1116151615")</f>
        <v>#NAME?</v>
      </c>
      <c r="F2502" s="24" t="e">
        <f ca="1">[1]!BexGetData("DP_1","003N8EMH8GTFRCSWKMPXRRRFI","GSON1116151615")</f>
        <v>#NAME?</v>
      </c>
      <c r="G2502" s="24" t="e">
        <f ca="1">[1]!BexGetData("DP_1","003N8EMH8GTFRCSWKMPXRRXR2","GSON1116151615")</f>
        <v>#NAME?</v>
      </c>
      <c r="H2502" s="24" t="e">
        <f ca="1">[1]!BexGetData("DP_1","003N8EMH8GTFRCSWKMPXRS42M","GSON1116151615")</f>
        <v>#NAME?</v>
      </c>
      <c r="I2502" s="24" t="e">
        <f ca="1">[1]!BexGetData("DP_1","003N8EMH8GTFRCSWKMPXRSAE6","GSON1116151615")</f>
        <v>#NAME?</v>
      </c>
      <c r="J2502" s="24" t="e">
        <f ca="1">[1]!BexGetData("DP_1","003N8EMH8GTFRCSWKMPXRSGPQ","GSON1116151615")</f>
        <v>#NAME?</v>
      </c>
      <c r="K2502" s="28" t="e">
        <f ca="1">[1]!BexGetData("DP_1","003N8EMH8GTFRIVNUPY288VJH","GSON1116151615")</f>
        <v>#NAME?</v>
      </c>
      <c r="L2502" s="28" t="e">
        <f ca="1">[1]!BexGetData("DP_1","003N8EMH8GTFRIVNUPY2891V1","GSON1116151615")</f>
        <v>#NAME?</v>
      </c>
      <c r="M2502" s="28" t="e">
        <f ca="1">[1]!BexGetData("DP_1","003N8EMH8GTFRIVOG7KG9IQXA","GSON1116151615")</f>
        <v>#NAME?</v>
      </c>
      <c r="N2502" s="28" t="e">
        <f ca="1">[1]!BexGetData("DP_1","003N8EMH8GTFRIVOG7KG9IX8U","GSON1116151615")</f>
        <v>#NAME?</v>
      </c>
      <c r="O2502" s="28" t="e">
        <f ca="1">[1]!BexGetData("DP_1","003N8EMH8GTFRIVOG7KG9J3KE","GSON1116151615")</f>
        <v>#NAME?</v>
      </c>
      <c r="P2502" s="28" t="e">
        <f ca="1">[1]!BexGetData("DP_1","003N8EMH8GTFRIVOG7KG9J9VY","GSON1116151615")</f>
        <v>#NAME?</v>
      </c>
      <c r="Q2502" s="24" t="e">
        <f ca="1">[1]!BexGetData("DP_1","00O2TNJGODT0G5Z4TTKYMM5MT","GSON1116151615")</f>
        <v>#NAME?</v>
      </c>
      <c r="R2502" s="24" t="e">
        <f ca="1">[1]!BexGetData("DP_1","00O2TNJGODT0G5Z4TTKYMMBYD","GSON1116151615")</f>
        <v>#NAME?</v>
      </c>
      <c r="S2502" s="24" t="e">
        <f ca="1">[1]!BexGetData("DP_1","00O2TNJGODT0G5Z4TTKYMMI9X","GSON1116151615")</f>
        <v>#NAME?</v>
      </c>
      <c r="T2502" s="24" t="e">
        <f ca="1">[1]!BexGetData("DP_1","00O2TNJGODT0G5Z4TTKYMMOLH","GSON1116151615")</f>
        <v>#NAME?</v>
      </c>
      <c r="U2502" s="24" t="e">
        <f ca="1">[1]!BexGetData("DP_1","00O2TNJGODT0G5Z4TTKYMMUX1","GSON1116151615")</f>
        <v>#NAME?</v>
      </c>
      <c r="V2502" s="24" t="e">
        <f ca="1">[1]!BexGetData("DP_1","00O2TNJGODT0G5Z4TTKYMN18L","GSON1116151615")</f>
        <v>#NAME?</v>
      </c>
      <c r="W2502" s="24" t="e">
        <f ca="1">[1]!BexGetData("DP_1","00O2TNJGODT0G5Z4TTKYMN7K5","GSON1116151615")</f>
        <v>#NAME?</v>
      </c>
    </row>
    <row r="2503" spans="1:23" x14ac:dyDescent="0.2">
      <c r="A2503" s="36" t="s">
        <v>5508</v>
      </c>
      <c r="B2503" s="27" t="s">
        <v>5919</v>
      </c>
      <c r="C2503" s="23" t="e">
        <f ca="1">[1]!BexGetData("DP_1","003N8EMH8GTFRCSWKMPXRR8GU","GSON1116151750")</f>
        <v>#NAME?</v>
      </c>
      <c r="D2503" s="23" t="e">
        <f ca="1">[1]!BexGetData("DP_1","003N8EMH8GTFRCSWKMPXRRESE","GSON1116151750")</f>
        <v>#NAME?</v>
      </c>
      <c r="E2503" s="23" t="e">
        <f ca="1">[1]!BexGetData("DP_1","003N8EMH8GTFRCSWKMPXRRL3Y","GSON1116151750")</f>
        <v>#NAME?</v>
      </c>
      <c r="F2503" s="24" t="e">
        <f ca="1">[1]!BexGetData("DP_1","003N8EMH8GTFRCSWKMPXRRRFI","GSON1116151750")</f>
        <v>#NAME?</v>
      </c>
      <c r="G2503" s="24" t="e">
        <f ca="1">[1]!BexGetData("DP_1","003N8EMH8GTFRCSWKMPXRRXR2","GSON1116151750")</f>
        <v>#NAME?</v>
      </c>
      <c r="H2503" s="24" t="e">
        <f ca="1">[1]!BexGetData("DP_1","003N8EMH8GTFRCSWKMPXRS42M","GSON1116151750")</f>
        <v>#NAME?</v>
      </c>
      <c r="I2503" s="24" t="e">
        <f ca="1">[1]!BexGetData("DP_1","003N8EMH8GTFRCSWKMPXRSAE6","GSON1116151750")</f>
        <v>#NAME?</v>
      </c>
      <c r="J2503" s="24" t="e">
        <f ca="1">[1]!BexGetData("DP_1","003N8EMH8GTFRCSWKMPXRSGPQ","GSON1116151750")</f>
        <v>#NAME?</v>
      </c>
      <c r="K2503" s="23" t="e">
        <f ca="1">[1]!BexGetData("DP_1","003N8EMH8GTFRIVNUPY288VJH","GSON1116151750")</f>
        <v>#NAME?</v>
      </c>
      <c r="L2503" s="23" t="e">
        <f ca="1">[1]!BexGetData("DP_1","003N8EMH8GTFRIVNUPY2891V1","GSON1116151750")</f>
        <v>#NAME?</v>
      </c>
      <c r="M2503" s="28" t="e">
        <f ca="1">[1]!BexGetData("DP_1","003N8EMH8GTFRIVOG7KG9IQXA","GSON1116151750")</f>
        <v>#NAME?</v>
      </c>
      <c r="N2503" s="23" t="e">
        <f ca="1">[1]!BexGetData("DP_1","003N8EMH8GTFRIVOG7KG9IX8U","GSON1116151750")</f>
        <v>#NAME?</v>
      </c>
      <c r="O2503" s="28" t="e">
        <f ca="1">[1]!BexGetData("DP_1","003N8EMH8GTFRIVOG7KG9J3KE","GSON1116151750")</f>
        <v>#NAME?</v>
      </c>
      <c r="P2503" s="23" t="e">
        <f ca="1">[1]!BexGetData("DP_1","003N8EMH8GTFRIVOG7KG9J9VY","GSON1116151750")</f>
        <v>#NAME?</v>
      </c>
      <c r="Q2503" s="24" t="e">
        <f ca="1">[1]!BexGetData("DP_1","00O2TNJGODT0G5Z4TTKYMM5MT","GSON1116151750")</f>
        <v>#NAME?</v>
      </c>
      <c r="R2503" s="24" t="e">
        <f ca="1">[1]!BexGetData("DP_1","00O2TNJGODT0G5Z4TTKYMMBYD","GSON1116151750")</f>
        <v>#NAME?</v>
      </c>
      <c r="S2503" s="24" t="e">
        <f ca="1">[1]!BexGetData("DP_1","00O2TNJGODT0G5Z4TTKYMMI9X","GSON1116151750")</f>
        <v>#NAME?</v>
      </c>
      <c r="T2503" s="24" t="e">
        <f ca="1">[1]!BexGetData("DP_1","00O2TNJGODT0G5Z4TTKYMMOLH","GSON1116151750")</f>
        <v>#NAME?</v>
      </c>
      <c r="U2503" s="24" t="e">
        <f ca="1">[1]!BexGetData("DP_1","00O2TNJGODT0G5Z4TTKYMMUX1","GSON1116151750")</f>
        <v>#NAME?</v>
      </c>
      <c r="V2503" s="24" t="e">
        <f ca="1">[1]!BexGetData("DP_1","00O2TNJGODT0G5Z4TTKYMN18L","GSON1116151750")</f>
        <v>#NAME?</v>
      </c>
      <c r="W2503" s="24" t="e">
        <f ca="1">[1]!BexGetData("DP_1","00O2TNJGODT0G5Z4TTKYMN7K5","GSON1116151750")</f>
        <v>#NAME?</v>
      </c>
    </row>
    <row r="2504" spans="1:23" x14ac:dyDescent="0.2">
      <c r="A2504" s="36" t="s">
        <v>5510</v>
      </c>
      <c r="B2504" s="27" t="s">
        <v>5920</v>
      </c>
      <c r="C2504" s="23" t="e">
        <f ca="1">[1]!BexGetData("DP_1","003N8EMH8GTFRCSWKMPXRR8GU","GSON1116151751")</f>
        <v>#NAME?</v>
      </c>
      <c r="D2504" s="23" t="e">
        <f ca="1">[1]!BexGetData("DP_1","003N8EMH8GTFRCSWKMPXRRESE","GSON1116151751")</f>
        <v>#NAME?</v>
      </c>
      <c r="E2504" s="23" t="e">
        <f ca="1">[1]!BexGetData("DP_1","003N8EMH8GTFRCSWKMPXRRL3Y","GSON1116151751")</f>
        <v>#NAME?</v>
      </c>
      <c r="F2504" s="24" t="e">
        <f ca="1">[1]!BexGetData("DP_1","003N8EMH8GTFRCSWKMPXRRRFI","GSON1116151751")</f>
        <v>#NAME?</v>
      </c>
      <c r="G2504" s="24" t="e">
        <f ca="1">[1]!BexGetData("DP_1","003N8EMH8GTFRCSWKMPXRRXR2","GSON1116151751")</f>
        <v>#NAME?</v>
      </c>
      <c r="H2504" s="24" t="e">
        <f ca="1">[1]!BexGetData("DP_1","003N8EMH8GTFRCSWKMPXRS42M","GSON1116151751")</f>
        <v>#NAME?</v>
      </c>
      <c r="I2504" s="24" t="e">
        <f ca="1">[1]!BexGetData("DP_1","003N8EMH8GTFRCSWKMPXRSAE6","GSON1116151751")</f>
        <v>#NAME?</v>
      </c>
      <c r="J2504" s="24" t="e">
        <f ca="1">[1]!BexGetData("DP_1","003N8EMH8GTFRCSWKMPXRSGPQ","GSON1116151751")</f>
        <v>#NAME?</v>
      </c>
      <c r="K2504" s="23" t="e">
        <f ca="1">[1]!BexGetData("DP_1","003N8EMH8GTFRIVNUPY288VJH","GSON1116151751")</f>
        <v>#NAME?</v>
      </c>
      <c r="L2504" s="23" t="e">
        <f ca="1">[1]!BexGetData("DP_1","003N8EMH8GTFRIVNUPY2891V1","GSON1116151751")</f>
        <v>#NAME?</v>
      </c>
      <c r="M2504" s="23" t="e">
        <f ca="1">[1]!BexGetData("DP_1","003N8EMH8GTFRIVOG7KG9IQXA","GSON1116151751")</f>
        <v>#NAME?</v>
      </c>
      <c r="N2504" s="28" t="e">
        <f ca="1">[1]!BexGetData("DP_1","003N8EMH8GTFRIVOG7KG9IX8U","GSON1116151751")</f>
        <v>#NAME?</v>
      </c>
      <c r="O2504" s="23" t="e">
        <f ca="1">[1]!BexGetData("DP_1","003N8EMH8GTFRIVOG7KG9J3KE","GSON1116151751")</f>
        <v>#NAME?</v>
      </c>
      <c r="P2504" s="28" t="e">
        <f ca="1">[1]!BexGetData("DP_1","003N8EMH8GTFRIVOG7KG9J9VY","GSON1116151751")</f>
        <v>#NAME?</v>
      </c>
      <c r="Q2504" s="24" t="e">
        <f ca="1">[1]!BexGetData("DP_1","00O2TNJGODT0G5Z4TTKYMM5MT","GSON1116151751")</f>
        <v>#NAME?</v>
      </c>
      <c r="R2504" s="24" t="e">
        <f ca="1">[1]!BexGetData("DP_1","00O2TNJGODT0G5Z4TTKYMMBYD","GSON1116151751")</f>
        <v>#NAME?</v>
      </c>
      <c r="S2504" s="24" t="e">
        <f ca="1">[1]!BexGetData("DP_1","00O2TNJGODT0G5Z4TTKYMMI9X","GSON1116151751")</f>
        <v>#NAME?</v>
      </c>
      <c r="T2504" s="24" t="e">
        <f ca="1">[1]!BexGetData("DP_1","00O2TNJGODT0G5Z4TTKYMMOLH","GSON1116151751")</f>
        <v>#NAME?</v>
      </c>
      <c r="U2504" s="24" t="e">
        <f ca="1">[1]!BexGetData("DP_1","00O2TNJGODT0G5Z4TTKYMMUX1","GSON1116151751")</f>
        <v>#NAME?</v>
      </c>
      <c r="V2504" s="24" t="e">
        <f ca="1">[1]!BexGetData("DP_1","00O2TNJGODT0G5Z4TTKYMN18L","GSON1116151751")</f>
        <v>#NAME?</v>
      </c>
      <c r="W2504" s="24" t="e">
        <f ca="1">[1]!BexGetData("DP_1","00O2TNJGODT0G5Z4TTKYMN7K5","GSON1116151751")</f>
        <v>#NAME?</v>
      </c>
    </row>
    <row r="2505" spans="1:23" x14ac:dyDescent="0.2">
      <c r="A2505" s="36" t="s">
        <v>5921</v>
      </c>
      <c r="B2505" s="27" t="s">
        <v>5922</v>
      </c>
      <c r="C2505" s="23" t="e">
        <f ca="1">[1]!BexGetData("DP_1","003N8EMH8GTFRCSWKMPXRR8GU","GSON1116151754")</f>
        <v>#NAME?</v>
      </c>
      <c r="D2505" s="23" t="e">
        <f ca="1">[1]!BexGetData("DP_1","003N8EMH8GTFRCSWKMPXRRESE","GSON1116151754")</f>
        <v>#NAME?</v>
      </c>
      <c r="E2505" s="28" t="e">
        <f ca="1">[1]!BexGetData("DP_1","003N8EMH8GTFRCSWKMPXRRL3Y","GSON1116151754")</f>
        <v>#NAME?</v>
      </c>
      <c r="F2505" s="24" t="e">
        <f ca="1">[1]!BexGetData("DP_1","003N8EMH8GTFRCSWKMPXRRRFI","GSON1116151754")</f>
        <v>#NAME?</v>
      </c>
      <c r="G2505" s="24" t="e">
        <f ca="1">[1]!BexGetData("DP_1","003N8EMH8GTFRCSWKMPXRRXR2","GSON1116151754")</f>
        <v>#NAME?</v>
      </c>
      <c r="H2505" s="24" t="e">
        <f ca="1">[1]!BexGetData("DP_1","003N8EMH8GTFRCSWKMPXRS42M","GSON1116151754")</f>
        <v>#NAME?</v>
      </c>
      <c r="I2505" s="24" t="e">
        <f ca="1">[1]!BexGetData("DP_1","003N8EMH8GTFRCSWKMPXRSAE6","GSON1116151754")</f>
        <v>#NAME?</v>
      </c>
      <c r="J2505" s="24" t="e">
        <f ca="1">[1]!BexGetData("DP_1","003N8EMH8GTFRCSWKMPXRSGPQ","GSON1116151754")</f>
        <v>#NAME?</v>
      </c>
      <c r="K2505" s="28" t="e">
        <f ca="1">[1]!BexGetData("DP_1","003N8EMH8GTFRIVNUPY288VJH","GSON1116151754")</f>
        <v>#NAME?</v>
      </c>
      <c r="L2505" s="28" t="e">
        <f ca="1">[1]!BexGetData("DP_1","003N8EMH8GTFRIVNUPY2891V1","GSON1116151754")</f>
        <v>#NAME?</v>
      </c>
      <c r="M2505" s="28" t="e">
        <f ca="1">[1]!BexGetData("DP_1","003N8EMH8GTFRIVOG7KG9IQXA","GSON1116151754")</f>
        <v>#NAME?</v>
      </c>
      <c r="N2505" s="28" t="e">
        <f ca="1">[1]!BexGetData("DP_1","003N8EMH8GTFRIVOG7KG9IX8U","GSON1116151754")</f>
        <v>#NAME?</v>
      </c>
      <c r="O2505" s="28" t="e">
        <f ca="1">[1]!BexGetData("DP_1","003N8EMH8GTFRIVOG7KG9J3KE","GSON1116151754")</f>
        <v>#NAME?</v>
      </c>
      <c r="P2505" s="28" t="e">
        <f ca="1">[1]!BexGetData("DP_1","003N8EMH8GTFRIVOG7KG9J9VY","GSON1116151754")</f>
        <v>#NAME?</v>
      </c>
      <c r="Q2505" s="24" t="e">
        <f ca="1">[1]!BexGetData("DP_1","00O2TNJGODT0G5Z4TTKYMM5MT","GSON1116151754")</f>
        <v>#NAME?</v>
      </c>
      <c r="R2505" s="24" t="e">
        <f ca="1">[1]!BexGetData("DP_1","00O2TNJGODT0G5Z4TTKYMMBYD","GSON1116151754")</f>
        <v>#NAME?</v>
      </c>
      <c r="S2505" s="24" t="e">
        <f ca="1">[1]!BexGetData("DP_1","00O2TNJGODT0G5Z4TTKYMMI9X","GSON1116151754")</f>
        <v>#NAME?</v>
      </c>
      <c r="T2505" s="24" t="e">
        <f ca="1">[1]!BexGetData("DP_1","00O2TNJGODT0G5Z4TTKYMMOLH","GSON1116151754")</f>
        <v>#NAME?</v>
      </c>
      <c r="U2505" s="24" t="e">
        <f ca="1">[1]!BexGetData("DP_1","00O2TNJGODT0G5Z4TTKYMMUX1","GSON1116151754")</f>
        <v>#NAME?</v>
      </c>
      <c r="V2505" s="24" t="e">
        <f ca="1">[1]!BexGetData("DP_1","00O2TNJGODT0G5Z4TTKYMN18L","GSON1116151754")</f>
        <v>#NAME?</v>
      </c>
      <c r="W2505" s="24" t="e">
        <f ca="1">[1]!BexGetData("DP_1","00O2TNJGODT0G5Z4TTKYMN7K5","GSON1116151754")</f>
        <v>#NAME?</v>
      </c>
    </row>
    <row r="2506" spans="1:23" x14ac:dyDescent="0.2">
      <c r="A2506" s="36" t="s">
        <v>5512</v>
      </c>
      <c r="B2506" s="27" t="s">
        <v>5923</v>
      </c>
      <c r="C2506" s="23" t="e">
        <f ca="1">[1]!BexGetData("DP_1","003N8EMH8GTFRCSWKMPXRR8GU","GSON1116151760")</f>
        <v>#NAME?</v>
      </c>
      <c r="D2506" s="23" t="e">
        <f ca="1">[1]!BexGetData("DP_1","003N8EMH8GTFRCSWKMPXRRESE","GSON1116151760")</f>
        <v>#NAME?</v>
      </c>
      <c r="E2506" s="23" t="e">
        <f ca="1">[1]!BexGetData("DP_1","003N8EMH8GTFRCSWKMPXRRL3Y","GSON1116151760")</f>
        <v>#NAME?</v>
      </c>
      <c r="F2506" s="24" t="e">
        <f ca="1">[1]!BexGetData("DP_1","003N8EMH8GTFRCSWKMPXRRRFI","GSON1116151760")</f>
        <v>#NAME?</v>
      </c>
      <c r="G2506" s="24" t="e">
        <f ca="1">[1]!BexGetData("DP_1","003N8EMH8GTFRCSWKMPXRRXR2","GSON1116151760")</f>
        <v>#NAME?</v>
      </c>
      <c r="H2506" s="24" t="e">
        <f ca="1">[1]!BexGetData("DP_1","003N8EMH8GTFRCSWKMPXRS42M","GSON1116151760")</f>
        <v>#NAME?</v>
      </c>
      <c r="I2506" s="24" t="e">
        <f ca="1">[1]!BexGetData("DP_1","003N8EMH8GTFRCSWKMPXRSAE6","GSON1116151760")</f>
        <v>#NAME?</v>
      </c>
      <c r="J2506" s="24" t="e">
        <f ca="1">[1]!BexGetData("DP_1","003N8EMH8GTFRCSWKMPXRSGPQ","GSON1116151760")</f>
        <v>#NAME?</v>
      </c>
      <c r="K2506" s="23" t="e">
        <f ca="1">[1]!BexGetData("DP_1","003N8EMH8GTFRIVNUPY288VJH","GSON1116151760")</f>
        <v>#NAME?</v>
      </c>
      <c r="L2506" s="23" t="e">
        <f ca="1">[1]!BexGetData("DP_1","003N8EMH8GTFRIVNUPY2891V1","GSON1116151760")</f>
        <v>#NAME?</v>
      </c>
      <c r="M2506" s="28" t="e">
        <f ca="1">[1]!BexGetData("DP_1","003N8EMH8GTFRIVOG7KG9IQXA","GSON1116151760")</f>
        <v>#NAME?</v>
      </c>
      <c r="N2506" s="23" t="e">
        <f ca="1">[1]!BexGetData("DP_1","003N8EMH8GTFRIVOG7KG9IX8U","GSON1116151760")</f>
        <v>#NAME?</v>
      </c>
      <c r="O2506" s="28" t="e">
        <f ca="1">[1]!BexGetData("DP_1","003N8EMH8GTFRIVOG7KG9J3KE","GSON1116151760")</f>
        <v>#NAME?</v>
      </c>
      <c r="P2506" s="23" t="e">
        <f ca="1">[1]!BexGetData("DP_1","003N8EMH8GTFRIVOG7KG9J9VY","GSON1116151760")</f>
        <v>#NAME?</v>
      </c>
      <c r="Q2506" s="24" t="e">
        <f ca="1">[1]!BexGetData("DP_1","00O2TNJGODT0G5Z4TTKYMM5MT","GSON1116151760")</f>
        <v>#NAME?</v>
      </c>
      <c r="R2506" s="24" t="e">
        <f ca="1">[1]!BexGetData("DP_1","00O2TNJGODT0G5Z4TTKYMMBYD","GSON1116151760")</f>
        <v>#NAME?</v>
      </c>
      <c r="S2506" s="24" t="e">
        <f ca="1">[1]!BexGetData("DP_1","00O2TNJGODT0G5Z4TTKYMMI9X","GSON1116151760")</f>
        <v>#NAME?</v>
      </c>
      <c r="T2506" s="24" t="e">
        <f ca="1">[1]!BexGetData("DP_1","00O2TNJGODT0G5Z4TTKYMMOLH","GSON1116151760")</f>
        <v>#NAME?</v>
      </c>
      <c r="U2506" s="24" t="e">
        <f ca="1">[1]!BexGetData("DP_1","00O2TNJGODT0G5Z4TTKYMMUX1","GSON1116151760")</f>
        <v>#NAME?</v>
      </c>
      <c r="V2506" s="24" t="e">
        <f ca="1">[1]!BexGetData("DP_1","00O2TNJGODT0G5Z4TTKYMN18L","GSON1116151760")</f>
        <v>#NAME?</v>
      </c>
      <c r="W2506" s="24" t="e">
        <f ca="1">[1]!BexGetData("DP_1","00O2TNJGODT0G5Z4TTKYMN7K5","GSON1116151760")</f>
        <v>#NAME?</v>
      </c>
    </row>
    <row r="2507" spans="1:23" x14ac:dyDescent="0.2">
      <c r="A2507" s="36" t="s">
        <v>5514</v>
      </c>
      <c r="B2507" s="27" t="s">
        <v>5924</v>
      </c>
      <c r="C2507" s="23" t="e">
        <f ca="1">[1]!BexGetData("DP_1","003N8EMH8GTFRCSWKMPXRR8GU","GSON1116151761")</f>
        <v>#NAME?</v>
      </c>
      <c r="D2507" s="23" t="e">
        <f ca="1">[1]!BexGetData("DP_1","003N8EMH8GTFRCSWKMPXRRESE","GSON1116151761")</f>
        <v>#NAME?</v>
      </c>
      <c r="E2507" s="23" t="e">
        <f ca="1">[1]!BexGetData("DP_1","003N8EMH8GTFRCSWKMPXRRL3Y","GSON1116151761")</f>
        <v>#NAME?</v>
      </c>
      <c r="F2507" s="24" t="e">
        <f ca="1">[1]!BexGetData("DP_1","003N8EMH8GTFRCSWKMPXRRRFI","GSON1116151761")</f>
        <v>#NAME?</v>
      </c>
      <c r="G2507" s="24" t="e">
        <f ca="1">[1]!BexGetData("DP_1","003N8EMH8GTFRCSWKMPXRRXR2","GSON1116151761")</f>
        <v>#NAME?</v>
      </c>
      <c r="H2507" s="24" t="e">
        <f ca="1">[1]!BexGetData("DP_1","003N8EMH8GTFRCSWKMPXRS42M","GSON1116151761")</f>
        <v>#NAME?</v>
      </c>
      <c r="I2507" s="24" t="e">
        <f ca="1">[1]!BexGetData("DP_1","003N8EMH8GTFRCSWKMPXRSAE6","GSON1116151761")</f>
        <v>#NAME?</v>
      </c>
      <c r="J2507" s="24" t="e">
        <f ca="1">[1]!BexGetData("DP_1","003N8EMH8GTFRCSWKMPXRSGPQ","GSON1116151761")</f>
        <v>#NAME?</v>
      </c>
      <c r="K2507" s="23" t="e">
        <f ca="1">[1]!BexGetData("DP_1","003N8EMH8GTFRIVNUPY288VJH","GSON1116151761")</f>
        <v>#NAME?</v>
      </c>
      <c r="L2507" s="23" t="e">
        <f ca="1">[1]!BexGetData("DP_1","003N8EMH8GTFRIVNUPY2891V1","GSON1116151761")</f>
        <v>#NAME?</v>
      </c>
      <c r="M2507" s="23" t="e">
        <f ca="1">[1]!BexGetData("DP_1","003N8EMH8GTFRIVOG7KG9IQXA","GSON1116151761")</f>
        <v>#NAME?</v>
      </c>
      <c r="N2507" s="28" t="e">
        <f ca="1">[1]!BexGetData("DP_1","003N8EMH8GTFRIVOG7KG9IX8U","GSON1116151761")</f>
        <v>#NAME?</v>
      </c>
      <c r="O2507" s="23" t="e">
        <f ca="1">[1]!BexGetData("DP_1","003N8EMH8GTFRIVOG7KG9J3KE","GSON1116151761")</f>
        <v>#NAME?</v>
      </c>
      <c r="P2507" s="28" t="e">
        <f ca="1">[1]!BexGetData("DP_1","003N8EMH8GTFRIVOG7KG9J9VY","GSON1116151761")</f>
        <v>#NAME?</v>
      </c>
      <c r="Q2507" s="24" t="e">
        <f ca="1">[1]!BexGetData("DP_1","00O2TNJGODT0G5Z4TTKYMM5MT","GSON1116151761")</f>
        <v>#NAME?</v>
      </c>
      <c r="R2507" s="24" t="e">
        <f ca="1">[1]!BexGetData("DP_1","00O2TNJGODT0G5Z4TTKYMMBYD","GSON1116151761")</f>
        <v>#NAME?</v>
      </c>
      <c r="S2507" s="24" t="e">
        <f ca="1">[1]!BexGetData("DP_1","00O2TNJGODT0G5Z4TTKYMMI9X","GSON1116151761")</f>
        <v>#NAME?</v>
      </c>
      <c r="T2507" s="24" t="e">
        <f ca="1">[1]!BexGetData("DP_1","00O2TNJGODT0G5Z4TTKYMMOLH","GSON1116151761")</f>
        <v>#NAME?</v>
      </c>
      <c r="U2507" s="24" t="e">
        <f ca="1">[1]!BexGetData("DP_1","00O2TNJGODT0G5Z4TTKYMMUX1","GSON1116151761")</f>
        <v>#NAME?</v>
      </c>
      <c r="V2507" s="24" t="e">
        <f ca="1">[1]!BexGetData("DP_1","00O2TNJGODT0G5Z4TTKYMN18L","GSON1116151761")</f>
        <v>#NAME?</v>
      </c>
      <c r="W2507" s="24" t="e">
        <f ca="1">[1]!BexGetData("DP_1","00O2TNJGODT0G5Z4TTKYMN7K5","GSON1116151761")</f>
        <v>#NAME?</v>
      </c>
    </row>
    <row r="2508" spans="1:23" x14ac:dyDescent="0.2">
      <c r="A2508" s="36" t="s">
        <v>5925</v>
      </c>
      <c r="B2508" s="27" t="s">
        <v>5926</v>
      </c>
      <c r="C2508" s="23" t="e">
        <f ca="1">[1]!BexGetData("DP_1","003N8EMH8GTFRCSWKMPXRR8GU","GSON1116151763")</f>
        <v>#NAME?</v>
      </c>
      <c r="D2508" s="23" t="e">
        <f ca="1">[1]!BexGetData("DP_1","003N8EMH8GTFRCSWKMPXRRESE","GSON1116151763")</f>
        <v>#NAME?</v>
      </c>
      <c r="E2508" s="28" t="e">
        <f ca="1">[1]!BexGetData("DP_1","003N8EMH8GTFRCSWKMPXRRL3Y","GSON1116151763")</f>
        <v>#NAME?</v>
      </c>
      <c r="F2508" s="24" t="e">
        <f ca="1">[1]!BexGetData("DP_1","003N8EMH8GTFRCSWKMPXRRRFI","GSON1116151763")</f>
        <v>#NAME?</v>
      </c>
      <c r="G2508" s="24" t="e">
        <f ca="1">[1]!BexGetData("DP_1","003N8EMH8GTFRCSWKMPXRRXR2","GSON1116151763")</f>
        <v>#NAME?</v>
      </c>
      <c r="H2508" s="24" t="e">
        <f ca="1">[1]!BexGetData("DP_1","003N8EMH8GTFRCSWKMPXRS42M","GSON1116151763")</f>
        <v>#NAME?</v>
      </c>
      <c r="I2508" s="24" t="e">
        <f ca="1">[1]!BexGetData("DP_1","003N8EMH8GTFRCSWKMPXRSAE6","GSON1116151763")</f>
        <v>#NAME?</v>
      </c>
      <c r="J2508" s="24" t="e">
        <f ca="1">[1]!BexGetData("DP_1","003N8EMH8GTFRCSWKMPXRSGPQ","GSON1116151763")</f>
        <v>#NAME?</v>
      </c>
      <c r="K2508" s="28" t="e">
        <f ca="1">[1]!BexGetData("DP_1","003N8EMH8GTFRIVNUPY288VJH","GSON1116151763")</f>
        <v>#NAME?</v>
      </c>
      <c r="L2508" s="28" t="e">
        <f ca="1">[1]!BexGetData("DP_1","003N8EMH8GTFRIVNUPY2891V1","GSON1116151763")</f>
        <v>#NAME?</v>
      </c>
      <c r="M2508" s="28" t="e">
        <f ca="1">[1]!BexGetData("DP_1","003N8EMH8GTFRIVOG7KG9IQXA","GSON1116151763")</f>
        <v>#NAME?</v>
      </c>
      <c r="N2508" s="28" t="e">
        <f ca="1">[1]!BexGetData("DP_1","003N8EMH8GTFRIVOG7KG9IX8U","GSON1116151763")</f>
        <v>#NAME?</v>
      </c>
      <c r="O2508" s="28" t="e">
        <f ca="1">[1]!BexGetData("DP_1","003N8EMH8GTFRIVOG7KG9J3KE","GSON1116151763")</f>
        <v>#NAME?</v>
      </c>
      <c r="P2508" s="28" t="e">
        <f ca="1">[1]!BexGetData("DP_1","003N8EMH8GTFRIVOG7KG9J9VY","GSON1116151763")</f>
        <v>#NAME?</v>
      </c>
      <c r="Q2508" s="24" t="e">
        <f ca="1">[1]!BexGetData("DP_1","00O2TNJGODT0G5Z4TTKYMM5MT","GSON1116151763")</f>
        <v>#NAME?</v>
      </c>
      <c r="R2508" s="24" t="e">
        <f ca="1">[1]!BexGetData("DP_1","00O2TNJGODT0G5Z4TTKYMMBYD","GSON1116151763")</f>
        <v>#NAME?</v>
      </c>
      <c r="S2508" s="24" t="e">
        <f ca="1">[1]!BexGetData("DP_1","00O2TNJGODT0G5Z4TTKYMMI9X","GSON1116151763")</f>
        <v>#NAME?</v>
      </c>
      <c r="T2508" s="24" t="e">
        <f ca="1">[1]!BexGetData("DP_1","00O2TNJGODT0G5Z4TTKYMMOLH","GSON1116151763")</f>
        <v>#NAME?</v>
      </c>
      <c r="U2508" s="24" t="e">
        <f ca="1">[1]!BexGetData("DP_1","00O2TNJGODT0G5Z4TTKYMMUX1","GSON1116151763")</f>
        <v>#NAME?</v>
      </c>
      <c r="V2508" s="24" t="e">
        <f ca="1">[1]!BexGetData("DP_1","00O2TNJGODT0G5Z4TTKYMN18L","GSON1116151763")</f>
        <v>#NAME?</v>
      </c>
      <c r="W2508" s="24" t="e">
        <f ca="1">[1]!BexGetData("DP_1","00O2TNJGODT0G5Z4TTKYMN7K5","GSON1116151763")</f>
        <v>#NAME?</v>
      </c>
    </row>
    <row r="2509" spans="1:23" x14ac:dyDescent="0.2">
      <c r="A2509" s="36" t="s">
        <v>5927</v>
      </c>
      <c r="B2509" s="27" t="s">
        <v>5928</v>
      </c>
      <c r="C2509" s="23" t="e">
        <f ca="1">[1]!BexGetData("DP_1","003N8EMH8GTFRCSWKMPXRR8GU","GSON1116151764")</f>
        <v>#NAME?</v>
      </c>
      <c r="D2509" s="23" t="e">
        <f ca="1">[1]!BexGetData("DP_1","003N8EMH8GTFRCSWKMPXRRESE","GSON1116151764")</f>
        <v>#NAME?</v>
      </c>
      <c r="E2509" s="28" t="e">
        <f ca="1">[1]!BexGetData("DP_1","003N8EMH8GTFRCSWKMPXRRL3Y","GSON1116151764")</f>
        <v>#NAME?</v>
      </c>
      <c r="F2509" s="24" t="e">
        <f ca="1">[1]!BexGetData("DP_1","003N8EMH8GTFRCSWKMPXRRRFI","GSON1116151764")</f>
        <v>#NAME?</v>
      </c>
      <c r="G2509" s="24" t="e">
        <f ca="1">[1]!BexGetData("DP_1","003N8EMH8GTFRCSWKMPXRRXR2","GSON1116151764")</f>
        <v>#NAME?</v>
      </c>
      <c r="H2509" s="24" t="e">
        <f ca="1">[1]!BexGetData("DP_1","003N8EMH8GTFRCSWKMPXRS42M","GSON1116151764")</f>
        <v>#NAME?</v>
      </c>
      <c r="I2509" s="24" t="e">
        <f ca="1">[1]!BexGetData("DP_1","003N8EMH8GTFRCSWKMPXRSAE6","GSON1116151764")</f>
        <v>#NAME?</v>
      </c>
      <c r="J2509" s="24" t="e">
        <f ca="1">[1]!BexGetData("DP_1","003N8EMH8GTFRCSWKMPXRSGPQ","GSON1116151764")</f>
        <v>#NAME?</v>
      </c>
      <c r="K2509" s="28" t="e">
        <f ca="1">[1]!BexGetData("DP_1","003N8EMH8GTFRIVNUPY288VJH","GSON1116151764")</f>
        <v>#NAME?</v>
      </c>
      <c r="L2509" s="28" t="e">
        <f ca="1">[1]!BexGetData("DP_1","003N8EMH8GTFRIVNUPY2891V1","GSON1116151764")</f>
        <v>#NAME?</v>
      </c>
      <c r="M2509" s="28" t="e">
        <f ca="1">[1]!BexGetData("DP_1","003N8EMH8GTFRIVOG7KG9IQXA","GSON1116151764")</f>
        <v>#NAME?</v>
      </c>
      <c r="N2509" s="28" t="e">
        <f ca="1">[1]!BexGetData("DP_1","003N8EMH8GTFRIVOG7KG9IX8U","GSON1116151764")</f>
        <v>#NAME?</v>
      </c>
      <c r="O2509" s="28" t="e">
        <f ca="1">[1]!BexGetData("DP_1","003N8EMH8GTFRIVOG7KG9J3KE","GSON1116151764")</f>
        <v>#NAME?</v>
      </c>
      <c r="P2509" s="28" t="e">
        <f ca="1">[1]!BexGetData("DP_1","003N8EMH8GTFRIVOG7KG9J9VY","GSON1116151764")</f>
        <v>#NAME?</v>
      </c>
      <c r="Q2509" s="24" t="e">
        <f ca="1">[1]!BexGetData("DP_1","00O2TNJGODT0G5Z4TTKYMM5MT","GSON1116151764")</f>
        <v>#NAME?</v>
      </c>
      <c r="R2509" s="24" t="e">
        <f ca="1">[1]!BexGetData("DP_1","00O2TNJGODT0G5Z4TTKYMMBYD","GSON1116151764")</f>
        <v>#NAME?</v>
      </c>
      <c r="S2509" s="24" t="e">
        <f ca="1">[1]!BexGetData("DP_1","00O2TNJGODT0G5Z4TTKYMMI9X","GSON1116151764")</f>
        <v>#NAME?</v>
      </c>
      <c r="T2509" s="24" t="e">
        <f ca="1">[1]!BexGetData("DP_1","00O2TNJGODT0G5Z4TTKYMMOLH","GSON1116151764")</f>
        <v>#NAME?</v>
      </c>
      <c r="U2509" s="24" t="e">
        <f ca="1">[1]!BexGetData("DP_1","00O2TNJGODT0G5Z4TTKYMMUX1","GSON1116151764")</f>
        <v>#NAME?</v>
      </c>
      <c r="V2509" s="24" t="e">
        <f ca="1">[1]!BexGetData("DP_1","00O2TNJGODT0G5Z4TTKYMN18L","GSON1116151764")</f>
        <v>#NAME?</v>
      </c>
      <c r="W2509" s="24" t="e">
        <f ca="1">[1]!BexGetData("DP_1","00O2TNJGODT0G5Z4TTKYMN7K5","GSON1116151764")</f>
        <v>#NAME?</v>
      </c>
    </row>
    <row r="2510" spans="1:23" x14ac:dyDescent="0.2">
      <c r="A2510" s="35" t="s">
        <v>668</v>
      </c>
      <c r="B2510" s="27" t="s">
        <v>669</v>
      </c>
      <c r="C2510" s="23" t="e">
        <f ca="1">[1]!BexGetData("DP_1","003N8EMH8GTFRCSWKMPXRR8GU","GSON1119")</f>
        <v>#NAME?</v>
      </c>
      <c r="D2510" s="23" t="e">
        <f ca="1">[1]!BexGetData("DP_1","003N8EMH8GTFRCSWKMPXRRESE","GSON1119")</f>
        <v>#NAME?</v>
      </c>
      <c r="E2510" s="28" t="e">
        <f ca="1">[1]!BexGetData("DP_1","003N8EMH8GTFRCSWKMPXRRL3Y","GSON1119")</f>
        <v>#NAME?</v>
      </c>
      <c r="F2510" s="28" t="e">
        <f ca="1">[1]!BexGetData("DP_1","003N8EMH8GTFRCSWKMPXRRRFI","GSON1119")</f>
        <v>#NAME?</v>
      </c>
      <c r="G2510" s="23" t="e">
        <f ca="1">[1]!BexGetData("DP_1","003N8EMH8GTFRCSWKMPXRRXR2","GSON1119")</f>
        <v>#NAME?</v>
      </c>
      <c r="H2510" s="23" t="e">
        <f ca="1">[1]!BexGetData("DP_1","003N8EMH8GTFRCSWKMPXRS42M","GSON1119")</f>
        <v>#NAME?</v>
      </c>
      <c r="I2510" s="28" t="e">
        <f ca="1">[1]!BexGetData("DP_1","003N8EMH8GTFRCSWKMPXRSAE6","GSON1119")</f>
        <v>#NAME?</v>
      </c>
      <c r="J2510" s="23" t="e">
        <f ca="1">[1]!BexGetData("DP_1","003N8EMH8GTFRCSWKMPXRSGPQ","GSON1119")</f>
        <v>#NAME?</v>
      </c>
      <c r="K2510" s="28" t="e">
        <f ca="1">[1]!BexGetData("DP_1","003N8EMH8GTFRIVNUPY288VJH","GSON1119")</f>
        <v>#NAME?</v>
      </c>
      <c r="L2510" s="28" t="e">
        <f ca="1">[1]!BexGetData("DP_1","003N8EMH8GTFRIVNUPY2891V1","GSON1119")</f>
        <v>#NAME?</v>
      </c>
      <c r="M2510" s="28" t="e">
        <f ca="1">[1]!BexGetData("DP_1","003N8EMH8GTFRIVOG7KG9IQXA","GSON1119")</f>
        <v>#NAME?</v>
      </c>
      <c r="N2510" s="28" t="e">
        <f ca="1">[1]!BexGetData("DP_1","003N8EMH8GTFRIVOG7KG9IX8U","GSON1119")</f>
        <v>#NAME?</v>
      </c>
      <c r="O2510" s="28" t="e">
        <f ca="1">[1]!BexGetData("DP_1","003N8EMH8GTFRIVOG7KG9J3KE","GSON1119")</f>
        <v>#NAME?</v>
      </c>
      <c r="P2510" s="28" t="e">
        <f ca="1">[1]!BexGetData("DP_1","003N8EMH8GTFRIVOG7KG9J9VY","GSON1119")</f>
        <v>#NAME?</v>
      </c>
      <c r="Q2510" s="23" t="e">
        <f ca="1">[1]!BexGetData("DP_1","00O2TNJGODT0G5Z4TTKYMM5MT","GSON1119")</f>
        <v>#NAME?</v>
      </c>
      <c r="R2510" s="23" t="e">
        <f ca="1">[1]!BexGetData("DP_1","00O2TNJGODT0G5Z4TTKYMMBYD","GSON1119")</f>
        <v>#NAME?</v>
      </c>
      <c r="S2510" s="23" t="e">
        <f ca="1">[1]!BexGetData("DP_1","00O2TNJGODT0G5Z4TTKYMMI9X","GSON1119")</f>
        <v>#NAME?</v>
      </c>
      <c r="T2510" s="23" t="e">
        <f ca="1">[1]!BexGetData("DP_1","00O2TNJGODT0G5Z4TTKYMMOLH","GSON1119")</f>
        <v>#NAME?</v>
      </c>
      <c r="U2510" s="28" t="e">
        <f ca="1">[1]!BexGetData("DP_1","00O2TNJGODT0G5Z4TTKYMMUX1","GSON1119")</f>
        <v>#NAME?</v>
      </c>
      <c r="V2510" s="23" t="e">
        <f ca="1">[1]!BexGetData("DP_1","00O2TNJGODT0G5Z4TTKYMN18L","GSON1119")</f>
        <v>#NAME?</v>
      </c>
      <c r="W2510" s="28" t="e">
        <f ca="1">[1]!BexGetData("DP_1","00O2TNJGODT0G5Z4TTKYMN7K5","GSON1119")</f>
        <v>#NAME?</v>
      </c>
    </row>
    <row r="2511" spans="1:23" x14ac:dyDescent="0.2">
      <c r="A2511" s="36" t="s">
        <v>1219</v>
      </c>
      <c r="B2511" s="27" t="s">
        <v>1220</v>
      </c>
      <c r="C2511" s="24" t="e">
        <f ca="1">[1]!BexGetData("DP_1","003N8EMH8GTFRCSWKMPXRR8GU","GSON1119100001")</f>
        <v>#NAME?</v>
      </c>
      <c r="D2511" s="24" t="e">
        <f ca="1">[1]!BexGetData("DP_1","003N8EMH8GTFRCSWKMPXRRESE","GSON1119100001")</f>
        <v>#NAME?</v>
      </c>
      <c r="E2511" s="24" t="e">
        <f ca="1">[1]!BexGetData("DP_1","003N8EMH8GTFRCSWKMPXRRL3Y","GSON1119100001")</f>
        <v>#NAME?</v>
      </c>
      <c r="F2511" s="28" t="e">
        <f ca="1">[1]!BexGetData("DP_1","003N8EMH8GTFRCSWKMPXRRRFI","GSON1119100001")</f>
        <v>#NAME?</v>
      </c>
      <c r="G2511" s="28" t="e">
        <f ca="1">[1]!BexGetData("DP_1","003N8EMH8GTFRCSWKMPXRRXR2","GSON1119100001")</f>
        <v>#NAME?</v>
      </c>
      <c r="H2511" s="23" t="e">
        <f ca="1">[1]!BexGetData("DP_1","003N8EMH8GTFRCSWKMPXRS42M","GSON1119100001")</f>
        <v>#NAME?</v>
      </c>
      <c r="I2511" s="28" t="e">
        <f ca="1">[1]!BexGetData("DP_1","003N8EMH8GTFRCSWKMPXRSAE6","GSON1119100001")</f>
        <v>#NAME?</v>
      </c>
      <c r="J2511" s="23" t="e">
        <f ca="1">[1]!BexGetData("DP_1","003N8EMH8GTFRCSWKMPXRSGPQ","GSON1119100001")</f>
        <v>#NAME?</v>
      </c>
      <c r="K2511" s="28" t="e">
        <f ca="1">[1]!BexGetData("DP_1","003N8EMH8GTFRIVNUPY288VJH","GSON1119100001")</f>
        <v>#NAME?</v>
      </c>
      <c r="L2511" s="28" t="e">
        <f ca="1">[1]!BexGetData("DP_1","003N8EMH8GTFRIVNUPY2891V1","GSON1119100001")</f>
        <v>#NAME?</v>
      </c>
      <c r="M2511" s="28" t="e">
        <f ca="1">[1]!BexGetData("DP_1","003N8EMH8GTFRIVOG7KG9IQXA","GSON1119100001")</f>
        <v>#NAME?</v>
      </c>
      <c r="N2511" s="28" t="e">
        <f ca="1">[1]!BexGetData("DP_1","003N8EMH8GTFRIVOG7KG9IX8U","GSON1119100001")</f>
        <v>#NAME?</v>
      </c>
      <c r="O2511" s="28" t="e">
        <f ca="1">[1]!BexGetData("DP_1","003N8EMH8GTFRIVOG7KG9J3KE","GSON1119100001")</f>
        <v>#NAME?</v>
      </c>
      <c r="P2511" s="28" t="e">
        <f ca="1">[1]!BexGetData("DP_1","003N8EMH8GTFRIVOG7KG9J9VY","GSON1119100001")</f>
        <v>#NAME?</v>
      </c>
      <c r="Q2511" s="23" t="e">
        <f ca="1">[1]!BexGetData("DP_1","00O2TNJGODT0G5Z4TTKYMM5MT","GSON1119100001")</f>
        <v>#NAME?</v>
      </c>
      <c r="R2511" s="23" t="e">
        <f ca="1">[1]!BexGetData("DP_1","00O2TNJGODT0G5Z4TTKYMMBYD","GSON1119100001")</f>
        <v>#NAME?</v>
      </c>
      <c r="S2511" s="23" t="e">
        <f ca="1">[1]!BexGetData("DP_1","00O2TNJGODT0G5Z4TTKYMMI9X","GSON1119100001")</f>
        <v>#NAME?</v>
      </c>
      <c r="T2511" s="23" t="e">
        <f ca="1">[1]!BexGetData("DP_1","00O2TNJGODT0G5Z4TTKYMMOLH","GSON1119100001")</f>
        <v>#NAME?</v>
      </c>
      <c r="U2511" s="28" t="e">
        <f ca="1">[1]!BexGetData("DP_1","00O2TNJGODT0G5Z4TTKYMMUX1","GSON1119100001")</f>
        <v>#NAME?</v>
      </c>
      <c r="V2511" s="23" t="e">
        <f ca="1">[1]!BexGetData("DP_1","00O2TNJGODT0G5Z4TTKYMN18L","GSON1119100001")</f>
        <v>#NAME?</v>
      </c>
      <c r="W2511" s="28" t="e">
        <f ca="1">[1]!BexGetData("DP_1","00O2TNJGODT0G5Z4TTKYMN7K5","GSON1119100001")</f>
        <v>#NAME?</v>
      </c>
    </row>
    <row r="2512" spans="1:23" x14ac:dyDescent="0.2">
      <c r="A2512" s="36" t="s">
        <v>1221</v>
      </c>
      <c r="B2512" s="27" t="s">
        <v>670</v>
      </c>
      <c r="C2512" s="23" t="e">
        <f ca="1">[1]!BexGetData("DP_1","003N8EMH8GTFRCSWKMPXRR8GU","GSON1119100002")</f>
        <v>#NAME?</v>
      </c>
      <c r="D2512" s="23" t="e">
        <f ca="1">[1]!BexGetData("DP_1","003N8EMH8GTFRCSWKMPXRRESE","GSON1119100002")</f>
        <v>#NAME?</v>
      </c>
      <c r="E2512" s="28" t="e">
        <f ca="1">[1]!BexGetData("DP_1","003N8EMH8GTFRCSWKMPXRRL3Y","GSON1119100002")</f>
        <v>#NAME?</v>
      </c>
      <c r="F2512" s="28" t="e">
        <f ca="1">[1]!BexGetData("DP_1","003N8EMH8GTFRCSWKMPXRRRFI","GSON1119100002")</f>
        <v>#NAME?</v>
      </c>
      <c r="G2512" s="23" t="e">
        <f ca="1">[1]!BexGetData("DP_1","003N8EMH8GTFRCSWKMPXRRXR2","GSON1119100002")</f>
        <v>#NAME?</v>
      </c>
      <c r="H2512" s="23" t="e">
        <f ca="1">[1]!BexGetData("DP_1","003N8EMH8GTFRCSWKMPXRS42M","GSON1119100002")</f>
        <v>#NAME?</v>
      </c>
      <c r="I2512" s="28" t="e">
        <f ca="1">[1]!BexGetData("DP_1","003N8EMH8GTFRCSWKMPXRSAE6","GSON1119100002")</f>
        <v>#NAME?</v>
      </c>
      <c r="J2512" s="24" t="e">
        <f ca="1">[1]!BexGetData("DP_1","003N8EMH8GTFRCSWKMPXRSGPQ","GSON1119100002")</f>
        <v>#NAME?</v>
      </c>
      <c r="K2512" s="28" t="e">
        <f ca="1">[1]!BexGetData("DP_1","003N8EMH8GTFRIVNUPY288VJH","GSON1119100002")</f>
        <v>#NAME?</v>
      </c>
      <c r="L2512" s="28" t="e">
        <f ca="1">[1]!BexGetData("DP_1","003N8EMH8GTFRIVNUPY2891V1","GSON1119100002")</f>
        <v>#NAME?</v>
      </c>
      <c r="M2512" s="28" t="e">
        <f ca="1">[1]!BexGetData("DP_1","003N8EMH8GTFRIVOG7KG9IQXA","GSON1119100002")</f>
        <v>#NAME?</v>
      </c>
      <c r="N2512" s="28" t="e">
        <f ca="1">[1]!BexGetData("DP_1","003N8EMH8GTFRIVOG7KG9IX8U","GSON1119100002")</f>
        <v>#NAME?</v>
      </c>
      <c r="O2512" s="28" t="e">
        <f ca="1">[1]!BexGetData("DP_1","003N8EMH8GTFRIVOG7KG9J3KE","GSON1119100002")</f>
        <v>#NAME?</v>
      </c>
      <c r="P2512" s="28" t="e">
        <f ca="1">[1]!BexGetData("DP_1","003N8EMH8GTFRIVOG7KG9J9VY","GSON1119100002")</f>
        <v>#NAME?</v>
      </c>
      <c r="Q2512" s="24" t="e">
        <f ca="1">[1]!BexGetData("DP_1","00O2TNJGODT0G5Z4TTKYMM5MT","GSON1119100002")</f>
        <v>#NAME?</v>
      </c>
      <c r="R2512" s="28" t="e">
        <f ca="1">[1]!BexGetData("DP_1","00O2TNJGODT0G5Z4TTKYMMBYD","GSON1119100002")</f>
        <v>#NAME?</v>
      </c>
      <c r="S2512" s="28" t="e">
        <f ca="1">[1]!BexGetData("DP_1","00O2TNJGODT0G5Z4TTKYMMI9X","GSON1119100002")</f>
        <v>#NAME?</v>
      </c>
      <c r="T2512" s="28" t="e">
        <f ca="1">[1]!BexGetData("DP_1","00O2TNJGODT0G5Z4TTKYMMOLH","GSON1119100002")</f>
        <v>#NAME?</v>
      </c>
      <c r="U2512" s="28" t="e">
        <f ca="1">[1]!BexGetData("DP_1","00O2TNJGODT0G5Z4TTKYMMUX1","GSON1119100002")</f>
        <v>#NAME?</v>
      </c>
      <c r="V2512" s="28" t="e">
        <f ca="1">[1]!BexGetData("DP_1","00O2TNJGODT0G5Z4TTKYMN18L","GSON1119100002")</f>
        <v>#NAME?</v>
      </c>
      <c r="W2512" s="28" t="e">
        <f ca="1">[1]!BexGetData("DP_1","00O2TNJGODT0G5Z4TTKYMN7K5","GSON1119100002")</f>
        <v>#NAME?</v>
      </c>
    </row>
    <row r="2513" spans="1:23" x14ac:dyDescent="0.2">
      <c r="A2513" s="34" t="s">
        <v>444</v>
      </c>
      <c r="B2513" s="27" t="s">
        <v>445</v>
      </c>
      <c r="C2513" s="23" t="e">
        <f ca="1">[1]!BexGetData("DP_1","003N8EMH8GTFRCSWKMPXRR8GU","GSON112")</f>
        <v>#NAME?</v>
      </c>
      <c r="D2513" s="23" t="e">
        <f ca="1">[1]!BexGetData("DP_1","003N8EMH8GTFRCSWKMPXRRESE","GSON112")</f>
        <v>#NAME?</v>
      </c>
      <c r="E2513" s="23" t="e">
        <f ca="1">[1]!BexGetData("DP_1","003N8EMH8GTFRCSWKMPXRRL3Y","GSON112")</f>
        <v>#NAME?</v>
      </c>
      <c r="F2513" s="23" t="e">
        <f ca="1">[1]!BexGetData("DP_1","003N8EMH8GTFRCSWKMPXRRRFI","GSON112")</f>
        <v>#NAME?</v>
      </c>
      <c r="G2513" s="23" t="e">
        <f ca="1">[1]!BexGetData("DP_1","003N8EMH8GTFRCSWKMPXRRXR2","GSON112")</f>
        <v>#NAME?</v>
      </c>
      <c r="H2513" s="23" t="e">
        <f ca="1">[1]!BexGetData("DP_1","003N8EMH8GTFRCSWKMPXRS42M","GSON112")</f>
        <v>#NAME?</v>
      </c>
      <c r="I2513" s="23" t="e">
        <f ca="1">[1]!BexGetData("DP_1","003N8EMH8GTFRCSWKMPXRSAE6","GSON112")</f>
        <v>#NAME?</v>
      </c>
      <c r="J2513" s="23" t="e">
        <f ca="1">[1]!BexGetData("DP_1","003N8EMH8GTFRCSWKMPXRSGPQ","GSON112")</f>
        <v>#NAME?</v>
      </c>
      <c r="K2513" s="23" t="e">
        <f ca="1">[1]!BexGetData("DP_1","003N8EMH8GTFRIVNUPY288VJH","GSON112")</f>
        <v>#NAME?</v>
      </c>
      <c r="L2513" s="23" t="e">
        <f ca="1">[1]!BexGetData("DP_1","003N8EMH8GTFRIVNUPY2891V1","GSON112")</f>
        <v>#NAME?</v>
      </c>
      <c r="M2513" s="28" t="e">
        <f ca="1">[1]!BexGetData("DP_1","003N8EMH8GTFRIVOG7KG9IQXA","GSON112")</f>
        <v>#NAME?</v>
      </c>
      <c r="N2513" s="23" t="e">
        <f ca="1">[1]!BexGetData("DP_1","003N8EMH8GTFRIVOG7KG9IX8U","GSON112")</f>
        <v>#NAME?</v>
      </c>
      <c r="O2513" s="28" t="e">
        <f ca="1">[1]!BexGetData("DP_1","003N8EMH8GTFRIVOG7KG9J3KE","GSON112")</f>
        <v>#NAME?</v>
      </c>
      <c r="P2513" s="23" t="e">
        <f ca="1">[1]!BexGetData("DP_1","003N8EMH8GTFRIVOG7KG9J9VY","GSON112")</f>
        <v>#NAME?</v>
      </c>
      <c r="Q2513" s="23" t="e">
        <f ca="1">[1]!BexGetData("DP_1","00O2TNJGODT0G5Z4TTKYMM5MT","GSON112")</f>
        <v>#NAME?</v>
      </c>
      <c r="R2513" s="23" t="e">
        <f ca="1">[1]!BexGetData("DP_1","00O2TNJGODT0G5Z4TTKYMMBYD","GSON112")</f>
        <v>#NAME?</v>
      </c>
      <c r="S2513" s="23" t="e">
        <f ca="1">[1]!BexGetData("DP_1","00O2TNJGODT0G5Z4TTKYMMI9X","GSON112")</f>
        <v>#NAME?</v>
      </c>
      <c r="T2513" s="28" t="e">
        <f ca="1">[1]!BexGetData("DP_1","00O2TNJGODT0G5Z4TTKYMMOLH","GSON112")</f>
        <v>#NAME?</v>
      </c>
      <c r="U2513" s="23" t="e">
        <f ca="1">[1]!BexGetData("DP_1","00O2TNJGODT0G5Z4TTKYMMUX1","GSON112")</f>
        <v>#NAME?</v>
      </c>
      <c r="V2513" s="28" t="e">
        <f ca="1">[1]!BexGetData("DP_1","00O2TNJGODT0G5Z4TTKYMN18L","GSON112")</f>
        <v>#NAME?</v>
      </c>
      <c r="W2513" s="23" t="e">
        <f ca="1">[1]!BexGetData("DP_1","00O2TNJGODT0G5Z4TTKYMN7K5","GSON112")</f>
        <v>#NAME?</v>
      </c>
    </row>
    <row r="2514" spans="1:23" x14ac:dyDescent="0.2">
      <c r="A2514" s="35" t="s">
        <v>446</v>
      </c>
      <c r="B2514" s="27" t="s">
        <v>447</v>
      </c>
      <c r="C2514" s="23" t="e">
        <f ca="1">[1]!BexGetData("DP_1","003N8EMH8GTFRCSWKMPXRR8GU","GSON1122")</f>
        <v>#NAME?</v>
      </c>
      <c r="D2514" s="23" t="e">
        <f ca="1">[1]!BexGetData("DP_1","003N8EMH8GTFRCSWKMPXRRESE","GSON1122")</f>
        <v>#NAME?</v>
      </c>
      <c r="E2514" s="28" t="e">
        <f ca="1">[1]!BexGetData("DP_1","003N8EMH8GTFRCSWKMPXRRL3Y","GSON1122")</f>
        <v>#NAME?</v>
      </c>
      <c r="F2514" s="28" t="e">
        <f ca="1">[1]!BexGetData("DP_1","003N8EMH8GTFRCSWKMPXRRRFI","GSON1122")</f>
        <v>#NAME?</v>
      </c>
      <c r="G2514" s="23" t="e">
        <f ca="1">[1]!BexGetData("DP_1","003N8EMH8GTFRCSWKMPXRRXR2","GSON1122")</f>
        <v>#NAME?</v>
      </c>
      <c r="H2514" s="23" t="e">
        <f ca="1">[1]!BexGetData("DP_1","003N8EMH8GTFRCSWKMPXRS42M","GSON1122")</f>
        <v>#NAME?</v>
      </c>
      <c r="I2514" s="28" t="e">
        <f ca="1">[1]!BexGetData("DP_1","003N8EMH8GTFRCSWKMPXRSAE6","GSON1122")</f>
        <v>#NAME?</v>
      </c>
      <c r="J2514" s="28" t="e">
        <f ca="1">[1]!BexGetData("DP_1","003N8EMH8GTFRCSWKMPXRSGPQ","GSON1122")</f>
        <v>#NAME?</v>
      </c>
      <c r="K2514" s="28" t="e">
        <f ca="1">[1]!BexGetData("DP_1","003N8EMH8GTFRIVNUPY288VJH","GSON1122")</f>
        <v>#NAME?</v>
      </c>
      <c r="L2514" s="28" t="e">
        <f ca="1">[1]!BexGetData("DP_1","003N8EMH8GTFRIVNUPY2891V1","GSON1122")</f>
        <v>#NAME?</v>
      </c>
      <c r="M2514" s="28" t="e">
        <f ca="1">[1]!BexGetData("DP_1","003N8EMH8GTFRIVOG7KG9IQXA","GSON1122")</f>
        <v>#NAME?</v>
      </c>
      <c r="N2514" s="28" t="e">
        <f ca="1">[1]!BexGetData("DP_1","003N8EMH8GTFRIVOG7KG9IX8U","GSON1122")</f>
        <v>#NAME?</v>
      </c>
      <c r="O2514" s="28" t="e">
        <f ca="1">[1]!BexGetData("DP_1","003N8EMH8GTFRIVOG7KG9J3KE","GSON1122")</f>
        <v>#NAME?</v>
      </c>
      <c r="P2514" s="28" t="e">
        <f ca="1">[1]!BexGetData("DP_1","003N8EMH8GTFRIVOG7KG9J9VY","GSON1122")</f>
        <v>#NAME?</v>
      </c>
      <c r="Q2514" s="28" t="e">
        <f ca="1">[1]!BexGetData("DP_1","00O2TNJGODT0G5Z4TTKYMM5MT","GSON1122")</f>
        <v>#NAME?</v>
      </c>
      <c r="R2514" s="28" t="e">
        <f ca="1">[1]!BexGetData("DP_1","00O2TNJGODT0G5Z4TTKYMMBYD","GSON1122")</f>
        <v>#NAME?</v>
      </c>
      <c r="S2514" s="28" t="e">
        <f ca="1">[1]!BexGetData("DP_1","00O2TNJGODT0G5Z4TTKYMMI9X","GSON1122")</f>
        <v>#NAME?</v>
      </c>
      <c r="T2514" s="28" t="e">
        <f ca="1">[1]!BexGetData("DP_1","00O2TNJGODT0G5Z4TTKYMMOLH","GSON1122")</f>
        <v>#NAME?</v>
      </c>
      <c r="U2514" s="28" t="e">
        <f ca="1">[1]!BexGetData("DP_1","00O2TNJGODT0G5Z4TTKYMMUX1","GSON1122")</f>
        <v>#NAME?</v>
      </c>
      <c r="V2514" s="28" t="e">
        <f ca="1">[1]!BexGetData("DP_1","00O2TNJGODT0G5Z4TTKYMN18L","GSON1122")</f>
        <v>#NAME?</v>
      </c>
      <c r="W2514" s="28" t="e">
        <f ca="1">[1]!BexGetData("DP_1","00O2TNJGODT0G5Z4TTKYMN7K5","GSON1122")</f>
        <v>#NAME?</v>
      </c>
    </row>
    <row r="2515" spans="1:23" x14ac:dyDescent="0.2">
      <c r="A2515" s="36" t="s">
        <v>5929</v>
      </c>
      <c r="B2515" s="27" t="s">
        <v>5930</v>
      </c>
      <c r="C2515" s="23" t="e">
        <f ca="1">[1]!BexGetData("DP_1","003N8EMH8GTFRCSWKMPXRR8GU","GSON1122100073")</f>
        <v>#NAME?</v>
      </c>
      <c r="D2515" s="23" t="e">
        <f ca="1">[1]!BexGetData("DP_1","003N8EMH8GTFRCSWKMPXRRESE","GSON1122100073")</f>
        <v>#NAME?</v>
      </c>
      <c r="E2515" s="28" t="e">
        <f ca="1">[1]!BexGetData("DP_1","003N8EMH8GTFRCSWKMPXRRL3Y","GSON1122100073")</f>
        <v>#NAME?</v>
      </c>
      <c r="F2515" s="24" t="e">
        <f ca="1">[1]!BexGetData("DP_1","003N8EMH8GTFRCSWKMPXRRRFI","GSON1122100073")</f>
        <v>#NAME?</v>
      </c>
      <c r="G2515" s="24" t="e">
        <f ca="1">[1]!BexGetData("DP_1","003N8EMH8GTFRCSWKMPXRRXR2","GSON1122100073")</f>
        <v>#NAME?</v>
      </c>
      <c r="H2515" s="24" t="e">
        <f ca="1">[1]!BexGetData("DP_1","003N8EMH8GTFRCSWKMPXRS42M","GSON1122100073")</f>
        <v>#NAME?</v>
      </c>
      <c r="I2515" s="24" t="e">
        <f ca="1">[1]!BexGetData("DP_1","003N8EMH8GTFRCSWKMPXRSAE6","GSON1122100073")</f>
        <v>#NAME?</v>
      </c>
      <c r="J2515" s="24" t="e">
        <f ca="1">[1]!BexGetData("DP_1","003N8EMH8GTFRCSWKMPXRSGPQ","GSON1122100073")</f>
        <v>#NAME?</v>
      </c>
      <c r="K2515" s="28" t="e">
        <f ca="1">[1]!BexGetData("DP_1","003N8EMH8GTFRIVNUPY288VJH","GSON1122100073")</f>
        <v>#NAME?</v>
      </c>
      <c r="L2515" s="28" t="e">
        <f ca="1">[1]!BexGetData("DP_1","003N8EMH8GTFRIVNUPY2891V1","GSON1122100073")</f>
        <v>#NAME?</v>
      </c>
      <c r="M2515" s="28" t="e">
        <f ca="1">[1]!BexGetData("DP_1","003N8EMH8GTFRIVOG7KG9IQXA","GSON1122100073")</f>
        <v>#NAME?</v>
      </c>
      <c r="N2515" s="28" t="e">
        <f ca="1">[1]!BexGetData("DP_1","003N8EMH8GTFRIVOG7KG9IX8U","GSON1122100073")</f>
        <v>#NAME?</v>
      </c>
      <c r="O2515" s="28" t="e">
        <f ca="1">[1]!BexGetData("DP_1","003N8EMH8GTFRIVOG7KG9J3KE","GSON1122100073")</f>
        <v>#NAME?</v>
      </c>
      <c r="P2515" s="28" t="e">
        <f ca="1">[1]!BexGetData("DP_1","003N8EMH8GTFRIVOG7KG9J9VY","GSON1122100073")</f>
        <v>#NAME?</v>
      </c>
      <c r="Q2515" s="24" t="e">
        <f ca="1">[1]!BexGetData("DP_1","00O2TNJGODT0G5Z4TTKYMM5MT","GSON1122100073")</f>
        <v>#NAME?</v>
      </c>
      <c r="R2515" s="24" t="e">
        <f ca="1">[1]!BexGetData("DP_1","00O2TNJGODT0G5Z4TTKYMMBYD","GSON1122100073")</f>
        <v>#NAME?</v>
      </c>
      <c r="S2515" s="24" t="e">
        <f ca="1">[1]!BexGetData("DP_1","00O2TNJGODT0G5Z4TTKYMMI9X","GSON1122100073")</f>
        <v>#NAME?</v>
      </c>
      <c r="T2515" s="24" t="e">
        <f ca="1">[1]!BexGetData("DP_1","00O2TNJGODT0G5Z4TTKYMMOLH","GSON1122100073")</f>
        <v>#NAME?</v>
      </c>
      <c r="U2515" s="24" t="e">
        <f ca="1">[1]!BexGetData("DP_1","00O2TNJGODT0G5Z4TTKYMMUX1","GSON1122100073")</f>
        <v>#NAME?</v>
      </c>
      <c r="V2515" s="24" t="e">
        <f ca="1">[1]!BexGetData("DP_1","00O2TNJGODT0G5Z4TTKYMN18L","GSON1122100073")</f>
        <v>#NAME?</v>
      </c>
      <c r="W2515" s="24" t="e">
        <f ca="1">[1]!BexGetData("DP_1","00O2TNJGODT0G5Z4TTKYMN7K5","GSON1122100073")</f>
        <v>#NAME?</v>
      </c>
    </row>
    <row r="2516" spans="1:23" x14ac:dyDescent="0.2">
      <c r="A2516" s="36" t="s">
        <v>5931</v>
      </c>
      <c r="B2516" s="27" t="s">
        <v>5932</v>
      </c>
      <c r="C2516" s="24" t="e">
        <f ca="1">[1]!BexGetData("DP_1","003N8EMH8GTFRCSWKMPXRR8GU","GSON1122300080")</f>
        <v>#NAME?</v>
      </c>
      <c r="D2516" s="24" t="e">
        <f ca="1">[1]!BexGetData("DP_1","003N8EMH8GTFRCSWKMPXRRESE","GSON1122300080")</f>
        <v>#NAME?</v>
      </c>
      <c r="E2516" s="24" t="e">
        <f ca="1">[1]!BexGetData("DP_1","003N8EMH8GTFRCSWKMPXRRL3Y","GSON1122300080")</f>
        <v>#NAME?</v>
      </c>
      <c r="F2516" s="28" t="e">
        <f ca="1">[1]!BexGetData("DP_1","003N8EMH8GTFRCSWKMPXRRRFI","GSON1122300080")</f>
        <v>#NAME?</v>
      </c>
      <c r="G2516" s="28" t="e">
        <f ca="1">[1]!BexGetData("DP_1","003N8EMH8GTFRCSWKMPXRRXR2","GSON1122300080")</f>
        <v>#NAME?</v>
      </c>
      <c r="H2516" s="28" t="e">
        <f ca="1">[1]!BexGetData("DP_1","003N8EMH8GTFRCSWKMPXRS42M","GSON1122300080")</f>
        <v>#NAME?</v>
      </c>
      <c r="I2516" s="28" t="e">
        <f ca="1">[1]!BexGetData("DP_1","003N8EMH8GTFRCSWKMPXRSAE6","GSON1122300080")</f>
        <v>#NAME?</v>
      </c>
      <c r="J2516" s="28" t="e">
        <f ca="1">[1]!BexGetData("DP_1","003N8EMH8GTFRCSWKMPXRSGPQ","GSON1122300080")</f>
        <v>#NAME?</v>
      </c>
      <c r="K2516" s="28" t="e">
        <f ca="1">[1]!BexGetData("DP_1","003N8EMH8GTFRIVNUPY288VJH","GSON1122300080")</f>
        <v>#NAME?</v>
      </c>
      <c r="L2516" s="28" t="e">
        <f ca="1">[1]!BexGetData("DP_1","003N8EMH8GTFRIVNUPY2891V1","GSON1122300080")</f>
        <v>#NAME?</v>
      </c>
      <c r="M2516" s="28" t="e">
        <f ca="1">[1]!BexGetData("DP_1","003N8EMH8GTFRIVOG7KG9IQXA","GSON1122300080")</f>
        <v>#NAME?</v>
      </c>
      <c r="N2516" s="28" t="e">
        <f ca="1">[1]!BexGetData("DP_1","003N8EMH8GTFRIVOG7KG9IX8U","GSON1122300080")</f>
        <v>#NAME?</v>
      </c>
      <c r="O2516" s="28" t="e">
        <f ca="1">[1]!BexGetData("DP_1","003N8EMH8GTFRIVOG7KG9J3KE","GSON1122300080")</f>
        <v>#NAME?</v>
      </c>
      <c r="P2516" s="28" t="e">
        <f ca="1">[1]!BexGetData("DP_1","003N8EMH8GTFRIVOG7KG9J9VY","GSON1122300080")</f>
        <v>#NAME?</v>
      </c>
      <c r="Q2516" s="28" t="e">
        <f ca="1">[1]!BexGetData("DP_1","00O2TNJGODT0G5Z4TTKYMM5MT","GSON1122300080")</f>
        <v>#NAME?</v>
      </c>
      <c r="R2516" s="28" t="e">
        <f ca="1">[1]!BexGetData("DP_1","00O2TNJGODT0G5Z4TTKYMMBYD","GSON1122300080")</f>
        <v>#NAME?</v>
      </c>
      <c r="S2516" s="28" t="e">
        <f ca="1">[1]!BexGetData("DP_1","00O2TNJGODT0G5Z4TTKYMMI9X","GSON1122300080")</f>
        <v>#NAME?</v>
      </c>
      <c r="T2516" s="28" t="e">
        <f ca="1">[1]!BexGetData("DP_1","00O2TNJGODT0G5Z4TTKYMMOLH","GSON1122300080")</f>
        <v>#NAME?</v>
      </c>
      <c r="U2516" s="28" t="e">
        <f ca="1">[1]!BexGetData("DP_1","00O2TNJGODT0G5Z4TTKYMMUX1","GSON1122300080")</f>
        <v>#NAME?</v>
      </c>
      <c r="V2516" s="28" t="e">
        <f ca="1">[1]!BexGetData("DP_1","00O2TNJGODT0G5Z4TTKYMN18L","GSON1122300080")</f>
        <v>#NAME?</v>
      </c>
      <c r="W2516" s="28" t="e">
        <f ca="1">[1]!BexGetData("DP_1","00O2TNJGODT0G5Z4TTKYMN7K5","GSON1122300080")</f>
        <v>#NAME?</v>
      </c>
    </row>
    <row r="2517" spans="1:23" x14ac:dyDescent="0.2">
      <c r="A2517" s="36" t="s">
        <v>448</v>
      </c>
      <c r="B2517" s="27" t="s">
        <v>449</v>
      </c>
      <c r="C2517" s="23" t="e">
        <f ca="1">[1]!BexGetData("DP_1","003N8EMH8GTFRCSWKMPXRR8GU","GSON1122300081")</f>
        <v>#NAME?</v>
      </c>
      <c r="D2517" s="23" t="e">
        <f ca="1">[1]!BexGetData("DP_1","003N8EMH8GTFRCSWKMPXRRESE","GSON1122300081")</f>
        <v>#NAME?</v>
      </c>
      <c r="E2517" s="28" t="e">
        <f ca="1">[1]!BexGetData("DP_1","003N8EMH8GTFRCSWKMPXRRL3Y","GSON1122300081")</f>
        <v>#NAME?</v>
      </c>
      <c r="F2517" s="28" t="e">
        <f ca="1">[1]!BexGetData("DP_1","003N8EMH8GTFRCSWKMPXRRRFI","GSON1122300081")</f>
        <v>#NAME?</v>
      </c>
      <c r="G2517" s="23" t="e">
        <f ca="1">[1]!BexGetData("DP_1","003N8EMH8GTFRCSWKMPXRRXR2","GSON1122300081")</f>
        <v>#NAME?</v>
      </c>
      <c r="H2517" s="23" t="e">
        <f ca="1">[1]!BexGetData("DP_1","003N8EMH8GTFRCSWKMPXRS42M","GSON1122300081")</f>
        <v>#NAME?</v>
      </c>
      <c r="I2517" s="28" t="e">
        <f ca="1">[1]!BexGetData("DP_1","003N8EMH8GTFRCSWKMPXRSAE6","GSON1122300081")</f>
        <v>#NAME?</v>
      </c>
      <c r="J2517" s="24" t="e">
        <f ca="1">[1]!BexGetData("DP_1","003N8EMH8GTFRCSWKMPXRSGPQ","GSON1122300081")</f>
        <v>#NAME?</v>
      </c>
      <c r="K2517" s="28" t="e">
        <f ca="1">[1]!BexGetData("DP_1","003N8EMH8GTFRIVNUPY288VJH","GSON1122300081")</f>
        <v>#NAME?</v>
      </c>
      <c r="L2517" s="28" t="e">
        <f ca="1">[1]!BexGetData("DP_1","003N8EMH8GTFRIVNUPY2891V1","GSON1122300081")</f>
        <v>#NAME?</v>
      </c>
      <c r="M2517" s="28" t="e">
        <f ca="1">[1]!BexGetData("DP_1","003N8EMH8GTFRIVOG7KG9IQXA","GSON1122300081")</f>
        <v>#NAME?</v>
      </c>
      <c r="N2517" s="28" t="e">
        <f ca="1">[1]!BexGetData("DP_1","003N8EMH8GTFRIVOG7KG9IX8U","GSON1122300081")</f>
        <v>#NAME?</v>
      </c>
      <c r="O2517" s="28" t="e">
        <f ca="1">[1]!BexGetData("DP_1","003N8EMH8GTFRIVOG7KG9J3KE","GSON1122300081")</f>
        <v>#NAME?</v>
      </c>
      <c r="P2517" s="28" t="e">
        <f ca="1">[1]!BexGetData("DP_1","003N8EMH8GTFRIVOG7KG9J9VY","GSON1122300081")</f>
        <v>#NAME?</v>
      </c>
      <c r="Q2517" s="24" t="e">
        <f ca="1">[1]!BexGetData("DP_1","00O2TNJGODT0G5Z4TTKYMM5MT","GSON1122300081")</f>
        <v>#NAME?</v>
      </c>
      <c r="R2517" s="28" t="e">
        <f ca="1">[1]!BexGetData("DP_1","00O2TNJGODT0G5Z4TTKYMMBYD","GSON1122300081")</f>
        <v>#NAME?</v>
      </c>
      <c r="S2517" s="28" t="e">
        <f ca="1">[1]!BexGetData("DP_1","00O2TNJGODT0G5Z4TTKYMMI9X","GSON1122300081")</f>
        <v>#NAME?</v>
      </c>
      <c r="T2517" s="28" t="e">
        <f ca="1">[1]!BexGetData("DP_1","00O2TNJGODT0G5Z4TTKYMMOLH","GSON1122300081")</f>
        <v>#NAME?</v>
      </c>
      <c r="U2517" s="28" t="e">
        <f ca="1">[1]!BexGetData("DP_1","00O2TNJGODT0G5Z4TTKYMMUX1","GSON1122300081")</f>
        <v>#NAME?</v>
      </c>
      <c r="V2517" s="28" t="e">
        <f ca="1">[1]!BexGetData("DP_1","00O2TNJGODT0G5Z4TTKYMN18L","GSON1122300081")</f>
        <v>#NAME?</v>
      </c>
      <c r="W2517" s="28" t="e">
        <f ca="1">[1]!BexGetData("DP_1","00O2TNJGODT0G5Z4TTKYMN7K5","GSON1122300081")</f>
        <v>#NAME?</v>
      </c>
    </row>
    <row r="2518" spans="1:23" x14ac:dyDescent="0.2">
      <c r="A2518" s="36" t="s">
        <v>5933</v>
      </c>
      <c r="B2518" s="27" t="s">
        <v>5934</v>
      </c>
      <c r="C2518" s="23" t="e">
        <f ca="1">[1]!BexGetData("DP_1","003N8EMH8GTFRCSWKMPXRR8GU","GSON1122300082")</f>
        <v>#NAME?</v>
      </c>
      <c r="D2518" s="23" t="e">
        <f ca="1">[1]!BexGetData("DP_1","003N8EMH8GTFRCSWKMPXRRESE","GSON1122300082")</f>
        <v>#NAME?</v>
      </c>
      <c r="E2518" s="28" t="e">
        <f ca="1">[1]!BexGetData("DP_1","003N8EMH8GTFRCSWKMPXRRL3Y","GSON1122300082")</f>
        <v>#NAME?</v>
      </c>
      <c r="F2518" s="28" t="e">
        <f ca="1">[1]!BexGetData("DP_1","003N8EMH8GTFRCSWKMPXRRRFI","GSON1122300082")</f>
        <v>#NAME?</v>
      </c>
      <c r="G2518" s="23" t="e">
        <f ca="1">[1]!BexGetData("DP_1","003N8EMH8GTFRCSWKMPXRRXR2","GSON1122300082")</f>
        <v>#NAME?</v>
      </c>
      <c r="H2518" s="23" t="e">
        <f ca="1">[1]!BexGetData("DP_1","003N8EMH8GTFRCSWKMPXRS42M","GSON1122300082")</f>
        <v>#NAME?</v>
      </c>
      <c r="I2518" s="28" t="e">
        <f ca="1">[1]!BexGetData("DP_1","003N8EMH8GTFRCSWKMPXRSAE6","GSON1122300082")</f>
        <v>#NAME?</v>
      </c>
      <c r="J2518" s="24" t="e">
        <f ca="1">[1]!BexGetData("DP_1","003N8EMH8GTFRCSWKMPXRSGPQ","GSON1122300082")</f>
        <v>#NAME?</v>
      </c>
      <c r="K2518" s="28" t="e">
        <f ca="1">[1]!BexGetData("DP_1","003N8EMH8GTFRIVNUPY288VJH","GSON1122300082")</f>
        <v>#NAME?</v>
      </c>
      <c r="L2518" s="28" t="e">
        <f ca="1">[1]!BexGetData("DP_1","003N8EMH8GTFRIVNUPY2891V1","GSON1122300082")</f>
        <v>#NAME?</v>
      </c>
      <c r="M2518" s="28" t="e">
        <f ca="1">[1]!BexGetData("DP_1","003N8EMH8GTFRIVOG7KG9IQXA","GSON1122300082")</f>
        <v>#NAME?</v>
      </c>
      <c r="N2518" s="28" t="e">
        <f ca="1">[1]!BexGetData("DP_1","003N8EMH8GTFRIVOG7KG9IX8U","GSON1122300082")</f>
        <v>#NAME?</v>
      </c>
      <c r="O2518" s="28" t="e">
        <f ca="1">[1]!BexGetData("DP_1","003N8EMH8GTFRIVOG7KG9J3KE","GSON1122300082")</f>
        <v>#NAME?</v>
      </c>
      <c r="P2518" s="28" t="e">
        <f ca="1">[1]!BexGetData("DP_1","003N8EMH8GTFRIVOG7KG9J9VY","GSON1122300082")</f>
        <v>#NAME?</v>
      </c>
      <c r="Q2518" s="24" t="e">
        <f ca="1">[1]!BexGetData("DP_1","00O2TNJGODT0G5Z4TTKYMM5MT","GSON1122300082")</f>
        <v>#NAME?</v>
      </c>
      <c r="R2518" s="28" t="e">
        <f ca="1">[1]!BexGetData("DP_1","00O2TNJGODT0G5Z4TTKYMMBYD","GSON1122300082")</f>
        <v>#NAME?</v>
      </c>
      <c r="S2518" s="28" t="e">
        <f ca="1">[1]!BexGetData("DP_1","00O2TNJGODT0G5Z4TTKYMMI9X","GSON1122300082")</f>
        <v>#NAME?</v>
      </c>
      <c r="T2518" s="28" t="e">
        <f ca="1">[1]!BexGetData("DP_1","00O2TNJGODT0G5Z4TTKYMMOLH","GSON1122300082")</f>
        <v>#NAME?</v>
      </c>
      <c r="U2518" s="28" t="e">
        <f ca="1">[1]!BexGetData("DP_1","00O2TNJGODT0G5Z4TTKYMMUX1","GSON1122300082")</f>
        <v>#NAME?</v>
      </c>
      <c r="V2518" s="28" t="e">
        <f ca="1">[1]!BexGetData("DP_1","00O2TNJGODT0G5Z4TTKYMN18L","GSON1122300082")</f>
        <v>#NAME?</v>
      </c>
      <c r="W2518" s="28" t="e">
        <f ca="1">[1]!BexGetData("DP_1","00O2TNJGODT0G5Z4TTKYMN7K5","GSON1122300082")</f>
        <v>#NAME?</v>
      </c>
    </row>
    <row r="2519" spans="1:23" x14ac:dyDescent="0.2">
      <c r="A2519" s="36" t="s">
        <v>671</v>
      </c>
      <c r="B2519" s="27" t="s">
        <v>672</v>
      </c>
      <c r="C2519" s="23" t="e">
        <f ca="1">[1]!BexGetData("DP_1","003N8EMH8GTFRCSWKMPXRR8GU","GSON1122300083")</f>
        <v>#NAME?</v>
      </c>
      <c r="D2519" s="23" t="e">
        <f ca="1">[1]!BexGetData("DP_1","003N8EMH8GTFRCSWKMPXRRESE","GSON1122300083")</f>
        <v>#NAME?</v>
      </c>
      <c r="E2519" s="28" t="e">
        <f ca="1">[1]!BexGetData("DP_1","003N8EMH8GTFRCSWKMPXRRL3Y","GSON1122300083")</f>
        <v>#NAME?</v>
      </c>
      <c r="F2519" s="28" t="e">
        <f ca="1">[1]!BexGetData("DP_1","003N8EMH8GTFRCSWKMPXRRRFI","GSON1122300083")</f>
        <v>#NAME?</v>
      </c>
      <c r="G2519" s="23" t="e">
        <f ca="1">[1]!BexGetData("DP_1","003N8EMH8GTFRCSWKMPXRRXR2","GSON1122300083")</f>
        <v>#NAME?</v>
      </c>
      <c r="H2519" s="23" t="e">
        <f ca="1">[1]!BexGetData("DP_1","003N8EMH8GTFRCSWKMPXRS42M","GSON1122300083")</f>
        <v>#NAME?</v>
      </c>
      <c r="I2519" s="28" t="e">
        <f ca="1">[1]!BexGetData("DP_1","003N8EMH8GTFRCSWKMPXRSAE6","GSON1122300083")</f>
        <v>#NAME?</v>
      </c>
      <c r="J2519" s="24" t="e">
        <f ca="1">[1]!BexGetData("DP_1","003N8EMH8GTFRCSWKMPXRSGPQ","GSON1122300083")</f>
        <v>#NAME?</v>
      </c>
      <c r="K2519" s="28" t="e">
        <f ca="1">[1]!BexGetData("DP_1","003N8EMH8GTFRIVNUPY288VJH","GSON1122300083")</f>
        <v>#NAME?</v>
      </c>
      <c r="L2519" s="28" t="e">
        <f ca="1">[1]!BexGetData("DP_1","003N8EMH8GTFRIVNUPY2891V1","GSON1122300083")</f>
        <v>#NAME?</v>
      </c>
      <c r="M2519" s="28" t="e">
        <f ca="1">[1]!BexGetData("DP_1","003N8EMH8GTFRIVOG7KG9IQXA","GSON1122300083")</f>
        <v>#NAME?</v>
      </c>
      <c r="N2519" s="28" t="e">
        <f ca="1">[1]!BexGetData("DP_1","003N8EMH8GTFRIVOG7KG9IX8U","GSON1122300083")</f>
        <v>#NAME?</v>
      </c>
      <c r="O2519" s="28" t="e">
        <f ca="1">[1]!BexGetData("DP_1","003N8EMH8GTFRIVOG7KG9J3KE","GSON1122300083")</f>
        <v>#NAME?</v>
      </c>
      <c r="P2519" s="28" t="e">
        <f ca="1">[1]!BexGetData("DP_1","003N8EMH8GTFRIVOG7KG9J9VY","GSON1122300083")</f>
        <v>#NAME?</v>
      </c>
      <c r="Q2519" s="24" t="e">
        <f ca="1">[1]!BexGetData("DP_1","00O2TNJGODT0G5Z4TTKYMM5MT","GSON1122300083")</f>
        <v>#NAME?</v>
      </c>
      <c r="R2519" s="28" t="e">
        <f ca="1">[1]!BexGetData("DP_1","00O2TNJGODT0G5Z4TTKYMMBYD","GSON1122300083")</f>
        <v>#NAME?</v>
      </c>
      <c r="S2519" s="28" t="e">
        <f ca="1">[1]!BexGetData("DP_1","00O2TNJGODT0G5Z4TTKYMMI9X","GSON1122300083")</f>
        <v>#NAME?</v>
      </c>
      <c r="T2519" s="28" t="e">
        <f ca="1">[1]!BexGetData("DP_1","00O2TNJGODT0G5Z4TTKYMMOLH","GSON1122300083")</f>
        <v>#NAME?</v>
      </c>
      <c r="U2519" s="28" t="e">
        <f ca="1">[1]!BexGetData("DP_1","00O2TNJGODT0G5Z4TTKYMMUX1","GSON1122300083")</f>
        <v>#NAME?</v>
      </c>
      <c r="V2519" s="28" t="e">
        <f ca="1">[1]!BexGetData("DP_1","00O2TNJGODT0G5Z4TTKYMN18L","GSON1122300083")</f>
        <v>#NAME?</v>
      </c>
      <c r="W2519" s="28" t="e">
        <f ca="1">[1]!BexGetData("DP_1","00O2TNJGODT0G5Z4TTKYMN7K5","GSON1122300083")</f>
        <v>#NAME?</v>
      </c>
    </row>
    <row r="2520" spans="1:23" x14ac:dyDescent="0.2">
      <c r="A2520" s="36" t="s">
        <v>5935</v>
      </c>
      <c r="B2520" s="27" t="s">
        <v>5936</v>
      </c>
      <c r="C2520" s="23" t="e">
        <f ca="1">[1]!BexGetData("DP_1","003N8EMH8GTFRCSWKMPXRR8GU","GSON1122300091")</f>
        <v>#NAME?</v>
      </c>
      <c r="D2520" s="23" t="e">
        <f ca="1">[1]!BexGetData("DP_1","003N8EMH8GTFRCSWKMPXRRESE","GSON1122300091")</f>
        <v>#NAME?</v>
      </c>
      <c r="E2520" s="28" t="e">
        <f ca="1">[1]!BexGetData("DP_1","003N8EMH8GTFRCSWKMPXRRL3Y","GSON1122300091")</f>
        <v>#NAME?</v>
      </c>
      <c r="F2520" s="28" t="e">
        <f ca="1">[1]!BexGetData("DP_1","003N8EMH8GTFRCSWKMPXRRRFI","GSON1122300091")</f>
        <v>#NAME?</v>
      </c>
      <c r="G2520" s="23" t="e">
        <f ca="1">[1]!BexGetData("DP_1","003N8EMH8GTFRCSWKMPXRRXR2","GSON1122300091")</f>
        <v>#NAME?</v>
      </c>
      <c r="H2520" s="23" t="e">
        <f ca="1">[1]!BexGetData("DP_1","003N8EMH8GTFRCSWKMPXRS42M","GSON1122300091")</f>
        <v>#NAME?</v>
      </c>
      <c r="I2520" s="28" t="e">
        <f ca="1">[1]!BexGetData("DP_1","003N8EMH8GTFRCSWKMPXRSAE6","GSON1122300091")</f>
        <v>#NAME?</v>
      </c>
      <c r="J2520" s="24" t="e">
        <f ca="1">[1]!BexGetData("DP_1","003N8EMH8GTFRCSWKMPXRSGPQ","GSON1122300091")</f>
        <v>#NAME?</v>
      </c>
      <c r="K2520" s="28" t="e">
        <f ca="1">[1]!BexGetData("DP_1","003N8EMH8GTFRIVNUPY288VJH","GSON1122300091")</f>
        <v>#NAME?</v>
      </c>
      <c r="L2520" s="28" t="e">
        <f ca="1">[1]!BexGetData("DP_1","003N8EMH8GTFRIVNUPY2891V1","GSON1122300091")</f>
        <v>#NAME?</v>
      </c>
      <c r="M2520" s="28" t="e">
        <f ca="1">[1]!BexGetData("DP_1","003N8EMH8GTFRIVOG7KG9IQXA","GSON1122300091")</f>
        <v>#NAME?</v>
      </c>
      <c r="N2520" s="28" t="e">
        <f ca="1">[1]!BexGetData("DP_1","003N8EMH8GTFRIVOG7KG9IX8U","GSON1122300091")</f>
        <v>#NAME?</v>
      </c>
      <c r="O2520" s="28" t="e">
        <f ca="1">[1]!BexGetData("DP_1","003N8EMH8GTFRIVOG7KG9J3KE","GSON1122300091")</f>
        <v>#NAME?</v>
      </c>
      <c r="P2520" s="28" t="e">
        <f ca="1">[1]!BexGetData("DP_1","003N8EMH8GTFRIVOG7KG9J9VY","GSON1122300091")</f>
        <v>#NAME?</v>
      </c>
      <c r="Q2520" s="24" t="e">
        <f ca="1">[1]!BexGetData("DP_1","00O2TNJGODT0G5Z4TTKYMM5MT","GSON1122300091")</f>
        <v>#NAME?</v>
      </c>
      <c r="R2520" s="28" t="e">
        <f ca="1">[1]!BexGetData("DP_1","00O2TNJGODT0G5Z4TTKYMMBYD","GSON1122300091")</f>
        <v>#NAME?</v>
      </c>
      <c r="S2520" s="28" t="e">
        <f ca="1">[1]!BexGetData("DP_1","00O2TNJGODT0G5Z4TTKYMMI9X","GSON1122300091")</f>
        <v>#NAME?</v>
      </c>
      <c r="T2520" s="28" t="e">
        <f ca="1">[1]!BexGetData("DP_1","00O2TNJGODT0G5Z4TTKYMMOLH","GSON1122300091")</f>
        <v>#NAME?</v>
      </c>
      <c r="U2520" s="28" t="e">
        <f ca="1">[1]!BexGetData("DP_1","00O2TNJGODT0G5Z4TTKYMMUX1","GSON1122300091")</f>
        <v>#NAME?</v>
      </c>
      <c r="V2520" s="28" t="e">
        <f ca="1">[1]!BexGetData("DP_1","00O2TNJGODT0G5Z4TTKYMN18L","GSON1122300091")</f>
        <v>#NAME?</v>
      </c>
      <c r="W2520" s="28" t="e">
        <f ca="1">[1]!BexGetData("DP_1","00O2TNJGODT0G5Z4TTKYMN7K5","GSON1122300091")</f>
        <v>#NAME?</v>
      </c>
    </row>
    <row r="2521" spans="1:23" x14ac:dyDescent="0.2">
      <c r="A2521" s="36" t="s">
        <v>1222</v>
      </c>
      <c r="B2521" s="27" t="s">
        <v>673</v>
      </c>
      <c r="C2521" s="23" t="e">
        <f ca="1">[1]!BexGetData("DP_1","003N8EMH8GTFRCSWKMPXRR8GU","GSON1122300093")</f>
        <v>#NAME?</v>
      </c>
      <c r="D2521" s="23" t="e">
        <f ca="1">[1]!BexGetData("DP_1","003N8EMH8GTFRCSWKMPXRRESE","GSON1122300093")</f>
        <v>#NAME?</v>
      </c>
      <c r="E2521" s="28" t="e">
        <f ca="1">[1]!BexGetData("DP_1","003N8EMH8GTFRCSWKMPXRRL3Y","GSON1122300093")</f>
        <v>#NAME?</v>
      </c>
      <c r="F2521" s="28" t="e">
        <f ca="1">[1]!BexGetData("DP_1","003N8EMH8GTFRCSWKMPXRRRFI","GSON1122300093")</f>
        <v>#NAME?</v>
      </c>
      <c r="G2521" s="23" t="e">
        <f ca="1">[1]!BexGetData("DP_1","003N8EMH8GTFRCSWKMPXRRXR2","GSON1122300093")</f>
        <v>#NAME?</v>
      </c>
      <c r="H2521" s="23" t="e">
        <f ca="1">[1]!BexGetData("DP_1","003N8EMH8GTFRCSWKMPXRS42M","GSON1122300093")</f>
        <v>#NAME?</v>
      </c>
      <c r="I2521" s="28" t="e">
        <f ca="1">[1]!BexGetData("DP_1","003N8EMH8GTFRCSWKMPXRSAE6","GSON1122300093")</f>
        <v>#NAME?</v>
      </c>
      <c r="J2521" s="24" t="e">
        <f ca="1">[1]!BexGetData("DP_1","003N8EMH8GTFRCSWKMPXRSGPQ","GSON1122300093")</f>
        <v>#NAME?</v>
      </c>
      <c r="K2521" s="28" t="e">
        <f ca="1">[1]!BexGetData("DP_1","003N8EMH8GTFRIVNUPY288VJH","GSON1122300093")</f>
        <v>#NAME?</v>
      </c>
      <c r="L2521" s="28" t="e">
        <f ca="1">[1]!BexGetData("DP_1","003N8EMH8GTFRIVNUPY2891V1","GSON1122300093")</f>
        <v>#NAME?</v>
      </c>
      <c r="M2521" s="28" t="e">
        <f ca="1">[1]!BexGetData("DP_1","003N8EMH8GTFRIVOG7KG9IQXA","GSON1122300093")</f>
        <v>#NAME?</v>
      </c>
      <c r="N2521" s="28" t="e">
        <f ca="1">[1]!BexGetData("DP_1","003N8EMH8GTFRIVOG7KG9IX8U","GSON1122300093")</f>
        <v>#NAME?</v>
      </c>
      <c r="O2521" s="28" t="e">
        <f ca="1">[1]!BexGetData("DP_1","003N8EMH8GTFRIVOG7KG9J3KE","GSON1122300093")</f>
        <v>#NAME?</v>
      </c>
      <c r="P2521" s="28" t="e">
        <f ca="1">[1]!BexGetData("DP_1","003N8EMH8GTFRIVOG7KG9J9VY","GSON1122300093")</f>
        <v>#NAME?</v>
      </c>
      <c r="Q2521" s="24" t="e">
        <f ca="1">[1]!BexGetData("DP_1","00O2TNJGODT0G5Z4TTKYMM5MT","GSON1122300093")</f>
        <v>#NAME?</v>
      </c>
      <c r="R2521" s="28" t="e">
        <f ca="1">[1]!BexGetData("DP_1","00O2TNJGODT0G5Z4TTKYMMBYD","GSON1122300093")</f>
        <v>#NAME?</v>
      </c>
      <c r="S2521" s="28" t="e">
        <f ca="1">[1]!BexGetData("DP_1","00O2TNJGODT0G5Z4TTKYMMI9X","GSON1122300093")</f>
        <v>#NAME?</v>
      </c>
      <c r="T2521" s="28" t="e">
        <f ca="1">[1]!BexGetData("DP_1","00O2TNJGODT0G5Z4TTKYMMOLH","GSON1122300093")</f>
        <v>#NAME?</v>
      </c>
      <c r="U2521" s="28" t="e">
        <f ca="1">[1]!BexGetData("DP_1","00O2TNJGODT0G5Z4TTKYMMUX1","GSON1122300093")</f>
        <v>#NAME?</v>
      </c>
      <c r="V2521" s="28" t="e">
        <f ca="1">[1]!BexGetData("DP_1","00O2TNJGODT0G5Z4TTKYMN18L","GSON1122300093")</f>
        <v>#NAME?</v>
      </c>
      <c r="W2521" s="28" t="e">
        <f ca="1">[1]!BexGetData("DP_1","00O2TNJGODT0G5Z4TTKYMN7K5","GSON1122300093")</f>
        <v>#NAME?</v>
      </c>
    </row>
    <row r="2522" spans="1:23" x14ac:dyDescent="0.2">
      <c r="A2522" s="36" t="s">
        <v>5937</v>
      </c>
      <c r="B2522" s="27" t="s">
        <v>5938</v>
      </c>
      <c r="C2522" s="23" t="e">
        <f ca="1">[1]!BexGetData("DP_1","003N8EMH8GTFRCSWKMPXRR8GU","GSON1122300096")</f>
        <v>#NAME?</v>
      </c>
      <c r="D2522" s="23" t="e">
        <f ca="1">[1]!BexGetData("DP_1","003N8EMH8GTFRCSWKMPXRRESE","GSON1122300096")</f>
        <v>#NAME?</v>
      </c>
      <c r="E2522" s="28" t="e">
        <f ca="1">[1]!BexGetData("DP_1","003N8EMH8GTFRCSWKMPXRRL3Y","GSON1122300096")</f>
        <v>#NAME?</v>
      </c>
      <c r="F2522" s="24" t="e">
        <f ca="1">[1]!BexGetData("DP_1","003N8EMH8GTFRCSWKMPXRRRFI","GSON1122300096")</f>
        <v>#NAME?</v>
      </c>
      <c r="G2522" s="24" t="e">
        <f ca="1">[1]!BexGetData("DP_1","003N8EMH8GTFRCSWKMPXRRXR2","GSON1122300096")</f>
        <v>#NAME?</v>
      </c>
      <c r="H2522" s="24" t="e">
        <f ca="1">[1]!BexGetData("DP_1","003N8EMH8GTFRCSWKMPXRS42M","GSON1122300096")</f>
        <v>#NAME?</v>
      </c>
      <c r="I2522" s="24" t="e">
        <f ca="1">[1]!BexGetData("DP_1","003N8EMH8GTFRCSWKMPXRSAE6","GSON1122300096")</f>
        <v>#NAME?</v>
      </c>
      <c r="J2522" s="24" t="e">
        <f ca="1">[1]!BexGetData("DP_1","003N8EMH8GTFRCSWKMPXRSGPQ","GSON1122300096")</f>
        <v>#NAME?</v>
      </c>
      <c r="K2522" s="28" t="e">
        <f ca="1">[1]!BexGetData("DP_1","003N8EMH8GTFRIVNUPY288VJH","GSON1122300096")</f>
        <v>#NAME?</v>
      </c>
      <c r="L2522" s="28" t="e">
        <f ca="1">[1]!BexGetData("DP_1","003N8EMH8GTFRIVNUPY2891V1","GSON1122300096")</f>
        <v>#NAME?</v>
      </c>
      <c r="M2522" s="28" t="e">
        <f ca="1">[1]!BexGetData("DP_1","003N8EMH8GTFRIVOG7KG9IQXA","GSON1122300096")</f>
        <v>#NAME?</v>
      </c>
      <c r="N2522" s="28" t="e">
        <f ca="1">[1]!BexGetData("DP_1","003N8EMH8GTFRIVOG7KG9IX8U","GSON1122300096")</f>
        <v>#NAME?</v>
      </c>
      <c r="O2522" s="28" t="e">
        <f ca="1">[1]!BexGetData("DP_1","003N8EMH8GTFRIVOG7KG9J3KE","GSON1122300096")</f>
        <v>#NAME?</v>
      </c>
      <c r="P2522" s="28" t="e">
        <f ca="1">[1]!BexGetData("DP_1","003N8EMH8GTFRIVOG7KG9J9VY","GSON1122300096")</f>
        <v>#NAME?</v>
      </c>
      <c r="Q2522" s="24" t="e">
        <f ca="1">[1]!BexGetData("DP_1","00O2TNJGODT0G5Z4TTKYMM5MT","GSON1122300096")</f>
        <v>#NAME?</v>
      </c>
      <c r="R2522" s="24" t="e">
        <f ca="1">[1]!BexGetData("DP_1","00O2TNJGODT0G5Z4TTKYMMBYD","GSON1122300096")</f>
        <v>#NAME?</v>
      </c>
      <c r="S2522" s="24" t="e">
        <f ca="1">[1]!BexGetData("DP_1","00O2TNJGODT0G5Z4TTKYMMI9X","GSON1122300096")</f>
        <v>#NAME?</v>
      </c>
      <c r="T2522" s="24" t="e">
        <f ca="1">[1]!BexGetData("DP_1","00O2TNJGODT0G5Z4TTKYMMOLH","GSON1122300096")</f>
        <v>#NAME?</v>
      </c>
      <c r="U2522" s="24" t="e">
        <f ca="1">[1]!BexGetData("DP_1","00O2TNJGODT0G5Z4TTKYMMUX1","GSON1122300096")</f>
        <v>#NAME?</v>
      </c>
      <c r="V2522" s="24" t="e">
        <f ca="1">[1]!BexGetData("DP_1","00O2TNJGODT0G5Z4TTKYMN18L","GSON1122300096")</f>
        <v>#NAME?</v>
      </c>
      <c r="W2522" s="24" t="e">
        <f ca="1">[1]!BexGetData("DP_1","00O2TNJGODT0G5Z4TTKYMN7K5","GSON1122300096")</f>
        <v>#NAME?</v>
      </c>
    </row>
    <row r="2523" spans="1:23" x14ac:dyDescent="0.2">
      <c r="A2523" s="35" t="s">
        <v>450</v>
      </c>
      <c r="B2523" s="27" t="s">
        <v>451</v>
      </c>
      <c r="C2523" s="23" t="e">
        <f ca="1">[1]!BexGetData("DP_1","003N8EMH8GTFRCSWKMPXRR8GU","GSON1123")</f>
        <v>#NAME?</v>
      </c>
      <c r="D2523" s="23" t="e">
        <f ca="1">[1]!BexGetData("DP_1","003N8EMH8GTFRCSWKMPXRRESE","GSON1123")</f>
        <v>#NAME?</v>
      </c>
      <c r="E2523" s="23" t="e">
        <f ca="1">[1]!BexGetData("DP_1","003N8EMH8GTFRCSWKMPXRRL3Y","GSON1123")</f>
        <v>#NAME?</v>
      </c>
      <c r="F2523" s="23" t="e">
        <f ca="1">[1]!BexGetData("DP_1","003N8EMH8GTFRCSWKMPXRRRFI","GSON1123")</f>
        <v>#NAME?</v>
      </c>
      <c r="G2523" s="23" t="e">
        <f ca="1">[1]!BexGetData("DP_1","003N8EMH8GTFRCSWKMPXRRXR2","GSON1123")</f>
        <v>#NAME?</v>
      </c>
      <c r="H2523" s="23" t="e">
        <f ca="1">[1]!BexGetData("DP_1","003N8EMH8GTFRCSWKMPXRS42M","GSON1123")</f>
        <v>#NAME?</v>
      </c>
      <c r="I2523" s="23" t="e">
        <f ca="1">[1]!BexGetData("DP_1","003N8EMH8GTFRCSWKMPXRSAE6","GSON1123")</f>
        <v>#NAME?</v>
      </c>
      <c r="J2523" s="23" t="e">
        <f ca="1">[1]!BexGetData("DP_1","003N8EMH8GTFRCSWKMPXRSGPQ","GSON1123")</f>
        <v>#NAME?</v>
      </c>
      <c r="K2523" s="23" t="e">
        <f ca="1">[1]!BexGetData("DP_1","003N8EMH8GTFRIVNUPY288VJH","GSON1123")</f>
        <v>#NAME?</v>
      </c>
      <c r="L2523" s="23" t="e">
        <f ca="1">[1]!BexGetData("DP_1","003N8EMH8GTFRIVNUPY2891V1","GSON1123")</f>
        <v>#NAME?</v>
      </c>
      <c r="M2523" s="28" t="e">
        <f ca="1">[1]!BexGetData("DP_1","003N8EMH8GTFRIVOG7KG9IQXA","GSON1123")</f>
        <v>#NAME?</v>
      </c>
      <c r="N2523" s="23" t="e">
        <f ca="1">[1]!BexGetData("DP_1","003N8EMH8GTFRIVOG7KG9IX8U","GSON1123")</f>
        <v>#NAME?</v>
      </c>
      <c r="O2523" s="28" t="e">
        <f ca="1">[1]!BexGetData("DP_1","003N8EMH8GTFRIVOG7KG9J3KE","GSON1123")</f>
        <v>#NAME?</v>
      </c>
      <c r="P2523" s="23" t="e">
        <f ca="1">[1]!BexGetData("DP_1","003N8EMH8GTFRIVOG7KG9J9VY","GSON1123")</f>
        <v>#NAME?</v>
      </c>
      <c r="Q2523" s="23" t="e">
        <f ca="1">[1]!BexGetData("DP_1","00O2TNJGODT0G5Z4TTKYMM5MT","GSON1123")</f>
        <v>#NAME?</v>
      </c>
      <c r="R2523" s="23" t="e">
        <f ca="1">[1]!BexGetData("DP_1","00O2TNJGODT0G5Z4TTKYMMBYD","GSON1123")</f>
        <v>#NAME?</v>
      </c>
      <c r="S2523" s="23" t="e">
        <f ca="1">[1]!BexGetData("DP_1","00O2TNJGODT0G5Z4TTKYMMI9X","GSON1123")</f>
        <v>#NAME?</v>
      </c>
      <c r="T2523" s="28" t="e">
        <f ca="1">[1]!BexGetData("DP_1","00O2TNJGODT0G5Z4TTKYMMOLH","GSON1123")</f>
        <v>#NAME?</v>
      </c>
      <c r="U2523" s="23" t="e">
        <f ca="1">[1]!BexGetData("DP_1","00O2TNJGODT0G5Z4TTKYMMUX1","GSON1123")</f>
        <v>#NAME?</v>
      </c>
      <c r="V2523" s="28" t="e">
        <f ca="1">[1]!BexGetData("DP_1","00O2TNJGODT0G5Z4TTKYMN18L","GSON1123")</f>
        <v>#NAME?</v>
      </c>
      <c r="W2523" s="23" t="e">
        <f ca="1">[1]!BexGetData("DP_1","00O2TNJGODT0G5Z4TTKYMN7K5","GSON1123")</f>
        <v>#NAME?</v>
      </c>
    </row>
    <row r="2524" spans="1:23" x14ac:dyDescent="0.2">
      <c r="A2524" s="36" t="s">
        <v>1223</v>
      </c>
      <c r="B2524" s="27" t="s">
        <v>452</v>
      </c>
      <c r="C2524" s="23" t="e">
        <f ca="1">[1]!BexGetData("DP_1","003N8EMH8GTFRCSWKMPXRR8GU","GSON1123100001")</f>
        <v>#NAME?</v>
      </c>
      <c r="D2524" s="23" t="e">
        <f ca="1">[1]!BexGetData("DP_1","003N8EMH8GTFRCSWKMPXRRESE","GSON1123100001")</f>
        <v>#NAME?</v>
      </c>
      <c r="E2524" s="23" t="e">
        <f ca="1">[1]!BexGetData("DP_1","003N8EMH8GTFRCSWKMPXRRL3Y","GSON1123100001")</f>
        <v>#NAME?</v>
      </c>
      <c r="F2524" s="23" t="e">
        <f ca="1">[1]!BexGetData("DP_1","003N8EMH8GTFRCSWKMPXRRRFI","GSON1123100001")</f>
        <v>#NAME?</v>
      </c>
      <c r="G2524" s="23" t="e">
        <f ca="1">[1]!BexGetData("DP_1","003N8EMH8GTFRCSWKMPXRRXR2","GSON1123100001")</f>
        <v>#NAME?</v>
      </c>
      <c r="H2524" s="23" t="e">
        <f ca="1">[1]!BexGetData("DP_1","003N8EMH8GTFRCSWKMPXRS42M","GSON1123100001")</f>
        <v>#NAME?</v>
      </c>
      <c r="I2524" s="23" t="e">
        <f ca="1">[1]!BexGetData("DP_1","003N8EMH8GTFRCSWKMPXRSAE6","GSON1123100001")</f>
        <v>#NAME?</v>
      </c>
      <c r="J2524" s="24" t="e">
        <f ca="1">[1]!BexGetData("DP_1","003N8EMH8GTFRCSWKMPXRSGPQ","GSON1123100001")</f>
        <v>#NAME?</v>
      </c>
      <c r="K2524" s="23" t="e">
        <f ca="1">[1]!BexGetData("DP_1","003N8EMH8GTFRIVNUPY288VJH","GSON1123100001")</f>
        <v>#NAME?</v>
      </c>
      <c r="L2524" s="23" t="e">
        <f ca="1">[1]!BexGetData("DP_1","003N8EMH8GTFRIVNUPY2891V1","GSON1123100001")</f>
        <v>#NAME?</v>
      </c>
      <c r="M2524" s="28" t="e">
        <f ca="1">[1]!BexGetData("DP_1","003N8EMH8GTFRIVOG7KG9IQXA","GSON1123100001")</f>
        <v>#NAME?</v>
      </c>
      <c r="N2524" s="23" t="e">
        <f ca="1">[1]!BexGetData("DP_1","003N8EMH8GTFRIVOG7KG9IX8U","GSON1123100001")</f>
        <v>#NAME?</v>
      </c>
      <c r="O2524" s="28" t="e">
        <f ca="1">[1]!BexGetData("DP_1","003N8EMH8GTFRIVOG7KG9J3KE","GSON1123100001")</f>
        <v>#NAME?</v>
      </c>
      <c r="P2524" s="23" t="e">
        <f ca="1">[1]!BexGetData("DP_1","003N8EMH8GTFRIVOG7KG9J9VY","GSON1123100001")</f>
        <v>#NAME?</v>
      </c>
      <c r="Q2524" s="24" t="e">
        <f ca="1">[1]!BexGetData("DP_1","00O2TNJGODT0G5Z4TTKYMM5MT","GSON1123100001")</f>
        <v>#NAME?</v>
      </c>
      <c r="R2524" s="23" t="e">
        <f ca="1">[1]!BexGetData("DP_1","00O2TNJGODT0G5Z4TTKYMMBYD","GSON1123100001")</f>
        <v>#NAME?</v>
      </c>
      <c r="S2524" s="23" t="e">
        <f ca="1">[1]!BexGetData("DP_1","00O2TNJGODT0G5Z4TTKYMMI9X","GSON1123100001")</f>
        <v>#NAME?</v>
      </c>
      <c r="T2524" s="28" t="e">
        <f ca="1">[1]!BexGetData("DP_1","00O2TNJGODT0G5Z4TTKYMMOLH","GSON1123100001")</f>
        <v>#NAME?</v>
      </c>
      <c r="U2524" s="23" t="e">
        <f ca="1">[1]!BexGetData("DP_1","00O2TNJGODT0G5Z4TTKYMMUX1","GSON1123100001")</f>
        <v>#NAME?</v>
      </c>
      <c r="V2524" s="28" t="e">
        <f ca="1">[1]!BexGetData("DP_1","00O2TNJGODT0G5Z4TTKYMN18L","GSON1123100001")</f>
        <v>#NAME?</v>
      </c>
      <c r="W2524" s="23" t="e">
        <f ca="1">[1]!BexGetData("DP_1","00O2TNJGODT0G5Z4TTKYMN7K5","GSON1123100001")</f>
        <v>#NAME?</v>
      </c>
    </row>
    <row r="2525" spans="1:23" x14ac:dyDescent="0.2">
      <c r="A2525" s="36" t="s">
        <v>5939</v>
      </c>
      <c r="B2525" s="27" t="s">
        <v>5940</v>
      </c>
      <c r="C2525" s="23" t="e">
        <f ca="1">[1]!BexGetData("DP_1","003N8EMH8GTFRCSWKMPXRR8GU","GSON1123100002")</f>
        <v>#NAME?</v>
      </c>
      <c r="D2525" s="23" t="e">
        <f ca="1">[1]!BexGetData("DP_1","003N8EMH8GTFRCSWKMPXRRESE","GSON1123100002")</f>
        <v>#NAME?</v>
      </c>
      <c r="E2525" s="28" t="e">
        <f ca="1">[1]!BexGetData("DP_1","003N8EMH8GTFRCSWKMPXRRL3Y","GSON1123100002")</f>
        <v>#NAME?</v>
      </c>
      <c r="F2525" s="28" t="e">
        <f ca="1">[1]!BexGetData("DP_1","003N8EMH8GTFRCSWKMPXRRRFI","GSON1123100002")</f>
        <v>#NAME?</v>
      </c>
      <c r="G2525" s="23" t="e">
        <f ca="1">[1]!BexGetData("DP_1","003N8EMH8GTFRCSWKMPXRRXR2","GSON1123100002")</f>
        <v>#NAME?</v>
      </c>
      <c r="H2525" s="23" t="e">
        <f ca="1">[1]!BexGetData("DP_1","003N8EMH8GTFRCSWKMPXRS42M","GSON1123100002")</f>
        <v>#NAME?</v>
      </c>
      <c r="I2525" s="28" t="e">
        <f ca="1">[1]!BexGetData("DP_1","003N8EMH8GTFRCSWKMPXRSAE6","GSON1123100002")</f>
        <v>#NAME?</v>
      </c>
      <c r="J2525" s="24" t="e">
        <f ca="1">[1]!BexGetData("DP_1","003N8EMH8GTFRCSWKMPXRSGPQ","GSON1123100002")</f>
        <v>#NAME?</v>
      </c>
      <c r="K2525" s="28" t="e">
        <f ca="1">[1]!BexGetData("DP_1","003N8EMH8GTFRIVNUPY288VJH","GSON1123100002")</f>
        <v>#NAME?</v>
      </c>
      <c r="L2525" s="28" t="e">
        <f ca="1">[1]!BexGetData("DP_1","003N8EMH8GTFRIVNUPY2891V1","GSON1123100002")</f>
        <v>#NAME?</v>
      </c>
      <c r="M2525" s="28" t="e">
        <f ca="1">[1]!BexGetData("DP_1","003N8EMH8GTFRIVOG7KG9IQXA","GSON1123100002")</f>
        <v>#NAME?</v>
      </c>
      <c r="N2525" s="28" t="e">
        <f ca="1">[1]!BexGetData("DP_1","003N8EMH8GTFRIVOG7KG9IX8U","GSON1123100002")</f>
        <v>#NAME?</v>
      </c>
      <c r="O2525" s="28" t="e">
        <f ca="1">[1]!BexGetData("DP_1","003N8EMH8GTFRIVOG7KG9J3KE","GSON1123100002")</f>
        <v>#NAME?</v>
      </c>
      <c r="P2525" s="28" t="e">
        <f ca="1">[1]!BexGetData("DP_1","003N8EMH8GTFRIVOG7KG9J9VY","GSON1123100002")</f>
        <v>#NAME?</v>
      </c>
      <c r="Q2525" s="24" t="e">
        <f ca="1">[1]!BexGetData("DP_1","00O2TNJGODT0G5Z4TTKYMM5MT","GSON1123100002")</f>
        <v>#NAME?</v>
      </c>
      <c r="R2525" s="28" t="e">
        <f ca="1">[1]!BexGetData("DP_1","00O2TNJGODT0G5Z4TTKYMMBYD","GSON1123100002")</f>
        <v>#NAME?</v>
      </c>
      <c r="S2525" s="28" t="e">
        <f ca="1">[1]!BexGetData("DP_1","00O2TNJGODT0G5Z4TTKYMMI9X","GSON1123100002")</f>
        <v>#NAME?</v>
      </c>
      <c r="T2525" s="28" t="e">
        <f ca="1">[1]!BexGetData("DP_1","00O2TNJGODT0G5Z4TTKYMMOLH","GSON1123100002")</f>
        <v>#NAME?</v>
      </c>
      <c r="U2525" s="28" t="e">
        <f ca="1">[1]!BexGetData("DP_1","00O2TNJGODT0G5Z4TTKYMMUX1","GSON1123100002")</f>
        <v>#NAME?</v>
      </c>
      <c r="V2525" s="28" t="e">
        <f ca="1">[1]!BexGetData("DP_1","00O2TNJGODT0G5Z4TTKYMN18L","GSON1123100002")</f>
        <v>#NAME?</v>
      </c>
      <c r="W2525" s="28" t="e">
        <f ca="1">[1]!BexGetData("DP_1","00O2TNJGODT0G5Z4TTKYMN7K5","GSON1123100002")</f>
        <v>#NAME?</v>
      </c>
    </row>
    <row r="2526" spans="1:23" x14ac:dyDescent="0.2">
      <c r="A2526" s="36" t="s">
        <v>1723</v>
      </c>
      <c r="B2526" s="27" t="s">
        <v>1724</v>
      </c>
      <c r="C2526" s="23" t="e">
        <f ca="1">[1]!BexGetData("DP_1","003N8EMH8GTFRCSWKMPXRR8GU","GSON1123100003")</f>
        <v>#NAME?</v>
      </c>
      <c r="D2526" s="23" t="e">
        <f ca="1">[1]!BexGetData("DP_1","003N8EMH8GTFRCSWKMPXRRESE","GSON1123100003")</f>
        <v>#NAME?</v>
      </c>
      <c r="E2526" s="23" t="e">
        <f ca="1">[1]!BexGetData("DP_1","003N8EMH8GTFRCSWKMPXRRL3Y","GSON1123100003")</f>
        <v>#NAME?</v>
      </c>
      <c r="F2526" s="23" t="e">
        <f ca="1">[1]!BexGetData("DP_1","003N8EMH8GTFRCSWKMPXRRRFI","GSON1123100003")</f>
        <v>#NAME?</v>
      </c>
      <c r="G2526" s="23" t="e">
        <f ca="1">[1]!BexGetData("DP_1","003N8EMH8GTFRCSWKMPXRRXR2","GSON1123100003")</f>
        <v>#NAME?</v>
      </c>
      <c r="H2526" s="23" t="e">
        <f ca="1">[1]!BexGetData("DP_1","003N8EMH8GTFRCSWKMPXRS42M","GSON1123100003")</f>
        <v>#NAME?</v>
      </c>
      <c r="I2526" s="23" t="e">
        <f ca="1">[1]!BexGetData("DP_1","003N8EMH8GTFRCSWKMPXRSAE6","GSON1123100003")</f>
        <v>#NAME?</v>
      </c>
      <c r="J2526" s="24" t="e">
        <f ca="1">[1]!BexGetData("DP_1","003N8EMH8GTFRCSWKMPXRSGPQ","GSON1123100003")</f>
        <v>#NAME?</v>
      </c>
      <c r="K2526" s="23" t="e">
        <f ca="1">[1]!BexGetData("DP_1","003N8EMH8GTFRIVNUPY288VJH","GSON1123100003")</f>
        <v>#NAME?</v>
      </c>
      <c r="L2526" s="23" t="e">
        <f ca="1">[1]!BexGetData("DP_1","003N8EMH8GTFRIVNUPY2891V1","GSON1123100003")</f>
        <v>#NAME?</v>
      </c>
      <c r="M2526" s="28" t="e">
        <f ca="1">[1]!BexGetData("DP_1","003N8EMH8GTFRIVOG7KG9IQXA","GSON1123100003")</f>
        <v>#NAME?</v>
      </c>
      <c r="N2526" s="23" t="e">
        <f ca="1">[1]!BexGetData("DP_1","003N8EMH8GTFRIVOG7KG9IX8U","GSON1123100003")</f>
        <v>#NAME?</v>
      </c>
      <c r="O2526" s="28" t="e">
        <f ca="1">[1]!BexGetData("DP_1","003N8EMH8GTFRIVOG7KG9J3KE","GSON1123100003")</f>
        <v>#NAME?</v>
      </c>
      <c r="P2526" s="23" t="e">
        <f ca="1">[1]!BexGetData("DP_1","003N8EMH8GTFRIVOG7KG9J9VY","GSON1123100003")</f>
        <v>#NAME?</v>
      </c>
      <c r="Q2526" s="24" t="e">
        <f ca="1">[1]!BexGetData("DP_1","00O2TNJGODT0G5Z4TTKYMM5MT","GSON1123100003")</f>
        <v>#NAME?</v>
      </c>
      <c r="R2526" s="23" t="e">
        <f ca="1">[1]!BexGetData("DP_1","00O2TNJGODT0G5Z4TTKYMMBYD","GSON1123100003")</f>
        <v>#NAME?</v>
      </c>
      <c r="S2526" s="23" t="e">
        <f ca="1">[1]!BexGetData("DP_1","00O2TNJGODT0G5Z4TTKYMMI9X","GSON1123100003")</f>
        <v>#NAME?</v>
      </c>
      <c r="T2526" s="28" t="e">
        <f ca="1">[1]!BexGetData("DP_1","00O2TNJGODT0G5Z4TTKYMMOLH","GSON1123100003")</f>
        <v>#NAME?</v>
      </c>
      <c r="U2526" s="23" t="e">
        <f ca="1">[1]!BexGetData("DP_1","00O2TNJGODT0G5Z4TTKYMMUX1","GSON1123100003")</f>
        <v>#NAME?</v>
      </c>
      <c r="V2526" s="28" t="e">
        <f ca="1">[1]!BexGetData("DP_1","00O2TNJGODT0G5Z4TTKYMN18L","GSON1123100003")</f>
        <v>#NAME?</v>
      </c>
      <c r="W2526" s="23" t="e">
        <f ca="1">[1]!BexGetData("DP_1","00O2TNJGODT0G5Z4TTKYMN7K5","GSON1123100003")</f>
        <v>#NAME?</v>
      </c>
    </row>
    <row r="2527" spans="1:23" x14ac:dyDescent="0.2">
      <c r="A2527" s="36" t="s">
        <v>1224</v>
      </c>
      <c r="B2527" s="27" t="s">
        <v>1225</v>
      </c>
      <c r="C2527" s="23" t="e">
        <f ca="1">[1]!BexGetData("DP_1","003N8EMH8GTFRCSWKMPXRR8GU","GSON1123100006")</f>
        <v>#NAME?</v>
      </c>
      <c r="D2527" s="28" t="e">
        <f ca="1">[1]!BexGetData("DP_1","003N8EMH8GTFRCSWKMPXRRESE","GSON1123100006")</f>
        <v>#NAME?</v>
      </c>
      <c r="E2527" s="23" t="e">
        <f ca="1">[1]!BexGetData("DP_1","003N8EMH8GTFRCSWKMPXRRL3Y","GSON1123100006")</f>
        <v>#NAME?</v>
      </c>
      <c r="F2527" s="23" t="e">
        <f ca="1">[1]!BexGetData("DP_1","003N8EMH8GTFRCSWKMPXRRRFI","GSON1123100006")</f>
        <v>#NAME?</v>
      </c>
      <c r="G2527" s="23" t="e">
        <f ca="1">[1]!BexGetData("DP_1","003N8EMH8GTFRCSWKMPXRRXR2","GSON1123100006")</f>
        <v>#NAME?</v>
      </c>
      <c r="H2527" s="23" t="e">
        <f ca="1">[1]!BexGetData("DP_1","003N8EMH8GTFRCSWKMPXRS42M","GSON1123100006")</f>
        <v>#NAME?</v>
      </c>
      <c r="I2527" s="23" t="e">
        <f ca="1">[1]!BexGetData("DP_1","003N8EMH8GTFRCSWKMPXRSAE6","GSON1123100006")</f>
        <v>#NAME?</v>
      </c>
      <c r="J2527" s="23" t="e">
        <f ca="1">[1]!BexGetData("DP_1","003N8EMH8GTFRCSWKMPXRSGPQ","GSON1123100006")</f>
        <v>#NAME?</v>
      </c>
      <c r="K2527" s="23" t="e">
        <f ca="1">[1]!BexGetData("DP_1","003N8EMH8GTFRIVNUPY288VJH","GSON1123100006")</f>
        <v>#NAME?</v>
      </c>
      <c r="L2527" s="23" t="e">
        <f ca="1">[1]!BexGetData("DP_1","003N8EMH8GTFRIVNUPY2891V1","GSON1123100006")</f>
        <v>#NAME?</v>
      </c>
      <c r="M2527" s="28" t="e">
        <f ca="1">[1]!BexGetData("DP_1","003N8EMH8GTFRIVOG7KG9IQXA","GSON1123100006")</f>
        <v>#NAME?</v>
      </c>
      <c r="N2527" s="23" t="e">
        <f ca="1">[1]!BexGetData("DP_1","003N8EMH8GTFRIVOG7KG9IX8U","GSON1123100006")</f>
        <v>#NAME?</v>
      </c>
      <c r="O2527" s="28" t="e">
        <f ca="1">[1]!BexGetData("DP_1","003N8EMH8GTFRIVOG7KG9J3KE","GSON1123100006")</f>
        <v>#NAME?</v>
      </c>
      <c r="P2527" s="23" t="e">
        <f ca="1">[1]!BexGetData("DP_1","003N8EMH8GTFRIVOG7KG9J9VY","GSON1123100006")</f>
        <v>#NAME?</v>
      </c>
      <c r="Q2527" s="23" t="e">
        <f ca="1">[1]!BexGetData("DP_1","00O2TNJGODT0G5Z4TTKYMM5MT","GSON1123100006")</f>
        <v>#NAME?</v>
      </c>
      <c r="R2527" s="23" t="e">
        <f ca="1">[1]!BexGetData("DP_1","00O2TNJGODT0G5Z4TTKYMMBYD","GSON1123100006")</f>
        <v>#NAME?</v>
      </c>
      <c r="S2527" s="23" t="e">
        <f ca="1">[1]!BexGetData("DP_1","00O2TNJGODT0G5Z4TTKYMMI9X","GSON1123100006")</f>
        <v>#NAME?</v>
      </c>
      <c r="T2527" s="23" t="e">
        <f ca="1">[1]!BexGetData("DP_1","00O2TNJGODT0G5Z4TTKYMMOLH","GSON1123100006")</f>
        <v>#NAME?</v>
      </c>
      <c r="U2527" s="28" t="e">
        <f ca="1">[1]!BexGetData("DP_1","00O2TNJGODT0G5Z4TTKYMMUX1","GSON1123100006")</f>
        <v>#NAME?</v>
      </c>
      <c r="V2527" s="23" t="e">
        <f ca="1">[1]!BexGetData("DP_1","00O2TNJGODT0G5Z4TTKYMN18L","GSON1123100006")</f>
        <v>#NAME?</v>
      </c>
      <c r="W2527" s="28" t="e">
        <f ca="1">[1]!BexGetData("DP_1","00O2TNJGODT0G5Z4TTKYMN7K5","GSON1123100006")</f>
        <v>#NAME?</v>
      </c>
    </row>
    <row r="2528" spans="1:23" x14ac:dyDescent="0.2">
      <c r="A2528" s="36" t="s">
        <v>5941</v>
      </c>
      <c r="B2528" s="27" t="s">
        <v>5942</v>
      </c>
      <c r="C2528" s="23" t="e">
        <f ca="1">[1]!BexGetData("DP_1","003N8EMH8GTFRCSWKMPXRR8GU","GSON1123100007")</f>
        <v>#NAME?</v>
      </c>
      <c r="D2528" s="23" t="e">
        <f ca="1">[1]!BexGetData("DP_1","003N8EMH8GTFRCSWKMPXRRESE","GSON1123100007")</f>
        <v>#NAME?</v>
      </c>
      <c r="E2528" s="23" t="e">
        <f ca="1">[1]!BexGetData("DP_1","003N8EMH8GTFRCSWKMPXRRL3Y","GSON1123100007")</f>
        <v>#NAME?</v>
      </c>
      <c r="F2528" s="24" t="e">
        <f ca="1">[1]!BexGetData("DP_1","003N8EMH8GTFRCSWKMPXRRRFI","GSON1123100007")</f>
        <v>#NAME?</v>
      </c>
      <c r="G2528" s="24" t="e">
        <f ca="1">[1]!BexGetData("DP_1","003N8EMH8GTFRCSWKMPXRRXR2","GSON1123100007")</f>
        <v>#NAME?</v>
      </c>
      <c r="H2528" s="24" t="e">
        <f ca="1">[1]!BexGetData("DP_1","003N8EMH8GTFRCSWKMPXRS42M","GSON1123100007")</f>
        <v>#NAME?</v>
      </c>
      <c r="I2528" s="24" t="e">
        <f ca="1">[1]!BexGetData("DP_1","003N8EMH8GTFRCSWKMPXRSAE6","GSON1123100007")</f>
        <v>#NAME?</v>
      </c>
      <c r="J2528" s="24" t="e">
        <f ca="1">[1]!BexGetData("DP_1","003N8EMH8GTFRCSWKMPXRSGPQ","GSON1123100007")</f>
        <v>#NAME?</v>
      </c>
      <c r="K2528" s="23" t="e">
        <f ca="1">[1]!BexGetData("DP_1","003N8EMH8GTFRIVNUPY288VJH","GSON1123100007")</f>
        <v>#NAME?</v>
      </c>
      <c r="L2528" s="23" t="e">
        <f ca="1">[1]!BexGetData("DP_1","003N8EMH8GTFRIVNUPY2891V1","GSON1123100007")</f>
        <v>#NAME?</v>
      </c>
      <c r="M2528" s="28" t="e">
        <f ca="1">[1]!BexGetData("DP_1","003N8EMH8GTFRIVOG7KG9IQXA","GSON1123100007")</f>
        <v>#NAME?</v>
      </c>
      <c r="N2528" s="23" t="e">
        <f ca="1">[1]!BexGetData("DP_1","003N8EMH8GTFRIVOG7KG9IX8U","GSON1123100007")</f>
        <v>#NAME?</v>
      </c>
      <c r="O2528" s="28" t="e">
        <f ca="1">[1]!BexGetData("DP_1","003N8EMH8GTFRIVOG7KG9J3KE","GSON1123100007")</f>
        <v>#NAME?</v>
      </c>
      <c r="P2528" s="23" t="e">
        <f ca="1">[1]!BexGetData("DP_1","003N8EMH8GTFRIVOG7KG9J9VY","GSON1123100007")</f>
        <v>#NAME?</v>
      </c>
      <c r="Q2528" s="24" t="e">
        <f ca="1">[1]!BexGetData("DP_1","00O2TNJGODT0G5Z4TTKYMM5MT","GSON1123100007")</f>
        <v>#NAME?</v>
      </c>
      <c r="R2528" s="24" t="e">
        <f ca="1">[1]!BexGetData("DP_1","00O2TNJGODT0G5Z4TTKYMMBYD","GSON1123100007")</f>
        <v>#NAME?</v>
      </c>
      <c r="S2528" s="24" t="e">
        <f ca="1">[1]!BexGetData("DP_1","00O2TNJGODT0G5Z4TTKYMMI9X","GSON1123100007")</f>
        <v>#NAME?</v>
      </c>
      <c r="T2528" s="24" t="e">
        <f ca="1">[1]!BexGetData("DP_1","00O2TNJGODT0G5Z4TTKYMMOLH","GSON1123100007")</f>
        <v>#NAME?</v>
      </c>
      <c r="U2528" s="24" t="e">
        <f ca="1">[1]!BexGetData("DP_1","00O2TNJGODT0G5Z4TTKYMMUX1","GSON1123100007")</f>
        <v>#NAME?</v>
      </c>
      <c r="V2528" s="24" t="e">
        <f ca="1">[1]!BexGetData("DP_1","00O2TNJGODT0G5Z4TTKYMN18L","GSON1123100007")</f>
        <v>#NAME?</v>
      </c>
      <c r="W2528" s="24" t="e">
        <f ca="1">[1]!BexGetData("DP_1","00O2TNJGODT0G5Z4TTKYMN7K5","GSON1123100007")</f>
        <v>#NAME?</v>
      </c>
    </row>
    <row r="2529" spans="1:23" x14ac:dyDescent="0.2">
      <c r="A2529" s="36" t="s">
        <v>674</v>
      </c>
      <c r="B2529" s="27" t="s">
        <v>675</v>
      </c>
      <c r="C2529" s="23" t="e">
        <f ca="1">[1]!BexGetData("DP_1","003N8EMH8GTFRCSWKMPXRR8GU","GSON1123200001")</f>
        <v>#NAME?</v>
      </c>
      <c r="D2529" s="23" t="e">
        <f ca="1">[1]!BexGetData("DP_1","003N8EMH8GTFRCSWKMPXRRESE","GSON1123200001")</f>
        <v>#NAME?</v>
      </c>
      <c r="E2529" s="23" t="e">
        <f ca="1">[1]!BexGetData("DP_1","003N8EMH8GTFRCSWKMPXRRL3Y","GSON1123200001")</f>
        <v>#NAME?</v>
      </c>
      <c r="F2529" s="23" t="e">
        <f ca="1">[1]!BexGetData("DP_1","003N8EMH8GTFRCSWKMPXRRRFI","GSON1123200001")</f>
        <v>#NAME?</v>
      </c>
      <c r="G2529" s="23" t="e">
        <f ca="1">[1]!BexGetData("DP_1","003N8EMH8GTFRCSWKMPXRRXR2","GSON1123200001")</f>
        <v>#NAME?</v>
      </c>
      <c r="H2529" s="23" t="e">
        <f ca="1">[1]!BexGetData("DP_1","003N8EMH8GTFRCSWKMPXRS42M","GSON1123200001")</f>
        <v>#NAME?</v>
      </c>
      <c r="I2529" s="23" t="e">
        <f ca="1">[1]!BexGetData("DP_1","003N8EMH8GTFRCSWKMPXRSAE6","GSON1123200001")</f>
        <v>#NAME?</v>
      </c>
      <c r="J2529" s="24" t="e">
        <f ca="1">[1]!BexGetData("DP_1","003N8EMH8GTFRCSWKMPXRSGPQ","GSON1123200001")</f>
        <v>#NAME?</v>
      </c>
      <c r="K2529" s="23" t="e">
        <f ca="1">[1]!BexGetData("DP_1","003N8EMH8GTFRIVNUPY288VJH","GSON1123200001")</f>
        <v>#NAME?</v>
      </c>
      <c r="L2529" s="23" t="e">
        <f ca="1">[1]!BexGetData("DP_1","003N8EMH8GTFRIVNUPY2891V1","GSON1123200001")</f>
        <v>#NAME?</v>
      </c>
      <c r="M2529" s="28" t="e">
        <f ca="1">[1]!BexGetData("DP_1","003N8EMH8GTFRIVOG7KG9IQXA","GSON1123200001")</f>
        <v>#NAME?</v>
      </c>
      <c r="N2529" s="23" t="e">
        <f ca="1">[1]!BexGetData("DP_1","003N8EMH8GTFRIVOG7KG9IX8U","GSON1123200001")</f>
        <v>#NAME?</v>
      </c>
      <c r="O2529" s="28" t="e">
        <f ca="1">[1]!BexGetData("DP_1","003N8EMH8GTFRIVOG7KG9J3KE","GSON1123200001")</f>
        <v>#NAME?</v>
      </c>
      <c r="P2529" s="23" t="e">
        <f ca="1">[1]!BexGetData("DP_1","003N8EMH8GTFRIVOG7KG9J9VY","GSON1123200001")</f>
        <v>#NAME?</v>
      </c>
      <c r="Q2529" s="24" t="e">
        <f ca="1">[1]!BexGetData("DP_1","00O2TNJGODT0G5Z4TTKYMM5MT","GSON1123200001")</f>
        <v>#NAME?</v>
      </c>
      <c r="R2529" s="23" t="e">
        <f ca="1">[1]!BexGetData("DP_1","00O2TNJGODT0G5Z4TTKYMMBYD","GSON1123200001")</f>
        <v>#NAME?</v>
      </c>
      <c r="S2529" s="23" t="e">
        <f ca="1">[1]!BexGetData("DP_1","00O2TNJGODT0G5Z4TTKYMMI9X","GSON1123200001")</f>
        <v>#NAME?</v>
      </c>
      <c r="T2529" s="28" t="e">
        <f ca="1">[1]!BexGetData("DP_1","00O2TNJGODT0G5Z4TTKYMMOLH","GSON1123200001")</f>
        <v>#NAME?</v>
      </c>
      <c r="U2529" s="23" t="e">
        <f ca="1">[1]!BexGetData("DP_1","00O2TNJGODT0G5Z4TTKYMMUX1","GSON1123200001")</f>
        <v>#NAME?</v>
      </c>
      <c r="V2529" s="28" t="e">
        <f ca="1">[1]!BexGetData("DP_1","00O2TNJGODT0G5Z4TTKYMN18L","GSON1123200001")</f>
        <v>#NAME?</v>
      </c>
      <c r="W2529" s="23" t="e">
        <f ca="1">[1]!BexGetData("DP_1","00O2TNJGODT0G5Z4TTKYMN7K5","GSON1123200001")</f>
        <v>#NAME?</v>
      </c>
    </row>
    <row r="2530" spans="1:23" x14ac:dyDescent="0.2">
      <c r="A2530" s="35" t="s">
        <v>453</v>
      </c>
      <c r="B2530" s="27" t="s">
        <v>454</v>
      </c>
      <c r="C2530" s="23" t="e">
        <f ca="1">[1]!BexGetData("DP_1","003N8EMH8GTFRCSWKMPXRR8GU","GSON1124")</f>
        <v>#NAME?</v>
      </c>
      <c r="D2530" s="23" t="e">
        <f ca="1">[1]!BexGetData("DP_1","003N8EMH8GTFRCSWKMPXRRESE","GSON1124")</f>
        <v>#NAME?</v>
      </c>
      <c r="E2530" s="23" t="e">
        <f ca="1">[1]!BexGetData("DP_1","003N8EMH8GTFRCSWKMPXRRL3Y","GSON1124")</f>
        <v>#NAME?</v>
      </c>
      <c r="F2530" s="23" t="e">
        <f ca="1">[1]!BexGetData("DP_1","003N8EMH8GTFRCSWKMPXRRRFI","GSON1124")</f>
        <v>#NAME?</v>
      </c>
      <c r="G2530" s="23" t="e">
        <f ca="1">[1]!BexGetData("DP_1","003N8EMH8GTFRCSWKMPXRRXR2","GSON1124")</f>
        <v>#NAME?</v>
      </c>
      <c r="H2530" s="23" t="e">
        <f ca="1">[1]!BexGetData("DP_1","003N8EMH8GTFRCSWKMPXRS42M","GSON1124")</f>
        <v>#NAME?</v>
      </c>
      <c r="I2530" s="23" t="e">
        <f ca="1">[1]!BexGetData("DP_1","003N8EMH8GTFRCSWKMPXRSAE6","GSON1124")</f>
        <v>#NAME?</v>
      </c>
      <c r="J2530" s="23" t="e">
        <f ca="1">[1]!BexGetData("DP_1","003N8EMH8GTFRCSWKMPXRSGPQ","GSON1124")</f>
        <v>#NAME?</v>
      </c>
      <c r="K2530" s="23" t="e">
        <f ca="1">[1]!BexGetData("DP_1","003N8EMH8GTFRIVNUPY288VJH","GSON1124")</f>
        <v>#NAME?</v>
      </c>
      <c r="L2530" s="23" t="e">
        <f ca="1">[1]!BexGetData("DP_1","003N8EMH8GTFRIVNUPY2891V1","GSON1124")</f>
        <v>#NAME?</v>
      </c>
      <c r="M2530" s="28" t="e">
        <f ca="1">[1]!BexGetData("DP_1","003N8EMH8GTFRIVOG7KG9IQXA","GSON1124")</f>
        <v>#NAME?</v>
      </c>
      <c r="N2530" s="23" t="e">
        <f ca="1">[1]!BexGetData("DP_1","003N8EMH8GTFRIVOG7KG9IX8U","GSON1124")</f>
        <v>#NAME?</v>
      </c>
      <c r="O2530" s="28" t="e">
        <f ca="1">[1]!BexGetData("DP_1","003N8EMH8GTFRIVOG7KG9J3KE","GSON1124")</f>
        <v>#NAME?</v>
      </c>
      <c r="P2530" s="23" t="e">
        <f ca="1">[1]!BexGetData("DP_1","003N8EMH8GTFRIVOG7KG9J9VY","GSON1124")</f>
        <v>#NAME?</v>
      </c>
      <c r="Q2530" s="23" t="e">
        <f ca="1">[1]!BexGetData("DP_1","00O2TNJGODT0G5Z4TTKYMM5MT","GSON1124")</f>
        <v>#NAME?</v>
      </c>
      <c r="R2530" s="23" t="e">
        <f ca="1">[1]!BexGetData("DP_1","00O2TNJGODT0G5Z4TTKYMMBYD","GSON1124")</f>
        <v>#NAME?</v>
      </c>
      <c r="S2530" s="23" t="e">
        <f ca="1">[1]!BexGetData("DP_1","00O2TNJGODT0G5Z4TTKYMMI9X","GSON1124")</f>
        <v>#NAME?</v>
      </c>
      <c r="T2530" s="28" t="e">
        <f ca="1">[1]!BexGetData("DP_1","00O2TNJGODT0G5Z4TTKYMMOLH","GSON1124")</f>
        <v>#NAME?</v>
      </c>
      <c r="U2530" s="23" t="e">
        <f ca="1">[1]!BexGetData("DP_1","00O2TNJGODT0G5Z4TTKYMMUX1","GSON1124")</f>
        <v>#NAME?</v>
      </c>
      <c r="V2530" s="28" t="e">
        <f ca="1">[1]!BexGetData("DP_1","00O2TNJGODT0G5Z4TTKYMN18L","GSON1124")</f>
        <v>#NAME?</v>
      </c>
      <c r="W2530" s="23" t="e">
        <f ca="1">[1]!BexGetData("DP_1","00O2TNJGODT0G5Z4TTKYMN7K5","GSON1124")</f>
        <v>#NAME?</v>
      </c>
    </row>
    <row r="2531" spans="1:23" x14ac:dyDescent="0.2">
      <c r="A2531" s="36" t="s">
        <v>1226</v>
      </c>
      <c r="B2531" s="27" t="s">
        <v>676</v>
      </c>
      <c r="C2531" s="23" t="e">
        <f ca="1">[1]!BexGetData("DP_1","003N8EMH8GTFRCSWKMPXRR8GU","GSON1124100011")</f>
        <v>#NAME?</v>
      </c>
      <c r="D2531" s="23" t="e">
        <f ca="1">[1]!BexGetData("DP_1","003N8EMH8GTFRCSWKMPXRRESE","GSON1124100011")</f>
        <v>#NAME?</v>
      </c>
      <c r="E2531" s="28" t="e">
        <f ca="1">[1]!BexGetData("DP_1","003N8EMH8GTFRCSWKMPXRRL3Y","GSON1124100011")</f>
        <v>#NAME?</v>
      </c>
      <c r="F2531" s="28" t="e">
        <f ca="1">[1]!BexGetData("DP_1","003N8EMH8GTFRCSWKMPXRRRFI","GSON1124100011")</f>
        <v>#NAME?</v>
      </c>
      <c r="G2531" s="23" t="e">
        <f ca="1">[1]!BexGetData("DP_1","003N8EMH8GTFRCSWKMPXRRXR2","GSON1124100011")</f>
        <v>#NAME?</v>
      </c>
      <c r="H2531" s="23" t="e">
        <f ca="1">[1]!BexGetData("DP_1","003N8EMH8GTFRCSWKMPXRS42M","GSON1124100011")</f>
        <v>#NAME?</v>
      </c>
      <c r="I2531" s="28" t="e">
        <f ca="1">[1]!BexGetData("DP_1","003N8EMH8GTFRCSWKMPXRSAE6","GSON1124100011")</f>
        <v>#NAME?</v>
      </c>
      <c r="J2531" s="24" t="e">
        <f ca="1">[1]!BexGetData("DP_1","003N8EMH8GTFRCSWKMPXRSGPQ","GSON1124100011")</f>
        <v>#NAME?</v>
      </c>
      <c r="K2531" s="28" t="e">
        <f ca="1">[1]!BexGetData("DP_1","003N8EMH8GTFRIVNUPY288VJH","GSON1124100011")</f>
        <v>#NAME?</v>
      </c>
      <c r="L2531" s="28" t="e">
        <f ca="1">[1]!BexGetData("DP_1","003N8EMH8GTFRIVNUPY2891V1","GSON1124100011")</f>
        <v>#NAME?</v>
      </c>
      <c r="M2531" s="28" t="e">
        <f ca="1">[1]!BexGetData("DP_1","003N8EMH8GTFRIVOG7KG9IQXA","GSON1124100011")</f>
        <v>#NAME?</v>
      </c>
      <c r="N2531" s="28" t="e">
        <f ca="1">[1]!BexGetData("DP_1","003N8EMH8GTFRIVOG7KG9IX8U","GSON1124100011")</f>
        <v>#NAME?</v>
      </c>
      <c r="O2531" s="28" t="e">
        <f ca="1">[1]!BexGetData("DP_1","003N8EMH8GTFRIVOG7KG9J3KE","GSON1124100011")</f>
        <v>#NAME?</v>
      </c>
      <c r="P2531" s="28" t="e">
        <f ca="1">[1]!BexGetData("DP_1","003N8EMH8GTFRIVOG7KG9J9VY","GSON1124100011")</f>
        <v>#NAME?</v>
      </c>
      <c r="Q2531" s="24" t="e">
        <f ca="1">[1]!BexGetData("DP_1","00O2TNJGODT0G5Z4TTKYMM5MT","GSON1124100011")</f>
        <v>#NAME?</v>
      </c>
      <c r="R2531" s="28" t="e">
        <f ca="1">[1]!BexGetData("DP_1","00O2TNJGODT0G5Z4TTKYMMBYD","GSON1124100011")</f>
        <v>#NAME?</v>
      </c>
      <c r="S2531" s="28" t="e">
        <f ca="1">[1]!BexGetData("DP_1","00O2TNJGODT0G5Z4TTKYMMI9X","GSON1124100011")</f>
        <v>#NAME?</v>
      </c>
      <c r="T2531" s="28" t="e">
        <f ca="1">[1]!BexGetData("DP_1","00O2TNJGODT0G5Z4TTKYMMOLH","GSON1124100011")</f>
        <v>#NAME?</v>
      </c>
      <c r="U2531" s="28" t="e">
        <f ca="1">[1]!BexGetData("DP_1","00O2TNJGODT0G5Z4TTKYMMUX1","GSON1124100011")</f>
        <v>#NAME?</v>
      </c>
      <c r="V2531" s="28" t="e">
        <f ca="1">[1]!BexGetData("DP_1","00O2TNJGODT0G5Z4TTKYMN18L","GSON1124100011")</f>
        <v>#NAME?</v>
      </c>
      <c r="W2531" s="28" t="e">
        <f ca="1">[1]!BexGetData("DP_1","00O2TNJGODT0G5Z4TTKYMN7K5","GSON1124100011")</f>
        <v>#NAME?</v>
      </c>
    </row>
    <row r="2532" spans="1:23" x14ac:dyDescent="0.2">
      <c r="A2532" s="36" t="s">
        <v>1227</v>
      </c>
      <c r="B2532" s="27" t="s">
        <v>455</v>
      </c>
      <c r="C2532" s="23" t="e">
        <f ca="1">[1]!BexGetData("DP_1","003N8EMH8GTFRCSWKMPXRR8GU","GSON1124100013")</f>
        <v>#NAME?</v>
      </c>
      <c r="D2532" s="23" t="e">
        <f ca="1">[1]!BexGetData("DP_1","003N8EMH8GTFRCSWKMPXRRESE","GSON1124100013")</f>
        <v>#NAME?</v>
      </c>
      <c r="E2532" s="28" t="e">
        <f ca="1">[1]!BexGetData("DP_1","003N8EMH8GTFRCSWKMPXRRL3Y","GSON1124100013")</f>
        <v>#NAME?</v>
      </c>
      <c r="F2532" s="28" t="e">
        <f ca="1">[1]!BexGetData("DP_1","003N8EMH8GTFRCSWKMPXRRRFI","GSON1124100013")</f>
        <v>#NAME?</v>
      </c>
      <c r="G2532" s="23" t="e">
        <f ca="1">[1]!BexGetData("DP_1","003N8EMH8GTFRCSWKMPXRRXR2","GSON1124100013")</f>
        <v>#NAME?</v>
      </c>
      <c r="H2532" s="23" t="e">
        <f ca="1">[1]!BexGetData("DP_1","003N8EMH8GTFRCSWKMPXRS42M","GSON1124100013")</f>
        <v>#NAME?</v>
      </c>
      <c r="I2532" s="28" t="e">
        <f ca="1">[1]!BexGetData("DP_1","003N8EMH8GTFRCSWKMPXRSAE6","GSON1124100013")</f>
        <v>#NAME?</v>
      </c>
      <c r="J2532" s="24" t="e">
        <f ca="1">[1]!BexGetData("DP_1","003N8EMH8GTFRCSWKMPXRSGPQ","GSON1124100013")</f>
        <v>#NAME?</v>
      </c>
      <c r="K2532" s="28" t="e">
        <f ca="1">[1]!BexGetData("DP_1","003N8EMH8GTFRIVNUPY288VJH","GSON1124100013")</f>
        <v>#NAME?</v>
      </c>
      <c r="L2532" s="28" t="e">
        <f ca="1">[1]!BexGetData("DP_1","003N8EMH8GTFRIVNUPY2891V1","GSON1124100013")</f>
        <v>#NAME?</v>
      </c>
      <c r="M2532" s="28" t="e">
        <f ca="1">[1]!BexGetData("DP_1","003N8EMH8GTFRIVOG7KG9IQXA","GSON1124100013")</f>
        <v>#NAME?</v>
      </c>
      <c r="N2532" s="28" t="e">
        <f ca="1">[1]!BexGetData("DP_1","003N8EMH8GTFRIVOG7KG9IX8U","GSON1124100013")</f>
        <v>#NAME?</v>
      </c>
      <c r="O2532" s="28" t="e">
        <f ca="1">[1]!BexGetData("DP_1","003N8EMH8GTFRIVOG7KG9J3KE","GSON1124100013")</f>
        <v>#NAME?</v>
      </c>
      <c r="P2532" s="28" t="e">
        <f ca="1">[1]!BexGetData("DP_1","003N8EMH8GTFRIVOG7KG9J9VY","GSON1124100013")</f>
        <v>#NAME?</v>
      </c>
      <c r="Q2532" s="24" t="e">
        <f ca="1">[1]!BexGetData("DP_1","00O2TNJGODT0G5Z4TTKYMM5MT","GSON1124100013")</f>
        <v>#NAME?</v>
      </c>
      <c r="R2532" s="28" t="e">
        <f ca="1">[1]!BexGetData("DP_1","00O2TNJGODT0G5Z4TTKYMMBYD","GSON1124100013")</f>
        <v>#NAME?</v>
      </c>
      <c r="S2532" s="28" t="e">
        <f ca="1">[1]!BexGetData("DP_1","00O2TNJGODT0G5Z4TTKYMMI9X","GSON1124100013")</f>
        <v>#NAME?</v>
      </c>
      <c r="T2532" s="28" t="e">
        <f ca="1">[1]!BexGetData("DP_1","00O2TNJGODT0G5Z4TTKYMMOLH","GSON1124100013")</f>
        <v>#NAME?</v>
      </c>
      <c r="U2532" s="28" t="e">
        <f ca="1">[1]!BexGetData("DP_1","00O2TNJGODT0G5Z4TTKYMMUX1","GSON1124100013")</f>
        <v>#NAME?</v>
      </c>
      <c r="V2532" s="28" t="e">
        <f ca="1">[1]!BexGetData("DP_1","00O2TNJGODT0G5Z4TTKYMN18L","GSON1124100013")</f>
        <v>#NAME?</v>
      </c>
      <c r="W2532" s="28" t="e">
        <f ca="1">[1]!BexGetData("DP_1","00O2TNJGODT0G5Z4TTKYMN7K5","GSON1124100013")</f>
        <v>#NAME?</v>
      </c>
    </row>
    <row r="2533" spans="1:23" x14ac:dyDescent="0.2">
      <c r="A2533" s="36" t="s">
        <v>1228</v>
      </c>
      <c r="B2533" s="27" t="s">
        <v>630</v>
      </c>
      <c r="C2533" s="23" t="e">
        <f ca="1">[1]!BexGetData("DP_1","003N8EMH8GTFRCSWKMPXRR8GU","GSON1124100015")</f>
        <v>#NAME?</v>
      </c>
      <c r="D2533" s="23" t="e">
        <f ca="1">[1]!BexGetData("DP_1","003N8EMH8GTFRCSWKMPXRRESE","GSON1124100015")</f>
        <v>#NAME?</v>
      </c>
      <c r="E2533" s="28" t="e">
        <f ca="1">[1]!BexGetData("DP_1","003N8EMH8GTFRCSWKMPXRRL3Y","GSON1124100015")</f>
        <v>#NAME?</v>
      </c>
      <c r="F2533" s="28" t="e">
        <f ca="1">[1]!BexGetData("DP_1","003N8EMH8GTFRCSWKMPXRRRFI","GSON1124100015")</f>
        <v>#NAME?</v>
      </c>
      <c r="G2533" s="23" t="e">
        <f ca="1">[1]!BexGetData("DP_1","003N8EMH8GTFRCSWKMPXRRXR2","GSON1124100015")</f>
        <v>#NAME?</v>
      </c>
      <c r="H2533" s="23" t="e">
        <f ca="1">[1]!BexGetData("DP_1","003N8EMH8GTFRCSWKMPXRS42M","GSON1124100015")</f>
        <v>#NAME?</v>
      </c>
      <c r="I2533" s="28" t="e">
        <f ca="1">[1]!BexGetData("DP_1","003N8EMH8GTFRCSWKMPXRSAE6","GSON1124100015")</f>
        <v>#NAME?</v>
      </c>
      <c r="J2533" s="24" t="e">
        <f ca="1">[1]!BexGetData("DP_1","003N8EMH8GTFRCSWKMPXRSGPQ","GSON1124100015")</f>
        <v>#NAME?</v>
      </c>
      <c r="K2533" s="28" t="e">
        <f ca="1">[1]!BexGetData("DP_1","003N8EMH8GTFRIVNUPY288VJH","GSON1124100015")</f>
        <v>#NAME?</v>
      </c>
      <c r="L2533" s="28" t="e">
        <f ca="1">[1]!BexGetData("DP_1","003N8EMH8GTFRIVNUPY2891V1","GSON1124100015")</f>
        <v>#NAME?</v>
      </c>
      <c r="M2533" s="28" t="e">
        <f ca="1">[1]!BexGetData("DP_1","003N8EMH8GTFRIVOG7KG9IQXA","GSON1124100015")</f>
        <v>#NAME?</v>
      </c>
      <c r="N2533" s="28" t="e">
        <f ca="1">[1]!BexGetData("DP_1","003N8EMH8GTFRIVOG7KG9IX8U","GSON1124100015")</f>
        <v>#NAME?</v>
      </c>
      <c r="O2533" s="28" t="e">
        <f ca="1">[1]!BexGetData("DP_1","003N8EMH8GTFRIVOG7KG9J3KE","GSON1124100015")</f>
        <v>#NAME?</v>
      </c>
      <c r="P2533" s="28" t="e">
        <f ca="1">[1]!BexGetData("DP_1","003N8EMH8GTFRIVOG7KG9J9VY","GSON1124100015")</f>
        <v>#NAME?</v>
      </c>
      <c r="Q2533" s="24" t="e">
        <f ca="1">[1]!BexGetData("DP_1","00O2TNJGODT0G5Z4TTKYMM5MT","GSON1124100015")</f>
        <v>#NAME?</v>
      </c>
      <c r="R2533" s="28" t="e">
        <f ca="1">[1]!BexGetData("DP_1","00O2TNJGODT0G5Z4TTKYMMBYD","GSON1124100015")</f>
        <v>#NAME?</v>
      </c>
      <c r="S2533" s="28" t="e">
        <f ca="1">[1]!BexGetData("DP_1","00O2TNJGODT0G5Z4TTKYMMI9X","GSON1124100015")</f>
        <v>#NAME?</v>
      </c>
      <c r="T2533" s="28" t="e">
        <f ca="1">[1]!BexGetData("DP_1","00O2TNJGODT0G5Z4TTKYMMOLH","GSON1124100015")</f>
        <v>#NAME?</v>
      </c>
      <c r="U2533" s="28" t="e">
        <f ca="1">[1]!BexGetData("DP_1","00O2TNJGODT0G5Z4TTKYMMUX1","GSON1124100015")</f>
        <v>#NAME?</v>
      </c>
      <c r="V2533" s="28" t="e">
        <f ca="1">[1]!BexGetData("DP_1","00O2TNJGODT0G5Z4TTKYMN18L","GSON1124100015")</f>
        <v>#NAME?</v>
      </c>
      <c r="W2533" s="28" t="e">
        <f ca="1">[1]!BexGetData("DP_1","00O2TNJGODT0G5Z4TTKYMN7K5","GSON1124100015")</f>
        <v>#NAME?</v>
      </c>
    </row>
    <row r="2534" spans="1:23" x14ac:dyDescent="0.2">
      <c r="A2534" s="36" t="s">
        <v>1229</v>
      </c>
      <c r="B2534" s="27" t="s">
        <v>457</v>
      </c>
      <c r="C2534" s="23" t="e">
        <f ca="1">[1]!BexGetData("DP_1","003N8EMH8GTFRCSWKMPXRR8GU","GSON1124100017")</f>
        <v>#NAME?</v>
      </c>
      <c r="D2534" s="23" t="e">
        <f ca="1">[1]!BexGetData("DP_1","003N8EMH8GTFRCSWKMPXRRESE","GSON1124100017")</f>
        <v>#NAME?</v>
      </c>
      <c r="E2534" s="23" t="e">
        <f ca="1">[1]!BexGetData("DP_1","003N8EMH8GTFRCSWKMPXRRL3Y","GSON1124100017")</f>
        <v>#NAME?</v>
      </c>
      <c r="F2534" s="23" t="e">
        <f ca="1">[1]!BexGetData("DP_1","003N8EMH8GTFRCSWKMPXRRRFI","GSON1124100017")</f>
        <v>#NAME?</v>
      </c>
      <c r="G2534" s="23" t="e">
        <f ca="1">[1]!BexGetData("DP_1","003N8EMH8GTFRCSWKMPXRRXR2","GSON1124100017")</f>
        <v>#NAME?</v>
      </c>
      <c r="H2534" s="23" t="e">
        <f ca="1">[1]!BexGetData("DP_1","003N8EMH8GTFRCSWKMPXRS42M","GSON1124100017")</f>
        <v>#NAME?</v>
      </c>
      <c r="I2534" s="23" t="e">
        <f ca="1">[1]!BexGetData("DP_1","003N8EMH8GTFRCSWKMPXRSAE6","GSON1124100017")</f>
        <v>#NAME?</v>
      </c>
      <c r="J2534" s="24" t="e">
        <f ca="1">[1]!BexGetData("DP_1","003N8EMH8GTFRCSWKMPXRSGPQ","GSON1124100017")</f>
        <v>#NAME?</v>
      </c>
      <c r="K2534" s="23" t="e">
        <f ca="1">[1]!BexGetData("DP_1","003N8EMH8GTFRIVNUPY288VJH","GSON1124100017")</f>
        <v>#NAME?</v>
      </c>
      <c r="L2534" s="23" t="e">
        <f ca="1">[1]!BexGetData("DP_1","003N8EMH8GTFRIVNUPY2891V1","GSON1124100017")</f>
        <v>#NAME?</v>
      </c>
      <c r="M2534" s="23" t="e">
        <f ca="1">[1]!BexGetData("DP_1","003N8EMH8GTFRIVOG7KG9IQXA","GSON1124100017")</f>
        <v>#NAME?</v>
      </c>
      <c r="N2534" s="28" t="e">
        <f ca="1">[1]!BexGetData("DP_1","003N8EMH8GTFRIVOG7KG9IX8U","GSON1124100017")</f>
        <v>#NAME?</v>
      </c>
      <c r="O2534" s="23" t="e">
        <f ca="1">[1]!BexGetData("DP_1","003N8EMH8GTFRIVOG7KG9J3KE","GSON1124100017")</f>
        <v>#NAME?</v>
      </c>
      <c r="P2534" s="28" t="e">
        <f ca="1">[1]!BexGetData("DP_1","003N8EMH8GTFRIVOG7KG9J9VY","GSON1124100017")</f>
        <v>#NAME?</v>
      </c>
      <c r="Q2534" s="24" t="e">
        <f ca="1">[1]!BexGetData("DP_1","00O2TNJGODT0G5Z4TTKYMM5MT","GSON1124100017")</f>
        <v>#NAME?</v>
      </c>
      <c r="R2534" s="23" t="e">
        <f ca="1">[1]!BexGetData("DP_1","00O2TNJGODT0G5Z4TTKYMMBYD","GSON1124100017")</f>
        <v>#NAME?</v>
      </c>
      <c r="S2534" s="23" t="e">
        <f ca="1">[1]!BexGetData("DP_1","00O2TNJGODT0G5Z4TTKYMMI9X","GSON1124100017")</f>
        <v>#NAME?</v>
      </c>
      <c r="T2534" s="23" t="e">
        <f ca="1">[1]!BexGetData("DP_1","00O2TNJGODT0G5Z4TTKYMMOLH","GSON1124100017")</f>
        <v>#NAME?</v>
      </c>
      <c r="U2534" s="28" t="e">
        <f ca="1">[1]!BexGetData("DP_1","00O2TNJGODT0G5Z4TTKYMMUX1","GSON1124100017")</f>
        <v>#NAME?</v>
      </c>
      <c r="V2534" s="23" t="e">
        <f ca="1">[1]!BexGetData("DP_1","00O2TNJGODT0G5Z4TTKYMN18L","GSON1124100017")</f>
        <v>#NAME?</v>
      </c>
      <c r="W2534" s="28" t="e">
        <f ca="1">[1]!BexGetData("DP_1","00O2TNJGODT0G5Z4TTKYMN7K5","GSON1124100017")</f>
        <v>#NAME?</v>
      </c>
    </row>
    <row r="2535" spans="1:23" x14ac:dyDescent="0.2">
      <c r="A2535" s="36" t="s">
        <v>1230</v>
      </c>
      <c r="B2535" s="27" t="s">
        <v>458</v>
      </c>
      <c r="C2535" s="23" t="e">
        <f ca="1">[1]!BexGetData("DP_1","003N8EMH8GTFRCSWKMPXRR8GU","GSON1124100018")</f>
        <v>#NAME?</v>
      </c>
      <c r="D2535" s="23" t="e">
        <f ca="1">[1]!BexGetData("DP_1","003N8EMH8GTFRCSWKMPXRRESE","GSON1124100018")</f>
        <v>#NAME?</v>
      </c>
      <c r="E2535" s="28" t="e">
        <f ca="1">[1]!BexGetData("DP_1","003N8EMH8GTFRCSWKMPXRRL3Y","GSON1124100018")</f>
        <v>#NAME?</v>
      </c>
      <c r="F2535" s="28" t="e">
        <f ca="1">[1]!BexGetData("DP_1","003N8EMH8GTFRCSWKMPXRRRFI","GSON1124100018")</f>
        <v>#NAME?</v>
      </c>
      <c r="G2535" s="23" t="e">
        <f ca="1">[1]!BexGetData("DP_1","003N8EMH8GTFRCSWKMPXRRXR2","GSON1124100018")</f>
        <v>#NAME?</v>
      </c>
      <c r="H2535" s="23" t="e">
        <f ca="1">[1]!BexGetData("DP_1","003N8EMH8GTFRCSWKMPXRS42M","GSON1124100018")</f>
        <v>#NAME?</v>
      </c>
      <c r="I2535" s="28" t="e">
        <f ca="1">[1]!BexGetData("DP_1","003N8EMH8GTFRCSWKMPXRSAE6","GSON1124100018")</f>
        <v>#NAME?</v>
      </c>
      <c r="J2535" s="24" t="e">
        <f ca="1">[1]!BexGetData("DP_1","003N8EMH8GTFRCSWKMPXRSGPQ","GSON1124100018")</f>
        <v>#NAME?</v>
      </c>
      <c r="K2535" s="28" t="e">
        <f ca="1">[1]!BexGetData("DP_1","003N8EMH8GTFRIVNUPY288VJH","GSON1124100018")</f>
        <v>#NAME?</v>
      </c>
      <c r="L2535" s="28" t="e">
        <f ca="1">[1]!BexGetData("DP_1","003N8EMH8GTFRIVNUPY2891V1","GSON1124100018")</f>
        <v>#NAME?</v>
      </c>
      <c r="M2535" s="28" t="e">
        <f ca="1">[1]!BexGetData("DP_1","003N8EMH8GTFRIVOG7KG9IQXA","GSON1124100018")</f>
        <v>#NAME?</v>
      </c>
      <c r="N2535" s="28" t="e">
        <f ca="1">[1]!BexGetData("DP_1","003N8EMH8GTFRIVOG7KG9IX8U","GSON1124100018")</f>
        <v>#NAME?</v>
      </c>
      <c r="O2535" s="28" t="e">
        <f ca="1">[1]!BexGetData("DP_1","003N8EMH8GTFRIVOG7KG9J3KE","GSON1124100018")</f>
        <v>#NAME?</v>
      </c>
      <c r="P2535" s="28" t="e">
        <f ca="1">[1]!BexGetData("DP_1","003N8EMH8GTFRIVOG7KG9J9VY","GSON1124100018")</f>
        <v>#NAME?</v>
      </c>
      <c r="Q2535" s="24" t="e">
        <f ca="1">[1]!BexGetData("DP_1","00O2TNJGODT0G5Z4TTKYMM5MT","GSON1124100018")</f>
        <v>#NAME?</v>
      </c>
      <c r="R2535" s="28" t="e">
        <f ca="1">[1]!BexGetData("DP_1","00O2TNJGODT0G5Z4TTKYMMBYD","GSON1124100018")</f>
        <v>#NAME?</v>
      </c>
      <c r="S2535" s="28" t="e">
        <f ca="1">[1]!BexGetData("DP_1","00O2TNJGODT0G5Z4TTKYMMI9X","GSON1124100018")</f>
        <v>#NAME?</v>
      </c>
      <c r="T2535" s="28" t="e">
        <f ca="1">[1]!BexGetData("DP_1","00O2TNJGODT0G5Z4TTKYMMOLH","GSON1124100018")</f>
        <v>#NAME?</v>
      </c>
      <c r="U2535" s="28" t="e">
        <f ca="1">[1]!BexGetData("DP_1","00O2TNJGODT0G5Z4TTKYMMUX1","GSON1124100018")</f>
        <v>#NAME?</v>
      </c>
      <c r="V2535" s="28" t="e">
        <f ca="1">[1]!BexGetData("DP_1","00O2TNJGODT0G5Z4TTKYMN18L","GSON1124100018")</f>
        <v>#NAME?</v>
      </c>
      <c r="W2535" s="28" t="e">
        <f ca="1">[1]!BexGetData("DP_1","00O2TNJGODT0G5Z4TTKYMN7K5","GSON1124100018")</f>
        <v>#NAME?</v>
      </c>
    </row>
    <row r="2536" spans="1:23" x14ac:dyDescent="0.2">
      <c r="A2536" s="36" t="s">
        <v>1231</v>
      </c>
      <c r="B2536" s="27" t="s">
        <v>459</v>
      </c>
      <c r="C2536" s="23" t="e">
        <f ca="1">[1]!BexGetData("DP_1","003N8EMH8GTFRCSWKMPXRR8GU","GSON1124100019")</f>
        <v>#NAME?</v>
      </c>
      <c r="D2536" s="23" t="e">
        <f ca="1">[1]!BexGetData("DP_1","003N8EMH8GTFRCSWKMPXRRESE","GSON1124100019")</f>
        <v>#NAME?</v>
      </c>
      <c r="E2536" s="28" t="e">
        <f ca="1">[1]!BexGetData("DP_1","003N8EMH8GTFRCSWKMPXRRL3Y","GSON1124100019")</f>
        <v>#NAME?</v>
      </c>
      <c r="F2536" s="28" t="e">
        <f ca="1">[1]!BexGetData("DP_1","003N8EMH8GTFRCSWKMPXRRRFI","GSON1124100019")</f>
        <v>#NAME?</v>
      </c>
      <c r="G2536" s="23" t="e">
        <f ca="1">[1]!BexGetData("DP_1","003N8EMH8GTFRCSWKMPXRRXR2","GSON1124100019")</f>
        <v>#NAME?</v>
      </c>
      <c r="H2536" s="23" t="e">
        <f ca="1">[1]!BexGetData("DP_1","003N8EMH8GTFRCSWKMPXRS42M","GSON1124100019")</f>
        <v>#NAME?</v>
      </c>
      <c r="I2536" s="28" t="e">
        <f ca="1">[1]!BexGetData("DP_1","003N8EMH8GTFRCSWKMPXRSAE6","GSON1124100019")</f>
        <v>#NAME?</v>
      </c>
      <c r="J2536" s="24" t="e">
        <f ca="1">[1]!BexGetData("DP_1","003N8EMH8GTFRCSWKMPXRSGPQ","GSON1124100019")</f>
        <v>#NAME?</v>
      </c>
      <c r="K2536" s="28" t="e">
        <f ca="1">[1]!BexGetData("DP_1","003N8EMH8GTFRIVNUPY288VJH","GSON1124100019")</f>
        <v>#NAME?</v>
      </c>
      <c r="L2536" s="28" t="e">
        <f ca="1">[1]!BexGetData("DP_1","003N8EMH8GTFRIVNUPY2891V1","GSON1124100019")</f>
        <v>#NAME?</v>
      </c>
      <c r="M2536" s="28" t="e">
        <f ca="1">[1]!BexGetData("DP_1","003N8EMH8GTFRIVOG7KG9IQXA","GSON1124100019")</f>
        <v>#NAME?</v>
      </c>
      <c r="N2536" s="28" t="e">
        <f ca="1">[1]!BexGetData("DP_1","003N8EMH8GTFRIVOG7KG9IX8U","GSON1124100019")</f>
        <v>#NAME?</v>
      </c>
      <c r="O2536" s="28" t="e">
        <f ca="1">[1]!BexGetData("DP_1","003N8EMH8GTFRIVOG7KG9J3KE","GSON1124100019")</f>
        <v>#NAME?</v>
      </c>
      <c r="P2536" s="28" t="e">
        <f ca="1">[1]!BexGetData("DP_1","003N8EMH8GTFRIVOG7KG9J9VY","GSON1124100019")</f>
        <v>#NAME?</v>
      </c>
      <c r="Q2536" s="24" t="e">
        <f ca="1">[1]!BexGetData("DP_1","00O2TNJGODT0G5Z4TTKYMM5MT","GSON1124100019")</f>
        <v>#NAME?</v>
      </c>
      <c r="R2536" s="28" t="e">
        <f ca="1">[1]!BexGetData("DP_1","00O2TNJGODT0G5Z4TTKYMMBYD","GSON1124100019")</f>
        <v>#NAME?</v>
      </c>
      <c r="S2536" s="28" t="e">
        <f ca="1">[1]!BexGetData("DP_1","00O2TNJGODT0G5Z4TTKYMMI9X","GSON1124100019")</f>
        <v>#NAME?</v>
      </c>
      <c r="T2536" s="28" t="e">
        <f ca="1">[1]!BexGetData("DP_1","00O2TNJGODT0G5Z4TTKYMMOLH","GSON1124100019")</f>
        <v>#NAME?</v>
      </c>
      <c r="U2536" s="28" t="e">
        <f ca="1">[1]!BexGetData("DP_1","00O2TNJGODT0G5Z4TTKYMMUX1","GSON1124100019")</f>
        <v>#NAME?</v>
      </c>
      <c r="V2536" s="28" t="e">
        <f ca="1">[1]!BexGetData("DP_1","00O2TNJGODT0G5Z4TTKYMN18L","GSON1124100019")</f>
        <v>#NAME?</v>
      </c>
      <c r="W2536" s="28" t="e">
        <f ca="1">[1]!BexGetData("DP_1","00O2TNJGODT0G5Z4TTKYMN7K5","GSON1124100019")</f>
        <v>#NAME?</v>
      </c>
    </row>
    <row r="2537" spans="1:23" x14ac:dyDescent="0.2">
      <c r="A2537" s="36" t="s">
        <v>1232</v>
      </c>
      <c r="B2537" s="27" t="s">
        <v>460</v>
      </c>
      <c r="C2537" s="23" t="e">
        <f ca="1">[1]!BexGetData("DP_1","003N8EMH8GTFRCSWKMPXRR8GU","GSON1124100041")</f>
        <v>#NAME?</v>
      </c>
      <c r="D2537" s="23" t="e">
        <f ca="1">[1]!BexGetData("DP_1","003N8EMH8GTFRCSWKMPXRRESE","GSON1124100041")</f>
        <v>#NAME?</v>
      </c>
      <c r="E2537" s="28" t="e">
        <f ca="1">[1]!BexGetData("DP_1","003N8EMH8GTFRCSWKMPXRRL3Y","GSON1124100041")</f>
        <v>#NAME?</v>
      </c>
      <c r="F2537" s="28" t="e">
        <f ca="1">[1]!BexGetData("DP_1","003N8EMH8GTFRCSWKMPXRRRFI","GSON1124100041")</f>
        <v>#NAME?</v>
      </c>
      <c r="G2537" s="23" t="e">
        <f ca="1">[1]!BexGetData("DP_1","003N8EMH8GTFRCSWKMPXRRXR2","GSON1124100041")</f>
        <v>#NAME?</v>
      </c>
      <c r="H2537" s="23" t="e">
        <f ca="1">[1]!BexGetData("DP_1","003N8EMH8GTFRCSWKMPXRS42M","GSON1124100041")</f>
        <v>#NAME?</v>
      </c>
      <c r="I2537" s="28" t="e">
        <f ca="1">[1]!BexGetData("DP_1","003N8EMH8GTFRCSWKMPXRSAE6","GSON1124100041")</f>
        <v>#NAME?</v>
      </c>
      <c r="J2537" s="24" t="e">
        <f ca="1">[1]!BexGetData("DP_1","003N8EMH8GTFRCSWKMPXRSGPQ","GSON1124100041")</f>
        <v>#NAME?</v>
      </c>
      <c r="K2537" s="28" t="e">
        <f ca="1">[1]!BexGetData("DP_1","003N8EMH8GTFRIVNUPY288VJH","GSON1124100041")</f>
        <v>#NAME?</v>
      </c>
      <c r="L2537" s="28" t="e">
        <f ca="1">[1]!BexGetData("DP_1","003N8EMH8GTFRIVNUPY2891V1","GSON1124100041")</f>
        <v>#NAME?</v>
      </c>
      <c r="M2537" s="28" t="e">
        <f ca="1">[1]!BexGetData("DP_1","003N8EMH8GTFRIVOG7KG9IQXA","GSON1124100041")</f>
        <v>#NAME?</v>
      </c>
      <c r="N2537" s="28" t="e">
        <f ca="1">[1]!BexGetData("DP_1","003N8EMH8GTFRIVOG7KG9IX8U","GSON1124100041")</f>
        <v>#NAME?</v>
      </c>
      <c r="O2537" s="28" t="e">
        <f ca="1">[1]!BexGetData("DP_1","003N8EMH8GTFRIVOG7KG9J3KE","GSON1124100041")</f>
        <v>#NAME?</v>
      </c>
      <c r="P2537" s="28" t="e">
        <f ca="1">[1]!BexGetData("DP_1","003N8EMH8GTFRIVOG7KG9J9VY","GSON1124100041")</f>
        <v>#NAME?</v>
      </c>
      <c r="Q2537" s="24" t="e">
        <f ca="1">[1]!BexGetData("DP_1","00O2TNJGODT0G5Z4TTKYMM5MT","GSON1124100041")</f>
        <v>#NAME?</v>
      </c>
      <c r="R2537" s="28" t="e">
        <f ca="1">[1]!BexGetData("DP_1","00O2TNJGODT0G5Z4TTKYMMBYD","GSON1124100041")</f>
        <v>#NAME?</v>
      </c>
      <c r="S2537" s="28" t="e">
        <f ca="1">[1]!BexGetData("DP_1","00O2TNJGODT0G5Z4TTKYMMI9X","GSON1124100041")</f>
        <v>#NAME?</v>
      </c>
      <c r="T2537" s="28" t="e">
        <f ca="1">[1]!BexGetData("DP_1","00O2TNJGODT0G5Z4TTKYMMOLH","GSON1124100041")</f>
        <v>#NAME?</v>
      </c>
      <c r="U2537" s="28" t="e">
        <f ca="1">[1]!BexGetData("DP_1","00O2TNJGODT0G5Z4TTKYMMUX1","GSON1124100041")</f>
        <v>#NAME?</v>
      </c>
      <c r="V2537" s="28" t="e">
        <f ca="1">[1]!BexGetData("DP_1","00O2TNJGODT0G5Z4TTKYMN18L","GSON1124100041")</f>
        <v>#NAME?</v>
      </c>
      <c r="W2537" s="28" t="e">
        <f ca="1">[1]!BexGetData("DP_1","00O2TNJGODT0G5Z4TTKYMN7K5","GSON1124100041")</f>
        <v>#NAME?</v>
      </c>
    </row>
    <row r="2538" spans="1:23" x14ac:dyDescent="0.2">
      <c r="A2538" s="36" t="s">
        <v>1233</v>
      </c>
      <c r="B2538" s="27" t="s">
        <v>461</v>
      </c>
      <c r="C2538" s="23" t="e">
        <f ca="1">[1]!BexGetData("DP_1","003N8EMH8GTFRCSWKMPXRR8GU","GSON1124100043")</f>
        <v>#NAME?</v>
      </c>
      <c r="D2538" s="23" t="e">
        <f ca="1">[1]!BexGetData("DP_1","003N8EMH8GTFRCSWKMPXRRESE","GSON1124100043")</f>
        <v>#NAME?</v>
      </c>
      <c r="E2538" s="28" t="e">
        <f ca="1">[1]!BexGetData("DP_1","003N8EMH8GTFRCSWKMPXRRL3Y","GSON1124100043")</f>
        <v>#NAME?</v>
      </c>
      <c r="F2538" s="28" t="e">
        <f ca="1">[1]!BexGetData("DP_1","003N8EMH8GTFRCSWKMPXRRRFI","GSON1124100043")</f>
        <v>#NAME?</v>
      </c>
      <c r="G2538" s="23" t="e">
        <f ca="1">[1]!BexGetData("DP_1","003N8EMH8GTFRCSWKMPXRRXR2","GSON1124100043")</f>
        <v>#NAME?</v>
      </c>
      <c r="H2538" s="23" t="e">
        <f ca="1">[1]!BexGetData("DP_1","003N8EMH8GTFRCSWKMPXRS42M","GSON1124100043")</f>
        <v>#NAME?</v>
      </c>
      <c r="I2538" s="28" t="e">
        <f ca="1">[1]!BexGetData("DP_1","003N8EMH8GTFRCSWKMPXRSAE6","GSON1124100043")</f>
        <v>#NAME?</v>
      </c>
      <c r="J2538" s="24" t="e">
        <f ca="1">[1]!BexGetData("DP_1","003N8EMH8GTFRCSWKMPXRSGPQ","GSON1124100043")</f>
        <v>#NAME?</v>
      </c>
      <c r="K2538" s="28" t="e">
        <f ca="1">[1]!BexGetData("DP_1","003N8EMH8GTFRIVNUPY288VJH","GSON1124100043")</f>
        <v>#NAME?</v>
      </c>
      <c r="L2538" s="28" t="e">
        <f ca="1">[1]!BexGetData("DP_1","003N8EMH8GTFRIVNUPY2891V1","GSON1124100043")</f>
        <v>#NAME?</v>
      </c>
      <c r="M2538" s="28" t="e">
        <f ca="1">[1]!BexGetData("DP_1","003N8EMH8GTFRIVOG7KG9IQXA","GSON1124100043")</f>
        <v>#NAME?</v>
      </c>
      <c r="N2538" s="28" t="e">
        <f ca="1">[1]!BexGetData("DP_1","003N8EMH8GTFRIVOG7KG9IX8U","GSON1124100043")</f>
        <v>#NAME?</v>
      </c>
      <c r="O2538" s="28" t="e">
        <f ca="1">[1]!BexGetData("DP_1","003N8EMH8GTFRIVOG7KG9J3KE","GSON1124100043")</f>
        <v>#NAME?</v>
      </c>
      <c r="P2538" s="28" t="e">
        <f ca="1">[1]!BexGetData("DP_1","003N8EMH8GTFRIVOG7KG9J9VY","GSON1124100043")</f>
        <v>#NAME?</v>
      </c>
      <c r="Q2538" s="24" t="e">
        <f ca="1">[1]!BexGetData("DP_1","00O2TNJGODT0G5Z4TTKYMM5MT","GSON1124100043")</f>
        <v>#NAME?</v>
      </c>
      <c r="R2538" s="28" t="e">
        <f ca="1">[1]!BexGetData("DP_1","00O2TNJGODT0G5Z4TTKYMMBYD","GSON1124100043")</f>
        <v>#NAME?</v>
      </c>
      <c r="S2538" s="28" t="e">
        <f ca="1">[1]!BexGetData("DP_1","00O2TNJGODT0G5Z4TTKYMMI9X","GSON1124100043")</f>
        <v>#NAME?</v>
      </c>
      <c r="T2538" s="28" t="e">
        <f ca="1">[1]!BexGetData("DP_1","00O2TNJGODT0G5Z4TTKYMMOLH","GSON1124100043")</f>
        <v>#NAME?</v>
      </c>
      <c r="U2538" s="28" t="e">
        <f ca="1">[1]!BexGetData("DP_1","00O2TNJGODT0G5Z4TTKYMMUX1","GSON1124100043")</f>
        <v>#NAME?</v>
      </c>
      <c r="V2538" s="28" t="e">
        <f ca="1">[1]!BexGetData("DP_1","00O2TNJGODT0G5Z4TTKYMN18L","GSON1124100043")</f>
        <v>#NAME?</v>
      </c>
      <c r="W2538" s="28" t="e">
        <f ca="1">[1]!BexGetData("DP_1","00O2TNJGODT0G5Z4TTKYMN7K5","GSON1124100043")</f>
        <v>#NAME?</v>
      </c>
    </row>
    <row r="2539" spans="1:23" x14ac:dyDescent="0.2">
      <c r="A2539" s="36" t="s">
        <v>456</v>
      </c>
      <c r="B2539" s="27" t="s">
        <v>462</v>
      </c>
      <c r="C2539" s="23" t="e">
        <f ca="1">[1]!BexGetData("DP_1","003N8EMH8GTFRCSWKMPXRR8GU","GSON1124100045")</f>
        <v>#NAME?</v>
      </c>
      <c r="D2539" s="23" t="e">
        <f ca="1">[1]!BexGetData("DP_1","003N8EMH8GTFRCSWKMPXRRESE","GSON1124100045")</f>
        <v>#NAME?</v>
      </c>
      <c r="E2539" s="28" t="e">
        <f ca="1">[1]!BexGetData("DP_1","003N8EMH8GTFRCSWKMPXRRL3Y","GSON1124100045")</f>
        <v>#NAME?</v>
      </c>
      <c r="F2539" s="28" t="e">
        <f ca="1">[1]!BexGetData("DP_1","003N8EMH8GTFRCSWKMPXRRRFI","GSON1124100045")</f>
        <v>#NAME?</v>
      </c>
      <c r="G2539" s="23" t="e">
        <f ca="1">[1]!BexGetData("DP_1","003N8EMH8GTFRCSWKMPXRRXR2","GSON1124100045")</f>
        <v>#NAME?</v>
      </c>
      <c r="H2539" s="23" t="e">
        <f ca="1">[1]!BexGetData("DP_1","003N8EMH8GTFRCSWKMPXRS42M","GSON1124100045")</f>
        <v>#NAME?</v>
      </c>
      <c r="I2539" s="28" t="e">
        <f ca="1">[1]!BexGetData("DP_1","003N8EMH8GTFRCSWKMPXRSAE6","GSON1124100045")</f>
        <v>#NAME?</v>
      </c>
      <c r="J2539" s="24" t="e">
        <f ca="1">[1]!BexGetData("DP_1","003N8EMH8GTFRCSWKMPXRSGPQ","GSON1124100045")</f>
        <v>#NAME?</v>
      </c>
      <c r="K2539" s="28" t="e">
        <f ca="1">[1]!BexGetData("DP_1","003N8EMH8GTFRIVNUPY288VJH","GSON1124100045")</f>
        <v>#NAME?</v>
      </c>
      <c r="L2539" s="28" t="e">
        <f ca="1">[1]!BexGetData("DP_1","003N8EMH8GTFRIVNUPY2891V1","GSON1124100045")</f>
        <v>#NAME?</v>
      </c>
      <c r="M2539" s="28" t="e">
        <f ca="1">[1]!BexGetData("DP_1","003N8EMH8GTFRIVOG7KG9IQXA","GSON1124100045")</f>
        <v>#NAME?</v>
      </c>
      <c r="N2539" s="28" t="e">
        <f ca="1">[1]!BexGetData("DP_1","003N8EMH8GTFRIVOG7KG9IX8U","GSON1124100045")</f>
        <v>#NAME?</v>
      </c>
      <c r="O2539" s="28" t="e">
        <f ca="1">[1]!BexGetData("DP_1","003N8EMH8GTFRIVOG7KG9J3KE","GSON1124100045")</f>
        <v>#NAME?</v>
      </c>
      <c r="P2539" s="28" t="e">
        <f ca="1">[1]!BexGetData("DP_1","003N8EMH8GTFRIVOG7KG9J9VY","GSON1124100045")</f>
        <v>#NAME?</v>
      </c>
      <c r="Q2539" s="24" t="e">
        <f ca="1">[1]!BexGetData("DP_1","00O2TNJGODT0G5Z4TTKYMM5MT","GSON1124100045")</f>
        <v>#NAME?</v>
      </c>
      <c r="R2539" s="28" t="e">
        <f ca="1">[1]!BexGetData("DP_1","00O2TNJGODT0G5Z4TTKYMMBYD","GSON1124100045")</f>
        <v>#NAME?</v>
      </c>
      <c r="S2539" s="28" t="e">
        <f ca="1">[1]!BexGetData("DP_1","00O2TNJGODT0G5Z4TTKYMMI9X","GSON1124100045")</f>
        <v>#NAME?</v>
      </c>
      <c r="T2539" s="28" t="e">
        <f ca="1">[1]!BexGetData("DP_1","00O2TNJGODT0G5Z4TTKYMMOLH","GSON1124100045")</f>
        <v>#NAME?</v>
      </c>
      <c r="U2539" s="28" t="e">
        <f ca="1">[1]!BexGetData("DP_1","00O2TNJGODT0G5Z4TTKYMMUX1","GSON1124100045")</f>
        <v>#NAME?</v>
      </c>
      <c r="V2539" s="28" t="e">
        <f ca="1">[1]!BexGetData("DP_1","00O2TNJGODT0G5Z4TTKYMN18L","GSON1124100045")</f>
        <v>#NAME?</v>
      </c>
      <c r="W2539" s="28" t="e">
        <f ca="1">[1]!BexGetData("DP_1","00O2TNJGODT0G5Z4TTKYMN7K5","GSON1124100045")</f>
        <v>#NAME?</v>
      </c>
    </row>
    <row r="2540" spans="1:23" x14ac:dyDescent="0.2">
      <c r="A2540" s="36" t="s">
        <v>5943</v>
      </c>
      <c r="B2540" s="27" t="s">
        <v>5944</v>
      </c>
      <c r="C2540" s="23" t="e">
        <f ca="1">[1]!BexGetData("DP_1","003N8EMH8GTFRCSWKMPXRR8GU","GSON1124100049")</f>
        <v>#NAME?</v>
      </c>
      <c r="D2540" s="23" t="e">
        <f ca="1">[1]!BexGetData("DP_1","003N8EMH8GTFRCSWKMPXRRESE","GSON1124100049")</f>
        <v>#NAME?</v>
      </c>
      <c r="E2540" s="28" t="e">
        <f ca="1">[1]!BexGetData("DP_1","003N8EMH8GTFRCSWKMPXRRL3Y","GSON1124100049")</f>
        <v>#NAME?</v>
      </c>
      <c r="F2540" s="28" t="e">
        <f ca="1">[1]!BexGetData("DP_1","003N8EMH8GTFRCSWKMPXRRRFI","GSON1124100049")</f>
        <v>#NAME?</v>
      </c>
      <c r="G2540" s="23" t="e">
        <f ca="1">[1]!BexGetData("DP_1","003N8EMH8GTFRCSWKMPXRRXR2","GSON1124100049")</f>
        <v>#NAME?</v>
      </c>
      <c r="H2540" s="23" t="e">
        <f ca="1">[1]!BexGetData("DP_1","003N8EMH8GTFRCSWKMPXRS42M","GSON1124100049")</f>
        <v>#NAME?</v>
      </c>
      <c r="I2540" s="28" t="e">
        <f ca="1">[1]!BexGetData("DP_1","003N8EMH8GTFRCSWKMPXRSAE6","GSON1124100049")</f>
        <v>#NAME?</v>
      </c>
      <c r="J2540" s="24" t="e">
        <f ca="1">[1]!BexGetData("DP_1","003N8EMH8GTFRCSWKMPXRSGPQ","GSON1124100049")</f>
        <v>#NAME?</v>
      </c>
      <c r="K2540" s="28" t="e">
        <f ca="1">[1]!BexGetData("DP_1","003N8EMH8GTFRIVNUPY288VJH","GSON1124100049")</f>
        <v>#NAME?</v>
      </c>
      <c r="L2540" s="28" t="e">
        <f ca="1">[1]!BexGetData("DP_1","003N8EMH8GTFRIVNUPY2891V1","GSON1124100049")</f>
        <v>#NAME?</v>
      </c>
      <c r="M2540" s="28" t="e">
        <f ca="1">[1]!BexGetData("DP_1","003N8EMH8GTFRIVOG7KG9IQXA","GSON1124100049")</f>
        <v>#NAME?</v>
      </c>
      <c r="N2540" s="28" t="e">
        <f ca="1">[1]!BexGetData("DP_1","003N8EMH8GTFRIVOG7KG9IX8U","GSON1124100049")</f>
        <v>#NAME?</v>
      </c>
      <c r="O2540" s="28" t="e">
        <f ca="1">[1]!BexGetData("DP_1","003N8EMH8GTFRIVOG7KG9J3KE","GSON1124100049")</f>
        <v>#NAME?</v>
      </c>
      <c r="P2540" s="28" t="e">
        <f ca="1">[1]!BexGetData("DP_1","003N8EMH8GTFRIVOG7KG9J9VY","GSON1124100049")</f>
        <v>#NAME?</v>
      </c>
      <c r="Q2540" s="24" t="e">
        <f ca="1">[1]!BexGetData("DP_1","00O2TNJGODT0G5Z4TTKYMM5MT","GSON1124100049")</f>
        <v>#NAME?</v>
      </c>
      <c r="R2540" s="28" t="e">
        <f ca="1">[1]!BexGetData("DP_1","00O2TNJGODT0G5Z4TTKYMMBYD","GSON1124100049")</f>
        <v>#NAME?</v>
      </c>
      <c r="S2540" s="28" t="e">
        <f ca="1">[1]!BexGetData("DP_1","00O2TNJGODT0G5Z4TTKYMMI9X","GSON1124100049")</f>
        <v>#NAME?</v>
      </c>
      <c r="T2540" s="28" t="e">
        <f ca="1">[1]!BexGetData("DP_1","00O2TNJGODT0G5Z4TTKYMMOLH","GSON1124100049")</f>
        <v>#NAME?</v>
      </c>
      <c r="U2540" s="28" t="e">
        <f ca="1">[1]!BexGetData("DP_1","00O2TNJGODT0G5Z4TTKYMMUX1","GSON1124100049")</f>
        <v>#NAME?</v>
      </c>
      <c r="V2540" s="28" t="e">
        <f ca="1">[1]!BexGetData("DP_1","00O2TNJGODT0G5Z4TTKYMN18L","GSON1124100049")</f>
        <v>#NAME?</v>
      </c>
      <c r="W2540" s="28" t="e">
        <f ca="1">[1]!BexGetData("DP_1","00O2TNJGODT0G5Z4TTKYMN7K5","GSON1124100049")</f>
        <v>#NAME?</v>
      </c>
    </row>
    <row r="2541" spans="1:23" x14ac:dyDescent="0.2">
      <c r="A2541" s="36" t="s">
        <v>1234</v>
      </c>
      <c r="B2541" s="27" t="s">
        <v>1235</v>
      </c>
      <c r="C2541" s="23" t="e">
        <f ca="1">[1]!BexGetData("DP_1","003N8EMH8GTFRCSWKMPXRR8GU","GSON1124100051")</f>
        <v>#NAME?</v>
      </c>
      <c r="D2541" s="23" t="e">
        <f ca="1">[1]!BexGetData("DP_1","003N8EMH8GTFRCSWKMPXRRESE","GSON1124100051")</f>
        <v>#NAME?</v>
      </c>
      <c r="E2541" s="28" t="e">
        <f ca="1">[1]!BexGetData("DP_1","003N8EMH8GTFRCSWKMPXRRL3Y","GSON1124100051")</f>
        <v>#NAME?</v>
      </c>
      <c r="F2541" s="28" t="e">
        <f ca="1">[1]!BexGetData("DP_1","003N8EMH8GTFRCSWKMPXRRRFI","GSON1124100051")</f>
        <v>#NAME?</v>
      </c>
      <c r="G2541" s="23" t="e">
        <f ca="1">[1]!BexGetData("DP_1","003N8EMH8GTFRCSWKMPXRRXR2","GSON1124100051")</f>
        <v>#NAME?</v>
      </c>
      <c r="H2541" s="23" t="e">
        <f ca="1">[1]!BexGetData("DP_1","003N8EMH8GTFRCSWKMPXRS42M","GSON1124100051")</f>
        <v>#NAME?</v>
      </c>
      <c r="I2541" s="28" t="e">
        <f ca="1">[1]!BexGetData("DP_1","003N8EMH8GTFRCSWKMPXRSAE6","GSON1124100051")</f>
        <v>#NAME?</v>
      </c>
      <c r="J2541" s="24" t="e">
        <f ca="1">[1]!BexGetData("DP_1","003N8EMH8GTFRCSWKMPXRSGPQ","GSON1124100051")</f>
        <v>#NAME?</v>
      </c>
      <c r="K2541" s="28" t="e">
        <f ca="1">[1]!BexGetData("DP_1","003N8EMH8GTFRIVNUPY288VJH","GSON1124100051")</f>
        <v>#NAME?</v>
      </c>
      <c r="L2541" s="28" t="e">
        <f ca="1">[1]!BexGetData("DP_1","003N8EMH8GTFRIVNUPY2891V1","GSON1124100051")</f>
        <v>#NAME?</v>
      </c>
      <c r="M2541" s="28" t="e">
        <f ca="1">[1]!BexGetData("DP_1","003N8EMH8GTFRIVOG7KG9IQXA","GSON1124100051")</f>
        <v>#NAME?</v>
      </c>
      <c r="N2541" s="28" t="e">
        <f ca="1">[1]!BexGetData("DP_1","003N8EMH8GTFRIVOG7KG9IX8U","GSON1124100051")</f>
        <v>#NAME?</v>
      </c>
      <c r="O2541" s="28" t="e">
        <f ca="1">[1]!BexGetData("DP_1","003N8EMH8GTFRIVOG7KG9J3KE","GSON1124100051")</f>
        <v>#NAME?</v>
      </c>
      <c r="P2541" s="28" t="e">
        <f ca="1">[1]!BexGetData("DP_1","003N8EMH8GTFRIVOG7KG9J9VY","GSON1124100051")</f>
        <v>#NAME?</v>
      </c>
      <c r="Q2541" s="24" t="e">
        <f ca="1">[1]!BexGetData("DP_1","00O2TNJGODT0G5Z4TTKYMM5MT","GSON1124100051")</f>
        <v>#NAME?</v>
      </c>
      <c r="R2541" s="28" t="e">
        <f ca="1">[1]!BexGetData("DP_1","00O2TNJGODT0G5Z4TTKYMMBYD","GSON1124100051")</f>
        <v>#NAME?</v>
      </c>
      <c r="S2541" s="28" t="e">
        <f ca="1">[1]!BexGetData("DP_1","00O2TNJGODT0G5Z4TTKYMMI9X","GSON1124100051")</f>
        <v>#NAME?</v>
      </c>
      <c r="T2541" s="28" t="e">
        <f ca="1">[1]!BexGetData("DP_1","00O2TNJGODT0G5Z4TTKYMMOLH","GSON1124100051")</f>
        <v>#NAME?</v>
      </c>
      <c r="U2541" s="28" t="e">
        <f ca="1">[1]!BexGetData("DP_1","00O2TNJGODT0G5Z4TTKYMMUX1","GSON1124100051")</f>
        <v>#NAME?</v>
      </c>
      <c r="V2541" s="28" t="e">
        <f ca="1">[1]!BexGetData("DP_1","00O2TNJGODT0G5Z4TTKYMN18L","GSON1124100051")</f>
        <v>#NAME?</v>
      </c>
      <c r="W2541" s="28" t="e">
        <f ca="1">[1]!BexGetData("DP_1","00O2TNJGODT0G5Z4TTKYMN7K5","GSON1124100051")</f>
        <v>#NAME?</v>
      </c>
    </row>
    <row r="2542" spans="1:23" x14ac:dyDescent="0.2">
      <c r="A2542" s="36" t="s">
        <v>1236</v>
      </c>
      <c r="B2542" s="27" t="s">
        <v>677</v>
      </c>
      <c r="C2542" s="23" t="e">
        <f ca="1">[1]!BexGetData("DP_1","003N8EMH8GTFRCSWKMPXRR8GU","GSON1124100052")</f>
        <v>#NAME?</v>
      </c>
      <c r="D2542" s="23" t="e">
        <f ca="1">[1]!BexGetData("DP_1","003N8EMH8GTFRCSWKMPXRRESE","GSON1124100052")</f>
        <v>#NAME?</v>
      </c>
      <c r="E2542" s="28" t="e">
        <f ca="1">[1]!BexGetData("DP_1","003N8EMH8GTFRCSWKMPXRRL3Y","GSON1124100052")</f>
        <v>#NAME?</v>
      </c>
      <c r="F2542" s="28" t="e">
        <f ca="1">[1]!BexGetData("DP_1","003N8EMH8GTFRCSWKMPXRRRFI","GSON1124100052")</f>
        <v>#NAME?</v>
      </c>
      <c r="G2542" s="23" t="e">
        <f ca="1">[1]!BexGetData("DP_1","003N8EMH8GTFRCSWKMPXRRXR2","GSON1124100052")</f>
        <v>#NAME?</v>
      </c>
      <c r="H2542" s="23" t="e">
        <f ca="1">[1]!BexGetData("DP_1","003N8EMH8GTFRCSWKMPXRS42M","GSON1124100052")</f>
        <v>#NAME?</v>
      </c>
      <c r="I2542" s="28" t="e">
        <f ca="1">[1]!BexGetData("DP_1","003N8EMH8GTFRCSWKMPXRSAE6","GSON1124100052")</f>
        <v>#NAME?</v>
      </c>
      <c r="J2542" s="24" t="e">
        <f ca="1">[1]!BexGetData("DP_1","003N8EMH8GTFRCSWKMPXRSGPQ","GSON1124100052")</f>
        <v>#NAME?</v>
      </c>
      <c r="K2542" s="28" t="e">
        <f ca="1">[1]!BexGetData("DP_1","003N8EMH8GTFRIVNUPY288VJH","GSON1124100052")</f>
        <v>#NAME?</v>
      </c>
      <c r="L2542" s="28" t="e">
        <f ca="1">[1]!BexGetData("DP_1","003N8EMH8GTFRIVNUPY2891V1","GSON1124100052")</f>
        <v>#NAME?</v>
      </c>
      <c r="M2542" s="28" t="e">
        <f ca="1">[1]!BexGetData("DP_1","003N8EMH8GTFRIVOG7KG9IQXA","GSON1124100052")</f>
        <v>#NAME?</v>
      </c>
      <c r="N2542" s="28" t="e">
        <f ca="1">[1]!BexGetData("DP_1","003N8EMH8GTFRIVOG7KG9IX8U","GSON1124100052")</f>
        <v>#NAME?</v>
      </c>
      <c r="O2542" s="28" t="e">
        <f ca="1">[1]!BexGetData("DP_1","003N8EMH8GTFRIVOG7KG9J3KE","GSON1124100052")</f>
        <v>#NAME?</v>
      </c>
      <c r="P2542" s="28" t="e">
        <f ca="1">[1]!BexGetData("DP_1","003N8EMH8GTFRIVOG7KG9J9VY","GSON1124100052")</f>
        <v>#NAME?</v>
      </c>
      <c r="Q2542" s="24" t="e">
        <f ca="1">[1]!BexGetData("DP_1","00O2TNJGODT0G5Z4TTKYMM5MT","GSON1124100052")</f>
        <v>#NAME?</v>
      </c>
      <c r="R2542" s="28" t="e">
        <f ca="1">[1]!BexGetData("DP_1","00O2TNJGODT0G5Z4TTKYMMBYD","GSON1124100052")</f>
        <v>#NAME?</v>
      </c>
      <c r="S2542" s="28" t="e">
        <f ca="1">[1]!BexGetData("DP_1","00O2TNJGODT0G5Z4TTKYMMI9X","GSON1124100052")</f>
        <v>#NAME?</v>
      </c>
      <c r="T2542" s="28" t="e">
        <f ca="1">[1]!BexGetData("DP_1","00O2TNJGODT0G5Z4TTKYMMOLH","GSON1124100052")</f>
        <v>#NAME?</v>
      </c>
      <c r="U2542" s="28" t="e">
        <f ca="1">[1]!BexGetData("DP_1","00O2TNJGODT0G5Z4TTKYMMUX1","GSON1124100052")</f>
        <v>#NAME?</v>
      </c>
      <c r="V2542" s="28" t="e">
        <f ca="1">[1]!BexGetData("DP_1","00O2TNJGODT0G5Z4TTKYMN18L","GSON1124100052")</f>
        <v>#NAME?</v>
      </c>
      <c r="W2542" s="28" t="e">
        <f ca="1">[1]!BexGetData("DP_1","00O2TNJGODT0G5Z4TTKYMN7K5","GSON1124100052")</f>
        <v>#NAME?</v>
      </c>
    </row>
    <row r="2543" spans="1:23" x14ac:dyDescent="0.2">
      <c r="A2543" s="36" t="s">
        <v>1237</v>
      </c>
      <c r="B2543" s="27" t="s">
        <v>463</v>
      </c>
      <c r="C2543" s="23" t="e">
        <f ca="1">[1]!BexGetData("DP_1","003N8EMH8GTFRCSWKMPXRR8GU","GSON1124100061")</f>
        <v>#NAME?</v>
      </c>
      <c r="D2543" s="23" t="e">
        <f ca="1">[1]!BexGetData("DP_1","003N8EMH8GTFRCSWKMPXRRESE","GSON1124100061")</f>
        <v>#NAME?</v>
      </c>
      <c r="E2543" s="28" t="e">
        <f ca="1">[1]!BexGetData("DP_1","003N8EMH8GTFRCSWKMPXRRL3Y","GSON1124100061")</f>
        <v>#NAME?</v>
      </c>
      <c r="F2543" s="28" t="e">
        <f ca="1">[1]!BexGetData("DP_1","003N8EMH8GTFRCSWKMPXRRRFI","GSON1124100061")</f>
        <v>#NAME?</v>
      </c>
      <c r="G2543" s="23" t="e">
        <f ca="1">[1]!BexGetData("DP_1","003N8EMH8GTFRCSWKMPXRRXR2","GSON1124100061")</f>
        <v>#NAME?</v>
      </c>
      <c r="H2543" s="23" t="e">
        <f ca="1">[1]!BexGetData("DP_1","003N8EMH8GTFRCSWKMPXRS42M","GSON1124100061")</f>
        <v>#NAME?</v>
      </c>
      <c r="I2543" s="28" t="e">
        <f ca="1">[1]!BexGetData("DP_1","003N8EMH8GTFRCSWKMPXRSAE6","GSON1124100061")</f>
        <v>#NAME?</v>
      </c>
      <c r="J2543" s="24" t="e">
        <f ca="1">[1]!BexGetData("DP_1","003N8EMH8GTFRCSWKMPXRSGPQ","GSON1124100061")</f>
        <v>#NAME?</v>
      </c>
      <c r="K2543" s="28" t="e">
        <f ca="1">[1]!BexGetData("DP_1","003N8EMH8GTFRIVNUPY288VJH","GSON1124100061")</f>
        <v>#NAME?</v>
      </c>
      <c r="L2543" s="28" t="e">
        <f ca="1">[1]!BexGetData("DP_1","003N8EMH8GTFRIVNUPY2891V1","GSON1124100061")</f>
        <v>#NAME?</v>
      </c>
      <c r="M2543" s="28" t="e">
        <f ca="1">[1]!BexGetData("DP_1","003N8EMH8GTFRIVOG7KG9IQXA","GSON1124100061")</f>
        <v>#NAME?</v>
      </c>
      <c r="N2543" s="28" t="e">
        <f ca="1">[1]!BexGetData("DP_1","003N8EMH8GTFRIVOG7KG9IX8U","GSON1124100061")</f>
        <v>#NAME?</v>
      </c>
      <c r="O2543" s="28" t="e">
        <f ca="1">[1]!BexGetData("DP_1","003N8EMH8GTFRIVOG7KG9J3KE","GSON1124100061")</f>
        <v>#NAME?</v>
      </c>
      <c r="P2543" s="28" t="e">
        <f ca="1">[1]!BexGetData("DP_1","003N8EMH8GTFRIVOG7KG9J9VY","GSON1124100061")</f>
        <v>#NAME?</v>
      </c>
      <c r="Q2543" s="24" t="e">
        <f ca="1">[1]!BexGetData("DP_1","00O2TNJGODT0G5Z4TTKYMM5MT","GSON1124100061")</f>
        <v>#NAME?</v>
      </c>
      <c r="R2543" s="28" t="e">
        <f ca="1">[1]!BexGetData("DP_1","00O2TNJGODT0G5Z4TTKYMMBYD","GSON1124100061")</f>
        <v>#NAME?</v>
      </c>
      <c r="S2543" s="28" t="e">
        <f ca="1">[1]!BexGetData("DP_1","00O2TNJGODT0G5Z4TTKYMMI9X","GSON1124100061")</f>
        <v>#NAME?</v>
      </c>
      <c r="T2543" s="28" t="e">
        <f ca="1">[1]!BexGetData("DP_1","00O2TNJGODT0G5Z4TTKYMMOLH","GSON1124100061")</f>
        <v>#NAME?</v>
      </c>
      <c r="U2543" s="28" t="e">
        <f ca="1">[1]!BexGetData("DP_1","00O2TNJGODT0G5Z4TTKYMMUX1","GSON1124100061")</f>
        <v>#NAME?</v>
      </c>
      <c r="V2543" s="28" t="e">
        <f ca="1">[1]!BexGetData("DP_1","00O2TNJGODT0G5Z4TTKYMN18L","GSON1124100061")</f>
        <v>#NAME?</v>
      </c>
      <c r="W2543" s="28" t="e">
        <f ca="1">[1]!BexGetData("DP_1","00O2TNJGODT0G5Z4TTKYMN7K5","GSON1124100061")</f>
        <v>#NAME?</v>
      </c>
    </row>
    <row r="2544" spans="1:23" x14ac:dyDescent="0.2">
      <c r="A2544" s="36" t="s">
        <v>1238</v>
      </c>
      <c r="B2544" s="27" t="s">
        <v>464</v>
      </c>
      <c r="C2544" s="23" t="e">
        <f ca="1">[1]!BexGetData("DP_1","003N8EMH8GTFRCSWKMPXRR8GU","GSON1124100069")</f>
        <v>#NAME?</v>
      </c>
      <c r="D2544" s="23" t="e">
        <f ca="1">[1]!BexGetData("DP_1","003N8EMH8GTFRCSWKMPXRRESE","GSON1124100069")</f>
        <v>#NAME?</v>
      </c>
      <c r="E2544" s="28" t="e">
        <f ca="1">[1]!BexGetData("DP_1","003N8EMH8GTFRCSWKMPXRRL3Y","GSON1124100069")</f>
        <v>#NAME?</v>
      </c>
      <c r="F2544" s="28" t="e">
        <f ca="1">[1]!BexGetData("DP_1","003N8EMH8GTFRCSWKMPXRRRFI","GSON1124100069")</f>
        <v>#NAME?</v>
      </c>
      <c r="G2544" s="23" t="e">
        <f ca="1">[1]!BexGetData("DP_1","003N8EMH8GTFRCSWKMPXRRXR2","GSON1124100069")</f>
        <v>#NAME?</v>
      </c>
      <c r="H2544" s="23" t="e">
        <f ca="1">[1]!BexGetData("DP_1","003N8EMH8GTFRCSWKMPXRS42M","GSON1124100069")</f>
        <v>#NAME?</v>
      </c>
      <c r="I2544" s="28" t="e">
        <f ca="1">[1]!BexGetData("DP_1","003N8EMH8GTFRCSWKMPXRSAE6","GSON1124100069")</f>
        <v>#NAME?</v>
      </c>
      <c r="J2544" s="24" t="e">
        <f ca="1">[1]!BexGetData("DP_1","003N8EMH8GTFRCSWKMPXRSGPQ","GSON1124100069")</f>
        <v>#NAME?</v>
      </c>
      <c r="K2544" s="28" t="e">
        <f ca="1">[1]!BexGetData("DP_1","003N8EMH8GTFRIVNUPY288VJH","GSON1124100069")</f>
        <v>#NAME?</v>
      </c>
      <c r="L2544" s="28" t="e">
        <f ca="1">[1]!BexGetData("DP_1","003N8EMH8GTFRIVNUPY2891V1","GSON1124100069")</f>
        <v>#NAME?</v>
      </c>
      <c r="M2544" s="28" t="e">
        <f ca="1">[1]!BexGetData("DP_1","003N8EMH8GTFRIVOG7KG9IQXA","GSON1124100069")</f>
        <v>#NAME?</v>
      </c>
      <c r="N2544" s="28" t="e">
        <f ca="1">[1]!BexGetData("DP_1","003N8EMH8GTFRIVOG7KG9IX8U","GSON1124100069")</f>
        <v>#NAME?</v>
      </c>
      <c r="O2544" s="28" t="e">
        <f ca="1">[1]!BexGetData("DP_1","003N8EMH8GTFRIVOG7KG9J3KE","GSON1124100069")</f>
        <v>#NAME?</v>
      </c>
      <c r="P2544" s="28" t="e">
        <f ca="1">[1]!BexGetData("DP_1","003N8EMH8GTFRIVOG7KG9J9VY","GSON1124100069")</f>
        <v>#NAME?</v>
      </c>
      <c r="Q2544" s="24" t="e">
        <f ca="1">[1]!BexGetData("DP_1","00O2TNJGODT0G5Z4TTKYMM5MT","GSON1124100069")</f>
        <v>#NAME?</v>
      </c>
      <c r="R2544" s="28" t="e">
        <f ca="1">[1]!BexGetData("DP_1","00O2TNJGODT0G5Z4TTKYMMBYD","GSON1124100069")</f>
        <v>#NAME?</v>
      </c>
      <c r="S2544" s="28" t="e">
        <f ca="1">[1]!BexGetData("DP_1","00O2TNJGODT0G5Z4TTKYMMI9X","GSON1124100069")</f>
        <v>#NAME?</v>
      </c>
      <c r="T2544" s="28" t="e">
        <f ca="1">[1]!BexGetData("DP_1","00O2TNJGODT0G5Z4TTKYMMOLH","GSON1124100069")</f>
        <v>#NAME?</v>
      </c>
      <c r="U2544" s="28" t="e">
        <f ca="1">[1]!BexGetData("DP_1","00O2TNJGODT0G5Z4TTKYMMUX1","GSON1124100069")</f>
        <v>#NAME?</v>
      </c>
      <c r="V2544" s="28" t="e">
        <f ca="1">[1]!BexGetData("DP_1","00O2TNJGODT0G5Z4TTKYMN18L","GSON1124100069")</f>
        <v>#NAME?</v>
      </c>
      <c r="W2544" s="28" t="e">
        <f ca="1">[1]!BexGetData("DP_1","00O2TNJGODT0G5Z4TTKYMN7K5","GSON1124100069")</f>
        <v>#NAME?</v>
      </c>
    </row>
    <row r="2545" spans="1:23" x14ac:dyDescent="0.2">
      <c r="A2545" s="36" t="s">
        <v>5945</v>
      </c>
      <c r="B2545" s="27" t="s">
        <v>5946</v>
      </c>
      <c r="C2545" s="28" t="e">
        <f ca="1">[1]!BexGetData("DP_1","003N8EMH8GTFRCSWKMPXRR8GU","GSON1124200010")</f>
        <v>#NAME?</v>
      </c>
      <c r="D2545" s="28" t="e">
        <f ca="1">[1]!BexGetData("DP_1","003N8EMH8GTFRCSWKMPXRRESE","GSON1124200010")</f>
        <v>#NAME?</v>
      </c>
      <c r="E2545" s="28" t="e">
        <f ca="1">[1]!BexGetData("DP_1","003N8EMH8GTFRCSWKMPXRRL3Y","GSON1124200010")</f>
        <v>#NAME?</v>
      </c>
      <c r="F2545" s="28" t="e">
        <f ca="1">[1]!BexGetData("DP_1","003N8EMH8GTFRCSWKMPXRRRFI","GSON1124200010")</f>
        <v>#NAME?</v>
      </c>
      <c r="G2545" s="23" t="e">
        <f ca="1">[1]!BexGetData("DP_1","003N8EMH8GTFRCSWKMPXRRXR2","GSON1124200010")</f>
        <v>#NAME?</v>
      </c>
      <c r="H2545" s="23" t="e">
        <f ca="1">[1]!BexGetData("DP_1","003N8EMH8GTFRCSWKMPXRS42M","GSON1124200010")</f>
        <v>#NAME?</v>
      </c>
      <c r="I2545" s="28" t="e">
        <f ca="1">[1]!BexGetData("DP_1","003N8EMH8GTFRCSWKMPXRSAE6","GSON1124200010")</f>
        <v>#NAME?</v>
      </c>
      <c r="J2545" s="23" t="e">
        <f ca="1">[1]!BexGetData("DP_1","003N8EMH8GTFRCSWKMPXRSGPQ","GSON1124200010")</f>
        <v>#NAME?</v>
      </c>
      <c r="K2545" s="28" t="e">
        <f ca="1">[1]!BexGetData("DP_1","003N8EMH8GTFRIVNUPY288VJH","GSON1124200010")</f>
        <v>#NAME?</v>
      </c>
      <c r="L2545" s="28" t="e">
        <f ca="1">[1]!BexGetData("DP_1","003N8EMH8GTFRIVNUPY2891V1","GSON1124200010")</f>
        <v>#NAME?</v>
      </c>
      <c r="M2545" s="28" t="e">
        <f ca="1">[1]!BexGetData("DP_1","003N8EMH8GTFRIVOG7KG9IQXA","GSON1124200010")</f>
        <v>#NAME?</v>
      </c>
      <c r="N2545" s="28" t="e">
        <f ca="1">[1]!BexGetData("DP_1","003N8EMH8GTFRIVOG7KG9IX8U","GSON1124200010")</f>
        <v>#NAME?</v>
      </c>
      <c r="O2545" s="28" t="e">
        <f ca="1">[1]!BexGetData("DP_1","003N8EMH8GTFRIVOG7KG9J3KE","GSON1124200010")</f>
        <v>#NAME?</v>
      </c>
      <c r="P2545" s="28" t="e">
        <f ca="1">[1]!BexGetData("DP_1","003N8EMH8GTFRIVOG7KG9J9VY","GSON1124200010")</f>
        <v>#NAME?</v>
      </c>
      <c r="Q2545" s="23" t="e">
        <f ca="1">[1]!BexGetData("DP_1","00O2TNJGODT0G5Z4TTKYMM5MT","GSON1124200010")</f>
        <v>#NAME?</v>
      </c>
      <c r="R2545" s="23" t="e">
        <f ca="1">[1]!BexGetData("DP_1","00O2TNJGODT0G5Z4TTKYMMBYD","GSON1124200010")</f>
        <v>#NAME?</v>
      </c>
      <c r="S2545" s="23" t="e">
        <f ca="1">[1]!BexGetData("DP_1","00O2TNJGODT0G5Z4TTKYMMI9X","GSON1124200010")</f>
        <v>#NAME?</v>
      </c>
      <c r="T2545" s="23" t="e">
        <f ca="1">[1]!BexGetData("DP_1","00O2TNJGODT0G5Z4TTKYMMOLH","GSON1124200010")</f>
        <v>#NAME?</v>
      </c>
      <c r="U2545" s="28" t="e">
        <f ca="1">[1]!BexGetData("DP_1","00O2TNJGODT0G5Z4TTKYMMUX1","GSON1124200010")</f>
        <v>#NAME?</v>
      </c>
      <c r="V2545" s="23" t="e">
        <f ca="1">[1]!BexGetData("DP_1","00O2TNJGODT0G5Z4TTKYMN18L","GSON1124200010")</f>
        <v>#NAME?</v>
      </c>
      <c r="W2545" s="28" t="e">
        <f ca="1">[1]!BexGetData("DP_1","00O2TNJGODT0G5Z4TTKYMN7K5","GSON1124200010")</f>
        <v>#NAME?</v>
      </c>
    </row>
    <row r="2546" spans="1:23" x14ac:dyDescent="0.2">
      <c r="A2546" s="36" t="s">
        <v>5945</v>
      </c>
      <c r="B2546" s="27" t="s">
        <v>5947</v>
      </c>
      <c r="C2546" s="23" t="e">
        <f ca="1">[1]!BexGetData("DP_1","003N8EMH8GTFRCSWKMPXRR8GU","GSON1124200011")</f>
        <v>#NAME?</v>
      </c>
      <c r="D2546" s="23" t="e">
        <f ca="1">[1]!BexGetData("DP_1","003N8EMH8GTFRCSWKMPXRRESE","GSON1124200011")</f>
        <v>#NAME?</v>
      </c>
      <c r="E2546" s="23" t="e">
        <f ca="1">[1]!BexGetData("DP_1","003N8EMH8GTFRCSWKMPXRRL3Y","GSON1124200011")</f>
        <v>#NAME?</v>
      </c>
      <c r="F2546" s="23" t="e">
        <f ca="1">[1]!BexGetData("DP_1","003N8EMH8GTFRCSWKMPXRRRFI","GSON1124200011")</f>
        <v>#NAME?</v>
      </c>
      <c r="G2546" s="23" t="e">
        <f ca="1">[1]!BexGetData("DP_1","003N8EMH8GTFRCSWKMPXRRXR2","GSON1124200011")</f>
        <v>#NAME?</v>
      </c>
      <c r="H2546" s="23" t="e">
        <f ca="1">[1]!BexGetData("DP_1","003N8EMH8GTFRCSWKMPXRS42M","GSON1124200011")</f>
        <v>#NAME?</v>
      </c>
      <c r="I2546" s="23" t="e">
        <f ca="1">[1]!BexGetData("DP_1","003N8EMH8GTFRCSWKMPXRSAE6","GSON1124200011")</f>
        <v>#NAME?</v>
      </c>
      <c r="J2546" s="24" t="e">
        <f ca="1">[1]!BexGetData("DP_1","003N8EMH8GTFRCSWKMPXRSGPQ","GSON1124200011")</f>
        <v>#NAME?</v>
      </c>
      <c r="K2546" s="23" t="e">
        <f ca="1">[1]!BexGetData("DP_1","003N8EMH8GTFRIVNUPY288VJH","GSON1124200011")</f>
        <v>#NAME?</v>
      </c>
      <c r="L2546" s="23" t="e">
        <f ca="1">[1]!BexGetData("DP_1","003N8EMH8GTFRIVNUPY2891V1","GSON1124200011")</f>
        <v>#NAME?</v>
      </c>
      <c r="M2546" s="23" t="e">
        <f ca="1">[1]!BexGetData("DP_1","003N8EMH8GTFRIVOG7KG9IQXA","GSON1124200011")</f>
        <v>#NAME?</v>
      </c>
      <c r="N2546" s="28" t="e">
        <f ca="1">[1]!BexGetData("DP_1","003N8EMH8GTFRIVOG7KG9IX8U","GSON1124200011")</f>
        <v>#NAME?</v>
      </c>
      <c r="O2546" s="23" t="e">
        <f ca="1">[1]!BexGetData("DP_1","003N8EMH8GTFRIVOG7KG9J3KE","GSON1124200011")</f>
        <v>#NAME?</v>
      </c>
      <c r="P2546" s="28" t="e">
        <f ca="1">[1]!BexGetData("DP_1","003N8EMH8GTFRIVOG7KG9J9VY","GSON1124200011")</f>
        <v>#NAME?</v>
      </c>
      <c r="Q2546" s="24" t="e">
        <f ca="1">[1]!BexGetData("DP_1","00O2TNJGODT0G5Z4TTKYMM5MT","GSON1124200011")</f>
        <v>#NAME?</v>
      </c>
      <c r="R2546" s="23" t="e">
        <f ca="1">[1]!BexGetData("DP_1","00O2TNJGODT0G5Z4TTKYMMBYD","GSON1124200011")</f>
        <v>#NAME?</v>
      </c>
      <c r="S2546" s="23" t="e">
        <f ca="1">[1]!BexGetData("DP_1","00O2TNJGODT0G5Z4TTKYMMI9X","GSON1124200011")</f>
        <v>#NAME?</v>
      </c>
      <c r="T2546" s="28" t="e">
        <f ca="1">[1]!BexGetData("DP_1","00O2TNJGODT0G5Z4TTKYMMOLH","GSON1124200011")</f>
        <v>#NAME?</v>
      </c>
      <c r="U2546" s="23" t="e">
        <f ca="1">[1]!BexGetData("DP_1","00O2TNJGODT0G5Z4TTKYMMUX1","GSON1124200011")</f>
        <v>#NAME?</v>
      </c>
      <c r="V2546" s="28" t="e">
        <f ca="1">[1]!BexGetData("DP_1","00O2TNJGODT0G5Z4TTKYMN18L","GSON1124200011")</f>
        <v>#NAME?</v>
      </c>
      <c r="W2546" s="23" t="e">
        <f ca="1">[1]!BexGetData("DP_1","00O2TNJGODT0G5Z4TTKYMN7K5","GSON1124200011")</f>
        <v>#NAME?</v>
      </c>
    </row>
    <row r="2547" spans="1:23" x14ac:dyDescent="0.2">
      <c r="A2547" s="36" t="s">
        <v>1764</v>
      </c>
      <c r="B2547" s="27" t="s">
        <v>1765</v>
      </c>
      <c r="C2547" s="23" t="e">
        <f ca="1">[1]!BexGetData("DP_1","003N8EMH8GTFRCSWKMPXRR8GU","GSON1124200013")</f>
        <v>#NAME?</v>
      </c>
      <c r="D2547" s="23" t="e">
        <f ca="1">[1]!BexGetData("DP_1","003N8EMH8GTFRCSWKMPXRRESE","GSON1124200013")</f>
        <v>#NAME?</v>
      </c>
      <c r="E2547" s="23" t="e">
        <f ca="1">[1]!BexGetData("DP_1","003N8EMH8GTFRCSWKMPXRRL3Y","GSON1124200013")</f>
        <v>#NAME?</v>
      </c>
      <c r="F2547" s="23" t="e">
        <f ca="1">[1]!BexGetData("DP_1","003N8EMH8GTFRCSWKMPXRRRFI","GSON1124200013")</f>
        <v>#NAME?</v>
      </c>
      <c r="G2547" s="23" t="e">
        <f ca="1">[1]!BexGetData("DP_1","003N8EMH8GTFRCSWKMPXRRXR2","GSON1124200013")</f>
        <v>#NAME?</v>
      </c>
      <c r="H2547" s="23" t="e">
        <f ca="1">[1]!BexGetData("DP_1","003N8EMH8GTFRCSWKMPXRS42M","GSON1124200013")</f>
        <v>#NAME?</v>
      </c>
      <c r="I2547" s="23" t="e">
        <f ca="1">[1]!BexGetData("DP_1","003N8EMH8GTFRCSWKMPXRSAE6","GSON1124200013")</f>
        <v>#NAME?</v>
      </c>
      <c r="J2547" s="24" t="e">
        <f ca="1">[1]!BexGetData("DP_1","003N8EMH8GTFRCSWKMPXRSGPQ","GSON1124200013")</f>
        <v>#NAME?</v>
      </c>
      <c r="K2547" s="23" t="e">
        <f ca="1">[1]!BexGetData("DP_1","003N8EMH8GTFRIVNUPY288VJH","GSON1124200013")</f>
        <v>#NAME?</v>
      </c>
      <c r="L2547" s="23" t="e">
        <f ca="1">[1]!BexGetData("DP_1","003N8EMH8GTFRIVNUPY2891V1","GSON1124200013")</f>
        <v>#NAME?</v>
      </c>
      <c r="M2547" s="28" t="e">
        <f ca="1">[1]!BexGetData("DP_1","003N8EMH8GTFRIVOG7KG9IQXA","GSON1124200013")</f>
        <v>#NAME?</v>
      </c>
      <c r="N2547" s="23" t="e">
        <f ca="1">[1]!BexGetData("DP_1","003N8EMH8GTFRIVOG7KG9IX8U","GSON1124200013")</f>
        <v>#NAME?</v>
      </c>
      <c r="O2547" s="28" t="e">
        <f ca="1">[1]!BexGetData("DP_1","003N8EMH8GTFRIVOG7KG9J3KE","GSON1124200013")</f>
        <v>#NAME?</v>
      </c>
      <c r="P2547" s="23" t="e">
        <f ca="1">[1]!BexGetData("DP_1","003N8EMH8GTFRIVOG7KG9J9VY","GSON1124200013")</f>
        <v>#NAME?</v>
      </c>
      <c r="Q2547" s="24" t="e">
        <f ca="1">[1]!BexGetData("DP_1","00O2TNJGODT0G5Z4TTKYMM5MT","GSON1124200013")</f>
        <v>#NAME?</v>
      </c>
      <c r="R2547" s="23" t="e">
        <f ca="1">[1]!BexGetData("DP_1","00O2TNJGODT0G5Z4TTKYMMBYD","GSON1124200013")</f>
        <v>#NAME?</v>
      </c>
      <c r="S2547" s="23" t="e">
        <f ca="1">[1]!BexGetData("DP_1","00O2TNJGODT0G5Z4TTKYMMI9X","GSON1124200013")</f>
        <v>#NAME?</v>
      </c>
      <c r="T2547" s="28" t="e">
        <f ca="1">[1]!BexGetData("DP_1","00O2TNJGODT0G5Z4TTKYMMOLH","GSON1124200013")</f>
        <v>#NAME?</v>
      </c>
      <c r="U2547" s="23" t="e">
        <f ca="1">[1]!BexGetData("DP_1","00O2TNJGODT0G5Z4TTKYMMUX1","GSON1124200013")</f>
        <v>#NAME?</v>
      </c>
      <c r="V2547" s="28" t="e">
        <f ca="1">[1]!BexGetData("DP_1","00O2TNJGODT0G5Z4TTKYMN18L","GSON1124200013")</f>
        <v>#NAME?</v>
      </c>
      <c r="W2547" s="23" t="e">
        <f ca="1">[1]!BexGetData("DP_1","00O2TNJGODT0G5Z4TTKYMN7K5","GSON1124200013")</f>
        <v>#NAME?</v>
      </c>
    </row>
    <row r="2548" spans="1:23" x14ac:dyDescent="0.2">
      <c r="A2548" s="36" t="s">
        <v>5948</v>
      </c>
      <c r="B2548" s="27" t="s">
        <v>5949</v>
      </c>
      <c r="C2548" s="23" t="e">
        <f ca="1">[1]!BexGetData("DP_1","003N8EMH8GTFRCSWKMPXRR8GU","GSON1124200015")</f>
        <v>#NAME?</v>
      </c>
      <c r="D2548" s="23" t="e">
        <f ca="1">[1]!BexGetData("DP_1","003N8EMH8GTFRCSWKMPXRRESE","GSON1124200015")</f>
        <v>#NAME?</v>
      </c>
      <c r="E2548" s="23" t="e">
        <f ca="1">[1]!BexGetData("DP_1","003N8EMH8GTFRCSWKMPXRRL3Y","GSON1124200015")</f>
        <v>#NAME?</v>
      </c>
      <c r="F2548" s="23" t="e">
        <f ca="1">[1]!BexGetData("DP_1","003N8EMH8GTFRCSWKMPXRRRFI","GSON1124200015")</f>
        <v>#NAME?</v>
      </c>
      <c r="G2548" s="23" t="e">
        <f ca="1">[1]!BexGetData("DP_1","003N8EMH8GTFRCSWKMPXRRXR2","GSON1124200015")</f>
        <v>#NAME?</v>
      </c>
      <c r="H2548" s="23" t="e">
        <f ca="1">[1]!BexGetData("DP_1","003N8EMH8GTFRCSWKMPXRS42M","GSON1124200015")</f>
        <v>#NAME?</v>
      </c>
      <c r="I2548" s="23" t="e">
        <f ca="1">[1]!BexGetData("DP_1","003N8EMH8GTFRCSWKMPXRSAE6","GSON1124200015")</f>
        <v>#NAME?</v>
      </c>
      <c r="J2548" s="24" t="e">
        <f ca="1">[1]!BexGetData("DP_1","003N8EMH8GTFRCSWKMPXRSGPQ","GSON1124200015")</f>
        <v>#NAME?</v>
      </c>
      <c r="K2548" s="23" t="e">
        <f ca="1">[1]!BexGetData("DP_1","003N8EMH8GTFRIVNUPY288VJH","GSON1124200015")</f>
        <v>#NAME?</v>
      </c>
      <c r="L2548" s="23" t="e">
        <f ca="1">[1]!BexGetData("DP_1","003N8EMH8GTFRIVNUPY2891V1","GSON1124200015")</f>
        <v>#NAME?</v>
      </c>
      <c r="M2548" s="28" t="e">
        <f ca="1">[1]!BexGetData("DP_1","003N8EMH8GTFRIVOG7KG9IQXA","GSON1124200015")</f>
        <v>#NAME?</v>
      </c>
      <c r="N2548" s="23" t="e">
        <f ca="1">[1]!BexGetData("DP_1","003N8EMH8GTFRIVOG7KG9IX8U","GSON1124200015")</f>
        <v>#NAME?</v>
      </c>
      <c r="O2548" s="28" t="e">
        <f ca="1">[1]!BexGetData("DP_1","003N8EMH8GTFRIVOG7KG9J3KE","GSON1124200015")</f>
        <v>#NAME?</v>
      </c>
      <c r="P2548" s="23" t="e">
        <f ca="1">[1]!BexGetData("DP_1","003N8EMH8GTFRIVOG7KG9J9VY","GSON1124200015")</f>
        <v>#NAME?</v>
      </c>
      <c r="Q2548" s="24" t="e">
        <f ca="1">[1]!BexGetData("DP_1","00O2TNJGODT0G5Z4TTKYMM5MT","GSON1124200015")</f>
        <v>#NAME?</v>
      </c>
      <c r="R2548" s="23" t="e">
        <f ca="1">[1]!BexGetData("DP_1","00O2TNJGODT0G5Z4TTKYMMBYD","GSON1124200015")</f>
        <v>#NAME?</v>
      </c>
      <c r="S2548" s="23" t="e">
        <f ca="1">[1]!BexGetData("DP_1","00O2TNJGODT0G5Z4TTKYMMI9X","GSON1124200015")</f>
        <v>#NAME?</v>
      </c>
      <c r="T2548" s="28" t="e">
        <f ca="1">[1]!BexGetData("DP_1","00O2TNJGODT0G5Z4TTKYMMOLH","GSON1124200015")</f>
        <v>#NAME?</v>
      </c>
      <c r="U2548" s="23" t="e">
        <f ca="1">[1]!BexGetData("DP_1","00O2TNJGODT0G5Z4TTKYMMUX1","GSON1124200015")</f>
        <v>#NAME?</v>
      </c>
      <c r="V2548" s="28" t="e">
        <f ca="1">[1]!BexGetData("DP_1","00O2TNJGODT0G5Z4TTKYMN18L","GSON1124200015")</f>
        <v>#NAME?</v>
      </c>
      <c r="W2548" s="23" t="e">
        <f ca="1">[1]!BexGetData("DP_1","00O2TNJGODT0G5Z4TTKYMN7K5","GSON1124200015")</f>
        <v>#NAME?</v>
      </c>
    </row>
    <row r="2549" spans="1:23" x14ac:dyDescent="0.2">
      <c r="A2549" s="36" t="s">
        <v>5950</v>
      </c>
      <c r="B2549" s="27" t="s">
        <v>5951</v>
      </c>
      <c r="C2549" s="24" t="e">
        <f ca="1">[1]!BexGetData("DP_1","003N8EMH8GTFRCSWKMPXRR8GU","GSON1124200017")</f>
        <v>#NAME?</v>
      </c>
      <c r="D2549" s="24" t="e">
        <f ca="1">[1]!BexGetData("DP_1","003N8EMH8GTFRCSWKMPXRRESE","GSON1124200017")</f>
        <v>#NAME?</v>
      </c>
      <c r="E2549" s="24" t="e">
        <f ca="1">[1]!BexGetData("DP_1","003N8EMH8GTFRCSWKMPXRRL3Y","GSON1124200017")</f>
        <v>#NAME?</v>
      </c>
      <c r="F2549" s="28" t="e">
        <f ca="1">[1]!BexGetData("DP_1","003N8EMH8GTFRCSWKMPXRRRFI","GSON1124200017")</f>
        <v>#NAME?</v>
      </c>
      <c r="G2549" s="23" t="e">
        <f ca="1">[1]!BexGetData("DP_1","003N8EMH8GTFRCSWKMPXRRXR2","GSON1124200017")</f>
        <v>#NAME?</v>
      </c>
      <c r="H2549" s="23" t="e">
        <f ca="1">[1]!BexGetData("DP_1","003N8EMH8GTFRCSWKMPXRS42M","GSON1124200017")</f>
        <v>#NAME?</v>
      </c>
      <c r="I2549" s="28" t="e">
        <f ca="1">[1]!BexGetData("DP_1","003N8EMH8GTFRCSWKMPXRSAE6","GSON1124200017")</f>
        <v>#NAME?</v>
      </c>
      <c r="J2549" s="24" t="e">
        <f ca="1">[1]!BexGetData("DP_1","003N8EMH8GTFRCSWKMPXRSGPQ","GSON1124200017")</f>
        <v>#NAME?</v>
      </c>
      <c r="K2549" s="28" t="e">
        <f ca="1">[1]!BexGetData("DP_1","003N8EMH8GTFRIVNUPY288VJH","GSON1124200017")</f>
        <v>#NAME?</v>
      </c>
      <c r="L2549" s="28" t="e">
        <f ca="1">[1]!BexGetData("DP_1","003N8EMH8GTFRIVNUPY2891V1","GSON1124200017")</f>
        <v>#NAME?</v>
      </c>
      <c r="M2549" s="28" t="e">
        <f ca="1">[1]!BexGetData("DP_1","003N8EMH8GTFRIVOG7KG9IQXA","GSON1124200017")</f>
        <v>#NAME?</v>
      </c>
      <c r="N2549" s="28" t="e">
        <f ca="1">[1]!BexGetData("DP_1","003N8EMH8GTFRIVOG7KG9IX8U","GSON1124200017")</f>
        <v>#NAME?</v>
      </c>
      <c r="O2549" s="28" t="e">
        <f ca="1">[1]!BexGetData("DP_1","003N8EMH8GTFRIVOG7KG9J3KE","GSON1124200017")</f>
        <v>#NAME?</v>
      </c>
      <c r="P2549" s="28" t="e">
        <f ca="1">[1]!BexGetData("DP_1","003N8EMH8GTFRIVOG7KG9J9VY","GSON1124200017")</f>
        <v>#NAME?</v>
      </c>
      <c r="Q2549" s="24" t="e">
        <f ca="1">[1]!BexGetData("DP_1","00O2TNJGODT0G5Z4TTKYMM5MT","GSON1124200017")</f>
        <v>#NAME?</v>
      </c>
      <c r="R2549" s="28" t="e">
        <f ca="1">[1]!BexGetData("DP_1","00O2TNJGODT0G5Z4TTKYMMBYD","GSON1124200017")</f>
        <v>#NAME?</v>
      </c>
      <c r="S2549" s="28" t="e">
        <f ca="1">[1]!BexGetData("DP_1","00O2TNJGODT0G5Z4TTKYMMI9X","GSON1124200017")</f>
        <v>#NAME?</v>
      </c>
      <c r="T2549" s="28" t="e">
        <f ca="1">[1]!BexGetData("DP_1","00O2TNJGODT0G5Z4TTKYMMOLH","GSON1124200017")</f>
        <v>#NAME?</v>
      </c>
      <c r="U2549" s="28" t="e">
        <f ca="1">[1]!BexGetData("DP_1","00O2TNJGODT0G5Z4TTKYMMUX1","GSON1124200017")</f>
        <v>#NAME?</v>
      </c>
      <c r="V2549" s="28" t="e">
        <f ca="1">[1]!BexGetData("DP_1","00O2TNJGODT0G5Z4TTKYMN18L","GSON1124200017")</f>
        <v>#NAME?</v>
      </c>
      <c r="W2549" s="28" t="e">
        <f ca="1">[1]!BexGetData("DP_1","00O2TNJGODT0G5Z4TTKYMN7K5","GSON1124200017")</f>
        <v>#NAME?</v>
      </c>
    </row>
    <row r="2550" spans="1:23" x14ac:dyDescent="0.2">
      <c r="A2550" s="36" t="s">
        <v>5952</v>
      </c>
      <c r="B2550" s="27" t="s">
        <v>5953</v>
      </c>
      <c r="C2550" s="23" t="e">
        <f ca="1">[1]!BexGetData("DP_1","003N8EMH8GTFRCSWKMPXRR8GU","GSON1124200019")</f>
        <v>#NAME?</v>
      </c>
      <c r="D2550" s="23" t="e">
        <f ca="1">[1]!BexGetData("DP_1","003N8EMH8GTFRCSWKMPXRRESE","GSON1124200019")</f>
        <v>#NAME?</v>
      </c>
      <c r="E2550" s="23" t="e">
        <f ca="1">[1]!BexGetData("DP_1","003N8EMH8GTFRCSWKMPXRRL3Y","GSON1124200019")</f>
        <v>#NAME?</v>
      </c>
      <c r="F2550" s="23" t="e">
        <f ca="1">[1]!BexGetData("DP_1","003N8EMH8GTFRCSWKMPXRRRFI","GSON1124200019")</f>
        <v>#NAME?</v>
      </c>
      <c r="G2550" s="23" t="e">
        <f ca="1">[1]!BexGetData("DP_1","003N8EMH8GTFRCSWKMPXRRXR2","GSON1124200019")</f>
        <v>#NAME?</v>
      </c>
      <c r="H2550" s="23" t="e">
        <f ca="1">[1]!BexGetData("DP_1","003N8EMH8GTFRCSWKMPXRS42M","GSON1124200019")</f>
        <v>#NAME?</v>
      </c>
      <c r="I2550" s="23" t="e">
        <f ca="1">[1]!BexGetData("DP_1","003N8EMH8GTFRCSWKMPXRSAE6","GSON1124200019")</f>
        <v>#NAME?</v>
      </c>
      <c r="J2550" s="24" t="e">
        <f ca="1">[1]!BexGetData("DP_1","003N8EMH8GTFRCSWKMPXRSGPQ","GSON1124200019")</f>
        <v>#NAME?</v>
      </c>
      <c r="K2550" s="23" t="e">
        <f ca="1">[1]!BexGetData("DP_1","003N8EMH8GTFRIVNUPY288VJH","GSON1124200019")</f>
        <v>#NAME?</v>
      </c>
      <c r="L2550" s="23" t="e">
        <f ca="1">[1]!BexGetData("DP_1","003N8EMH8GTFRIVNUPY2891V1","GSON1124200019")</f>
        <v>#NAME?</v>
      </c>
      <c r="M2550" s="28" t="e">
        <f ca="1">[1]!BexGetData("DP_1","003N8EMH8GTFRIVOG7KG9IQXA","GSON1124200019")</f>
        <v>#NAME?</v>
      </c>
      <c r="N2550" s="23" t="e">
        <f ca="1">[1]!BexGetData("DP_1","003N8EMH8GTFRIVOG7KG9IX8U","GSON1124200019")</f>
        <v>#NAME?</v>
      </c>
      <c r="O2550" s="28" t="e">
        <f ca="1">[1]!BexGetData("DP_1","003N8EMH8GTFRIVOG7KG9J3KE","GSON1124200019")</f>
        <v>#NAME?</v>
      </c>
      <c r="P2550" s="23" t="e">
        <f ca="1">[1]!BexGetData("DP_1","003N8EMH8GTFRIVOG7KG9J9VY","GSON1124200019")</f>
        <v>#NAME?</v>
      </c>
      <c r="Q2550" s="24" t="e">
        <f ca="1">[1]!BexGetData("DP_1","00O2TNJGODT0G5Z4TTKYMM5MT","GSON1124200019")</f>
        <v>#NAME?</v>
      </c>
      <c r="R2550" s="23" t="e">
        <f ca="1">[1]!BexGetData("DP_1","00O2TNJGODT0G5Z4TTKYMMBYD","GSON1124200019")</f>
        <v>#NAME?</v>
      </c>
      <c r="S2550" s="23" t="e">
        <f ca="1">[1]!BexGetData("DP_1","00O2TNJGODT0G5Z4TTKYMMI9X","GSON1124200019")</f>
        <v>#NAME?</v>
      </c>
      <c r="T2550" s="23" t="e">
        <f ca="1">[1]!BexGetData("DP_1","00O2TNJGODT0G5Z4TTKYMMOLH","GSON1124200019")</f>
        <v>#NAME?</v>
      </c>
      <c r="U2550" s="28" t="e">
        <f ca="1">[1]!BexGetData("DP_1","00O2TNJGODT0G5Z4TTKYMMUX1","GSON1124200019")</f>
        <v>#NAME?</v>
      </c>
      <c r="V2550" s="23" t="e">
        <f ca="1">[1]!BexGetData("DP_1","00O2TNJGODT0G5Z4TTKYMN18L","GSON1124200019")</f>
        <v>#NAME?</v>
      </c>
      <c r="W2550" s="28" t="e">
        <f ca="1">[1]!BexGetData("DP_1","00O2TNJGODT0G5Z4TTKYMN7K5","GSON1124200019")</f>
        <v>#NAME?</v>
      </c>
    </row>
    <row r="2551" spans="1:23" x14ac:dyDescent="0.2">
      <c r="A2551" s="36" t="s">
        <v>5954</v>
      </c>
      <c r="B2551" s="27" t="s">
        <v>5955</v>
      </c>
      <c r="C2551" s="23" t="e">
        <f ca="1">[1]!BexGetData("DP_1","003N8EMH8GTFRCSWKMPXRR8GU","GSON1124200043")</f>
        <v>#NAME?</v>
      </c>
      <c r="D2551" s="23" t="e">
        <f ca="1">[1]!BexGetData("DP_1","003N8EMH8GTFRCSWKMPXRRESE","GSON1124200043")</f>
        <v>#NAME?</v>
      </c>
      <c r="E2551" s="23" t="e">
        <f ca="1">[1]!BexGetData("DP_1","003N8EMH8GTFRCSWKMPXRRL3Y","GSON1124200043")</f>
        <v>#NAME?</v>
      </c>
      <c r="F2551" s="23" t="e">
        <f ca="1">[1]!BexGetData("DP_1","003N8EMH8GTFRCSWKMPXRRRFI","GSON1124200043")</f>
        <v>#NAME?</v>
      </c>
      <c r="G2551" s="23" t="e">
        <f ca="1">[1]!BexGetData("DP_1","003N8EMH8GTFRCSWKMPXRRXR2","GSON1124200043")</f>
        <v>#NAME?</v>
      </c>
      <c r="H2551" s="23" t="e">
        <f ca="1">[1]!BexGetData("DP_1","003N8EMH8GTFRCSWKMPXRS42M","GSON1124200043")</f>
        <v>#NAME?</v>
      </c>
      <c r="I2551" s="23" t="e">
        <f ca="1">[1]!BexGetData("DP_1","003N8EMH8GTFRCSWKMPXRSAE6","GSON1124200043")</f>
        <v>#NAME?</v>
      </c>
      <c r="J2551" s="24" t="e">
        <f ca="1">[1]!BexGetData("DP_1","003N8EMH8GTFRCSWKMPXRSGPQ","GSON1124200043")</f>
        <v>#NAME?</v>
      </c>
      <c r="K2551" s="23" t="e">
        <f ca="1">[1]!BexGetData("DP_1","003N8EMH8GTFRIVNUPY288VJH","GSON1124200043")</f>
        <v>#NAME?</v>
      </c>
      <c r="L2551" s="23" t="e">
        <f ca="1">[1]!BexGetData("DP_1","003N8EMH8GTFRIVNUPY2891V1","GSON1124200043")</f>
        <v>#NAME?</v>
      </c>
      <c r="M2551" s="23" t="e">
        <f ca="1">[1]!BexGetData("DP_1","003N8EMH8GTFRIVOG7KG9IQXA","GSON1124200043")</f>
        <v>#NAME?</v>
      </c>
      <c r="N2551" s="28" t="e">
        <f ca="1">[1]!BexGetData("DP_1","003N8EMH8GTFRIVOG7KG9IX8U","GSON1124200043")</f>
        <v>#NAME?</v>
      </c>
      <c r="O2551" s="23" t="e">
        <f ca="1">[1]!BexGetData("DP_1","003N8EMH8GTFRIVOG7KG9J3KE","GSON1124200043")</f>
        <v>#NAME?</v>
      </c>
      <c r="P2551" s="28" t="e">
        <f ca="1">[1]!BexGetData("DP_1","003N8EMH8GTFRIVOG7KG9J9VY","GSON1124200043")</f>
        <v>#NAME?</v>
      </c>
      <c r="Q2551" s="24" t="e">
        <f ca="1">[1]!BexGetData("DP_1","00O2TNJGODT0G5Z4TTKYMM5MT","GSON1124200043")</f>
        <v>#NAME?</v>
      </c>
      <c r="R2551" s="23" t="e">
        <f ca="1">[1]!BexGetData("DP_1","00O2TNJGODT0G5Z4TTKYMMBYD","GSON1124200043")</f>
        <v>#NAME?</v>
      </c>
      <c r="S2551" s="23" t="e">
        <f ca="1">[1]!BexGetData("DP_1","00O2TNJGODT0G5Z4TTKYMMI9X","GSON1124200043")</f>
        <v>#NAME?</v>
      </c>
      <c r="T2551" s="28" t="e">
        <f ca="1">[1]!BexGetData("DP_1","00O2TNJGODT0G5Z4TTKYMMOLH","GSON1124200043")</f>
        <v>#NAME?</v>
      </c>
      <c r="U2551" s="23" t="e">
        <f ca="1">[1]!BexGetData("DP_1","00O2TNJGODT0G5Z4TTKYMMUX1","GSON1124200043")</f>
        <v>#NAME?</v>
      </c>
      <c r="V2551" s="28" t="e">
        <f ca="1">[1]!BexGetData("DP_1","00O2TNJGODT0G5Z4TTKYMN18L","GSON1124200043")</f>
        <v>#NAME?</v>
      </c>
      <c r="W2551" s="23" t="e">
        <f ca="1">[1]!BexGetData("DP_1","00O2TNJGODT0G5Z4TTKYMN7K5","GSON1124200043")</f>
        <v>#NAME?</v>
      </c>
    </row>
    <row r="2552" spans="1:23" x14ac:dyDescent="0.2">
      <c r="A2552" s="36" t="s">
        <v>5956</v>
      </c>
      <c r="B2552" s="27" t="s">
        <v>5957</v>
      </c>
      <c r="C2552" s="23" t="e">
        <f ca="1">[1]!BexGetData("DP_1","003N8EMH8GTFRCSWKMPXRR8GU","GSON1124200061")</f>
        <v>#NAME?</v>
      </c>
      <c r="D2552" s="23" t="e">
        <f ca="1">[1]!BexGetData("DP_1","003N8EMH8GTFRCSWKMPXRRESE","GSON1124200061")</f>
        <v>#NAME?</v>
      </c>
      <c r="E2552" s="23" t="e">
        <f ca="1">[1]!BexGetData("DP_1","003N8EMH8GTFRCSWKMPXRRL3Y","GSON1124200061")</f>
        <v>#NAME?</v>
      </c>
      <c r="F2552" s="23" t="e">
        <f ca="1">[1]!BexGetData("DP_1","003N8EMH8GTFRCSWKMPXRRRFI","GSON1124200061")</f>
        <v>#NAME?</v>
      </c>
      <c r="G2552" s="23" t="e">
        <f ca="1">[1]!BexGetData("DP_1","003N8EMH8GTFRCSWKMPXRRXR2","GSON1124200061")</f>
        <v>#NAME?</v>
      </c>
      <c r="H2552" s="23" t="e">
        <f ca="1">[1]!BexGetData("DP_1","003N8EMH8GTFRCSWKMPXRS42M","GSON1124200061")</f>
        <v>#NAME?</v>
      </c>
      <c r="I2552" s="23" t="e">
        <f ca="1">[1]!BexGetData("DP_1","003N8EMH8GTFRCSWKMPXRSAE6","GSON1124200061")</f>
        <v>#NAME?</v>
      </c>
      <c r="J2552" s="24" t="e">
        <f ca="1">[1]!BexGetData("DP_1","003N8EMH8GTFRCSWKMPXRSGPQ","GSON1124200061")</f>
        <v>#NAME?</v>
      </c>
      <c r="K2552" s="23" t="e">
        <f ca="1">[1]!BexGetData("DP_1","003N8EMH8GTFRIVNUPY288VJH","GSON1124200061")</f>
        <v>#NAME?</v>
      </c>
      <c r="L2552" s="23" t="e">
        <f ca="1">[1]!BexGetData("DP_1","003N8EMH8GTFRIVNUPY2891V1","GSON1124200061")</f>
        <v>#NAME?</v>
      </c>
      <c r="M2552" s="23" t="e">
        <f ca="1">[1]!BexGetData("DP_1","003N8EMH8GTFRIVOG7KG9IQXA","GSON1124200061")</f>
        <v>#NAME?</v>
      </c>
      <c r="N2552" s="28" t="e">
        <f ca="1">[1]!BexGetData("DP_1","003N8EMH8GTFRIVOG7KG9IX8U","GSON1124200061")</f>
        <v>#NAME?</v>
      </c>
      <c r="O2552" s="23" t="e">
        <f ca="1">[1]!BexGetData("DP_1","003N8EMH8GTFRIVOG7KG9J3KE","GSON1124200061")</f>
        <v>#NAME?</v>
      </c>
      <c r="P2552" s="28" t="e">
        <f ca="1">[1]!BexGetData("DP_1","003N8EMH8GTFRIVOG7KG9J9VY","GSON1124200061")</f>
        <v>#NAME?</v>
      </c>
      <c r="Q2552" s="24" t="e">
        <f ca="1">[1]!BexGetData("DP_1","00O2TNJGODT0G5Z4TTKYMM5MT","GSON1124200061")</f>
        <v>#NAME?</v>
      </c>
      <c r="R2552" s="23" t="e">
        <f ca="1">[1]!BexGetData("DP_1","00O2TNJGODT0G5Z4TTKYMMBYD","GSON1124200061")</f>
        <v>#NAME?</v>
      </c>
      <c r="S2552" s="23" t="e">
        <f ca="1">[1]!BexGetData("DP_1","00O2TNJGODT0G5Z4TTKYMMI9X","GSON1124200061")</f>
        <v>#NAME?</v>
      </c>
      <c r="T2552" s="28" t="e">
        <f ca="1">[1]!BexGetData("DP_1","00O2TNJGODT0G5Z4TTKYMMOLH","GSON1124200061")</f>
        <v>#NAME?</v>
      </c>
      <c r="U2552" s="23" t="e">
        <f ca="1">[1]!BexGetData("DP_1","00O2TNJGODT0G5Z4TTKYMMUX1","GSON1124200061")</f>
        <v>#NAME?</v>
      </c>
      <c r="V2552" s="28" t="e">
        <f ca="1">[1]!BexGetData("DP_1","00O2TNJGODT0G5Z4TTKYMN18L","GSON1124200061")</f>
        <v>#NAME?</v>
      </c>
      <c r="W2552" s="23" t="e">
        <f ca="1">[1]!BexGetData("DP_1","00O2TNJGODT0G5Z4TTKYMN7K5","GSON1124200061")</f>
        <v>#NAME?</v>
      </c>
    </row>
    <row r="2553" spans="1:23" x14ac:dyDescent="0.2">
      <c r="A2553" s="36" t="s">
        <v>5958</v>
      </c>
      <c r="B2553" s="27" t="s">
        <v>5959</v>
      </c>
      <c r="C2553" s="23" t="e">
        <f ca="1">[1]!BexGetData("DP_1","003N8EMH8GTFRCSWKMPXRR8GU","GSON1124200069")</f>
        <v>#NAME?</v>
      </c>
      <c r="D2553" s="23" t="e">
        <f ca="1">[1]!BexGetData("DP_1","003N8EMH8GTFRCSWKMPXRRESE","GSON1124200069")</f>
        <v>#NAME?</v>
      </c>
      <c r="E2553" s="23" t="e">
        <f ca="1">[1]!BexGetData("DP_1","003N8EMH8GTFRCSWKMPXRRL3Y","GSON1124200069")</f>
        <v>#NAME?</v>
      </c>
      <c r="F2553" s="23" t="e">
        <f ca="1">[1]!BexGetData("DP_1","003N8EMH8GTFRCSWKMPXRRRFI","GSON1124200069")</f>
        <v>#NAME?</v>
      </c>
      <c r="G2553" s="23" t="e">
        <f ca="1">[1]!BexGetData("DP_1","003N8EMH8GTFRCSWKMPXRRXR2","GSON1124200069")</f>
        <v>#NAME?</v>
      </c>
      <c r="H2553" s="23" t="e">
        <f ca="1">[1]!BexGetData("DP_1","003N8EMH8GTFRCSWKMPXRS42M","GSON1124200069")</f>
        <v>#NAME?</v>
      </c>
      <c r="I2553" s="23" t="e">
        <f ca="1">[1]!BexGetData("DP_1","003N8EMH8GTFRCSWKMPXRSAE6","GSON1124200069")</f>
        <v>#NAME?</v>
      </c>
      <c r="J2553" s="24" t="e">
        <f ca="1">[1]!BexGetData("DP_1","003N8EMH8GTFRCSWKMPXRSGPQ","GSON1124200069")</f>
        <v>#NAME?</v>
      </c>
      <c r="K2553" s="23" t="e">
        <f ca="1">[1]!BexGetData("DP_1","003N8EMH8GTFRIVNUPY288VJH","GSON1124200069")</f>
        <v>#NAME?</v>
      </c>
      <c r="L2553" s="23" t="e">
        <f ca="1">[1]!BexGetData("DP_1","003N8EMH8GTFRIVNUPY2891V1","GSON1124200069")</f>
        <v>#NAME?</v>
      </c>
      <c r="M2553" s="23" t="e">
        <f ca="1">[1]!BexGetData("DP_1","003N8EMH8GTFRIVOG7KG9IQXA","GSON1124200069")</f>
        <v>#NAME?</v>
      </c>
      <c r="N2553" s="28" t="e">
        <f ca="1">[1]!BexGetData("DP_1","003N8EMH8GTFRIVOG7KG9IX8U","GSON1124200069")</f>
        <v>#NAME?</v>
      </c>
      <c r="O2553" s="23" t="e">
        <f ca="1">[1]!BexGetData("DP_1","003N8EMH8GTFRIVOG7KG9J3KE","GSON1124200069")</f>
        <v>#NAME?</v>
      </c>
      <c r="P2553" s="28" t="e">
        <f ca="1">[1]!BexGetData("DP_1","003N8EMH8GTFRIVOG7KG9J9VY","GSON1124200069")</f>
        <v>#NAME?</v>
      </c>
      <c r="Q2553" s="24" t="e">
        <f ca="1">[1]!BexGetData("DP_1","00O2TNJGODT0G5Z4TTKYMM5MT","GSON1124200069")</f>
        <v>#NAME?</v>
      </c>
      <c r="R2553" s="23" t="e">
        <f ca="1">[1]!BexGetData("DP_1","00O2TNJGODT0G5Z4TTKYMMBYD","GSON1124200069")</f>
        <v>#NAME?</v>
      </c>
      <c r="S2553" s="23" t="e">
        <f ca="1">[1]!BexGetData("DP_1","00O2TNJGODT0G5Z4TTKYMMI9X","GSON1124200069")</f>
        <v>#NAME?</v>
      </c>
      <c r="T2553" s="28" t="e">
        <f ca="1">[1]!BexGetData("DP_1","00O2TNJGODT0G5Z4TTKYMMOLH","GSON1124200069")</f>
        <v>#NAME?</v>
      </c>
      <c r="U2553" s="23" t="e">
        <f ca="1">[1]!BexGetData("DP_1","00O2TNJGODT0G5Z4TTKYMMUX1","GSON1124200069")</f>
        <v>#NAME?</v>
      </c>
      <c r="V2553" s="28" t="e">
        <f ca="1">[1]!BexGetData("DP_1","00O2TNJGODT0G5Z4TTKYMN18L","GSON1124200069")</f>
        <v>#NAME?</v>
      </c>
      <c r="W2553" s="23" t="e">
        <f ca="1">[1]!BexGetData("DP_1","00O2TNJGODT0G5Z4TTKYMN7K5","GSON1124200069")</f>
        <v>#NAME?</v>
      </c>
    </row>
    <row r="2554" spans="1:23" x14ac:dyDescent="0.2">
      <c r="A2554" s="36" t="s">
        <v>5960</v>
      </c>
      <c r="B2554" s="27" t="s">
        <v>5961</v>
      </c>
      <c r="C2554" s="24" t="e">
        <f ca="1">[1]!BexGetData("DP_1","003N8EMH8GTFRCSWKMPXRR8GU","GSON1124300001")</f>
        <v>#NAME?</v>
      </c>
      <c r="D2554" s="24" t="e">
        <f ca="1">[1]!BexGetData("DP_1","003N8EMH8GTFRCSWKMPXRRESE","GSON1124300001")</f>
        <v>#NAME?</v>
      </c>
      <c r="E2554" s="24" t="e">
        <f ca="1">[1]!BexGetData("DP_1","003N8EMH8GTFRCSWKMPXRRL3Y","GSON1124300001")</f>
        <v>#NAME?</v>
      </c>
      <c r="F2554" s="28" t="e">
        <f ca="1">[1]!BexGetData("DP_1","003N8EMH8GTFRCSWKMPXRRRFI","GSON1124300001")</f>
        <v>#NAME?</v>
      </c>
      <c r="G2554" s="23" t="e">
        <f ca="1">[1]!BexGetData("DP_1","003N8EMH8GTFRCSWKMPXRRXR2","GSON1124300001")</f>
        <v>#NAME?</v>
      </c>
      <c r="H2554" s="23" t="e">
        <f ca="1">[1]!BexGetData("DP_1","003N8EMH8GTFRCSWKMPXRS42M","GSON1124300001")</f>
        <v>#NAME?</v>
      </c>
      <c r="I2554" s="28" t="e">
        <f ca="1">[1]!BexGetData("DP_1","003N8EMH8GTFRCSWKMPXRSAE6","GSON1124300001")</f>
        <v>#NAME?</v>
      </c>
      <c r="J2554" s="24" t="e">
        <f ca="1">[1]!BexGetData("DP_1","003N8EMH8GTFRCSWKMPXRSGPQ","GSON1124300001")</f>
        <v>#NAME?</v>
      </c>
      <c r="K2554" s="28" t="e">
        <f ca="1">[1]!BexGetData("DP_1","003N8EMH8GTFRIVNUPY288VJH","GSON1124300001")</f>
        <v>#NAME?</v>
      </c>
      <c r="L2554" s="28" t="e">
        <f ca="1">[1]!BexGetData("DP_1","003N8EMH8GTFRIVNUPY2891V1","GSON1124300001")</f>
        <v>#NAME?</v>
      </c>
      <c r="M2554" s="28" t="e">
        <f ca="1">[1]!BexGetData("DP_1","003N8EMH8GTFRIVOG7KG9IQXA","GSON1124300001")</f>
        <v>#NAME?</v>
      </c>
      <c r="N2554" s="28" t="e">
        <f ca="1">[1]!BexGetData("DP_1","003N8EMH8GTFRIVOG7KG9IX8U","GSON1124300001")</f>
        <v>#NAME?</v>
      </c>
      <c r="O2554" s="28" t="e">
        <f ca="1">[1]!BexGetData("DP_1","003N8EMH8GTFRIVOG7KG9J3KE","GSON1124300001")</f>
        <v>#NAME?</v>
      </c>
      <c r="P2554" s="28" t="e">
        <f ca="1">[1]!BexGetData("DP_1","003N8EMH8GTFRIVOG7KG9J9VY","GSON1124300001")</f>
        <v>#NAME?</v>
      </c>
      <c r="Q2554" s="24" t="e">
        <f ca="1">[1]!BexGetData("DP_1","00O2TNJGODT0G5Z4TTKYMM5MT","GSON1124300001")</f>
        <v>#NAME?</v>
      </c>
      <c r="R2554" s="28" t="e">
        <f ca="1">[1]!BexGetData("DP_1","00O2TNJGODT0G5Z4TTKYMMBYD","GSON1124300001")</f>
        <v>#NAME?</v>
      </c>
      <c r="S2554" s="28" t="e">
        <f ca="1">[1]!BexGetData("DP_1","00O2TNJGODT0G5Z4TTKYMMI9X","GSON1124300001")</f>
        <v>#NAME?</v>
      </c>
      <c r="T2554" s="28" t="e">
        <f ca="1">[1]!BexGetData("DP_1","00O2TNJGODT0G5Z4TTKYMMOLH","GSON1124300001")</f>
        <v>#NAME?</v>
      </c>
      <c r="U2554" s="28" t="e">
        <f ca="1">[1]!BexGetData("DP_1","00O2TNJGODT0G5Z4TTKYMMUX1","GSON1124300001")</f>
        <v>#NAME?</v>
      </c>
      <c r="V2554" s="28" t="e">
        <f ca="1">[1]!BexGetData("DP_1","00O2TNJGODT0G5Z4TTKYMN18L","GSON1124300001")</f>
        <v>#NAME?</v>
      </c>
      <c r="W2554" s="28" t="e">
        <f ca="1">[1]!BexGetData("DP_1","00O2TNJGODT0G5Z4TTKYMN7K5","GSON1124300001")</f>
        <v>#NAME?</v>
      </c>
    </row>
    <row r="2555" spans="1:23" x14ac:dyDescent="0.2">
      <c r="A2555" s="35" t="s">
        <v>1239</v>
      </c>
      <c r="B2555" s="27" t="s">
        <v>1240</v>
      </c>
      <c r="C2555" s="23" t="e">
        <f ca="1">[1]!BexGetData("DP_1","003N8EMH8GTFRCSWKMPXRR8GU","GSON1125")</f>
        <v>#NAME?</v>
      </c>
      <c r="D2555" s="23" t="e">
        <f ca="1">[1]!BexGetData("DP_1","003N8EMH8GTFRCSWKMPXRRESE","GSON1125")</f>
        <v>#NAME?</v>
      </c>
      <c r="E2555" s="23" t="e">
        <f ca="1">[1]!BexGetData("DP_1","003N8EMH8GTFRCSWKMPXRRL3Y","GSON1125")</f>
        <v>#NAME?</v>
      </c>
      <c r="F2555" s="23" t="e">
        <f ca="1">[1]!BexGetData("DP_1","003N8EMH8GTFRCSWKMPXRRRFI","GSON1125")</f>
        <v>#NAME?</v>
      </c>
      <c r="G2555" s="23" t="e">
        <f ca="1">[1]!BexGetData("DP_1","003N8EMH8GTFRCSWKMPXRRXR2","GSON1125")</f>
        <v>#NAME?</v>
      </c>
      <c r="H2555" s="23" t="e">
        <f ca="1">[1]!BexGetData("DP_1","003N8EMH8GTFRCSWKMPXRS42M","GSON1125")</f>
        <v>#NAME?</v>
      </c>
      <c r="I2555" s="23" t="e">
        <f ca="1">[1]!BexGetData("DP_1","003N8EMH8GTFRCSWKMPXRSAE6","GSON1125")</f>
        <v>#NAME?</v>
      </c>
      <c r="J2555" s="23" t="e">
        <f ca="1">[1]!BexGetData("DP_1","003N8EMH8GTFRCSWKMPXRSGPQ","GSON1125")</f>
        <v>#NAME?</v>
      </c>
      <c r="K2555" s="23" t="e">
        <f ca="1">[1]!BexGetData("DP_1","003N8EMH8GTFRIVNUPY288VJH","GSON1125")</f>
        <v>#NAME?</v>
      </c>
      <c r="L2555" s="23" t="e">
        <f ca="1">[1]!BexGetData("DP_1","003N8EMH8GTFRIVNUPY2891V1","GSON1125")</f>
        <v>#NAME?</v>
      </c>
      <c r="M2555" s="23" t="e">
        <f ca="1">[1]!BexGetData("DP_1","003N8EMH8GTFRIVOG7KG9IQXA","GSON1125")</f>
        <v>#NAME?</v>
      </c>
      <c r="N2555" s="28" t="e">
        <f ca="1">[1]!BexGetData("DP_1","003N8EMH8GTFRIVOG7KG9IX8U","GSON1125")</f>
        <v>#NAME?</v>
      </c>
      <c r="O2555" s="23" t="e">
        <f ca="1">[1]!BexGetData("DP_1","003N8EMH8GTFRIVOG7KG9J3KE","GSON1125")</f>
        <v>#NAME?</v>
      </c>
      <c r="P2555" s="28" t="e">
        <f ca="1">[1]!BexGetData("DP_1","003N8EMH8GTFRIVOG7KG9J9VY","GSON1125")</f>
        <v>#NAME?</v>
      </c>
      <c r="Q2555" s="23" t="e">
        <f ca="1">[1]!BexGetData("DP_1","00O2TNJGODT0G5Z4TTKYMM5MT","GSON1125")</f>
        <v>#NAME?</v>
      </c>
      <c r="R2555" s="23" t="e">
        <f ca="1">[1]!BexGetData("DP_1","00O2TNJGODT0G5Z4TTKYMMBYD","GSON1125")</f>
        <v>#NAME?</v>
      </c>
      <c r="S2555" s="23" t="e">
        <f ca="1">[1]!BexGetData("DP_1","00O2TNJGODT0G5Z4TTKYMMI9X","GSON1125")</f>
        <v>#NAME?</v>
      </c>
      <c r="T2555" s="28" t="e">
        <f ca="1">[1]!BexGetData("DP_1","00O2TNJGODT0G5Z4TTKYMMOLH","GSON1125")</f>
        <v>#NAME?</v>
      </c>
      <c r="U2555" s="23" t="e">
        <f ca="1">[1]!BexGetData("DP_1","00O2TNJGODT0G5Z4TTKYMMUX1","GSON1125")</f>
        <v>#NAME?</v>
      </c>
      <c r="V2555" s="28" t="e">
        <f ca="1">[1]!BexGetData("DP_1","00O2TNJGODT0G5Z4TTKYMN18L","GSON1125")</f>
        <v>#NAME?</v>
      </c>
      <c r="W2555" s="23" t="e">
        <f ca="1">[1]!BexGetData("DP_1","00O2TNJGODT0G5Z4TTKYMN7K5","GSON1125")</f>
        <v>#NAME?</v>
      </c>
    </row>
    <row r="2556" spans="1:23" x14ac:dyDescent="0.2">
      <c r="A2556" s="36" t="s">
        <v>1241</v>
      </c>
      <c r="B2556" s="27" t="s">
        <v>1242</v>
      </c>
      <c r="C2556" s="28" t="e">
        <f ca="1">[1]!BexGetData("DP_1","003N8EMH8GTFRCSWKMPXRR8GU","GSON1125100001")</f>
        <v>#NAME?</v>
      </c>
      <c r="D2556" s="28" t="e">
        <f ca="1">[1]!BexGetData("DP_1","003N8EMH8GTFRCSWKMPXRRESE","GSON1125100001")</f>
        <v>#NAME?</v>
      </c>
      <c r="E2556" s="23" t="e">
        <f ca="1">[1]!BexGetData("DP_1","003N8EMH8GTFRCSWKMPXRRL3Y","GSON1125100001")</f>
        <v>#NAME?</v>
      </c>
      <c r="F2556" s="23" t="e">
        <f ca="1">[1]!BexGetData("DP_1","003N8EMH8GTFRCSWKMPXRRRFI","GSON1125100001")</f>
        <v>#NAME?</v>
      </c>
      <c r="G2556" s="23" t="e">
        <f ca="1">[1]!BexGetData("DP_1","003N8EMH8GTFRCSWKMPXRRXR2","GSON1125100001")</f>
        <v>#NAME?</v>
      </c>
      <c r="H2556" s="23" t="e">
        <f ca="1">[1]!BexGetData("DP_1","003N8EMH8GTFRCSWKMPXRS42M","GSON1125100001")</f>
        <v>#NAME?</v>
      </c>
      <c r="I2556" s="23" t="e">
        <f ca="1">[1]!BexGetData("DP_1","003N8EMH8GTFRCSWKMPXRSAE6","GSON1125100001")</f>
        <v>#NAME?</v>
      </c>
      <c r="J2556" s="23" t="e">
        <f ca="1">[1]!BexGetData("DP_1","003N8EMH8GTFRCSWKMPXRSGPQ","GSON1125100001")</f>
        <v>#NAME?</v>
      </c>
      <c r="K2556" s="28" t="e">
        <f ca="1">[1]!BexGetData("DP_1","003N8EMH8GTFRIVNUPY288VJH","GSON1125100001")</f>
        <v>#NAME?</v>
      </c>
      <c r="L2556" s="28" t="e">
        <f ca="1">[1]!BexGetData("DP_1","003N8EMH8GTFRIVNUPY2891V1","GSON1125100001")</f>
        <v>#NAME?</v>
      </c>
      <c r="M2556" s="28" t="e">
        <f ca="1">[1]!BexGetData("DP_1","003N8EMH8GTFRIVOG7KG9IQXA","GSON1125100001")</f>
        <v>#NAME?</v>
      </c>
      <c r="N2556" s="28" t="e">
        <f ca="1">[1]!BexGetData("DP_1","003N8EMH8GTFRIVOG7KG9IX8U","GSON1125100001")</f>
        <v>#NAME?</v>
      </c>
      <c r="O2556" s="28" t="e">
        <f ca="1">[1]!BexGetData("DP_1","003N8EMH8GTFRIVOG7KG9J3KE","GSON1125100001")</f>
        <v>#NAME?</v>
      </c>
      <c r="P2556" s="28" t="e">
        <f ca="1">[1]!BexGetData("DP_1","003N8EMH8GTFRIVOG7KG9J9VY","GSON1125100001")</f>
        <v>#NAME?</v>
      </c>
      <c r="Q2556" s="23" t="e">
        <f ca="1">[1]!BexGetData("DP_1","00O2TNJGODT0G5Z4TTKYMM5MT","GSON1125100001")</f>
        <v>#NAME?</v>
      </c>
      <c r="R2556" s="23" t="e">
        <f ca="1">[1]!BexGetData("DP_1","00O2TNJGODT0G5Z4TTKYMMBYD","GSON1125100001")</f>
        <v>#NAME?</v>
      </c>
      <c r="S2556" s="23" t="e">
        <f ca="1">[1]!BexGetData("DP_1","00O2TNJGODT0G5Z4TTKYMMI9X","GSON1125100001")</f>
        <v>#NAME?</v>
      </c>
      <c r="T2556" s="23" t="e">
        <f ca="1">[1]!BexGetData("DP_1","00O2TNJGODT0G5Z4TTKYMMOLH","GSON1125100001")</f>
        <v>#NAME?</v>
      </c>
      <c r="U2556" s="28" t="e">
        <f ca="1">[1]!BexGetData("DP_1","00O2TNJGODT0G5Z4TTKYMMUX1","GSON1125100001")</f>
        <v>#NAME?</v>
      </c>
      <c r="V2556" s="23" t="e">
        <f ca="1">[1]!BexGetData("DP_1","00O2TNJGODT0G5Z4TTKYMN18L","GSON1125100001")</f>
        <v>#NAME?</v>
      </c>
      <c r="W2556" s="28" t="e">
        <f ca="1">[1]!BexGetData("DP_1","00O2TNJGODT0G5Z4TTKYMN7K5","GSON1125100001")</f>
        <v>#NAME?</v>
      </c>
    </row>
    <row r="2557" spans="1:23" x14ac:dyDescent="0.2">
      <c r="A2557" s="36" t="s">
        <v>5962</v>
      </c>
      <c r="B2557" s="27" t="s">
        <v>5963</v>
      </c>
      <c r="C2557" s="23" t="e">
        <f ca="1">[1]!BexGetData("DP_1","003N8EMH8GTFRCSWKMPXRR8GU","GSON1125100002")</f>
        <v>#NAME?</v>
      </c>
      <c r="D2557" s="23" t="e">
        <f ca="1">[1]!BexGetData("DP_1","003N8EMH8GTFRCSWKMPXRRESE","GSON1125100002")</f>
        <v>#NAME?</v>
      </c>
      <c r="E2557" s="23" t="e">
        <f ca="1">[1]!BexGetData("DP_1","003N8EMH8GTFRCSWKMPXRRL3Y","GSON1125100002")</f>
        <v>#NAME?</v>
      </c>
      <c r="F2557" s="23" t="e">
        <f ca="1">[1]!BexGetData("DP_1","003N8EMH8GTFRCSWKMPXRRRFI","GSON1125100002")</f>
        <v>#NAME?</v>
      </c>
      <c r="G2557" s="23" t="e">
        <f ca="1">[1]!BexGetData("DP_1","003N8EMH8GTFRCSWKMPXRRXR2","GSON1125100002")</f>
        <v>#NAME?</v>
      </c>
      <c r="H2557" s="23" t="e">
        <f ca="1">[1]!BexGetData("DP_1","003N8EMH8GTFRCSWKMPXRS42M","GSON1125100002")</f>
        <v>#NAME?</v>
      </c>
      <c r="I2557" s="23" t="e">
        <f ca="1">[1]!BexGetData("DP_1","003N8EMH8GTFRCSWKMPXRSAE6","GSON1125100002")</f>
        <v>#NAME?</v>
      </c>
      <c r="J2557" s="24" t="e">
        <f ca="1">[1]!BexGetData("DP_1","003N8EMH8GTFRCSWKMPXRSGPQ","GSON1125100002")</f>
        <v>#NAME?</v>
      </c>
      <c r="K2557" s="23" t="e">
        <f ca="1">[1]!BexGetData("DP_1","003N8EMH8GTFRIVNUPY288VJH","GSON1125100002")</f>
        <v>#NAME?</v>
      </c>
      <c r="L2557" s="23" t="e">
        <f ca="1">[1]!BexGetData("DP_1","003N8EMH8GTFRIVNUPY2891V1","GSON1125100002")</f>
        <v>#NAME?</v>
      </c>
      <c r="M2557" s="28" t="e">
        <f ca="1">[1]!BexGetData("DP_1","003N8EMH8GTFRIVOG7KG9IQXA","GSON1125100002")</f>
        <v>#NAME?</v>
      </c>
      <c r="N2557" s="23" t="e">
        <f ca="1">[1]!BexGetData("DP_1","003N8EMH8GTFRIVOG7KG9IX8U","GSON1125100002")</f>
        <v>#NAME?</v>
      </c>
      <c r="O2557" s="28" t="e">
        <f ca="1">[1]!BexGetData("DP_1","003N8EMH8GTFRIVOG7KG9J3KE","GSON1125100002")</f>
        <v>#NAME?</v>
      </c>
      <c r="P2557" s="23" t="e">
        <f ca="1">[1]!BexGetData("DP_1","003N8EMH8GTFRIVOG7KG9J9VY","GSON1125100002")</f>
        <v>#NAME?</v>
      </c>
      <c r="Q2557" s="24" t="e">
        <f ca="1">[1]!BexGetData("DP_1","00O2TNJGODT0G5Z4TTKYMM5MT","GSON1125100002")</f>
        <v>#NAME?</v>
      </c>
      <c r="R2557" s="23" t="e">
        <f ca="1">[1]!BexGetData("DP_1","00O2TNJGODT0G5Z4TTKYMMBYD","GSON1125100002")</f>
        <v>#NAME?</v>
      </c>
      <c r="S2557" s="23" t="e">
        <f ca="1">[1]!BexGetData("DP_1","00O2TNJGODT0G5Z4TTKYMMI9X","GSON1125100002")</f>
        <v>#NAME?</v>
      </c>
      <c r="T2557" s="28" t="e">
        <f ca="1">[1]!BexGetData("DP_1","00O2TNJGODT0G5Z4TTKYMMOLH","GSON1125100002")</f>
        <v>#NAME?</v>
      </c>
      <c r="U2557" s="23" t="e">
        <f ca="1">[1]!BexGetData("DP_1","00O2TNJGODT0G5Z4TTKYMMUX1","GSON1125100002")</f>
        <v>#NAME?</v>
      </c>
      <c r="V2557" s="28" t="e">
        <f ca="1">[1]!BexGetData("DP_1","00O2TNJGODT0G5Z4TTKYMN18L","GSON1125100002")</f>
        <v>#NAME?</v>
      </c>
      <c r="W2557" s="23" t="e">
        <f ca="1">[1]!BexGetData("DP_1","00O2TNJGODT0G5Z4TTKYMN7K5","GSON1125100002")</f>
        <v>#NAME?</v>
      </c>
    </row>
    <row r="2558" spans="1:23" x14ac:dyDescent="0.2">
      <c r="A2558" s="36" t="s">
        <v>1725</v>
      </c>
      <c r="B2558" s="27" t="s">
        <v>1726</v>
      </c>
      <c r="C2558" s="23" t="e">
        <f ca="1">[1]!BexGetData("DP_1","003N8EMH8GTFRCSWKMPXRR8GU","GSON1125100004")</f>
        <v>#NAME?</v>
      </c>
      <c r="D2558" s="23" t="e">
        <f ca="1">[1]!BexGetData("DP_1","003N8EMH8GTFRCSWKMPXRRESE","GSON1125100004")</f>
        <v>#NAME?</v>
      </c>
      <c r="E2558" s="23" t="e">
        <f ca="1">[1]!BexGetData("DP_1","003N8EMH8GTFRCSWKMPXRRL3Y","GSON1125100004")</f>
        <v>#NAME?</v>
      </c>
      <c r="F2558" s="23" t="e">
        <f ca="1">[1]!BexGetData("DP_1","003N8EMH8GTFRCSWKMPXRRRFI","GSON1125100004")</f>
        <v>#NAME?</v>
      </c>
      <c r="G2558" s="23" t="e">
        <f ca="1">[1]!BexGetData("DP_1","003N8EMH8GTFRCSWKMPXRRXR2","GSON1125100004")</f>
        <v>#NAME?</v>
      </c>
      <c r="H2558" s="23" t="e">
        <f ca="1">[1]!BexGetData("DP_1","003N8EMH8GTFRCSWKMPXRS42M","GSON1125100004")</f>
        <v>#NAME?</v>
      </c>
      <c r="I2558" s="23" t="e">
        <f ca="1">[1]!BexGetData("DP_1","003N8EMH8GTFRCSWKMPXRSAE6","GSON1125100004")</f>
        <v>#NAME?</v>
      </c>
      <c r="J2558" s="24" t="e">
        <f ca="1">[1]!BexGetData("DP_1","003N8EMH8GTFRCSWKMPXRSGPQ","GSON1125100004")</f>
        <v>#NAME?</v>
      </c>
      <c r="K2558" s="23" t="e">
        <f ca="1">[1]!BexGetData("DP_1","003N8EMH8GTFRIVNUPY288VJH","GSON1125100004")</f>
        <v>#NAME?</v>
      </c>
      <c r="L2558" s="23" t="e">
        <f ca="1">[1]!BexGetData("DP_1","003N8EMH8GTFRIVNUPY2891V1","GSON1125100004")</f>
        <v>#NAME?</v>
      </c>
      <c r="M2558" s="23" t="e">
        <f ca="1">[1]!BexGetData("DP_1","003N8EMH8GTFRIVOG7KG9IQXA","GSON1125100004")</f>
        <v>#NAME?</v>
      </c>
      <c r="N2558" s="28" t="e">
        <f ca="1">[1]!BexGetData("DP_1","003N8EMH8GTFRIVOG7KG9IX8U","GSON1125100004")</f>
        <v>#NAME?</v>
      </c>
      <c r="O2558" s="23" t="e">
        <f ca="1">[1]!BexGetData("DP_1","003N8EMH8GTFRIVOG7KG9J3KE","GSON1125100004")</f>
        <v>#NAME?</v>
      </c>
      <c r="P2558" s="28" t="e">
        <f ca="1">[1]!BexGetData("DP_1","003N8EMH8GTFRIVOG7KG9J9VY","GSON1125100004")</f>
        <v>#NAME?</v>
      </c>
      <c r="Q2558" s="24" t="e">
        <f ca="1">[1]!BexGetData("DP_1","00O2TNJGODT0G5Z4TTKYMM5MT","GSON1125100004")</f>
        <v>#NAME?</v>
      </c>
      <c r="R2558" s="23" t="e">
        <f ca="1">[1]!BexGetData("DP_1","00O2TNJGODT0G5Z4TTKYMMBYD","GSON1125100004")</f>
        <v>#NAME?</v>
      </c>
      <c r="S2558" s="23" t="e">
        <f ca="1">[1]!BexGetData("DP_1","00O2TNJGODT0G5Z4TTKYMMI9X","GSON1125100004")</f>
        <v>#NAME?</v>
      </c>
      <c r="T2558" s="28" t="e">
        <f ca="1">[1]!BexGetData("DP_1","00O2TNJGODT0G5Z4TTKYMMOLH","GSON1125100004")</f>
        <v>#NAME?</v>
      </c>
      <c r="U2558" s="23" t="e">
        <f ca="1">[1]!BexGetData("DP_1","00O2TNJGODT0G5Z4TTKYMMUX1","GSON1125100004")</f>
        <v>#NAME?</v>
      </c>
      <c r="V2558" s="28" t="e">
        <f ca="1">[1]!BexGetData("DP_1","00O2TNJGODT0G5Z4TTKYMN18L","GSON1125100004")</f>
        <v>#NAME?</v>
      </c>
      <c r="W2558" s="23" t="e">
        <f ca="1">[1]!BexGetData("DP_1","00O2TNJGODT0G5Z4TTKYMN7K5","GSON1125100004")</f>
        <v>#NAME?</v>
      </c>
    </row>
    <row r="2559" spans="1:23" x14ac:dyDescent="0.2">
      <c r="A2559" s="36" t="s">
        <v>5964</v>
      </c>
      <c r="B2559" s="27" t="s">
        <v>5965</v>
      </c>
      <c r="C2559" s="28" t="e">
        <f ca="1">[1]!BexGetData("DP_1","003N8EMH8GTFRCSWKMPXRR8GU","GSON1125100005")</f>
        <v>#NAME?</v>
      </c>
      <c r="D2559" s="28" t="e">
        <f ca="1">[1]!BexGetData("DP_1","003N8EMH8GTFRCSWKMPXRRESE","GSON1125100005")</f>
        <v>#NAME?</v>
      </c>
      <c r="E2559" s="23" t="e">
        <f ca="1">[1]!BexGetData("DP_1","003N8EMH8GTFRCSWKMPXRRL3Y","GSON1125100005")</f>
        <v>#NAME?</v>
      </c>
      <c r="F2559" s="23" t="e">
        <f ca="1">[1]!BexGetData("DP_1","003N8EMH8GTFRCSWKMPXRRRFI","GSON1125100005")</f>
        <v>#NAME?</v>
      </c>
      <c r="G2559" s="23" t="e">
        <f ca="1">[1]!BexGetData("DP_1","003N8EMH8GTFRCSWKMPXRRXR2","GSON1125100005")</f>
        <v>#NAME?</v>
      </c>
      <c r="H2559" s="23" t="e">
        <f ca="1">[1]!BexGetData("DP_1","003N8EMH8GTFRCSWKMPXRS42M","GSON1125100005")</f>
        <v>#NAME?</v>
      </c>
      <c r="I2559" s="23" t="e">
        <f ca="1">[1]!BexGetData("DP_1","003N8EMH8GTFRCSWKMPXRSAE6","GSON1125100005")</f>
        <v>#NAME?</v>
      </c>
      <c r="J2559" s="23" t="e">
        <f ca="1">[1]!BexGetData("DP_1","003N8EMH8GTFRCSWKMPXRSGPQ","GSON1125100005")</f>
        <v>#NAME?</v>
      </c>
      <c r="K2559" s="28" t="e">
        <f ca="1">[1]!BexGetData("DP_1","003N8EMH8GTFRIVNUPY288VJH","GSON1125100005")</f>
        <v>#NAME?</v>
      </c>
      <c r="L2559" s="28" t="e">
        <f ca="1">[1]!BexGetData("DP_1","003N8EMH8GTFRIVNUPY2891V1","GSON1125100005")</f>
        <v>#NAME?</v>
      </c>
      <c r="M2559" s="28" t="e">
        <f ca="1">[1]!BexGetData("DP_1","003N8EMH8GTFRIVOG7KG9IQXA","GSON1125100005")</f>
        <v>#NAME?</v>
      </c>
      <c r="N2559" s="28" t="e">
        <f ca="1">[1]!BexGetData("DP_1","003N8EMH8GTFRIVOG7KG9IX8U","GSON1125100005")</f>
        <v>#NAME?</v>
      </c>
      <c r="O2559" s="28" t="e">
        <f ca="1">[1]!BexGetData("DP_1","003N8EMH8GTFRIVOG7KG9J3KE","GSON1125100005")</f>
        <v>#NAME?</v>
      </c>
      <c r="P2559" s="28" t="e">
        <f ca="1">[1]!BexGetData("DP_1","003N8EMH8GTFRIVOG7KG9J9VY","GSON1125100005")</f>
        <v>#NAME?</v>
      </c>
      <c r="Q2559" s="23" t="e">
        <f ca="1">[1]!BexGetData("DP_1","00O2TNJGODT0G5Z4TTKYMM5MT","GSON1125100005")</f>
        <v>#NAME?</v>
      </c>
      <c r="R2559" s="23" t="e">
        <f ca="1">[1]!BexGetData("DP_1","00O2TNJGODT0G5Z4TTKYMMBYD","GSON1125100005")</f>
        <v>#NAME?</v>
      </c>
      <c r="S2559" s="23" t="e">
        <f ca="1">[1]!BexGetData("DP_1","00O2TNJGODT0G5Z4TTKYMMI9X","GSON1125100005")</f>
        <v>#NAME?</v>
      </c>
      <c r="T2559" s="23" t="e">
        <f ca="1">[1]!BexGetData("DP_1","00O2TNJGODT0G5Z4TTKYMMOLH","GSON1125100005")</f>
        <v>#NAME?</v>
      </c>
      <c r="U2559" s="28" t="e">
        <f ca="1">[1]!BexGetData("DP_1","00O2TNJGODT0G5Z4TTKYMMUX1","GSON1125100005")</f>
        <v>#NAME?</v>
      </c>
      <c r="V2559" s="23" t="e">
        <f ca="1">[1]!BexGetData("DP_1","00O2TNJGODT0G5Z4TTKYMN18L","GSON1125100005")</f>
        <v>#NAME?</v>
      </c>
      <c r="W2559" s="28" t="e">
        <f ca="1">[1]!BexGetData("DP_1","00O2TNJGODT0G5Z4TTKYMN7K5","GSON1125100005")</f>
        <v>#NAME?</v>
      </c>
    </row>
    <row r="2560" spans="1:23" x14ac:dyDescent="0.2">
      <c r="A2560" s="36" t="s">
        <v>5966</v>
      </c>
      <c r="B2560" s="27" t="s">
        <v>5967</v>
      </c>
      <c r="C2560" s="28" t="e">
        <f ca="1">[1]!BexGetData("DP_1","003N8EMH8GTFRCSWKMPXRR8GU","GSON1125100006")</f>
        <v>#NAME?</v>
      </c>
      <c r="D2560" s="23" t="e">
        <f ca="1">[1]!BexGetData("DP_1","003N8EMH8GTFRCSWKMPXRRESE","GSON1125100006")</f>
        <v>#NAME?</v>
      </c>
      <c r="E2560" s="28" t="e">
        <f ca="1">[1]!BexGetData("DP_1","003N8EMH8GTFRCSWKMPXRRL3Y","GSON1125100006")</f>
        <v>#NAME?</v>
      </c>
      <c r="F2560" s="23" t="e">
        <f ca="1">[1]!BexGetData("DP_1","003N8EMH8GTFRCSWKMPXRRRFI","GSON1125100006")</f>
        <v>#NAME?</v>
      </c>
      <c r="G2560" s="23" t="e">
        <f ca="1">[1]!BexGetData("DP_1","003N8EMH8GTFRCSWKMPXRRXR2","GSON1125100006")</f>
        <v>#NAME?</v>
      </c>
      <c r="H2560" s="23" t="e">
        <f ca="1">[1]!BexGetData("DP_1","003N8EMH8GTFRCSWKMPXRS42M","GSON1125100006")</f>
        <v>#NAME?</v>
      </c>
      <c r="I2560" s="23" t="e">
        <f ca="1">[1]!BexGetData("DP_1","003N8EMH8GTFRCSWKMPXRSAE6","GSON1125100006")</f>
        <v>#NAME?</v>
      </c>
      <c r="J2560" s="23" t="e">
        <f ca="1">[1]!BexGetData("DP_1","003N8EMH8GTFRCSWKMPXRSGPQ","GSON1125100006")</f>
        <v>#NAME?</v>
      </c>
      <c r="K2560" s="23" t="e">
        <f ca="1">[1]!BexGetData("DP_1","003N8EMH8GTFRIVNUPY288VJH","GSON1125100006")</f>
        <v>#NAME?</v>
      </c>
      <c r="L2560" s="23" t="e">
        <f ca="1">[1]!BexGetData("DP_1","003N8EMH8GTFRIVNUPY2891V1","GSON1125100006")</f>
        <v>#NAME?</v>
      </c>
      <c r="M2560" s="23" t="e">
        <f ca="1">[1]!BexGetData("DP_1","003N8EMH8GTFRIVOG7KG9IQXA","GSON1125100006")</f>
        <v>#NAME?</v>
      </c>
      <c r="N2560" s="28" t="e">
        <f ca="1">[1]!BexGetData("DP_1","003N8EMH8GTFRIVOG7KG9IX8U","GSON1125100006")</f>
        <v>#NAME?</v>
      </c>
      <c r="O2560" s="23" t="e">
        <f ca="1">[1]!BexGetData("DP_1","003N8EMH8GTFRIVOG7KG9J3KE","GSON1125100006")</f>
        <v>#NAME?</v>
      </c>
      <c r="P2560" s="28" t="e">
        <f ca="1">[1]!BexGetData("DP_1","003N8EMH8GTFRIVOG7KG9J9VY","GSON1125100006")</f>
        <v>#NAME?</v>
      </c>
      <c r="Q2560" s="23" t="e">
        <f ca="1">[1]!BexGetData("DP_1","00O2TNJGODT0G5Z4TTKYMM5MT","GSON1125100006")</f>
        <v>#NAME?</v>
      </c>
      <c r="R2560" s="23" t="e">
        <f ca="1">[1]!BexGetData("DP_1","00O2TNJGODT0G5Z4TTKYMMBYD","GSON1125100006")</f>
        <v>#NAME?</v>
      </c>
      <c r="S2560" s="23" t="e">
        <f ca="1">[1]!BexGetData("DP_1","00O2TNJGODT0G5Z4TTKYMMI9X","GSON1125100006")</f>
        <v>#NAME?</v>
      </c>
      <c r="T2560" s="23" t="e">
        <f ca="1">[1]!BexGetData("DP_1","00O2TNJGODT0G5Z4TTKYMMOLH","GSON1125100006")</f>
        <v>#NAME?</v>
      </c>
      <c r="U2560" s="28" t="e">
        <f ca="1">[1]!BexGetData("DP_1","00O2TNJGODT0G5Z4TTKYMMUX1","GSON1125100006")</f>
        <v>#NAME?</v>
      </c>
      <c r="V2560" s="23" t="e">
        <f ca="1">[1]!BexGetData("DP_1","00O2TNJGODT0G5Z4TTKYMN18L","GSON1125100006")</f>
        <v>#NAME?</v>
      </c>
      <c r="W2560" s="28" t="e">
        <f ca="1">[1]!BexGetData("DP_1","00O2TNJGODT0G5Z4TTKYMN7K5","GSON1125100006")</f>
        <v>#NAME?</v>
      </c>
    </row>
    <row r="2561" spans="1:23" x14ac:dyDescent="0.2">
      <c r="A2561" s="36" t="s">
        <v>5968</v>
      </c>
      <c r="B2561" s="27" t="s">
        <v>5969</v>
      </c>
      <c r="C2561" s="23" t="e">
        <f ca="1">[1]!BexGetData("DP_1","003N8EMH8GTFRCSWKMPXRR8GU","GSON1125200001")</f>
        <v>#NAME?</v>
      </c>
      <c r="D2561" s="23" t="e">
        <f ca="1">[1]!BexGetData("DP_1","003N8EMH8GTFRCSWKMPXRRESE","GSON1125200001")</f>
        <v>#NAME?</v>
      </c>
      <c r="E2561" s="23" t="e">
        <f ca="1">[1]!BexGetData("DP_1","003N8EMH8GTFRCSWKMPXRRL3Y","GSON1125200001")</f>
        <v>#NAME?</v>
      </c>
      <c r="F2561" s="28" t="e">
        <f ca="1">[1]!BexGetData("DP_1","003N8EMH8GTFRCSWKMPXRRRFI","GSON1125200001")</f>
        <v>#NAME?</v>
      </c>
      <c r="G2561" s="23" t="e">
        <f ca="1">[1]!BexGetData("DP_1","003N8EMH8GTFRCSWKMPXRRXR2","GSON1125200001")</f>
        <v>#NAME?</v>
      </c>
      <c r="H2561" s="23" t="e">
        <f ca="1">[1]!BexGetData("DP_1","003N8EMH8GTFRCSWKMPXRS42M","GSON1125200001")</f>
        <v>#NAME?</v>
      </c>
      <c r="I2561" s="28" t="e">
        <f ca="1">[1]!BexGetData("DP_1","003N8EMH8GTFRCSWKMPXRSAE6","GSON1125200001")</f>
        <v>#NAME?</v>
      </c>
      <c r="J2561" s="24" t="e">
        <f ca="1">[1]!BexGetData("DP_1","003N8EMH8GTFRCSWKMPXRSGPQ","GSON1125200001")</f>
        <v>#NAME?</v>
      </c>
      <c r="K2561" s="23" t="e">
        <f ca="1">[1]!BexGetData("DP_1","003N8EMH8GTFRIVNUPY288VJH","GSON1125200001")</f>
        <v>#NAME?</v>
      </c>
      <c r="L2561" s="23" t="e">
        <f ca="1">[1]!BexGetData("DP_1","003N8EMH8GTFRIVNUPY2891V1","GSON1125200001")</f>
        <v>#NAME?</v>
      </c>
      <c r="M2561" s="28" t="e">
        <f ca="1">[1]!BexGetData("DP_1","003N8EMH8GTFRIVOG7KG9IQXA","GSON1125200001")</f>
        <v>#NAME?</v>
      </c>
      <c r="N2561" s="23" t="e">
        <f ca="1">[1]!BexGetData("DP_1","003N8EMH8GTFRIVOG7KG9IX8U","GSON1125200001")</f>
        <v>#NAME?</v>
      </c>
      <c r="O2561" s="28" t="e">
        <f ca="1">[1]!BexGetData("DP_1","003N8EMH8GTFRIVOG7KG9J3KE","GSON1125200001")</f>
        <v>#NAME?</v>
      </c>
      <c r="P2561" s="23" t="e">
        <f ca="1">[1]!BexGetData("DP_1","003N8EMH8GTFRIVOG7KG9J9VY","GSON1125200001")</f>
        <v>#NAME?</v>
      </c>
      <c r="Q2561" s="24" t="e">
        <f ca="1">[1]!BexGetData("DP_1","00O2TNJGODT0G5Z4TTKYMM5MT","GSON1125200001")</f>
        <v>#NAME?</v>
      </c>
      <c r="R2561" s="28" t="e">
        <f ca="1">[1]!BexGetData("DP_1","00O2TNJGODT0G5Z4TTKYMMBYD","GSON1125200001")</f>
        <v>#NAME?</v>
      </c>
      <c r="S2561" s="28" t="e">
        <f ca="1">[1]!BexGetData("DP_1","00O2TNJGODT0G5Z4TTKYMMI9X","GSON1125200001")</f>
        <v>#NAME?</v>
      </c>
      <c r="T2561" s="28" t="e">
        <f ca="1">[1]!BexGetData("DP_1","00O2TNJGODT0G5Z4TTKYMMOLH","GSON1125200001")</f>
        <v>#NAME?</v>
      </c>
      <c r="U2561" s="28" t="e">
        <f ca="1">[1]!BexGetData("DP_1","00O2TNJGODT0G5Z4TTKYMMUX1","GSON1125200001")</f>
        <v>#NAME?</v>
      </c>
      <c r="V2561" s="28" t="e">
        <f ca="1">[1]!BexGetData("DP_1","00O2TNJGODT0G5Z4TTKYMN18L","GSON1125200001")</f>
        <v>#NAME?</v>
      </c>
      <c r="W2561" s="28" t="e">
        <f ca="1">[1]!BexGetData("DP_1","00O2TNJGODT0G5Z4TTKYMN7K5","GSON1125200001")</f>
        <v>#NAME?</v>
      </c>
    </row>
    <row r="2562" spans="1:23" x14ac:dyDescent="0.2">
      <c r="A2562" s="35" t="s">
        <v>5970</v>
      </c>
      <c r="B2562" s="27" t="s">
        <v>5971</v>
      </c>
      <c r="C2562" s="23" t="e">
        <f ca="1">[1]!BexGetData("DP_1","003N8EMH8GTFRCSWKMPXRR8GU","GSON1129")</f>
        <v>#NAME?</v>
      </c>
      <c r="D2562" s="23" t="e">
        <f ca="1">[1]!BexGetData("DP_1","003N8EMH8GTFRCSWKMPXRRESE","GSON1129")</f>
        <v>#NAME?</v>
      </c>
      <c r="E2562" s="23" t="e">
        <f ca="1">[1]!BexGetData("DP_1","003N8EMH8GTFRCSWKMPXRRL3Y","GSON1129")</f>
        <v>#NAME?</v>
      </c>
      <c r="F2562" s="23" t="e">
        <f ca="1">[1]!BexGetData("DP_1","003N8EMH8GTFRCSWKMPXRRRFI","GSON1129")</f>
        <v>#NAME?</v>
      </c>
      <c r="G2562" s="23" t="e">
        <f ca="1">[1]!BexGetData("DP_1","003N8EMH8GTFRCSWKMPXRRXR2","GSON1129")</f>
        <v>#NAME?</v>
      </c>
      <c r="H2562" s="23" t="e">
        <f ca="1">[1]!BexGetData("DP_1","003N8EMH8GTFRCSWKMPXRS42M","GSON1129")</f>
        <v>#NAME?</v>
      </c>
      <c r="I2562" s="23" t="e">
        <f ca="1">[1]!BexGetData("DP_1","003N8EMH8GTFRCSWKMPXRSAE6","GSON1129")</f>
        <v>#NAME?</v>
      </c>
      <c r="J2562" s="23" t="e">
        <f ca="1">[1]!BexGetData("DP_1","003N8EMH8GTFRCSWKMPXRSGPQ","GSON1129")</f>
        <v>#NAME?</v>
      </c>
      <c r="K2562" s="23" t="e">
        <f ca="1">[1]!BexGetData("DP_1","003N8EMH8GTFRIVNUPY288VJH","GSON1129")</f>
        <v>#NAME?</v>
      </c>
      <c r="L2562" s="23" t="e">
        <f ca="1">[1]!BexGetData("DP_1","003N8EMH8GTFRIVNUPY2891V1","GSON1129")</f>
        <v>#NAME?</v>
      </c>
      <c r="M2562" s="23" t="e">
        <f ca="1">[1]!BexGetData("DP_1","003N8EMH8GTFRIVOG7KG9IQXA","GSON1129")</f>
        <v>#NAME?</v>
      </c>
      <c r="N2562" s="28" t="e">
        <f ca="1">[1]!BexGetData("DP_1","003N8EMH8GTFRIVOG7KG9IX8U","GSON1129")</f>
        <v>#NAME?</v>
      </c>
      <c r="O2562" s="23" t="e">
        <f ca="1">[1]!BexGetData("DP_1","003N8EMH8GTFRIVOG7KG9J3KE","GSON1129")</f>
        <v>#NAME?</v>
      </c>
      <c r="P2562" s="28" t="e">
        <f ca="1">[1]!BexGetData("DP_1","003N8EMH8GTFRIVOG7KG9J9VY","GSON1129")</f>
        <v>#NAME?</v>
      </c>
      <c r="Q2562" s="23" t="e">
        <f ca="1">[1]!BexGetData("DP_1","00O2TNJGODT0G5Z4TTKYMM5MT","GSON1129")</f>
        <v>#NAME?</v>
      </c>
      <c r="R2562" s="23" t="e">
        <f ca="1">[1]!BexGetData("DP_1","00O2TNJGODT0G5Z4TTKYMMBYD","GSON1129")</f>
        <v>#NAME?</v>
      </c>
      <c r="S2562" s="23" t="e">
        <f ca="1">[1]!BexGetData("DP_1","00O2TNJGODT0G5Z4TTKYMMI9X","GSON1129")</f>
        <v>#NAME?</v>
      </c>
      <c r="T2562" s="28" t="e">
        <f ca="1">[1]!BexGetData("DP_1","00O2TNJGODT0G5Z4TTKYMMOLH","GSON1129")</f>
        <v>#NAME?</v>
      </c>
      <c r="U2562" s="23" t="e">
        <f ca="1">[1]!BexGetData("DP_1","00O2TNJGODT0G5Z4TTKYMMUX1","GSON1129")</f>
        <v>#NAME?</v>
      </c>
      <c r="V2562" s="28" t="e">
        <f ca="1">[1]!BexGetData("DP_1","00O2TNJGODT0G5Z4TTKYMN18L","GSON1129")</f>
        <v>#NAME?</v>
      </c>
      <c r="W2562" s="23" t="e">
        <f ca="1">[1]!BexGetData("DP_1","00O2TNJGODT0G5Z4TTKYMN7K5","GSON1129")</f>
        <v>#NAME?</v>
      </c>
    </row>
    <row r="2563" spans="1:23" x14ac:dyDescent="0.2">
      <c r="A2563" s="36" t="s">
        <v>5972</v>
      </c>
      <c r="B2563" s="27" t="s">
        <v>5973</v>
      </c>
      <c r="C2563" s="28" t="e">
        <f ca="1">[1]!BexGetData("DP_1","003N8EMH8GTFRCSWKMPXRR8GU","GSON1129100001")</f>
        <v>#NAME?</v>
      </c>
      <c r="D2563" s="28" t="e">
        <f ca="1">[1]!BexGetData("DP_1","003N8EMH8GTFRCSWKMPXRRESE","GSON1129100001")</f>
        <v>#NAME?</v>
      </c>
      <c r="E2563" s="23" t="e">
        <f ca="1">[1]!BexGetData("DP_1","003N8EMH8GTFRCSWKMPXRRL3Y","GSON1129100001")</f>
        <v>#NAME?</v>
      </c>
      <c r="F2563" s="23" t="e">
        <f ca="1">[1]!BexGetData("DP_1","003N8EMH8GTFRCSWKMPXRRRFI","GSON1129100001")</f>
        <v>#NAME?</v>
      </c>
      <c r="G2563" s="23" t="e">
        <f ca="1">[1]!BexGetData("DP_1","003N8EMH8GTFRCSWKMPXRRXR2","GSON1129100001")</f>
        <v>#NAME?</v>
      </c>
      <c r="H2563" s="28" t="e">
        <f ca="1">[1]!BexGetData("DP_1","003N8EMH8GTFRCSWKMPXRS42M","GSON1129100001")</f>
        <v>#NAME?</v>
      </c>
      <c r="I2563" s="23" t="e">
        <f ca="1">[1]!BexGetData("DP_1","003N8EMH8GTFRCSWKMPXRSAE6","GSON1129100001")</f>
        <v>#NAME?</v>
      </c>
      <c r="J2563" s="24" t="e">
        <f ca="1">[1]!BexGetData("DP_1","003N8EMH8GTFRCSWKMPXRSGPQ","GSON1129100001")</f>
        <v>#NAME?</v>
      </c>
      <c r="K2563" s="28" t="e">
        <f ca="1">[1]!BexGetData("DP_1","003N8EMH8GTFRIVNUPY288VJH","GSON1129100001")</f>
        <v>#NAME?</v>
      </c>
      <c r="L2563" s="28" t="e">
        <f ca="1">[1]!BexGetData("DP_1","003N8EMH8GTFRIVNUPY2891V1","GSON1129100001")</f>
        <v>#NAME?</v>
      </c>
      <c r="M2563" s="28" t="e">
        <f ca="1">[1]!BexGetData("DP_1","003N8EMH8GTFRIVOG7KG9IQXA","GSON1129100001")</f>
        <v>#NAME?</v>
      </c>
      <c r="N2563" s="28" t="e">
        <f ca="1">[1]!BexGetData("DP_1","003N8EMH8GTFRIVOG7KG9IX8U","GSON1129100001")</f>
        <v>#NAME?</v>
      </c>
      <c r="O2563" s="28" t="e">
        <f ca="1">[1]!BexGetData("DP_1","003N8EMH8GTFRIVOG7KG9J3KE","GSON1129100001")</f>
        <v>#NAME?</v>
      </c>
      <c r="P2563" s="28" t="e">
        <f ca="1">[1]!BexGetData("DP_1","003N8EMH8GTFRIVOG7KG9J9VY","GSON1129100001")</f>
        <v>#NAME?</v>
      </c>
      <c r="Q2563" s="24" t="e">
        <f ca="1">[1]!BexGetData("DP_1","00O2TNJGODT0G5Z4TTKYMM5MT","GSON1129100001")</f>
        <v>#NAME?</v>
      </c>
      <c r="R2563" s="23" t="e">
        <f ca="1">[1]!BexGetData("DP_1","00O2TNJGODT0G5Z4TTKYMMBYD","GSON1129100001")</f>
        <v>#NAME?</v>
      </c>
      <c r="S2563" s="23" t="e">
        <f ca="1">[1]!BexGetData("DP_1","00O2TNJGODT0G5Z4TTKYMMI9X","GSON1129100001")</f>
        <v>#NAME?</v>
      </c>
      <c r="T2563" s="28" t="e">
        <f ca="1">[1]!BexGetData("DP_1","00O2TNJGODT0G5Z4TTKYMMOLH","GSON1129100001")</f>
        <v>#NAME?</v>
      </c>
      <c r="U2563" s="23" t="e">
        <f ca="1">[1]!BexGetData("DP_1","00O2TNJGODT0G5Z4TTKYMMUX1","GSON1129100001")</f>
        <v>#NAME?</v>
      </c>
      <c r="V2563" s="28" t="e">
        <f ca="1">[1]!BexGetData("DP_1","00O2TNJGODT0G5Z4TTKYMN18L","GSON1129100001")</f>
        <v>#NAME?</v>
      </c>
      <c r="W2563" s="23" t="e">
        <f ca="1">[1]!BexGetData("DP_1","00O2TNJGODT0G5Z4TTKYMN7K5","GSON1129100001")</f>
        <v>#NAME?</v>
      </c>
    </row>
    <row r="2564" spans="1:23" x14ac:dyDescent="0.2">
      <c r="A2564" s="36" t="s">
        <v>5974</v>
      </c>
      <c r="B2564" s="27" t="s">
        <v>5975</v>
      </c>
      <c r="C2564" s="23" t="e">
        <f ca="1">[1]!BexGetData("DP_1","003N8EMH8GTFRCSWKMPXRR8GU","GSON1129200001")</f>
        <v>#NAME?</v>
      </c>
      <c r="D2564" s="23" t="e">
        <f ca="1">[1]!BexGetData("DP_1","003N8EMH8GTFRCSWKMPXRRESE","GSON1129200001")</f>
        <v>#NAME?</v>
      </c>
      <c r="E2564" s="28" t="e">
        <f ca="1">[1]!BexGetData("DP_1","003N8EMH8GTFRCSWKMPXRRL3Y","GSON1129200001")</f>
        <v>#NAME?</v>
      </c>
      <c r="F2564" s="23" t="e">
        <f ca="1">[1]!BexGetData("DP_1","003N8EMH8GTFRCSWKMPXRRRFI","GSON1129200001")</f>
        <v>#NAME?</v>
      </c>
      <c r="G2564" s="23" t="e">
        <f ca="1">[1]!BexGetData("DP_1","003N8EMH8GTFRCSWKMPXRRXR2","GSON1129200001")</f>
        <v>#NAME?</v>
      </c>
      <c r="H2564" s="23" t="e">
        <f ca="1">[1]!BexGetData("DP_1","003N8EMH8GTFRCSWKMPXRS42M","GSON1129200001")</f>
        <v>#NAME?</v>
      </c>
      <c r="I2564" s="23" t="e">
        <f ca="1">[1]!BexGetData("DP_1","003N8EMH8GTFRCSWKMPXRSAE6","GSON1129200001")</f>
        <v>#NAME?</v>
      </c>
      <c r="J2564" s="24" t="e">
        <f ca="1">[1]!BexGetData("DP_1","003N8EMH8GTFRCSWKMPXRSGPQ","GSON1129200001")</f>
        <v>#NAME?</v>
      </c>
      <c r="K2564" s="23" t="e">
        <f ca="1">[1]!BexGetData("DP_1","003N8EMH8GTFRIVNUPY288VJH","GSON1129200001")</f>
        <v>#NAME?</v>
      </c>
      <c r="L2564" s="23" t="e">
        <f ca="1">[1]!BexGetData("DP_1","003N8EMH8GTFRIVNUPY2891V1","GSON1129200001")</f>
        <v>#NAME?</v>
      </c>
      <c r="M2564" s="23" t="e">
        <f ca="1">[1]!BexGetData("DP_1","003N8EMH8GTFRIVOG7KG9IQXA","GSON1129200001")</f>
        <v>#NAME?</v>
      </c>
      <c r="N2564" s="28" t="e">
        <f ca="1">[1]!BexGetData("DP_1","003N8EMH8GTFRIVOG7KG9IX8U","GSON1129200001")</f>
        <v>#NAME?</v>
      </c>
      <c r="O2564" s="23" t="e">
        <f ca="1">[1]!BexGetData("DP_1","003N8EMH8GTFRIVOG7KG9J3KE","GSON1129200001")</f>
        <v>#NAME?</v>
      </c>
      <c r="P2564" s="28" t="e">
        <f ca="1">[1]!BexGetData("DP_1","003N8EMH8GTFRIVOG7KG9J9VY","GSON1129200001")</f>
        <v>#NAME?</v>
      </c>
      <c r="Q2564" s="24" t="e">
        <f ca="1">[1]!BexGetData("DP_1","00O2TNJGODT0G5Z4TTKYMM5MT","GSON1129200001")</f>
        <v>#NAME?</v>
      </c>
      <c r="R2564" s="23" t="e">
        <f ca="1">[1]!BexGetData("DP_1","00O2TNJGODT0G5Z4TTKYMMBYD","GSON1129200001")</f>
        <v>#NAME?</v>
      </c>
      <c r="S2564" s="23" t="e">
        <f ca="1">[1]!BexGetData("DP_1","00O2TNJGODT0G5Z4TTKYMMI9X","GSON1129200001")</f>
        <v>#NAME?</v>
      </c>
      <c r="T2564" s="28" t="e">
        <f ca="1">[1]!BexGetData("DP_1","00O2TNJGODT0G5Z4TTKYMMOLH","GSON1129200001")</f>
        <v>#NAME?</v>
      </c>
      <c r="U2564" s="23" t="e">
        <f ca="1">[1]!BexGetData("DP_1","00O2TNJGODT0G5Z4TTKYMMUX1","GSON1129200001")</f>
        <v>#NAME?</v>
      </c>
      <c r="V2564" s="28" t="e">
        <f ca="1">[1]!BexGetData("DP_1","00O2TNJGODT0G5Z4TTKYMN18L","GSON1129200001")</f>
        <v>#NAME?</v>
      </c>
      <c r="W2564" s="23" t="e">
        <f ca="1">[1]!BexGetData("DP_1","00O2TNJGODT0G5Z4TTKYMN7K5","GSON1129200001")</f>
        <v>#NAME?</v>
      </c>
    </row>
    <row r="2565" spans="1:23" x14ac:dyDescent="0.2">
      <c r="A2565" s="36" t="s">
        <v>5976</v>
      </c>
      <c r="B2565" s="27" t="s">
        <v>5977</v>
      </c>
      <c r="C2565" s="23" t="e">
        <f ca="1">[1]!BexGetData("DP_1","003N8EMH8GTFRCSWKMPXRR8GU","GSON1129200003")</f>
        <v>#NAME?</v>
      </c>
      <c r="D2565" s="23" t="e">
        <f ca="1">[1]!BexGetData("DP_1","003N8EMH8GTFRCSWKMPXRRESE","GSON1129200003")</f>
        <v>#NAME?</v>
      </c>
      <c r="E2565" s="23" t="e">
        <f ca="1">[1]!BexGetData("DP_1","003N8EMH8GTFRCSWKMPXRRL3Y","GSON1129200003")</f>
        <v>#NAME?</v>
      </c>
      <c r="F2565" s="23" t="e">
        <f ca="1">[1]!BexGetData("DP_1","003N8EMH8GTFRCSWKMPXRRRFI","GSON1129200003")</f>
        <v>#NAME?</v>
      </c>
      <c r="G2565" s="28" t="e">
        <f ca="1">[1]!BexGetData("DP_1","003N8EMH8GTFRCSWKMPXRRXR2","GSON1129200003")</f>
        <v>#NAME?</v>
      </c>
      <c r="H2565" s="28" t="e">
        <f ca="1">[1]!BexGetData("DP_1","003N8EMH8GTFRCSWKMPXRS42M","GSON1129200003")</f>
        <v>#NAME?</v>
      </c>
      <c r="I2565" s="23" t="e">
        <f ca="1">[1]!BexGetData("DP_1","003N8EMH8GTFRCSWKMPXRSAE6","GSON1129200003")</f>
        <v>#NAME?</v>
      </c>
      <c r="J2565" s="23" t="e">
        <f ca="1">[1]!BexGetData("DP_1","003N8EMH8GTFRCSWKMPXRSGPQ","GSON1129200003")</f>
        <v>#NAME?</v>
      </c>
      <c r="K2565" s="23" t="e">
        <f ca="1">[1]!BexGetData("DP_1","003N8EMH8GTFRIVNUPY288VJH","GSON1129200003")</f>
        <v>#NAME?</v>
      </c>
      <c r="L2565" s="23" t="e">
        <f ca="1">[1]!BexGetData("DP_1","003N8EMH8GTFRIVNUPY2891V1","GSON1129200003")</f>
        <v>#NAME?</v>
      </c>
      <c r="M2565" s="23" t="e">
        <f ca="1">[1]!BexGetData("DP_1","003N8EMH8GTFRIVOG7KG9IQXA","GSON1129200003")</f>
        <v>#NAME?</v>
      </c>
      <c r="N2565" s="28" t="e">
        <f ca="1">[1]!BexGetData("DP_1","003N8EMH8GTFRIVOG7KG9IX8U","GSON1129200003")</f>
        <v>#NAME?</v>
      </c>
      <c r="O2565" s="23" t="e">
        <f ca="1">[1]!BexGetData("DP_1","003N8EMH8GTFRIVOG7KG9J3KE","GSON1129200003")</f>
        <v>#NAME?</v>
      </c>
      <c r="P2565" s="28" t="e">
        <f ca="1">[1]!BexGetData("DP_1","003N8EMH8GTFRIVOG7KG9J9VY","GSON1129200003")</f>
        <v>#NAME?</v>
      </c>
      <c r="Q2565" s="23" t="e">
        <f ca="1">[1]!BexGetData("DP_1","00O2TNJGODT0G5Z4TTKYMM5MT","GSON1129200003")</f>
        <v>#NAME?</v>
      </c>
      <c r="R2565" s="28" t="e">
        <f ca="1">[1]!BexGetData("DP_1","00O2TNJGODT0G5Z4TTKYMMBYD","GSON1129200003")</f>
        <v>#NAME?</v>
      </c>
      <c r="S2565" s="28" t="e">
        <f ca="1">[1]!BexGetData("DP_1","00O2TNJGODT0G5Z4TTKYMMI9X","GSON1129200003")</f>
        <v>#NAME?</v>
      </c>
      <c r="T2565" s="28" t="e">
        <f ca="1">[1]!BexGetData("DP_1","00O2TNJGODT0G5Z4TTKYMMOLH","GSON1129200003")</f>
        <v>#NAME?</v>
      </c>
      <c r="U2565" s="28" t="e">
        <f ca="1">[1]!BexGetData("DP_1","00O2TNJGODT0G5Z4TTKYMMUX1","GSON1129200003")</f>
        <v>#NAME?</v>
      </c>
      <c r="V2565" s="28" t="e">
        <f ca="1">[1]!BexGetData("DP_1","00O2TNJGODT0G5Z4TTKYMN18L","GSON1129200003")</f>
        <v>#NAME?</v>
      </c>
      <c r="W2565" s="28" t="e">
        <f ca="1">[1]!BexGetData("DP_1","00O2TNJGODT0G5Z4TTKYMN7K5","GSON1129200003")</f>
        <v>#NAME?</v>
      </c>
    </row>
    <row r="2566" spans="1:23" x14ac:dyDescent="0.2">
      <c r="A2566" s="34" t="s">
        <v>70</v>
      </c>
      <c r="B2566" s="27" t="s">
        <v>71</v>
      </c>
      <c r="C2566" s="23" t="e">
        <f ca="1">[1]!BexGetData("DP_1","003N8EMH8GTFRCSWKMPXRR8GU","GSON113")</f>
        <v>#NAME?</v>
      </c>
      <c r="D2566" s="23" t="e">
        <f ca="1">[1]!BexGetData("DP_1","003N8EMH8GTFRCSWKMPXRRESE","GSON113")</f>
        <v>#NAME?</v>
      </c>
      <c r="E2566" s="23" t="e">
        <f ca="1">[1]!BexGetData("DP_1","003N8EMH8GTFRCSWKMPXRRL3Y","GSON113")</f>
        <v>#NAME?</v>
      </c>
      <c r="F2566" s="23" t="e">
        <f ca="1">[1]!BexGetData("DP_1","003N8EMH8GTFRCSWKMPXRRRFI","GSON113")</f>
        <v>#NAME?</v>
      </c>
      <c r="G2566" s="23" t="e">
        <f ca="1">[1]!BexGetData("DP_1","003N8EMH8GTFRCSWKMPXRRXR2","GSON113")</f>
        <v>#NAME?</v>
      </c>
      <c r="H2566" s="23" t="e">
        <f ca="1">[1]!BexGetData("DP_1","003N8EMH8GTFRCSWKMPXRS42M","GSON113")</f>
        <v>#NAME?</v>
      </c>
      <c r="I2566" s="23" t="e">
        <f ca="1">[1]!BexGetData("DP_1","003N8EMH8GTFRCSWKMPXRSAE6","GSON113")</f>
        <v>#NAME?</v>
      </c>
      <c r="J2566" s="23" t="e">
        <f ca="1">[1]!BexGetData("DP_1","003N8EMH8GTFRCSWKMPXRSGPQ","GSON113")</f>
        <v>#NAME?</v>
      </c>
      <c r="K2566" s="23" t="e">
        <f ca="1">[1]!BexGetData("DP_1","003N8EMH8GTFRIVNUPY288VJH","GSON113")</f>
        <v>#NAME?</v>
      </c>
      <c r="L2566" s="23" t="e">
        <f ca="1">[1]!BexGetData("DP_1","003N8EMH8GTFRIVNUPY2891V1","GSON113")</f>
        <v>#NAME?</v>
      </c>
      <c r="M2566" s="28" t="e">
        <f ca="1">[1]!BexGetData("DP_1","003N8EMH8GTFRIVOG7KG9IQXA","GSON113")</f>
        <v>#NAME?</v>
      </c>
      <c r="N2566" s="23" t="e">
        <f ca="1">[1]!BexGetData("DP_1","003N8EMH8GTFRIVOG7KG9IX8U","GSON113")</f>
        <v>#NAME?</v>
      </c>
      <c r="O2566" s="28" t="e">
        <f ca="1">[1]!BexGetData("DP_1","003N8EMH8GTFRIVOG7KG9J3KE","GSON113")</f>
        <v>#NAME?</v>
      </c>
      <c r="P2566" s="23" t="e">
        <f ca="1">[1]!BexGetData("DP_1","003N8EMH8GTFRIVOG7KG9J9VY","GSON113")</f>
        <v>#NAME?</v>
      </c>
      <c r="Q2566" s="23" t="e">
        <f ca="1">[1]!BexGetData("DP_1","00O2TNJGODT0G5Z4TTKYMM5MT","GSON113")</f>
        <v>#NAME?</v>
      </c>
      <c r="R2566" s="23" t="e">
        <f ca="1">[1]!BexGetData("DP_1","00O2TNJGODT0G5Z4TTKYMMBYD","GSON113")</f>
        <v>#NAME?</v>
      </c>
      <c r="S2566" s="23" t="e">
        <f ca="1">[1]!BexGetData("DP_1","00O2TNJGODT0G5Z4TTKYMMI9X","GSON113")</f>
        <v>#NAME?</v>
      </c>
      <c r="T2566" s="28" t="e">
        <f ca="1">[1]!BexGetData("DP_1","00O2TNJGODT0G5Z4TTKYMMOLH","GSON113")</f>
        <v>#NAME?</v>
      </c>
      <c r="U2566" s="23" t="e">
        <f ca="1">[1]!BexGetData("DP_1","00O2TNJGODT0G5Z4TTKYMMUX1","GSON113")</f>
        <v>#NAME?</v>
      </c>
      <c r="V2566" s="28" t="e">
        <f ca="1">[1]!BexGetData("DP_1","00O2TNJGODT0G5Z4TTKYMN18L","GSON113")</f>
        <v>#NAME?</v>
      </c>
      <c r="W2566" s="23" t="e">
        <f ca="1">[1]!BexGetData("DP_1","00O2TNJGODT0G5Z4TTKYMN7K5","GSON113")</f>
        <v>#NAME?</v>
      </c>
    </row>
    <row r="2567" spans="1:23" x14ac:dyDescent="0.2">
      <c r="A2567" s="35" t="s">
        <v>72</v>
      </c>
      <c r="B2567" s="27" t="s">
        <v>73</v>
      </c>
      <c r="C2567" s="23" t="e">
        <f ca="1">[1]!BexGetData("DP_1","003N8EMH8GTFRCSWKMPXRR8GU","GSON1131")</f>
        <v>#NAME?</v>
      </c>
      <c r="D2567" s="23" t="e">
        <f ca="1">[1]!BexGetData("DP_1","003N8EMH8GTFRCSWKMPXRRESE","GSON1131")</f>
        <v>#NAME?</v>
      </c>
      <c r="E2567" s="23" t="e">
        <f ca="1">[1]!BexGetData("DP_1","003N8EMH8GTFRCSWKMPXRRL3Y","GSON1131")</f>
        <v>#NAME?</v>
      </c>
      <c r="F2567" s="23" t="e">
        <f ca="1">[1]!BexGetData("DP_1","003N8EMH8GTFRCSWKMPXRRRFI","GSON1131")</f>
        <v>#NAME?</v>
      </c>
      <c r="G2567" s="23" t="e">
        <f ca="1">[1]!BexGetData("DP_1","003N8EMH8GTFRCSWKMPXRRXR2","GSON1131")</f>
        <v>#NAME?</v>
      </c>
      <c r="H2567" s="23" t="e">
        <f ca="1">[1]!BexGetData("DP_1","003N8EMH8GTFRCSWKMPXRS42M","GSON1131")</f>
        <v>#NAME?</v>
      </c>
      <c r="I2567" s="23" t="e">
        <f ca="1">[1]!BexGetData("DP_1","003N8EMH8GTFRCSWKMPXRSAE6","GSON1131")</f>
        <v>#NAME?</v>
      </c>
      <c r="J2567" s="23" t="e">
        <f ca="1">[1]!BexGetData("DP_1","003N8EMH8GTFRCSWKMPXRSGPQ","GSON1131")</f>
        <v>#NAME?</v>
      </c>
      <c r="K2567" s="23" t="e">
        <f ca="1">[1]!BexGetData("DP_1","003N8EMH8GTFRIVNUPY288VJH","GSON1131")</f>
        <v>#NAME?</v>
      </c>
      <c r="L2567" s="23" t="e">
        <f ca="1">[1]!BexGetData("DP_1","003N8EMH8GTFRIVNUPY2891V1","GSON1131")</f>
        <v>#NAME?</v>
      </c>
      <c r="M2567" s="23" t="e">
        <f ca="1">[1]!BexGetData("DP_1","003N8EMH8GTFRIVOG7KG9IQXA","GSON1131")</f>
        <v>#NAME?</v>
      </c>
      <c r="N2567" s="28" t="e">
        <f ca="1">[1]!BexGetData("DP_1","003N8EMH8GTFRIVOG7KG9IX8U","GSON1131")</f>
        <v>#NAME?</v>
      </c>
      <c r="O2567" s="23" t="e">
        <f ca="1">[1]!BexGetData("DP_1","003N8EMH8GTFRIVOG7KG9J3KE","GSON1131")</f>
        <v>#NAME?</v>
      </c>
      <c r="P2567" s="28" t="e">
        <f ca="1">[1]!BexGetData("DP_1","003N8EMH8GTFRIVOG7KG9J9VY","GSON1131")</f>
        <v>#NAME?</v>
      </c>
      <c r="Q2567" s="23" t="e">
        <f ca="1">[1]!BexGetData("DP_1","00O2TNJGODT0G5Z4TTKYMM5MT","GSON1131")</f>
        <v>#NAME?</v>
      </c>
      <c r="R2567" s="23" t="e">
        <f ca="1">[1]!BexGetData("DP_1","00O2TNJGODT0G5Z4TTKYMMBYD","GSON1131")</f>
        <v>#NAME?</v>
      </c>
      <c r="S2567" s="23" t="e">
        <f ca="1">[1]!BexGetData("DP_1","00O2TNJGODT0G5Z4TTKYMMI9X","GSON1131")</f>
        <v>#NAME?</v>
      </c>
      <c r="T2567" s="28" t="e">
        <f ca="1">[1]!BexGetData("DP_1","00O2TNJGODT0G5Z4TTKYMMOLH","GSON1131")</f>
        <v>#NAME?</v>
      </c>
      <c r="U2567" s="23" t="e">
        <f ca="1">[1]!BexGetData("DP_1","00O2TNJGODT0G5Z4TTKYMMUX1","GSON1131")</f>
        <v>#NAME?</v>
      </c>
      <c r="V2567" s="28" t="e">
        <f ca="1">[1]!BexGetData("DP_1","00O2TNJGODT0G5Z4TTKYMN18L","GSON1131")</f>
        <v>#NAME?</v>
      </c>
      <c r="W2567" s="23" t="e">
        <f ca="1">[1]!BexGetData("DP_1","00O2TNJGODT0G5Z4TTKYMN7K5","GSON1131")</f>
        <v>#NAME?</v>
      </c>
    </row>
    <row r="2568" spans="1:23" x14ac:dyDescent="0.2">
      <c r="A2568" s="36" t="s">
        <v>1243</v>
      </c>
      <c r="B2568" s="27" t="s">
        <v>328</v>
      </c>
      <c r="C2568" s="23" t="e">
        <f ca="1">[1]!BexGetData("DP_1","003N8EMH8GTFRCSWKMPXRR8GU","GSON1131100001")</f>
        <v>#NAME?</v>
      </c>
      <c r="D2568" s="23" t="e">
        <f ca="1">[1]!BexGetData("DP_1","003N8EMH8GTFRCSWKMPXRRESE","GSON1131100001")</f>
        <v>#NAME?</v>
      </c>
      <c r="E2568" s="23" t="e">
        <f ca="1">[1]!BexGetData("DP_1","003N8EMH8GTFRCSWKMPXRRL3Y","GSON1131100001")</f>
        <v>#NAME?</v>
      </c>
      <c r="F2568" s="23" t="e">
        <f ca="1">[1]!BexGetData("DP_1","003N8EMH8GTFRCSWKMPXRRRFI","GSON1131100001")</f>
        <v>#NAME?</v>
      </c>
      <c r="G2568" s="23" t="e">
        <f ca="1">[1]!BexGetData("DP_1","003N8EMH8GTFRCSWKMPXRRXR2","GSON1131100001")</f>
        <v>#NAME?</v>
      </c>
      <c r="H2568" s="23" t="e">
        <f ca="1">[1]!BexGetData("DP_1","003N8EMH8GTFRCSWKMPXRS42M","GSON1131100001")</f>
        <v>#NAME?</v>
      </c>
      <c r="I2568" s="23" t="e">
        <f ca="1">[1]!BexGetData("DP_1","003N8EMH8GTFRCSWKMPXRSAE6","GSON1131100001")</f>
        <v>#NAME?</v>
      </c>
      <c r="J2568" s="24" t="e">
        <f ca="1">[1]!BexGetData("DP_1","003N8EMH8GTFRCSWKMPXRSGPQ","GSON1131100001")</f>
        <v>#NAME?</v>
      </c>
      <c r="K2568" s="23" t="e">
        <f ca="1">[1]!BexGetData("DP_1","003N8EMH8GTFRIVNUPY288VJH","GSON1131100001")</f>
        <v>#NAME?</v>
      </c>
      <c r="L2568" s="23" t="e">
        <f ca="1">[1]!BexGetData("DP_1","003N8EMH8GTFRIVNUPY2891V1","GSON1131100001")</f>
        <v>#NAME?</v>
      </c>
      <c r="M2568" s="23" t="e">
        <f ca="1">[1]!BexGetData("DP_1","003N8EMH8GTFRIVOG7KG9IQXA","GSON1131100001")</f>
        <v>#NAME?</v>
      </c>
      <c r="N2568" s="28" t="e">
        <f ca="1">[1]!BexGetData("DP_1","003N8EMH8GTFRIVOG7KG9IX8U","GSON1131100001")</f>
        <v>#NAME?</v>
      </c>
      <c r="O2568" s="23" t="e">
        <f ca="1">[1]!BexGetData("DP_1","003N8EMH8GTFRIVOG7KG9J3KE","GSON1131100001")</f>
        <v>#NAME?</v>
      </c>
      <c r="P2568" s="28" t="e">
        <f ca="1">[1]!BexGetData("DP_1","003N8EMH8GTFRIVOG7KG9J9VY","GSON1131100001")</f>
        <v>#NAME?</v>
      </c>
      <c r="Q2568" s="24" t="e">
        <f ca="1">[1]!BexGetData("DP_1","00O2TNJGODT0G5Z4TTKYMM5MT","GSON1131100001")</f>
        <v>#NAME?</v>
      </c>
      <c r="R2568" s="23" t="e">
        <f ca="1">[1]!BexGetData("DP_1","00O2TNJGODT0G5Z4TTKYMMBYD","GSON1131100001")</f>
        <v>#NAME?</v>
      </c>
      <c r="S2568" s="23" t="e">
        <f ca="1">[1]!BexGetData("DP_1","00O2TNJGODT0G5Z4TTKYMMI9X","GSON1131100001")</f>
        <v>#NAME?</v>
      </c>
      <c r="T2568" s="28" t="e">
        <f ca="1">[1]!BexGetData("DP_1","00O2TNJGODT0G5Z4TTKYMMOLH","GSON1131100001")</f>
        <v>#NAME?</v>
      </c>
      <c r="U2568" s="23" t="e">
        <f ca="1">[1]!BexGetData("DP_1","00O2TNJGODT0G5Z4TTKYMMUX1","GSON1131100001")</f>
        <v>#NAME?</v>
      </c>
      <c r="V2568" s="28" t="e">
        <f ca="1">[1]!BexGetData("DP_1","00O2TNJGODT0G5Z4TTKYMN18L","GSON1131100001")</f>
        <v>#NAME?</v>
      </c>
      <c r="W2568" s="23" t="e">
        <f ca="1">[1]!BexGetData("DP_1","00O2TNJGODT0G5Z4TTKYMN7K5","GSON1131100001")</f>
        <v>#NAME?</v>
      </c>
    </row>
    <row r="2569" spans="1:23" x14ac:dyDescent="0.2">
      <c r="A2569" s="36" t="s">
        <v>1244</v>
      </c>
      <c r="B2569" s="27" t="s">
        <v>1245</v>
      </c>
      <c r="C2569" s="23" t="e">
        <f ca="1">[1]!BexGetData("DP_1","003N8EMH8GTFRCSWKMPXRR8GU","GSON1131100002")</f>
        <v>#NAME?</v>
      </c>
      <c r="D2569" s="23" t="e">
        <f ca="1">[1]!BexGetData("DP_1","003N8EMH8GTFRCSWKMPXRRESE","GSON1131100002")</f>
        <v>#NAME?</v>
      </c>
      <c r="E2569" s="23" t="e">
        <f ca="1">[1]!BexGetData("DP_1","003N8EMH8GTFRCSWKMPXRRL3Y","GSON1131100002")</f>
        <v>#NAME?</v>
      </c>
      <c r="F2569" s="23" t="e">
        <f ca="1">[1]!BexGetData("DP_1","003N8EMH8GTFRCSWKMPXRRRFI","GSON1131100002")</f>
        <v>#NAME?</v>
      </c>
      <c r="G2569" s="23" t="e">
        <f ca="1">[1]!BexGetData("DP_1","003N8EMH8GTFRCSWKMPXRRXR2","GSON1131100002")</f>
        <v>#NAME?</v>
      </c>
      <c r="H2569" s="23" t="e">
        <f ca="1">[1]!BexGetData("DP_1","003N8EMH8GTFRCSWKMPXRS42M","GSON1131100002")</f>
        <v>#NAME?</v>
      </c>
      <c r="I2569" s="23" t="e">
        <f ca="1">[1]!BexGetData("DP_1","003N8EMH8GTFRCSWKMPXRSAE6","GSON1131100002")</f>
        <v>#NAME?</v>
      </c>
      <c r="J2569" s="23" t="e">
        <f ca="1">[1]!BexGetData("DP_1","003N8EMH8GTFRCSWKMPXRSGPQ","GSON1131100002")</f>
        <v>#NAME?</v>
      </c>
      <c r="K2569" s="28" t="e">
        <f ca="1">[1]!BexGetData("DP_1","003N8EMH8GTFRIVNUPY288VJH","GSON1131100002")</f>
        <v>#NAME?</v>
      </c>
      <c r="L2569" s="28" t="e">
        <f ca="1">[1]!BexGetData("DP_1","003N8EMH8GTFRIVNUPY2891V1","GSON1131100002")</f>
        <v>#NAME?</v>
      </c>
      <c r="M2569" s="28" t="e">
        <f ca="1">[1]!BexGetData("DP_1","003N8EMH8GTFRIVOG7KG9IQXA","GSON1131100002")</f>
        <v>#NAME?</v>
      </c>
      <c r="N2569" s="28" t="e">
        <f ca="1">[1]!BexGetData("DP_1","003N8EMH8GTFRIVOG7KG9IX8U","GSON1131100002")</f>
        <v>#NAME?</v>
      </c>
      <c r="O2569" s="28" t="e">
        <f ca="1">[1]!BexGetData("DP_1","003N8EMH8GTFRIVOG7KG9J3KE","GSON1131100002")</f>
        <v>#NAME?</v>
      </c>
      <c r="P2569" s="28" t="e">
        <f ca="1">[1]!BexGetData("DP_1","003N8EMH8GTFRIVOG7KG9J9VY","GSON1131100002")</f>
        <v>#NAME?</v>
      </c>
      <c r="Q2569" s="23" t="e">
        <f ca="1">[1]!BexGetData("DP_1","00O2TNJGODT0G5Z4TTKYMM5MT","GSON1131100002")</f>
        <v>#NAME?</v>
      </c>
      <c r="R2569" s="23" t="e">
        <f ca="1">[1]!BexGetData("DP_1","00O2TNJGODT0G5Z4TTKYMMBYD","GSON1131100002")</f>
        <v>#NAME?</v>
      </c>
      <c r="S2569" s="23" t="e">
        <f ca="1">[1]!BexGetData("DP_1","00O2TNJGODT0G5Z4TTKYMMI9X","GSON1131100002")</f>
        <v>#NAME?</v>
      </c>
      <c r="T2569" s="23" t="e">
        <f ca="1">[1]!BexGetData("DP_1","00O2TNJGODT0G5Z4TTKYMMOLH","GSON1131100002")</f>
        <v>#NAME?</v>
      </c>
      <c r="U2569" s="28" t="e">
        <f ca="1">[1]!BexGetData("DP_1","00O2TNJGODT0G5Z4TTKYMMUX1","GSON1131100002")</f>
        <v>#NAME?</v>
      </c>
      <c r="V2569" s="23" t="e">
        <f ca="1">[1]!BexGetData("DP_1","00O2TNJGODT0G5Z4TTKYMN18L","GSON1131100002")</f>
        <v>#NAME?</v>
      </c>
      <c r="W2569" s="28" t="e">
        <f ca="1">[1]!BexGetData("DP_1","00O2TNJGODT0G5Z4TTKYMN7K5","GSON1131100002")</f>
        <v>#NAME?</v>
      </c>
    </row>
    <row r="2570" spans="1:23" x14ac:dyDescent="0.2">
      <c r="A2570" s="35" t="s">
        <v>1246</v>
      </c>
      <c r="B2570" s="27" t="s">
        <v>1247</v>
      </c>
      <c r="C2570" s="23" t="e">
        <f ca="1">[1]!BexGetData("DP_1","003N8EMH8GTFRCSWKMPXRR8GU","GSON1134")</f>
        <v>#NAME?</v>
      </c>
      <c r="D2570" s="23" t="e">
        <f ca="1">[1]!BexGetData("DP_1","003N8EMH8GTFRCSWKMPXRRESE","GSON1134")</f>
        <v>#NAME?</v>
      </c>
      <c r="E2570" s="23" t="e">
        <f ca="1">[1]!BexGetData("DP_1","003N8EMH8GTFRCSWKMPXRRL3Y","GSON1134")</f>
        <v>#NAME?</v>
      </c>
      <c r="F2570" s="23" t="e">
        <f ca="1">[1]!BexGetData("DP_1","003N8EMH8GTFRCSWKMPXRRRFI","GSON1134")</f>
        <v>#NAME?</v>
      </c>
      <c r="G2570" s="23" t="e">
        <f ca="1">[1]!BexGetData("DP_1","003N8EMH8GTFRCSWKMPXRRXR2","GSON1134")</f>
        <v>#NAME?</v>
      </c>
      <c r="H2570" s="23" t="e">
        <f ca="1">[1]!BexGetData("DP_1","003N8EMH8GTFRCSWKMPXRS42M","GSON1134")</f>
        <v>#NAME?</v>
      </c>
      <c r="I2570" s="23" t="e">
        <f ca="1">[1]!BexGetData("DP_1","003N8EMH8GTFRCSWKMPXRSAE6","GSON1134")</f>
        <v>#NAME?</v>
      </c>
      <c r="J2570" s="23" t="e">
        <f ca="1">[1]!BexGetData("DP_1","003N8EMH8GTFRCSWKMPXRSGPQ","GSON1134")</f>
        <v>#NAME?</v>
      </c>
      <c r="K2570" s="23" t="e">
        <f ca="1">[1]!BexGetData("DP_1","003N8EMH8GTFRIVNUPY288VJH","GSON1134")</f>
        <v>#NAME?</v>
      </c>
      <c r="L2570" s="23" t="e">
        <f ca="1">[1]!BexGetData("DP_1","003N8EMH8GTFRIVNUPY2891V1","GSON1134")</f>
        <v>#NAME?</v>
      </c>
      <c r="M2570" s="28" t="e">
        <f ca="1">[1]!BexGetData("DP_1","003N8EMH8GTFRIVOG7KG9IQXA","GSON1134")</f>
        <v>#NAME?</v>
      </c>
      <c r="N2570" s="23" t="e">
        <f ca="1">[1]!BexGetData("DP_1","003N8EMH8GTFRIVOG7KG9IX8U","GSON1134")</f>
        <v>#NAME?</v>
      </c>
      <c r="O2570" s="28" t="e">
        <f ca="1">[1]!BexGetData("DP_1","003N8EMH8GTFRIVOG7KG9J3KE","GSON1134")</f>
        <v>#NAME?</v>
      </c>
      <c r="P2570" s="23" t="e">
        <f ca="1">[1]!BexGetData("DP_1","003N8EMH8GTFRIVOG7KG9J9VY","GSON1134")</f>
        <v>#NAME?</v>
      </c>
      <c r="Q2570" s="23" t="e">
        <f ca="1">[1]!BexGetData("DP_1","00O2TNJGODT0G5Z4TTKYMM5MT","GSON1134")</f>
        <v>#NAME?</v>
      </c>
      <c r="R2570" s="23" t="e">
        <f ca="1">[1]!BexGetData("DP_1","00O2TNJGODT0G5Z4TTKYMMBYD","GSON1134")</f>
        <v>#NAME?</v>
      </c>
      <c r="S2570" s="23" t="e">
        <f ca="1">[1]!BexGetData("DP_1","00O2TNJGODT0G5Z4TTKYMMI9X","GSON1134")</f>
        <v>#NAME?</v>
      </c>
      <c r="T2570" s="28" t="e">
        <f ca="1">[1]!BexGetData("DP_1","00O2TNJGODT0G5Z4TTKYMMOLH","GSON1134")</f>
        <v>#NAME?</v>
      </c>
      <c r="U2570" s="23" t="e">
        <f ca="1">[1]!BexGetData("DP_1","00O2TNJGODT0G5Z4TTKYMMUX1","GSON1134")</f>
        <v>#NAME?</v>
      </c>
      <c r="V2570" s="28" t="e">
        <f ca="1">[1]!BexGetData("DP_1","00O2TNJGODT0G5Z4TTKYMN18L","GSON1134")</f>
        <v>#NAME?</v>
      </c>
      <c r="W2570" s="23" t="e">
        <f ca="1">[1]!BexGetData("DP_1","00O2TNJGODT0G5Z4TTKYMN7K5","GSON1134")</f>
        <v>#NAME?</v>
      </c>
    </row>
    <row r="2571" spans="1:23" x14ac:dyDescent="0.2">
      <c r="A2571" s="36" t="s">
        <v>1248</v>
      </c>
      <c r="B2571" s="27" t="s">
        <v>1249</v>
      </c>
      <c r="C2571" s="23" t="e">
        <f ca="1">[1]!BexGetData("DP_1","003N8EMH8GTFRCSWKMPXRR8GU","GSON1134100001")</f>
        <v>#NAME?</v>
      </c>
      <c r="D2571" s="23" t="e">
        <f ca="1">[1]!BexGetData("DP_1","003N8EMH8GTFRCSWKMPXRRESE","GSON1134100001")</f>
        <v>#NAME?</v>
      </c>
      <c r="E2571" s="23" t="e">
        <f ca="1">[1]!BexGetData("DP_1","003N8EMH8GTFRCSWKMPXRRL3Y","GSON1134100001")</f>
        <v>#NAME?</v>
      </c>
      <c r="F2571" s="23" t="e">
        <f ca="1">[1]!BexGetData("DP_1","003N8EMH8GTFRCSWKMPXRRRFI","GSON1134100001")</f>
        <v>#NAME?</v>
      </c>
      <c r="G2571" s="23" t="e">
        <f ca="1">[1]!BexGetData("DP_1","003N8EMH8GTFRCSWKMPXRRXR2","GSON1134100001")</f>
        <v>#NAME?</v>
      </c>
      <c r="H2571" s="23" t="e">
        <f ca="1">[1]!BexGetData("DP_1","003N8EMH8GTFRCSWKMPXRS42M","GSON1134100001")</f>
        <v>#NAME?</v>
      </c>
      <c r="I2571" s="23" t="e">
        <f ca="1">[1]!BexGetData("DP_1","003N8EMH8GTFRCSWKMPXRSAE6","GSON1134100001")</f>
        <v>#NAME?</v>
      </c>
      <c r="J2571" s="24" t="e">
        <f ca="1">[1]!BexGetData("DP_1","003N8EMH8GTFRCSWKMPXRSGPQ","GSON1134100001")</f>
        <v>#NAME?</v>
      </c>
      <c r="K2571" s="23" t="e">
        <f ca="1">[1]!BexGetData("DP_1","003N8EMH8GTFRIVNUPY288VJH","GSON1134100001")</f>
        <v>#NAME?</v>
      </c>
      <c r="L2571" s="23" t="e">
        <f ca="1">[1]!BexGetData("DP_1","003N8EMH8GTFRIVNUPY2891V1","GSON1134100001")</f>
        <v>#NAME?</v>
      </c>
      <c r="M2571" s="28" t="e">
        <f ca="1">[1]!BexGetData("DP_1","003N8EMH8GTFRIVOG7KG9IQXA","GSON1134100001")</f>
        <v>#NAME?</v>
      </c>
      <c r="N2571" s="23" t="e">
        <f ca="1">[1]!BexGetData("DP_1","003N8EMH8GTFRIVOG7KG9IX8U","GSON1134100001")</f>
        <v>#NAME?</v>
      </c>
      <c r="O2571" s="28" t="e">
        <f ca="1">[1]!BexGetData("DP_1","003N8EMH8GTFRIVOG7KG9J3KE","GSON1134100001")</f>
        <v>#NAME?</v>
      </c>
      <c r="P2571" s="23" t="e">
        <f ca="1">[1]!BexGetData("DP_1","003N8EMH8GTFRIVOG7KG9J9VY","GSON1134100001")</f>
        <v>#NAME?</v>
      </c>
      <c r="Q2571" s="24" t="e">
        <f ca="1">[1]!BexGetData("DP_1","00O2TNJGODT0G5Z4TTKYMM5MT","GSON1134100001")</f>
        <v>#NAME?</v>
      </c>
      <c r="R2571" s="23" t="e">
        <f ca="1">[1]!BexGetData("DP_1","00O2TNJGODT0G5Z4TTKYMMBYD","GSON1134100001")</f>
        <v>#NAME?</v>
      </c>
      <c r="S2571" s="23" t="e">
        <f ca="1">[1]!BexGetData("DP_1","00O2TNJGODT0G5Z4TTKYMMI9X","GSON1134100001")</f>
        <v>#NAME?</v>
      </c>
      <c r="T2571" s="28" t="e">
        <f ca="1">[1]!BexGetData("DP_1","00O2TNJGODT0G5Z4TTKYMMOLH","GSON1134100001")</f>
        <v>#NAME?</v>
      </c>
      <c r="U2571" s="23" t="e">
        <f ca="1">[1]!BexGetData("DP_1","00O2TNJGODT0G5Z4TTKYMMUX1","GSON1134100001")</f>
        <v>#NAME?</v>
      </c>
      <c r="V2571" s="28" t="e">
        <f ca="1">[1]!BexGetData("DP_1","00O2TNJGODT0G5Z4TTKYMN18L","GSON1134100001")</f>
        <v>#NAME?</v>
      </c>
      <c r="W2571" s="23" t="e">
        <f ca="1">[1]!BexGetData("DP_1","00O2TNJGODT0G5Z4TTKYMN7K5","GSON1134100001")</f>
        <v>#NAME?</v>
      </c>
    </row>
    <row r="2572" spans="1:23" x14ac:dyDescent="0.2">
      <c r="A2572" s="36" t="s">
        <v>1250</v>
      </c>
      <c r="B2572" s="27" t="s">
        <v>1251</v>
      </c>
      <c r="C2572" s="28" t="e">
        <f ca="1">[1]!BexGetData("DP_1","003N8EMH8GTFRCSWKMPXRR8GU","GSON1134100002")</f>
        <v>#NAME?</v>
      </c>
      <c r="D2572" s="28" t="e">
        <f ca="1">[1]!BexGetData("DP_1","003N8EMH8GTFRCSWKMPXRRESE","GSON1134100002")</f>
        <v>#NAME?</v>
      </c>
      <c r="E2572" s="28" t="e">
        <f ca="1">[1]!BexGetData("DP_1","003N8EMH8GTFRCSWKMPXRRL3Y","GSON1134100002")</f>
        <v>#NAME?</v>
      </c>
      <c r="F2572" s="28" t="e">
        <f ca="1">[1]!BexGetData("DP_1","003N8EMH8GTFRCSWKMPXRRRFI","GSON1134100002")</f>
        <v>#NAME?</v>
      </c>
      <c r="G2572" s="23" t="e">
        <f ca="1">[1]!BexGetData("DP_1","003N8EMH8GTFRCSWKMPXRRXR2","GSON1134100002")</f>
        <v>#NAME?</v>
      </c>
      <c r="H2572" s="23" t="e">
        <f ca="1">[1]!BexGetData("DP_1","003N8EMH8GTFRCSWKMPXRS42M","GSON1134100002")</f>
        <v>#NAME?</v>
      </c>
      <c r="I2572" s="28" t="e">
        <f ca="1">[1]!BexGetData("DP_1","003N8EMH8GTFRCSWKMPXRSAE6","GSON1134100002")</f>
        <v>#NAME?</v>
      </c>
      <c r="J2572" s="23" t="e">
        <f ca="1">[1]!BexGetData("DP_1","003N8EMH8GTFRCSWKMPXRSGPQ","GSON1134100002")</f>
        <v>#NAME?</v>
      </c>
      <c r="K2572" s="28" t="e">
        <f ca="1">[1]!BexGetData("DP_1","003N8EMH8GTFRIVNUPY288VJH","GSON1134100002")</f>
        <v>#NAME?</v>
      </c>
      <c r="L2572" s="28" t="e">
        <f ca="1">[1]!BexGetData("DP_1","003N8EMH8GTFRIVNUPY2891V1","GSON1134100002")</f>
        <v>#NAME?</v>
      </c>
      <c r="M2572" s="28" t="e">
        <f ca="1">[1]!BexGetData("DP_1","003N8EMH8GTFRIVOG7KG9IQXA","GSON1134100002")</f>
        <v>#NAME?</v>
      </c>
      <c r="N2572" s="28" t="e">
        <f ca="1">[1]!BexGetData("DP_1","003N8EMH8GTFRIVOG7KG9IX8U","GSON1134100002")</f>
        <v>#NAME?</v>
      </c>
      <c r="O2572" s="28" t="e">
        <f ca="1">[1]!BexGetData("DP_1","003N8EMH8GTFRIVOG7KG9J3KE","GSON1134100002")</f>
        <v>#NAME?</v>
      </c>
      <c r="P2572" s="28" t="e">
        <f ca="1">[1]!BexGetData("DP_1","003N8EMH8GTFRIVOG7KG9J9VY","GSON1134100002")</f>
        <v>#NAME?</v>
      </c>
      <c r="Q2572" s="23" t="e">
        <f ca="1">[1]!BexGetData("DP_1","00O2TNJGODT0G5Z4TTKYMM5MT","GSON1134100002")</f>
        <v>#NAME?</v>
      </c>
      <c r="R2572" s="23" t="e">
        <f ca="1">[1]!BexGetData("DP_1","00O2TNJGODT0G5Z4TTKYMMBYD","GSON1134100002")</f>
        <v>#NAME?</v>
      </c>
      <c r="S2572" s="23" t="e">
        <f ca="1">[1]!BexGetData("DP_1","00O2TNJGODT0G5Z4TTKYMMI9X","GSON1134100002")</f>
        <v>#NAME?</v>
      </c>
      <c r="T2572" s="23" t="e">
        <f ca="1">[1]!BexGetData("DP_1","00O2TNJGODT0G5Z4TTKYMMOLH","GSON1134100002")</f>
        <v>#NAME?</v>
      </c>
      <c r="U2572" s="28" t="e">
        <f ca="1">[1]!BexGetData("DP_1","00O2TNJGODT0G5Z4TTKYMMUX1","GSON1134100002")</f>
        <v>#NAME?</v>
      </c>
      <c r="V2572" s="23" t="e">
        <f ca="1">[1]!BexGetData("DP_1","00O2TNJGODT0G5Z4TTKYMN18L","GSON1134100002")</f>
        <v>#NAME?</v>
      </c>
      <c r="W2572" s="28" t="e">
        <f ca="1">[1]!BexGetData("DP_1","00O2TNJGODT0G5Z4TTKYMN7K5","GSON1134100002")</f>
        <v>#NAME?</v>
      </c>
    </row>
    <row r="2573" spans="1:23" x14ac:dyDescent="0.2">
      <c r="A2573" s="35" t="s">
        <v>1252</v>
      </c>
      <c r="B2573" s="27" t="s">
        <v>1253</v>
      </c>
      <c r="C2573" s="23" t="e">
        <f ca="1">[1]!BexGetData("DP_1","003N8EMH8GTFRCSWKMPXRR8GU","GSON1139")</f>
        <v>#NAME?</v>
      </c>
      <c r="D2573" s="28" t="e">
        <f ca="1">[1]!BexGetData("DP_1","003N8EMH8GTFRCSWKMPXRRESE","GSON1139")</f>
        <v>#NAME?</v>
      </c>
      <c r="E2573" s="23" t="e">
        <f ca="1">[1]!BexGetData("DP_1","003N8EMH8GTFRCSWKMPXRRL3Y","GSON1139")</f>
        <v>#NAME?</v>
      </c>
      <c r="F2573" s="23" t="e">
        <f ca="1">[1]!BexGetData("DP_1","003N8EMH8GTFRCSWKMPXRRRFI","GSON1139")</f>
        <v>#NAME?</v>
      </c>
      <c r="G2573" s="28" t="e">
        <f ca="1">[1]!BexGetData("DP_1","003N8EMH8GTFRCSWKMPXRRXR2","GSON1139")</f>
        <v>#NAME?</v>
      </c>
      <c r="H2573" s="23" t="e">
        <f ca="1">[1]!BexGetData("DP_1","003N8EMH8GTFRCSWKMPXRS42M","GSON1139")</f>
        <v>#NAME?</v>
      </c>
      <c r="I2573" s="23" t="e">
        <f ca="1">[1]!BexGetData("DP_1","003N8EMH8GTFRCSWKMPXRSAE6","GSON1139")</f>
        <v>#NAME?</v>
      </c>
      <c r="J2573" s="23" t="e">
        <f ca="1">[1]!BexGetData("DP_1","003N8EMH8GTFRCSWKMPXRSGPQ","GSON1139")</f>
        <v>#NAME?</v>
      </c>
      <c r="K2573" s="23" t="e">
        <f ca="1">[1]!BexGetData("DP_1","003N8EMH8GTFRIVNUPY288VJH","GSON1139")</f>
        <v>#NAME?</v>
      </c>
      <c r="L2573" s="23" t="e">
        <f ca="1">[1]!BexGetData("DP_1","003N8EMH8GTFRIVNUPY2891V1","GSON1139")</f>
        <v>#NAME?</v>
      </c>
      <c r="M2573" s="28" t="e">
        <f ca="1">[1]!BexGetData("DP_1","003N8EMH8GTFRIVOG7KG9IQXA","GSON1139")</f>
        <v>#NAME?</v>
      </c>
      <c r="N2573" s="23" t="e">
        <f ca="1">[1]!BexGetData("DP_1","003N8EMH8GTFRIVOG7KG9IX8U","GSON1139")</f>
        <v>#NAME?</v>
      </c>
      <c r="O2573" s="28" t="e">
        <f ca="1">[1]!BexGetData("DP_1","003N8EMH8GTFRIVOG7KG9J3KE","GSON1139")</f>
        <v>#NAME?</v>
      </c>
      <c r="P2573" s="23" t="e">
        <f ca="1">[1]!BexGetData("DP_1","003N8EMH8GTFRIVOG7KG9J9VY","GSON1139")</f>
        <v>#NAME?</v>
      </c>
      <c r="Q2573" s="23" t="e">
        <f ca="1">[1]!BexGetData("DP_1","00O2TNJGODT0G5Z4TTKYMM5MT","GSON1139")</f>
        <v>#NAME?</v>
      </c>
      <c r="R2573" s="23" t="e">
        <f ca="1">[1]!BexGetData("DP_1","00O2TNJGODT0G5Z4TTKYMMBYD","GSON1139")</f>
        <v>#NAME?</v>
      </c>
      <c r="S2573" s="23" t="e">
        <f ca="1">[1]!BexGetData("DP_1","00O2TNJGODT0G5Z4TTKYMMI9X","GSON1139")</f>
        <v>#NAME?</v>
      </c>
      <c r="T2573" s="23" t="e">
        <f ca="1">[1]!BexGetData("DP_1","00O2TNJGODT0G5Z4TTKYMMOLH","GSON1139")</f>
        <v>#NAME?</v>
      </c>
      <c r="U2573" s="28" t="e">
        <f ca="1">[1]!BexGetData("DP_1","00O2TNJGODT0G5Z4TTKYMMUX1","GSON1139")</f>
        <v>#NAME?</v>
      </c>
      <c r="V2573" s="23" t="e">
        <f ca="1">[1]!BexGetData("DP_1","00O2TNJGODT0G5Z4TTKYMN18L","GSON1139")</f>
        <v>#NAME?</v>
      </c>
      <c r="W2573" s="28" t="e">
        <f ca="1">[1]!BexGetData("DP_1","00O2TNJGODT0G5Z4TTKYMN7K5","GSON1139")</f>
        <v>#NAME?</v>
      </c>
    </row>
    <row r="2574" spans="1:23" x14ac:dyDescent="0.2">
      <c r="A2574" s="36" t="s">
        <v>1624</v>
      </c>
      <c r="B2574" s="27" t="s">
        <v>1625</v>
      </c>
      <c r="C2574" s="23" t="e">
        <f ca="1">[1]!BexGetData("DP_1","003N8EMH8GTFRCSWKMPXRR8GU","GSON1139100001")</f>
        <v>#NAME?</v>
      </c>
      <c r="D2574" s="28" t="e">
        <f ca="1">[1]!BexGetData("DP_1","003N8EMH8GTFRCSWKMPXRRESE","GSON1139100001")</f>
        <v>#NAME?</v>
      </c>
      <c r="E2574" s="23" t="e">
        <f ca="1">[1]!BexGetData("DP_1","003N8EMH8GTFRCSWKMPXRRL3Y","GSON1139100001")</f>
        <v>#NAME?</v>
      </c>
      <c r="F2574" s="24" t="e">
        <f ca="1">[1]!BexGetData("DP_1","003N8EMH8GTFRCSWKMPXRRRFI","GSON1139100001")</f>
        <v>#NAME?</v>
      </c>
      <c r="G2574" s="24" t="e">
        <f ca="1">[1]!BexGetData("DP_1","003N8EMH8GTFRCSWKMPXRRXR2","GSON1139100001")</f>
        <v>#NAME?</v>
      </c>
      <c r="H2574" s="24" t="e">
        <f ca="1">[1]!BexGetData("DP_1","003N8EMH8GTFRCSWKMPXRS42M","GSON1139100001")</f>
        <v>#NAME?</v>
      </c>
      <c r="I2574" s="24" t="e">
        <f ca="1">[1]!BexGetData("DP_1","003N8EMH8GTFRCSWKMPXRSAE6","GSON1139100001")</f>
        <v>#NAME?</v>
      </c>
      <c r="J2574" s="24" t="e">
        <f ca="1">[1]!BexGetData("DP_1","003N8EMH8GTFRCSWKMPXRSGPQ","GSON1139100001")</f>
        <v>#NAME?</v>
      </c>
      <c r="K2574" s="23" t="e">
        <f ca="1">[1]!BexGetData("DP_1","003N8EMH8GTFRIVNUPY288VJH","GSON1139100001")</f>
        <v>#NAME?</v>
      </c>
      <c r="L2574" s="23" t="e">
        <f ca="1">[1]!BexGetData("DP_1","003N8EMH8GTFRIVNUPY2891V1","GSON1139100001")</f>
        <v>#NAME?</v>
      </c>
      <c r="M2574" s="28" t="e">
        <f ca="1">[1]!BexGetData("DP_1","003N8EMH8GTFRIVOG7KG9IQXA","GSON1139100001")</f>
        <v>#NAME?</v>
      </c>
      <c r="N2574" s="23" t="e">
        <f ca="1">[1]!BexGetData("DP_1","003N8EMH8GTFRIVOG7KG9IX8U","GSON1139100001")</f>
        <v>#NAME?</v>
      </c>
      <c r="O2574" s="28" t="e">
        <f ca="1">[1]!BexGetData("DP_1","003N8EMH8GTFRIVOG7KG9J3KE","GSON1139100001")</f>
        <v>#NAME?</v>
      </c>
      <c r="P2574" s="23" t="e">
        <f ca="1">[1]!BexGetData("DP_1","003N8EMH8GTFRIVOG7KG9J9VY","GSON1139100001")</f>
        <v>#NAME?</v>
      </c>
      <c r="Q2574" s="24" t="e">
        <f ca="1">[1]!BexGetData("DP_1","00O2TNJGODT0G5Z4TTKYMM5MT","GSON1139100001")</f>
        <v>#NAME?</v>
      </c>
      <c r="R2574" s="24" t="e">
        <f ca="1">[1]!BexGetData("DP_1","00O2TNJGODT0G5Z4TTKYMMBYD","GSON1139100001")</f>
        <v>#NAME?</v>
      </c>
      <c r="S2574" s="24" t="e">
        <f ca="1">[1]!BexGetData("DP_1","00O2TNJGODT0G5Z4TTKYMMI9X","GSON1139100001")</f>
        <v>#NAME?</v>
      </c>
      <c r="T2574" s="24" t="e">
        <f ca="1">[1]!BexGetData("DP_1","00O2TNJGODT0G5Z4TTKYMMOLH","GSON1139100001")</f>
        <v>#NAME?</v>
      </c>
      <c r="U2574" s="24" t="e">
        <f ca="1">[1]!BexGetData("DP_1","00O2TNJGODT0G5Z4TTKYMMUX1","GSON1139100001")</f>
        <v>#NAME?</v>
      </c>
      <c r="V2574" s="24" t="e">
        <f ca="1">[1]!BexGetData("DP_1","00O2TNJGODT0G5Z4TTKYMN18L","GSON1139100001")</f>
        <v>#NAME?</v>
      </c>
      <c r="W2574" s="24" t="e">
        <f ca="1">[1]!BexGetData("DP_1","00O2TNJGODT0G5Z4TTKYMN7K5","GSON1139100001")</f>
        <v>#NAME?</v>
      </c>
    </row>
    <row r="2575" spans="1:23" x14ac:dyDescent="0.2">
      <c r="A2575" s="36" t="s">
        <v>1254</v>
      </c>
      <c r="B2575" s="27" t="s">
        <v>5978</v>
      </c>
      <c r="C2575" s="28" t="e">
        <f ca="1">[1]!BexGetData("DP_1","003N8EMH8GTFRCSWKMPXRR8GU","GSON1139100002")</f>
        <v>#NAME?</v>
      </c>
      <c r="D2575" s="28" t="e">
        <f ca="1">[1]!BexGetData("DP_1","003N8EMH8GTFRCSWKMPXRRESE","GSON1139100002")</f>
        <v>#NAME?</v>
      </c>
      <c r="E2575" s="23" t="e">
        <f ca="1">[1]!BexGetData("DP_1","003N8EMH8GTFRCSWKMPXRRL3Y","GSON1139100002")</f>
        <v>#NAME?</v>
      </c>
      <c r="F2575" s="23" t="e">
        <f ca="1">[1]!BexGetData("DP_1","003N8EMH8GTFRCSWKMPXRRRFI","GSON1139100002")</f>
        <v>#NAME?</v>
      </c>
      <c r="G2575" s="28" t="e">
        <f ca="1">[1]!BexGetData("DP_1","003N8EMH8GTFRCSWKMPXRRXR2","GSON1139100002")</f>
        <v>#NAME?</v>
      </c>
      <c r="H2575" s="23" t="e">
        <f ca="1">[1]!BexGetData("DP_1","003N8EMH8GTFRCSWKMPXRS42M","GSON1139100002")</f>
        <v>#NAME?</v>
      </c>
      <c r="I2575" s="23" t="e">
        <f ca="1">[1]!BexGetData("DP_1","003N8EMH8GTFRCSWKMPXRSAE6","GSON1139100002")</f>
        <v>#NAME?</v>
      </c>
      <c r="J2575" s="23" t="e">
        <f ca="1">[1]!BexGetData("DP_1","003N8EMH8GTFRCSWKMPXRSGPQ","GSON1139100002")</f>
        <v>#NAME?</v>
      </c>
      <c r="K2575" s="28" t="e">
        <f ca="1">[1]!BexGetData("DP_1","003N8EMH8GTFRIVNUPY288VJH","GSON1139100002")</f>
        <v>#NAME?</v>
      </c>
      <c r="L2575" s="28" t="e">
        <f ca="1">[1]!BexGetData("DP_1","003N8EMH8GTFRIVNUPY2891V1","GSON1139100002")</f>
        <v>#NAME?</v>
      </c>
      <c r="M2575" s="28" t="e">
        <f ca="1">[1]!BexGetData("DP_1","003N8EMH8GTFRIVOG7KG9IQXA","GSON1139100002")</f>
        <v>#NAME?</v>
      </c>
      <c r="N2575" s="28" t="e">
        <f ca="1">[1]!BexGetData("DP_1","003N8EMH8GTFRIVOG7KG9IX8U","GSON1139100002")</f>
        <v>#NAME?</v>
      </c>
      <c r="O2575" s="28" t="e">
        <f ca="1">[1]!BexGetData("DP_1","003N8EMH8GTFRIVOG7KG9J3KE","GSON1139100002")</f>
        <v>#NAME?</v>
      </c>
      <c r="P2575" s="28" t="e">
        <f ca="1">[1]!BexGetData("DP_1","003N8EMH8GTFRIVOG7KG9J9VY","GSON1139100002")</f>
        <v>#NAME?</v>
      </c>
      <c r="Q2575" s="23" t="e">
        <f ca="1">[1]!BexGetData("DP_1","00O2TNJGODT0G5Z4TTKYMM5MT","GSON1139100002")</f>
        <v>#NAME?</v>
      </c>
      <c r="R2575" s="23" t="e">
        <f ca="1">[1]!BexGetData("DP_1","00O2TNJGODT0G5Z4TTKYMMBYD","GSON1139100002")</f>
        <v>#NAME?</v>
      </c>
      <c r="S2575" s="23" t="e">
        <f ca="1">[1]!BexGetData("DP_1","00O2TNJGODT0G5Z4TTKYMMI9X","GSON1139100002")</f>
        <v>#NAME?</v>
      </c>
      <c r="T2575" s="23" t="e">
        <f ca="1">[1]!BexGetData("DP_1","00O2TNJGODT0G5Z4TTKYMMOLH","GSON1139100002")</f>
        <v>#NAME?</v>
      </c>
      <c r="U2575" s="28" t="e">
        <f ca="1">[1]!BexGetData("DP_1","00O2TNJGODT0G5Z4TTKYMMUX1","GSON1139100002")</f>
        <v>#NAME?</v>
      </c>
      <c r="V2575" s="23" t="e">
        <f ca="1">[1]!BexGetData("DP_1","00O2TNJGODT0G5Z4TTKYMN18L","GSON1139100002")</f>
        <v>#NAME?</v>
      </c>
      <c r="W2575" s="28" t="e">
        <f ca="1">[1]!BexGetData("DP_1","00O2TNJGODT0G5Z4TTKYMN7K5","GSON1139100002")</f>
        <v>#NAME?</v>
      </c>
    </row>
    <row r="2576" spans="1:23" x14ac:dyDescent="0.2">
      <c r="A2576" s="34" t="s">
        <v>5</v>
      </c>
      <c r="B2576" s="27" t="s">
        <v>329</v>
      </c>
      <c r="C2576" s="23" t="e">
        <f ca="1">[1]!BexGetData("DP_1","003N8EMH8GTFRCSWKMPXRR8GU","GSON115")</f>
        <v>#NAME?</v>
      </c>
      <c r="D2576" s="23" t="e">
        <f ca="1">[1]!BexGetData("DP_1","003N8EMH8GTFRCSWKMPXRRESE","GSON115")</f>
        <v>#NAME?</v>
      </c>
      <c r="E2576" s="28" t="e">
        <f ca="1">[1]!BexGetData("DP_1","003N8EMH8GTFRCSWKMPXRRL3Y","GSON115")</f>
        <v>#NAME?</v>
      </c>
      <c r="F2576" s="28" t="e">
        <f ca="1">[1]!BexGetData("DP_1","003N8EMH8GTFRCSWKMPXRRRFI","GSON115")</f>
        <v>#NAME?</v>
      </c>
      <c r="G2576" s="23" t="e">
        <f ca="1">[1]!BexGetData("DP_1","003N8EMH8GTFRCSWKMPXRRXR2","GSON115")</f>
        <v>#NAME?</v>
      </c>
      <c r="H2576" s="23" t="e">
        <f ca="1">[1]!BexGetData("DP_1","003N8EMH8GTFRCSWKMPXRS42M","GSON115")</f>
        <v>#NAME?</v>
      </c>
      <c r="I2576" s="28" t="e">
        <f ca="1">[1]!BexGetData("DP_1","003N8EMH8GTFRCSWKMPXRSAE6","GSON115")</f>
        <v>#NAME?</v>
      </c>
      <c r="J2576" s="24" t="e">
        <f ca="1">[1]!BexGetData("DP_1","003N8EMH8GTFRCSWKMPXRSGPQ","GSON115")</f>
        <v>#NAME?</v>
      </c>
      <c r="K2576" s="28" t="e">
        <f ca="1">[1]!BexGetData("DP_1","003N8EMH8GTFRIVNUPY288VJH","GSON115")</f>
        <v>#NAME?</v>
      </c>
      <c r="L2576" s="28" t="e">
        <f ca="1">[1]!BexGetData("DP_1","003N8EMH8GTFRIVNUPY2891V1","GSON115")</f>
        <v>#NAME?</v>
      </c>
      <c r="M2576" s="28" t="e">
        <f ca="1">[1]!BexGetData("DP_1","003N8EMH8GTFRIVOG7KG9IQXA","GSON115")</f>
        <v>#NAME?</v>
      </c>
      <c r="N2576" s="28" t="e">
        <f ca="1">[1]!BexGetData("DP_1","003N8EMH8GTFRIVOG7KG9IX8U","GSON115")</f>
        <v>#NAME?</v>
      </c>
      <c r="O2576" s="28" t="e">
        <f ca="1">[1]!BexGetData("DP_1","003N8EMH8GTFRIVOG7KG9J3KE","GSON115")</f>
        <v>#NAME?</v>
      </c>
      <c r="P2576" s="28" t="e">
        <f ca="1">[1]!BexGetData("DP_1","003N8EMH8GTFRIVOG7KG9J9VY","GSON115")</f>
        <v>#NAME?</v>
      </c>
      <c r="Q2576" s="24" t="e">
        <f ca="1">[1]!BexGetData("DP_1","00O2TNJGODT0G5Z4TTKYMM5MT","GSON115")</f>
        <v>#NAME?</v>
      </c>
      <c r="R2576" s="28" t="e">
        <f ca="1">[1]!BexGetData("DP_1","00O2TNJGODT0G5Z4TTKYMMBYD","GSON115")</f>
        <v>#NAME?</v>
      </c>
      <c r="S2576" s="28" t="e">
        <f ca="1">[1]!BexGetData("DP_1","00O2TNJGODT0G5Z4TTKYMMI9X","GSON115")</f>
        <v>#NAME?</v>
      </c>
      <c r="T2576" s="28" t="e">
        <f ca="1">[1]!BexGetData("DP_1","00O2TNJGODT0G5Z4TTKYMMOLH","GSON115")</f>
        <v>#NAME?</v>
      </c>
      <c r="U2576" s="28" t="e">
        <f ca="1">[1]!BexGetData("DP_1","00O2TNJGODT0G5Z4TTKYMMUX1","GSON115")</f>
        <v>#NAME?</v>
      </c>
      <c r="V2576" s="28" t="e">
        <f ca="1">[1]!BexGetData("DP_1","00O2TNJGODT0G5Z4TTKYMN18L","GSON115")</f>
        <v>#NAME?</v>
      </c>
      <c r="W2576" s="28" t="e">
        <f ca="1">[1]!BexGetData("DP_1","00O2TNJGODT0G5Z4TTKYMN7K5","GSON115")</f>
        <v>#NAME?</v>
      </c>
    </row>
    <row r="2577" spans="1:23" x14ac:dyDescent="0.2">
      <c r="A2577" s="35" t="s">
        <v>330</v>
      </c>
      <c r="B2577" s="27" t="s">
        <v>331</v>
      </c>
      <c r="C2577" s="23" t="e">
        <f ca="1">[1]!BexGetData("DP_1","003N8EMH8GTFRCSWKMPXRR8GU","GSON1151")</f>
        <v>#NAME?</v>
      </c>
      <c r="D2577" s="23" t="e">
        <f ca="1">[1]!BexGetData("DP_1","003N8EMH8GTFRCSWKMPXRRESE","GSON1151")</f>
        <v>#NAME?</v>
      </c>
      <c r="E2577" s="28" t="e">
        <f ca="1">[1]!BexGetData("DP_1","003N8EMH8GTFRCSWKMPXRRL3Y","GSON1151")</f>
        <v>#NAME?</v>
      </c>
      <c r="F2577" s="28" t="e">
        <f ca="1">[1]!BexGetData("DP_1","003N8EMH8GTFRCSWKMPXRRRFI","GSON1151")</f>
        <v>#NAME?</v>
      </c>
      <c r="G2577" s="23" t="e">
        <f ca="1">[1]!BexGetData("DP_1","003N8EMH8GTFRCSWKMPXRRXR2","GSON1151")</f>
        <v>#NAME?</v>
      </c>
      <c r="H2577" s="23" t="e">
        <f ca="1">[1]!BexGetData("DP_1","003N8EMH8GTFRCSWKMPXRS42M","GSON1151")</f>
        <v>#NAME?</v>
      </c>
      <c r="I2577" s="28" t="e">
        <f ca="1">[1]!BexGetData("DP_1","003N8EMH8GTFRCSWKMPXRSAE6","GSON1151")</f>
        <v>#NAME?</v>
      </c>
      <c r="J2577" s="24" t="e">
        <f ca="1">[1]!BexGetData("DP_1","003N8EMH8GTFRCSWKMPXRSGPQ","GSON1151")</f>
        <v>#NAME?</v>
      </c>
      <c r="K2577" s="28" t="e">
        <f ca="1">[1]!BexGetData("DP_1","003N8EMH8GTFRIVNUPY288VJH","GSON1151")</f>
        <v>#NAME?</v>
      </c>
      <c r="L2577" s="28" t="e">
        <f ca="1">[1]!BexGetData("DP_1","003N8EMH8GTFRIVNUPY2891V1","GSON1151")</f>
        <v>#NAME?</v>
      </c>
      <c r="M2577" s="28" t="e">
        <f ca="1">[1]!BexGetData("DP_1","003N8EMH8GTFRIVOG7KG9IQXA","GSON1151")</f>
        <v>#NAME?</v>
      </c>
      <c r="N2577" s="28" t="e">
        <f ca="1">[1]!BexGetData("DP_1","003N8EMH8GTFRIVOG7KG9IX8U","GSON1151")</f>
        <v>#NAME?</v>
      </c>
      <c r="O2577" s="28" t="e">
        <f ca="1">[1]!BexGetData("DP_1","003N8EMH8GTFRIVOG7KG9J3KE","GSON1151")</f>
        <v>#NAME?</v>
      </c>
      <c r="P2577" s="28" t="e">
        <f ca="1">[1]!BexGetData("DP_1","003N8EMH8GTFRIVOG7KG9J9VY","GSON1151")</f>
        <v>#NAME?</v>
      </c>
      <c r="Q2577" s="24" t="e">
        <f ca="1">[1]!BexGetData("DP_1","00O2TNJGODT0G5Z4TTKYMM5MT","GSON1151")</f>
        <v>#NAME?</v>
      </c>
      <c r="R2577" s="28" t="e">
        <f ca="1">[1]!BexGetData("DP_1","00O2TNJGODT0G5Z4TTKYMMBYD","GSON1151")</f>
        <v>#NAME?</v>
      </c>
      <c r="S2577" s="28" t="e">
        <f ca="1">[1]!BexGetData("DP_1","00O2TNJGODT0G5Z4TTKYMMI9X","GSON1151")</f>
        <v>#NAME?</v>
      </c>
      <c r="T2577" s="28" t="e">
        <f ca="1">[1]!BexGetData("DP_1","00O2TNJGODT0G5Z4TTKYMMOLH","GSON1151")</f>
        <v>#NAME?</v>
      </c>
      <c r="U2577" s="28" t="e">
        <f ca="1">[1]!BexGetData("DP_1","00O2TNJGODT0G5Z4TTKYMMUX1","GSON1151")</f>
        <v>#NAME?</v>
      </c>
      <c r="V2577" s="28" t="e">
        <f ca="1">[1]!BexGetData("DP_1","00O2TNJGODT0G5Z4TTKYMN18L","GSON1151")</f>
        <v>#NAME?</v>
      </c>
      <c r="W2577" s="28" t="e">
        <f ca="1">[1]!BexGetData("DP_1","00O2TNJGODT0G5Z4TTKYMN7K5","GSON1151")</f>
        <v>#NAME?</v>
      </c>
    </row>
    <row r="2578" spans="1:23" x14ac:dyDescent="0.2">
      <c r="A2578" s="36" t="s">
        <v>1255</v>
      </c>
      <c r="B2578" s="27" t="s">
        <v>332</v>
      </c>
      <c r="C2578" s="23" t="e">
        <f ca="1">[1]!BexGetData("DP_1","003N8EMH8GTFRCSWKMPXRR8GU","GSON1151100021")</f>
        <v>#NAME?</v>
      </c>
      <c r="D2578" s="23" t="e">
        <f ca="1">[1]!BexGetData("DP_1","003N8EMH8GTFRCSWKMPXRRESE","GSON1151100021")</f>
        <v>#NAME?</v>
      </c>
      <c r="E2578" s="28" t="e">
        <f ca="1">[1]!BexGetData("DP_1","003N8EMH8GTFRCSWKMPXRRL3Y","GSON1151100021")</f>
        <v>#NAME?</v>
      </c>
      <c r="F2578" s="28" t="e">
        <f ca="1">[1]!BexGetData("DP_1","003N8EMH8GTFRCSWKMPXRRRFI","GSON1151100021")</f>
        <v>#NAME?</v>
      </c>
      <c r="G2578" s="23" t="e">
        <f ca="1">[1]!BexGetData("DP_1","003N8EMH8GTFRCSWKMPXRRXR2","GSON1151100021")</f>
        <v>#NAME?</v>
      </c>
      <c r="H2578" s="23" t="e">
        <f ca="1">[1]!BexGetData("DP_1","003N8EMH8GTFRCSWKMPXRS42M","GSON1151100021")</f>
        <v>#NAME?</v>
      </c>
      <c r="I2578" s="28" t="e">
        <f ca="1">[1]!BexGetData("DP_1","003N8EMH8GTFRCSWKMPXRSAE6","GSON1151100021")</f>
        <v>#NAME?</v>
      </c>
      <c r="J2578" s="24" t="e">
        <f ca="1">[1]!BexGetData("DP_1","003N8EMH8GTFRCSWKMPXRSGPQ","GSON1151100021")</f>
        <v>#NAME?</v>
      </c>
      <c r="K2578" s="28" t="e">
        <f ca="1">[1]!BexGetData("DP_1","003N8EMH8GTFRIVNUPY288VJH","GSON1151100021")</f>
        <v>#NAME?</v>
      </c>
      <c r="L2578" s="28" t="e">
        <f ca="1">[1]!BexGetData("DP_1","003N8EMH8GTFRIVNUPY2891V1","GSON1151100021")</f>
        <v>#NAME?</v>
      </c>
      <c r="M2578" s="28" t="e">
        <f ca="1">[1]!BexGetData("DP_1","003N8EMH8GTFRIVOG7KG9IQXA","GSON1151100021")</f>
        <v>#NAME?</v>
      </c>
      <c r="N2578" s="28" t="e">
        <f ca="1">[1]!BexGetData("DP_1","003N8EMH8GTFRIVOG7KG9IX8U","GSON1151100021")</f>
        <v>#NAME?</v>
      </c>
      <c r="O2578" s="28" t="e">
        <f ca="1">[1]!BexGetData("DP_1","003N8EMH8GTFRIVOG7KG9J3KE","GSON1151100021")</f>
        <v>#NAME?</v>
      </c>
      <c r="P2578" s="28" t="e">
        <f ca="1">[1]!BexGetData("DP_1","003N8EMH8GTFRIVOG7KG9J9VY","GSON1151100021")</f>
        <v>#NAME?</v>
      </c>
      <c r="Q2578" s="24" t="e">
        <f ca="1">[1]!BexGetData("DP_1","00O2TNJGODT0G5Z4TTKYMM5MT","GSON1151100021")</f>
        <v>#NAME?</v>
      </c>
      <c r="R2578" s="28" t="e">
        <f ca="1">[1]!BexGetData("DP_1","00O2TNJGODT0G5Z4TTKYMMBYD","GSON1151100021")</f>
        <v>#NAME?</v>
      </c>
      <c r="S2578" s="28" t="e">
        <f ca="1">[1]!BexGetData("DP_1","00O2TNJGODT0G5Z4TTKYMMI9X","GSON1151100021")</f>
        <v>#NAME?</v>
      </c>
      <c r="T2578" s="28" t="e">
        <f ca="1">[1]!BexGetData("DP_1","00O2TNJGODT0G5Z4TTKYMMOLH","GSON1151100021")</f>
        <v>#NAME?</v>
      </c>
      <c r="U2578" s="28" t="e">
        <f ca="1">[1]!BexGetData("DP_1","00O2TNJGODT0G5Z4TTKYMMUX1","GSON1151100021")</f>
        <v>#NAME?</v>
      </c>
      <c r="V2578" s="28" t="e">
        <f ca="1">[1]!BexGetData("DP_1","00O2TNJGODT0G5Z4TTKYMN18L","GSON1151100021")</f>
        <v>#NAME?</v>
      </c>
      <c r="W2578" s="28" t="e">
        <f ca="1">[1]!BexGetData("DP_1","00O2TNJGODT0G5Z4TTKYMN7K5","GSON1151100021")</f>
        <v>#NAME?</v>
      </c>
    </row>
    <row r="2579" spans="1:23" x14ac:dyDescent="0.2">
      <c r="A2579" s="34" t="s">
        <v>5979</v>
      </c>
      <c r="B2579" s="27" t="s">
        <v>5980</v>
      </c>
      <c r="C2579" s="23" t="e">
        <f ca="1">[1]!BexGetData("DP_1","003N8EMH8GTFRCSWKMPXRR8GU","GSON119")</f>
        <v>#NAME?</v>
      </c>
      <c r="D2579" s="28" t="e">
        <f ca="1">[1]!BexGetData("DP_1","003N8EMH8GTFRCSWKMPXRRESE","GSON119")</f>
        <v>#NAME?</v>
      </c>
      <c r="E2579" s="23" t="e">
        <f ca="1">[1]!BexGetData("DP_1","003N8EMH8GTFRCSWKMPXRRL3Y","GSON119")</f>
        <v>#NAME?</v>
      </c>
      <c r="F2579" s="23" t="e">
        <f ca="1">[1]!BexGetData("DP_1","003N8EMH8GTFRCSWKMPXRRRFI","GSON119")</f>
        <v>#NAME?</v>
      </c>
      <c r="G2579" s="23" t="e">
        <f ca="1">[1]!BexGetData("DP_1","003N8EMH8GTFRCSWKMPXRRXR2","GSON119")</f>
        <v>#NAME?</v>
      </c>
      <c r="H2579" s="23" t="e">
        <f ca="1">[1]!BexGetData("DP_1","003N8EMH8GTFRCSWKMPXRS42M","GSON119")</f>
        <v>#NAME?</v>
      </c>
      <c r="I2579" s="23" t="e">
        <f ca="1">[1]!BexGetData("DP_1","003N8EMH8GTFRCSWKMPXRSAE6","GSON119")</f>
        <v>#NAME?</v>
      </c>
      <c r="J2579" s="23" t="e">
        <f ca="1">[1]!BexGetData("DP_1","003N8EMH8GTFRCSWKMPXRSGPQ","GSON119")</f>
        <v>#NAME?</v>
      </c>
      <c r="K2579" s="23" t="e">
        <f ca="1">[1]!BexGetData("DP_1","003N8EMH8GTFRIVNUPY288VJH","GSON119")</f>
        <v>#NAME?</v>
      </c>
      <c r="L2579" s="23" t="e">
        <f ca="1">[1]!BexGetData("DP_1","003N8EMH8GTFRIVNUPY2891V1","GSON119")</f>
        <v>#NAME?</v>
      </c>
      <c r="M2579" s="28" t="e">
        <f ca="1">[1]!BexGetData("DP_1","003N8EMH8GTFRIVOG7KG9IQXA","GSON119")</f>
        <v>#NAME?</v>
      </c>
      <c r="N2579" s="23" t="e">
        <f ca="1">[1]!BexGetData("DP_1","003N8EMH8GTFRIVOG7KG9IX8U","GSON119")</f>
        <v>#NAME?</v>
      </c>
      <c r="O2579" s="28" t="e">
        <f ca="1">[1]!BexGetData("DP_1","003N8EMH8GTFRIVOG7KG9J3KE","GSON119")</f>
        <v>#NAME?</v>
      </c>
      <c r="P2579" s="23" t="e">
        <f ca="1">[1]!BexGetData("DP_1","003N8EMH8GTFRIVOG7KG9J9VY","GSON119")</f>
        <v>#NAME?</v>
      </c>
      <c r="Q2579" s="23" t="e">
        <f ca="1">[1]!BexGetData("DP_1","00O2TNJGODT0G5Z4TTKYMM5MT","GSON119")</f>
        <v>#NAME?</v>
      </c>
      <c r="R2579" s="23" t="e">
        <f ca="1">[1]!BexGetData("DP_1","00O2TNJGODT0G5Z4TTKYMMBYD","GSON119")</f>
        <v>#NAME?</v>
      </c>
      <c r="S2579" s="23" t="e">
        <f ca="1">[1]!BexGetData("DP_1","00O2TNJGODT0G5Z4TTKYMMI9X","GSON119")</f>
        <v>#NAME?</v>
      </c>
      <c r="T2579" s="28" t="e">
        <f ca="1">[1]!BexGetData("DP_1","00O2TNJGODT0G5Z4TTKYMMOLH","GSON119")</f>
        <v>#NAME?</v>
      </c>
      <c r="U2579" s="23" t="e">
        <f ca="1">[1]!BexGetData("DP_1","00O2TNJGODT0G5Z4TTKYMMUX1","GSON119")</f>
        <v>#NAME?</v>
      </c>
      <c r="V2579" s="28" t="e">
        <f ca="1">[1]!BexGetData("DP_1","00O2TNJGODT0G5Z4TTKYMN18L","GSON119")</f>
        <v>#NAME?</v>
      </c>
      <c r="W2579" s="23" t="e">
        <f ca="1">[1]!BexGetData("DP_1","00O2TNJGODT0G5Z4TTKYMN7K5","GSON119")</f>
        <v>#NAME?</v>
      </c>
    </row>
    <row r="2580" spans="1:23" x14ac:dyDescent="0.2">
      <c r="A2580" s="35" t="s">
        <v>5981</v>
      </c>
      <c r="B2580" s="27" t="s">
        <v>5982</v>
      </c>
      <c r="C2580" s="23" t="e">
        <f ca="1">[1]!BexGetData("DP_1","003N8EMH8GTFRCSWKMPXRR8GU","GSON1193")</f>
        <v>#NAME?</v>
      </c>
      <c r="D2580" s="28" t="e">
        <f ca="1">[1]!BexGetData("DP_1","003N8EMH8GTFRCSWKMPXRRESE","GSON1193")</f>
        <v>#NAME?</v>
      </c>
      <c r="E2580" s="23" t="e">
        <f ca="1">[1]!BexGetData("DP_1","003N8EMH8GTFRCSWKMPXRRL3Y","GSON1193")</f>
        <v>#NAME?</v>
      </c>
      <c r="F2580" s="23" t="e">
        <f ca="1">[1]!BexGetData("DP_1","003N8EMH8GTFRCSWKMPXRRRFI","GSON1193")</f>
        <v>#NAME?</v>
      </c>
      <c r="G2580" s="23" t="e">
        <f ca="1">[1]!BexGetData("DP_1","003N8EMH8GTFRCSWKMPXRRXR2","GSON1193")</f>
        <v>#NAME?</v>
      </c>
      <c r="H2580" s="23" t="e">
        <f ca="1">[1]!BexGetData("DP_1","003N8EMH8GTFRCSWKMPXRS42M","GSON1193")</f>
        <v>#NAME?</v>
      </c>
      <c r="I2580" s="23" t="e">
        <f ca="1">[1]!BexGetData("DP_1","003N8EMH8GTFRCSWKMPXRSAE6","GSON1193")</f>
        <v>#NAME?</v>
      </c>
      <c r="J2580" s="23" t="e">
        <f ca="1">[1]!BexGetData("DP_1","003N8EMH8GTFRCSWKMPXRSGPQ","GSON1193")</f>
        <v>#NAME?</v>
      </c>
      <c r="K2580" s="23" t="e">
        <f ca="1">[1]!BexGetData("DP_1","003N8EMH8GTFRIVNUPY288VJH","GSON1193")</f>
        <v>#NAME?</v>
      </c>
      <c r="L2580" s="23" t="e">
        <f ca="1">[1]!BexGetData("DP_1","003N8EMH8GTFRIVNUPY2891V1","GSON1193")</f>
        <v>#NAME?</v>
      </c>
      <c r="M2580" s="28" t="e">
        <f ca="1">[1]!BexGetData("DP_1","003N8EMH8GTFRIVOG7KG9IQXA","GSON1193")</f>
        <v>#NAME?</v>
      </c>
      <c r="N2580" s="23" t="e">
        <f ca="1">[1]!BexGetData("DP_1","003N8EMH8GTFRIVOG7KG9IX8U","GSON1193")</f>
        <v>#NAME?</v>
      </c>
      <c r="O2580" s="28" t="e">
        <f ca="1">[1]!BexGetData("DP_1","003N8EMH8GTFRIVOG7KG9J3KE","GSON1193")</f>
        <v>#NAME?</v>
      </c>
      <c r="P2580" s="23" t="e">
        <f ca="1">[1]!BexGetData("DP_1","003N8EMH8GTFRIVOG7KG9J9VY","GSON1193")</f>
        <v>#NAME?</v>
      </c>
      <c r="Q2580" s="23" t="e">
        <f ca="1">[1]!BexGetData("DP_1","00O2TNJGODT0G5Z4TTKYMM5MT","GSON1193")</f>
        <v>#NAME?</v>
      </c>
      <c r="R2580" s="23" t="e">
        <f ca="1">[1]!BexGetData("DP_1","00O2TNJGODT0G5Z4TTKYMMBYD","GSON1193")</f>
        <v>#NAME?</v>
      </c>
      <c r="S2580" s="23" t="e">
        <f ca="1">[1]!BexGetData("DP_1","00O2TNJGODT0G5Z4TTKYMMI9X","GSON1193")</f>
        <v>#NAME?</v>
      </c>
      <c r="T2580" s="28" t="e">
        <f ca="1">[1]!BexGetData("DP_1","00O2TNJGODT0G5Z4TTKYMMOLH","GSON1193")</f>
        <v>#NAME?</v>
      </c>
      <c r="U2580" s="23" t="e">
        <f ca="1">[1]!BexGetData("DP_1","00O2TNJGODT0G5Z4TTKYMMUX1","GSON1193")</f>
        <v>#NAME?</v>
      </c>
      <c r="V2580" s="28" t="e">
        <f ca="1">[1]!BexGetData("DP_1","00O2TNJGODT0G5Z4TTKYMN18L","GSON1193")</f>
        <v>#NAME?</v>
      </c>
      <c r="W2580" s="23" t="e">
        <f ca="1">[1]!BexGetData("DP_1","00O2TNJGODT0G5Z4TTKYMN7K5","GSON1193")</f>
        <v>#NAME?</v>
      </c>
    </row>
    <row r="2581" spans="1:23" x14ac:dyDescent="0.2">
      <c r="A2581" s="36" t="s">
        <v>5983</v>
      </c>
      <c r="B2581" s="27" t="s">
        <v>5984</v>
      </c>
      <c r="C2581" s="23" t="e">
        <f ca="1">[1]!BexGetData("DP_1","003N8EMH8GTFRCSWKMPXRR8GU","GSON1193100002")</f>
        <v>#NAME?</v>
      </c>
      <c r="D2581" s="28" t="e">
        <f ca="1">[1]!BexGetData("DP_1","003N8EMH8GTFRCSWKMPXRRESE","GSON1193100002")</f>
        <v>#NAME?</v>
      </c>
      <c r="E2581" s="23" t="e">
        <f ca="1">[1]!BexGetData("DP_1","003N8EMH8GTFRCSWKMPXRRL3Y","GSON1193100002")</f>
        <v>#NAME?</v>
      </c>
      <c r="F2581" s="23" t="e">
        <f ca="1">[1]!BexGetData("DP_1","003N8EMH8GTFRCSWKMPXRRRFI","GSON1193100002")</f>
        <v>#NAME?</v>
      </c>
      <c r="G2581" s="23" t="e">
        <f ca="1">[1]!BexGetData("DP_1","003N8EMH8GTFRCSWKMPXRRXR2","GSON1193100002")</f>
        <v>#NAME?</v>
      </c>
      <c r="H2581" s="23" t="e">
        <f ca="1">[1]!BexGetData("DP_1","003N8EMH8GTFRCSWKMPXRS42M","GSON1193100002")</f>
        <v>#NAME?</v>
      </c>
      <c r="I2581" s="23" t="e">
        <f ca="1">[1]!BexGetData("DP_1","003N8EMH8GTFRCSWKMPXRSAE6","GSON1193100002")</f>
        <v>#NAME?</v>
      </c>
      <c r="J2581" s="23" t="e">
        <f ca="1">[1]!BexGetData("DP_1","003N8EMH8GTFRCSWKMPXRSGPQ","GSON1193100002")</f>
        <v>#NAME?</v>
      </c>
      <c r="K2581" s="23" t="e">
        <f ca="1">[1]!BexGetData("DP_1","003N8EMH8GTFRIVNUPY288VJH","GSON1193100002")</f>
        <v>#NAME?</v>
      </c>
      <c r="L2581" s="23" t="e">
        <f ca="1">[1]!BexGetData("DP_1","003N8EMH8GTFRIVNUPY2891V1","GSON1193100002")</f>
        <v>#NAME?</v>
      </c>
      <c r="M2581" s="28" t="e">
        <f ca="1">[1]!BexGetData("DP_1","003N8EMH8GTFRIVOG7KG9IQXA","GSON1193100002")</f>
        <v>#NAME?</v>
      </c>
      <c r="N2581" s="23" t="e">
        <f ca="1">[1]!BexGetData("DP_1","003N8EMH8GTFRIVOG7KG9IX8U","GSON1193100002")</f>
        <v>#NAME?</v>
      </c>
      <c r="O2581" s="28" t="e">
        <f ca="1">[1]!BexGetData("DP_1","003N8EMH8GTFRIVOG7KG9J3KE","GSON1193100002")</f>
        <v>#NAME?</v>
      </c>
      <c r="P2581" s="23" t="e">
        <f ca="1">[1]!BexGetData("DP_1","003N8EMH8GTFRIVOG7KG9J9VY","GSON1193100002")</f>
        <v>#NAME?</v>
      </c>
      <c r="Q2581" s="23" t="e">
        <f ca="1">[1]!BexGetData("DP_1","00O2TNJGODT0G5Z4TTKYMM5MT","GSON1193100002")</f>
        <v>#NAME?</v>
      </c>
      <c r="R2581" s="23" t="e">
        <f ca="1">[1]!BexGetData("DP_1","00O2TNJGODT0G5Z4TTKYMMBYD","GSON1193100002")</f>
        <v>#NAME?</v>
      </c>
      <c r="S2581" s="23" t="e">
        <f ca="1">[1]!BexGetData("DP_1","00O2TNJGODT0G5Z4TTKYMMI9X","GSON1193100002")</f>
        <v>#NAME?</v>
      </c>
      <c r="T2581" s="28" t="e">
        <f ca="1">[1]!BexGetData("DP_1","00O2TNJGODT0G5Z4TTKYMMOLH","GSON1193100002")</f>
        <v>#NAME?</v>
      </c>
      <c r="U2581" s="23" t="e">
        <f ca="1">[1]!BexGetData("DP_1","00O2TNJGODT0G5Z4TTKYMMUX1","GSON1193100002")</f>
        <v>#NAME?</v>
      </c>
      <c r="V2581" s="28" t="e">
        <f ca="1">[1]!BexGetData("DP_1","00O2TNJGODT0G5Z4TTKYMN18L","GSON1193100002")</f>
        <v>#NAME?</v>
      </c>
      <c r="W2581" s="23" t="e">
        <f ca="1">[1]!BexGetData("DP_1","00O2TNJGODT0G5Z4TTKYMN7K5","GSON1193100002")</f>
        <v>#NAME?</v>
      </c>
    </row>
    <row r="2582" spans="1:23" x14ac:dyDescent="0.2">
      <c r="A2582" s="33" t="s">
        <v>74</v>
      </c>
      <c r="B2582" s="27" t="s">
        <v>75</v>
      </c>
      <c r="C2582" s="23" t="e">
        <f ca="1">[1]!BexGetData("DP_1","003N8EMH8GTFRCSWKMPXRR8GU","GSON12")</f>
        <v>#NAME?</v>
      </c>
      <c r="D2582" s="23" t="e">
        <f ca="1">[1]!BexGetData("DP_1","003N8EMH8GTFRCSWKMPXRRESE","GSON12")</f>
        <v>#NAME?</v>
      </c>
      <c r="E2582" s="23" t="e">
        <f ca="1">[1]!BexGetData("DP_1","003N8EMH8GTFRCSWKMPXRRL3Y","GSON12")</f>
        <v>#NAME?</v>
      </c>
      <c r="F2582" s="23" t="e">
        <f ca="1">[1]!BexGetData("DP_1","003N8EMH8GTFRCSWKMPXRRRFI","GSON12")</f>
        <v>#NAME?</v>
      </c>
      <c r="G2582" s="23" t="e">
        <f ca="1">[1]!BexGetData("DP_1","003N8EMH8GTFRCSWKMPXRRXR2","GSON12")</f>
        <v>#NAME?</v>
      </c>
      <c r="H2582" s="23" t="e">
        <f ca="1">[1]!BexGetData("DP_1","003N8EMH8GTFRCSWKMPXRS42M","GSON12")</f>
        <v>#NAME?</v>
      </c>
      <c r="I2582" s="23" t="e">
        <f ca="1">[1]!BexGetData("DP_1","003N8EMH8GTFRCSWKMPXRSAE6","GSON12")</f>
        <v>#NAME?</v>
      </c>
      <c r="J2582" s="23" t="e">
        <f ca="1">[1]!BexGetData("DP_1","003N8EMH8GTFRCSWKMPXRSGPQ","GSON12")</f>
        <v>#NAME?</v>
      </c>
      <c r="K2582" s="23" t="e">
        <f ca="1">[1]!BexGetData("DP_1","003N8EMH8GTFRIVNUPY288VJH","GSON12")</f>
        <v>#NAME?</v>
      </c>
      <c r="L2582" s="23" t="e">
        <f ca="1">[1]!BexGetData("DP_1","003N8EMH8GTFRIVNUPY2891V1","GSON12")</f>
        <v>#NAME?</v>
      </c>
      <c r="M2582" s="28" t="e">
        <f ca="1">[1]!BexGetData("DP_1","003N8EMH8GTFRIVOG7KG9IQXA","GSON12")</f>
        <v>#NAME?</v>
      </c>
      <c r="N2582" s="23" t="e">
        <f ca="1">[1]!BexGetData("DP_1","003N8EMH8GTFRIVOG7KG9IX8U","GSON12")</f>
        <v>#NAME?</v>
      </c>
      <c r="O2582" s="28" t="e">
        <f ca="1">[1]!BexGetData("DP_1","003N8EMH8GTFRIVOG7KG9J3KE","GSON12")</f>
        <v>#NAME?</v>
      </c>
      <c r="P2582" s="23" t="e">
        <f ca="1">[1]!BexGetData("DP_1","003N8EMH8GTFRIVOG7KG9J9VY","GSON12")</f>
        <v>#NAME?</v>
      </c>
      <c r="Q2582" s="23" t="e">
        <f ca="1">[1]!BexGetData("DP_1","00O2TNJGODT0G5Z4TTKYMM5MT","GSON12")</f>
        <v>#NAME?</v>
      </c>
      <c r="R2582" s="23" t="e">
        <f ca="1">[1]!BexGetData("DP_1","00O2TNJGODT0G5Z4TTKYMMBYD","GSON12")</f>
        <v>#NAME?</v>
      </c>
      <c r="S2582" s="23" t="e">
        <f ca="1">[1]!BexGetData("DP_1","00O2TNJGODT0G5Z4TTKYMMI9X","GSON12")</f>
        <v>#NAME?</v>
      </c>
      <c r="T2582" s="23" t="e">
        <f ca="1">[1]!BexGetData("DP_1","00O2TNJGODT0G5Z4TTKYMMOLH","GSON12")</f>
        <v>#NAME?</v>
      </c>
      <c r="U2582" s="28" t="e">
        <f ca="1">[1]!BexGetData("DP_1","00O2TNJGODT0G5Z4TTKYMMUX1","GSON12")</f>
        <v>#NAME?</v>
      </c>
      <c r="V2582" s="23" t="e">
        <f ca="1">[1]!BexGetData("DP_1","00O2TNJGODT0G5Z4TTKYMN18L","GSON12")</f>
        <v>#NAME?</v>
      </c>
      <c r="W2582" s="28" t="e">
        <f ca="1">[1]!BexGetData("DP_1","00O2TNJGODT0G5Z4TTKYMN7K5","GSON12")</f>
        <v>#NAME?</v>
      </c>
    </row>
    <row r="2583" spans="1:23" x14ac:dyDescent="0.2">
      <c r="A2583" s="34" t="s">
        <v>5985</v>
      </c>
      <c r="B2583" s="27" t="s">
        <v>5986</v>
      </c>
      <c r="C2583" s="23" t="e">
        <f ca="1">[1]!BexGetData("DP_1","003N8EMH8GTFRCSWKMPXRR8GU","GSON121")</f>
        <v>#NAME?</v>
      </c>
      <c r="D2583" s="23" t="e">
        <f ca="1">[1]!BexGetData("DP_1","003N8EMH8GTFRCSWKMPXRRESE","GSON121")</f>
        <v>#NAME?</v>
      </c>
      <c r="E2583" s="23" t="e">
        <f ca="1">[1]!BexGetData("DP_1","003N8EMH8GTFRCSWKMPXRRL3Y","GSON121")</f>
        <v>#NAME?</v>
      </c>
      <c r="F2583" s="23" t="e">
        <f ca="1">[1]!BexGetData("DP_1","003N8EMH8GTFRCSWKMPXRRRFI","GSON121")</f>
        <v>#NAME?</v>
      </c>
      <c r="G2583" s="23" t="e">
        <f ca="1">[1]!BexGetData("DP_1","003N8EMH8GTFRCSWKMPXRRXR2","GSON121")</f>
        <v>#NAME?</v>
      </c>
      <c r="H2583" s="28" t="e">
        <f ca="1">[1]!BexGetData("DP_1","003N8EMH8GTFRCSWKMPXRS42M","GSON121")</f>
        <v>#NAME?</v>
      </c>
      <c r="I2583" s="23" t="e">
        <f ca="1">[1]!BexGetData("DP_1","003N8EMH8GTFRCSWKMPXRSAE6","GSON121")</f>
        <v>#NAME?</v>
      </c>
      <c r="J2583" s="23" t="e">
        <f ca="1">[1]!BexGetData("DP_1","003N8EMH8GTFRCSWKMPXRSGPQ","GSON121")</f>
        <v>#NAME?</v>
      </c>
      <c r="K2583" s="23" t="e">
        <f ca="1">[1]!BexGetData("DP_1","003N8EMH8GTFRIVNUPY288VJH","GSON121")</f>
        <v>#NAME?</v>
      </c>
      <c r="L2583" s="23" t="e">
        <f ca="1">[1]!BexGetData("DP_1","003N8EMH8GTFRIVNUPY2891V1","GSON121")</f>
        <v>#NAME?</v>
      </c>
      <c r="M2583" s="28" t="e">
        <f ca="1">[1]!BexGetData("DP_1","003N8EMH8GTFRIVOG7KG9IQXA","GSON121")</f>
        <v>#NAME?</v>
      </c>
      <c r="N2583" s="23" t="e">
        <f ca="1">[1]!BexGetData("DP_1","003N8EMH8GTFRIVOG7KG9IX8U","GSON121")</f>
        <v>#NAME?</v>
      </c>
      <c r="O2583" s="28" t="e">
        <f ca="1">[1]!BexGetData("DP_1","003N8EMH8GTFRIVOG7KG9J3KE","GSON121")</f>
        <v>#NAME?</v>
      </c>
      <c r="P2583" s="23" t="e">
        <f ca="1">[1]!BexGetData("DP_1","003N8EMH8GTFRIVOG7KG9J9VY","GSON121")</f>
        <v>#NAME?</v>
      </c>
      <c r="Q2583" s="23" t="e">
        <f ca="1">[1]!BexGetData("DP_1","00O2TNJGODT0G5Z4TTKYMM5MT","GSON121")</f>
        <v>#NAME?</v>
      </c>
      <c r="R2583" s="23" t="e">
        <f ca="1">[1]!BexGetData("DP_1","00O2TNJGODT0G5Z4TTKYMMBYD","GSON121")</f>
        <v>#NAME?</v>
      </c>
      <c r="S2583" s="23" t="e">
        <f ca="1">[1]!BexGetData("DP_1","00O2TNJGODT0G5Z4TTKYMMI9X","GSON121")</f>
        <v>#NAME?</v>
      </c>
      <c r="T2583" s="28" t="e">
        <f ca="1">[1]!BexGetData("DP_1","00O2TNJGODT0G5Z4TTKYMMOLH","GSON121")</f>
        <v>#NAME?</v>
      </c>
      <c r="U2583" s="23" t="e">
        <f ca="1">[1]!BexGetData("DP_1","00O2TNJGODT0G5Z4TTKYMMUX1","GSON121")</f>
        <v>#NAME?</v>
      </c>
      <c r="V2583" s="28" t="e">
        <f ca="1">[1]!BexGetData("DP_1","00O2TNJGODT0G5Z4TTKYMN18L","GSON121")</f>
        <v>#NAME?</v>
      </c>
      <c r="W2583" s="23" t="e">
        <f ca="1">[1]!BexGetData("DP_1","00O2TNJGODT0G5Z4TTKYMN7K5","GSON121")</f>
        <v>#NAME?</v>
      </c>
    </row>
    <row r="2584" spans="1:23" x14ac:dyDescent="0.2">
      <c r="A2584" s="35" t="s">
        <v>5987</v>
      </c>
      <c r="B2584" s="27" t="s">
        <v>5988</v>
      </c>
      <c r="C2584" s="23" t="e">
        <f ca="1">[1]!BexGetData("DP_1","003N8EMH8GTFRCSWKMPXRR8GU","GSON1213")</f>
        <v>#NAME?</v>
      </c>
      <c r="D2584" s="23" t="e">
        <f ca="1">[1]!BexGetData("DP_1","003N8EMH8GTFRCSWKMPXRRESE","GSON1213")</f>
        <v>#NAME?</v>
      </c>
      <c r="E2584" s="23" t="e">
        <f ca="1">[1]!BexGetData("DP_1","003N8EMH8GTFRCSWKMPXRRL3Y","GSON1213")</f>
        <v>#NAME?</v>
      </c>
      <c r="F2584" s="23" t="e">
        <f ca="1">[1]!BexGetData("DP_1","003N8EMH8GTFRCSWKMPXRRRFI","GSON1213")</f>
        <v>#NAME?</v>
      </c>
      <c r="G2584" s="23" t="e">
        <f ca="1">[1]!BexGetData("DP_1","003N8EMH8GTFRCSWKMPXRRXR2","GSON1213")</f>
        <v>#NAME?</v>
      </c>
      <c r="H2584" s="28" t="e">
        <f ca="1">[1]!BexGetData("DP_1","003N8EMH8GTFRCSWKMPXRS42M","GSON1213")</f>
        <v>#NAME?</v>
      </c>
      <c r="I2584" s="23" t="e">
        <f ca="1">[1]!BexGetData("DP_1","003N8EMH8GTFRCSWKMPXRSAE6","GSON1213")</f>
        <v>#NAME?</v>
      </c>
      <c r="J2584" s="24" t="e">
        <f ca="1">[1]!BexGetData("DP_1","003N8EMH8GTFRCSWKMPXRSGPQ","GSON1213")</f>
        <v>#NAME?</v>
      </c>
      <c r="K2584" s="23" t="e">
        <f ca="1">[1]!BexGetData("DP_1","003N8EMH8GTFRIVNUPY288VJH","GSON1213")</f>
        <v>#NAME?</v>
      </c>
      <c r="L2584" s="23" t="e">
        <f ca="1">[1]!BexGetData("DP_1","003N8EMH8GTFRIVNUPY2891V1","GSON1213")</f>
        <v>#NAME?</v>
      </c>
      <c r="M2584" s="28" t="e">
        <f ca="1">[1]!BexGetData("DP_1","003N8EMH8GTFRIVOG7KG9IQXA","GSON1213")</f>
        <v>#NAME?</v>
      </c>
      <c r="N2584" s="23" t="e">
        <f ca="1">[1]!BexGetData("DP_1","003N8EMH8GTFRIVOG7KG9IX8U","GSON1213")</f>
        <v>#NAME?</v>
      </c>
      <c r="O2584" s="28" t="e">
        <f ca="1">[1]!BexGetData("DP_1","003N8EMH8GTFRIVOG7KG9J3KE","GSON1213")</f>
        <v>#NAME?</v>
      </c>
      <c r="P2584" s="23" t="e">
        <f ca="1">[1]!BexGetData("DP_1","003N8EMH8GTFRIVOG7KG9J9VY","GSON1213")</f>
        <v>#NAME?</v>
      </c>
      <c r="Q2584" s="24" t="e">
        <f ca="1">[1]!BexGetData("DP_1","00O2TNJGODT0G5Z4TTKYMM5MT","GSON1213")</f>
        <v>#NAME?</v>
      </c>
      <c r="R2584" s="23" t="e">
        <f ca="1">[1]!BexGetData("DP_1","00O2TNJGODT0G5Z4TTKYMMBYD","GSON1213")</f>
        <v>#NAME?</v>
      </c>
      <c r="S2584" s="23" t="e">
        <f ca="1">[1]!BexGetData("DP_1","00O2TNJGODT0G5Z4TTKYMMI9X","GSON1213")</f>
        <v>#NAME?</v>
      </c>
      <c r="T2584" s="28" t="e">
        <f ca="1">[1]!BexGetData("DP_1","00O2TNJGODT0G5Z4TTKYMMOLH","GSON1213")</f>
        <v>#NAME?</v>
      </c>
      <c r="U2584" s="23" t="e">
        <f ca="1">[1]!BexGetData("DP_1","00O2TNJGODT0G5Z4TTKYMMUX1","GSON1213")</f>
        <v>#NAME?</v>
      </c>
      <c r="V2584" s="28" t="e">
        <f ca="1">[1]!BexGetData("DP_1","00O2TNJGODT0G5Z4TTKYMN18L","GSON1213")</f>
        <v>#NAME?</v>
      </c>
      <c r="W2584" s="23" t="e">
        <f ca="1">[1]!BexGetData("DP_1","00O2TNJGODT0G5Z4TTKYMN7K5","GSON1213")</f>
        <v>#NAME?</v>
      </c>
    </row>
    <row r="2585" spans="1:23" x14ac:dyDescent="0.2">
      <c r="A2585" s="36" t="s">
        <v>5989</v>
      </c>
      <c r="B2585" s="27" t="s">
        <v>5990</v>
      </c>
      <c r="C2585" s="23" t="e">
        <f ca="1">[1]!BexGetData("DP_1","003N8EMH8GTFRCSWKMPXRR8GU","GSON12131")</f>
        <v>#NAME?</v>
      </c>
      <c r="D2585" s="23" t="e">
        <f ca="1">[1]!BexGetData("DP_1","003N8EMH8GTFRCSWKMPXRRESE","GSON12131")</f>
        <v>#NAME?</v>
      </c>
      <c r="E2585" s="23" t="e">
        <f ca="1">[1]!BexGetData("DP_1","003N8EMH8GTFRCSWKMPXRRL3Y","GSON12131")</f>
        <v>#NAME?</v>
      </c>
      <c r="F2585" s="23" t="e">
        <f ca="1">[1]!BexGetData("DP_1","003N8EMH8GTFRCSWKMPXRRRFI","GSON12131")</f>
        <v>#NAME?</v>
      </c>
      <c r="G2585" s="23" t="e">
        <f ca="1">[1]!BexGetData("DP_1","003N8EMH8GTFRCSWKMPXRRXR2","GSON12131")</f>
        <v>#NAME?</v>
      </c>
      <c r="H2585" s="28" t="e">
        <f ca="1">[1]!BexGetData("DP_1","003N8EMH8GTFRCSWKMPXRS42M","GSON12131")</f>
        <v>#NAME?</v>
      </c>
      <c r="I2585" s="23" t="e">
        <f ca="1">[1]!BexGetData("DP_1","003N8EMH8GTFRCSWKMPXRSAE6","GSON12131")</f>
        <v>#NAME?</v>
      </c>
      <c r="J2585" s="24" t="e">
        <f ca="1">[1]!BexGetData("DP_1","003N8EMH8GTFRCSWKMPXRSGPQ","GSON12131")</f>
        <v>#NAME?</v>
      </c>
      <c r="K2585" s="23" t="e">
        <f ca="1">[1]!BexGetData("DP_1","003N8EMH8GTFRIVNUPY288VJH","GSON12131")</f>
        <v>#NAME?</v>
      </c>
      <c r="L2585" s="23" t="e">
        <f ca="1">[1]!BexGetData("DP_1","003N8EMH8GTFRIVNUPY2891V1","GSON12131")</f>
        <v>#NAME?</v>
      </c>
      <c r="M2585" s="28" t="e">
        <f ca="1">[1]!BexGetData("DP_1","003N8EMH8GTFRIVOG7KG9IQXA","GSON12131")</f>
        <v>#NAME?</v>
      </c>
      <c r="N2585" s="23" t="e">
        <f ca="1">[1]!BexGetData("DP_1","003N8EMH8GTFRIVOG7KG9IX8U","GSON12131")</f>
        <v>#NAME?</v>
      </c>
      <c r="O2585" s="28" t="e">
        <f ca="1">[1]!BexGetData("DP_1","003N8EMH8GTFRIVOG7KG9J3KE","GSON12131")</f>
        <v>#NAME?</v>
      </c>
      <c r="P2585" s="23" t="e">
        <f ca="1">[1]!BexGetData("DP_1","003N8EMH8GTFRIVOG7KG9J9VY","GSON12131")</f>
        <v>#NAME?</v>
      </c>
      <c r="Q2585" s="24" t="e">
        <f ca="1">[1]!BexGetData("DP_1","00O2TNJGODT0G5Z4TTKYMM5MT","GSON12131")</f>
        <v>#NAME?</v>
      </c>
      <c r="R2585" s="23" t="e">
        <f ca="1">[1]!BexGetData("DP_1","00O2TNJGODT0G5Z4TTKYMMBYD","GSON12131")</f>
        <v>#NAME?</v>
      </c>
      <c r="S2585" s="23" t="e">
        <f ca="1">[1]!BexGetData("DP_1","00O2TNJGODT0G5Z4TTKYMMI9X","GSON12131")</f>
        <v>#NAME?</v>
      </c>
      <c r="T2585" s="28" t="e">
        <f ca="1">[1]!BexGetData("DP_1","00O2TNJGODT0G5Z4TTKYMMOLH","GSON12131")</f>
        <v>#NAME?</v>
      </c>
      <c r="U2585" s="23" t="e">
        <f ca="1">[1]!BexGetData("DP_1","00O2TNJGODT0G5Z4TTKYMMUX1","GSON12131")</f>
        <v>#NAME?</v>
      </c>
      <c r="V2585" s="28" t="e">
        <f ca="1">[1]!BexGetData("DP_1","00O2TNJGODT0G5Z4TTKYMN18L","GSON12131")</f>
        <v>#NAME?</v>
      </c>
      <c r="W2585" s="23" t="e">
        <f ca="1">[1]!BexGetData("DP_1","00O2TNJGODT0G5Z4TTKYMN7K5","GSON12131")</f>
        <v>#NAME?</v>
      </c>
    </row>
    <row r="2586" spans="1:23" x14ac:dyDescent="0.2">
      <c r="A2586" s="37" t="s">
        <v>5991</v>
      </c>
      <c r="B2586" s="27" t="s">
        <v>5992</v>
      </c>
      <c r="C2586" s="23" t="e">
        <f ca="1">[1]!BexGetData("DP_1","003N8EMH8GTFRCSWKMPXRR8GU","GSON1213100751")</f>
        <v>#NAME?</v>
      </c>
      <c r="D2586" s="23" t="e">
        <f ca="1">[1]!BexGetData("DP_1","003N8EMH8GTFRCSWKMPXRRESE","GSON1213100751")</f>
        <v>#NAME?</v>
      </c>
      <c r="E2586" s="23" t="e">
        <f ca="1">[1]!BexGetData("DP_1","003N8EMH8GTFRCSWKMPXRRL3Y","GSON1213100751")</f>
        <v>#NAME?</v>
      </c>
      <c r="F2586" s="23" t="e">
        <f ca="1">[1]!BexGetData("DP_1","003N8EMH8GTFRCSWKMPXRRRFI","GSON1213100751")</f>
        <v>#NAME?</v>
      </c>
      <c r="G2586" s="23" t="e">
        <f ca="1">[1]!BexGetData("DP_1","003N8EMH8GTFRCSWKMPXRRXR2","GSON1213100751")</f>
        <v>#NAME?</v>
      </c>
      <c r="H2586" s="28" t="e">
        <f ca="1">[1]!BexGetData("DP_1","003N8EMH8GTFRCSWKMPXRS42M","GSON1213100751")</f>
        <v>#NAME?</v>
      </c>
      <c r="I2586" s="23" t="e">
        <f ca="1">[1]!BexGetData("DP_1","003N8EMH8GTFRCSWKMPXRSAE6","GSON1213100751")</f>
        <v>#NAME?</v>
      </c>
      <c r="J2586" s="24" t="e">
        <f ca="1">[1]!BexGetData("DP_1","003N8EMH8GTFRCSWKMPXRSGPQ","GSON1213100751")</f>
        <v>#NAME?</v>
      </c>
      <c r="K2586" s="23" t="e">
        <f ca="1">[1]!BexGetData("DP_1","003N8EMH8GTFRIVNUPY288VJH","GSON1213100751")</f>
        <v>#NAME?</v>
      </c>
      <c r="L2586" s="23" t="e">
        <f ca="1">[1]!BexGetData("DP_1","003N8EMH8GTFRIVNUPY2891V1","GSON1213100751")</f>
        <v>#NAME?</v>
      </c>
      <c r="M2586" s="28" t="e">
        <f ca="1">[1]!BexGetData("DP_1","003N8EMH8GTFRIVOG7KG9IQXA","GSON1213100751")</f>
        <v>#NAME?</v>
      </c>
      <c r="N2586" s="23" t="e">
        <f ca="1">[1]!BexGetData("DP_1","003N8EMH8GTFRIVOG7KG9IX8U","GSON1213100751")</f>
        <v>#NAME?</v>
      </c>
      <c r="O2586" s="28" t="e">
        <f ca="1">[1]!BexGetData("DP_1","003N8EMH8GTFRIVOG7KG9J3KE","GSON1213100751")</f>
        <v>#NAME?</v>
      </c>
      <c r="P2586" s="23" t="e">
        <f ca="1">[1]!BexGetData("DP_1","003N8EMH8GTFRIVOG7KG9J9VY","GSON1213100751")</f>
        <v>#NAME?</v>
      </c>
      <c r="Q2586" s="24" t="e">
        <f ca="1">[1]!BexGetData("DP_1","00O2TNJGODT0G5Z4TTKYMM5MT","GSON1213100751")</f>
        <v>#NAME?</v>
      </c>
      <c r="R2586" s="23" t="e">
        <f ca="1">[1]!BexGetData("DP_1","00O2TNJGODT0G5Z4TTKYMMBYD","GSON1213100751")</f>
        <v>#NAME?</v>
      </c>
      <c r="S2586" s="23" t="e">
        <f ca="1">[1]!BexGetData("DP_1","00O2TNJGODT0G5Z4TTKYMMI9X","GSON1213100751")</f>
        <v>#NAME?</v>
      </c>
      <c r="T2586" s="28" t="e">
        <f ca="1">[1]!BexGetData("DP_1","00O2TNJGODT0G5Z4TTKYMMOLH","GSON1213100751")</f>
        <v>#NAME?</v>
      </c>
      <c r="U2586" s="23" t="e">
        <f ca="1">[1]!BexGetData("DP_1","00O2TNJGODT0G5Z4TTKYMMUX1","GSON1213100751")</f>
        <v>#NAME?</v>
      </c>
      <c r="V2586" s="28" t="e">
        <f ca="1">[1]!BexGetData("DP_1","00O2TNJGODT0G5Z4TTKYMN18L","GSON1213100751")</f>
        <v>#NAME?</v>
      </c>
      <c r="W2586" s="23" t="e">
        <f ca="1">[1]!BexGetData("DP_1","00O2TNJGODT0G5Z4TTKYMN7K5","GSON1213100751")</f>
        <v>#NAME?</v>
      </c>
    </row>
    <row r="2587" spans="1:23" x14ac:dyDescent="0.2">
      <c r="A2587" s="35" t="s">
        <v>347</v>
      </c>
      <c r="B2587" s="27" t="s">
        <v>5993</v>
      </c>
      <c r="C2587" s="23" t="e">
        <f ca="1">[1]!BexGetData("DP_1","003N8EMH8GTFRCSWKMPXRR8GU","GSON1214")</f>
        <v>#NAME?</v>
      </c>
      <c r="D2587" s="23" t="e">
        <f ca="1">[1]!BexGetData("DP_1","003N8EMH8GTFRCSWKMPXRRESE","GSON1214")</f>
        <v>#NAME?</v>
      </c>
      <c r="E2587" s="23" t="e">
        <f ca="1">[1]!BexGetData("DP_1","003N8EMH8GTFRCSWKMPXRRL3Y","GSON1214")</f>
        <v>#NAME?</v>
      </c>
      <c r="F2587" s="23" t="e">
        <f ca="1">[1]!BexGetData("DP_1","003N8EMH8GTFRCSWKMPXRRRFI","GSON1214")</f>
        <v>#NAME?</v>
      </c>
      <c r="G2587" s="28" t="e">
        <f ca="1">[1]!BexGetData("DP_1","003N8EMH8GTFRCSWKMPXRRXR2","GSON1214")</f>
        <v>#NAME?</v>
      </c>
      <c r="H2587" s="28" t="e">
        <f ca="1">[1]!BexGetData("DP_1","003N8EMH8GTFRCSWKMPXRS42M","GSON1214")</f>
        <v>#NAME?</v>
      </c>
      <c r="I2587" s="23" t="e">
        <f ca="1">[1]!BexGetData("DP_1","003N8EMH8GTFRCSWKMPXRSAE6","GSON1214")</f>
        <v>#NAME?</v>
      </c>
      <c r="J2587" s="23" t="e">
        <f ca="1">[1]!BexGetData("DP_1","003N8EMH8GTFRCSWKMPXRSGPQ","GSON1214")</f>
        <v>#NAME?</v>
      </c>
      <c r="K2587" s="23" t="e">
        <f ca="1">[1]!BexGetData("DP_1","003N8EMH8GTFRIVNUPY288VJH","GSON1214")</f>
        <v>#NAME?</v>
      </c>
      <c r="L2587" s="23" t="e">
        <f ca="1">[1]!BexGetData("DP_1","003N8EMH8GTFRIVNUPY2891V1","GSON1214")</f>
        <v>#NAME?</v>
      </c>
      <c r="M2587" s="23" t="e">
        <f ca="1">[1]!BexGetData("DP_1","003N8EMH8GTFRIVOG7KG9IQXA","GSON1214")</f>
        <v>#NAME?</v>
      </c>
      <c r="N2587" s="28" t="e">
        <f ca="1">[1]!BexGetData("DP_1","003N8EMH8GTFRIVOG7KG9IX8U","GSON1214")</f>
        <v>#NAME?</v>
      </c>
      <c r="O2587" s="23" t="e">
        <f ca="1">[1]!BexGetData("DP_1","003N8EMH8GTFRIVOG7KG9J3KE","GSON1214")</f>
        <v>#NAME?</v>
      </c>
      <c r="P2587" s="28" t="e">
        <f ca="1">[1]!BexGetData("DP_1","003N8EMH8GTFRIVOG7KG9J9VY","GSON1214")</f>
        <v>#NAME?</v>
      </c>
      <c r="Q2587" s="23" t="e">
        <f ca="1">[1]!BexGetData("DP_1","00O2TNJGODT0G5Z4TTKYMM5MT","GSON1214")</f>
        <v>#NAME?</v>
      </c>
      <c r="R2587" s="28" t="e">
        <f ca="1">[1]!BexGetData("DP_1","00O2TNJGODT0G5Z4TTKYMMBYD","GSON1214")</f>
        <v>#NAME?</v>
      </c>
      <c r="S2587" s="28" t="e">
        <f ca="1">[1]!BexGetData("DP_1","00O2TNJGODT0G5Z4TTKYMMI9X","GSON1214")</f>
        <v>#NAME?</v>
      </c>
      <c r="T2587" s="28" t="e">
        <f ca="1">[1]!BexGetData("DP_1","00O2TNJGODT0G5Z4TTKYMMOLH","GSON1214")</f>
        <v>#NAME?</v>
      </c>
      <c r="U2587" s="28" t="e">
        <f ca="1">[1]!BexGetData("DP_1","00O2TNJGODT0G5Z4TTKYMMUX1","GSON1214")</f>
        <v>#NAME?</v>
      </c>
      <c r="V2587" s="28" t="e">
        <f ca="1">[1]!BexGetData("DP_1","00O2TNJGODT0G5Z4TTKYMN18L","GSON1214")</f>
        <v>#NAME?</v>
      </c>
      <c r="W2587" s="28" t="e">
        <f ca="1">[1]!BexGetData("DP_1","00O2TNJGODT0G5Z4TTKYMN7K5","GSON1214")</f>
        <v>#NAME?</v>
      </c>
    </row>
    <row r="2588" spans="1:23" x14ac:dyDescent="0.2">
      <c r="A2588" s="36" t="s">
        <v>5994</v>
      </c>
      <c r="B2588" s="27" t="s">
        <v>5995</v>
      </c>
      <c r="C2588" s="23" t="e">
        <f ca="1">[1]!BexGetData("DP_1","003N8EMH8GTFRCSWKMPXRR8GU","GSON12141")</f>
        <v>#NAME?</v>
      </c>
      <c r="D2588" s="23" t="e">
        <f ca="1">[1]!BexGetData("DP_1","003N8EMH8GTFRCSWKMPXRRESE","GSON12141")</f>
        <v>#NAME?</v>
      </c>
      <c r="E2588" s="23" t="e">
        <f ca="1">[1]!BexGetData("DP_1","003N8EMH8GTFRCSWKMPXRRL3Y","GSON12141")</f>
        <v>#NAME?</v>
      </c>
      <c r="F2588" s="23" t="e">
        <f ca="1">[1]!BexGetData("DP_1","003N8EMH8GTFRCSWKMPXRRRFI","GSON12141")</f>
        <v>#NAME?</v>
      </c>
      <c r="G2588" s="28" t="e">
        <f ca="1">[1]!BexGetData("DP_1","003N8EMH8GTFRCSWKMPXRRXR2","GSON12141")</f>
        <v>#NAME?</v>
      </c>
      <c r="H2588" s="28" t="e">
        <f ca="1">[1]!BexGetData("DP_1","003N8EMH8GTFRCSWKMPXRS42M","GSON12141")</f>
        <v>#NAME?</v>
      </c>
      <c r="I2588" s="23" t="e">
        <f ca="1">[1]!BexGetData("DP_1","003N8EMH8GTFRCSWKMPXRSAE6","GSON12141")</f>
        <v>#NAME?</v>
      </c>
      <c r="J2588" s="23" t="e">
        <f ca="1">[1]!BexGetData("DP_1","003N8EMH8GTFRCSWKMPXRSGPQ","GSON12141")</f>
        <v>#NAME?</v>
      </c>
      <c r="K2588" s="23" t="e">
        <f ca="1">[1]!BexGetData("DP_1","003N8EMH8GTFRIVNUPY288VJH","GSON12141")</f>
        <v>#NAME?</v>
      </c>
      <c r="L2588" s="23" t="e">
        <f ca="1">[1]!BexGetData("DP_1","003N8EMH8GTFRIVNUPY2891V1","GSON12141")</f>
        <v>#NAME?</v>
      </c>
      <c r="M2588" s="23" t="e">
        <f ca="1">[1]!BexGetData("DP_1","003N8EMH8GTFRIVOG7KG9IQXA","GSON12141")</f>
        <v>#NAME?</v>
      </c>
      <c r="N2588" s="28" t="e">
        <f ca="1">[1]!BexGetData("DP_1","003N8EMH8GTFRIVOG7KG9IX8U","GSON12141")</f>
        <v>#NAME?</v>
      </c>
      <c r="O2588" s="23" t="e">
        <f ca="1">[1]!BexGetData("DP_1","003N8EMH8GTFRIVOG7KG9J3KE","GSON12141")</f>
        <v>#NAME?</v>
      </c>
      <c r="P2588" s="28" t="e">
        <f ca="1">[1]!BexGetData("DP_1","003N8EMH8GTFRIVOG7KG9J9VY","GSON12141")</f>
        <v>#NAME?</v>
      </c>
      <c r="Q2588" s="23" t="e">
        <f ca="1">[1]!BexGetData("DP_1","00O2TNJGODT0G5Z4TTKYMM5MT","GSON12141")</f>
        <v>#NAME?</v>
      </c>
      <c r="R2588" s="28" t="e">
        <f ca="1">[1]!BexGetData("DP_1","00O2TNJGODT0G5Z4TTKYMMBYD","GSON12141")</f>
        <v>#NAME?</v>
      </c>
      <c r="S2588" s="28" t="e">
        <f ca="1">[1]!BexGetData("DP_1","00O2TNJGODT0G5Z4TTKYMMI9X","GSON12141")</f>
        <v>#NAME?</v>
      </c>
      <c r="T2588" s="28" t="e">
        <f ca="1">[1]!BexGetData("DP_1","00O2TNJGODT0G5Z4TTKYMMOLH","GSON12141")</f>
        <v>#NAME?</v>
      </c>
      <c r="U2588" s="28" t="e">
        <f ca="1">[1]!BexGetData("DP_1","00O2TNJGODT0G5Z4TTKYMMUX1","GSON12141")</f>
        <v>#NAME?</v>
      </c>
      <c r="V2588" s="28" t="e">
        <f ca="1">[1]!BexGetData("DP_1","00O2TNJGODT0G5Z4TTKYMN18L","GSON12141")</f>
        <v>#NAME?</v>
      </c>
      <c r="W2588" s="28" t="e">
        <f ca="1">[1]!BexGetData("DP_1","00O2TNJGODT0G5Z4TTKYMN7K5","GSON12141")</f>
        <v>#NAME?</v>
      </c>
    </row>
    <row r="2589" spans="1:23" x14ac:dyDescent="0.2">
      <c r="A2589" s="37" t="s">
        <v>5996</v>
      </c>
      <c r="B2589" s="27" t="s">
        <v>5997</v>
      </c>
      <c r="C2589" s="23" t="e">
        <f ca="1">[1]!BexGetData("DP_1","003N8EMH8GTFRCSWKMPXRR8GU","GSON1214100721")</f>
        <v>#NAME?</v>
      </c>
      <c r="D2589" s="23" t="e">
        <f ca="1">[1]!BexGetData("DP_1","003N8EMH8GTFRCSWKMPXRRESE","GSON1214100721")</f>
        <v>#NAME?</v>
      </c>
      <c r="E2589" s="23" t="e">
        <f ca="1">[1]!BexGetData("DP_1","003N8EMH8GTFRCSWKMPXRRL3Y","GSON1214100721")</f>
        <v>#NAME?</v>
      </c>
      <c r="F2589" s="23" t="e">
        <f ca="1">[1]!BexGetData("DP_1","003N8EMH8GTFRCSWKMPXRRRFI","GSON1214100721")</f>
        <v>#NAME?</v>
      </c>
      <c r="G2589" s="28" t="e">
        <f ca="1">[1]!BexGetData("DP_1","003N8EMH8GTFRCSWKMPXRRXR2","GSON1214100721")</f>
        <v>#NAME?</v>
      </c>
      <c r="H2589" s="28" t="e">
        <f ca="1">[1]!BexGetData("DP_1","003N8EMH8GTFRCSWKMPXRS42M","GSON1214100721")</f>
        <v>#NAME?</v>
      </c>
      <c r="I2589" s="23" t="e">
        <f ca="1">[1]!BexGetData("DP_1","003N8EMH8GTFRCSWKMPXRSAE6","GSON1214100721")</f>
        <v>#NAME?</v>
      </c>
      <c r="J2589" s="23" t="e">
        <f ca="1">[1]!BexGetData("DP_1","003N8EMH8GTFRCSWKMPXRSGPQ","GSON1214100721")</f>
        <v>#NAME?</v>
      </c>
      <c r="K2589" s="23" t="e">
        <f ca="1">[1]!BexGetData("DP_1","003N8EMH8GTFRIVNUPY288VJH","GSON1214100721")</f>
        <v>#NAME?</v>
      </c>
      <c r="L2589" s="23" t="e">
        <f ca="1">[1]!BexGetData("DP_1","003N8EMH8GTFRIVNUPY2891V1","GSON1214100721")</f>
        <v>#NAME?</v>
      </c>
      <c r="M2589" s="23" t="e">
        <f ca="1">[1]!BexGetData("DP_1","003N8EMH8GTFRIVOG7KG9IQXA","GSON1214100721")</f>
        <v>#NAME?</v>
      </c>
      <c r="N2589" s="28" t="e">
        <f ca="1">[1]!BexGetData("DP_1","003N8EMH8GTFRIVOG7KG9IX8U","GSON1214100721")</f>
        <v>#NAME?</v>
      </c>
      <c r="O2589" s="23" t="e">
        <f ca="1">[1]!BexGetData("DP_1","003N8EMH8GTFRIVOG7KG9J3KE","GSON1214100721")</f>
        <v>#NAME?</v>
      </c>
      <c r="P2589" s="28" t="e">
        <f ca="1">[1]!BexGetData("DP_1","003N8EMH8GTFRIVOG7KG9J9VY","GSON1214100721")</f>
        <v>#NAME?</v>
      </c>
      <c r="Q2589" s="23" t="e">
        <f ca="1">[1]!BexGetData("DP_1","00O2TNJGODT0G5Z4TTKYMM5MT","GSON1214100721")</f>
        <v>#NAME?</v>
      </c>
      <c r="R2589" s="28" t="e">
        <f ca="1">[1]!BexGetData("DP_1","00O2TNJGODT0G5Z4TTKYMMBYD","GSON1214100721")</f>
        <v>#NAME?</v>
      </c>
      <c r="S2589" s="28" t="e">
        <f ca="1">[1]!BexGetData("DP_1","00O2TNJGODT0G5Z4TTKYMMI9X","GSON1214100721")</f>
        <v>#NAME?</v>
      </c>
      <c r="T2589" s="28" t="e">
        <f ca="1">[1]!BexGetData("DP_1","00O2TNJGODT0G5Z4TTKYMMOLH","GSON1214100721")</f>
        <v>#NAME?</v>
      </c>
      <c r="U2589" s="28" t="e">
        <f ca="1">[1]!BexGetData("DP_1","00O2TNJGODT0G5Z4TTKYMMUX1","GSON1214100721")</f>
        <v>#NAME?</v>
      </c>
      <c r="V2589" s="28" t="e">
        <f ca="1">[1]!BexGetData("DP_1","00O2TNJGODT0G5Z4TTKYMN18L","GSON1214100721")</f>
        <v>#NAME?</v>
      </c>
      <c r="W2589" s="28" t="e">
        <f ca="1">[1]!BexGetData("DP_1","00O2TNJGODT0G5Z4TTKYMN7K5","GSON1214100721")</f>
        <v>#NAME?</v>
      </c>
    </row>
    <row r="2590" spans="1:23" x14ac:dyDescent="0.2">
      <c r="A2590" s="34" t="s">
        <v>444</v>
      </c>
      <c r="B2590" s="27" t="s">
        <v>1256</v>
      </c>
      <c r="C2590" s="28" t="e">
        <f ca="1">[1]!BexGetData("DP_1","003N8EMH8GTFRCSWKMPXRR8GU","GSON122")</f>
        <v>#NAME?</v>
      </c>
      <c r="D2590" s="28" t="e">
        <f ca="1">[1]!BexGetData("DP_1","003N8EMH8GTFRCSWKMPXRRESE","GSON122")</f>
        <v>#NAME?</v>
      </c>
      <c r="E2590" s="23" t="e">
        <f ca="1">[1]!BexGetData("DP_1","003N8EMH8GTFRCSWKMPXRRL3Y","GSON122")</f>
        <v>#NAME?</v>
      </c>
      <c r="F2590" s="23" t="e">
        <f ca="1">[1]!BexGetData("DP_1","003N8EMH8GTFRCSWKMPXRRRFI","GSON122")</f>
        <v>#NAME?</v>
      </c>
      <c r="G2590" s="28" t="e">
        <f ca="1">[1]!BexGetData("DP_1","003N8EMH8GTFRCSWKMPXRRXR2","GSON122")</f>
        <v>#NAME?</v>
      </c>
      <c r="H2590" s="28" t="e">
        <f ca="1">[1]!BexGetData("DP_1","003N8EMH8GTFRCSWKMPXRS42M","GSON122")</f>
        <v>#NAME?</v>
      </c>
      <c r="I2590" s="23" t="e">
        <f ca="1">[1]!BexGetData("DP_1","003N8EMH8GTFRCSWKMPXRSAE6","GSON122")</f>
        <v>#NAME?</v>
      </c>
      <c r="J2590" s="23" t="e">
        <f ca="1">[1]!BexGetData("DP_1","003N8EMH8GTFRCSWKMPXRSGPQ","GSON122")</f>
        <v>#NAME?</v>
      </c>
      <c r="K2590" s="28" t="e">
        <f ca="1">[1]!BexGetData("DP_1","003N8EMH8GTFRIVNUPY288VJH","GSON122")</f>
        <v>#NAME?</v>
      </c>
      <c r="L2590" s="28" t="e">
        <f ca="1">[1]!BexGetData("DP_1","003N8EMH8GTFRIVNUPY2891V1","GSON122")</f>
        <v>#NAME?</v>
      </c>
      <c r="M2590" s="28" t="e">
        <f ca="1">[1]!BexGetData("DP_1","003N8EMH8GTFRIVOG7KG9IQXA","GSON122")</f>
        <v>#NAME?</v>
      </c>
      <c r="N2590" s="28" t="e">
        <f ca="1">[1]!BexGetData("DP_1","003N8EMH8GTFRIVOG7KG9IX8U","GSON122")</f>
        <v>#NAME?</v>
      </c>
      <c r="O2590" s="28" t="e">
        <f ca="1">[1]!BexGetData("DP_1","003N8EMH8GTFRIVOG7KG9J3KE","GSON122")</f>
        <v>#NAME?</v>
      </c>
      <c r="P2590" s="28" t="e">
        <f ca="1">[1]!BexGetData("DP_1","003N8EMH8GTFRIVOG7KG9J9VY","GSON122")</f>
        <v>#NAME?</v>
      </c>
      <c r="Q2590" s="23" t="e">
        <f ca="1">[1]!BexGetData("DP_1","00O2TNJGODT0G5Z4TTKYMM5MT","GSON122")</f>
        <v>#NAME?</v>
      </c>
      <c r="R2590" s="28" t="e">
        <f ca="1">[1]!BexGetData("DP_1","00O2TNJGODT0G5Z4TTKYMMBYD","GSON122")</f>
        <v>#NAME?</v>
      </c>
      <c r="S2590" s="28" t="e">
        <f ca="1">[1]!BexGetData("DP_1","00O2TNJGODT0G5Z4TTKYMMI9X","GSON122")</f>
        <v>#NAME?</v>
      </c>
      <c r="T2590" s="28" t="e">
        <f ca="1">[1]!BexGetData("DP_1","00O2TNJGODT0G5Z4TTKYMMOLH","GSON122")</f>
        <v>#NAME?</v>
      </c>
      <c r="U2590" s="28" t="e">
        <f ca="1">[1]!BexGetData("DP_1","00O2TNJGODT0G5Z4TTKYMMUX1","GSON122")</f>
        <v>#NAME?</v>
      </c>
      <c r="V2590" s="28" t="e">
        <f ca="1">[1]!BexGetData("DP_1","00O2TNJGODT0G5Z4TTKYMN18L","GSON122")</f>
        <v>#NAME?</v>
      </c>
      <c r="W2590" s="28" t="e">
        <f ca="1">[1]!BexGetData("DP_1","00O2TNJGODT0G5Z4TTKYMN7K5","GSON122")</f>
        <v>#NAME?</v>
      </c>
    </row>
    <row r="2591" spans="1:23" x14ac:dyDescent="0.2">
      <c r="A2591" s="35" t="s">
        <v>1257</v>
      </c>
      <c r="B2591" s="27" t="s">
        <v>1258</v>
      </c>
      <c r="C2591" s="28" t="e">
        <f ca="1">[1]!BexGetData("DP_1","003N8EMH8GTFRCSWKMPXRR8GU","GSON1229")</f>
        <v>#NAME?</v>
      </c>
      <c r="D2591" s="28" t="e">
        <f ca="1">[1]!BexGetData("DP_1","003N8EMH8GTFRCSWKMPXRRESE","GSON1229")</f>
        <v>#NAME?</v>
      </c>
      <c r="E2591" s="23" t="e">
        <f ca="1">[1]!BexGetData("DP_1","003N8EMH8GTFRCSWKMPXRRL3Y","GSON1229")</f>
        <v>#NAME?</v>
      </c>
      <c r="F2591" s="23" t="e">
        <f ca="1">[1]!BexGetData("DP_1","003N8EMH8GTFRCSWKMPXRRRFI","GSON1229")</f>
        <v>#NAME?</v>
      </c>
      <c r="G2591" s="28" t="e">
        <f ca="1">[1]!BexGetData("DP_1","003N8EMH8GTFRCSWKMPXRRXR2","GSON1229")</f>
        <v>#NAME?</v>
      </c>
      <c r="H2591" s="28" t="e">
        <f ca="1">[1]!BexGetData("DP_1","003N8EMH8GTFRCSWKMPXRS42M","GSON1229")</f>
        <v>#NAME?</v>
      </c>
      <c r="I2591" s="23" t="e">
        <f ca="1">[1]!BexGetData("DP_1","003N8EMH8GTFRCSWKMPXRSAE6","GSON1229")</f>
        <v>#NAME?</v>
      </c>
      <c r="J2591" s="23" t="e">
        <f ca="1">[1]!BexGetData("DP_1","003N8EMH8GTFRCSWKMPXRSGPQ","GSON1229")</f>
        <v>#NAME?</v>
      </c>
      <c r="K2591" s="28" t="e">
        <f ca="1">[1]!BexGetData("DP_1","003N8EMH8GTFRIVNUPY288VJH","GSON1229")</f>
        <v>#NAME?</v>
      </c>
      <c r="L2591" s="28" t="e">
        <f ca="1">[1]!BexGetData("DP_1","003N8EMH8GTFRIVNUPY2891V1","GSON1229")</f>
        <v>#NAME?</v>
      </c>
      <c r="M2591" s="28" t="e">
        <f ca="1">[1]!BexGetData("DP_1","003N8EMH8GTFRIVOG7KG9IQXA","GSON1229")</f>
        <v>#NAME?</v>
      </c>
      <c r="N2591" s="28" t="e">
        <f ca="1">[1]!BexGetData("DP_1","003N8EMH8GTFRIVOG7KG9IX8U","GSON1229")</f>
        <v>#NAME?</v>
      </c>
      <c r="O2591" s="28" t="e">
        <f ca="1">[1]!BexGetData("DP_1","003N8EMH8GTFRIVOG7KG9J3KE","GSON1229")</f>
        <v>#NAME?</v>
      </c>
      <c r="P2591" s="28" t="e">
        <f ca="1">[1]!BexGetData("DP_1","003N8EMH8GTFRIVOG7KG9J9VY","GSON1229")</f>
        <v>#NAME?</v>
      </c>
      <c r="Q2591" s="23" t="e">
        <f ca="1">[1]!BexGetData("DP_1","00O2TNJGODT0G5Z4TTKYMM5MT","GSON1229")</f>
        <v>#NAME?</v>
      </c>
      <c r="R2591" s="28" t="e">
        <f ca="1">[1]!BexGetData("DP_1","00O2TNJGODT0G5Z4TTKYMMBYD","GSON1229")</f>
        <v>#NAME?</v>
      </c>
      <c r="S2591" s="28" t="e">
        <f ca="1">[1]!BexGetData("DP_1","00O2TNJGODT0G5Z4TTKYMMI9X","GSON1229")</f>
        <v>#NAME?</v>
      </c>
      <c r="T2591" s="28" t="e">
        <f ca="1">[1]!BexGetData("DP_1","00O2TNJGODT0G5Z4TTKYMMOLH","GSON1229")</f>
        <v>#NAME?</v>
      </c>
      <c r="U2591" s="28" t="e">
        <f ca="1">[1]!BexGetData("DP_1","00O2TNJGODT0G5Z4TTKYMMUX1","GSON1229")</f>
        <v>#NAME?</v>
      </c>
      <c r="V2591" s="28" t="e">
        <f ca="1">[1]!BexGetData("DP_1","00O2TNJGODT0G5Z4TTKYMN18L","GSON1229")</f>
        <v>#NAME?</v>
      </c>
      <c r="W2591" s="28" t="e">
        <f ca="1">[1]!BexGetData("DP_1","00O2TNJGODT0G5Z4TTKYMN7K5","GSON1229")</f>
        <v>#NAME?</v>
      </c>
    </row>
    <row r="2592" spans="1:23" x14ac:dyDescent="0.2">
      <c r="A2592" s="36" t="s">
        <v>1254</v>
      </c>
      <c r="B2592" s="27" t="s">
        <v>1259</v>
      </c>
      <c r="C2592" s="28" t="e">
        <f ca="1">[1]!BexGetData("DP_1","003N8EMH8GTFRCSWKMPXRR8GU","GSON1229100002")</f>
        <v>#NAME?</v>
      </c>
      <c r="D2592" s="28" t="e">
        <f ca="1">[1]!BexGetData("DP_1","003N8EMH8GTFRCSWKMPXRRESE","GSON1229100002")</f>
        <v>#NAME?</v>
      </c>
      <c r="E2592" s="23" t="e">
        <f ca="1">[1]!BexGetData("DP_1","003N8EMH8GTFRCSWKMPXRRL3Y","GSON1229100002")</f>
        <v>#NAME?</v>
      </c>
      <c r="F2592" s="23" t="e">
        <f ca="1">[1]!BexGetData("DP_1","003N8EMH8GTFRCSWKMPXRRRFI","GSON1229100002")</f>
        <v>#NAME?</v>
      </c>
      <c r="G2592" s="28" t="e">
        <f ca="1">[1]!BexGetData("DP_1","003N8EMH8GTFRCSWKMPXRRXR2","GSON1229100002")</f>
        <v>#NAME?</v>
      </c>
      <c r="H2592" s="28" t="e">
        <f ca="1">[1]!BexGetData("DP_1","003N8EMH8GTFRCSWKMPXRS42M","GSON1229100002")</f>
        <v>#NAME?</v>
      </c>
      <c r="I2592" s="23" t="e">
        <f ca="1">[1]!BexGetData("DP_1","003N8EMH8GTFRCSWKMPXRSAE6","GSON1229100002")</f>
        <v>#NAME?</v>
      </c>
      <c r="J2592" s="23" t="e">
        <f ca="1">[1]!BexGetData("DP_1","003N8EMH8GTFRCSWKMPXRSGPQ","GSON1229100002")</f>
        <v>#NAME?</v>
      </c>
      <c r="K2592" s="28" t="e">
        <f ca="1">[1]!BexGetData("DP_1","003N8EMH8GTFRIVNUPY288VJH","GSON1229100002")</f>
        <v>#NAME?</v>
      </c>
      <c r="L2592" s="28" t="e">
        <f ca="1">[1]!BexGetData("DP_1","003N8EMH8GTFRIVNUPY2891V1","GSON1229100002")</f>
        <v>#NAME?</v>
      </c>
      <c r="M2592" s="28" t="e">
        <f ca="1">[1]!BexGetData("DP_1","003N8EMH8GTFRIVOG7KG9IQXA","GSON1229100002")</f>
        <v>#NAME?</v>
      </c>
      <c r="N2592" s="28" t="e">
        <f ca="1">[1]!BexGetData("DP_1","003N8EMH8GTFRIVOG7KG9IX8U","GSON1229100002")</f>
        <v>#NAME?</v>
      </c>
      <c r="O2592" s="28" t="e">
        <f ca="1">[1]!BexGetData("DP_1","003N8EMH8GTFRIVOG7KG9J3KE","GSON1229100002")</f>
        <v>#NAME?</v>
      </c>
      <c r="P2592" s="28" t="e">
        <f ca="1">[1]!BexGetData("DP_1","003N8EMH8GTFRIVOG7KG9J9VY","GSON1229100002")</f>
        <v>#NAME?</v>
      </c>
      <c r="Q2592" s="23" t="e">
        <f ca="1">[1]!BexGetData("DP_1","00O2TNJGODT0G5Z4TTKYMM5MT","GSON1229100002")</f>
        <v>#NAME?</v>
      </c>
      <c r="R2592" s="28" t="e">
        <f ca="1">[1]!BexGetData("DP_1","00O2TNJGODT0G5Z4TTKYMMBYD","GSON1229100002")</f>
        <v>#NAME?</v>
      </c>
      <c r="S2592" s="28" t="e">
        <f ca="1">[1]!BexGetData("DP_1","00O2TNJGODT0G5Z4TTKYMMI9X","GSON1229100002")</f>
        <v>#NAME?</v>
      </c>
      <c r="T2592" s="28" t="e">
        <f ca="1">[1]!BexGetData("DP_1","00O2TNJGODT0G5Z4TTKYMMOLH","GSON1229100002")</f>
        <v>#NAME?</v>
      </c>
      <c r="U2592" s="28" t="e">
        <f ca="1">[1]!BexGetData("DP_1","00O2TNJGODT0G5Z4TTKYMMUX1","GSON1229100002")</f>
        <v>#NAME?</v>
      </c>
      <c r="V2592" s="28" t="e">
        <f ca="1">[1]!BexGetData("DP_1","00O2TNJGODT0G5Z4TTKYMN18L","GSON1229100002")</f>
        <v>#NAME?</v>
      </c>
      <c r="W2592" s="28" t="e">
        <f ca="1">[1]!BexGetData("DP_1","00O2TNJGODT0G5Z4TTKYMN7K5","GSON1229100002")</f>
        <v>#NAME?</v>
      </c>
    </row>
    <row r="2593" spans="1:23" x14ac:dyDescent="0.2">
      <c r="A2593" s="34" t="s">
        <v>76</v>
      </c>
      <c r="B2593" s="27" t="s">
        <v>77</v>
      </c>
      <c r="C2593" s="23" t="e">
        <f ca="1">[1]!BexGetData("DP_1","003N8EMH8GTFRCSWKMPXRR8GU","GSON123")</f>
        <v>#NAME?</v>
      </c>
      <c r="D2593" s="23" t="e">
        <f ca="1">[1]!BexGetData("DP_1","003N8EMH8GTFRCSWKMPXRRESE","GSON123")</f>
        <v>#NAME?</v>
      </c>
      <c r="E2593" s="23" t="e">
        <f ca="1">[1]!BexGetData("DP_1","003N8EMH8GTFRCSWKMPXRRL3Y","GSON123")</f>
        <v>#NAME?</v>
      </c>
      <c r="F2593" s="23" t="e">
        <f ca="1">[1]!BexGetData("DP_1","003N8EMH8GTFRCSWKMPXRRRFI","GSON123")</f>
        <v>#NAME?</v>
      </c>
      <c r="G2593" s="23" t="e">
        <f ca="1">[1]!BexGetData("DP_1","003N8EMH8GTFRCSWKMPXRRXR2","GSON123")</f>
        <v>#NAME?</v>
      </c>
      <c r="H2593" s="23" t="e">
        <f ca="1">[1]!BexGetData("DP_1","003N8EMH8GTFRCSWKMPXRS42M","GSON123")</f>
        <v>#NAME?</v>
      </c>
      <c r="I2593" s="23" t="e">
        <f ca="1">[1]!BexGetData("DP_1","003N8EMH8GTFRCSWKMPXRSAE6","GSON123")</f>
        <v>#NAME?</v>
      </c>
      <c r="J2593" s="23" t="e">
        <f ca="1">[1]!BexGetData("DP_1","003N8EMH8GTFRCSWKMPXRSGPQ","GSON123")</f>
        <v>#NAME?</v>
      </c>
      <c r="K2593" s="23" t="e">
        <f ca="1">[1]!BexGetData("DP_1","003N8EMH8GTFRIVNUPY288VJH","GSON123")</f>
        <v>#NAME?</v>
      </c>
      <c r="L2593" s="23" t="e">
        <f ca="1">[1]!BexGetData("DP_1","003N8EMH8GTFRIVNUPY2891V1","GSON123")</f>
        <v>#NAME?</v>
      </c>
      <c r="M2593" s="28" t="e">
        <f ca="1">[1]!BexGetData("DP_1","003N8EMH8GTFRIVOG7KG9IQXA","GSON123")</f>
        <v>#NAME?</v>
      </c>
      <c r="N2593" s="23" t="e">
        <f ca="1">[1]!BexGetData("DP_1","003N8EMH8GTFRIVOG7KG9IX8U","GSON123")</f>
        <v>#NAME?</v>
      </c>
      <c r="O2593" s="28" t="e">
        <f ca="1">[1]!BexGetData("DP_1","003N8EMH8GTFRIVOG7KG9J3KE","GSON123")</f>
        <v>#NAME?</v>
      </c>
      <c r="P2593" s="23" t="e">
        <f ca="1">[1]!BexGetData("DP_1","003N8EMH8GTFRIVOG7KG9J9VY","GSON123")</f>
        <v>#NAME?</v>
      </c>
      <c r="Q2593" s="23" t="e">
        <f ca="1">[1]!BexGetData("DP_1","00O2TNJGODT0G5Z4TTKYMM5MT","GSON123")</f>
        <v>#NAME?</v>
      </c>
      <c r="R2593" s="23" t="e">
        <f ca="1">[1]!BexGetData("DP_1","00O2TNJGODT0G5Z4TTKYMMBYD","GSON123")</f>
        <v>#NAME?</v>
      </c>
      <c r="S2593" s="23" t="e">
        <f ca="1">[1]!BexGetData("DP_1","00O2TNJGODT0G5Z4TTKYMMI9X","GSON123")</f>
        <v>#NAME?</v>
      </c>
      <c r="T2593" s="23" t="e">
        <f ca="1">[1]!BexGetData("DP_1","00O2TNJGODT0G5Z4TTKYMMOLH","GSON123")</f>
        <v>#NAME?</v>
      </c>
      <c r="U2593" s="28" t="e">
        <f ca="1">[1]!BexGetData("DP_1","00O2TNJGODT0G5Z4TTKYMMUX1","GSON123")</f>
        <v>#NAME?</v>
      </c>
      <c r="V2593" s="23" t="e">
        <f ca="1">[1]!BexGetData("DP_1","00O2TNJGODT0G5Z4TTKYMN18L","GSON123")</f>
        <v>#NAME?</v>
      </c>
      <c r="W2593" s="28" t="e">
        <f ca="1">[1]!BexGetData("DP_1","00O2TNJGODT0G5Z4TTKYMN7K5","GSON123")</f>
        <v>#NAME?</v>
      </c>
    </row>
    <row r="2594" spans="1:23" x14ac:dyDescent="0.2">
      <c r="A2594" s="35" t="s">
        <v>8</v>
      </c>
      <c r="B2594" s="27" t="s">
        <v>78</v>
      </c>
      <c r="C2594" s="23" t="e">
        <f ca="1">[1]!BexGetData("DP_1","003N8EMH8GTFRCSWKMPXRR8GU","GSON1231")</f>
        <v>#NAME?</v>
      </c>
      <c r="D2594" s="23" t="e">
        <f ca="1">[1]!BexGetData("DP_1","003N8EMH8GTFRCSWKMPXRRESE","GSON1231")</f>
        <v>#NAME?</v>
      </c>
      <c r="E2594" s="23" t="e">
        <f ca="1">[1]!BexGetData("DP_1","003N8EMH8GTFRCSWKMPXRRL3Y","GSON1231")</f>
        <v>#NAME?</v>
      </c>
      <c r="F2594" s="23" t="e">
        <f ca="1">[1]!BexGetData("DP_1","003N8EMH8GTFRCSWKMPXRRRFI","GSON1231")</f>
        <v>#NAME?</v>
      </c>
      <c r="G2594" s="23" t="e">
        <f ca="1">[1]!BexGetData("DP_1","003N8EMH8GTFRCSWKMPXRRXR2","GSON1231")</f>
        <v>#NAME?</v>
      </c>
      <c r="H2594" s="23" t="e">
        <f ca="1">[1]!BexGetData("DP_1","003N8EMH8GTFRCSWKMPXRS42M","GSON1231")</f>
        <v>#NAME?</v>
      </c>
      <c r="I2594" s="23" t="e">
        <f ca="1">[1]!BexGetData("DP_1","003N8EMH8GTFRCSWKMPXRSAE6","GSON1231")</f>
        <v>#NAME?</v>
      </c>
      <c r="J2594" s="23" t="e">
        <f ca="1">[1]!BexGetData("DP_1","003N8EMH8GTFRCSWKMPXRSGPQ","GSON1231")</f>
        <v>#NAME?</v>
      </c>
      <c r="K2594" s="23" t="e">
        <f ca="1">[1]!BexGetData("DP_1","003N8EMH8GTFRIVNUPY288VJH","GSON1231")</f>
        <v>#NAME?</v>
      </c>
      <c r="L2594" s="23" t="e">
        <f ca="1">[1]!BexGetData("DP_1","003N8EMH8GTFRIVNUPY2891V1","GSON1231")</f>
        <v>#NAME?</v>
      </c>
      <c r="M2594" s="28" t="e">
        <f ca="1">[1]!BexGetData("DP_1","003N8EMH8GTFRIVOG7KG9IQXA","GSON1231")</f>
        <v>#NAME?</v>
      </c>
      <c r="N2594" s="23" t="e">
        <f ca="1">[1]!BexGetData("DP_1","003N8EMH8GTFRIVOG7KG9IX8U","GSON1231")</f>
        <v>#NAME?</v>
      </c>
      <c r="O2594" s="28" t="e">
        <f ca="1">[1]!BexGetData("DP_1","003N8EMH8GTFRIVOG7KG9J3KE","GSON1231")</f>
        <v>#NAME?</v>
      </c>
      <c r="P2594" s="23" t="e">
        <f ca="1">[1]!BexGetData("DP_1","003N8EMH8GTFRIVOG7KG9J9VY","GSON1231")</f>
        <v>#NAME?</v>
      </c>
      <c r="Q2594" s="23" t="e">
        <f ca="1">[1]!BexGetData("DP_1","00O2TNJGODT0G5Z4TTKYMM5MT","GSON1231")</f>
        <v>#NAME?</v>
      </c>
      <c r="R2594" s="23" t="e">
        <f ca="1">[1]!BexGetData("DP_1","00O2TNJGODT0G5Z4TTKYMMBYD","GSON1231")</f>
        <v>#NAME?</v>
      </c>
      <c r="S2594" s="23" t="e">
        <f ca="1">[1]!BexGetData("DP_1","00O2TNJGODT0G5Z4TTKYMMI9X","GSON1231")</f>
        <v>#NAME?</v>
      </c>
      <c r="T2594" s="28" t="e">
        <f ca="1">[1]!BexGetData("DP_1","00O2TNJGODT0G5Z4TTKYMMOLH","GSON1231")</f>
        <v>#NAME?</v>
      </c>
      <c r="U2594" s="23" t="e">
        <f ca="1">[1]!BexGetData("DP_1","00O2TNJGODT0G5Z4TTKYMMUX1","GSON1231")</f>
        <v>#NAME?</v>
      </c>
      <c r="V2594" s="28" t="e">
        <f ca="1">[1]!BexGetData("DP_1","00O2TNJGODT0G5Z4TTKYMN18L","GSON1231")</f>
        <v>#NAME?</v>
      </c>
      <c r="W2594" s="23" t="e">
        <f ca="1">[1]!BexGetData("DP_1","00O2TNJGODT0G5Z4TTKYMN7K5","GSON1231")</f>
        <v>#NAME?</v>
      </c>
    </row>
    <row r="2595" spans="1:23" x14ac:dyDescent="0.2">
      <c r="A2595" s="36" t="s">
        <v>5998</v>
      </c>
      <c r="B2595" s="27" t="s">
        <v>5999</v>
      </c>
      <c r="C2595" s="23" t="e">
        <f ca="1">[1]!BexGetData("DP_1","003N8EMH8GTFRCSWKMPXRR8GU","GSON1231158100")</f>
        <v>#NAME?</v>
      </c>
      <c r="D2595" s="23" t="e">
        <f ca="1">[1]!BexGetData("DP_1","003N8EMH8GTFRCSWKMPXRRESE","GSON1231158100")</f>
        <v>#NAME?</v>
      </c>
      <c r="E2595" s="28" t="e">
        <f ca="1">[1]!BexGetData("DP_1","003N8EMH8GTFRCSWKMPXRRL3Y","GSON1231158100")</f>
        <v>#NAME?</v>
      </c>
      <c r="F2595" s="23" t="e">
        <f ca="1">[1]!BexGetData("DP_1","003N8EMH8GTFRCSWKMPXRRRFI","GSON1231158100")</f>
        <v>#NAME?</v>
      </c>
      <c r="G2595" s="28" t="e">
        <f ca="1">[1]!BexGetData("DP_1","003N8EMH8GTFRCSWKMPXRRXR2","GSON1231158100")</f>
        <v>#NAME?</v>
      </c>
      <c r="H2595" s="28" t="e">
        <f ca="1">[1]!BexGetData("DP_1","003N8EMH8GTFRCSWKMPXRS42M","GSON1231158100")</f>
        <v>#NAME?</v>
      </c>
      <c r="I2595" s="23" t="e">
        <f ca="1">[1]!BexGetData("DP_1","003N8EMH8GTFRCSWKMPXRSAE6","GSON1231158100")</f>
        <v>#NAME?</v>
      </c>
      <c r="J2595" s="23" t="e">
        <f ca="1">[1]!BexGetData("DP_1","003N8EMH8GTFRCSWKMPXRSGPQ","GSON1231158100")</f>
        <v>#NAME?</v>
      </c>
      <c r="K2595" s="23" t="e">
        <f ca="1">[1]!BexGetData("DP_1","003N8EMH8GTFRIVNUPY288VJH","GSON1231158100")</f>
        <v>#NAME?</v>
      </c>
      <c r="L2595" s="23" t="e">
        <f ca="1">[1]!BexGetData("DP_1","003N8EMH8GTFRIVNUPY2891V1","GSON1231158100")</f>
        <v>#NAME?</v>
      </c>
      <c r="M2595" s="28" t="e">
        <f ca="1">[1]!BexGetData("DP_1","003N8EMH8GTFRIVOG7KG9IQXA","GSON1231158100")</f>
        <v>#NAME?</v>
      </c>
      <c r="N2595" s="23" t="e">
        <f ca="1">[1]!BexGetData("DP_1","003N8EMH8GTFRIVOG7KG9IX8U","GSON1231158100")</f>
        <v>#NAME?</v>
      </c>
      <c r="O2595" s="28" t="e">
        <f ca="1">[1]!BexGetData("DP_1","003N8EMH8GTFRIVOG7KG9J3KE","GSON1231158100")</f>
        <v>#NAME?</v>
      </c>
      <c r="P2595" s="23" t="e">
        <f ca="1">[1]!BexGetData("DP_1","003N8EMH8GTFRIVOG7KG9J9VY","GSON1231158100")</f>
        <v>#NAME?</v>
      </c>
      <c r="Q2595" s="23" t="e">
        <f ca="1">[1]!BexGetData("DP_1","00O2TNJGODT0G5Z4TTKYMM5MT","GSON1231158100")</f>
        <v>#NAME?</v>
      </c>
      <c r="R2595" s="28" t="e">
        <f ca="1">[1]!BexGetData("DP_1","00O2TNJGODT0G5Z4TTKYMMBYD","GSON1231158100")</f>
        <v>#NAME?</v>
      </c>
      <c r="S2595" s="28" t="e">
        <f ca="1">[1]!BexGetData("DP_1","00O2TNJGODT0G5Z4TTKYMMI9X","GSON1231158100")</f>
        <v>#NAME?</v>
      </c>
      <c r="T2595" s="28" t="e">
        <f ca="1">[1]!BexGetData("DP_1","00O2TNJGODT0G5Z4TTKYMMOLH","GSON1231158100")</f>
        <v>#NAME?</v>
      </c>
      <c r="U2595" s="28" t="e">
        <f ca="1">[1]!BexGetData("DP_1","00O2TNJGODT0G5Z4TTKYMMUX1","GSON1231158100")</f>
        <v>#NAME?</v>
      </c>
      <c r="V2595" s="28" t="e">
        <f ca="1">[1]!BexGetData("DP_1","00O2TNJGODT0G5Z4TTKYMN18L","GSON1231158100")</f>
        <v>#NAME?</v>
      </c>
      <c r="W2595" s="28" t="e">
        <f ca="1">[1]!BexGetData("DP_1","00O2TNJGODT0G5Z4TTKYMN7K5","GSON1231158100")</f>
        <v>#NAME?</v>
      </c>
    </row>
    <row r="2596" spans="1:23" x14ac:dyDescent="0.2">
      <c r="A2596" s="36" t="s">
        <v>1260</v>
      </c>
      <c r="B2596" s="27" t="s">
        <v>333</v>
      </c>
      <c r="C2596" s="23" t="e">
        <f ca="1">[1]!BexGetData("DP_1","003N8EMH8GTFRCSWKMPXRR8GU","GSON1231158101")</f>
        <v>#NAME?</v>
      </c>
      <c r="D2596" s="23" t="e">
        <f ca="1">[1]!BexGetData("DP_1","003N8EMH8GTFRCSWKMPXRRESE","GSON1231158101")</f>
        <v>#NAME?</v>
      </c>
      <c r="E2596" s="23" t="e">
        <f ca="1">[1]!BexGetData("DP_1","003N8EMH8GTFRCSWKMPXRRL3Y","GSON1231158101")</f>
        <v>#NAME?</v>
      </c>
      <c r="F2596" s="23" t="e">
        <f ca="1">[1]!BexGetData("DP_1","003N8EMH8GTFRCSWKMPXRRRFI","GSON1231158101")</f>
        <v>#NAME?</v>
      </c>
      <c r="G2596" s="23" t="e">
        <f ca="1">[1]!BexGetData("DP_1","003N8EMH8GTFRCSWKMPXRRXR2","GSON1231158101")</f>
        <v>#NAME?</v>
      </c>
      <c r="H2596" s="23" t="e">
        <f ca="1">[1]!BexGetData("DP_1","003N8EMH8GTFRCSWKMPXRS42M","GSON1231158101")</f>
        <v>#NAME?</v>
      </c>
      <c r="I2596" s="23" t="e">
        <f ca="1">[1]!BexGetData("DP_1","003N8EMH8GTFRCSWKMPXRSAE6","GSON1231158101")</f>
        <v>#NAME?</v>
      </c>
      <c r="J2596" s="23" t="e">
        <f ca="1">[1]!BexGetData("DP_1","003N8EMH8GTFRCSWKMPXRSGPQ","GSON1231158101")</f>
        <v>#NAME?</v>
      </c>
      <c r="K2596" s="23" t="e">
        <f ca="1">[1]!BexGetData("DP_1","003N8EMH8GTFRIVNUPY288VJH","GSON1231158101")</f>
        <v>#NAME?</v>
      </c>
      <c r="L2596" s="23" t="e">
        <f ca="1">[1]!BexGetData("DP_1","003N8EMH8GTFRIVNUPY2891V1","GSON1231158101")</f>
        <v>#NAME?</v>
      </c>
      <c r="M2596" s="28" t="e">
        <f ca="1">[1]!BexGetData("DP_1","003N8EMH8GTFRIVOG7KG9IQXA","GSON1231158101")</f>
        <v>#NAME?</v>
      </c>
      <c r="N2596" s="23" t="e">
        <f ca="1">[1]!BexGetData("DP_1","003N8EMH8GTFRIVOG7KG9IX8U","GSON1231158101")</f>
        <v>#NAME?</v>
      </c>
      <c r="O2596" s="28" t="e">
        <f ca="1">[1]!BexGetData("DP_1","003N8EMH8GTFRIVOG7KG9J3KE","GSON1231158101")</f>
        <v>#NAME?</v>
      </c>
      <c r="P2596" s="23" t="e">
        <f ca="1">[1]!BexGetData("DP_1","003N8EMH8GTFRIVOG7KG9J9VY","GSON1231158101")</f>
        <v>#NAME?</v>
      </c>
      <c r="Q2596" s="23" t="e">
        <f ca="1">[1]!BexGetData("DP_1","00O2TNJGODT0G5Z4TTKYMM5MT","GSON1231158101")</f>
        <v>#NAME?</v>
      </c>
      <c r="R2596" s="23" t="e">
        <f ca="1">[1]!BexGetData("DP_1","00O2TNJGODT0G5Z4TTKYMMBYD","GSON1231158101")</f>
        <v>#NAME?</v>
      </c>
      <c r="S2596" s="23" t="e">
        <f ca="1">[1]!BexGetData("DP_1","00O2TNJGODT0G5Z4TTKYMMI9X","GSON1231158101")</f>
        <v>#NAME?</v>
      </c>
      <c r="T2596" s="28" t="e">
        <f ca="1">[1]!BexGetData("DP_1","00O2TNJGODT0G5Z4TTKYMMOLH","GSON1231158101")</f>
        <v>#NAME?</v>
      </c>
      <c r="U2596" s="23" t="e">
        <f ca="1">[1]!BexGetData("DP_1","00O2TNJGODT0G5Z4TTKYMMUX1","GSON1231158101")</f>
        <v>#NAME?</v>
      </c>
      <c r="V2596" s="28" t="e">
        <f ca="1">[1]!BexGetData("DP_1","00O2TNJGODT0G5Z4TTKYMN18L","GSON1231158101")</f>
        <v>#NAME?</v>
      </c>
      <c r="W2596" s="23" t="e">
        <f ca="1">[1]!BexGetData("DP_1","00O2TNJGODT0G5Z4TTKYMN7K5","GSON1231158101")</f>
        <v>#NAME?</v>
      </c>
    </row>
    <row r="2597" spans="1:23" x14ac:dyDescent="0.2">
      <c r="A2597" s="35" t="s">
        <v>1261</v>
      </c>
      <c r="B2597" s="27" t="s">
        <v>1262</v>
      </c>
      <c r="C2597" s="23" t="e">
        <f ca="1">[1]!BexGetData("DP_1","003N8EMH8GTFRCSWKMPXRR8GU","GSON1232")</f>
        <v>#NAME?</v>
      </c>
      <c r="D2597" s="23" t="e">
        <f ca="1">[1]!BexGetData("DP_1","003N8EMH8GTFRCSWKMPXRRESE","GSON1232")</f>
        <v>#NAME?</v>
      </c>
      <c r="E2597" s="23" t="e">
        <f ca="1">[1]!BexGetData("DP_1","003N8EMH8GTFRCSWKMPXRRL3Y","GSON1232")</f>
        <v>#NAME?</v>
      </c>
      <c r="F2597" s="23" t="e">
        <f ca="1">[1]!BexGetData("DP_1","003N8EMH8GTFRCSWKMPXRRRFI","GSON1232")</f>
        <v>#NAME?</v>
      </c>
      <c r="G2597" s="28" t="e">
        <f ca="1">[1]!BexGetData("DP_1","003N8EMH8GTFRCSWKMPXRRXR2","GSON1232")</f>
        <v>#NAME?</v>
      </c>
      <c r="H2597" s="23" t="e">
        <f ca="1">[1]!BexGetData("DP_1","003N8EMH8GTFRCSWKMPXRS42M","GSON1232")</f>
        <v>#NAME?</v>
      </c>
      <c r="I2597" s="23" t="e">
        <f ca="1">[1]!BexGetData("DP_1","003N8EMH8GTFRCSWKMPXRSAE6","GSON1232")</f>
        <v>#NAME?</v>
      </c>
      <c r="J2597" s="23" t="e">
        <f ca="1">[1]!BexGetData("DP_1","003N8EMH8GTFRCSWKMPXRSGPQ","GSON1232")</f>
        <v>#NAME?</v>
      </c>
      <c r="K2597" s="23" t="e">
        <f ca="1">[1]!BexGetData("DP_1","003N8EMH8GTFRIVNUPY288VJH","GSON1232")</f>
        <v>#NAME?</v>
      </c>
      <c r="L2597" s="23" t="e">
        <f ca="1">[1]!BexGetData("DP_1","003N8EMH8GTFRIVNUPY2891V1","GSON1232")</f>
        <v>#NAME?</v>
      </c>
      <c r="M2597" s="28" t="e">
        <f ca="1">[1]!BexGetData("DP_1","003N8EMH8GTFRIVOG7KG9IQXA","GSON1232")</f>
        <v>#NAME?</v>
      </c>
      <c r="N2597" s="23" t="e">
        <f ca="1">[1]!BexGetData("DP_1","003N8EMH8GTFRIVOG7KG9IX8U","GSON1232")</f>
        <v>#NAME?</v>
      </c>
      <c r="O2597" s="28" t="e">
        <f ca="1">[1]!BexGetData("DP_1","003N8EMH8GTFRIVOG7KG9J3KE","GSON1232")</f>
        <v>#NAME?</v>
      </c>
      <c r="P2597" s="23" t="e">
        <f ca="1">[1]!BexGetData("DP_1","003N8EMH8GTFRIVOG7KG9J9VY","GSON1232")</f>
        <v>#NAME?</v>
      </c>
      <c r="Q2597" s="23" t="e">
        <f ca="1">[1]!BexGetData("DP_1","00O2TNJGODT0G5Z4TTKYMM5MT","GSON1232")</f>
        <v>#NAME?</v>
      </c>
      <c r="R2597" s="23" t="e">
        <f ca="1">[1]!BexGetData("DP_1","00O2TNJGODT0G5Z4TTKYMMBYD","GSON1232")</f>
        <v>#NAME?</v>
      </c>
      <c r="S2597" s="23" t="e">
        <f ca="1">[1]!BexGetData("DP_1","00O2TNJGODT0G5Z4TTKYMMI9X","GSON1232")</f>
        <v>#NAME?</v>
      </c>
      <c r="T2597" s="23" t="e">
        <f ca="1">[1]!BexGetData("DP_1","00O2TNJGODT0G5Z4TTKYMMOLH","GSON1232")</f>
        <v>#NAME?</v>
      </c>
      <c r="U2597" s="28" t="e">
        <f ca="1">[1]!BexGetData("DP_1","00O2TNJGODT0G5Z4TTKYMMUX1","GSON1232")</f>
        <v>#NAME?</v>
      </c>
      <c r="V2597" s="23" t="e">
        <f ca="1">[1]!BexGetData("DP_1","00O2TNJGODT0G5Z4TTKYMN18L","GSON1232")</f>
        <v>#NAME?</v>
      </c>
      <c r="W2597" s="28" t="e">
        <f ca="1">[1]!BexGetData("DP_1","00O2TNJGODT0G5Z4TTKYMN7K5","GSON1232")</f>
        <v>#NAME?</v>
      </c>
    </row>
    <row r="2598" spans="1:23" x14ac:dyDescent="0.2">
      <c r="A2598" s="36" t="s">
        <v>1263</v>
      </c>
      <c r="B2598" s="27" t="s">
        <v>1264</v>
      </c>
      <c r="C2598" s="23" t="e">
        <f ca="1">[1]!BexGetData("DP_1","003N8EMH8GTFRCSWKMPXRR8GU","GSON1232158200")</f>
        <v>#NAME?</v>
      </c>
      <c r="D2598" s="23" t="e">
        <f ca="1">[1]!BexGetData("DP_1","003N8EMH8GTFRCSWKMPXRRESE","GSON1232158200")</f>
        <v>#NAME?</v>
      </c>
      <c r="E2598" s="28" t="e">
        <f ca="1">[1]!BexGetData("DP_1","003N8EMH8GTFRCSWKMPXRRL3Y","GSON1232158200")</f>
        <v>#NAME?</v>
      </c>
      <c r="F2598" s="23" t="e">
        <f ca="1">[1]!BexGetData("DP_1","003N8EMH8GTFRCSWKMPXRRRFI","GSON1232158200")</f>
        <v>#NAME?</v>
      </c>
      <c r="G2598" s="28" t="e">
        <f ca="1">[1]!BexGetData("DP_1","003N8EMH8GTFRCSWKMPXRRXR2","GSON1232158200")</f>
        <v>#NAME?</v>
      </c>
      <c r="H2598" s="28" t="e">
        <f ca="1">[1]!BexGetData("DP_1","003N8EMH8GTFRCSWKMPXRS42M","GSON1232158200")</f>
        <v>#NAME?</v>
      </c>
      <c r="I2598" s="23" t="e">
        <f ca="1">[1]!BexGetData("DP_1","003N8EMH8GTFRCSWKMPXRSAE6","GSON1232158200")</f>
        <v>#NAME?</v>
      </c>
      <c r="J2598" s="23" t="e">
        <f ca="1">[1]!BexGetData("DP_1","003N8EMH8GTFRCSWKMPXRSGPQ","GSON1232158200")</f>
        <v>#NAME?</v>
      </c>
      <c r="K2598" s="23" t="e">
        <f ca="1">[1]!BexGetData("DP_1","003N8EMH8GTFRIVNUPY288VJH","GSON1232158200")</f>
        <v>#NAME?</v>
      </c>
      <c r="L2598" s="23" t="e">
        <f ca="1">[1]!BexGetData("DP_1","003N8EMH8GTFRIVNUPY2891V1","GSON1232158200")</f>
        <v>#NAME?</v>
      </c>
      <c r="M2598" s="28" t="e">
        <f ca="1">[1]!BexGetData("DP_1","003N8EMH8GTFRIVOG7KG9IQXA","GSON1232158200")</f>
        <v>#NAME?</v>
      </c>
      <c r="N2598" s="23" t="e">
        <f ca="1">[1]!BexGetData("DP_1","003N8EMH8GTFRIVOG7KG9IX8U","GSON1232158200")</f>
        <v>#NAME?</v>
      </c>
      <c r="O2598" s="28" t="e">
        <f ca="1">[1]!BexGetData("DP_1","003N8EMH8GTFRIVOG7KG9J3KE","GSON1232158200")</f>
        <v>#NAME?</v>
      </c>
      <c r="P2598" s="23" t="e">
        <f ca="1">[1]!BexGetData("DP_1","003N8EMH8GTFRIVOG7KG9J9VY","GSON1232158200")</f>
        <v>#NAME?</v>
      </c>
      <c r="Q2598" s="23" t="e">
        <f ca="1">[1]!BexGetData("DP_1","00O2TNJGODT0G5Z4TTKYMM5MT","GSON1232158200")</f>
        <v>#NAME?</v>
      </c>
      <c r="R2598" s="28" t="e">
        <f ca="1">[1]!BexGetData("DP_1","00O2TNJGODT0G5Z4TTKYMMBYD","GSON1232158200")</f>
        <v>#NAME?</v>
      </c>
      <c r="S2598" s="28" t="e">
        <f ca="1">[1]!BexGetData("DP_1","00O2TNJGODT0G5Z4TTKYMMI9X","GSON1232158200")</f>
        <v>#NAME?</v>
      </c>
      <c r="T2598" s="28" t="e">
        <f ca="1">[1]!BexGetData("DP_1","00O2TNJGODT0G5Z4TTKYMMOLH","GSON1232158200")</f>
        <v>#NAME?</v>
      </c>
      <c r="U2598" s="28" t="e">
        <f ca="1">[1]!BexGetData("DP_1","00O2TNJGODT0G5Z4TTKYMMUX1","GSON1232158200")</f>
        <v>#NAME?</v>
      </c>
      <c r="V2598" s="28" t="e">
        <f ca="1">[1]!BexGetData("DP_1","00O2TNJGODT0G5Z4TTKYMN18L","GSON1232158200")</f>
        <v>#NAME?</v>
      </c>
      <c r="W2598" s="28" t="e">
        <f ca="1">[1]!BexGetData("DP_1","00O2TNJGODT0G5Z4TTKYMN7K5","GSON1232158200")</f>
        <v>#NAME?</v>
      </c>
    </row>
    <row r="2599" spans="1:23" x14ac:dyDescent="0.2">
      <c r="A2599" s="36" t="s">
        <v>6000</v>
      </c>
      <c r="B2599" s="27" t="s">
        <v>6001</v>
      </c>
      <c r="C2599" s="28" t="e">
        <f ca="1">[1]!BexGetData("DP_1","003N8EMH8GTFRCSWKMPXRR8GU","GSON1232158201")</f>
        <v>#NAME?</v>
      </c>
      <c r="D2599" s="28" t="e">
        <f ca="1">[1]!BexGetData("DP_1","003N8EMH8GTFRCSWKMPXRRESE","GSON1232158201")</f>
        <v>#NAME?</v>
      </c>
      <c r="E2599" s="23" t="e">
        <f ca="1">[1]!BexGetData("DP_1","003N8EMH8GTFRCSWKMPXRRL3Y","GSON1232158201")</f>
        <v>#NAME?</v>
      </c>
      <c r="F2599" s="23" t="e">
        <f ca="1">[1]!BexGetData("DP_1","003N8EMH8GTFRCSWKMPXRRRFI","GSON1232158201")</f>
        <v>#NAME?</v>
      </c>
      <c r="G2599" s="28" t="e">
        <f ca="1">[1]!BexGetData("DP_1","003N8EMH8GTFRCSWKMPXRRXR2","GSON1232158201")</f>
        <v>#NAME?</v>
      </c>
      <c r="H2599" s="23" t="e">
        <f ca="1">[1]!BexGetData("DP_1","003N8EMH8GTFRCSWKMPXRS42M","GSON1232158201")</f>
        <v>#NAME?</v>
      </c>
      <c r="I2599" s="23" t="e">
        <f ca="1">[1]!BexGetData("DP_1","003N8EMH8GTFRCSWKMPXRSAE6","GSON1232158201")</f>
        <v>#NAME?</v>
      </c>
      <c r="J2599" s="23" t="e">
        <f ca="1">[1]!BexGetData("DP_1","003N8EMH8GTFRCSWKMPXRSGPQ","GSON1232158201")</f>
        <v>#NAME?</v>
      </c>
      <c r="K2599" s="28" t="e">
        <f ca="1">[1]!BexGetData("DP_1","003N8EMH8GTFRIVNUPY288VJH","GSON1232158201")</f>
        <v>#NAME?</v>
      </c>
      <c r="L2599" s="28" t="e">
        <f ca="1">[1]!BexGetData("DP_1","003N8EMH8GTFRIVNUPY2891V1","GSON1232158201")</f>
        <v>#NAME?</v>
      </c>
      <c r="M2599" s="28" t="e">
        <f ca="1">[1]!BexGetData("DP_1","003N8EMH8GTFRIVOG7KG9IQXA","GSON1232158201")</f>
        <v>#NAME?</v>
      </c>
      <c r="N2599" s="28" t="e">
        <f ca="1">[1]!BexGetData("DP_1","003N8EMH8GTFRIVOG7KG9IX8U","GSON1232158201")</f>
        <v>#NAME?</v>
      </c>
      <c r="O2599" s="28" t="e">
        <f ca="1">[1]!BexGetData("DP_1","003N8EMH8GTFRIVOG7KG9J3KE","GSON1232158201")</f>
        <v>#NAME?</v>
      </c>
      <c r="P2599" s="28" t="e">
        <f ca="1">[1]!BexGetData("DP_1","003N8EMH8GTFRIVOG7KG9J9VY","GSON1232158201")</f>
        <v>#NAME?</v>
      </c>
      <c r="Q2599" s="23" t="e">
        <f ca="1">[1]!BexGetData("DP_1","00O2TNJGODT0G5Z4TTKYMM5MT","GSON1232158201")</f>
        <v>#NAME?</v>
      </c>
      <c r="R2599" s="23" t="e">
        <f ca="1">[1]!BexGetData("DP_1","00O2TNJGODT0G5Z4TTKYMMBYD","GSON1232158201")</f>
        <v>#NAME?</v>
      </c>
      <c r="S2599" s="23" t="e">
        <f ca="1">[1]!BexGetData("DP_1","00O2TNJGODT0G5Z4TTKYMMI9X","GSON1232158201")</f>
        <v>#NAME?</v>
      </c>
      <c r="T2599" s="23" t="e">
        <f ca="1">[1]!BexGetData("DP_1","00O2TNJGODT0G5Z4TTKYMMOLH","GSON1232158201")</f>
        <v>#NAME?</v>
      </c>
      <c r="U2599" s="28" t="e">
        <f ca="1">[1]!BexGetData("DP_1","00O2TNJGODT0G5Z4TTKYMMUX1","GSON1232158201")</f>
        <v>#NAME?</v>
      </c>
      <c r="V2599" s="23" t="e">
        <f ca="1">[1]!BexGetData("DP_1","00O2TNJGODT0G5Z4TTKYMN18L","GSON1232158201")</f>
        <v>#NAME?</v>
      </c>
      <c r="W2599" s="28" t="e">
        <f ca="1">[1]!BexGetData("DP_1","00O2TNJGODT0G5Z4TTKYMN7K5","GSON1232158201")</f>
        <v>#NAME?</v>
      </c>
    </row>
    <row r="2600" spans="1:23" x14ac:dyDescent="0.2">
      <c r="A2600" s="35" t="s">
        <v>151</v>
      </c>
      <c r="B2600" s="27" t="s">
        <v>152</v>
      </c>
      <c r="C2600" s="23" t="e">
        <f ca="1">[1]!BexGetData("DP_1","003N8EMH8GTFRCSWKMPXRR8GU","GSON1233")</f>
        <v>#NAME?</v>
      </c>
      <c r="D2600" s="23" t="e">
        <f ca="1">[1]!BexGetData("DP_1","003N8EMH8GTFRCSWKMPXRRESE","GSON1233")</f>
        <v>#NAME?</v>
      </c>
      <c r="E2600" s="23" t="e">
        <f ca="1">[1]!BexGetData("DP_1","003N8EMH8GTFRCSWKMPXRRL3Y","GSON1233")</f>
        <v>#NAME?</v>
      </c>
      <c r="F2600" s="23" t="e">
        <f ca="1">[1]!BexGetData("DP_1","003N8EMH8GTFRCSWKMPXRRRFI","GSON1233")</f>
        <v>#NAME?</v>
      </c>
      <c r="G2600" s="23" t="e">
        <f ca="1">[1]!BexGetData("DP_1","003N8EMH8GTFRCSWKMPXRRXR2","GSON1233")</f>
        <v>#NAME?</v>
      </c>
      <c r="H2600" s="23" t="e">
        <f ca="1">[1]!BexGetData("DP_1","003N8EMH8GTFRCSWKMPXRS42M","GSON1233")</f>
        <v>#NAME?</v>
      </c>
      <c r="I2600" s="23" t="e">
        <f ca="1">[1]!BexGetData("DP_1","003N8EMH8GTFRCSWKMPXRSAE6","GSON1233")</f>
        <v>#NAME?</v>
      </c>
      <c r="J2600" s="23" t="e">
        <f ca="1">[1]!BexGetData("DP_1","003N8EMH8GTFRCSWKMPXRSGPQ","GSON1233")</f>
        <v>#NAME?</v>
      </c>
      <c r="K2600" s="23" t="e">
        <f ca="1">[1]!BexGetData("DP_1","003N8EMH8GTFRIVNUPY288VJH","GSON1233")</f>
        <v>#NAME?</v>
      </c>
      <c r="L2600" s="23" t="e">
        <f ca="1">[1]!BexGetData("DP_1","003N8EMH8GTFRIVNUPY2891V1","GSON1233")</f>
        <v>#NAME?</v>
      </c>
      <c r="M2600" s="28" t="e">
        <f ca="1">[1]!BexGetData("DP_1","003N8EMH8GTFRIVOG7KG9IQXA","GSON1233")</f>
        <v>#NAME?</v>
      </c>
      <c r="N2600" s="23" t="e">
        <f ca="1">[1]!BexGetData("DP_1","003N8EMH8GTFRIVOG7KG9IX8U","GSON1233")</f>
        <v>#NAME?</v>
      </c>
      <c r="O2600" s="28" t="e">
        <f ca="1">[1]!BexGetData("DP_1","003N8EMH8GTFRIVOG7KG9J3KE","GSON1233")</f>
        <v>#NAME?</v>
      </c>
      <c r="P2600" s="23" t="e">
        <f ca="1">[1]!BexGetData("DP_1","003N8EMH8GTFRIVOG7KG9J9VY","GSON1233")</f>
        <v>#NAME?</v>
      </c>
      <c r="Q2600" s="23" t="e">
        <f ca="1">[1]!BexGetData("DP_1","00O2TNJGODT0G5Z4TTKYMM5MT","GSON1233")</f>
        <v>#NAME?</v>
      </c>
      <c r="R2600" s="23" t="e">
        <f ca="1">[1]!BexGetData("DP_1","00O2TNJGODT0G5Z4TTKYMMBYD","GSON1233")</f>
        <v>#NAME?</v>
      </c>
      <c r="S2600" s="23" t="e">
        <f ca="1">[1]!BexGetData("DP_1","00O2TNJGODT0G5Z4TTKYMMI9X","GSON1233")</f>
        <v>#NAME?</v>
      </c>
      <c r="T2600" s="28" t="e">
        <f ca="1">[1]!BexGetData("DP_1","00O2TNJGODT0G5Z4TTKYMMOLH","GSON1233")</f>
        <v>#NAME?</v>
      </c>
      <c r="U2600" s="23" t="e">
        <f ca="1">[1]!BexGetData("DP_1","00O2TNJGODT0G5Z4TTKYMMUX1","GSON1233")</f>
        <v>#NAME?</v>
      </c>
      <c r="V2600" s="28" t="e">
        <f ca="1">[1]!BexGetData("DP_1","00O2TNJGODT0G5Z4TTKYMN18L","GSON1233")</f>
        <v>#NAME?</v>
      </c>
      <c r="W2600" s="23" t="e">
        <f ca="1">[1]!BexGetData("DP_1","00O2TNJGODT0G5Z4TTKYMN7K5","GSON1233")</f>
        <v>#NAME?</v>
      </c>
    </row>
    <row r="2601" spans="1:23" x14ac:dyDescent="0.2">
      <c r="A2601" s="36" t="s">
        <v>1265</v>
      </c>
      <c r="B2601" s="27" t="s">
        <v>1266</v>
      </c>
      <c r="C2601" s="23" t="e">
        <f ca="1">[1]!BexGetData("DP_1","003N8EMH8GTFRCSWKMPXRR8GU","GSON1233158300")</f>
        <v>#NAME?</v>
      </c>
      <c r="D2601" s="23" t="e">
        <f ca="1">[1]!BexGetData("DP_1","003N8EMH8GTFRCSWKMPXRRESE","GSON1233158300")</f>
        <v>#NAME?</v>
      </c>
      <c r="E2601" s="28" t="e">
        <f ca="1">[1]!BexGetData("DP_1","003N8EMH8GTFRCSWKMPXRRL3Y","GSON1233158300")</f>
        <v>#NAME?</v>
      </c>
      <c r="F2601" s="23" t="e">
        <f ca="1">[1]!BexGetData("DP_1","003N8EMH8GTFRCSWKMPXRRRFI","GSON1233158300")</f>
        <v>#NAME?</v>
      </c>
      <c r="G2601" s="28" t="e">
        <f ca="1">[1]!BexGetData("DP_1","003N8EMH8GTFRCSWKMPXRRXR2","GSON1233158300")</f>
        <v>#NAME?</v>
      </c>
      <c r="H2601" s="28" t="e">
        <f ca="1">[1]!BexGetData("DP_1","003N8EMH8GTFRCSWKMPXRS42M","GSON1233158300")</f>
        <v>#NAME?</v>
      </c>
      <c r="I2601" s="23" t="e">
        <f ca="1">[1]!BexGetData("DP_1","003N8EMH8GTFRCSWKMPXRSAE6","GSON1233158300")</f>
        <v>#NAME?</v>
      </c>
      <c r="J2601" s="23" t="e">
        <f ca="1">[1]!BexGetData("DP_1","003N8EMH8GTFRCSWKMPXRSGPQ","GSON1233158300")</f>
        <v>#NAME?</v>
      </c>
      <c r="K2601" s="23" t="e">
        <f ca="1">[1]!BexGetData("DP_1","003N8EMH8GTFRIVNUPY288VJH","GSON1233158300")</f>
        <v>#NAME?</v>
      </c>
      <c r="L2601" s="23" t="e">
        <f ca="1">[1]!BexGetData("DP_1","003N8EMH8GTFRIVNUPY2891V1","GSON1233158300")</f>
        <v>#NAME?</v>
      </c>
      <c r="M2601" s="28" t="e">
        <f ca="1">[1]!BexGetData("DP_1","003N8EMH8GTFRIVOG7KG9IQXA","GSON1233158300")</f>
        <v>#NAME?</v>
      </c>
      <c r="N2601" s="23" t="e">
        <f ca="1">[1]!BexGetData("DP_1","003N8EMH8GTFRIVOG7KG9IX8U","GSON1233158300")</f>
        <v>#NAME?</v>
      </c>
      <c r="O2601" s="28" t="e">
        <f ca="1">[1]!BexGetData("DP_1","003N8EMH8GTFRIVOG7KG9J3KE","GSON1233158300")</f>
        <v>#NAME?</v>
      </c>
      <c r="P2601" s="23" t="e">
        <f ca="1">[1]!BexGetData("DP_1","003N8EMH8GTFRIVOG7KG9J9VY","GSON1233158300")</f>
        <v>#NAME?</v>
      </c>
      <c r="Q2601" s="23" t="e">
        <f ca="1">[1]!BexGetData("DP_1","00O2TNJGODT0G5Z4TTKYMM5MT","GSON1233158300")</f>
        <v>#NAME?</v>
      </c>
      <c r="R2601" s="28" t="e">
        <f ca="1">[1]!BexGetData("DP_1","00O2TNJGODT0G5Z4TTKYMMBYD","GSON1233158300")</f>
        <v>#NAME?</v>
      </c>
      <c r="S2601" s="28" t="e">
        <f ca="1">[1]!BexGetData("DP_1","00O2TNJGODT0G5Z4TTKYMMI9X","GSON1233158300")</f>
        <v>#NAME?</v>
      </c>
      <c r="T2601" s="28" t="e">
        <f ca="1">[1]!BexGetData("DP_1","00O2TNJGODT0G5Z4TTKYMMOLH","GSON1233158300")</f>
        <v>#NAME?</v>
      </c>
      <c r="U2601" s="28" t="e">
        <f ca="1">[1]!BexGetData("DP_1","00O2TNJGODT0G5Z4TTKYMMUX1","GSON1233158300")</f>
        <v>#NAME?</v>
      </c>
      <c r="V2601" s="28" t="e">
        <f ca="1">[1]!BexGetData("DP_1","00O2TNJGODT0G5Z4TTKYMN18L","GSON1233158300")</f>
        <v>#NAME?</v>
      </c>
      <c r="W2601" s="28" t="e">
        <f ca="1">[1]!BexGetData("DP_1","00O2TNJGODT0G5Z4TTKYMN7K5","GSON1233158300")</f>
        <v>#NAME?</v>
      </c>
    </row>
    <row r="2602" spans="1:23" x14ac:dyDescent="0.2">
      <c r="A2602" s="36" t="s">
        <v>1267</v>
      </c>
      <c r="B2602" s="27" t="s">
        <v>334</v>
      </c>
      <c r="C2602" s="28" t="e">
        <f ca="1">[1]!BexGetData("DP_1","003N8EMH8GTFRCSWKMPXRR8GU","GSON1233158301")</f>
        <v>#NAME?</v>
      </c>
      <c r="D2602" s="28" t="e">
        <f ca="1">[1]!BexGetData("DP_1","003N8EMH8GTFRCSWKMPXRRESE","GSON1233158301")</f>
        <v>#NAME?</v>
      </c>
      <c r="E2602" s="23" t="e">
        <f ca="1">[1]!BexGetData("DP_1","003N8EMH8GTFRCSWKMPXRRL3Y","GSON1233158301")</f>
        <v>#NAME?</v>
      </c>
      <c r="F2602" s="23" t="e">
        <f ca="1">[1]!BexGetData("DP_1","003N8EMH8GTFRCSWKMPXRRRFI","GSON1233158301")</f>
        <v>#NAME?</v>
      </c>
      <c r="G2602" s="23" t="e">
        <f ca="1">[1]!BexGetData("DP_1","003N8EMH8GTFRCSWKMPXRRXR2","GSON1233158301")</f>
        <v>#NAME?</v>
      </c>
      <c r="H2602" s="23" t="e">
        <f ca="1">[1]!BexGetData("DP_1","003N8EMH8GTFRCSWKMPXRS42M","GSON1233158301")</f>
        <v>#NAME?</v>
      </c>
      <c r="I2602" s="23" t="e">
        <f ca="1">[1]!BexGetData("DP_1","003N8EMH8GTFRCSWKMPXRSAE6","GSON1233158301")</f>
        <v>#NAME?</v>
      </c>
      <c r="J2602" s="23" t="e">
        <f ca="1">[1]!BexGetData("DP_1","003N8EMH8GTFRCSWKMPXRSGPQ","GSON1233158301")</f>
        <v>#NAME?</v>
      </c>
      <c r="K2602" s="28" t="e">
        <f ca="1">[1]!BexGetData("DP_1","003N8EMH8GTFRIVNUPY288VJH","GSON1233158301")</f>
        <v>#NAME?</v>
      </c>
      <c r="L2602" s="28" t="e">
        <f ca="1">[1]!BexGetData("DP_1","003N8EMH8GTFRIVNUPY2891V1","GSON1233158301")</f>
        <v>#NAME?</v>
      </c>
      <c r="M2602" s="28" t="e">
        <f ca="1">[1]!BexGetData("DP_1","003N8EMH8GTFRIVOG7KG9IQXA","GSON1233158301")</f>
        <v>#NAME?</v>
      </c>
      <c r="N2602" s="28" t="e">
        <f ca="1">[1]!BexGetData("DP_1","003N8EMH8GTFRIVOG7KG9IX8U","GSON1233158301")</f>
        <v>#NAME?</v>
      </c>
      <c r="O2602" s="28" t="e">
        <f ca="1">[1]!BexGetData("DP_1","003N8EMH8GTFRIVOG7KG9J3KE","GSON1233158301")</f>
        <v>#NAME?</v>
      </c>
      <c r="P2602" s="28" t="e">
        <f ca="1">[1]!BexGetData("DP_1","003N8EMH8GTFRIVOG7KG9J9VY","GSON1233158301")</f>
        <v>#NAME?</v>
      </c>
      <c r="Q2602" s="23" t="e">
        <f ca="1">[1]!BexGetData("DP_1","00O2TNJGODT0G5Z4TTKYMM5MT","GSON1233158301")</f>
        <v>#NAME?</v>
      </c>
      <c r="R2602" s="23" t="e">
        <f ca="1">[1]!BexGetData("DP_1","00O2TNJGODT0G5Z4TTKYMMBYD","GSON1233158301")</f>
        <v>#NAME?</v>
      </c>
      <c r="S2602" s="23" t="e">
        <f ca="1">[1]!BexGetData("DP_1","00O2TNJGODT0G5Z4TTKYMMI9X","GSON1233158301")</f>
        <v>#NAME?</v>
      </c>
      <c r="T2602" s="28" t="e">
        <f ca="1">[1]!BexGetData("DP_1","00O2TNJGODT0G5Z4TTKYMMOLH","GSON1233158301")</f>
        <v>#NAME?</v>
      </c>
      <c r="U2602" s="23" t="e">
        <f ca="1">[1]!BexGetData("DP_1","00O2TNJGODT0G5Z4TTKYMMUX1","GSON1233158301")</f>
        <v>#NAME?</v>
      </c>
      <c r="V2602" s="28" t="e">
        <f ca="1">[1]!BexGetData("DP_1","00O2TNJGODT0G5Z4TTKYMN18L","GSON1233158301")</f>
        <v>#NAME?</v>
      </c>
      <c r="W2602" s="23" t="e">
        <f ca="1">[1]!BexGetData("DP_1","00O2TNJGODT0G5Z4TTKYMN7K5","GSON1233158301")</f>
        <v>#NAME?</v>
      </c>
    </row>
    <row r="2603" spans="1:23" x14ac:dyDescent="0.2">
      <c r="A2603" s="35" t="s">
        <v>465</v>
      </c>
      <c r="B2603" s="27" t="s">
        <v>466</v>
      </c>
      <c r="C2603" s="28" t="e">
        <f ca="1">[1]!BexGetData("DP_1","003N8EMH8GTFRCSWKMPXRR8GU","GSON1234")</f>
        <v>#NAME?</v>
      </c>
      <c r="D2603" s="28" t="e">
        <f ca="1">[1]!BexGetData("DP_1","003N8EMH8GTFRCSWKMPXRRESE","GSON1234")</f>
        <v>#NAME?</v>
      </c>
      <c r="E2603" s="23" t="e">
        <f ca="1">[1]!BexGetData("DP_1","003N8EMH8GTFRCSWKMPXRRL3Y","GSON1234")</f>
        <v>#NAME?</v>
      </c>
      <c r="F2603" s="23" t="e">
        <f ca="1">[1]!BexGetData("DP_1","003N8EMH8GTFRCSWKMPXRRRFI","GSON1234")</f>
        <v>#NAME?</v>
      </c>
      <c r="G2603" s="23" t="e">
        <f ca="1">[1]!BexGetData("DP_1","003N8EMH8GTFRCSWKMPXRRXR2","GSON1234")</f>
        <v>#NAME?</v>
      </c>
      <c r="H2603" s="23" t="e">
        <f ca="1">[1]!BexGetData("DP_1","003N8EMH8GTFRCSWKMPXRS42M","GSON1234")</f>
        <v>#NAME?</v>
      </c>
      <c r="I2603" s="23" t="e">
        <f ca="1">[1]!BexGetData("DP_1","003N8EMH8GTFRCSWKMPXRSAE6","GSON1234")</f>
        <v>#NAME?</v>
      </c>
      <c r="J2603" s="23" t="e">
        <f ca="1">[1]!BexGetData("DP_1","003N8EMH8GTFRCSWKMPXRSGPQ","GSON1234")</f>
        <v>#NAME?</v>
      </c>
      <c r="K2603" s="28" t="e">
        <f ca="1">[1]!BexGetData("DP_1","003N8EMH8GTFRIVNUPY288VJH","GSON1234")</f>
        <v>#NAME?</v>
      </c>
      <c r="L2603" s="28" t="e">
        <f ca="1">[1]!BexGetData("DP_1","003N8EMH8GTFRIVNUPY2891V1","GSON1234")</f>
        <v>#NAME?</v>
      </c>
      <c r="M2603" s="28" t="e">
        <f ca="1">[1]!BexGetData("DP_1","003N8EMH8GTFRIVOG7KG9IQXA","GSON1234")</f>
        <v>#NAME?</v>
      </c>
      <c r="N2603" s="28" t="e">
        <f ca="1">[1]!BexGetData("DP_1","003N8EMH8GTFRIVOG7KG9IX8U","GSON1234")</f>
        <v>#NAME?</v>
      </c>
      <c r="O2603" s="28" t="e">
        <f ca="1">[1]!BexGetData("DP_1","003N8EMH8GTFRIVOG7KG9J3KE","GSON1234")</f>
        <v>#NAME?</v>
      </c>
      <c r="P2603" s="28" t="e">
        <f ca="1">[1]!BexGetData("DP_1","003N8EMH8GTFRIVOG7KG9J9VY","GSON1234")</f>
        <v>#NAME?</v>
      </c>
      <c r="Q2603" s="23" t="e">
        <f ca="1">[1]!BexGetData("DP_1","00O2TNJGODT0G5Z4TTKYMM5MT","GSON1234")</f>
        <v>#NAME?</v>
      </c>
      <c r="R2603" s="23" t="e">
        <f ca="1">[1]!BexGetData("DP_1","00O2TNJGODT0G5Z4TTKYMMBYD","GSON1234")</f>
        <v>#NAME?</v>
      </c>
      <c r="S2603" s="23" t="e">
        <f ca="1">[1]!BexGetData("DP_1","00O2TNJGODT0G5Z4TTKYMMI9X","GSON1234")</f>
        <v>#NAME?</v>
      </c>
      <c r="T2603" s="23" t="e">
        <f ca="1">[1]!BexGetData("DP_1","00O2TNJGODT0G5Z4TTKYMMOLH","GSON1234")</f>
        <v>#NAME?</v>
      </c>
      <c r="U2603" s="28" t="e">
        <f ca="1">[1]!BexGetData("DP_1","00O2TNJGODT0G5Z4TTKYMMUX1","GSON1234")</f>
        <v>#NAME?</v>
      </c>
      <c r="V2603" s="23" t="e">
        <f ca="1">[1]!BexGetData("DP_1","00O2TNJGODT0G5Z4TTKYMN18L","GSON1234")</f>
        <v>#NAME?</v>
      </c>
      <c r="W2603" s="28" t="e">
        <f ca="1">[1]!BexGetData("DP_1","00O2TNJGODT0G5Z4TTKYMN7K5","GSON1234")</f>
        <v>#NAME?</v>
      </c>
    </row>
    <row r="2604" spans="1:23" x14ac:dyDescent="0.2">
      <c r="A2604" s="36" t="s">
        <v>1268</v>
      </c>
      <c r="B2604" s="27" t="s">
        <v>1269</v>
      </c>
      <c r="C2604" s="28" t="e">
        <f ca="1">[1]!BexGetData("DP_1","003N8EMH8GTFRCSWKMPXRR8GU","GSON1234100000")</f>
        <v>#NAME?</v>
      </c>
      <c r="D2604" s="28" t="e">
        <f ca="1">[1]!BexGetData("DP_1","003N8EMH8GTFRCSWKMPXRRESE","GSON1234100000")</f>
        <v>#NAME?</v>
      </c>
      <c r="E2604" s="23" t="e">
        <f ca="1">[1]!BexGetData("DP_1","003N8EMH8GTFRCSWKMPXRRL3Y","GSON1234100000")</f>
        <v>#NAME?</v>
      </c>
      <c r="F2604" s="23" t="e">
        <f ca="1">[1]!BexGetData("DP_1","003N8EMH8GTFRCSWKMPXRRRFI","GSON1234100000")</f>
        <v>#NAME?</v>
      </c>
      <c r="G2604" s="23" t="e">
        <f ca="1">[1]!BexGetData("DP_1","003N8EMH8GTFRCSWKMPXRRXR2","GSON1234100000")</f>
        <v>#NAME?</v>
      </c>
      <c r="H2604" s="23" t="e">
        <f ca="1">[1]!BexGetData("DP_1","003N8EMH8GTFRCSWKMPXRS42M","GSON1234100000")</f>
        <v>#NAME?</v>
      </c>
      <c r="I2604" s="23" t="e">
        <f ca="1">[1]!BexGetData("DP_1","003N8EMH8GTFRCSWKMPXRSAE6","GSON1234100000")</f>
        <v>#NAME?</v>
      </c>
      <c r="J2604" s="23" t="e">
        <f ca="1">[1]!BexGetData("DP_1","003N8EMH8GTFRCSWKMPXRSGPQ","GSON1234100000")</f>
        <v>#NAME?</v>
      </c>
      <c r="K2604" s="28" t="e">
        <f ca="1">[1]!BexGetData("DP_1","003N8EMH8GTFRIVNUPY288VJH","GSON1234100000")</f>
        <v>#NAME?</v>
      </c>
      <c r="L2604" s="28" t="e">
        <f ca="1">[1]!BexGetData("DP_1","003N8EMH8GTFRIVNUPY2891V1","GSON1234100000")</f>
        <v>#NAME?</v>
      </c>
      <c r="M2604" s="28" t="e">
        <f ca="1">[1]!BexGetData("DP_1","003N8EMH8GTFRIVOG7KG9IQXA","GSON1234100000")</f>
        <v>#NAME?</v>
      </c>
      <c r="N2604" s="28" t="e">
        <f ca="1">[1]!BexGetData("DP_1","003N8EMH8GTFRIVOG7KG9IX8U","GSON1234100000")</f>
        <v>#NAME?</v>
      </c>
      <c r="O2604" s="28" t="e">
        <f ca="1">[1]!BexGetData("DP_1","003N8EMH8GTFRIVOG7KG9J3KE","GSON1234100000")</f>
        <v>#NAME?</v>
      </c>
      <c r="P2604" s="28" t="e">
        <f ca="1">[1]!BexGetData("DP_1","003N8EMH8GTFRIVOG7KG9J9VY","GSON1234100000")</f>
        <v>#NAME?</v>
      </c>
      <c r="Q2604" s="23" t="e">
        <f ca="1">[1]!BexGetData("DP_1","00O2TNJGODT0G5Z4TTKYMM5MT","GSON1234100000")</f>
        <v>#NAME?</v>
      </c>
      <c r="R2604" s="23" t="e">
        <f ca="1">[1]!BexGetData("DP_1","00O2TNJGODT0G5Z4TTKYMMBYD","GSON1234100000")</f>
        <v>#NAME?</v>
      </c>
      <c r="S2604" s="23" t="e">
        <f ca="1">[1]!BexGetData("DP_1","00O2TNJGODT0G5Z4TTKYMMI9X","GSON1234100000")</f>
        <v>#NAME?</v>
      </c>
      <c r="T2604" s="23" t="e">
        <f ca="1">[1]!BexGetData("DP_1","00O2TNJGODT0G5Z4TTKYMMOLH","GSON1234100000")</f>
        <v>#NAME?</v>
      </c>
      <c r="U2604" s="28" t="e">
        <f ca="1">[1]!BexGetData("DP_1","00O2TNJGODT0G5Z4TTKYMMUX1","GSON1234100000")</f>
        <v>#NAME?</v>
      </c>
      <c r="V2604" s="23" t="e">
        <f ca="1">[1]!BexGetData("DP_1","00O2TNJGODT0G5Z4TTKYMN18L","GSON1234100000")</f>
        <v>#NAME?</v>
      </c>
      <c r="W2604" s="28" t="e">
        <f ca="1">[1]!BexGetData("DP_1","00O2TNJGODT0G5Z4TTKYMN7K5","GSON1234100000")</f>
        <v>#NAME?</v>
      </c>
    </row>
    <row r="2605" spans="1:23" x14ac:dyDescent="0.2">
      <c r="A2605" s="36" t="s">
        <v>6002</v>
      </c>
      <c r="B2605" s="27" t="s">
        <v>6003</v>
      </c>
      <c r="C2605" s="28" t="e">
        <f ca="1">[1]!BexGetData("DP_1","003N8EMH8GTFRCSWKMPXRR8GU","GSON1234700001")</f>
        <v>#NAME?</v>
      </c>
      <c r="D2605" s="28" t="e">
        <f ca="1">[1]!BexGetData("DP_1","003N8EMH8GTFRCSWKMPXRRESE","GSON1234700001")</f>
        <v>#NAME?</v>
      </c>
      <c r="E2605" s="23" t="e">
        <f ca="1">[1]!BexGetData("DP_1","003N8EMH8GTFRCSWKMPXRRL3Y","GSON1234700001")</f>
        <v>#NAME?</v>
      </c>
      <c r="F2605" s="23" t="e">
        <f ca="1">[1]!BexGetData("DP_1","003N8EMH8GTFRCSWKMPXRRRFI","GSON1234700001")</f>
        <v>#NAME?</v>
      </c>
      <c r="G2605" s="28" t="e">
        <f ca="1">[1]!BexGetData("DP_1","003N8EMH8GTFRCSWKMPXRRXR2","GSON1234700001")</f>
        <v>#NAME?</v>
      </c>
      <c r="H2605" s="28" t="e">
        <f ca="1">[1]!BexGetData("DP_1","003N8EMH8GTFRCSWKMPXRS42M","GSON1234700001")</f>
        <v>#NAME?</v>
      </c>
      <c r="I2605" s="23" t="e">
        <f ca="1">[1]!BexGetData("DP_1","003N8EMH8GTFRCSWKMPXRSAE6","GSON1234700001")</f>
        <v>#NAME?</v>
      </c>
      <c r="J2605" s="23" t="e">
        <f ca="1">[1]!BexGetData("DP_1","003N8EMH8GTFRCSWKMPXRSGPQ","GSON1234700001")</f>
        <v>#NAME?</v>
      </c>
      <c r="K2605" s="28" t="e">
        <f ca="1">[1]!BexGetData("DP_1","003N8EMH8GTFRIVNUPY288VJH","GSON1234700001")</f>
        <v>#NAME?</v>
      </c>
      <c r="L2605" s="28" t="e">
        <f ca="1">[1]!BexGetData("DP_1","003N8EMH8GTFRIVNUPY2891V1","GSON1234700001")</f>
        <v>#NAME?</v>
      </c>
      <c r="M2605" s="28" t="e">
        <f ca="1">[1]!BexGetData("DP_1","003N8EMH8GTFRIVOG7KG9IQXA","GSON1234700001")</f>
        <v>#NAME?</v>
      </c>
      <c r="N2605" s="28" t="e">
        <f ca="1">[1]!BexGetData("DP_1","003N8EMH8GTFRIVOG7KG9IX8U","GSON1234700001")</f>
        <v>#NAME?</v>
      </c>
      <c r="O2605" s="28" t="e">
        <f ca="1">[1]!BexGetData("DP_1","003N8EMH8GTFRIVOG7KG9J3KE","GSON1234700001")</f>
        <v>#NAME?</v>
      </c>
      <c r="P2605" s="28" t="e">
        <f ca="1">[1]!BexGetData("DP_1","003N8EMH8GTFRIVOG7KG9J9VY","GSON1234700001")</f>
        <v>#NAME?</v>
      </c>
      <c r="Q2605" s="23" t="e">
        <f ca="1">[1]!BexGetData("DP_1","00O2TNJGODT0G5Z4TTKYMM5MT","GSON1234700001")</f>
        <v>#NAME?</v>
      </c>
      <c r="R2605" s="28" t="e">
        <f ca="1">[1]!BexGetData("DP_1","00O2TNJGODT0G5Z4TTKYMMBYD","GSON1234700001")</f>
        <v>#NAME?</v>
      </c>
      <c r="S2605" s="28" t="e">
        <f ca="1">[1]!BexGetData("DP_1","00O2TNJGODT0G5Z4TTKYMMI9X","GSON1234700001")</f>
        <v>#NAME?</v>
      </c>
      <c r="T2605" s="28" t="e">
        <f ca="1">[1]!BexGetData("DP_1","00O2TNJGODT0G5Z4TTKYMMOLH","GSON1234700001")</f>
        <v>#NAME?</v>
      </c>
      <c r="U2605" s="28" t="e">
        <f ca="1">[1]!BexGetData("DP_1","00O2TNJGODT0G5Z4TTKYMMUX1","GSON1234700001")</f>
        <v>#NAME?</v>
      </c>
      <c r="V2605" s="28" t="e">
        <f ca="1">[1]!BexGetData("DP_1","00O2TNJGODT0G5Z4TTKYMN18L","GSON1234700001")</f>
        <v>#NAME?</v>
      </c>
      <c r="W2605" s="28" t="e">
        <f ca="1">[1]!BexGetData("DP_1","00O2TNJGODT0G5Z4TTKYMN7K5","GSON1234700001")</f>
        <v>#NAME?</v>
      </c>
    </row>
    <row r="2606" spans="1:23" x14ac:dyDescent="0.2">
      <c r="A2606" s="35" t="s">
        <v>79</v>
      </c>
      <c r="B2606" s="27" t="s">
        <v>335</v>
      </c>
      <c r="C2606" s="23" t="e">
        <f ca="1">[1]!BexGetData("DP_1","003N8EMH8GTFRCSWKMPXRR8GU","GSON1235")</f>
        <v>#NAME?</v>
      </c>
      <c r="D2606" s="23" t="e">
        <f ca="1">[1]!BexGetData("DP_1","003N8EMH8GTFRCSWKMPXRRESE","GSON1235")</f>
        <v>#NAME?</v>
      </c>
      <c r="E2606" s="23" t="e">
        <f ca="1">[1]!BexGetData("DP_1","003N8EMH8GTFRCSWKMPXRRL3Y","GSON1235")</f>
        <v>#NAME?</v>
      </c>
      <c r="F2606" s="23" t="e">
        <f ca="1">[1]!BexGetData("DP_1","003N8EMH8GTFRCSWKMPXRRRFI","GSON1235")</f>
        <v>#NAME?</v>
      </c>
      <c r="G2606" s="23" t="e">
        <f ca="1">[1]!BexGetData("DP_1","003N8EMH8GTFRCSWKMPXRRXR2","GSON1235")</f>
        <v>#NAME?</v>
      </c>
      <c r="H2606" s="23" t="e">
        <f ca="1">[1]!BexGetData("DP_1","003N8EMH8GTFRCSWKMPXRS42M","GSON1235")</f>
        <v>#NAME?</v>
      </c>
      <c r="I2606" s="23" t="e">
        <f ca="1">[1]!BexGetData("DP_1","003N8EMH8GTFRCSWKMPXRSAE6","GSON1235")</f>
        <v>#NAME?</v>
      </c>
      <c r="J2606" s="23" t="e">
        <f ca="1">[1]!BexGetData("DP_1","003N8EMH8GTFRCSWKMPXRSGPQ","GSON1235")</f>
        <v>#NAME?</v>
      </c>
      <c r="K2606" s="23" t="e">
        <f ca="1">[1]!BexGetData("DP_1","003N8EMH8GTFRIVNUPY288VJH","GSON1235")</f>
        <v>#NAME?</v>
      </c>
      <c r="L2606" s="23" t="e">
        <f ca="1">[1]!BexGetData("DP_1","003N8EMH8GTFRIVNUPY2891V1","GSON1235")</f>
        <v>#NAME?</v>
      </c>
      <c r="M2606" s="28" t="e">
        <f ca="1">[1]!BexGetData("DP_1","003N8EMH8GTFRIVOG7KG9IQXA","GSON1235")</f>
        <v>#NAME?</v>
      </c>
      <c r="N2606" s="23" t="e">
        <f ca="1">[1]!BexGetData("DP_1","003N8EMH8GTFRIVOG7KG9IX8U","GSON1235")</f>
        <v>#NAME?</v>
      </c>
      <c r="O2606" s="28" t="e">
        <f ca="1">[1]!BexGetData("DP_1","003N8EMH8GTFRIVOG7KG9J3KE","GSON1235")</f>
        <v>#NAME?</v>
      </c>
      <c r="P2606" s="23" t="e">
        <f ca="1">[1]!BexGetData("DP_1","003N8EMH8GTFRIVOG7KG9J9VY","GSON1235")</f>
        <v>#NAME?</v>
      </c>
      <c r="Q2606" s="23" t="e">
        <f ca="1">[1]!BexGetData("DP_1","00O2TNJGODT0G5Z4TTKYMM5MT","GSON1235")</f>
        <v>#NAME?</v>
      </c>
      <c r="R2606" s="23" t="e">
        <f ca="1">[1]!BexGetData("DP_1","00O2TNJGODT0G5Z4TTKYMMBYD","GSON1235")</f>
        <v>#NAME?</v>
      </c>
      <c r="S2606" s="23" t="e">
        <f ca="1">[1]!BexGetData("DP_1","00O2TNJGODT0G5Z4TTKYMMI9X","GSON1235")</f>
        <v>#NAME?</v>
      </c>
      <c r="T2606" s="23" t="e">
        <f ca="1">[1]!BexGetData("DP_1","00O2TNJGODT0G5Z4TTKYMMOLH","GSON1235")</f>
        <v>#NAME?</v>
      </c>
      <c r="U2606" s="28" t="e">
        <f ca="1">[1]!BexGetData("DP_1","00O2TNJGODT0G5Z4TTKYMMUX1","GSON1235")</f>
        <v>#NAME?</v>
      </c>
      <c r="V2606" s="23" t="e">
        <f ca="1">[1]!BexGetData("DP_1","00O2TNJGODT0G5Z4TTKYMN18L","GSON1235")</f>
        <v>#NAME?</v>
      </c>
      <c r="W2606" s="28" t="e">
        <f ca="1">[1]!BexGetData("DP_1","00O2TNJGODT0G5Z4TTKYMN7K5","GSON1235")</f>
        <v>#NAME?</v>
      </c>
    </row>
    <row r="2607" spans="1:23" x14ac:dyDescent="0.2">
      <c r="A2607" s="36" t="s">
        <v>1270</v>
      </c>
      <c r="B2607" s="27" t="s">
        <v>1271</v>
      </c>
      <c r="C2607" s="28" t="e">
        <f ca="1">[1]!BexGetData("DP_1","003N8EMH8GTFRCSWKMPXRR8GU","GSON1235161100")</f>
        <v>#NAME?</v>
      </c>
      <c r="D2607" s="28" t="e">
        <f ca="1">[1]!BexGetData("DP_1","003N8EMH8GTFRCSWKMPXRRESE","GSON1235161100")</f>
        <v>#NAME?</v>
      </c>
      <c r="E2607" s="23" t="e">
        <f ca="1">[1]!BexGetData("DP_1","003N8EMH8GTFRCSWKMPXRRL3Y","GSON1235161100")</f>
        <v>#NAME?</v>
      </c>
      <c r="F2607" s="23" t="e">
        <f ca="1">[1]!BexGetData("DP_1","003N8EMH8GTFRCSWKMPXRRRFI","GSON1235161100")</f>
        <v>#NAME?</v>
      </c>
      <c r="G2607" s="28" t="e">
        <f ca="1">[1]!BexGetData("DP_1","003N8EMH8GTFRCSWKMPXRRXR2","GSON1235161100")</f>
        <v>#NAME?</v>
      </c>
      <c r="H2607" s="28" t="e">
        <f ca="1">[1]!BexGetData("DP_1","003N8EMH8GTFRCSWKMPXRS42M","GSON1235161100")</f>
        <v>#NAME?</v>
      </c>
      <c r="I2607" s="23" t="e">
        <f ca="1">[1]!BexGetData("DP_1","003N8EMH8GTFRCSWKMPXRSAE6","GSON1235161100")</f>
        <v>#NAME?</v>
      </c>
      <c r="J2607" s="23" t="e">
        <f ca="1">[1]!BexGetData("DP_1","003N8EMH8GTFRCSWKMPXRSGPQ","GSON1235161100")</f>
        <v>#NAME?</v>
      </c>
      <c r="K2607" s="28" t="e">
        <f ca="1">[1]!BexGetData("DP_1","003N8EMH8GTFRIVNUPY288VJH","GSON1235161100")</f>
        <v>#NAME?</v>
      </c>
      <c r="L2607" s="28" t="e">
        <f ca="1">[1]!BexGetData("DP_1","003N8EMH8GTFRIVNUPY2891V1","GSON1235161100")</f>
        <v>#NAME?</v>
      </c>
      <c r="M2607" s="28" t="e">
        <f ca="1">[1]!BexGetData("DP_1","003N8EMH8GTFRIVOG7KG9IQXA","GSON1235161100")</f>
        <v>#NAME?</v>
      </c>
      <c r="N2607" s="28" t="e">
        <f ca="1">[1]!BexGetData("DP_1","003N8EMH8GTFRIVOG7KG9IX8U","GSON1235161100")</f>
        <v>#NAME?</v>
      </c>
      <c r="O2607" s="28" t="e">
        <f ca="1">[1]!BexGetData("DP_1","003N8EMH8GTFRIVOG7KG9J3KE","GSON1235161100")</f>
        <v>#NAME?</v>
      </c>
      <c r="P2607" s="28" t="e">
        <f ca="1">[1]!BexGetData("DP_1","003N8EMH8GTFRIVOG7KG9J9VY","GSON1235161100")</f>
        <v>#NAME?</v>
      </c>
      <c r="Q2607" s="23" t="e">
        <f ca="1">[1]!BexGetData("DP_1","00O2TNJGODT0G5Z4TTKYMM5MT","GSON1235161100")</f>
        <v>#NAME?</v>
      </c>
      <c r="R2607" s="28" t="e">
        <f ca="1">[1]!BexGetData("DP_1","00O2TNJGODT0G5Z4TTKYMMBYD","GSON1235161100")</f>
        <v>#NAME?</v>
      </c>
      <c r="S2607" s="28" t="e">
        <f ca="1">[1]!BexGetData("DP_1","00O2TNJGODT0G5Z4TTKYMMI9X","GSON1235161100")</f>
        <v>#NAME?</v>
      </c>
      <c r="T2607" s="28" t="e">
        <f ca="1">[1]!BexGetData("DP_1","00O2TNJGODT0G5Z4TTKYMMOLH","GSON1235161100")</f>
        <v>#NAME?</v>
      </c>
      <c r="U2607" s="28" t="e">
        <f ca="1">[1]!BexGetData("DP_1","00O2TNJGODT0G5Z4TTKYMMUX1","GSON1235161100")</f>
        <v>#NAME?</v>
      </c>
      <c r="V2607" s="28" t="e">
        <f ca="1">[1]!BexGetData("DP_1","00O2TNJGODT0G5Z4TTKYMN18L","GSON1235161100")</f>
        <v>#NAME?</v>
      </c>
      <c r="W2607" s="28" t="e">
        <f ca="1">[1]!BexGetData("DP_1","00O2TNJGODT0G5Z4TTKYMN7K5","GSON1235161100")</f>
        <v>#NAME?</v>
      </c>
    </row>
    <row r="2608" spans="1:23" x14ac:dyDescent="0.2">
      <c r="A2608" s="36" t="s">
        <v>1272</v>
      </c>
      <c r="B2608" s="27" t="s">
        <v>1273</v>
      </c>
      <c r="C2608" s="23" t="e">
        <f ca="1">[1]!BexGetData("DP_1","003N8EMH8GTFRCSWKMPXRR8GU","GSON1235161101")</f>
        <v>#NAME?</v>
      </c>
      <c r="D2608" s="23" t="e">
        <f ca="1">[1]!BexGetData("DP_1","003N8EMH8GTFRCSWKMPXRRESE","GSON1235161101")</f>
        <v>#NAME?</v>
      </c>
      <c r="E2608" s="23" t="e">
        <f ca="1">[1]!BexGetData("DP_1","003N8EMH8GTFRCSWKMPXRRL3Y","GSON1235161101")</f>
        <v>#NAME?</v>
      </c>
      <c r="F2608" s="23" t="e">
        <f ca="1">[1]!BexGetData("DP_1","003N8EMH8GTFRCSWKMPXRRRFI","GSON1235161101")</f>
        <v>#NAME?</v>
      </c>
      <c r="G2608" s="28" t="e">
        <f ca="1">[1]!BexGetData("DP_1","003N8EMH8GTFRCSWKMPXRRXR2","GSON1235161101")</f>
        <v>#NAME?</v>
      </c>
      <c r="H2608" s="28" t="e">
        <f ca="1">[1]!BexGetData("DP_1","003N8EMH8GTFRCSWKMPXRS42M","GSON1235161101")</f>
        <v>#NAME?</v>
      </c>
      <c r="I2608" s="23" t="e">
        <f ca="1">[1]!BexGetData("DP_1","003N8EMH8GTFRCSWKMPXRSAE6","GSON1235161101")</f>
        <v>#NAME?</v>
      </c>
      <c r="J2608" s="23" t="e">
        <f ca="1">[1]!BexGetData("DP_1","003N8EMH8GTFRCSWKMPXRSGPQ","GSON1235161101")</f>
        <v>#NAME?</v>
      </c>
      <c r="K2608" s="23" t="e">
        <f ca="1">[1]!BexGetData("DP_1","003N8EMH8GTFRIVNUPY288VJH","GSON1235161101")</f>
        <v>#NAME?</v>
      </c>
      <c r="L2608" s="23" t="e">
        <f ca="1">[1]!BexGetData("DP_1","003N8EMH8GTFRIVNUPY2891V1","GSON1235161101")</f>
        <v>#NAME?</v>
      </c>
      <c r="M2608" s="28" t="e">
        <f ca="1">[1]!BexGetData("DP_1","003N8EMH8GTFRIVOG7KG9IQXA","GSON1235161101")</f>
        <v>#NAME?</v>
      </c>
      <c r="N2608" s="23" t="e">
        <f ca="1">[1]!BexGetData("DP_1","003N8EMH8GTFRIVOG7KG9IX8U","GSON1235161101")</f>
        <v>#NAME?</v>
      </c>
      <c r="O2608" s="28" t="e">
        <f ca="1">[1]!BexGetData("DP_1","003N8EMH8GTFRIVOG7KG9J3KE","GSON1235161101")</f>
        <v>#NAME?</v>
      </c>
      <c r="P2608" s="23" t="e">
        <f ca="1">[1]!BexGetData("DP_1","003N8EMH8GTFRIVOG7KG9J9VY","GSON1235161101")</f>
        <v>#NAME?</v>
      </c>
      <c r="Q2608" s="23" t="e">
        <f ca="1">[1]!BexGetData("DP_1","00O2TNJGODT0G5Z4TTKYMM5MT","GSON1235161101")</f>
        <v>#NAME?</v>
      </c>
      <c r="R2608" s="28" t="e">
        <f ca="1">[1]!BexGetData("DP_1","00O2TNJGODT0G5Z4TTKYMMBYD","GSON1235161101")</f>
        <v>#NAME?</v>
      </c>
      <c r="S2608" s="28" t="e">
        <f ca="1">[1]!BexGetData("DP_1","00O2TNJGODT0G5Z4TTKYMMI9X","GSON1235161101")</f>
        <v>#NAME?</v>
      </c>
      <c r="T2608" s="28" t="e">
        <f ca="1">[1]!BexGetData("DP_1","00O2TNJGODT0G5Z4TTKYMMOLH","GSON1235161101")</f>
        <v>#NAME?</v>
      </c>
      <c r="U2608" s="28" t="e">
        <f ca="1">[1]!BexGetData("DP_1","00O2TNJGODT0G5Z4TTKYMMUX1","GSON1235161101")</f>
        <v>#NAME?</v>
      </c>
      <c r="V2608" s="28" t="e">
        <f ca="1">[1]!BexGetData("DP_1","00O2TNJGODT0G5Z4TTKYMN18L","GSON1235161101")</f>
        <v>#NAME?</v>
      </c>
      <c r="W2608" s="28" t="e">
        <f ca="1">[1]!BexGetData("DP_1","00O2TNJGODT0G5Z4TTKYMN7K5","GSON1235161101")</f>
        <v>#NAME?</v>
      </c>
    </row>
    <row r="2609" spans="1:23" x14ac:dyDescent="0.2">
      <c r="A2609" s="36" t="s">
        <v>1274</v>
      </c>
      <c r="B2609" s="27" t="s">
        <v>467</v>
      </c>
      <c r="C2609" s="23" t="e">
        <f ca="1">[1]!BexGetData("DP_1","003N8EMH8GTFRCSWKMPXRR8GU","GSON1235161102")</f>
        <v>#NAME?</v>
      </c>
      <c r="D2609" s="23" t="e">
        <f ca="1">[1]!BexGetData("DP_1","003N8EMH8GTFRCSWKMPXRRESE","GSON1235161102")</f>
        <v>#NAME?</v>
      </c>
      <c r="E2609" s="23" t="e">
        <f ca="1">[1]!BexGetData("DP_1","003N8EMH8GTFRCSWKMPXRRL3Y","GSON1235161102")</f>
        <v>#NAME?</v>
      </c>
      <c r="F2609" s="23" t="e">
        <f ca="1">[1]!BexGetData("DP_1","003N8EMH8GTFRCSWKMPXRRRFI","GSON1235161102")</f>
        <v>#NAME?</v>
      </c>
      <c r="G2609" s="23" t="e">
        <f ca="1">[1]!BexGetData("DP_1","003N8EMH8GTFRCSWKMPXRRXR2","GSON1235161102")</f>
        <v>#NAME?</v>
      </c>
      <c r="H2609" s="23" t="e">
        <f ca="1">[1]!BexGetData("DP_1","003N8EMH8GTFRCSWKMPXRS42M","GSON1235161102")</f>
        <v>#NAME?</v>
      </c>
      <c r="I2609" s="23" t="e">
        <f ca="1">[1]!BexGetData("DP_1","003N8EMH8GTFRCSWKMPXRSAE6","GSON1235161102")</f>
        <v>#NAME?</v>
      </c>
      <c r="J2609" s="23" t="e">
        <f ca="1">[1]!BexGetData("DP_1","003N8EMH8GTFRCSWKMPXRSGPQ","GSON1235161102")</f>
        <v>#NAME?</v>
      </c>
      <c r="K2609" s="23" t="e">
        <f ca="1">[1]!BexGetData("DP_1","003N8EMH8GTFRIVNUPY288VJH","GSON1235161102")</f>
        <v>#NAME?</v>
      </c>
      <c r="L2609" s="23" t="e">
        <f ca="1">[1]!BexGetData("DP_1","003N8EMH8GTFRIVNUPY2891V1","GSON1235161102")</f>
        <v>#NAME?</v>
      </c>
      <c r="M2609" s="28" t="e">
        <f ca="1">[1]!BexGetData("DP_1","003N8EMH8GTFRIVOG7KG9IQXA","GSON1235161102")</f>
        <v>#NAME?</v>
      </c>
      <c r="N2609" s="23" t="e">
        <f ca="1">[1]!BexGetData("DP_1","003N8EMH8GTFRIVOG7KG9IX8U","GSON1235161102")</f>
        <v>#NAME?</v>
      </c>
      <c r="O2609" s="28" t="e">
        <f ca="1">[1]!BexGetData("DP_1","003N8EMH8GTFRIVOG7KG9J3KE","GSON1235161102")</f>
        <v>#NAME?</v>
      </c>
      <c r="P2609" s="23" t="e">
        <f ca="1">[1]!BexGetData("DP_1","003N8EMH8GTFRIVOG7KG9J9VY","GSON1235161102")</f>
        <v>#NAME?</v>
      </c>
      <c r="Q2609" s="23" t="e">
        <f ca="1">[1]!BexGetData("DP_1","00O2TNJGODT0G5Z4TTKYMM5MT","GSON1235161102")</f>
        <v>#NAME?</v>
      </c>
      <c r="R2609" s="23" t="e">
        <f ca="1">[1]!BexGetData("DP_1","00O2TNJGODT0G5Z4TTKYMMBYD","GSON1235161102")</f>
        <v>#NAME?</v>
      </c>
      <c r="S2609" s="23" t="e">
        <f ca="1">[1]!BexGetData("DP_1","00O2TNJGODT0G5Z4TTKYMMI9X","GSON1235161102")</f>
        <v>#NAME?</v>
      </c>
      <c r="T2609" s="28" t="e">
        <f ca="1">[1]!BexGetData("DP_1","00O2TNJGODT0G5Z4TTKYMMOLH","GSON1235161102")</f>
        <v>#NAME?</v>
      </c>
      <c r="U2609" s="23" t="e">
        <f ca="1">[1]!BexGetData("DP_1","00O2TNJGODT0G5Z4TTKYMMUX1","GSON1235161102")</f>
        <v>#NAME?</v>
      </c>
      <c r="V2609" s="28" t="e">
        <f ca="1">[1]!BexGetData("DP_1","00O2TNJGODT0G5Z4TTKYMN18L","GSON1235161102")</f>
        <v>#NAME?</v>
      </c>
      <c r="W2609" s="23" t="e">
        <f ca="1">[1]!BexGetData("DP_1","00O2TNJGODT0G5Z4TTKYMN7K5","GSON1235161102")</f>
        <v>#NAME?</v>
      </c>
    </row>
    <row r="2610" spans="1:23" x14ac:dyDescent="0.2">
      <c r="A2610" s="36" t="s">
        <v>1275</v>
      </c>
      <c r="B2610" s="27" t="s">
        <v>1276</v>
      </c>
      <c r="C2610" s="28" t="e">
        <f ca="1">[1]!BexGetData("DP_1","003N8EMH8GTFRCSWKMPXRR8GU","GSON1235261200")</f>
        <v>#NAME?</v>
      </c>
      <c r="D2610" s="28" t="e">
        <f ca="1">[1]!BexGetData("DP_1","003N8EMH8GTFRCSWKMPXRRESE","GSON1235261200")</f>
        <v>#NAME?</v>
      </c>
      <c r="E2610" s="23" t="e">
        <f ca="1">[1]!BexGetData("DP_1","003N8EMH8GTFRCSWKMPXRRL3Y","GSON1235261200")</f>
        <v>#NAME?</v>
      </c>
      <c r="F2610" s="23" t="e">
        <f ca="1">[1]!BexGetData("DP_1","003N8EMH8GTFRCSWKMPXRRRFI","GSON1235261200")</f>
        <v>#NAME?</v>
      </c>
      <c r="G2610" s="28" t="e">
        <f ca="1">[1]!BexGetData("DP_1","003N8EMH8GTFRCSWKMPXRRXR2","GSON1235261200")</f>
        <v>#NAME?</v>
      </c>
      <c r="H2610" s="28" t="e">
        <f ca="1">[1]!BexGetData("DP_1","003N8EMH8GTFRCSWKMPXRS42M","GSON1235261200")</f>
        <v>#NAME?</v>
      </c>
      <c r="I2610" s="23" t="e">
        <f ca="1">[1]!BexGetData("DP_1","003N8EMH8GTFRCSWKMPXRSAE6","GSON1235261200")</f>
        <v>#NAME?</v>
      </c>
      <c r="J2610" s="23" t="e">
        <f ca="1">[1]!BexGetData("DP_1","003N8EMH8GTFRCSWKMPXRSGPQ","GSON1235261200")</f>
        <v>#NAME?</v>
      </c>
      <c r="K2610" s="28" t="e">
        <f ca="1">[1]!BexGetData("DP_1","003N8EMH8GTFRIVNUPY288VJH","GSON1235261200")</f>
        <v>#NAME?</v>
      </c>
      <c r="L2610" s="28" t="e">
        <f ca="1">[1]!BexGetData("DP_1","003N8EMH8GTFRIVNUPY2891V1","GSON1235261200")</f>
        <v>#NAME?</v>
      </c>
      <c r="M2610" s="28" t="e">
        <f ca="1">[1]!BexGetData("DP_1","003N8EMH8GTFRIVOG7KG9IQXA","GSON1235261200")</f>
        <v>#NAME?</v>
      </c>
      <c r="N2610" s="28" t="e">
        <f ca="1">[1]!BexGetData("DP_1","003N8EMH8GTFRIVOG7KG9IX8U","GSON1235261200")</f>
        <v>#NAME?</v>
      </c>
      <c r="O2610" s="28" t="e">
        <f ca="1">[1]!BexGetData("DP_1","003N8EMH8GTFRIVOG7KG9J3KE","GSON1235261200")</f>
        <v>#NAME?</v>
      </c>
      <c r="P2610" s="28" t="e">
        <f ca="1">[1]!BexGetData("DP_1","003N8EMH8GTFRIVOG7KG9J9VY","GSON1235261200")</f>
        <v>#NAME?</v>
      </c>
      <c r="Q2610" s="23" t="e">
        <f ca="1">[1]!BexGetData("DP_1","00O2TNJGODT0G5Z4TTKYMM5MT","GSON1235261200")</f>
        <v>#NAME?</v>
      </c>
      <c r="R2610" s="28" t="e">
        <f ca="1">[1]!BexGetData("DP_1","00O2TNJGODT0G5Z4TTKYMMBYD","GSON1235261200")</f>
        <v>#NAME?</v>
      </c>
      <c r="S2610" s="28" t="e">
        <f ca="1">[1]!BexGetData("DP_1","00O2TNJGODT0G5Z4TTKYMMI9X","GSON1235261200")</f>
        <v>#NAME?</v>
      </c>
      <c r="T2610" s="28" t="e">
        <f ca="1">[1]!BexGetData("DP_1","00O2TNJGODT0G5Z4TTKYMMOLH","GSON1235261200")</f>
        <v>#NAME?</v>
      </c>
      <c r="U2610" s="28" t="e">
        <f ca="1">[1]!BexGetData("DP_1","00O2TNJGODT0G5Z4TTKYMMUX1","GSON1235261200")</f>
        <v>#NAME?</v>
      </c>
      <c r="V2610" s="28" t="e">
        <f ca="1">[1]!BexGetData("DP_1","00O2TNJGODT0G5Z4TTKYMN18L","GSON1235261200")</f>
        <v>#NAME?</v>
      </c>
      <c r="W2610" s="28" t="e">
        <f ca="1">[1]!BexGetData("DP_1","00O2TNJGODT0G5Z4TTKYMN7K5","GSON1235261200")</f>
        <v>#NAME?</v>
      </c>
    </row>
    <row r="2611" spans="1:23" x14ac:dyDescent="0.2">
      <c r="A2611" s="36" t="s">
        <v>1727</v>
      </c>
      <c r="B2611" s="27" t="s">
        <v>1728</v>
      </c>
      <c r="C2611" s="23" t="e">
        <f ca="1">[1]!BexGetData("DP_1","003N8EMH8GTFRCSWKMPXRR8GU","GSON1235261201")</f>
        <v>#NAME?</v>
      </c>
      <c r="D2611" s="23" t="e">
        <f ca="1">[1]!BexGetData("DP_1","003N8EMH8GTFRCSWKMPXRRESE","GSON1235261201")</f>
        <v>#NAME?</v>
      </c>
      <c r="E2611" s="23" t="e">
        <f ca="1">[1]!BexGetData("DP_1","003N8EMH8GTFRCSWKMPXRRL3Y","GSON1235261201")</f>
        <v>#NAME?</v>
      </c>
      <c r="F2611" s="23" t="e">
        <f ca="1">[1]!BexGetData("DP_1","003N8EMH8GTFRCSWKMPXRRRFI","GSON1235261201")</f>
        <v>#NAME?</v>
      </c>
      <c r="G2611" s="23" t="e">
        <f ca="1">[1]!BexGetData("DP_1","003N8EMH8GTFRCSWKMPXRRXR2","GSON1235261201")</f>
        <v>#NAME?</v>
      </c>
      <c r="H2611" s="23" t="e">
        <f ca="1">[1]!BexGetData("DP_1","003N8EMH8GTFRCSWKMPXRS42M","GSON1235261201")</f>
        <v>#NAME?</v>
      </c>
      <c r="I2611" s="23" t="e">
        <f ca="1">[1]!BexGetData("DP_1","003N8EMH8GTFRCSWKMPXRSAE6","GSON1235261201")</f>
        <v>#NAME?</v>
      </c>
      <c r="J2611" s="23" t="e">
        <f ca="1">[1]!BexGetData("DP_1","003N8EMH8GTFRCSWKMPXRSGPQ","GSON1235261201")</f>
        <v>#NAME?</v>
      </c>
      <c r="K2611" s="23" t="e">
        <f ca="1">[1]!BexGetData("DP_1","003N8EMH8GTFRIVNUPY288VJH","GSON1235261201")</f>
        <v>#NAME?</v>
      </c>
      <c r="L2611" s="23" t="e">
        <f ca="1">[1]!BexGetData("DP_1","003N8EMH8GTFRIVNUPY2891V1","GSON1235261201")</f>
        <v>#NAME?</v>
      </c>
      <c r="M2611" s="28" t="e">
        <f ca="1">[1]!BexGetData("DP_1","003N8EMH8GTFRIVOG7KG9IQXA","GSON1235261201")</f>
        <v>#NAME?</v>
      </c>
      <c r="N2611" s="23" t="e">
        <f ca="1">[1]!BexGetData("DP_1","003N8EMH8GTFRIVOG7KG9IX8U","GSON1235261201")</f>
        <v>#NAME?</v>
      </c>
      <c r="O2611" s="28" t="e">
        <f ca="1">[1]!BexGetData("DP_1","003N8EMH8GTFRIVOG7KG9J3KE","GSON1235261201")</f>
        <v>#NAME?</v>
      </c>
      <c r="P2611" s="23" t="e">
        <f ca="1">[1]!BexGetData("DP_1","003N8EMH8GTFRIVOG7KG9J9VY","GSON1235261201")</f>
        <v>#NAME?</v>
      </c>
      <c r="Q2611" s="23" t="e">
        <f ca="1">[1]!BexGetData("DP_1","00O2TNJGODT0G5Z4TTKYMM5MT","GSON1235261201")</f>
        <v>#NAME?</v>
      </c>
      <c r="R2611" s="23" t="e">
        <f ca="1">[1]!BexGetData("DP_1","00O2TNJGODT0G5Z4TTKYMMBYD","GSON1235261201")</f>
        <v>#NAME?</v>
      </c>
      <c r="S2611" s="23" t="e">
        <f ca="1">[1]!BexGetData("DP_1","00O2TNJGODT0G5Z4TTKYMMI9X","GSON1235261201")</f>
        <v>#NAME?</v>
      </c>
      <c r="T2611" s="28" t="e">
        <f ca="1">[1]!BexGetData("DP_1","00O2TNJGODT0G5Z4TTKYMMOLH","GSON1235261201")</f>
        <v>#NAME?</v>
      </c>
      <c r="U2611" s="23" t="e">
        <f ca="1">[1]!BexGetData("DP_1","00O2TNJGODT0G5Z4TTKYMMUX1","GSON1235261201")</f>
        <v>#NAME?</v>
      </c>
      <c r="V2611" s="28" t="e">
        <f ca="1">[1]!BexGetData("DP_1","00O2TNJGODT0G5Z4TTKYMN18L","GSON1235261201")</f>
        <v>#NAME?</v>
      </c>
      <c r="W2611" s="23" t="e">
        <f ca="1">[1]!BexGetData("DP_1","00O2TNJGODT0G5Z4TTKYMN7K5","GSON1235261201")</f>
        <v>#NAME?</v>
      </c>
    </row>
    <row r="2612" spans="1:23" x14ac:dyDescent="0.2">
      <c r="A2612" s="36" t="s">
        <v>6004</v>
      </c>
      <c r="B2612" s="27" t="s">
        <v>6005</v>
      </c>
      <c r="C2612" s="28" t="e">
        <f ca="1">[1]!BexGetData("DP_1","003N8EMH8GTFRCSWKMPXRR8GU","GSON1235261202")</f>
        <v>#NAME?</v>
      </c>
      <c r="D2612" s="28" t="e">
        <f ca="1">[1]!BexGetData("DP_1","003N8EMH8GTFRCSWKMPXRRESE","GSON1235261202")</f>
        <v>#NAME?</v>
      </c>
      <c r="E2612" s="23" t="e">
        <f ca="1">[1]!BexGetData("DP_1","003N8EMH8GTFRCSWKMPXRRL3Y","GSON1235261202")</f>
        <v>#NAME?</v>
      </c>
      <c r="F2612" s="23" t="e">
        <f ca="1">[1]!BexGetData("DP_1","003N8EMH8GTFRCSWKMPXRRRFI","GSON1235261202")</f>
        <v>#NAME?</v>
      </c>
      <c r="G2612" s="28" t="e">
        <f ca="1">[1]!BexGetData("DP_1","003N8EMH8GTFRCSWKMPXRRXR2","GSON1235261202")</f>
        <v>#NAME?</v>
      </c>
      <c r="H2612" s="28" t="e">
        <f ca="1">[1]!BexGetData("DP_1","003N8EMH8GTFRCSWKMPXRS42M","GSON1235261202")</f>
        <v>#NAME?</v>
      </c>
      <c r="I2612" s="23" t="e">
        <f ca="1">[1]!BexGetData("DP_1","003N8EMH8GTFRCSWKMPXRSAE6","GSON1235261202")</f>
        <v>#NAME?</v>
      </c>
      <c r="J2612" s="23" t="e">
        <f ca="1">[1]!BexGetData("DP_1","003N8EMH8GTFRCSWKMPXRSGPQ","GSON1235261202")</f>
        <v>#NAME?</v>
      </c>
      <c r="K2612" s="28" t="e">
        <f ca="1">[1]!BexGetData("DP_1","003N8EMH8GTFRIVNUPY288VJH","GSON1235261202")</f>
        <v>#NAME?</v>
      </c>
      <c r="L2612" s="28" t="e">
        <f ca="1">[1]!BexGetData("DP_1","003N8EMH8GTFRIVNUPY2891V1","GSON1235261202")</f>
        <v>#NAME?</v>
      </c>
      <c r="M2612" s="28" t="e">
        <f ca="1">[1]!BexGetData("DP_1","003N8EMH8GTFRIVOG7KG9IQXA","GSON1235261202")</f>
        <v>#NAME?</v>
      </c>
      <c r="N2612" s="28" t="e">
        <f ca="1">[1]!BexGetData("DP_1","003N8EMH8GTFRIVOG7KG9IX8U","GSON1235261202")</f>
        <v>#NAME?</v>
      </c>
      <c r="O2612" s="28" t="e">
        <f ca="1">[1]!BexGetData("DP_1","003N8EMH8GTFRIVOG7KG9J3KE","GSON1235261202")</f>
        <v>#NAME?</v>
      </c>
      <c r="P2612" s="28" t="e">
        <f ca="1">[1]!BexGetData("DP_1","003N8EMH8GTFRIVOG7KG9J9VY","GSON1235261202")</f>
        <v>#NAME?</v>
      </c>
      <c r="Q2612" s="23" t="e">
        <f ca="1">[1]!BexGetData("DP_1","00O2TNJGODT0G5Z4TTKYMM5MT","GSON1235261202")</f>
        <v>#NAME?</v>
      </c>
      <c r="R2612" s="28" t="e">
        <f ca="1">[1]!BexGetData("DP_1","00O2TNJGODT0G5Z4TTKYMMBYD","GSON1235261202")</f>
        <v>#NAME?</v>
      </c>
      <c r="S2612" s="28" t="e">
        <f ca="1">[1]!BexGetData("DP_1","00O2TNJGODT0G5Z4TTKYMMI9X","GSON1235261202")</f>
        <v>#NAME?</v>
      </c>
      <c r="T2612" s="28" t="e">
        <f ca="1">[1]!BexGetData("DP_1","00O2TNJGODT0G5Z4TTKYMMOLH","GSON1235261202")</f>
        <v>#NAME?</v>
      </c>
      <c r="U2612" s="28" t="e">
        <f ca="1">[1]!BexGetData("DP_1","00O2TNJGODT0G5Z4TTKYMMUX1","GSON1235261202")</f>
        <v>#NAME?</v>
      </c>
      <c r="V2612" s="28" t="e">
        <f ca="1">[1]!BexGetData("DP_1","00O2TNJGODT0G5Z4TTKYMN18L","GSON1235261202")</f>
        <v>#NAME?</v>
      </c>
      <c r="W2612" s="28" t="e">
        <f ca="1">[1]!BexGetData("DP_1","00O2TNJGODT0G5Z4TTKYMN7K5","GSON1235261202")</f>
        <v>#NAME?</v>
      </c>
    </row>
    <row r="2613" spans="1:23" x14ac:dyDescent="0.2">
      <c r="A2613" s="36" t="s">
        <v>6006</v>
      </c>
      <c r="B2613" s="27" t="s">
        <v>6007</v>
      </c>
      <c r="C2613" s="23" t="e">
        <f ca="1">[1]!BexGetData("DP_1","003N8EMH8GTFRCSWKMPXRR8GU","GSON1235261203")</f>
        <v>#NAME?</v>
      </c>
      <c r="D2613" s="23" t="e">
        <f ca="1">[1]!BexGetData("DP_1","003N8EMH8GTFRCSWKMPXRRESE","GSON1235261203")</f>
        <v>#NAME?</v>
      </c>
      <c r="E2613" s="23" t="e">
        <f ca="1">[1]!BexGetData("DP_1","003N8EMH8GTFRCSWKMPXRRL3Y","GSON1235261203")</f>
        <v>#NAME?</v>
      </c>
      <c r="F2613" s="23" t="e">
        <f ca="1">[1]!BexGetData("DP_1","003N8EMH8GTFRCSWKMPXRRRFI","GSON1235261203")</f>
        <v>#NAME?</v>
      </c>
      <c r="G2613" s="23" t="e">
        <f ca="1">[1]!BexGetData("DP_1","003N8EMH8GTFRCSWKMPXRRXR2","GSON1235261203")</f>
        <v>#NAME?</v>
      </c>
      <c r="H2613" s="23" t="e">
        <f ca="1">[1]!BexGetData("DP_1","003N8EMH8GTFRCSWKMPXRS42M","GSON1235261203")</f>
        <v>#NAME?</v>
      </c>
      <c r="I2613" s="23" t="e">
        <f ca="1">[1]!BexGetData("DP_1","003N8EMH8GTFRCSWKMPXRSAE6","GSON1235261203")</f>
        <v>#NAME?</v>
      </c>
      <c r="J2613" s="23" t="e">
        <f ca="1">[1]!BexGetData("DP_1","003N8EMH8GTFRCSWKMPXRSGPQ","GSON1235261203")</f>
        <v>#NAME?</v>
      </c>
      <c r="K2613" s="23" t="e">
        <f ca="1">[1]!BexGetData("DP_1","003N8EMH8GTFRIVNUPY288VJH","GSON1235261203")</f>
        <v>#NAME?</v>
      </c>
      <c r="L2613" s="23" t="e">
        <f ca="1">[1]!BexGetData("DP_1","003N8EMH8GTFRIVNUPY2891V1","GSON1235261203")</f>
        <v>#NAME?</v>
      </c>
      <c r="M2613" s="28" t="e">
        <f ca="1">[1]!BexGetData("DP_1","003N8EMH8GTFRIVOG7KG9IQXA","GSON1235261203")</f>
        <v>#NAME?</v>
      </c>
      <c r="N2613" s="23" t="e">
        <f ca="1">[1]!BexGetData("DP_1","003N8EMH8GTFRIVOG7KG9IX8U","GSON1235261203")</f>
        <v>#NAME?</v>
      </c>
      <c r="O2613" s="28" t="e">
        <f ca="1">[1]!BexGetData("DP_1","003N8EMH8GTFRIVOG7KG9J3KE","GSON1235261203")</f>
        <v>#NAME?</v>
      </c>
      <c r="P2613" s="23" t="e">
        <f ca="1">[1]!BexGetData("DP_1","003N8EMH8GTFRIVOG7KG9J9VY","GSON1235261203")</f>
        <v>#NAME?</v>
      </c>
      <c r="Q2613" s="23" t="e">
        <f ca="1">[1]!BexGetData("DP_1","00O2TNJGODT0G5Z4TTKYMM5MT","GSON1235261203")</f>
        <v>#NAME?</v>
      </c>
      <c r="R2613" s="23" t="e">
        <f ca="1">[1]!BexGetData("DP_1","00O2TNJGODT0G5Z4TTKYMMBYD","GSON1235261203")</f>
        <v>#NAME?</v>
      </c>
      <c r="S2613" s="23" t="e">
        <f ca="1">[1]!BexGetData("DP_1","00O2TNJGODT0G5Z4TTKYMMI9X","GSON1235261203")</f>
        <v>#NAME?</v>
      </c>
      <c r="T2613" s="28" t="e">
        <f ca="1">[1]!BexGetData("DP_1","00O2TNJGODT0G5Z4TTKYMMOLH","GSON1235261203")</f>
        <v>#NAME?</v>
      </c>
      <c r="U2613" s="23" t="e">
        <f ca="1">[1]!BexGetData("DP_1","00O2TNJGODT0G5Z4TTKYMMUX1","GSON1235261203")</f>
        <v>#NAME?</v>
      </c>
      <c r="V2613" s="28" t="e">
        <f ca="1">[1]!BexGetData("DP_1","00O2TNJGODT0G5Z4TTKYMN18L","GSON1235261203")</f>
        <v>#NAME?</v>
      </c>
      <c r="W2613" s="23" t="e">
        <f ca="1">[1]!BexGetData("DP_1","00O2TNJGODT0G5Z4TTKYMN7K5","GSON1235261203")</f>
        <v>#NAME?</v>
      </c>
    </row>
    <row r="2614" spans="1:23" x14ac:dyDescent="0.2">
      <c r="A2614" s="36" t="s">
        <v>6008</v>
      </c>
      <c r="B2614" s="27" t="s">
        <v>6009</v>
      </c>
      <c r="C2614" s="23" t="e">
        <f ca="1">[1]!BexGetData("DP_1","003N8EMH8GTFRCSWKMPXRR8GU","GSON1235261207")</f>
        <v>#NAME?</v>
      </c>
      <c r="D2614" s="23" t="e">
        <f ca="1">[1]!BexGetData("DP_1","003N8EMH8GTFRCSWKMPXRRESE","GSON1235261207")</f>
        <v>#NAME?</v>
      </c>
      <c r="E2614" s="23" t="e">
        <f ca="1">[1]!BexGetData("DP_1","003N8EMH8GTFRCSWKMPXRRL3Y","GSON1235261207")</f>
        <v>#NAME?</v>
      </c>
      <c r="F2614" s="23" t="e">
        <f ca="1">[1]!BexGetData("DP_1","003N8EMH8GTFRCSWKMPXRRRFI","GSON1235261207")</f>
        <v>#NAME?</v>
      </c>
      <c r="G2614" s="23" t="e">
        <f ca="1">[1]!BexGetData("DP_1","003N8EMH8GTFRCSWKMPXRRXR2","GSON1235261207")</f>
        <v>#NAME?</v>
      </c>
      <c r="H2614" s="23" t="e">
        <f ca="1">[1]!BexGetData("DP_1","003N8EMH8GTFRCSWKMPXRS42M","GSON1235261207")</f>
        <v>#NAME?</v>
      </c>
      <c r="I2614" s="23" t="e">
        <f ca="1">[1]!BexGetData("DP_1","003N8EMH8GTFRCSWKMPXRSAE6","GSON1235261207")</f>
        <v>#NAME?</v>
      </c>
      <c r="J2614" s="23" t="e">
        <f ca="1">[1]!BexGetData("DP_1","003N8EMH8GTFRCSWKMPXRSGPQ","GSON1235261207")</f>
        <v>#NAME?</v>
      </c>
      <c r="K2614" s="23" t="e">
        <f ca="1">[1]!BexGetData("DP_1","003N8EMH8GTFRIVNUPY288VJH","GSON1235261207")</f>
        <v>#NAME?</v>
      </c>
      <c r="L2614" s="23" t="e">
        <f ca="1">[1]!BexGetData("DP_1","003N8EMH8GTFRIVNUPY2891V1","GSON1235261207")</f>
        <v>#NAME?</v>
      </c>
      <c r="M2614" s="28" t="e">
        <f ca="1">[1]!BexGetData("DP_1","003N8EMH8GTFRIVOG7KG9IQXA","GSON1235261207")</f>
        <v>#NAME?</v>
      </c>
      <c r="N2614" s="23" t="e">
        <f ca="1">[1]!BexGetData("DP_1","003N8EMH8GTFRIVOG7KG9IX8U","GSON1235261207")</f>
        <v>#NAME?</v>
      </c>
      <c r="O2614" s="28" t="e">
        <f ca="1">[1]!BexGetData("DP_1","003N8EMH8GTFRIVOG7KG9J3KE","GSON1235261207")</f>
        <v>#NAME?</v>
      </c>
      <c r="P2614" s="23" t="e">
        <f ca="1">[1]!BexGetData("DP_1","003N8EMH8GTFRIVOG7KG9J9VY","GSON1235261207")</f>
        <v>#NAME?</v>
      </c>
      <c r="Q2614" s="23" t="e">
        <f ca="1">[1]!BexGetData("DP_1","00O2TNJGODT0G5Z4TTKYMM5MT","GSON1235261207")</f>
        <v>#NAME?</v>
      </c>
      <c r="R2614" s="23" t="e">
        <f ca="1">[1]!BexGetData("DP_1","00O2TNJGODT0G5Z4TTKYMMBYD","GSON1235261207")</f>
        <v>#NAME?</v>
      </c>
      <c r="S2614" s="23" t="e">
        <f ca="1">[1]!BexGetData("DP_1","00O2TNJGODT0G5Z4TTKYMMI9X","GSON1235261207")</f>
        <v>#NAME?</v>
      </c>
      <c r="T2614" s="28" t="e">
        <f ca="1">[1]!BexGetData("DP_1","00O2TNJGODT0G5Z4TTKYMMOLH","GSON1235261207")</f>
        <v>#NAME?</v>
      </c>
      <c r="U2614" s="23" t="e">
        <f ca="1">[1]!BexGetData("DP_1","00O2TNJGODT0G5Z4TTKYMMUX1","GSON1235261207")</f>
        <v>#NAME?</v>
      </c>
      <c r="V2614" s="28" t="e">
        <f ca="1">[1]!BexGetData("DP_1","00O2TNJGODT0G5Z4TTKYMN18L","GSON1235261207")</f>
        <v>#NAME?</v>
      </c>
      <c r="W2614" s="23" t="e">
        <f ca="1">[1]!BexGetData("DP_1","00O2TNJGODT0G5Z4TTKYMN7K5","GSON1235261207")</f>
        <v>#NAME?</v>
      </c>
    </row>
    <row r="2615" spans="1:23" x14ac:dyDescent="0.2">
      <c r="A2615" s="36" t="s">
        <v>6010</v>
      </c>
      <c r="B2615" s="27" t="s">
        <v>6011</v>
      </c>
      <c r="C2615" s="23" t="e">
        <f ca="1">[1]!BexGetData("DP_1","003N8EMH8GTFRCSWKMPXRR8GU","GSON1235261209")</f>
        <v>#NAME?</v>
      </c>
      <c r="D2615" s="28" t="e">
        <f ca="1">[1]!BexGetData("DP_1","003N8EMH8GTFRCSWKMPXRRESE","GSON1235261209")</f>
        <v>#NAME?</v>
      </c>
      <c r="E2615" s="23" t="e">
        <f ca="1">[1]!BexGetData("DP_1","003N8EMH8GTFRCSWKMPXRRL3Y","GSON1235261209")</f>
        <v>#NAME?</v>
      </c>
      <c r="F2615" s="23" t="e">
        <f ca="1">[1]!BexGetData("DP_1","003N8EMH8GTFRCSWKMPXRRRFI","GSON1235261209")</f>
        <v>#NAME?</v>
      </c>
      <c r="G2615" s="23" t="e">
        <f ca="1">[1]!BexGetData("DP_1","003N8EMH8GTFRCSWKMPXRRXR2","GSON1235261209")</f>
        <v>#NAME?</v>
      </c>
      <c r="H2615" s="23" t="e">
        <f ca="1">[1]!BexGetData("DP_1","003N8EMH8GTFRCSWKMPXRS42M","GSON1235261209")</f>
        <v>#NAME?</v>
      </c>
      <c r="I2615" s="23" t="e">
        <f ca="1">[1]!BexGetData("DP_1","003N8EMH8GTFRCSWKMPXRSAE6","GSON1235261209")</f>
        <v>#NAME?</v>
      </c>
      <c r="J2615" s="23" t="e">
        <f ca="1">[1]!BexGetData("DP_1","003N8EMH8GTFRCSWKMPXRSGPQ","GSON1235261209")</f>
        <v>#NAME?</v>
      </c>
      <c r="K2615" s="23" t="e">
        <f ca="1">[1]!BexGetData("DP_1","003N8EMH8GTFRIVNUPY288VJH","GSON1235261209")</f>
        <v>#NAME?</v>
      </c>
      <c r="L2615" s="23" t="e">
        <f ca="1">[1]!BexGetData("DP_1","003N8EMH8GTFRIVNUPY2891V1","GSON1235261209")</f>
        <v>#NAME?</v>
      </c>
      <c r="M2615" s="28" t="e">
        <f ca="1">[1]!BexGetData("DP_1","003N8EMH8GTFRIVOG7KG9IQXA","GSON1235261209")</f>
        <v>#NAME?</v>
      </c>
      <c r="N2615" s="23" t="e">
        <f ca="1">[1]!BexGetData("DP_1","003N8EMH8GTFRIVOG7KG9IX8U","GSON1235261209")</f>
        <v>#NAME?</v>
      </c>
      <c r="O2615" s="28" t="e">
        <f ca="1">[1]!BexGetData("DP_1","003N8EMH8GTFRIVOG7KG9J3KE","GSON1235261209")</f>
        <v>#NAME?</v>
      </c>
      <c r="P2615" s="23" t="e">
        <f ca="1">[1]!BexGetData("DP_1","003N8EMH8GTFRIVOG7KG9J9VY","GSON1235261209")</f>
        <v>#NAME?</v>
      </c>
      <c r="Q2615" s="23" t="e">
        <f ca="1">[1]!BexGetData("DP_1","00O2TNJGODT0G5Z4TTKYMM5MT","GSON1235261209")</f>
        <v>#NAME?</v>
      </c>
      <c r="R2615" s="23" t="e">
        <f ca="1">[1]!BexGetData("DP_1","00O2TNJGODT0G5Z4TTKYMMBYD","GSON1235261209")</f>
        <v>#NAME?</v>
      </c>
      <c r="S2615" s="23" t="e">
        <f ca="1">[1]!BexGetData("DP_1","00O2TNJGODT0G5Z4TTKYMMI9X","GSON1235261209")</f>
        <v>#NAME?</v>
      </c>
      <c r="T2615" s="28" t="e">
        <f ca="1">[1]!BexGetData("DP_1","00O2TNJGODT0G5Z4TTKYMMOLH","GSON1235261209")</f>
        <v>#NAME?</v>
      </c>
      <c r="U2615" s="23" t="e">
        <f ca="1">[1]!BexGetData("DP_1","00O2TNJGODT0G5Z4TTKYMMUX1","GSON1235261209")</f>
        <v>#NAME?</v>
      </c>
      <c r="V2615" s="28" t="e">
        <f ca="1">[1]!BexGetData("DP_1","00O2TNJGODT0G5Z4TTKYMN18L","GSON1235261209")</f>
        <v>#NAME?</v>
      </c>
      <c r="W2615" s="23" t="e">
        <f ca="1">[1]!BexGetData("DP_1","00O2TNJGODT0G5Z4TTKYMN7K5","GSON1235261209")</f>
        <v>#NAME?</v>
      </c>
    </row>
    <row r="2616" spans="1:23" x14ac:dyDescent="0.2">
      <c r="A2616" s="36" t="s">
        <v>6012</v>
      </c>
      <c r="B2616" s="27" t="s">
        <v>6013</v>
      </c>
      <c r="C2616" s="23" t="e">
        <f ca="1">[1]!BexGetData("DP_1","003N8EMH8GTFRCSWKMPXRR8GU","GSON1235261210")</f>
        <v>#NAME?</v>
      </c>
      <c r="D2616" s="28" t="e">
        <f ca="1">[1]!BexGetData("DP_1","003N8EMH8GTFRCSWKMPXRRESE","GSON1235261210")</f>
        <v>#NAME?</v>
      </c>
      <c r="E2616" s="23" t="e">
        <f ca="1">[1]!BexGetData("DP_1","003N8EMH8GTFRCSWKMPXRRL3Y","GSON1235261210")</f>
        <v>#NAME?</v>
      </c>
      <c r="F2616" s="24" t="e">
        <f ca="1">[1]!BexGetData("DP_1","003N8EMH8GTFRCSWKMPXRRRFI","GSON1235261210")</f>
        <v>#NAME?</v>
      </c>
      <c r="G2616" s="24" t="e">
        <f ca="1">[1]!BexGetData("DP_1","003N8EMH8GTFRCSWKMPXRRXR2","GSON1235261210")</f>
        <v>#NAME?</v>
      </c>
      <c r="H2616" s="24" t="e">
        <f ca="1">[1]!BexGetData("DP_1","003N8EMH8GTFRCSWKMPXRS42M","GSON1235261210")</f>
        <v>#NAME?</v>
      </c>
      <c r="I2616" s="24" t="e">
        <f ca="1">[1]!BexGetData("DP_1","003N8EMH8GTFRCSWKMPXRSAE6","GSON1235261210")</f>
        <v>#NAME?</v>
      </c>
      <c r="J2616" s="24" t="e">
        <f ca="1">[1]!BexGetData("DP_1","003N8EMH8GTFRCSWKMPXRSGPQ","GSON1235261210")</f>
        <v>#NAME?</v>
      </c>
      <c r="K2616" s="23" t="e">
        <f ca="1">[1]!BexGetData("DP_1","003N8EMH8GTFRIVNUPY288VJH","GSON1235261210")</f>
        <v>#NAME?</v>
      </c>
      <c r="L2616" s="23" t="e">
        <f ca="1">[1]!BexGetData("DP_1","003N8EMH8GTFRIVNUPY2891V1","GSON1235261210")</f>
        <v>#NAME?</v>
      </c>
      <c r="M2616" s="28" t="e">
        <f ca="1">[1]!BexGetData("DP_1","003N8EMH8GTFRIVOG7KG9IQXA","GSON1235261210")</f>
        <v>#NAME?</v>
      </c>
      <c r="N2616" s="23" t="e">
        <f ca="1">[1]!BexGetData("DP_1","003N8EMH8GTFRIVOG7KG9IX8U","GSON1235261210")</f>
        <v>#NAME?</v>
      </c>
      <c r="O2616" s="28" t="e">
        <f ca="1">[1]!BexGetData("DP_1","003N8EMH8GTFRIVOG7KG9J3KE","GSON1235261210")</f>
        <v>#NAME?</v>
      </c>
      <c r="P2616" s="23" t="e">
        <f ca="1">[1]!BexGetData("DP_1","003N8EMH8GTFRIVOG7KG9J9VY","GSON1235261210")</f>
        <v>#NAME?</v>
      </c>
      <c r="Q2616" s="24" t="e">
        <f ca="1">[1]!BexGetData("DP_1","00O2TNJGODT0G5Z4TTKYMM5MT","GSON1235261210")</f>
        <v>#NAME?</v>
      </c>
      <c r="R2616" s="24" t="e">
        <f ca="1">[1]!BexGetData("DP_1","00O2TNJGODT0G5Z4TTKYMMBYD","GSON1235261210")</f>
        <v>#NAME?</v>
      </c>
      <c r="S2616" s="24" t="e">
        <f ca="1">[1]!BexGetData("DP_1","00O2TNJGODT0G5Z4TTKYMMI9X","GSON1235261210")</f>
        <v>#NAME?</v>
      </c>
      <c r="T2616" s="24" t="e">
        <f ca="1">[1]!BexGetData("DP_1","00O2TNJGODT0G5Z4TTKYMMOLH","GSON1235261210")</f>
        <v>#NAME?</v>
      </c>
      <c r="U2616" s="24" t="e">
        <f ca="1">[1]!BexGetData("DP_1","00O2TNJGODT0G5Z4TTKYMMUX1","GSON1235261210")</f>
        <v>#NAME?</v>
      </c>
      <c r="V2616" s="24" t="e">
        <f ca="1">[1]!BexGetData("DP_1","00O2TNJGODT0G5Z4TTKYMN18L","GSON1235261210")</f>
        <v>#NAME?</v>
      </c>
      <c r="W2616" s="24" t="e">
        <f ca="1">[1]!BexGetData("DP_1","00O2TNJGODT0G5Z4TTKYMN7K5","GSON1235261210")</f>
        <v>#NAME?</v>
      </c>
    </row>
    <row r="2617" spans="1:23" x14ac:dyDescent="0.2">
      <c r="A2617" s="36" t="s">
        <v>6014</v>
      </c>
      <c r="B2617" s="27" t="s">
        <v>6015</v>
      </c>
      <c r="C2617" s="23" t="e">
        <f ca="1">[1]!BexGetData("DP_1","003N8EMH8GTFRCSWKMPXRR8GU","GSON1235261211")</f>
        <v>#NAME?</v>
      </c>
      <c r="D2617" s="23" t="e">
        <f ca="1">[1]!BexGetData("DP_1","003N8EMH8GTFRCSWKMPXRRESE","GSON1235261211")</f>
        <v>#NAME?</v>
      </c>
      <c r="E2617" s="23" t="e">
        <f ca="1">[1]!BexGetData("DP_1","003N8EMH8GTFRCSWKMPXRRL3Y","GSON1235261211")</f>
        <v>#NAME?</v>
      </c>
      <c r="F2617" s="23" t="e">
        <f ca="1">[1]!BexGetData("DP_1","003N8EMH8GTFRCSWKMPXRRRFI","GSON1235261211")</f>
        <v>#NAME?</v>
      </c>
      <c r="G2617" s="23" t="e">
        <f ca="1">[1]!BexGetData("DP_1","003N8EMH8GTFRCSWKMPXRRXR2","GSON1235261211")</f>
        <v>#NAME?</v>
      </c>
      <c r="H2617" s="23" t="e">
        <f ca="1">[1]!BexGetData("DP_1","003N8EMH8GTFRCSWKMPXRS42M","GSON1235261211")</f>
        <v>#NAME?</v>
      </c>
      <c r="I2617" s="23" t="e">
        <f ca="1">[1]!BexGetData("DP_1","003N8EMH8GTFRCSWKMPXRSAE6","GSON1235261211")</f>
        <v>#NAME?</v>
      </c>
      <c r="J2617" s="23" t="e">
        <f ca="1">[1]!BexGetData("DP_1","003N8EMH8GTFRCSWKMPXRSGPQ","GSON1235261211")</f>
        <v>#NAME?</v>
      </c>
      <c r="K2617" s="23" t="e">
        <f ca="1">[1]!BexGetData("DP_1","003N8EMH8GTFRIVNUPY288VJH","GSON1235261211")</f>
        <v>#NAME?</v>
      </c>
      <c r="L2617" s="23" t="e">
        <f ca="1">[1]!BexGetData("DP_1","003N8EMH8GTFRIVNUPY2891V1","GSON1235261211")</f>
        <v>#NAME?</v>
      </c>
      <c r="M2617" s="28" t="e">
        <f ca="1">[1]!BexGetData("DP_1","003N8EMH8GTFRIVOG7KG9IQXA","GSON1235261211")</f>
        <v>#NAME?</v>
      </c>
      <c r="N2617" s="23" t="e">
        <f ca="1">[1]!BexGetData("DP_1","003N8EMH8GTFRIVOG7KG9IX8U","GSON1235261211")</f>
        <v>#NAME?</v>
      </c>
      <c r="O2617" s="28" t="e">
        <f ca="1">[1]!BexGetData("DP_1","003N8EMH8GTFRIVOG7KG9J3KE","GSON1235261211")</f>
        <v>#NAME?</v>
      </c>
      <c r="P2617" s="23" t="e">
        <f ca="1">[1]!BexGetData("DP_1","003N8EMH8GTFRIVOG7KG9J9VY","GSON1235261211")</f>
        <v>#NAME?</v>
      </c>
      <c r="Q2617" s="23" t="e">
        <f ca="1">[1]!BexGetData("DP_1","00O2TNJGODT0G5Z4TTKYMM5MT","GSON1235261211")</f>
        <v>#NAME?</v>
      </c>
      <c r="R2617" s="23" t="e">
        <f ca="1">[1]!BexGetData("DP_1","00O2TNJGODT0G5Z4TTKYMMBYD","GSON1235261211")</f>
        <v>#NAME?</v>
      </c>
      <c r="S2617" s="23" t="e">
        <f ca="1">[1]!BexGetData("DP_1","00O2TNJGODT0G5Z4TTKYMMI9X","GSON1235261211")</f>
        <v>#NAME?</v>
      </c>
      <c r="T2617" s="28" t="e">
        <f ca="1">[1]!BexGetData("DP_1","00O2TNJGODT0G5Z4TTKYMMOLH","GSON1235261211")</f>
        <v>#NAME?</v>
      </c>
      <c r="U2617" s="23" t="e">
        <f ca="1">[1]!BexGetData("DP_1","00O2TNJGODT0G5Z4TTKYMMUX1","GSON1235261211")</f>
        <v>#NAME?</v>
      </c>
      <c r="V2617" s="28" t="e">
        <f ca="1">[1]!BexGetData("DP_1","00O2TNJGODT0G5Z4TTKYMN18L","GSON1235261211")</f>
        <v>#NAME?</v>
      </c>
      <c r="W2617" s="23" t="e">
        <f ca="1">[1]!BexGetData("DP_1","00O2TNJGODT0G5Z4TTKYMN7K5","GSON1235261211")</f>
        <v>#NAME?</v>
      </c>
    </row>
    <row r="2618" spans="1:23" x14ac:dyDescent="0.2">
      <c r="A2618" s="36" t="s">
        <v>6016</v>
      </c>
      <c r="B2618" s="27" t="s">
        <v>6017</v>
      </c>
      <c r="C2618" s="23" t="e">
        <f ca="1">[1]!BexGetData("DP_1","003N8EMH8GTFRCSWKMPXRR8GU","GSON1235261217")</f>
        <v>#NAME?</v>
      </c>
      <c r="D2618" s="28" t="e">
        <f ca="1">[1]!BexGetData("DP_1","003N8EMH8GTFRCSWKMPXRRESE","GSON1235261217")</f>
        <v>#NAME?</v>
      </c>
      <c r="E2618" s="23" t="e">
        <f ca="1">[1]!BexGetData("DP_1","003N8EMH8GTFRCSWKMPXRRL3Y","GSON1235261217")</f>
        <v>#NAME?</v>
      </c>
      <c r="F2618" s="23" t="e">
        <f ca="1">[1]!BexGetData("DP_1","003N8EMH8GTFRCSWKMPXRRRFI","GSON1235261217")</f>
        <v>#NAME?</v>
      </c>
      <c r="G2618" s="23" t="e">
        <f ca="1">[1]!BexGetData("DP_1","003N8EMH8GTFRCSWKMPXRRXR2","GSON1235261217")</f>
        <v>#NAME?</v>
      </c>
      <c r="H2618" s="23" t="e">
        <f ca="1">[1]!BexGetData("DP_1","003N8EMH8GTFRCSWKMPXRS42M","GSON1235261217")</f>
        <v>#NAME?</v>
      </c>
      <c r="I2618" s="23" t="e">
        <f ca="1">[1]!BexGetData("DP_1","003N8EMH8GTFRCSWKMPXRSAE6","GSON1235261217")</f>
        <v>#NAME?</v>
      </c>
      <c r="J2618" s="24" t="e">
        <f ca="1">[1]!BexGetData("DP_1","003N8EMH8GTFRCSWKMPXRSGPQ","GSON1235261217")</f>
        <v>#NAME?</v>
      </c>
      <c r="K2618" s="23" t="e">
        <f ca="1">[1]!BexGetData("DP_1","003N8EMH8GTFRIVNUPY288VJH","GSON1235261217")</f>
        <v>#NAME?</v>
      </c>
      <c r="L2618" s="23" t="e">
        <f ca="1">[1]!BexGetData("DP_1","003N8EMH8GTFRIVNUPY2891V1","GSON1235261217")</f>
        <v>#NAME?</v>
      </c>
      <c r="M2618" s="28" t="e">
        <f ca="1">[1]!BexGetData("DP_1","003N8EMH8GTFRIVOG7KG9IQXA","GSON1235261217")</f>
        <v>#NAME?</v>
      </c>
      <c r="N2618" s="23" t="e">
        <f ca="1">[1]!BexGetData("DP_1","003N8EMH8GTFRIVOG7KG9IX8U","GSON1235261217")</f>
        <v>#NAME?</v>
      </c>
      <c r="O2618" s="28" t="e">
        <f ca="1">[1]!BexGetData("DP_1","003N8EMH8GTFRIVOG7KG9J3KE","GSON1235261217")</f>
        <v>#NAME?</v>
      </c>
      <c r="P2618" s="23" t="e">
        <f ca="1">[1]!BexGetData("DP_1","003N8EMH8GTFRIVOG7KG9J9VY","GSON1235261217")</f>
        <v>#NAME?</v>
      </c>
      <c r="Q2618" s="24" t="e">
        <f ca="1">[1]!BexGetData("DP_1","00O2TNJGODT0G5Z4TTKYMM5MT","GSON1235261217")</f>
        <v>#NAME?</v>
      </c>
      <c r="R2618" s="23" t="e">
        <f ca="1">[1]!BexGetData("DP_1","00O2TNJGODT0G5Z4TTKYMMBYD","GSON1235261217")</f>
        <v>#NAME?</v>
      </c>
      <c r="S2618" s="23" t="e">
        <f ca="1">[1]!BexGetData("DP_1","00O2TNJGODT0G5Z4TTKYMMI9X","GSON1235261217")</f>
        <v>#NAME?</v>
      </c>
      <c r="T2618" s="28" t="e">
        <f ca="1">[1]!BexGetData("DP_1","00O2TNJGODT0G5Z4TTKYMMOLH","GSON1235261217")</f>
        <v>#NAME?</v>
      </c>
      <c r="U2618" s="23" t="e">
        <f ca="1">[1]!BexGetData("DP_1","00O2TNJGODT0G5Z4TTKYMMUX1","GSON1235261217")</f>
        <v>#NAME?</v>
      </c>
      <c r="V2618" s="28" t="e">
        <f ca="1">[1]!BexGetData("DP_1","00O2TNJGODT0G5Z4TTKYMN18L","GSON1235261217")</f>
        <v>#NAME?</v>
      </c>
      <c r="W2618" s="23" t="e">
        <f ca="1">[1]!BexGetData("DP_1","00O2TNJGODT0G5Z4TTKYMN7K5","GSON1235261217")</f>
        <v>#NAME?</v>
      </c>
    </row>
    <row r="2619" spans="1:23" x14ac:dyDescent="0.2">
      <c r="A2619" s="36" t="s">
        <v>6018</v>
      </c>
      <c r="B2619" s="27" t="s">
        <v>6019</v>
      </c>
      <c r="C2619" s="28" t="e">
        <f ca="1">[1]!BexGetData("DP_1","003N8EMH8GTFRCSWKMPXRR8GU","GSON1235261218")</f>
        <v>#NAME?</v>
      </c>
      <c r="D2619" s="28" t="e">
        <f ca="1">[1]!BexGetData("DP_1","003N8EMH8GTFRCSWKMPXRRESE","GSON1235261218")</f>
        <v>#NAME?</v>
      </c>
      <c r="E2619" s="23" t="e">
        <f ca="1">[1]!BexGetData("DP_1","003N8EMH8GTFRCSWKMPXRRL3Y","GSON1235261218")</f>
        <v>#NAME?</v>
      </c>
      <c r="F2619" s="23" t="e">
        <f ca="1">[1]!BexGetData("DP_1","003N8EMH8GTFRCSWKMPXRRRFI","GSON1235261218")</f>
        <v>#NAME?</v>
      </c>
      <c r="G2619" s="23" t="e">
        <f ca="1">[1]!BexGetData("DP_1","003N8EMH8GTFRCSWKMPXRRXR2","GSON1235261218")</f>
        <v>#NAME?</v>
      </c>
      <c r="H2619" s="23" t="e">
        <f ca="1">[1]!BexGetData("DP_1","003N8EMH8GTFRCSWKMPXRS42M","GSON1235261218")</f>
        <v>#NAME?</v>
      </c>
      <c r="I2619" s="23" t="e">
        <f ca="1">[1]!BexGetData("DP_1","003N8EMH8GTFRCSWKMPXRSAE6","GSON1235261218")</f>
        <v>#NAME?</v>
      </c>
      <c r="J2619" s="24" t="e">
        <f ca="1">[1]!BexGetData("DP_1","003N8EMH8GTFRCSWKMPXRSGPQ","GSON1235261218")</f>
        <v>#NAME?</v>
      </c>
      <c r="K2619" s="28" t="e">
        <f ca="1">[1]!BexGetData("DP_1","003N8EMH8GTFRIVNUPY288VJH","GSON1235261218")</f>
        <v>#NAME?</v>
      </c>
      <c r="L2619" s="28" t="e">
        <f ca="1">[1]!BexGetData("DP_1","003N8EMH8GTFRIVNUPY2891V1","GSON1235261218")</f>
        <v>#NAME?</v>
      </c>
      <c r="M2619" s="28" t="e">
        <f ca="1">[1]!BexGetData("DP_1","003N8EMH8GTFRIVOG7KG9IQXA","GSON1235261218")</f>
        <v>#NAME?</v>
      </c>
      <c r="N2619" s="28" t="e">
        <f ca="1">[1]!BexGetData("DP_1","003N8EMH8GTFRIVOG7KG9IX8U","GSON1235261218")</f>
        <v>#NAME?</v>
      </c>
      <c r="O2619" s="28" t="e">
        <f ca="1">[1]!BexGetData("DP_1","003N8EMH8GTFRIVOG7KG9J3KE","GSON1235261218")</f>
        <v>#NAME?</v>
      </c>
      <c r="P2619" s="28" t="e">
        <f ca="1">[1]!BexGetData("DP_1","003N8EMH8GTFRIVOG7KG9J9VY","GSON1235261218")</f>
        <v>#NAME?</v>
      </c>
      <c r="Q2619" s="24" t="e">
        <f ca="1">[1]!BexGetData("DP_1","00O2TNJGODT0G5Z4TTKYMM5MT","GSON1235261218")</f>
        <v>#NAME?</v>
      </c>
      <c r="R2619" s="23" t="e">
        <f ca="1">[1]!BexGetData("DP_1","00O2TNJGODT0G5Z4TTKYMMBYD","GSON1235261218")</f>
        <v>#NAME?</v>
      </c>
      <c r="S2619" s="23" t="e">
        <f ca="1">[1]!BexGetData("DP_1","00O2TNJGODT0G5Z4TTKYMMI9X","GSON1235261218")</f>
        <v>#NAME?</v>
      </c>
      <c r="T2619" s="28" t="e">
        <f ca="1">[1]!BexGetData("DP_1","00O2TNJGODT0G5Z4TTKYMMOLH","GSON1235261218")</f>
        <v>#NAME?</v>
      </c>
      <c r="U2619" s="23" t="e">
        <f ca="1">[1]!BexGetData("DP_1","00O2TNJGODT0G5Z4TTKYMMUX1","GSON1235261218")</f>
        <v>#NAME?</v>
      </c>
      <c r="V2619" s="28" t="e">
        <f ca="1">[1]!BexGetData("DP_1","00O2TNJGODT0G5Z4TTKYMN18L","GSON1235261218")</f>
        <v>#NAME?</v>
      </c>
      <c r="W2619" s="23" t="e">
        <f ca="1">[1]!BexGetData("DP_1","00O2TNJGODT0G5Z4TTKYMN7K5","GSON1235261218")</f>
        <v>#NAME?</v>
      </c>
    </row>
    <row r="2620" spans="1:23" x14ac:dyDescent="0.2">
      <c r="A2620" s="36" t="s">
        <v>6020</v>
      </c>
      <c r="B2620" s="27" t="s">
        <v>6021</v>
      </c>
      <c r="C2620" s="23" t="e">
        <f ca="1">[1]!BexGetData("DP_1","003N8EMH8GTFRCSWKMPXRR8GU","GSON1235261222")</f>
        <v>#NAME?</v>
      </c>
      <c r="D2620" s="28" t="e">
        <f ca="1">[1]!BexGetData("DP_1","003N8EMH8GTFRCSWKMPXRRESE","GSON1235261222")</f>
        <v>#NAME?</v>
      </c>
      <c r="E2620" s="23" t="e">
        <f ca="1">[1]!BexGetData("DP_1","003N8EMH8GTFRCSWKMPXRRL3Y","GSON1235261222")</f>
        <v>#NAME?</v>
      </c>
      <c r="F2620" s="23" t="e">
        <f ca="1">[1]!BexGetData("DP_1","003N8EMH8GTFRCSWKMPXRRRFI","GSON1235261222")</f>
        <v>#NAME?</v>
      </c>
      <c r="G2620" s="23" t="e">
        <f ca="1">[1]!BexGetData("DP_1","003N8EMH8GTFRCSWKMPXRRXR2","GSON1235261222")</f>
        <v>#NAME?</v>
      </c>
      <c r="H2620" s="28" t="e">
        <f ca="1">[1]!BexGetData("DP_1","003N8EMH8GTFRCSWKMPXRS42M","GSON1235261222")</f>
        <v>#NAME?</v>
      </c>
      <c r="I2620" s="23" t="e">
        <f ca="1">[1]!BexGetData("DP_1","003N8EMH8GTFRCSWKMPXRSAE6","GSON1235261222")</f>
        <v>#NAME?</v>
      </c>
      <c r="J2620" s="23" t="e">
        <f ca="1">[1]!BexGetData("DP_1","003N8EMH8GTFRCSWKMPXRSGPQ","GSON1235261222")</f>
        <v>#NAME?</v>
      </c>
      <c r="K2620" s="23" t="e">
        <f ca="1">[1]!BexGetData("DP_1","003N8EMH8GTFRIVNUPY288VJH","GSON1235261222")</f>
        <v>#NAME?</v>
      </c>
      <c r="L2620" s="23" t="e">
        <f ca="1">[1]!BexGetData("DP_1","003N8EMH8GTFRIVNUPY2891V1","GSON1235261222")</f>
        <v>#NAME?</v>
      </c>
      <c r="M2620" s="28" t="e">
        <f ca="1">[1]!BexGetData("DP_1","003N8EMH8GTFRIVOG7KG9IQXA","GSON1235261222")</f>
        <v>#NAME?</v>
      </c>
      <c r="N2620" s="23" t="e">
        <f ca="1">[1]!BexGetData("DP_1","003N8EMH8GTFRIVOG7KG9IX8U","GSON1235261222")</f>
        <v>#NAME?</v>
      </c>
      <c r="O2620" s="28" t="e">
        <f ca="1">[1]!BexGetData("DP_1","003N8EMH8GTFRIVOG7KG9J3KE","GSON1235261222")</f>
        <v>#NAME?</v>
      </c>
      <c r="P2620" s="23" t="e">
        <f ca="1">[1]!BexGetData("DP_1","003N8EMH8GTFRIVOG7KG9J9VY","GSON1235261222")</f>
        <v>#NAME?</v>
      </c>
      <c r="Q2620" s="23" t="e">
        <f ca="1">[1]!BexGetData("DP_1","00O2TNJGODT0G5Z4TTKYMM5MT","GSON1235261222")</f>
        <v>#NAME?</v>
      </c>
      <c r="R2620" s="23" t="e">
        <f ca="1">[1]!BexGetData("DP_1","00O2TNJGODT0G5Z4TTKYMMBYD","GSON1235261222")</f>
        <v>#NAME?</v>
      </c>
      <c r="S2620" s="23" t="e">
        <f ca="1">[1]!BexGetData("DP_1","00O2TNJGODT0G5Z4TTKYMMI9X","GSON1235261222")</f>
        <v>#NAME?</v>
      </c>
      <c r="T2620" s="28" t="e">
        <f ca="1">[1]!BexGetData("DP_1","00O2TNJGODT0G5Z4TTKYMMOLH","GSON1235261222")</f>
        <v>#NAME?</v>
      </c>
      <c r="U2620" s="23" t="e">
        <f ca="1">[1]!BexGetData("DP_1","00O2TNJGODT0G5Z4TTKYMMUX1","GSON1235261222")</f>
        <v>#NAME?</v>
      </c>
      <c r="V2620" s="28" t="e">
        <f ca="1">[1]!BexGetData("DP_1","00O2TNJGODT0G5Z4TTKYMN18L","GSON1235261222")</f>
        <v>#NAME?</v>
      </c>
      <c r="W2620" s="23" t="e">
        <f ca="1">[1]!BexGetData("DP_1","00O2TNJGODT0G5Z4TTKYMN7K5","GSON1235261222")</f>
        <v>#NAME?</v>
      </c>
    </row>
    <row r="2621" spans="1:23" x14ac:dyDescent="0.2">
      <c r="A2621" s="36" t="s">
        <v>1277</v>
      </c>
      <c r="B2621" s="27" t="s">
        <v>1278</v>
      </c>
      <c r="C2621" s="28" t="e">
        <f ca="1">[1]!BexGetData("DP_1","003N8EMH8GTFRCSWKMPXRR8GU","GSON1235361300")</f>
        <v>#NAME?</v>
      </c>
      <c r="D2621" s="28" t="e">
        <f ca="1">[1]!BexGetData("DP_1","003N8EMH8GTFRCSWKMPXRRESE","GSON1235361300")</f>
        <v>#NAME?</v>
      </c>
      <c r="E2621" s="23" t="e">
        <f ca="1">[1]!BexGetData("DP_1","003N8EMH8GTFRCSWKMPXRRL3Y","GSON1235361300")</f>
        <v>#NAME?</v>
      </c>
      <c r="F2621" s="23" t="e">
        <f ca="1">[1]!BexGetData("DP_1","003N8EMH8GTFRCSWKMPXRRRFI","GSON1235361300")</f>
        <v>#NAME?</v>
      </c>
      <c r="G2621" s="28" t="e">
        <f ca="1">[1]!BexGetData("DP_1","003N8EMH8GTFRCSWKMPXRRXR2","GSON1235361300")</f>
        <v>#NAME?</v>
      </c>
      <c r="H2621" s="28" t="e">
        <f ca="1">[1]!BexGetData("DP_1","003N8EMH8GTFRCSWKMPXRS42M","GSON1235361300")</f>
        <v>#NAME?</v>
      </c>
      <c r="I2621" s="23" t="e">
        <f ca="1">[1]!BexGetData("DP_1","003N8EMH8GTFRCSWKMPXRSAE6","GSON1235361300")</f>
        <v>#NAME?</v>
      </c>
      <c r="J2621" s="23" t="e">
        <f ca="1">[1]!BexGetData("DP_1","003N8EMH8GTFRCSWKMPXRSGPQ","GSON1235361300")</f>
        <v>#NAME?</v>
      </c>
      <c r="K2621" s="28" t="e">
        <f ca="1">[1]!BexGetData("DP_1","003N8EMH8GTFRIVNUPY288VJH","GSON1235361300")</f>
        <v>#NAME?</v>
      </c>
      <c r="L2621" s="28" t="e">
        <f ca="1">[1]!BexGetData("DP_1","003N8EMH8GTFRIVNUPY2891V1","GSON1235361300")</f>
        <v>#NAME?</v>
      </c>
      <c r="M2621" s="28" t="e">
        <f ca="1">[1]!BexGetData("DP_1","003N8EMH8GTFRIVOG7KG9IQXA","GSON1235361300")</f>
        <v>#NAME?</v>
      </c>
      <c r="N2621" s="28" t="e">
        <f ca="1">[1]!BexGetData("DP_1","003N8EMH8GTFRIVOG7KG9IX8U","GSON1235361300")</f>
        <v>#NAME?</v>
      </c>
      <c r="O2621" s="28" t="e">
        <f ca="1">[1]!BexGetData("DP_1","003N8EMH8GTFRIVOG7KG9J3KE","GSON1235361300")</f>
        <v>#NAME?</v>
      </c>
      <c r="P2621" s="28" t="e">
        <f ca="1">[1]!BexGetData("DP_1","003N8EMH8GTFRIVOG7KG9J9VY","GSON1235361300")</f>
        <v>#NAME?</v>
      </c>
      <c r="Q2621" s="23" t="e">
        <f ca="1">[1]!BexGetData("DP_1","00O2TNJGODT0G5Z4TTKYMM5MT","GSON1235361300")</f>
        <v>#NAME?</v>
      </c>
      <c r="R2621" s="28" t="e">
        <f ca="1">[1]!BexGetData("DP_1","00O2TNJGODT0G5Z4TTKYMMBYD","GSON1235361300")</f>
        <v>#NAME?</v>
      </c>
      <c r="S2621" s="28" t="e">
        <f ca="1">[1]!BexGetData("DP_1","00O2TNJGODT0G5Z4TTKYMMI9X","GSON1235361300")</f>
        <v>#NAME?</v>
      </c>
      <c r="T2621" s="28" t="e">
        <f ca="1">[1]!BexGetData("DP_1","00O2TNJGODT0G5Z4TTKYMMOLH","GSON1235361300")</f>
        <v>#NAME?</v>
      </c>
      <c r="U2621" s="28" t="e">
        <f ca="1">[1]!BexGetData("DP_1","00O2TNJGODT0G5Z4TTKYMMUX1","GSON1235361300")</f>
        <v>#NAME?</v>
      </c>
      <c r="V2621" s="28" t="e">
        <f ca="1">[1]!BexGetData("DP_1","00O2TNJGODT0G5Z4TTKYMN18L","GSON1235361300")</f>
        <v>#NAME?</v>
      </c>
      <c r="W2621" s="28" t="e">
        <f ca="1">[1]!BexGetData("DP_1","00O2TNJGODT0G5Z4TTKYMN7K5","GSON1235361300")</f>
        <v>#NAME?</v>
      </c>
    </row>
    <row r="2622" spans="1:23" x14ac:dyDescent="0.2">
      <c r="A2622" s="36" t="s">
        <v>6022</v>
      </c>
      <c r="B2622" s="27" t="s">
        <v>6023</v>
      </c>
      <c r="C2622" s="23" t="e">
        <f ca="1">[1]!BexGetData("DP_1","003N8EMH8GTFRCSWKMPXRR8GU","GSON1235361301")</f>
        <v>#NAME?</v>
      </c>
      <c r="D2622" s="28" t="e">
        <f ca="1">[1]!BexGetData("DP_1","003N8EMH8GTFRCSWKMPXRRESE","GSON1235361301")</f>
        <v>#NAME?</v>
      </c>
      <c r="E2622" s="23" t="e">
        <f ca="1">[1]!BexGetData("DP_1","003N8EMH8GTFRCSWKMPXRRL3Y","GSON1235361301")</f>
        <v>#NAME?</v>
      </c>
      <c r="F2622" s="24" t="e">
        <f ca="1">[1]!BexGetData("DP_1","003N8EMH8GTFRCSWKMPXRRRFI","GSON1235361301")</f>
        <v>#NAME?</v>
      </c>
      <c r="G2622" s="24" t="e">
        <f ca="1">[1]!BexGetData("DP_1","003N8EMH8GTFRCSWKMPXRRXR2","GSON1235361301")</f>
        <v>#NAME?</v>
      </c>
      <c r="H2622" s="24" t="e">
        <f ca="1">[1]!BexGetData("DP_1","003N8EMH8GTFRCSWKMPXRS42M","GSON1235361301")</f>
        <v>#NAME?</v>
      </c>
      <c r="I2622" s="24" t="e">
        <f ca="1">[1]!BexGetData("DP_1","003N8EMH8GTFRCSWKMPXRSAE6","GSON1235361301")</f>
        <v>#NAME?</v>
      </c>
      <c r="J2622" s="24" t="e">
        <f ca="1">[1]!BexGetData("DP_1","003N8EMH8GTFRCSWKMPXRSGPQ","GSON1235361301")</f>
        <v>#NAME?</v>
      </c>
      <c r="K2622" s="23" t="e">
        <f ca="1">[1]!BexGetData("DP_1","003N8EMH8GTFRIVNUPY288VJH","GSON1235361301")</f>
        <v>#NAME?</v>
      </c>
      <c r="L2622" s="23" t="e">
        <f ca="1">[1]!BexGetData("DP_1","003N8EMH8GTFRIVNUPY2891V1","GSON1235361301")</f>
        <v>#NAME?</v>
      </c>
      <c r="M2622" s="28" t="e">
        <f ca="1">[1]!BexGetData("DP_1","003N8EMH8GTFRIVOG7KG9IQXA","GSON1235361301")</f>
        <v>#NAME?</v>
      </c>
      <c r="N2622" s="23" t="e">
        <f ca="1">[1]!BexGetData("DP_1","003N8EMH8GTFRIVOG7KG9IX8U","GSON1235361301")</f>
        <v>#NAME?</v>
      </c>
      <c r="O2622" s="28" t="e">
        <f ca="1">[1]!BexGetData("DP_1","003N8EMH8GTFRIVOG7KG9J3KE","GSON1235361301")</f>
        <v>#NAME?</v>
      </c>
      <c r="P2622" s="23" t="e">
        <f ca="1">[1]!BexGetData("DP_1","003N8EMH8GTFRIVOG7KG9J9VY","GSON1235361301")</f>
        <v>#NAME?</v>
      </c>
      <c r="Q2622" s="24" t="e">
        <f ca="1">[1]!BexGetData("DP_1","00O2TNJGODT0G5Z4TTKYMM5MT","GSON1235361301")</f>
        <v>#NAME?</v>
      </c>
      <c r="R2622" s="24" t="e">
        <f ca="1">[1]!BexGetData("DP_1","00O2TNJGODT0G5Z4TTKYMMBYD","GSON1235361301")</f>
        <v>#NAME?</v>
      </c>
      <c r="S2622" s="24" t="e">
        <f ca="1">[1]!BexGetData("DP_1","00O2TNJGODT0G5Z4TTKYMMI9X","GSON1235361301")</f>
        <v>#NAME?</v>
      </c>
      <c r="T2622" s="24" t="e">
        <f ca="1">[1]!BexGetData("DP_1","00O2TNJGODT0G5Z4TTKYMMOLH","GSON1235361301")</f>
        <v>#NAME?</v>
      </c>
      <c r="U2622" s="24" t="e">
        <f ca="1">[1]!BexGetData("DP_1","00O2TNJGODT0G5Z4TTKYMMUX1","GSON1235361301")</f>
        <v>#NAME?</v>
      </c>
      <c r="V2622" s="24" t="e">
        <f ca="1">[1]!BexGetData("DP_1","00O2TNJGODT0G5Z4TTKYMN18L","GSON1235361301")</f>
        <v>#NAME?</v>
      </c>
      <c r="W2622" s="24" t="e">
        <f ca="1">[1]!BexGetData("DP_1","00O2TNJGODT0G5Z4TTKYMN7K5","GSON1235361301")</f>
        <v>#NAME?</v>
      </c>
    </row>
    <row r="2623" spans="1:23" x14ac:dyDescent="0.2">
      <c r="A2623" s="36" t="s">
        <v>6024</v>
      </c>
      <c r="B2623" s="27" t="s">
        <v>6025</v>
      </c>
      <c r="C2623" s="23" t="e">
        <f ca="1">[1]!BexGetData("DP_1","003N8EMH8GTFRCSWKMPXRR8GU","GSON1235361302")</f>
        <v>#NAME?</v>
      </c>
      <c r="D2623" s="28" t="e">
        <f ca="1">[1]!BexGetData("DP_1","003N8EMH8GTFRCSWKMPXRRESE","GSON1235361302")</f>
        <v>#NAME?</v>
      </c>
      <c r="E2623" s="23" t="e">
        <f ca="1">[1]!BexGetData("DP_1","003N8EMH8GTFRCSWKMPXRRL3Y","GSON1235361302")</f>
        <v>#NAME?</v>
      </c>
      <c r="F2623" s="23" t="e">
        <f ca="1">[1]!BexGetData("DP_1","003N8EMH8GTFRCSWKMPXRRRFI","GSON1235361302")</f>
        <v>#NAME?</v>
      </c>
      <c r="G2623" s="28" t="e">
        <f ca="1">[1]!BexGetData("DP_1","003N8EMH8GTFRCSWKMPXRRXR2","GSON1235361302")</f>
        <v>#NAME?</v>
      </c>
      <c r="H2623" s="28" t="e">
        <f ca="1">[1]!BexGetData("DP_1","003N8EMH8GTFRCSWKMPXRS42M","GSON1235361302")</f>
        <v>#NAME?</v>
      </c>
      <c r="I2623" s="23" t="e">
        <f ca="1">[1]!BexGetData("DP_1","003N8EMH8GTFRCSWKMPXRSAE6","GSON1235361302")</f>
        <v>#NAME?</v>
      </c>
      <c r="J2623" s="23" t="e">
        <f ca="1">[1]!BexGetData("DP_1","003N8EMH8GTFRCSWKMPXRSGPQ","GSON1235361302")</f>
        <v>#NAME?</v>
      </c>
      <c r="K2623" s="23" t="e">
        <f ca="1">[1]!BexGetData("DP_1","003N8EMH8GTFRIVNUPY288VJH","GSON1235361302")</f>
        <v>#NAME?</v>
      </c>
      <c r="L2623" s="23" t="e">
        <f ca="1">[1]!BexGetData("DP_1","003N8EMH8GTFRIVNUPY2891V1","GSON1235361302")</f>
        <v>#NAME?</v>
      </c>
      <c r="M2623" s="28" t="e">
        <f ca="1">[1]!BexGetData("DP_1","003N8EMH8GTFRIVOG7KG9IQXA","GSON1235361302")</f>
        <v>#NAME?</v>
      </c>
      <c r="N2623" s="23" t="e">
        <f ca="1">[1]!BexGetData("DP_1","003N8EMH8GTFRIVOG7KG9IX8U","GSON1235361302")</f>
        <v>#NAME?</v>
      </c>
      <c r="O2623" s="28" t="e">
        <f ca="1">[1]!BexGetData("DP_1","003N8EMH8GTFRIVOG7KG9J3KE","GSON1235361302")</f>
        <v>#NAME?</v>
      </c>
      <c r="P2623" s="23" t="e">
        <f ca="1">[1]!BexGetData("DP_1","003N8EMH8GTFRIVOG7KG9J9VY","GSON1235361302")</f>
        <v>#NAME?</v>
      </c>
      <c r="Q2623" s="23" t="e">
        <f ca="1">[1]!BexGetData("DP_1","00O2TNJGODT0G5Z4TTKYMM5MT","GSON1235361302")</f>
        <v>#NAME?</v>
      </c>
      <c r="R2623" s="28" t="e">
        <f ca="1">[1]!BexGetData("DP_1","00O2TNJGODT0G5Z4TTKYMMBYD","GSON1235361302")</f>
        <v>#NAME?</v>
      </c>
      <c r="S2623" s="28" t="e">
        <f ca="1">[1]!BexGetData("DP_1","00O2TNJGODT0G5Z4TTKYMMI9X","GSON1235361302")</f>
        <v>#NAME?</v>
      </c>
      <c r="T2623" s="28" t="e">
        <f ca="1">[1]!BexGetData("DP_1","00O2TNJGODT0G5Z4TTKYMMOLH","GSON1235361302")</f>
        <v>#NAME?</v>
      </c>
      <c r="U2623" s="28" t="e">
        <f ca="1">[1]!BexGetData("DP_1","00O2TNJGODT0G5Z4TTKYMMUX1","GSON1235361302")</f>
        <v>#NAME?</v>
      </c>
      <c r="V2623" s="28" t="e">
        <f ca="1">[1]!BexGetData("DP_1","00O2TNJGODT0G5Z4TTKYMN18L","GSON1235361302")</f>
        <v>#NAME?</v>
      </c>
      <c r="W2623" s="28" t="e">
        <f ca="1">[1]!BexGetData("DP_1","00O2TNJGODT0G5Z4TTKYMN7K5","GSON1235361302")</f>
        <v>#NAME?</v>
      </c>
    </row>
    <row r="2624" spans="1:23" x14ac:dyDescent="0.2">
      <c r="A2624" s="36" t="s">
        <v>6026</v>
      </c>
      <c r="B2624" s="27" t="s">
        <v>6027</v>
      </c>
      <c r="C2624" s="23" t="e">
        <f ca="1">[1]!BexGetData("DP_1","003N8EMH8GTFRCSWKMPXRR8GU","GSON1235361303")</f>
        <v>#NAME?</v>
      </c>
      <c r="D2624" s="28" t="e">
        <f ca="1">[1]!BexGetData("DP_1","003N8EMH8GTFRCSWKMPXRRESE","GSON1235361303")</f>
        <v>#NAME?</v>
      </c>
      <c r="E2624" s="23" t="e">
        <f ca="1">[1]!BexGetData("DP_1","003N8EMH8GTFRCSWKMPXRRL3Y","GSON1235361303")</f>
        <v>#NAME?</v>
      </c>
      <c r="F2624" s="24" t="e">
        <f ca="1">[1]!BexGetData("DP_1","003N8EMH8GTFRCSWKMPXRRRFI","GSON1235361303")</f>
        <v>#NAME?</v>
      </c>
      <c r="G2624" s="24" t="e">
        <f ca="1">[1]!BexGetData("DP_1","003N8EMH8GTFRCSWKMPXRRXR2","GSON1235361303")</f>
        <v>#NAME?</v>
      </c>
      <c r="H2624" s="24" t="e">
        <f ca="1">[1]!BexGetData("DP_1","003N8EMH8GTFRCSWKMPXRS42M","GSON1235361303")</f>
        <v>#NAME?</v>
      </c>
      <c r="I2624" s="24" t="e">
        <f ca="1">[1]!BexGetData("DP_1","003N8EMH8GTFRCSWKMPXRSAE6","GSON1235361303")</f>
        <v>#NAME?</v>
      </c>
      <c r="J2624" s="24" t="e">
        <f ca="1">[1]!BexGetData("DP_1","003N8EMH8GTFRCSWKMPXRSGPQ","GSON1235361303")</f>
        <v>#NAME?</v>
      </c>
      <c r="K2624" s="23" t="e">
        <f ca="1">[1]!BexGetData("DP_1","003N8EMH8GTFRIVNUPY288VJH","GSON1235361303")</f>
        <v>#NAME?</v>
      </c>
      <c r="L2624" s="23" t="e">
        <f ca="1">[1]!BexGetData("DP_1","003N8EMH8GTFRIVNUPY2891V1","GSON1235361303")</f>
        <v>#NAME?</v>
      </c>
      <c r="M2624" s="28" t="e">
        <f ca="1">[1]!BexGetData("DP_1","003N8EMH8GTFRIVOG7KG9IQXA","GSON1235361303")</f>
        <v>#NAME?</v>
      </c>
      <c r="N2624" s="23" t="e">
        <f ca="1">[1]!BexGetData("DP_1","003N8EMH8GTFRIVOG7KG9IX8U","GSON1235361303")</f>
        <v>#NAME?</v>
      </c>
      <c r="O2624" s="28" t="e">
        <f ca="1">[1]!BexGetData("DP_1","003N8EMH8GTFRIVOG7KG9J3KE","GSON1235361303")</f>
        <v>#NAME?</v>
      </c>
      <c r="P2624" s="23" t="e">
        <f ca="1">[1]!BexGetData("DP_1","003N8EMH8GTFRIVOG7KG9J9VY","GSON1235361303")</f>
        <v>#NAME?</v>
      </c>
      <c r="Q2624" s="24" t="e">
        <f ca="1">[1]!BexGetData("DP_1","00O2TNJGODT0G5Z4TTKYMM5MT","GSON1235361303")</f>
        <v>#NAME?</v>
      </c>
      <c r="R2624" s="24" t="e">
        <f ca="1">[1]!BexGetData("DP_1","00O2TNJGODT0G5Z4TTKYMMBYD","GSON1235361303")</f>
        <v>#NAME?</v>
      </c>
      <c r="S2624" s="24" t="e">
        <f ca="1">[1]!BexGetData("DP_1","00O2TNJGODT0G5Z4TTKYMMI9X","GSON1235361303")</f>
        <v>#NAME?</v>
      </c>
      <c r="T2624" s="24" t="e">
        <f ca="1">[1]!BexGetData("DP_1","00O2TNJGODT0G5Z4TTKYMMOLH","GSON1235361303")</f>
        <v>#NAME?</v>
      </c>
      <c r="U2624" s="24" t="e">
        <f ca="1">[1]!BexGetData("DP_1","00O2TNJGODT0G5Z4TTKYMMUX1","GSON1235361303")</f>
        <v>#NAME?</v>
      </c>
      <c r="V2624" s="24" t="e">
        <f ca="1">[1]!BexGetData("DP_1","00O2TNJGODT0G5Z4TTKYMN18L","GSON1235361303")</f>
        <v>#NAME?</v>
      </c>
      <c r="W2624" s="24" t="e">
        <f ca="1">[1]!BexGetData("DP_1","00O2TNJGODT0G5Z4TTKYMN7K5","GSON1235361303")</f>
        <v>#NAME?</v>
      </c>
    </row>
    <row r="2625" spans="1:23" x14ac:dyDescent="0.2">
      <c r="A2625" s="36" t="s">
        <v>6028</v>
      </c>
      <c r="B2625" s="27" t="s">
        <v>6029</v>
      </c>
      <c r="C2625" s="23" t="e">
        <f ca="1">[1]!BexGetData("DP_1","003N8EMH8GTFRCSWKMPXRR8GU","GSON1235361311")</f>
        <v>#NAME?</v>
      </c>
      <c r="D2625" s="23" t="e">
        <f ca="1">[1]!BexGetData("DP_1","003N8EMH8GTFRCSWKMPXRRESE","GSON1235361311")</f>
        <v>#NAME?</v>
      </c>
      <c r="E2625" s="23" t="e">
        <f ca="1">[1]!BexGetData("DP_1","003N8EMH8GTFRCSWKMPXRRL3Y","GSON1235361311")</f>
        <v>#NAME?</v>
      </c>
      <c r="F2625" s="24" t="e">
        <f ca="1">[1]!BexGetData("DP_1","003N8EMH8GTFRCSWKMPXRRRFI","GSON1235361311")</f>
        <v>#NAME?</v>
      </c>
      <c r="G2625" s="24" t="e">
        <f ca="1">[1]!BexGetData("DP_1","003N8EMH8GTFRCSWKMPXRRXR2","GSON1235361311")</f>
        <v>#NAME?</v>
      </c>
      <c r="H2625" s="24" t="e">
        <f ca="1">[1]!BexGetData("DP_1","003N8EMH8GTFRCSWKMPXRS42M","GSON1235361311")</f>
        <v>#NAME?</v>
      </c>
      <c r="I2625" s="24" t="e">
        <f ca="1">[1]!BexGetData("DP_1","003N8EMH8GTFRCSWKMPXRSAE6","GSON1235361311")</f>
        <v>#NAME?</v>
      </c>
      <c r="J2625" s="24" t="e">
        <f ca="1">[1]!BexGetData("DP_1","003N8EMH8GTFRCSWKMPXRSGPQ","GSON1235361311")</f>
        <v>#NAME?</v>
      </c>
      <c r="K2625" s="23" t="e">
        <f ca="1">[1]!BexGetData("DP_1","003N8EMH8GTFRIVNUPY288VJH","GSON1235361311")</f>
        <v>#NAME?</v>
      </c>
      <c r="L2625" s="23" t="e">
        <f ca="1">[1]!BexGetData("DP_1","003N8EMH8GTFRIVNUPY2891V1","GSON1235361311")</f>
        <v>#NAME?</v>
      </c>
      <c r="M2625" s="28" t="e">
        <f ca="1">[1]!BexGetData("DP_1","003N8EMH8GTFRIVOG7KG9IQXA","GSON1235361311")</f>
        <v>#NAME?</v>
      </c>
      <c r="N2625" s="23" t="e">
        <f ca="1">[1]!BexGetData("DP_1","003N8EMH8GTFRIVOG7KG9IX8U","GSON1235361311")</f>
        <v>#NAME?</v>
      </c>
      <c r="O2625" s="28" t="e">
        <f ca="1">[1]!BexGetData("DP_1","003N8EMH8GTFRIVOG7KG9J3KE","GSON1235361311")</f>
        <v>#NAME?</v>
      </c>
      <c r="P2625" s="23" t="e">
        <f ca="1">[1]!BexGetData("DP_1","003N8EMH8GTFRIVOG7KG9J9VY","GSON1235361311")</f>
        <v>#NAME?</v>
      </c>
      <c r="Q2625" s="24" t="e">
        <f ca="1">[1]!BexGetData("DP_1","00O2TNJGODT0G5Z4TTKYMM5MT","GSON1235361311")</f>
        <v>#NAME?</v>
      </c>
      <c r="R2625" s="24" t="e">
        <f ca="1">[1]!BexGetData("DP_1","00O2TNJGODT0G5Z4TTKYMMBYD","GSON1235361311")</f>
        <v>#NAME?</v>
      </c>
      <c r="S2625" s="24" t="e">
        <f ca="1">[1]!BexGetData("DP_1","00O2TNJGODT0G5Z4TTKYMMI9X","GSON1235361311")</f>
        <v>#NAME?</v>
      </c>
      <c r="T2625" s="24" t="e">
        <f ca="1">[1]!BexGetData("DP_1","00O2TNJGODT0G5Z4TTKYMMOLH","GSON1235361311")</f>
        <v>#NAME?</v>
      </c>
      <c r="U2625" s="24" t="e">
        <f ca="1">[1]!BexGetData("DP_1","00O2TNJGODT0G5Z4TTKYMMUX1","GSON1235361311")</f>
        <v>#NAME?</v>
      </c>
      <c r="V2625" s="24" t="e">
        <f ca="1">[1]!BexGetData("DP_1","00O2TNJGODT0G5Z4TTKYMN18L","GSON1235361311")</f>
        <v>#NAME?</v>
      </c>
      <c r="W2625" s="24" t="e">
        <f ca="1">[1]!BexGetData("DP_1","00O2TNJGODT0G5Z4TTKYMN7K5","GSON1235361311")</f>
        <v>#NAME?</v>
      </c>
    </row>
    <row r="2626" spans="1:23" x14ac:dyDescent="0.2">
      <c r="A2626" s="36" t="s">
        <v>1279</v>
      </c>
      <c r="B2626" s="27" t="s">
        <v>1280</v>
      </c>
      <c r="C2626" s="28" t="e">
        <f ca="1">[1]!BexGetData("DP_1","003N8EMH8GTFRCSWKMPXRR8GU","GSON1235461400")</f>
        <v>#NAME?</v>
      </c>
      <c r="D2626" s="28" t="e">
        <f ca="1">[1]!BexGetData("DP_1","003N8EMH8GTFRCSWKMPXRRESE","GSON1235461400")</f>
        <v>#NAME?</v>
      </c>
      <c r="E2626" s="28" t="e">
        <f ca="1">[1]!BexGetData("DP_1","003N8EMH8GTFRCSWKMPXRRL3Y","GSON1235461400")</f>
        <v>#NAME?</v>
      </c>
      <c r="F2626" s="28" t="e">
        <f ca="1">[1]!BexGetData("DP_1","003N8EMH8GTFRCSWKMPXRRRFI","GSON1235461400")</f>
        <v>#NAME?</v>
      </c>
      <c r="G2626" s="28" t="e">
        <f ca="1">[1]!BexGetData("DP_1","003N8EMH8GTFRCSWKMPXRRXR2","GSON1235461400")</f>
        <v>#NAME?</v>
      </c>
      <c r="H2626" s="23" t="e">
        <f ca="1">[1]!BexGetData("DP_1","003N8EMH8GTFRCSWKMPXRS42M","GSON1235461400")</f>
        <v>#NAME?</v>
      </c>
      <c r="I2626" s="28" t="e">
        <f ca="1">[1]!BexGetData("DP_1","003N8EMH8GTFRCSWKMPXRSAE6","GSON1235461400")</f>
        <v>#NAME?</v>
      </c>
      <c r="J2626" s="23" t="e">
        <f ca="1">[1]!BexGetData("DP_1","003N8EMH8GTFRCSWKMPXRSGPQ","GSON1235461400")</f>
        <v>#NAME?</v>
      </c>
      <c r="K2626" s="28" t="e">
        <f ca="1">[1]!BexGetData("DP_1","003N8EMH8GTFRIVNUPY288VJH","GSON1235461400")</f>
        <v>#NAME?</v>
      </c>
      <c r="L2626" s="28" t="e">
        <f ca="1">[1]!BexGetData("DP_1","003N8EMH8GTFRIVNUPY2891V1","GSON1235461400")</f>
        <v>#NAME?</v>
      </c>
      <c r="M2626" s="28" t="e">
        <f ca="1">[1]!BexGetData("DP_1","003N8EMH8GTFRIVOG7KG9IQXA","GSON1235461400")</f>
        <v>#NAME?</v>
      </c>
      <c r="N2626" s="28" t="e">
        <f ca="1">[1]!BexGetData("DP_1","003N8EMH8GTFRIVOG7KG9IX8U","GSON1235461400")</f>
        <v>#NAME?</v>
      </c>
      <c r="O2626" s="28" t="e">
        <f ca="1">[1]!BexGetData("DP_1","003N8EMH8GTFRIVOG7KG9J3KE","GSON1235461400")</f>
        <v>#NAME?</v>
      </c>
      <c r="P2626" s="28" t="e">
        <f ca="1">[1]!BexGetData("DP_1","003N8EMH8GTFRIVOG7KG9J9VY","GSON1235461400")</f>
        <v>#NAME?</v>
      </c>
      <c r="Q2626" s="23" t="e">
        <f ca="1">[1]!BexGetData("DP_1","00O2TNJGODT0G5Z4TTKYMM5MT","GSON1235461400")</f>
        <v>#NAME?</v>
      </c>
      <c r="R2626" s="23" t="e">
        <f ca="1">[1]!BexGetData("DP_1","00O2TNJGODT0G5Z4TTKYMMBYD","GSON1235461400")</f>
        <v>#NAME?</v>
      </c>
      <c r="S2626" s="23" t="e">
        <f ca="1">[1]!BexGetData("DP_1","00O2TNJGODT0G5Z4TTKYMMI9X","GSON1235461400")</f>
        <v>#NAME?</v>
      </c>
      <c r="T2626" s="23" t="e">
        <f ca="1">[1]!BexGetData("DP_1","00O2TNJGODT0G5Z4TTKYMMOLH","GSON1235461400")</f>
        <v>#NAME?</v>
      </c>
      <c r="U2626" s="28" t="e">
        <f ca="1">[1]!BexGetData("DP_1","00O2TNJGODT0G5Z4TTKYMMUX1","GSON1235461400")</f>
        <v>#NAME?</v>
      </c>
      <c r="V2626" s="23" t="e">
        <f ca="1">[1]!BexGetData("DP_1","00O2TNJGODT0G5Z4TTKYMN18L","GSON1235461400")</f>
        <v>#NAME?</v>
      </c>
      <c r="W2626" s="28" t="e">
        <f ca="1">[1]!BexGetData("DP_1","00O2TNJGODT0G5Z4TTKYMN7K5","GSON1235461400")</f>
        <v>#NAME?</v>
      </c>
    </row>
    <row r="2627" spans="1:23" x14ac:dyDescent="0.2">
      <c r="A2627" s="36" t="s">
        <v>6030</v>
      </c>
      <c r="B2627" s="27" t="s">
        <v>6031</v>
      </c>
      <c r="C2627" s="28" t="e">
        <f ca="1">[1]!BexGetData("DP_1","003N8EMH8GTFRCSWKMPXRR8GU","GSON1235461406")</f>
        <v>#NAME?</v>
      </c>
      <c r="D2627" s="28" t="e">
        <f ca="1">[1]!BexGetData("DP_1","003N8EMH8GTFRCSWKMPXRRESE","GSON1235461406")</f>
        <v>#NAME?</v>
      </c>
      <c r="E2627" s="23" t="e">
        <f ca="1">[1]!BexGetData("DP_1","003N8EMH8GTFRCSWKMPXRRL3Y","GSON1235461406")</f>
        <v>#NAME?</v>
      </c>
      <c r="F2627" s="23" t="e">
        <f ca="1">[1]!BexGetData("DP_1","003N8EMH8GTFRCSWKMPXRRRFI","GSON1235461406")</f>
        <v>#NAME?</v>
      </c>
      <c r="G2627" s="23" t="e">
        <f ca="1">[1]!BexGetData("DP_1","003N8EMH8GTFRCSWKMPXRRXR2","GSON1235461406")</f>
        <v>#NAME?</v>
      </c>
      <c r="H2627" s="23" t="e">
        <f ca="1">[1]!BexGetData("DP_1","003N8EMH8GTFRCSWKMPXRS42M","GSON1235461406")</f>
        <v>#NAME?</v>
      </c>
      <c r="I2627" s="23" t="e">
        <f ca="1">[1]!BexGetData("DP_1","003N8EMH8GTFRCSWKMPXRSAE6","GSON1235461406")</f>
        <v>#NAME?</v>
      </c>
      <c r="J2627" s="23" t="e">
        <f ca="1">[1]!BexGetData("DP_1","003N8EMH8GTFRCSWKMPXRSGPQ","GSON1235461406")</f>
        <v>#NAME?</v>
      </c>
      <c r="K2627" s="28" t="e">
        <f ca="1">[1]!BexGetData("DP_1","003N8EMH8GTFRIVNUPY288VJH","GSON1235461406")</f>
        <v>#NAME?</v>
      </c>
      <c r="L2627" s="28" t="e">
        <f ca="1">[1]!BexGetData("DP_1","003N8EMH8GTFRIVNUPY2891V1","GSON1235461406")</f>
        <v>#NAME?</v>
      </c>
      <c r="M2627" s="28" t="e">
        <f ca="1">[1]!BexGetData("DP_1","003N8EMH8GTFRIVOG7KG9IQXA","GSON1235461406")</f>
        <v>#NAME?</v>
      </c>
      <c r="N2627" s="28" t="e">
        <f ca="1">[1]!BexGetData("DP_1","003N8EMH8GTFRIVOG7KG9IX8U","GSON1235461406")</f>
        <v>#NAME?</v>
      </c>
      <c r="O2627" s="28" t="e">
        <f ca="1">[1]!BexGetData("DP_1","003N8EMH8GTFRIVOG7KG9J3KE","GSON1235461406")</f>
        <v>#NAME?</v>
      </c>
      <c r="P2627" s="28" t="e">
        <f ca="1">[1]!BexGetData("DP_1","003N8EMH8GTFRIVOG7KG9J9VY","GSON1235461406")</f>
        <v>#NAME?</v>
      </c>
      <c r="Q2627" s="23" t="e">
        <f ca="1">[1]!BexGetData("DP_1","00O2TNJGODT0G5Z4TTKYMM5MT","GSON1235461406")</f>
        <v>#NAME?</v>
      </c>
      <c r="R2627" s="23" t="e">
        <f ca="1">[1]!BexGetData("DP_1","00O2TNJGODT0G5Z4TTKYMMBYD","GSON1235461406")</f>
        <v>#NAME?</v>
      </c>
      <c r="S2627" s="23" t="e">
        <f ca="1">[1]!BexGetData("DP_1","00O2TNJGODT0G5Z4TTKYMMI9X","GSON1235461406")</f>
        <v>#NAME?</v>
      </c>
      <c r="T2627" s="28" t="e">
        <f ca="1">[1]!BexGetData("DP_1","00O2TNJGODT0G5Z4TTKYMMOLH","GSON1235461406")</f>
        <v>#NAME?</v>
      </c>
      <c r="U2627" s="23" t="e">
        <f ca="1">[1]!BexGetData("DP_1","00O2TNJGODT0G5Z4TTKYMMUX1","GSON1235461406")</f>
        <v>#NAME?</v>
      </c>
      <c r="V2627" s="28" t="e">
        <f ca="1">[1]!BexGetData("DP_1","00O2TNJGODT0G5Z4TTKYMN18L","GSON1235461406")</f>
        <v>#NAME?</v>
      </c>
      <c r="W2627" s="23" t="e">
        <f ca="1">[1]!BexGetData("DP_1","00O2TNJGODT0G5Z4TTKYMN7K5","GSON1235461406")</f>
        <v>#NAME?</v>
      </c>
    </row>
    <row r="2628" spans="1:23" x14ac:dyDescent="0.2">
      <c r="A2628" s="36" t="s">
        <v>1281</v>
      </c>
      <c r="B2628" s="27" t="s">
        <v>1282</v>
      </c>
      <c r="C2628" s="28" t="e">
        <f ca="1">[1]!BexGetData("DP_1","003N8EMH8GTFRCSWKMPXRR8GU","GSON1235461407")</f>
        <v>#NAME?</v>
      </c>
      <c r="D2628" s="28" t="e">
        <f ca="1">[1]!BexGetData("DP_1","003N8EMH8GTFRCSWKMPXRRESE","GSON1235461407")</f>
        <v>#NAME?</v>
      </c>
      <c r="E2628" s="23" t="e">
        <f ca="1">[1]!BexGetData("DP_1","003N8EMH8GTFRCSWKMPXRRL3Y","GSON1235461407")</f>
        <v>#NAME?</v>
      </c>
      <c r="F2628" s="23" t="e">
        <f ca="1">[1]!BexGetData("DP_1","003N8EMH8GTFRCSWKMPXRRRFI","GSON1235461407")</f>
        <v>#NAME?</v>
      </c>
      <c r="G2628" s="23" t="e">
        <f ca="1">[1]!BexGetData("DP_1","003N8EMH8GTFRCSWKMPXRRXR2","GSON1235461407")</f>
        <v>#NAME?</v>
      </c>
      <c r="H2628" s="23" t="e">
        <f ca="1">[1]!BexGetData("DP_1","003N8EMH8GTFRCSWKMPXRS42M","GSON1235461407")</f>
        <v>#NAME?</v>
      </c>
      <c r="I2628" s="23" t="e">
        <f ca="1">[1]!BexGetData("DP_1","003N8EMH8GTFRCSWKMPXRSAE6","GSON1235461407")</f>
        <v>#NAME?</v>
      </c>
      <c r="J2628" s="24" t="e">
        <f ca="1">[1]!BexGetData("DP_1","003N8EMH8GTFRCSWKMPXRSGPQ","GSON1235461407")</f>
        <v>#NAME?</v>
      </c>
      <c r="K2628" s="28" t="e">
        <f ca="1">[1]!BexGetData("DP_1","003N8EMH8GTFRIVNUPY288VJH","GSON1235461407")</f>
        <v>#NAME?</v>
      </c>
      <c r="L2628" s="28" t="e">
        <f ca="1">[1]!BexGetData("DP_1","003N8EMH8GTFRIVNUPY2891V1","GSON1235461407")</f>
        <v>#NAME?</v>
      </c>
      <c r="M2628" s="28" t="e">
        <f ca="1">[1]!BexGetData("DP_1","003N8EMH8GTFRIVOG7KG9IQXA","GSON1235461407")</f>
        <v>#NAME?</v>
      </c>
      <c r="N2628" s="28" t="e">
        <f ca="1">[1]!BexGetData("DP_1","003N8EMH8GTFRIVOG7KG9IX8U","GSON1235461407")</f>
        <v>#NAME?</v>
      </c>
      <c r="O2628" s="28" t="e">
        <f ca="1">[1]!BexGetData("DP_1","003N8EMH8GTFRIVOG7KG9J3KE","GSON1235461407")</f>
        <v>#NAME?</v>
      </c>
      <c r="P2628" s="28" t="e">
        <f ca="1">[1]!BexGetData("DP_1","003N8EMH8GTFRIVOG7KG9J9VY","GSON1235461407")</f>
        <v>#NAME?</v>
      </c>
      <c r="Q2628" s="24" t="e">
        <f ca="1">[1]!BexGetData("DP_1","00O2TNJGODT0G5Z4TTKYMM5MT","GSON1235461407")</f>
        <v>#NAME?</v>
      </c>
      <c r="R2628" s="23" t="e">
        <f ca="1">[1]!BexGetData("DP_1","00O2TNJGODT0G5Z4TTKYMMBYD","GSON1235461407")</f>
        <v>#NAME?</v>
      </c>
      <c r="S2628" s="23" t="e">
        <f ca="1">[1]!BexGetData("DP_1","00O2TNJGODT0G5Z4TTKYMMI9X","GSON1235461407")</f>
        <v>#NAME?</v>
      </c>
      <c r="T2628" s="28" t="e">
        <f ca="1">[1]!BexGetData("DP_1","00O2TNJGODT0G5Z4TTKYMMOLH","GSON1235461407")</f>
        <v>#NAME?</v>
      </c>
      <c r="U2628" s="23" t="e">
        <f ca="1">[1]!BexGetData("DP_1","00O2TNJGODT0G5Z4TTKYMMUX1","GSON1235461407")</f>
        <v>#NAME?</v>
      </c>
      <c r="V2628" s="28" t="e">
        <f ca="1">[1]!BexGetData("DP_1","00O2TNJGODT0G5Z4TTKYMN18L","GSON1235461407")</f>
        <v>#NAME?</v>
      </c>
      <c r="W2628" s="23" t="e">
        <f ca="1">[1]!BexGetData("DP_1","00O2TNJGODT0G5Z4TTKYMN7K5","GSON1235461407")</f>
        <v>#NAME?</v>
      </c>
    </row>
    <row r="2629" spans="1:23" x14ac:dyDescent="0.2">
      <c r="A2629" s="36" t="s">
        <v>6032</v>
      </c>
      <c r="B2629" s="27" t="s">
        <v>6033</v>
      </c>
      <c r="C2629" s="23" t="e">
        <f ca="1">[1]!BexGetData("DP_1","003N8EMH8GTFRCSWKMPXRR8GU","GSON1235461408")</f>
        <v>#NAME?</v>
      </c>
      <c r="D2629" s="23" t="e">
        <f ca="1">[1]!BexGetData("DP_1","003N8EMH8GTFRCSWKMPXRRESE","GSON1235461408")</f>
        <v>#NAME?</v>
      </c>
      <c r="E2629" s="23" t="e">
        <f ca="1">[1]!BexGetData("DP_1","003N8EMH8GTFRCSWKMPXRRL3Y","GSON1235461408")</f>
        <v>#NAME?</v>
      </c>
      <c r="F2629" s="23" t="e">
        <f ca="1">[1]!BexGetData("DP_1","003N8EMH8GTFRCSWKMPXRRRFI","GSON1235461408")</f>
        <v>#NAME?</v>
      </c>
      <c r="G2629" s="23" t="e">
        <f ca="1">[1]!BexGetData("DP_1","003N8EMH8GTFRCSWKMPXRRXR2","GSON1235461408")</f>
        <v>#NAME?</v>
      </c>
      <c r="H2629" s="23" t="e">
        <f ca="1">[1]!BexGetData("DP_1","003N8EMH8GTFRCSWKMPXRS42M","GSON1235461408")</f>
        <v>#NAME?</v>
      </c>
      <c r="I2629" s="23" t="e">
        <f ca="1">[1]!BexGetData("DP_1","003N8EMH8GTFRCSWKMPXRSAE6","GSON1235461408")</f>
        <v>#NAME?</v>
      </c>
      <c r="J2629" s="23" t="e">
        <f ca="1">[1]!BexGetData("DP_1","003N8EMH8GTFRCSWKMPXRSGPQ","GSON1235461408")</f>
        <v>#NAME?</v>
      </c>
      <c r="K2629" s="23" t="e">
        <f ca="1">[1]!BexGetData("DP_1","003N8EMH8GTFRIVNUPY288VJH","GSON1235461408")</f>
        <v>#NAME?</v>
      </c>
      <c r="L2629" s="23" t="e">
        <f ca="1">[1]!BexGetData("DP_1","003N8EMH8GTFRIVNUPY2891V1","GSON1235461408")</f>
        <v>#NAME?</v>
      </c>
      <c r="M2629" s="28" t="e">
        <f ca="1">[1]!BexGetData("DP_1","003N8EMH8GTFRIVOG7KG9IQXA","GSON1235461408")</f>
        <v>#NAME?</v>
      </c>
      <c r="N2629" s="23" t="e">
        <f ca="1">[1]!BexGetData("DP_1","003N8EMH8GTFRIVOG7KG9IX8U","GSON1235461408")</f>
        <v>#NAME?</v>
      </c>
      <c r="O2629" s="28" t="e">
        <f ca="1">[1]!BexGetData("DP_1","003N8EMH8GTFRIVOG7KG9J3KE","GSON1235461408")</f>
        <v>#NAME?</v>
      </c>
      <c r="P2629" s="23" t="e">
        <f ca="1">[1]!BexGetData("DP_1","003N8EMH8GTFRIVOG7KG9J9VY","GSON1235461408")</f>
        <v>#NAME?</v>
      </c>
      <c r="Q2629" s="23" t="e">
        <f ca="1">[1]!BexGetData("DP_1","00O2TNJGODT0G5Z4TTKYMM5MT","GSON1235461408")</f>
        <v>#NAME?</v>
      </c>
      <c r="R2629" s="23" t="e">
        <f ca="1">[1]!BexGetData("DP_1","00O2TNJGODT0G5Z4TTKYMMBYD","GSON1235461408")</f>
        <v>#NAME?</v>
      </c>
      <c r="S2629" s="23" t="e">
        <f ca="1">[1]!BexGetData("DP_1","00O2TNJGODT0G5Z4TTKYMMI9X","GSON1235461408")</f>
        <v>#NAME?</v>
      </c>
      <c r="T2629" s="28" t="e">
        <f ca="1">[1]!BexGetData("DP_1","00O2TNJGODT0G5Z4TTKYMMOLH","GSON1235461408")</f>
        <v>#NAME?</v>
      </c>
      <c r="U2629" s="23" t="e">
        <f ca="1">[1]!BexGetData("DP_1","00O2TNJGODT0G5Z4TTKYMMUX1","GSON1235461408")</f>
        <v>#NAME?</v>
      </c>
      <c r="V2629" s="28" t="e">
        <f ca="1">[1]!BexGetData("DP_1","00O2TNJGODT0G5Z4TTKYMN18L","GSON1235461408")</f>
        <v>#NAME?</v>
      </c>
      <c r="W2629" s="23" t="e">
        <f ca="1">[1]!BexGetData("DP_1","00O2TNJGODT0G5Z4TTKYMN7K5","GSON1235461408")</f>
        <v>#NAME?</v>
      </c>
    </row>
    <row r="2630" spans="1:23" x14ac:dyDescent="0.2">
      <c r="A2630" s="36" t="s">
        <v>1729</v>
      </c>
      <c r="B2630" s="27" t="s">
        <v>1730</v>
      </c>
      <c r="C2630" s="23" t="e">
        <f ca="1">[1]!BexGetData("DP_1","003N8EMH8GTFRCSWKMPXRR8GU","GSON1235461409")</f>
        <v>#NAME?</v>
      </c>
      <c r="D2630" s="28" t="e">
        <f ca="1">[1]!BexGetData("DP_1","003N8EMH8GTFRCSWKMPXRRESE","GSON1235461409")</f>
        <v>#NAME?</v>
      </c>
      <c r="E2630" s="23" t="e">
        <f ca="1">[1]!BexGetData("DP_1","003N8EMH8GTFRCSWKMPXRRL3Y","GSON1235461409")</f>
        <v>#NAME?</v>
      </c>
      <c r="F2630" s="23" t="e">
        <f ca="1">[1]!BexGetData("DP_1","003N8EMH8GTFRCSWKMPXRRRFI","GSON1235461409")</f>
        <v>#NAME?</v>
      </c>
      <c r="G2630" s="23" t="e">
        <f ca="1">[1]!BexGetData("DP_1","003N8EMH8GTFRCSWKMPXRRXR2","GSON1235461409")</f>
        <v>#NAME?</v>
      </c>
      <c r="H2630" s="23" t="e">
        <f ca="1">[1]!BexGetData("DP_1","003N8EMH8GTFRCSWKMPXRS42M","GSON1235461409")</f>
        <v>#NAME?</v>
      </c>
      <c r="I2630" s="23" t="e">
        <f ca="1">[1]!BexGetData("DP_1","003N8EMH8GTFRCSWKMPXRSAE6","GSON1235461409")</f>
        <v>#NAME?</v>
      </c>
      <c r="J2630" s="23" t="e">
        <f ca="1">[1]!BexGetData("DP_1","003N8EMH8GTFRCSWKMPXRSGPQ","GSON1235461409")</f>
        <v>#NAME?</v>
      </c>
      <c r="K2630" s="23" t="e">
        <f ca="1">[1]!BexGetData("DP_1","003N8EMH8GTFRIVNUPY288VJH","GSON1235461409")</f>
        <v>#NAME?</v>
      </c>
      <c r="L2630" s="23" t="e">
        <f ca="1">[1]!BexGetData("DP_1","003N8EMH8GTFRIVNUPY2891V1","GSON1235461409")</f>
        <v>#NAME?</v>
      </c>
      <c r="M2630" s="28" t="e">
        <f ca="1">[1]!BexGetData("DP_1","003N8EMH8GTFRIVOG7KG9IQXA","GSON1235461409")</f>
        <v>#NAME?</v>
      </c>
      <c r="N2630" s="23" t="e">
        <f ca="1">[1]!BexGetData("DP_1","003N8EMH8GTFRIVOG7KG9IX8U","GSON1235461409")</f>
        <v>#NAME?</v>
      </c>
      <c r="O2630" s="28" t="e">
        <f ca="1">[1]!BexGetData("DP_1","003N8EMH8GTFRIVOG7KG9J3KE","GSON1235461409")</f>
        <v>#NAME?</v>
      </c>
      <c r="P2630" s="23" t="e">
        <f ca="1">[1]!BexGetData("DP_1","003N8EMH8GTFRIVOG7KG9J9VY","GSON1235461409")</f>
        <v>#NAME?</v>
      </c>
      <c r="Q2630" s="23" t="e">
        <f ca="1">[1]!BexGetData("DP_1","00O2TNJGODT0G5Z4TTKYMM5MT","GSON1235461409")</f>
        <v>#NAME?</v>
      </c>
      <c r="R2630" s="23" t="e">
        <f ca="1">[1]!BexGetData("DP_1","00O2TNJGODT0G5Z4TTKYMMBYD","GSON1235461409")</f>
        <v>#NAME?</v>
      </c>
      <c r="S2630" s="23" t="e">
        <f ca="1">[1]!BexGetData("DP_1","00O2TNJGODT0G5Z4TTKYMMI9X","GSON1235461409")</f>
        <v>#NAME?</v>
      </c>
      <c r="T2630" s="28" t="e">
        <f ca="1">[1]!BexGetData("DP_1","00O2TNJGODT0G5Z4TTKYMMOLH","GSON1235461409")</f>
        <v>#NAME?</v>
      </c>
      <c r="U2630" s="23" t="e">
        <f ca="1">[1]!BexGetData("DP_1","00O2TNJGODT0G5Z4TTKYMMUX1","GSON1235461409")</f>
        <v>#NAME?</v>
      </c>
      <c r="V2630" s="28" t="e">
        <f ca="1">[1]!BexGetData("DP_1","00O2TNJGODT0G5Z4TTKYMN18L","GSON1235461409")</f>
        <v>#NAME?</v>
      </c>
      <c r="W2630" s="23" t="e">
        <f ca="1">[1]!BexGetData("DP_1","00O2TNJGODT0G5Z4TTKYMN7K5","GSON1235461409")</f>
        <v>#NAME?</v>
      </c>
    </row>
    <row r="2631" spans="1:23" x14ac:dyDescent="0.2">
      <c r="A2631" s="36" t="s">
        <v>6034</v>
      </c>
      <c r="B2631" s="27" t="s">
        <v>6035</v>
      </c>
      <c r="C2631" s="28" t="e">
        <f ca="1">[1]!BexGetData("DP_1","003N8EMH8GTFRCSWKMPXRR8GU","GSON1235461410")</f>
        <v>#NAME?</v>
      </c>
      <c r="D2631" s="28" t="e">
        <f ca="1">[1]!BexGetData("DP_1","003N8EMH8GTFRCSWKMPXRRESE","GSON1235461410")</f>
        <v>#NAME?</v>
      </c>
      <c r="E2631" s="23" t="e">
        <f ca="1">[1]!BexGetData("DP_1","003N8EMH8GTFRCSWKMPXRRL3Y","GSON1235461410")</f>
        <v>#NAME?</v>
      </c>
      <c r="F2631" s="23" t="e">
        <f ca="1">[1]!BexGetData("DP_1","003N8EMH8GTFRCSWKMPXRRRFI","GSON1235461410")</f>
        <v>#NAME?</v>
      </c>
      <c r="G2631" s="23" t="e">
        <f ca="1">[1]!BexGetData("DP_1","003N8EMH8GTFRCSWKMPXRRXR2","GSON1235461410")</f>
        <v>#NAME?</v>
      </c>
      <c r="H2631" s="28" t="e">
        <f ca="1">[1]!BexGetData("DP_1","003N8EMH8GTFRCSWKMPXRS42M","GSON1235461410")</f>
        <v>#NAME?</v>
      </c>
      <c r="I2631" s="23" t="e">
        <f ca="1">[1]!BexGetData("DP_1","003N8EMH8GTFRCSWKMPXRSAE6","GSON1235461410")</f>
        <v>#NAME?</v>
      </c>
      <c r="J2631" s="24" t="e">
        <f ca="1">[1]!BexGetData("DP_1","003N8EMH8GTFRCSWKMPXRSGPQ","GSON1235461410")</f>
        <v>#NAME?</v>
      </c>
      <c r="K2631" s="28" t="e">
        <f ca="1">[1]!BexGetData("DP_1","003N8EMH8GTFRIVNUPY288VJH","GSON1235461410")</f>
        <v>#NAME?</v>
      </c>
      <c r="L2631" s="28" t="e">
        <f ca="1">[1]!BexGetData("DP_1","003N8EMH8GTFRIVNUPY2891V1","GSON1235461410")</f>
        <v>#NAME?</v>
      </c>
      <c r="M2631" s="28" t="e">
        <f ca="1">[1]!BexGetData("DP_1","003N8EMH8GTFRIVOG7KG9IQXA","GSON1235461410")</f>
        <v>#NAME?</v>
      </c>
      <c r="N2631" s="28" t="e">
        <f ca="1">[1]!BexGetData("DP_1","003N8EMH8GTFRIVOG7KG9IX8U","GSON1235461410")</f>
        <v>#NAME?</v>
      </c>
      <c r="O2631" s="28" t="e">
        <f ca="1">[1]!BexGetData("DP_1","003N8EMH8GTFRIVOG7KG9J3KE","GSON1235461410")</f>
        <v>#NAME?</v>
      </c>
      <c r="P2631" s="28" t="e">
        <f ca="1">[1]!BexGetData("DP_1","003N8EMH8GTFRIVOG7KG9J9VY","GSON1235461410")</f>
        <v>#NAME?</v>
      </c>
      <c r="Q2631" s="24" t="e">
        <f ca="1">[1]!BexGetData("DP_1","00O2TNJGODT0G5Z4TTKYMM5MT","GSON1235461410")</f>
        <v>#NAME?</v>
      </c>
      <c r="R2631" s="23" t="e">
        <f ca="1">[1]!BexGetData("DP_1","00O2TNJGODT0G5Z4TTKYMMBYD","GSON1235461410")</f>
        <v>#NAME?</v>
      </c>
      <c r="S2631" s="23" t="e">
        <f ca="1">[1]!BexGetData("DP_1","00O2TNJGODT0G5Z4TTKYMMI9X","GSON1235461410")</f>
        <v>#NAME?</v>
      </c>
      <c r="T2631" s="28" t="e">
        <f ca="1">[1]!BexGetData("DP_1","00O2TNJGODT0G5Z4TTKYMMOLH","GSON1235461410")</f>
        <v>#NAME?</v>
      </c>
      <c r="U2631" s="23" t="e">
        <f ca="1">[1]!BexGetData("DP_1","00O2TNJGODT0G5Z4TTKYMMUX1","GSON1235461410")</f>
        <v>#NAME?</v>
      </c>
      <c r="V2631" s="28" t="e">
        <f ca="1">[1]!BexGetData("DP_1","00O2TNJGODT0G5Z4TTKYMN18L","GSON1235461410")</f>
        <v>#NAME?</v>
      </c>
      <c r="W2631" s="23" t="e">
        <f ca="1">[1]!BexGetData("DP_1","00O2TNJGODT0G5Z4TTKYMN7K5","GSON1235461410")</f>
        <v>#NAME?</v>
      </c>
    </row>
    <row r="2632" spans="1:23" x14ac:dyDescent="0.2">
      <c r="A2632" s="36" t="s">
        <v>6036</v>
      </c>
      <c r="B2632" s="27" t="s">
        <v>6037</v>
      </c>
      <c r="C2632" s="23" t="e">
        <f ca="1">[1]!BexGetData("DP_1","003N8EMH8GTFRCSWKMPXRR8GU","GSON1235461411")</f>
        <v>#NAME?</v>
      </c>
      <c r="D2632" s="28" t="e">
        <f ca="1">[1]!BexGetData("DP_1","003N8EMH8GTFRCSWKMPXRRESE","GSON1235461411")</f>
        <v>#NAME?</v>
      </c>
      <c r="E2632" s="23" t="e">
        <f ca="1">[1]!BexGetData("DP_1","003N8EMH8GTFRCSWKMPXRRL3Y","GSON1235461411")</f>
        <v>#NAME?</v>
      </c>
      <c r="F2632" s="23" t="e">
        <f ca="1">[1]!BexGetData("DP_1","003N8EMH8GTFRCSWKMPXRRRFI","GSON1235461411")</f>
        <v>#NAME?</v>
      </c>
      <c r="G2632" s="23" t="e">
        <f ca="1">[1]!BexGetData("DP_1","003N8EMH8GTFRCSWKMPXRRXR2","GSON1235461411")</f>
        <v>#NAME?</v>
      </c>
      <c r="H2632" s="23" t="e">
        <f ca="1">[1]!BexGetData("DP_1","003N8EMH8GTFRCSWKMPXRS42M","GSON1235461411")</f>
        <v>#NAME?</v>
      </c>
      <c r="I2632" s="23" t="e">
        <f ca="1">[1]!BexGetData("DP_1","003N8EMH8GTFRCSWKMPXRSAE6","GSON1235461411")</f>
        <v>#NAME?</v>
      </c>
      <c r="J2632" s="23" t="e">
        <f ca="1">[1]!BexGetData("DP_1","003N8EMH8GTFRCSWKMPXRSGPQ","GSON1235461411")</f>
        <v>#NAME?</v>
      </c>
      <c r="K2632" s="23" t="e">
        <f ca="1">[1]!BexGetData("DP_1","003N8EMH8GTFRIVNUPY288VJH","GSON1235461411")</f>
        <v>#NAME?</v>
      </c>
      <c r="L2632" s="23" t="e">
        <f ca="1">[1]!BexGetData("DP_1","003N8EMH8GTFRIVNUPY2891V1","GSON1235461411")</f>
        <v>#NAME?</v>
      </c>
      <c r="M2632" s="28" t="e">
        <f ca="1">[1]!BexGetData("DP_1","003N8EMH8GTFRIVOG7KG9IQXA","GSON1235461411")</f>
        <v>#NAME?</v>
      </c>
      <c r="N2632" s="23" t="e">
        <f ca="1">[1]!BexGetData("DP_1","003N8EMH8GTFRIVOG7KG9IX8U","GSON1235461411")</f>
        <v>#NAME?</v>
      </c>
      <c r="O2632" s="28" t="e">
        <f ca="1">[1]!BexGetData("DP_1","003N8EMH8GTFRIVOG7KG9J3KE","GSON1235461411")</f>
        <v>#NAME?</v>
      </c>
      <c r="P2632" s="23" t="e">
        <f ca="1">[1]!BexGetData("DP_1","003N8EMH8GTFRIVOG7KG9J9VY","GSON1235461411")</f>
        <v>#NAME?</v>
      </c>
      <c r="Q2632" s="23" t="e">
        <f ca="1">[1]!BexGetData("DP_1","00O2TNJGODT0G5Z4TTKYMM5MT","GSON1235461411")</f>
        <v>#NAME?</v>
      </c>
      <c r="R2632" s="23" t="e">
        <f ca="1">[1]!BexGetData("DP_1","00O2TNJGODT0G5Z4TTKYMMBYD","GSON1235461411")</f>
        <v>#NAME?</v>
      </c>
      <c r="S2632" s="23" t="e">
        <f ca="1">[1]!BexGetData("DP_1","00O2TNJGODT0G5Z4TTKYMMI9X","GSON1235461411")</f>
        <v>#NAME?</v>
      </c>
      <c r="T2632" s="28" t="e">
        <f ca="1">[1]!BexGetData("DP_1","00O2TNJGODT0G5Z4TTKYMMOLH","GSON1235461411")</f>
        <v>#NAME?</v>
      </c>
      <c r="U2632" s="23" t="e">
        <f ca="1">[1]!BexGetData("DP_1","00O2TNJGODT0G5Z4TTKYMMUX1","GSON1235461411")</f>
        <v>#NAME?</v>
      </c>
      <c r="V2632" s="28" t="e">
        <f ca="1">[1]!BexGetData("DP_1","00O2TNJGODT0G5Z4TTKYMN18L","GSON1235461411")</f>
        <v>#NAME?</v>
      </c>
      <c r="W2632" s="23" t="e">
        <f ca="1">[1]!BexGetData("DP_1","00O2TNJGODT0G5Z4TTKYMN7K5","GSON1235461411")</f>
        <v>#NAME?</v>
      </c>
    </row>
    <row r="2633" spans="1:23" x14ac:dyDescent="0.2">
      <c r="A2633" s="36" t="s">
        <v>6038</v>
      </c>
      <c r="B2633" s="27" t="s">
        <v>6039</v>
      </c>
      <c r="C2633" s="28" t="e">
        <f ca="1">[1]!BexGetData("DP_1","003N8EMH8GTFRCSWKMPXRR8GU","GSON1235461412")</f>
        <v>#NAME?</v>
      </c>
      <c r="D2633" s="28" t="e">
        <f ca="1">[1]!BexGetData("DP_1","003N8EMH8GTFRCSWKMPXRRESE","GSON1235461412")</f>
        <v>#NAME?</v>
      </c>
      <c r="E2633" s="23" t="e">
        <f ca="1">[1]!BexGetData("DP_1","003N8EMH8GTFRCSWKMPXRRL3Y","GSON1235461412")</f>
        <v>#NAME?</v>
      </c>
      <c r="F2633" s="23" t="e">
        <f ca="1">[1]!BexGetData("DP_1","003N8EMH8GTFRCSWKMPXRRRFI","GSON1235461412")</f>
        <v>#NAME?</v>
      </c>
      <c r="G2633" s="28" t="e">
        <f ca="1">[1]!BexGetData("DP_1","003N8EMH8GTFRCSWKMPXRRXR2","GSON1235461412")</f>
        <v>#NAME?</v>
      </c>
      <c r="H2633" s="28" t="e">
        <f ca="1">[1]!BexGetData("DP_1","003N8EMH8GTFRCSWKMPXRS42M","GSON1235461412")</f>
        <v>#NAME?</v>
      </c>
      <c r="I2633" s="23" t="e">
        <f ca="1">[1]!BexGetData("DP_1","003N8EMH8GTFRCSWKMPXRSAE6","GSON1235461412")</f>
        <v>#NAME?</v>
      </c>
      <c r="J2633" s="23" t="e">
        <f ca="1">[1]!BexGetData("DP_1","003N8EMH8GTFRCSWKMPXRSGPQ","GSON1235461412")</f>
        <v>#NAME?</v>
      </c>
      <c r="K2633" s="28" t="e">
        <f ca="1">[1]!BexGetData("DP_1","003N8EMH8GTFRIVNUPY288VJH","GSON1235461412")</f>
        <v>#NAME?</v>
      </c>
      <c r="L2633" s="28" t="e">
        <f ca="1">[1]!BexGetData("DP_1","003N8EMH8GTFRIVNUPY2891V1","GSON1235461412")</f>
        <v>#NAME?</v>
      </c>
      <c r="M2633" s="28" t="e">
        <f ca="1">[1]!BexGetData("DP_1","003N8EMH8GTFRIVOG7KG9IQXA","GSON1235461412")</f>
        <v>#NAME?</v>
      </c>
      <c r="N2633" s="28" t="e">
        <f ca="1">[1]!BexGetData("DP_1","003N8EMH8GTFRIVOG7KG9IX8U","GSON1235461412")</f>
        <v>#NAME?</v>
      </c>
      <c r="O2633" s="28" t="e">
        <f ca="1">[1]!BexGetData("DP_1","003N8EMH8GTFRIVOG7KG9J3KE","GSON1235461412")</f>
        <v>#NAME?</v>
      </c>
      <c r="P2633" s="28" t="e">
        <f ca="1">[1]!BexGetData("DP_1","003N8EMH8GTFRIVOG7KG9J9VY","GSON1235461412")</f>
        <v>#NAME?</v>
      </c>
      <c r="Q2633" s="23" t="e">
        <f ca="1">[1]!BexGetData("DP_1","00O2TNJGODT0G5Z4TTKYMM5MT","GSON1235461412")</f>
        <v>#NAME?</v>
      </c>
      <c r="R2633" s="28" t="e">
        <f ca="1">[1]!BexGetData("DP_1","00O2TNJGODT0G5Z4TTKYMMBYD","GSON1235461412")</f>
        <v>#NAME?</v>
      </c>
      <c r="S2633" s="28" t="e">
        <f ca="1">[1]!BexGetData("DP_1","00O2TNJGODT0G5Z4TTKYMMI9X","GSON1235461412")</f>
        <v>#NAME?</v>
      </c>
      <c r="T2633" s="28" t="e">
        <f ca="1">[1]!BexGetData("DP_1","00O2TNJGODT0G5Z4TTKYMMOLH","GSON1235461412")</f>
        <v>#NAME?</v>
      </c>
      <c r="U2633" s="28" t="e">
        <f ca="1">[1]!BexGetData("DP_1","00O2TNJGODT0G5Z4TTKYMMUX1","GSON1235461412")</f>
        <v>#NAME?</v>
      </c>
      <c r="V2633" s="28" t="e">
        <f ca="1">[1]!BexGetData("DP_1","00O2TNJGODT0G5Z4TTKYMN18L","GSON1235461412")</f>
        <v>#NAME?</v>
      </c>
      <c r="W2633" s="28" t="e">
        <f ca="1">[1]!BexGetData("DP_1","00O2TNJGODT0G5Z4TTKYMN7K5","GSON1235461412")</f>
        <v>#NAME?</v>
      </c>
    </row>
    <row r="2634" spans="1:23" x14ac:dyDescent="0.2">
      <c r="A2634" s="36" t="s">
        <v>6040</v>
      </c>
      <c r="B2634" s="27" t="s">
        <v>6041</v>
      </c>
      <c r="C2634" s="28" t="e">
        <f ca="1">[1]!BexGetData("DP_1","003N8EMH8GTFRCSWKMPXRR8GU","GSON1235461414")</f>
        <v>#NAME?</v>
      </c>
      <c r="D2634" s="28" t="e">
        <f ca="1">[1]!BexGetData("DP_1","003N8EMH8GTFRCSWKMPXRRESE","GSON1235461414")</f>
        <v>#NAME?</v>
      </c>
      <c r="E2634" s="23" t="e">
        <f ca="1">[1]!BexGetData("DP_1","003N8EMH8GTFRCSWKMPXRRL3Y","GSON1235461414")</f>
        <v>#NAME?</v>
      </c>
      <c r="F2634" s="23" t="e">
        <f ca="1">[1]!BexGetData("DP_1","003N8EMH8GTFRCSWKMPXRRRFI","GSON1235461414")</f>
        <v>#NAME?</v>
      </c>
      <c r="G2634" s="23" t="e">
        <f ca="1">[1]!BexGetData("DP_1","003N8EMH8GTFRCSWKMPXRRXR2","GSON1235461414")</f>
        <v>#NAME?</v>
      </c>
      <c r="H2634" s="28" t="e">
        <f ca="1">[1]!BexGetData("DP_1","003N8EMH8GTFRCSWKMPXRS42M","GSON1235461414")</f>
        <v>#NAME?</v>
      </c>
      <c r="I2634" s="23" t="e">
        <f ca="1">[1]!BexGetData("DP_1","003N8EMH8GTFRCSWKMPXRSAE6","GSON1235461414")</f>
        <v>#NAME?</v>
      </c>
      <c r="J2634" s="24" t="e">
        <f ca="1">[1]!BexGetData("DP_1","003N8EMH8GTFRCSWKMPXRSGPQ","GSON1235461414")</f>
        <v>#NAME?</v>
      </c>
      <c r="K2634" s="28" t="e">
        <f ca="1">[1]!BexGetData("DP_1","003N8EMH8GTFRIVNUPY288VJH","GSON1235461414")</f>
        <v>#NAME?</v>
      </c>
      <c r="L2634" s="28" t="e">
        <f ca="1">[1]!BexGetData("DP_1","003N8EMH8GTFRIVNUPY2891V1","GSON1235461414")</f>
        <v>#NAME?</v>
      </c>
      <c r="M2634" s="28" t="e">
        <f ca="1">[1]!BexGetData("DP_1","003N8EMH8GTFRIVOG7KG9IQXA","GSON1235461414")</f>
        <v>#NAME?</v>
      </c>
      <c r="N2634" s="28" t="e">
        <f ca="1">[1]!BexGetData("DP_1","003N8EMH8GTFRIVOG7KG9IX8U","GSON1235461414")</f>
        <v>#NAME?</v>
      </c>
      <c r="O2634" s="28" t="e">
        <f ca="1">[1]!BexGetData("DP_1","003N8EMH8GTFRIVOG7KG9J3KE","GSON1235461414")</f>
        <v>#NAME?</v>
      </c>
      <c r="P2634" s="28" t="e">
        <f ca="1">[1]!BexGetData("DP_1","003N8EMH8GTFRIVOG7KG9J9VY","GSON1235461414")</f>
        <v>#NAME?</v>
      </c>
      <c r="Q2634" s="24" t="e">
        <f ca="1">[1]!BexGetData("DP_1","00O2TNJGODT0G5Z4TTKYMM5MT","GSON1235461414")</f>
        <v>#NAME?</v>
      </c>
      <c r="R2634" s="23" t="e">
        <f ca="1">[1]!BexGetData("DP_1","00O2TNJGODT0G5Z4TTKYMMBYD","GSON1235461414")</f>
        <v>#NAME?</v>
      </c>
      <c r="S2634" s="23" t="e">
        <f ca="1">[1]!BexGetData("DP_1","00O2TNJGODT0G5Z4TTKYMMI9X","GSON1235461414")</f>
        <v>#NAME?</v>
      </c>
      <c r="T2634" s="28" t="e">
        <f ca="1">[1]!BexGetData("DP_1","00O2TNJGODT0G5Z4TTKYMMOLH","GSON1235461414")</f>
        <v>#NAME?</v>
      </c>
      <c r="U2634" s="23" t="e">
        <f ca="1">[1]!BexGetData("DP_1","00O2TNJGODT0G5Z4TTKYMMUX1","GSON1235461414")</f>
        <v>#NAME?</v>
      </c>
      <c r="V2634" s="28" t="e">
        <f ca="1">[1]!BexGetData("DP_1","00O2TNJGODT0G5Z4TTKYMN18L","GSON1235461414")</f>
        <v>#NAME?</v>
      </c>
      <c r="W2634" s="23" t="e">
        <f ca="1">[1]!BexGetData("DP_1","00O2TNJGODT0G5Z4TTKYMN7K5","GSON1235461414")</f>
        <v>#NAME?</v>
      </c>
    </row>
    <row r="2635" spans="1:23" x14ac:dyDescent="0.2">
      <c r="A2635" s="36" t="s">
        <v>6042</v>
      </c>
      <c r="B2635" s="27" t="s">
        <v>6043</v>
      </c>
      <c r="C2635" s="23" t="e">
        <f ca="1">[1]!BexGetData("DP_1","003N8EMH8GTFRCSWKMPXRR8GU","GSON1235461418")</f>
        <v>#NAME?</v>
      </c>
      <c r="D2635" s="28" t="e">
        <f ca="1">[1]!BexGetData("DP_1","003N8EMH8GTFRCSWKMPXRRESE","GSON1235461418")</f>
        <v>#NAME?</v>
      </c>
      <c r="E2635" s="23" t="e">
        <f ca="1">[1]!BexGetData("DP_1","003N8EMH8GTFRCSWKMPXRRL3Y","GSON1235461418")</f>
        <v>#NAME?</v>
      </c>
      <c r="F2635" s="23" t="e">
        <f ca="1">[1]!BexGetData("DP_1","003N8EMH8GTFRCSWKMPXRRRFI","GSON1235461418")</f>
        <v>#NAME?</v>
      </c>
      <c r="G2635" s="23" t="e">
        <f ca="1">[1]!BexGetData("DP_1","003N8EMH8GTFRCSWKMPXRRXR2","GSON1235461418")</f>
        <v>#NAME?</v>
      </c>
      <c r="H2635" s="23" t="e">
        <f ca="1">[1]!BexGetData("DP_1","003N8EMH8GTFRCSWKMPXRS42M","GSON1235461418")</f>
        <v>#NAME?</v>
      </c>
      <c r="I2635" s="23" t="e">
        <f ca="1">[1]!BexGetData("DP_1","003N8EMH8GTFRCSWKMPXRSAE6","GSON1235461418")</f>
        <v>#NAME?</v>
      </c>
      <c r="J2635" s="24" t="e">
        <f ca="1">[1]!BexGetData("DP_1","003N8EMH8GTFRCSWKMPXRSGPQ","GSON1235461418")</f>
        <v>#NAME?</v>
      </c>
      <c r="K2635" s="23" t="e">
        <f ca="1">[1]!BexGetData("DP_1","003N8EMH8GTFRIVNUPY288VJH","GSON1235461418")</f>
        <v>#NAME?</v>
      </c>
      <c r="L2635" s="23" t="e">
        <f ca="1">[1]!BexGetData("DP_1","003N8EMH8GTFRIVNUPY2891V1","GSON1235461418")</f>
        <v>#NAME?</v>
      </c>
      <c r="M2635" s="28" t="e">
        <f ca="1">[1]!BexGetData("DP_1","003N8EMH8GTFRIVOG7KG9IQXA","GSON1235461418")</f>
        <v>#NAME?</v>
      </c>
      <c r="N2635" s="23" t="e">
        <f ca="1">[1]!BexGetData("DP_1","003N8EMH8GTFRIVOG7KG9IX8U","GSON1235461418")</f>
        <v>#NAME?</v>
      </c>
      <c r="O2635" s="28" t="e">
        <f ca="1">[1]!BexGetData("DP_1","003N8EMH8GTFRIVOG7KG9J3KE","GSON1235461418")</f>
        <v>#NAME?</v>
      </c>
      <c r="P2635" s="23" t="e">
        <f ca="1">[1]!BexGetData("DP_1","003N8EMH8GTFRIVOG7KG9J9VY","GSON1235461418")</f>
        <v>#NAME?</v>
      </c>
      <c r="Q2635" s="24" t="e">
        <f ca="1">[1]!BexGetData("DP_1","00O2TNJGODT0G5Z4TTKYMM5MT","GSON1235461418")</f>
        <v>#NAME?</v>
      </c>
      <c r="R2635" s="23" t="e">
        <f ca="1">[1]!BexGetData("DP_1","00O2TNJGODT0G5Z4TTKYMMBYD","GSON1235461418")</f>
        <v>#NAME?</v>
      </c>
      <c r="S2635" s="23" t="e">
        <f ca="1">[1]!BexGetData("DP_1","00O2TNJGODT0G5Z4TTKYMMI9X","GSON1235461418")</f>
        <v>#NAME?</v>
      </c>
      <c r="T2635" s="28" t="e">
        <f ca="1">[1]!BexGetData("DP_1","00O2TNJGODT0G5Z4TTKYMMOLH","GSON1235461418")</f>
        <v>#NAME?</v>
      </c>
      <c r="U2635" s="23" t="e">
        <f ca="1">[1]!BexGetData("DP_1","00O2TNJGODT0G5Z4TTKYMMUX1","GSON1235461418")</f>
        <v>#NAME?</v>
      </c>
      <c r="V2635" s="28" t="e">
        <f ca="1">[1]!BexGetData("DP_1","00O2TNJGODT0G5Z4TTKYMN18L","GSON1235461418")</f>
        <v>#NAME?</v>
      </c>
      <c r="W2635" s="23" t="e">
        <f ca="1">[1]!BexGetData("DP_1","00O2TNJGODT0G5Z4TTKYMN7K5","GSON1235461418")</f>
        <v>#NAME?</v>
      </c>
    </row>
    <row r="2636" spans="1:23" x14ac:dyDescent="0.2">
      <c r="A2636" s="36" t="s">
        <v>6044</v>
      </c>
      <c r="B2636" s="27" t="s">
        <v>6045</v>
      </c>
      <c r="C2636" s="23" t="e">
        <f ca="1">[1]!BexGetData("DP_1","003N8EMH8GTFRCSWKMPXRR8GU","GSON1235461419")</f>
        <v>#NAME?</v>
      </c>
      <c r="D2636" s="28" t="e">
        <f ca="1">[1]!BexGetData("DP_1","003N8EMH8GTFRCSWKMPXRRESE","GSON1235461419")</f>
        <v>#NAME?</v>
      </c>
      <c r="E2636" s="23" t="e">
        <f ca="1">[1]!BexGetData("DP_1","003N8EMH8GTFRCSWKMPXRRL3Y","GSON1235461419")</f>
        <v>#NAME?</v>
      </c>
      <c r="F2636" s="23" t="e">
        <f ca="1">[1]!BexGetData("DP_1","003N8EMH8GTFRCSWKMPXRRRFI","GSON1235461419")</f>
        <v>#NAME?</v>
      </c>
      <c r="G2636" s="23" t="e">
        <f ca="1">[1]!BexGetData("DP_1","003N8EMH8GTFRCSWKMPXRRXR2","GSON1235461419")</f>
        <v>#NAME?</v>
      </c>
      <c r="H2636" s="23" t="e">
        <f ca="1">[1]!BexGetData("DP_1","003N8EMH8GTFRCSWKMPXRS42M","GSON1235461419")</f>
        <v>#NAME?</v>
      </c>
      <c r="I2636" s="23" t="e">
        <f ca="1">[1]!BexGetData("DP_1","003N8EMH8GTFRCSWKMPXRSAE6","GSON1235461419")</f>
        <v>#NAME?</v>
      </c>
      <c r="J2636" s="24" t="e">
        <f ca="1">[1]!BexGetData("DP_1","003N8EMH8GTFRCSWKMPXRSGPQ","GSON1235461419")</f>
        <v>#NAME?</v>
      </c>
      <c r="K2636" s="23" t="e">
        <f ca="1">[1]!BexGetData("DP_1","003N8EMH8GTFRIVNUPY288VJH","GSON1235461419")</f>
        <v>#NAME?</v>
      </c>
      <c r="L2636" s="23" t="e">
        <f ca="1">[1]!BexGetData("DP_1","003N8EMH8GTFRIVNUPY2891V1","GSON1235461419")</f>
        <v>#NAME?</v>
      </c>
      <c r="M2636" s="28" t="e">
        <f ca="1">[1]!BexGetData("DP_1","003N8EMH8GTFRIVOG7KG9IQXA","GSON1235461419")</f>
        <v>#NAME?</v>
      </c>
      <c r="N2636" s="23" t="e">
        <f ca="1">[1]!BexGetData("DP_1","003N8EMH8GTFRIVOG7KG9IX8U","GSON1235461419")</f>
        <v>#NAME?</v>
      </c>
      <c r="O2636" s="28" t="e">
        <f ca="1">[1]!BexGetData("DP_1","003N8EMH8GTFRIVOG7KG9J3KE","GSON1235461419")</f>
        <v>#NAME?</v>
      </c>
      <c r="P2636" s="23" t="e">
        <f ca="1">[1]!BexGetData("DP_1","003N8EMH8GTFRIVOG7KG9J9VY","GSON1235461419")</f>
        <v>#NAME?</v>
      </c>
      <c r="Q2636" s="24" t="e">
        <f ca="1">[1]!BexGetData("DP_1","00O2TNJGODT0G5Z4TTKYMM5MT","GSON1235461419")</f>
        <v>#NAME?</v>
      </c>
      <c r="R2636" s="23" t="e">
        <f ca="1">[1]!BexGetData("DP_1","00O2TNJGODT0G5Z4TTKYMMBYD","GSON1235461419")</f>
        <v>#NAME?</v>
      </c>
      <c r="S2636" s="23" t="e">
        <f ca="1">[1]!BexGetData("DP_1","00O2TNJGODT0G5Z4TTKYMMI9X","GSON1235461419")</f>
        <v>#NAME?</v>
      </c>
      <c r="T2636" s="28" t="e">
        <f ca="1">[1]!BexGetData("DP_1","00O2TNJGODT0G5Z4TTKYMMOLH","GSON1235461419")</f>
        <v>#NAME?</v>
      </c>
      <c r="U2636" s="23" t="e">
        <f ca="1">[1]!BexGetData("DP_1","00O2TNJGODT0G5Z4TTKYMMUX1","GSON1235461419")</f>
        <v>#NAME?</v>
      </c>
      <c r="V2636" s="28" t="e">
        <f ca="1">[1]!BexGetData("DP_1","00O2TNJGODT0G5Z4TTKYMN18L","GSON1235461419")</f>
        <v>#NAME?</v>
      </c>
      <c r="W2636" s="23" t="e">
        <f ca="1">[1]!BexGetData("DP_1","00O2TNJGODT0G5Z4TTKYMN7K5","GSON1235461419")</f>
        <v>#NAME?</v>
      </c>
    </row>
    <row r="2637" spans="1:23" x14ac:dyDescent="0.2">
      <c r="A2637" s="36" t="s">
        <v>6046</v>
      </c>
      <c r="B2637" s="27" t="s">
        <v>6047</v>
      </c>
      <c r="C2637" s="23" t="e">
        <f ca="1">[1]!BexGetData("DP_1","003N8EMH8GTFRCSWKMPXRR8GU","GSON1235461420")</f>
        <v>#NAME?</v>
      </c>
      <c r="D2637" s="23" t="e">
        <f ca="1">[1]!BexGetData("DP_1","003N8EMH8GTFRCSWKMPXRRESE","GSON1235461420")</f>
        <v>#NAME?</v>
      </c>
      <c r="E2637" s="23" t="e">
        <f ca="1">[1]!BexGetData("DP_1","003N8EMH8GTFRCSWKMPXRRL3Y","GSON1235461420")</f>
        <v>#NAME?</v>
      </c>
      <c r="F2637" s="23" t="e">
        <f ca="1">[1]!BexGetData("DP_1","003N8EMH8GTFRCSWKMPXRRRFI","GSON1235461420")</f>
        <v>#NAME?</v>
      </c>
      <c r="G2637" s="23" t="e">
        <f ca="1">[1]!BexGetData("DP_1","003N8EMH8GTFRCSWKMPXRRXR2","GSON1235461420")</f>
        <v>#NAME?</v>
      </c>
      <c r="H2637" s="23" t="e">
        <f ca="1">[1]!BexGetData("DP_1","003N8EMH8GTFRCSWKMPXRS42M","GSON1235461420")</f>
        <v>#NAME?</v>
      </c>
      <c r="I2637" s="23" t="e">
        <f ca="1">[1]!BexGetData("DP_1","003N8EMH8GTFRCSWKMPXRSAE6","GSON1235461420")</f>
        <v>#NAME?</v>
      </c>
      <c r="J2637" s="23" t="e">
        <f ca="1">[1]!BexGetData("DP_1","003N8EMH8GTFRCSWKMPXRSGPQ","GSON1235461420")</f>
        <v>#NAME?</v>
      </c>
      <c r="K2637" s="23" t="e">
        <f ca="1">[1]!BexGetData("DP_1","003N8EMH8GTFRIVNUPY288VJH","GSON1235461420")</f>
        <v>#NAME?</v>
      </c>
      <c r="L2637" s="23" t="e">
        <f ca="1">[1]!BexGetData("DP_1","003N8EMH8GTFRIVNUPY2891V1","GSON1235461420")</f>
        <v>#NAME?</v>
      </c>
      <c r="M2637" s="28" t="e">
        <f ca="1">[1]!BexGetData("DP_1","003N8EMH8GTFRIVOG7KG9IQXA","GSON1235461420")</f>
        <v>#NAME?</v>
      </c>
      <c r="N2637" s="23" t="e">
        <f ca="1">[1]!BexGetData("DP_1","003N8EMH8GTFRIVOG7KG9IX8U","GSON1235461420")</f>
        <v>#NAME?</v>
      </c>
      <c r="O2637" s="28" t="e">
        <f ca="1">[1]!BexGetData("DP_1","003N8EMH8GTFRIVOG7KG9J3KE","GSON1235461420")</f>
        <v>#NAME?</v>
      </c>
      <c r="P2637" s="23" t="e">
        <f ca="1">[1]!BexGetData("DP_1","003N8EMH8GTFRIVOG7KG9J9VY","GSON1235461420")</f>
        <v>#NAME?</v>
      </c>
      <c r="Q2637" s="23" t="e">
        <f ca="1">[1]!BexGetData("DP_1","00O2TNJGODT0G5Z4TTKYMM5MT","GSON1235461420")</f>
        <v>#NAME?</v>
      </c>
      <c r="R2637" s="23" t="e">
        <f ca="1">[1]!BexGetData("DP_1","00O2TNJGODT0G5Z4TTKYMMBYD","GSON1235461420")</f>
        <v>#NAME?</v>
      </c>
      <c r="S2637" s="23" t="e">
        <f ca="1">[1]!BexGetData("DP_1","00O2TNJGODT0G5Z4TTKYMMI9X","GSON1235461420")</f>
        <v>#NAME?</v>
      </c>
      <c r="T2637" s="28" t="e">
        <f ca="1">[1]!BexGetData("DP_1","00O2TNJGODT0G5Z4TTKYMMOLH","GSON1235461420")</f>
        <v>#NAME?</v>
      </c>
      <c r="U2637" s="23" t="e">
        <f ca="1">[1]!BexGetData("DP_1","00O2TNJGODT0G5Z4TTKYMMUX1","GSON1235461420")</f>
        <v>#NAME?</v>
      </c>
      <c r="V2637" s="28" t="e">
        <f ca="1">[1]!BexGetData("DP_1","00O2TNJGODT0G5Z4TTKYMN18L","GSON1235461420")</f>
        <v>#NAME?</v>
      </c>
      <c r="W2637" s="23" t="e">
        <f ca="1">[1]!BexGetData("DP_1","00O2TNJGODT0G5Z4TTKYMN7K5","GSON1235461420")</f>
        <v>#NAME?</v>
      </c>
    </row>
    <row r="2638" spans="1:23" x14ac:dyDescent="0.2">
      <c r="A2638" s="36" t="s">
        <v>6048</v>
      </c>
      <c r="B2638" s="27" t="s">
        <v>6049</v>
      </c>
      <c r="C2638" s="23" t="e">
        <f ca="1">[1]!BexGetData("DP_1","003N8EMH8GTFRCSWKMPXRR8GU","GSON1235461422")</f>
        <v>#NAME?</v>
      </c>
      <c r="D2638" s="28" t="e">
        <f ca="1">[1]!BexGetData("DP_1","003N8EMH8GTFRCSWKMPXRRESE","GSON1235461422")</f>
        <v>#NAME?</v>
      </c>
      <c r="E2638" s="23" t="e">
        <f ca="1">[1]!BexGetData("DP_1","003N8EMH8GTFRCSWKMPXRRL3Y","GSON1235461422")</f>
        <v>#NAME?</v>
      </c>
      <c r="F2638" s="23" t="e">
        <f ca="1">[1]!BexGetData("DP_1","003N8EMH8GTFRCSWKMPXRRRFI","GSON1235461422")</f>
        <v>#NAME?</v>
      </c>
      <c r="G2638" s="23" t="e">
        <f ca="1">[1]!BexGetData("DP_1","003N8EMH8GTFRCSWKMPXRRXR2","GSON1235461422")</f>
        <v>#NAME?</v>
      </c>
      <c r="H2638" s="23" t="e">
        <f ca="1">[1]!BexGetData("DP_1","003N8EMH8GTFRCSWKMPXRS42M","GSON1235461422")</f>
        <v>#NAME?</v>
      </c>
      <c r="I2638" s="23" t="e">
        <f ca="1">[1]!BexGetData("DP_1","003N8EMH8GTFRCSWKMPXRSAE6","GSON1235461422")</f>
        <v>#NAME?</v>
      </c>
      <c r="J2638" s="23" t="e">
        <f ca="1">[1]!BexGetData("DP_1","003N8EMH8GTFRCSWKMPXRSGPQ","GSON1235461422")</f>
        <v>#NAME?</v>
      </c>
      <c r="K2638" s="23" t="e">
        <f ca="1">[1]!BexGetData("DP_1","003N8EMH8GTFRIVNUPY288VJH","GSON1235461422")</f>
        <v>#NAME?</v>
      </c>
      <c r="L2638" s="23" t="e">
        <f ca="1">[1]!BexGetData("DP_1","003N8EMH8GTFRIVNUPY2891V1","GSON1235461422")</f>
        <v>#NAME?</v>
      </c>
      <c r="M2638" s="28" t="e">
        <f ca="1">[1]!BexGetData("DP_1","003N8EMH8GTFRIVOG7KG9IQXA","GSON1235461422")</f>
        <v>#NAME?</v>
      </c>
      <c r="N2638" s="23" t="e">
        <f ca="1">[1]!BexGetData("DP_1","003N8EMH8GTFRIVOG7KG9IX8U","GSON1235461422")</f>
        <v>#NAME?</v>
      </c>
      <c r="O2638" s="28" t="e">
        <f ca="1">[1]!BexGetData("DP_1","003N8EMH8GTFRIVOG7KG9J3KE","GSON1235461422")</f>
        <v>#NAME?</v>
      </c>
      <c r="P2638" s="23" t="e">
        <f ca="1">[1]!BexGetData("DP_1","003N8EMH8GTFRIVOG7KG9J9VY","GSON1235461422")</f>
        <v>#NAME?</v>
      </c>
      <c r="Q2638" s="23" t="e">
        <f ca="1">[1]!BexGetData("DP_1","00O2TNJGODT0G5Z4TTKYMM5MT","GSON1235461422")</f>
        <v>#NAME?</v>
      </c>
      <c r="R2638" s="23" t="e">
        <f ca="1">[1]!BexGetData("DP_1","00O2TNJGODT0G5Z4TTKYMMBYD","GSON1235461422")</f>
        <v>#NAME?</v>
      </c>
      <c r="S2638" s="23" t="e">
        <f ca="1">[1]!BexGetData("DP_1","00O2TNJGODT0G5Z4TTKYMMI9X","GSON1235461422")</f>
        <v>#NAME?</v>
      </c>
      <c r="T2638" s="28" t="e">
        <f ca="1">[1]!BexGetData("DP_1","00O2TNJGODT0G5Z4TTKYMMOLH","GSON1235461422")</f>
        <v>#NAME?</v>
      </c>
      <c r="U2638" s="23" t="e">
        <f ca="1">[1]!BexGetData("DP_1","00O2TNJGODT0G5Z4TTKYMMUX1","GSON1235461422")</f>
        <v>#NAME?</v>
      </c>
      <c r="V2638" s="28" t="e">
        <f ca="1">[1]!BexGetData("DP_1","00O2TNJGODT0G5Z4TTKYMN18L","GSON1235461422")</f>
        <v>#NAME?</v>
      </c>
      <c r="W2638" s="23" t="e">
        <f ca="1">[1]!BexGetData("DP_1","00O2TNJGODT0G5Z4TTKYMN7K5","GSON1235461422")</f>
        <v>#NAME?</v>
      </c>
    </row>
    <row r="2639" spans="1:23" x14ac:dyDescent="0.2">
      <c r="A2639" s="36" t="s">
        <v>1283</v>
      </c>
      <c r="B2639" s="27" t="s">
        <v>1284</v>
      </c>
      <c r="C2639" s="23" t="e">
        <f ca="1">[1]!BexGetData("DP_1","003N8EMH8GTFRCSWKMPXRR8GU","GSON1235461424")</f>
        <v>#NAME?</v>
      </c>
      <c r="D2639" s="23" t="e">
        <f ca="1">[1]!BexGetData("DP_1","003N8EMH8GTFRCSWKMPXRRESE","GSON1235461424")</f>
        <v>#NAME?</v>
      </c>
      <c r="E2639" s="23" t="e">
        <f ca="1">[1]!BexGetData("DP_1","003N8EMH8GTFRCSWKMPXRRL3Y","GSON1235461424")</f>
        <v>#NAME?</v>
      </c>
      <c r="F2639" s="23" t="e">
        <f ca="1">[1]!BexGetData("DP_1","003N8EMH8GTFRCSWKMPXRRRFI","GSON1235461424")</f>
        <v>#NAME?</v>
      </c>
      <c r="G2639" s="23" t="e">
        <f ca="1">[1]!BexGetData("DP_1","003N8EMH8GTFRCSWKMPXRRXR2","GSON1235461424")</f>
        <v>#NAME?</v>
      </c>
      <c r="H2639" s="23" t="e">
        <f ca="1">[1]!BexGetData("DP_1","003N8EMH8GTFRCSWKMPXRS42M","GSON1235461424")</f>
        <v>#NAME?</v>
      </c>
      <c r="I2639" s="23" t="e">
        <f ca="1">[1]!BexGetData("DP_1","003N8EMH8GTFRCSWKMPXRSAE6","GSON1235461424")</f>
        <v>#NAME?</v>
      </c>
      <c r="J2639" s="23" t="e">
        <f ca="1">[1]!BexGetData("DP_1","003N8EMH8GTFRCSWKMPXRSGPQ","GSON1235461424")</f>
        <v>#NAME?</v>
      </c>
      <c r="K2639" s="23" t="e">
        <f ca="1">[1]!BexGetData("DP_1","003N8EMH8GTFRIVNUPY288VJH","GSON1235461424")</f>
        <v>#NAME?</v>
      </c>
      <c r="L2639" s="23" t="e">
        <f ca="1">[1]!BexGetData("DP_1","003N8EMH8GTFRIVNUPY2891V1","GSON1235461424")</f>
        <v>#NAME?</v>
      </c>
      <c r="M2639" s="28" t="e">
        <f ca="1">[1]!BexGetData("DP_1","003N8EMH8GTFRIVOG7KG9IQXA","GSON1235461424")</f>
        <v>#NAME?</v>
      </c>
      <c r="N2639" s="23" t="e">
        <f ca="1">[1]!BexGetData("DP_1","003N8EMH8GTFRIVOG7KG9IX8U","GSON1235461424")</f>
        <v>#NAME?</v>
      </c>
      <c r="O2639" s="28" t="e">
        <f ca="1">[1]!BexGetData("DP_1","003N8EMH8GTFRIVOG7KG9J3KE","GSON1235461424")</f>
        <v>#NAME?</v>
      </c>
      <c r="P2639" s="23" t="e">
        <f ca="1">[1]!BexGetData("DP_1","003N8EMH8GTFRIVOG7KG9J9VY","GSON1235461424")</f>
        <v>#NAME?</v>
      </c>
      <c r="Q2639" s="23" t="e">
        <f ca="1">[1]!BexGetData("DP_1","00O2TNJGODT0G5Z4TTKYMM5MT","GSON1235461424")</f>
        <v>#NAME?</v>
      </c>
      <c r="R2639" s="23" t="e">
        <f ca="1">[1]!BexGetData("DP_1","00O2TNJGODT0G5Z4TTKYMMBYD","GSON1235461424")</f>
        <v>#NAME?</v>
      </c>
      <c r="S2639" s="23" t="e">
        <f ca="1">[1]!BexGetData("DP_1","00O2TNJGODT0G5Z4TTKYMMI9X","GSON1235461424")</f>
        <v>#NAME?</v>
      </c>
      <c r="T2639" s="28" t="e">
        <f ca="1">[1]!BexGetData("DP_1","00O2TNJGODT0G5Z4TTKYMMOLH","GSON1235461424")</f>
        <v>#NAME?</v>
      </c>
      <c r="U2639" s="23" t="e">
        <f ca="1">[1]!BexGetData("DP_1","00O2TNJGODT0G5Z4TTKYMMUX1","GSON1235461424")</f>
        <v>#NAME?</v>
      </c>
      <c r="V2639" s="28" t="e">
        <f ca="1">[1]!BexGetData("DP_1","00O2TNJGODT0G5Z4TTKYMN18L","GSON1235461424")</f>
        <v>#NAME?</v>
      </c>
      <c r="W2639" s="23" t="e">
        <f ca="1">[1]!BexGetData("DP_1","00O2TNJGODT0G5Z4TTKYMN7K5","GSON1235461424")</f>
        <v>#NAME?</v>
      </c>
    </row>
    <row r="2640" spans="1:23" x14ac:dyDescent="0.2">
      <c r="A2640" s="36" t="s">
        <v>1285</v>
      </c>
      <c r="B2640" s="27" t="s">
        <v>1286</v>
      </c>
      <c r="C2640" s="28" t="e">
        <f ca="1">[1]!BexGetData("DP_1","003N8EMH8GTFRCSWKMPXRR8GU","GSON1235561500")</f>
        <v>#NAME?</v>
      </c>
      <c r="D2640" s="28" t="e">
        <f ca="1">[1]!BexGetData("DP_1","003N8EMH8GTFRCSWKMPXRRESE","GSON1235561500")</f>
        <v>#NAME?</v>
      </c>
      <c r="E2640" s="23" t="e">
        <f ca="1">[1]!BexGetData("DP_1","003N8EMH8GTFRCSWKMPXRRL3Y","GSON1235561500")</f>
        <v>#NAME?</v>
      </c>
      <c r="F2640" s="23" t="e">
        <f ca="1">[1]!BexGetData("DP_1","003N8EMH8GTFRCSWKMPXRRRFI","GSON1235561500")</f>
        <v>#NAME?</v>
      </c>
      <c r="G2640" s="28" t="e">
        <f ca="1">[1]!BexGetData("DP_1","003N8EMH8GTFRCSWKMPXRRXR2","GSON1235561500")</f>
        <v>#NAME?</v>
      </c>
      <c r="H2640" s="28" t="e">
        <f ca="1">[1]!BexGetData("DP_1","003N8EMH8GTFRCSWKMPXRS42M","GSON1235561500")</f>
        <v>#NAME?</v>
      </c>
      <c r="I2640" s="23" t="e">
        <f ca="1">[1]!BexGetData("DP_1","003N8EMH8GTFRCSWKMPXRSAE6","GSON1235561500")</f>
        <v>#NAME?</v>
      </c>
      <c r="J2640" s="23" t="e">
        <f ca="1">[1]!BexGetData("DP_1","003N8EMH8GTFRCSWKMPXRSGPQ","GSON1235561500")</f>
        <v>#NAME?</v>
      </c>
      <c r="K2640" s="28" t="e">
        <f ca="1">[1]!BexGetData("DP_1","003N8EMH8GTFRIVNUPY288VJH","GSON1235561500")</f>
        <v>#NAME?</v>
      </c>
      <c r="L2640" s="28" t="e">
        <f ca="1">[1]!BexGetData("DP_1","003N8EMH8GTFRIVNUPY2891V1","GSON1235561500")</f>
        <v>#NAME?</v>
      </c>
      <c r="M2640" s="28" t="e">
        <f ca="1">[1]!BexGetData("DP_1","003N8EMH8GTFRIVOG7KG9IQXA","GSON1235561500")</f>
        <v>#NAME?</v>
      </c>
      <c r="N2640" s="28" t="e">
        <f ca="1">[1]!BexGetData("DP_1","003N8EMH8GTFRIVOG7KG9IX8U","GSON1235561500")</f>
        <v>#NAME?</v>
      </c>
      <c r="O2640" s="28" t="e">
        <f ca="1">[1]!BexGetData("DP_1","003N8EMH8GTFRIVOG7KG9J3KE","GSON1235561500")</f>
        <v>#NAME?</v>
      </c>
      <c r="P2640" s="28" t="e">
        <f ca="1">[1]!BexGetData("DP_1","003N8EMH8GTFRIVOG7KG9J9VY","GSON1235561500")</f>
        <v>#NAME?</v>
      </c>
      <c r="Q2640" s="23" t="e">
        <f ca="1">[1]!BexGetData("DP_1","00O2TNJGODT0G5Z4TTKYMM5MT","GSON1235561500")</f>
        <v>#NAME?</v>
      </c>
      <c r="R2640" s="28" t="e">
        <f ca="1">[1]!BexGetData("DP_1","00O2TNJGODT0G5Z4TTKYMMBYD","GSON1235561500")</f>
        <v>#NAME?</v>
      </c>
      <c r="S2640" s="28" t="e">
        <f ca="1">[1]!BexGetData("DP_1","00O2TNJGODT0G5Z4TTKYMMI9X","GSON1235561500")</f>
        <v>#NAME?</v>
      </c>
      <c r="T2640" s="28" t="e">
        <f ca="1">[1]!BexGetData("DP_1","00O2TNJGODT0G5Z4TTKYMMOLH","GSON1235561500")</f>
        <v>#NAME?</v>
      </c>
      <c r="U2640" s="28" t="e">
        <f ca="1">[1]!BexGetData("DP_1","00O2TNJGODT0G5Z4TTKYMMUX1","GSON1235561500")</f>
        <v>#NAME?</v>
      </c>
      <c r="V2640" s="28" t="e">
        <f ca="1">[1]!BexGetData("DP_1","00O2TNJGODT0G5Z4TTKYMN18L","GSON1235561500")</f>
        <v>#NAME?</v>
      </c>
      <c r="W2640" s="28" t="e">
        <f ca="1">[1]!BexGetData("DP_1","00O2TNJGODT0G5Z4TTKYMN7K5","GSON1235561500")</f>
        <v>#NAME?</v>
      </c>
    </row>
    <row r="2641" spans="1:23" x14ac:dyDescent="0.2">
      <c r="A2641" s="36" t="s">
        <v>6050</v>
      </c>
      <c r="B2641" s="27" t="s">
        <v>6051</v>
      </c>
      <c r="C2641" s="28" t="e">
        <f ca="1">[1]!BexGetData("DP_1","003N8EMH8GTFRCSWKMPXRR8GU","GSON1235561503")</f>
        <v>#NAME?</v>
      </c>
      <c r="D2641" s="28" t="e">
        <f ca="1">[1]!BexGetData("DP_1","003N8EMH8GTFRCSWKMPXRRESE","GSON1235561503")</f>
        <v>#NAME?</v>
      </c>
      <c r="E2641" s="23" t="e">
        <f ca="1">[1]!BexGetData("DP_1","003N8EMH8GTFRCSWKMPXRRL3Y","GSON1235561503")</f>
        <v>#NAME?</v>
      </c>
      <c r="F2641" s="23" t="e">
        <f ca="1">[1]!BexGetData("DP_1","003N8EMH8GTFRCSWKMPXRRRFI","GSON1235561503")</f>
        <v>#NAME?</v>
      </c>
      <c r="G2641" s="28" t="e">
        <f ca="1">[1]!BexGetData("DP_1","003N8EMH8GTFRCSWKMPXRRXR2","GSON1235561503")</f>
        <v>#NAME?</v>
      </c>
      <c r="H2641" s="28" t="e">
        <f ca="1">[1]!BexGetData("DP_1","003N8EMH8GTFRCSWKMPXRS42M","GSON1235561503")</f>
        <v>#NAME?</v>
      </c>
      <c r="I2641" s="23" t="e">
        <f ca="1">[1]!BexGetData("DP_1","003N8EMH8GTFRCSWKMPXRSAE6","GSON1235561503")</f>
        <v>#NAME?</v>
      </c>
      <c r="J2641" s="23" t="e">
        <f ca="1">[1]!BexGetData("DP_1","003N8EMH8GTFRCSWKMPXRSGPQ","GSON1235561503")</f>
        <v>#NAME?</v>
      </c>
      <c r="K2641" s="28" t="e">
        <f ca="1">[1]!BexGetData("DP_1","003N8EMH8GTFRIVNUPY288VJH","GSON1235561503")</f>
        <v>#NAME?</v>
      </c>
      <c r="L2641" s="28" t="e">
        <f ca="1">[1]!BexGetData("DP_1","003N8EMH8GTFRIVNUPY2891V1","GSON1235561503")</f>
        <v>#NAME?</v>
      </c>
      <c r="M2641" s="28" t="e">
        <f ca="1">[1]!BexGetData("DP_1","003N8EMH8GTFRIVOG7KG9IQXA","GSON1235561503")</f>
        <v>#NAME?</v>
      </c>
      <c r="N2641" s="28" t="e">
        <f ca="1">[1]!BexGetData("DP_1","003N8EMH8GTFRIVOG7KG9IX8U","GSON1235561503")</f>
        <v>#NAME?</v>
      </c>
      <c r="O2641" s="28" t="e">
        <f ca="1">[1]!BexGetData("DP_1","003N8EMH8GTFRIVOG7KG9J3KE","GSON1235561503")</f>
        <v>#NAME?</v>
      </c>
      <c r="P2641" s="28" t="e">
        <f ca="1">[1]!BexGetData("DP_1","003N8EMH8GTFRIVOG7KG9J9VY","GSON1235561503")</f>
        <v>#NAME?</v>
      </c>
      <c r="Q2641" s="23" t="e">
        <f ca="1">[1]!BexGetData("DP_1","00O2TNJGODT0G5Z4TTKYMM5MT","GSON1235561503")</f>
        <v>#NAME?</v>
      </c>
      <c r="R2641" s="28" t="e">
        <f ca="1">[1]!BexGetData("DP_1","00O2TNJGODT0G5Z4TTKYMMBYD","GSON1235561503")</f>
        <v>#NAME?</v>
      </c>
      <c r="S2641" s="28" t="e">
        <f ca="1">[1]!BexGetData("DP_1","00O2TNJGODT0G5Z4TTKYMMI9X","GSON1235561503")</f>
        <v>#NAME?</v>
      </c>
      <c r="T2641" s="28" t="e">
        <f ca="1">[1]!BexGetData("DP_1","00O2TNJGODT0G5Z4TTKYMMOLH","GSON1235561503")</f>
        <v>#NAME?</v>
      </c>
      <c r="U2641" s="28" t="e">
        <f ca="1">[1]!BexGetData("DP_1","00O2TNJGODT0G5Z4TTKYMMUX1","GSON1235561503")</f>
        <v>#NAME?</v>
      </c>
      <c r="V2641" s="28" t="e">
        <f ca="1">[1]!BexGetData("DP_1","00O2TNJGODT0G5Z4TTKYMN18L","GSON1235561503")</f>
        <v>#NAME?</v>
      </c>
      <c r="W2641" s="28" t="e">
        <f ca="1">[1]!BexGetData("DP_1","00O2TNJGODT0G5Z4TTKYMN7K5","GSON1235561503")</f>
        <v>#NAME?</v>
      </c>
    </row>
    <row r="2642" spans="1:23" x14ac:dyDescent="0.2">
      <c r="A2642" s="36" t="s">
        <v>6030</v>
      </c>
      <c r="B2642" s="27" t="s">
        <v>6052</v>
      </c>
      <c r="C2642" s="28" t="e">
        <f ca="1">[1]!BexGetData("DP_1","003N8EMH8GTFRCSWKMPXRR8GU","GSON1235561505")</f>
        <v>#NAME?</v>
      </c>
      <c r="D2642" s="28" t="e">
        <f ca="1">[1]!BexGetData("DP_1","003N8EMH8GTFRCSWKMPXRRESE","GSON1235561505")</f>
        <v>#NAME?</v>
      </c>
      <c r="E2642" s="23" t="e">
        <f ca="1">[1]!BexGetData("DP_1","003N8EMH8GTFRCSWKMPXRRL3Y","GSON1235561505")</f>
        <v>#NAME?</v>
      </c>
      <c r="F2642" s="23" t="e">
        <f ca="1">[1]!BexGetData("DP_1","003N8EMH8GTFRCSWKMPXRRRFI","GSON1235561505")</f>
        <v>#NAME?</v>
      </c>
      <c r="G2642" s="28" t="e">
        <f ca="1">[1]!BexGetData("DP_1","003N8EMH8GTFRCSWKMPXRRXR2","GSON1235561505")</f>
        <v>#NAME?</v>
      </c>
      <c r="H2642" s="28" t="e">
        <f ca="1">[1]!BexGetData("DP_1","003N8EMH8GTFRCSWKMPXRS42M","GSON1235561505")</f>
        <v>#NAME?</v>
      </c>
      <c r="I2642" s="23" t="e">
        <f ca="1">[1]!BexGetData("DP_1","003N8EMH8GTFRCSWKMPXRSAE6","GSON1235561505")</f>
        <v>#NAME?</v>
      </c>
      <c r="J2642" s="23" t="e">
        <f ca="1">[1]!BexGetData("DP_1","003N8EMH8GTFRCSWKMPXRSGPQ","GSON1235561505")</f>
        <v>#NAME?</v>
      </c>
      <c r="K2642" s="28" t="e">
        <f ca="1">[1]!BexGetData("DP_1","003N8EMH8GTFRIVNUPY288VJH","GSON1235561505")</f>
        <v>#NAME?</v>
      </c>
      <c r="L2642" s="28" t="e">
        <f ca="1">[1]!BexGetData("DP_1","003N8EMH8GTFRIVNUPY2891V1","GSON1235561505")</f>
        <v>#NAME?</v>
      </c>
      <c r="M2642" s="28" t="e">
        <f ca="1">[1]!BexGetData("DP_1","003N8EMH8GTFRIVOG7KG9IQXA","GSON1235561505")</f>
        <v>#NAME?</v>
      </c>
      <c r="N2642" s="28" t="e">
        <f ca="1">[1]!BexGetData("DP_1","003N8EMH8GTFRIVOG7KG9IX8U","GSON1235561505")</f>
        <v>#NAME?</v>
      </c>
      <c r="O2642" s="28" t="e">
        <f ca="1">[1]!BexGetData("DP_1","003N8EMH8GTFRIVOG7KG9J3KE","GSON1235561505")</f>
        <v>#NAME?</v>
      </c>
      <c r="P2642" s="28" t="e">
        <f ca="1">[1]!BexGetData("DP_1","003N8EMH8GTFRIVOG7KG9J9VY","GSON1235561505")</f>
        <v>#NAME?</v>
      </c>
      <c r="Q2642" s="23" t="e">
        <f ca="1">[1]!BexGetData("DP_1","00O2TNJGODT0G5Z4TTKYMM5MT","GSON1235561505")</f>
        <v>#NAME?</v>
      </c>
      <c r="R2642" s="28" t="e">
        <f ca="1">[1]!BexGetData("DP_1","00O2TNJGODT0G5Z4TTKYMMBYD","GSON1235561505")</f>
        <v>#NAME?</v>
      </c>
      <c r="S2642" s="28" t="e">
        <f ca="1">[1]!BexGetData("DP_1","00O2TNJGODT0G5Z4TTKYMMI9X","GSON1235561505")</f>
        <v>#NAME?</v>
      </c>
      <c r="T2642" s="28" t="e">
        <f ca="1">[1]!BexGetData("DP_1","00O2TNJGODT0G5Z4TTKYMMOLH","GSON1235561505")</f>
        <v>#NAME?</v>
      </c>
      <c r="U2642" s="28" t="e">
        <f ca="1">[1]!BexGetData("DP_1","00O2TNJGODT0G5Z4TTKYMMUX1","GSON1235561505")</f>
        <v>#NAME?</v>
      </c>
      <c r="V2642" s="28" t="e">
        <f ca="1">[1]!BexGetData("DP_1","00O2TNJGODT0G5Z4TTKYMN18L","GSON1235561505")</f>
        <v>#NAME?</v>
      </c>
      <c r="W2642" s="28" t="e">
        <f ca="1">[1]!BexGetData("DP_1","00O2TNJGODT0G5Z4TTKYMN7K5","GSON1235561505")</f>
        <v>#NAME?</v>
      </c>
    </row>
    <row r="2643" spans="1:23" x14ac:dyDescent="0.2">
      <c r="A2643" s="36" t="s">
        <v>6053</v>
      </c>
      <c r="B2643" s="27" t="s">
        <v>6054</v>
      </c>
      <c r="C2643" s="24" t="e">
        <f ca="1">[1]!BexGetData("DP_1","003N8EMH8GTFRCSWKMPXRR8GU","GSON1235561509")</f>
        <v>#NAME?</v>
      </c>
      <c r="D2643" s="24" t="e">
        <f ca="1">[1]!BexGetData("DP_1","003N8EMH8GTFRCSWKMPXRRESE","GSON1235561509")</f>
        <v>#NAME?</v>
      </c>
      <c r="E2643" s="24" t="e">
        <f ca="1">[1]!BexGetData("DP_1","003N8EMH8GTFRCSWKMPXRRL3Y","GSON1235561509")</f>
        <v>#NAME?</v>
      </c>
      <c r="F2643" s="28" t="e">
        <f ca="1">[1]!BexGetData("DP_1","003N8EMH8GTFRCSWKMPXRRRFI","GSON1235561509")</f>
        <v>#NAME?</v>
      </c>
      <c r="G2643" s="23" t="e">
        <f ca="1">[1]!BexGetData("DP_1","003N8EMH8GTFRCSWKMPXRRXR2","GSON1235561509")</f>
        <v>#NAME?</v>
      </c>
      <c r="H2643" s="23" t="e">
        <f ca="1">[1]!BexGetData("DP_1","003N8EMH8GTFRCSWKMPXRS42M","GSON1235561509")</f>
        <v>#NAME?</v>
      </c>
      <c r="I2643" s="28" t="e">
        <f ca="1">[1]!BexGetData("DP_1","003N8EMH8GTFRCSWKMPXRSAE6","GSON1235561509")</f>
        <v>#NAME?</v>
      </c>
      <c r="J2643" s="24" t="e">
        <f ca="1">[1]!BexGetData("DP_1","003N8EMH8GTFRCSWKMPXRSGPQ","GSON1235561509")</f>
        <v>#NAME?</v>
      </c>
      <c r="K2643" s="28" t="e">
        <f ca="1">[1]!BexGetData("DP_1","003N8EMH8GTFRIVNUPY288VJH","GSON1235561509")</f>
        <v>#NAME?</v>
      </c>
      <c r="L2643" s="28" t="e">
        <f ca="1">[1]!BexGetData("DP_1","003N8EMH8GTFRIVNUPY2891V1","GSON1235561509")</f>
        <v>#NAME?</v>
      </c>
      <c r="M2643" s="28" t="e">
        <f ca="1">[1]!BexGetData("DP_1","003N8EMH8GTFRIVOG7KG9IQXA","GSON1235561509")</f>
        <v>#NAME?</v>
      </c>
      <c r="N2643" s="28" t="e">
        <f ca="1">[1]!BexGetData("DP_1","003N8EMH8GTFRIVOG7KG9IX8U","GSON1235561509")</f>
        <v>#NAME?</v>
      </c>
      <c r="O2643" s="28" t="e">
        <f ca="1">[1]!BexGetData("DP_1","003N8EMH8GTFRIVOG7KG9J3KE","GSON1235561509")</f>
        <v>#NAME?</v>
      </c>
      <c r="P2643" s="28" t="e">
        <f ca="1">[1]!BexGetData("DP_1","003N8EMH8GTFRIVOG7KG9J9VY","GSON1235561509")</f>
        <v>#NAME?</v>
      </c>
      <c r="Q2643" s="24" t="e">
        <f ca="1">[1]!BexGetData("DP_1","00O2TNJGODT0G5Z4TTKYMM5MT","GSON1235561509")</f>
        <v>#NAME?</v>
      </c>
      <c r="R2643" s="28" t="e">
        <f ca="1">[1]!BexGetData("DP_1","00O2TNJGODT0G5Z4TTKYMMBYD","GSON1235561509")</f>
        <v>#NAME?</v>
      </c>
      <c r="S2643" s="28" t="e">
        <f ca="1">[1]!BexGetData("DP_1","00O2TNJGODT0G5Z4TTKYMMI9X","GSON1235561509")</f>
        <v>#NAME?</v>
      </c>
      <c r="T2643" s="28" t="e">
        <f ca="1">[1]!BexGetData("DP_1","00O2TNJGODT0G5Z4TTKYMMOLH","GSON1235561509")</f>
        <v>#NAME?</v>
      </c>
      <c r="U2643" s="28" t="e">
        <f ca="1">[1]!BexGetData("DP_1","00O2TNJGODT0G5Z4TTKYMMUX1","GSON1235561509")</f>
        <v>#NAME?</v>
      </c>
      <c r="V2643" s="28" t="e">
        <f ca="1">[1]!BexGetData("DP_1","00O2TNJGODT0G5Z4TTKYMN18L","GSON1235561509")</f>
        <v>#NAME?</v>
      </c>
      <c r="W2643" s="28" t="e">
        <f ca="1">[1]!BexGetData("DP_1","00O2TNJGODT0G5Z4TTKYMN7K5","GSON1235561509")</f>
        <v>#NAME?</v>
      </c>
    </row>
    <row r="2644" spans="1:23" x14ac:dyDescent="0.2">
      <c r="A2644" s="36" t="s">
        <v>6055</v>
      </c>
      <c r="B2644" s="27" t="s">
        <v>6056</v>
      </c>
      <c r="C2644" s="23" t="e">
        <f ca="1">[1]!BexGetData("DP_1","003N8EMH8GTFRCSWKMPXRR8GU","GSON1235561512")</f>
        <v>#NAME?</v>
      </c>
      <c r="D2644" s="28" t="e">
        <f ca="1">[1]!BexGetData("DP_1","003N8EMH8GTFRCSWKMPXRRESE","GSON1235561512")</f>
        <v>#NAME?</v>
      </c>
      <c r="E2644" s="23" t="e">
        <f ca="1">[1]!BexGetData("DP_1","003N8EMH8GTFRCSWKMPXRRL3Y","GSON1235561512")</f>
        <v>#NAME?</v>
      </c>
      <c r="F2644" s="24" t="e">
        <f ca="1">[1]!BexGetData("DP_1","003N8EMH8GTFRCSWKMPXRRRFI","GSON1235561512")</f>
        <v>#NAME?</v>
      </c>
      <c r="G2644" s="24" t="e">
        <f ca="1">[1]!BexGetData("DP_1","003N8EMH8GTFRCSWKMPXRRXR2","GSON1235561512")</f>
        <v>#NAME?</v>
      </c>
      <c r="H2644" s="24" t="e">
        <f ca="1">[1]!BexGetData("DP_1","003N8EMH8GTFRCSWKMPXRS42M","GSON1235561512")</f>
        <v>#NAME?</v>
      </c>
      <c r="I2644" s="24" t="e">
        <f ca="1">[1]!BexGetData("DP_1","003N8EMH8GTFRCSWKMPXRSAE6","GSON1235561512")</f>
        <v>#NAME?</v>
      </c>
      <c r="J2644" s="24" t="e">
        <f ca="1">[1]!BexGetData("DP_1","003N8EMH8GTFRCSWKMPXRSGPQ","GSON1235561512")</f>
        <v>#NAME?</v>
      </c>
      <c r="K2644" s="23" t="e">
        <f ca="1">[1]!BexGetData("DP_1","003N8EMH8GTFRIVNUPY288VJH","GSON1235561512")</f>
        <v>#NAME?</v>
      </c>
      <c r="L2644" s="23" t="e">
        <f ca="1">[1]!BexGetData("DP_1","003N8EMH8GTFRIVNUPY2891V1","GSON1235561512")</f>
        <v>#NAME?</v>
      </c>
      <c r="M2644" s="28" t="e">
        <f ca="1">[1]!BexGetData("DP_1","003N8EMH8GTFRIVOG7KG9IQXA","GSON1235561512")</f>
        <v>#NAME?</v>
      </c>
      <c r="N2644" s="23" t="e">
        <f ca="1">[1]!BexGetData("DP_1","003N8EMH8GTFRIVOG7KG9IX8U","GSON1235561512")</f>
        <v>#NAME?</v>
      </c>
      <c r="O2644" s="28" t="e">
        <f ca="1">[1]!BexGetData("DP_1","003N8EMH8GTFRIVOG7KG9J3KE","GSON1235561512")</f>
        <v>#NAME?</v>
      </c>
      <c r="P2644" s="23" t="e">
        <f ca="1">[1]!BexGetData("DP_1","003N8EMH8GTFRIVOG7KG9J9VY","GSON1235561512")</f>
        <v>#NAME?</v>
      </c>
      <c r="Q2644" s="24" t="e">
        <f ca="1">[1]!BexGetData("DP_1","00O2TNJGODT0G5Z4TTKYMM5MT","GSON1235561512")</f>
        <v>#NAME?</v>
      </c>
      <c r="R2644" s="24" t="e">
        <f ca="1">[1]!BexGetData("DP_1","00O2TNJGODT0G5Z4TTKYMMBYD","GSON1235561512")</f>
        <v>#NAME?</v>
      </c>
      <c r="S2644" s="24" t="e">
        <f ca="1">[1]!BexGetData("DP_1","00O2TNJGODT0G5Z4TTKYMMI9X","GSON1235561512")</f>
        <v>#NAME?</v>
      </c>
      <c r="T2644" s="24" t="e">
        <f ca="1">[1]!BexGetData("DP_1","00O2TNJGODT0G5Z4TTKYMMOLH","GSON1235561512")</f>
        <v>#NAME?</v>
      </c>
      <c r="U2644" s="24" t="e">
        <f ca="1">[1]!BexGetData("DP_1","00O2TNJGODT0G5Z4TTKYMMUX1","GSON1235561512")</f>
        <v>#NAME?</v>
      </c>
      <c r="V2644" s="24" t="e">
        <f ca="1">[1]!BexGetData("DP_1","00O2TNJGODT0G5Z4TTKYMN18L","GSON1235561512")</f>
        <v>#NAME?</v>
      </c>
      <c r="W2644" s="24" t="e">
        <f ca="1">[1]!BexGetData("DP_1","00O2TNJGODT0G5Z4TTKYMN7K5","GSON1235561512")</f>
        <v>#NAME?</v>
      </c>
    </row>
    <row r="2645" spans="1:23" x14ac:dyDescent="0.2">
      <c r="A2645" s="36" t="s">
        <v>1287</v>
      </c>
      <c r="B2645" s="27" t="s">
        <v>1288</v>
      </c>
      <c r="C2645" s="28" t="e">
        <f ca="1">[1]!BexGetData("DP_1","003N8EMH8GTFRCSWKMPXRR8GU","GSON1235661600")</f>
        <v>#NAME?</v>
      </c>
      <c r="D2645" s="28" t="e">
        <f ca="1">[1]!BexGetData("DP_1","003N8EMH8GTFRCSWKMPXRRESE","GSON1235661600")</f>
        <v>#NAME?</v>
      </c>
      <c r="E2645" s="23" t="e">
        <f ca="1">[1]!BexGetData("DP_1","003N8EMH8GTFRCSWKMPXRRL3Y","GSON1235661600")</f>
        <v>#NAME?</v>
      </c>
      <c r="F2645" s="23" t="e">
        <f ca="1">[1]!BexGetData("DP_1","003N8EMH8GTFRCSWKMPXRRRFI","GSON1235661600")</f>
        <v>#NAME?</v>
      </c>
      <c r="G2645" s="28" t="e">
        <f ca="1">[1]!BexGetData("DP_1","003N8EMH8GTFRCSWKMPXRRXR2","GSON1235661600")</f>
        <v>#NAME?</v>
      </c>
      <c r="H2645" s="23" t="e">
        <f ca="1">[1]!BexGetData("DP_1","003N8EMH8GTFRCSWKMPXRS42M","GSON1235661600")</f>
        <v>#NAME?</v>
      </c>
      <c r="I2645" s="23" t="e">
        <f ca="1">[1]!BexGetData("DP_1","003N8EMH8GTFRCSWKMPXRSAE6","GSON1235661600")</f>
        <v>#NAME?</v>
      </c>
      <c r="J2645" s="23" t="e">
        <f ca="1">[1]!BexGetData("DP_1","003N8EMH8GTFRCSWKMPXRSGPQ","GSON1235661600")</f>
        <v>#NAME?</v>
      </c>
      <c r="K2645" s="28" t="e">
        <f ca="1">[1]!BexGetData("DP_1","003N8EMH8GTFRIVNUPY288VJH","GSON1235661600")</f>
        <v>#NAME?</v>
      </c>
      <c r="L2645" s="28" t="e">
        <f ca="1">[1]!BexGetData("DP_1","003N8EMH8GTFRIVNUPY2891V1","GSON1235661600")</f>
        <v>#NAME?</v>
      </c>
      <c r="M2645" s="28" t="e">
        <f ca="1">[1]!BexGetData("DP_1","003N8EMH8GTFRIVOG7KG9IQXA","GSON1235661600")</f>
        <v>#NAME?</v>
      </c>
      <c r="N2645" s="28" t="e">
        <f ca="1">[1]!BexGetData("DP_1","003N8EMH8GTFRIVOG7KG9IX8U","GSON1235661600")</f>
        <v>#NAME?</v>
      </c>
      <c r="O2645" s="28" t="e">
        <f ca="1">[1]!BexGetData("DP_1","003N8EMH8GTFRIVOG7KG9J3KE","GSON1235661600")</f>
        <v>#NAME?</v>
      </c>
      <c r="P2645" s="28" t="e">
        <f ca="1">[1]!BexGetData("DP_1","003N8EMH8GTFRIVOG7KG9J9VY","GSON1235661600")</f>
        <v>#NAME?</v>
      </c>
      <c r="Q2645" s="23" t="e">
        <f ca="1">[1]!BexGetData("DP_1","00O2TNJGODT0G5Z4TTKYMM5MT","GSON1235661600")</f>
        <v>#NAME?</v>
      </c>
      <c r="R2645" s="23" t="e">
        <f ca="1">[1]!BexGetData("DP_1","00O2TNJGODT0G5Z4TTKYMMBYD","GSON1235661600")</f>
        <v>#NAME?</v>
      </c>
      <c r="S2645" s="23" t="e">
        <f ca="1">[1]!BexGetData("DP_1","00O2TNJGODT0G5Z4TTKYMMI9X","GSON1235661600")</f>
        <v>#NAME?</v>
      </c>
      <c r="T2645" s="23" t="e">
        <f ca="1">[1]!BexGetData("DP_1","00O2TNJGODT0G5Z4TTKYMMOLH","GSON1235661600")</f>
        <v>#NAME?</v>
      </c>
      <c r="U2645" s="28" t="e">
        <f ca="1">[1]!BexGetData("DP_1","00O2TNJGODT0G5Z4TTKYMMUX1","GSON1235661600")</f>
        <v>#NAME?</v>
      </c>
      <c r="V2645" s="23" t="e">
        <f ca="1">[1]!BexGetData("DP_1","00O2TNJGODT0G5Z4TTKYMN18L","GSON1235661600")</f>
        <v>#NAME?</v>
      </c>
      <c r="W2645" s="28" t="e">
        <f ca="1">[1]!BexGetData("DP_1","00O2TNJGODT0G5Z4TTKYMN7K5","GSON1235661600")</f>
        <v>#NAME?</v>
      </c>
    </row>
    <row r="2646" spans="1:23" x14ac:dyDescent="0.2">
      <c r="A2646" s="35" t="s">
        <v>79</v>
      </c>
      <c r="B2646" s="27" t="s">
        <v>80</v>
      </c>
      <c r="C2646" s="23" t="e">
        <f ca="1">[1]!BexGetData("DP_1","003N8EMH8GTFRCSWKMPXRR8GU","GSON1236")</f>
        <v>#NAME?</v>
      </c>
      <c r="D2646" s="23" t="e">
        <f ca="1">[1]!BexGetData("DP_1","003N8EMH8GTFRCSWKMPXRRESE","GSON1236")</f>
        <v>#NAME?</v>
      </c>
      <c r="E2646" s="23" t="e">
        <f ca="1">[1]!BexGetData("DP_1","003N8EMH8GTFRCSWKMPXRRL3Y","GSON1236")</f>
        <v>#NAME?</v>
      </c>
      <c r="F2646" s="23" t="e">
        <f ca="1">[1]!BexGetData("DP_1","003N8EMH8GTFRCSWKMPXRRRFI","GSON1236")</f>
        <v>#NAME?</v>
      </c>
      <c r="G2646" s="23" t="e">
        <f ca="1">[1]!BexGetData("DP_1","003N8EMH8GTFRCSWKMPXRRXR2","GSON1236")</f>
        <v>#NAME?</v>
      </c>
      <c r="H2646" s="23" t="e">
        <f ca="1">[1]!BexGetData("DP_1","003N8EMH8GTFRCSWKMPXRS42M","GSON1236")</f>
        <v>#NAME?</v>
      </c>
      <c r="I2646" s="23" t="e">
        <f ca="1">[1]!BexGetData("DP_1","003N8EMH8GTFRCSWKMPXRSAE6","GSON1236")</f>
        <v>#NAME?</v>
      </c>
      <c r="J2646" s="23" t="e">
        <f ca="1">[1]!BexGetData("DP_1","003N8EMH8GTFRCSWKMPXRSGPQ","GSON1236")</f>
        <v>#NAME?</v>
      </c>
      <c r="K2646" s="23" t="e">
        <f ca="1">[1]!BexGetData("DP_1","003N8EMH8GTFRIVNUPY288VJH","GSON1236")</f>
        <v>#NAME?</v>
      </c>
      <c r="L2646" s="23" t="e">
        <f ca="1">[1]!BexGetData("DP_1","003N8EMH8GTFRIVNUPY2891V1","GSON1236")</f>
        <v>#NAME?</v>
      </c>
      <c r="M2646" s="28" t="e">
        <f ca="1">[1]!BexGetData("DP_1","003N8EMH8GTFRIVOG7KG9IQXA","GSON1236")</f>
        <v>#NAME?</v>
      </c>
      <c r="N2646" s="23" t="e">
        <f ca="1">[1]!BexGetData("DP_1","003N8EMH8GTFRIVOG7KG9IX8U","GSON1236")</f>
        <v>#NAME?</v>
      </c>
      <c r="O2646" s="28" t="e">
        <f ca="1">[1]!BexGetData("DP_1","003N8EMH8GTFRIVOG7KG9J3KE","GSON1236")</f>
        <v>#NAME?</v>
      </c>
      <c r="P2646" s="23" t="e">
        <f ca="1">[1]!BexGetData("DP_1","003N8EMH8GTFRIVOG7KG9J9VY","GSON1236")</f>
        <v>#NAME?</v>
      </c>
      <c r="Q2646" s="23" t="e">
        <f ca="1">[1]!BexGetData("DP_1","00O2TNJGODT0G5Z4TTKYMM5MT","GSON1236")</f>
        <v>#NAME?</v>
      </c>
      <c r="R2646" s="23" t="e">
        <f ca="1">[1]!BexGetData("DP_1","00O2TNJGODT0G5Z4TTKYMMBYD","GSON1236")</f>
        <v>#NAME?</v>
      </c>
      <c r="S2646" s="23" t="e">
        <f ca="1">[1]!BexGetData("DP_1","00O2TNJGODT0G5Z4TTKYMMI9X","GSON1236")</f>
        <v>#NAME?</v>
      </c>
      <c r="T2646" s="28" t="e">
        <f ca="1">[1]!BexGetData("DP_1","00O2TNJGODT0G5Z4TTKYMMOLH","GSON1236")</f>
        <v>#NAME?</v>
      </c>
      <c r="U2646" s="23" t="e">
        <f ca="1">[1]!BexGetData("DP_1","00O2TNJGODT0G5Z4TTKYMMUX1","GSON1236")</f>
        <v>#NAME?</v>
      </c>
      <c r="V2646" s="28" t="e">
        <f ca="1">[1]!BexGetData("DP_1","00O2TNJGODT0G5Z4TTKYMN18L","GSON1236")</f>
        <v>#NAME?</v>
      </c>
      <c r="W2646" s="23" t="e">
        <f ca="1">[1]!BexGetData("DP_1","00O2TNJGODT0G5Z4TTKYMN7K5","GSON1236")</f>
        <v>#NAME?</v>
      </c>
    </row>
    <row r="2647" spans="1:23" x14ac:dyDescent="0.2">
      <c r="A2647" s="36" t="s">
        <v>1289</v>
      </c>
      <c r="B2647" s="27" t="s">
        <v>1290</v>
      </c>
      <c r="C2647" s="28" t="e">
        <f ca="1">[1]!BexGetData("DP_1","003N8EMH8GTFRCSWKMPXRR8GU","GSON1236262200")</f>
        <v>#NAME?</v>
      </c>
      <c r="D2647" s="28" t="e">
        <f ca="1">[1]!BexGetData("DP_1","003N8EMH8GTFRCSWKMPXRRESE","GSON1236262200")</f>
        <v>#NAME?</v>
      </c>
      <c r="E2647" s="23" t="e">
        <f ca="1">[1]!BexGetData("DP_1","003N8EMH8GTFRCSWKMPXRRL3Y","GSON1236262200")</f>
        <v>#NAME?</v>
      </c>
      <c r="F2647" s="23" t="e">
        <f ca="1">[1]!BexGetData("DP_1","003N8EMH8GTFRCSWKMPXRRRFI","GSON1236262200")</f>
        <v>#NAME?</v>
      </c>
      <c r="G2647" s="28" t="e">
        <f ca="1">[1]!BexGetData("DP_1","003N8EMH8GTFRCSWKMPXRRXR2","GSON1236262200")</f>
        <v>#NAME?</v>
      </c>
      <c r="H2647" s="28" t="e">
        <f ca="1">[1]!BexGetData("DP_1","003N8EMH8GTFRCSWKMPXRS42M","GSON1236262200")</f>
        <v>#NAME?</v>
      </c>
      <c r="I2647" s="23" t="e">
        <f ca="1">[1]!BexGetData("DP_1","003N8EMH8GTFRCSWKMPXRSAE6","GSON1236262200")</f>
        <v>#NAME?</v>
      </c>
      <c r="J2647" s="23" t="e">
        <f ca="1">[1]!BexGetData("DP_1","003N8EMH8GTFRCSWKMPXRSGPQ","GSON1236262200")</f>
        <v>#NAME?</v>
      </c>
      <c r="K2647" s="28" t="e">
        <f ca="1">[1]!BexGetData("DP_1","003N8EMH8GTFRIVNUPY288VJH","GSON1236262200")</f>
        <v>#NAME?</v>
      </c>
      <c r="L2647" s="28" t="e">
        <f ca="1">[1]!BexGetData("DP_1","003N8EMH8GTFRIVNUPY2891V1","GSON1236262200")</f>
        <v>#NAME?</v>
      </c>
      <c r="M2647" s="28" t="e">
        <f ca="1">[1]!BexGetData("DP_1","003N8EMH8GTFRIVOG7KG9IQXA","GSON1236262200")</f>
        <v>#NAME?</v>
      </c>
      <c r="N2647" s="28" t="e">
        <f ca="1">[1]!BexGetData("DP_1","003N8EMH8GTFRIVOG7KG9IX8U","GSON1236262200")</f>
        <v>#NAME?</v>
      </c>
      <c r="O2647" s="28" t="e">
        <f ca="1">[1]!BexGetData("DP_1","003N8EMH8GTFRIVOG7KG9J3KE","GSON1236262200")</f>
        <v>#NAME?</v>
      </c>
      <c r="P2647" s="28" t="e">
        <f ca="1">[1]!BexGetData("DP_1","003N8EMH8GTFRIVOG7KG9J9VY","GSON1236262200")</f>
        <v>#NAME?</v>
      </c>
      <c r="Q2647" s="23" t="e">
        <f ca="1">[1]!BexGetData("DP_1","00O2TNJGODT0G5Z4TTKYMM5MT","GSON1236262200")</f>
        <v>#NAME?</v>
      </c>
      <c r="R2647" s="28" t="e">
        <f ca="1">[1]!BexGetData("DP_1","00O2TNJGODT0G5Z4TTKYMMBYD","GSON1236262200")</f>
        <v>#NAME?</v>
      </c>
      <c r="S2647" s="28" t="e">
        <f ca="1">[1]!BexGetData("DP_1","00O2TNJGODT0G5Z4TTKYMMI9X","GSON1236262200")</f>
        <v>#NAME?</v>
      </c>
      <c r="T2647" s="28" t="e">
        <f ca="1">[1]!BexGetData("DP_1","00O2TNJGODT0G5Z4TTKYMMOLH","GSON1236262200")</f>
        <v>#NAME?</v>
      </c>
      <c r="U2647" s="28" t="e">
        <f ca="1">[1]!BexGetData("DP_1","00O2TNJGODT0G5Z4TTKYMMUX1","GSON1236262200")</f>
        <v>#NAME?</v>
      </c>
      <c r="V2647" s="28" t="e">
        <f ca="1">[1]!BexGetData("DP_1","00O2TNJGODT0G5Z4TTKYMN18L","GSON1236262200")</f>
        <v>#NAME?</v>
      </c>
      <c r="W2647" s="28" t="e">
        <f ca="1">[1]!BexGetData("DP_1","00O2TNJGODT0G5Z4TTKYMN7K5","GSON1236262200")</f>
        <v>#NAME?</v>
      </c>
    </row>
    <row r="2648" spans="1:23" x14ac:dyDescent="0.2">
      <c r="A2648" s="36" t="s">
        <v>1291</v>
      </c>
      <c r="B2648" s="27" t="s">
        <v>81</v>
      </c>
      <c r="C2648" s="23" t="e">
        <f ca="1">[1]!BexGetData("DP_1","003N8EMH8GTFRCSWKMPXRR8GU","GSON1236262201")</f>
        <v>#NAME?</v>
      </c>
      <c r="D2648" s="23" t="e">
        <f ca="1">[1]!BexGetData("DP_1","003N8EMH8GTFRCSWKMPXRRESE","GSON1236262201")</f>
        <v>#NAME?</v>
      </c>
      <c r="E2648" s="23" t="e">
        <f ca="1">[1]!BexGetData("DP_1","003N8EMH8GTFRCSWKMPXRRL3Y","GSON1236262201")</f>
        <v>#NAME?</v>
      </c>
      <c r="F2648" s="23" t="e">
        <f ca="1">[1]!BexGetData("DP_1","003N8EMH8GTFRCSWKMPXRRRFI","GSON1236262201")</f>
        <v>#NAME?</v>
      </c>
      <c r="G2648" s="23" t="e">
        <f ca="1">[1]!BexGetData("DP_1","003N8EMH8GTFRCSWKMPXRRXR2","GSON1236262201")</f>
        <v>#NAME?</v>
      </c>
      <c r="H2648" s="23" t="e">
        <f ca="1">[1]!BexGetData("DP_1","003N8EMH8GTFRCSWKMPXRS42M","GSON1236262201")</f>
        <v>#NAME?</v>
      </c>
      <c r="I2648" s="23" t="e">
        <f ca="1">[1]!BexGetData("DP_1","003N8EMH8GTFRCSWKMPXRSAE6","GSON1236262201")</f>
        <v>#NAME?</v>
      </c>
      <c r="J2648" s="23" t="e">
        <f ca="1">[1]!BexGetData("DP_1","003N8EMH8GTFRCSWKMPXRSGPQ","GSON1236262201")</f>
        <v>#NAME?</v>
      </c>
      <c r="K2648" s="23" t="e">
        <f ca="1">[1]!BexGetData("DP_1","003N8EMH8GTFRIVNUPY288VJH","GSON1236262201")</f>
        <v>#NAME?</v>
      </c>
      <c r="L2648" s="23" t="e">
        <f ca="1">[1]!BexGetData("DP_1","003N8EMH8GTFRIVNUPY2891V1","GSON1236262201")</f>
        <v>#NAME?</v>
      </c>
      <c r="M2648" s="28" t="e">
        <f ca="1">[1]!BexGetData("DP_1","003N8EMH8GTFRIVOG7KG9IQXA","GSON1236262201")</f>
        <v>#NAME?</v>
      </c>
      <c r="N2648" s="23" t="e">
        <f ca="1">[1]!BexGetData("DP_1","003N8EMH8GTFRIVOG7KG9IX8U","GSON1236262201")</f>
        <v>#NAME?</v>
      </c>
      <c r="O2648" s="28" t="e">
        <f ca="1">[1]!BexGetData("DP_1","003N8EMH8GTFRIVOG7KG9J3KE","GSON1236262201")</f>
        <v>#NAME?</v>
      </c>
      <c r="P2648" s="23" t="e">
        <f ca="1">[1]!BexGetData("DP_1","003N8EMH8GTFRIVOG7KG9J9VY","GSON1236262201")</f>
        <v>#NAME?</v>
      </c>
      <c r="Q2648" s="23" t="e">
        <f ca="1">[1]!BexGetData("DP_1","00O2TNJGODT0G5Z4TTKYMM5MT","GSON1236262201")</f>
        <v>#NAME?</v>
      </c>
      <c r="R2648" s="23" t="e">
        <f ca="1">[1]!BexGetData("DP_1","00O2TNJGODT0G5Z4TTKYMMBYD","GSON1236262201")</f>
        <v>#NAME?</v>
      </c>
      <c r="S2648" s="23" t="e">
        <f ca="1">[1]!BexGetData("DP_1","00O2TNJGODT0G5Z4TTKYMMI9X","GSON1236262201")</f>
        <v>#NAME?</v>
      </c>
      <c r="T2648" s="28" t="e">
        <f ca="1">[1]!BexGetData("DP_1","00O2TNJGODT0G5Z4TTKYMMOLH","GSON1236262201")</f>
        <v>#NAME?</v>
      </c>
      <c r="U2648" s="23" t="e">
        <f ca="1">[1]!BexGetData("DP_1","00O2TNJGODT0G5Z4TTKYMMUX1","GSON1236262201")</f>
        <v>#NAME?</v>
      </c>
      <c r="V2648" s="28" t="e">
        <f ca="1">[1]!BexGetData("DP_1","00O2TNJGODT0G5Z4TTKYMN18L","GSON1236262201")</f>
        <v>#NAME?</v>
      </c>
      <c r="W2648" s="23" t="e">
        <f ca="1">[1]!BexGetData("DP_1","00O2TNJGODT0G5Z4TTKYMN7K5","GSON1236262201")</f>
        <v>#NAME?</v>
      </c>
    </row>
    <row r="2649" spans="1:23" x14ac:dyDescent="0.2">
      <c r="A2649" s="36" t="s">
        <v>6057</v>
      </c>
      <c r="B2649" s="27" t="s">
        <v>6058</v>
      </c>
      <c r="C2649" s="23" t="e">
        <f ca="1">[1]!BexGetData("DP_1","003N8EMH8GTFRCSWKMPXRR8GU","GSON1236262202")</f>
        <v>#NAME?</v>
      </c>
      <c r="D2649" s="28" t="e">
        <f ca="1">[1]!BexGetData("DP_1","003N8EMH8GTFRCSWKMPXRRESE","GSON1236262202")</f>
        <v>#NAME?</v>
      </c>
      <c r="E2649" s="23" t="e">
        <f ca="1">[1]!BexGetData("DP_1","003N8EMH8GTFRCSWKMPXRRL3Y","GSON1236262202")</f>
        <v>#NAME?</v>
      </c>
      <c r="F2649" s="23" t="e">
        <f ca="1">[1]!BexGetData("DP_1","003N8EMH8GTFRCSWKMPXRRRFI","GSON1236262202")</f>
        <v>#NAME?</v>
      </c>
      <c r="G2649" s="23" t="e">
        <f ca="1">[1]!BexGetData("DP_1","003N8EMH8GTFRCSWKMPXRRXR2","GSON1236262202")</f>
        <v>#NAME?</v>
      </c>
      <c r="H2649" s="23" t="e">
        <f ca="1">[1]!BexGetData("DP_1","003N8EMH8GTFRCSWKMPXRS42M","GSON1236262202")</f>
        <v>#NAME?</v>
      </c>
      <c r="I2649" s="23" t="e">
        <f ca="1">[1]!BexGetData("DP_1","003N8EMH8GTFRCSWKMPXRSAE6","GSON1236262202")</f>
        <v>#NAME?</v>
      </c>
      <c r="J2649" s="23" t="e">
        <f ca="1">[1]!BexGetData("DP_1","003N8EMH8GTFRCSWKMPXRSGPQ","GSON1236262202")</f>
        <v>#NAME?</v>
      </c>
      <c r="K2649" s="23" t="e">
        <f ca="1">[1]!BexGetData("DP_1","003N8EMH8GTFRIVNUPY288VJH","GSON1236262202")</f>
        <v>#NAME?</v>
      </c>
      <c r="L2649" s="23" t="e">
        <f ca="1">[1]!BexGetData("DP_1","003N8EMH8GTFRIVNUPY2891V1","GSON1236262202")</f>
        <v>#NAME?</v>
      </c>
      <c r="M2649" s="28" t="e">
        <f ca="1">[1]!BexGetData("DP_1","003N8EMH8GTFRIVOG7KG9IQXA","GSON1236262202")</f>
        <v>#NAME?</v>
      </c>
      <c r="N2649" s="23" t="e">
        <f ca="1">[1]!BexGetData("DP_1","003N8EMH8GTFRIVOG7KG9IX8U","GSON1236262202")</f>
        <v>#NAME?</v>
      </c>
      <c r="O2649" s="28" t="e">
        <f ca="1">[1]!BexGetData("DP_1","003N8EMH8GTFRIVOG7KG9J3KE","GSON1236262202")</f>
        <v>#NAME?</v>
      </c>
      <c r="P2649" s="23" t="e">
        <f ca="1">[1]!BexGetData("DP_1","003N8EMH8GTFRIVOG7KG9J9VY","GSON1236262202")</f>
        <v>#NAME?</v>
      </c>
      <c r="Q2649" s="23" t="e">
        <f ca="1">[1]!BexGetData("DP_1","00O2TNJGODT0G5Z4TTKYMM5MT","GSON1236262202")</f>
        <v>#NAME?</v>
      </c>
      <c r="R2649" s="23" t="e">
        <f ca="1">[1]!BexGetData("DP_1","00O2TNJGODT0G5Z4TTKYMMBYD","GSON1236262202")</f>
        <v>#NAME?</v>
      </c>
      <c r="S2649" s="23" t="e">
        <f ca="1">[1]!BexGetData("DP_1","00O2TNJGODT0G5Z4TTKYMMI9X","GSON1236262202")</f>
        <v>#NAME?</v>
      </c>
      <c r="T2649" s="28" t="e">
        <f ca="1">[1]!BexGetData("DP_1","00O2TNJGODT0G5Z4TTKYMMOLH","GSON1236262202")</f>
        <v>#NAME?</v>
      </c>
      <c r="U2649" s="23" t="e">
        <f ca="1">[1]!BexGetData("DP_1","00O2TNJGODT0G5Z4TTKYMMUX1","GSON1236262202")</f>
        <v>#NAME?</v>
      </c>
      <c r="V2649" s="28" t="e">
        <f ca="1">[1]!BexGetData("DP_1","00O2TNJGODT0G5Z4TTKYMN18L","GSON1236262202")</f>
        <v>#NAME?</v>
      </c>
      <c r="W2649" s="23" t="e">
        <f ca="1">[1]!BexGetData("DP_1","00O2TNJGODT0G5Z4TTKYMN7K5","GSON1236262202")</f>
        <v>#NAME?</v>
      </c>
    </row>
    <row r="2650" spans="1:23" x14ac:dyDescent="0.2">
      <c r="A2650" s="36" t="s">
        <v>6059</v>
      </c>
      <c r="B2650" s="27" t="s">
        <v>6060</v>
      </c>
      <c r="C2650" s="23" t="e">
        <f ca="1">[1]!BexGetData("DP_1","003N8EMH8GTFRCSWKMPXRR8GU","GSON1236262203")</f>
        <v>#NAME?</v>
      </c>
      <c r="D2650" s="23" t="e">
        <f ca="1">[1]!BexGetData("DP_1","003N8EMH8GTFRCSWKMPXRRESE","GSON1236262203")</f>
        <v>#NAME?</v>
      </c>
      <c r="E2650" s="23" t="e">
        <f ca="1">[1]!BexGetData("DP_1","003N8EMH8GTFRCSWKMPXRRL3Y","GSON1236262203")</f>
        <v>#NAME?</v>
      </c>
      <c r="F2650" s="23" t="e">
        <f ca="1">[1]!BexGetData("DP_1","003N8EMH8GTFRCSWKMPXRRRFI","GSON1236262203")</f>
        <v>#NAME?</v>
      </c>
      <c r="G2650" s="23" t="e">
        <f ca="1">[1]!BexGetData("DP_1","003N8EMH8GTFRCSWKMPXRRXR2","GSON1236262203")</f>
        <v>#NAME?</v>
      </c>
      <c r="H2650" s="23" t="e">
        <f ca="1">[1]!BexGetData("DP_1","003N8EMH8GTFRCSWKMPXRS42M","GSON1236262203")</f>
        <v>#NAME?</v>
      </c>
      <c r="I2650" s="23" t="e">
        <f ca="1">[1]!BexGetData("DP_1","003N8EMH8GTFRCSWKMPXRSAE6","GSON1236262203")</f>
        <v>#NAME?</v>
      </c>
      <c r="J2650" s="23" t="e">
        <f ca="1">[1]!BexGetData("DP_1","003N8EMH8GTFRCSWKMPXRSGPQ","GSON1236262203")</f>
        <v>#NAME?</v>
      </c>
      <c r="K2650" s="23" t="e">
        <f ca="1">[1]!BexGetData("DP_1","003N8EMH8GTFRIVNUPY288VJH","GSON1236262203")</f>
        <v>#NAME?</v>
      </c>
      <c r="L2650" s="23" t="e">
        <f ca="1">[1]!BexGetData("DP_1","003N8EMH8GTFRIVNUPY2891V1","GSON1236262203")</f>
        <v>#NAME?</v>
      </c>
      <c r="M2650" s="28" t="e">
        <f ca="1">[1]!BexGetData("DP_1","003N8EMH8GTFRIVOG7KG9IQXA","GSON1236262203")</f>
        <v>#NAME?</v>
      </c>
      <c r="N2650" s="23" t="e">
        <f ca="1">[1]!BexGetData("DP_1","003N8EMH8GTFRIVOG7KG9IX8U","GSON1236262203")</f>
        <v>#NAME?</v>
      </c>
      <c r="O2650" s="28" t="e">
        <f ca="1">[1]!BexGetData("DP_1","003N8EMH8GTFRIVOG7KG9J3KE","GSON1236262203")</f>
        <v>#NAME?</v>
      </c>
      <c r="P2650" s="23" t="e">
        <f ca="1">[1]!BexGetData("DP_1","003N8EMH8GTFRIVOG7KG9J9VY","GSON1236262203")</f>
        <v>#NAME?</v>
      </c>
      <c r="Q2650" s="23" t="e">
        <f ca="1">[1]!BexGetData("DP_1","00O2TNJGODT0G5Z4TTKYMM5MT","GSON1236262203")</f>
        <v>#NAME?</v>
      </c>
      <c r="R2650" s="23" t="e">
        <f ca="1">[1]!BexGetData("DP_1","00O2TNJGODT0G5Z4TTKYMMBYD","GSON1236262203")</f>
        <v>#NAME?</v>
      </c>
      <c r="S2650" s="23" t="e">
        <f ca="1">[1]!BexGetData("DP_1","00O2TNJGODT0G5Z4TTKYMMI9X","GSON1236262203")</f>
        <v>#NAME?</v>
      </c>
      <c r="T2650" s="28" t="e">
        <f ca="1">[1]!BexGetData("DP_1","00O2TNJGODT0G5Z4TTKYMMOLH","GSON1236262203")</f>
        <v>#NAME?</v>
      </c>
      <c r="U2650" s="23" t="e">
        <f ca="1">[1]!BexGetData("DP_1","00O2TNJGODT0G5Z4TTKYMMUX1","GSON1236262203")</f>
        <v>#NAME?</v>
      </c>
      <c r="V2650" s="28" t="e">
        <f ca="1">[1]!BexGetData("DP_1","00O2TNJGODT0G5Z4TTKYMN18L","GSON1236262203")</f>
        <v>#NAME?</v>
      </c>
      <c r="W2650" s="23" t="e">
        <f ca="1">[1]!BexGetData("DP_1","00O2TNJGODT0G5Z4TTKYMN7K5","GSON1236262203")</f>
        <v>#NAME?</v>
      </c>
    </row>
    <row r="2651" spans="1:23" x14ac:dyDescent="0.2">
      <c r="A2651" s="36" t="s">
        <v>6061</v>
      </c>
      <c r="B2651" s="27" t="s">
        <v>6062</v>
      </c>
      <c r="C2651" s="23" t="e">
        <f ca="1">[1]!BexGetData("DP_1","003N8EMH8GTFRCSWKMPXRR8GU","GSON1236262207")</f>
        <v>#NAME?</v>
      </c>
      <c r="D2651" s="23" t="e">
        <f ca="1">[1]!BexGetData("DP_1","003N8EMH8GTFRCSWKMPXRRESE","GSON1236262207")</f>
        <v>#NAME?</v>
      </c>
      <c r="E2651" s="23" t="e">
        <f ca="1">[1]!BexGetData("DP_1","003N8EMH8GTFRCSWKMPXRRL3Y","GSON1236262207")</f>
        <v>#NAME?</v>
      </c>
      <c r="F2651" s="23" t="e">
        <f ca="1">[1]!BexGetData("DP_1","003N8EMH8GTFRCSWKMPXRRRFI","GSON1236262207")</f>
        <v>#NAME?</v>
      </c>
      <c r="G2651" s="23" t="e">
        <f ca="1">[1]!BexGetData("DP_1","003N8EMH8GTFRCSWKMPXRRXR2","GSON1236262207")</f>
        <v>#NAME?</v>
      </c>
      <c r="H2651" s="28" t="e">
        <f ca="1">[1]!BexGetData("DP_1","003N8EMH8GTFRCSWKMPXRS42M","GSON1236262207")</f>
        <v>#NAME?</v>
      </c>
      <c r="I2651" s="23" t="e">
        <f ca="1">[1]!BexGetData("DP_1","003N8EMH8GTFRCSWKMPXRSAE6","GSON1236262207")</f>
        <v>#NAME?</v>
      </c>
      <c r="J2651" s="23" t="e">
        <f ca="1">[1]!BexGetData("DP_1","003N8EMH8GTFRCSWKMPXRSGPQ","GSON1236262207")</f>
        <v>#NAME?</v>
      </c>
      <c r="K2651" s="23" t="e">
        <f ca="1">[1]!BexGetData("DP_1","003N8EMH8GTFRIVNUPY288VJH","GSON1236262207")</f>
        <v>#NAME?</v>
      </c>
      <c r="L2651" s="23" t="e">
        <f ca="1">[1]!BexGetData("DP_1","003N8EMH8GTFRIVNUPY2891V1","GSON1236262207")</f>
        <v>#NAME?</v>
      </c>
      <c r="M2651" s="28" t="e">
        <f ca="1">[1]!BexGetData("DP_1","003N8EMH8GTFRIVOG7KG9IQXA","GSON1236262207")</f>
        <v>#NAME?</v>
      </c>
      <c r="N2651" s="23" t="e">
        <f ca="1">[1]!BexGetData("DP_1","003N8EMH8GTFRIVOG7KG9IX8U","GSON1236262207")</f>
        <v>#NAME?</v>
      </c>
      <c r="O2651" s="28" t="e">
        <f ca="1">[1]!BexGetData("DP_1","003N8EMH8GTFRIVOG7KG9J3KE","GSON1236262207")</f>
        <v>#NAME?</v>
      </c>
      <c r="P2651" s="23" t="e">
        <f ca="1">[1]!BexGetData("DP_1","003N8EMH8GTFRIVOG7KG9J9VY","GSON1236262207")</f>
        <v>#NAME?</v>
      </c>
      <c r="Q2651" s="23" t="e">
        <f ca="1">[1]!BexGetData("DP_1","00O2TNJGODT0G5Z4TTKYMM5MT","GSON1236262207")</f>
        <v>#NAME?</v>
      </c>
      <c r="R2651" s="23" t="e">
        <f ca="1">[1]!BexGetData("DP_1","00O2TNJGODT0G5Z4TTKYMMBYD","GSON1236262207")</f>
        <v>#NAME?</v>
      </c>
      <c r="S2651" s="23" t="e">
        <f ca="1">[1]!BexGetData("DP_1","00O2TNJGODT0G5Z4TTKYMMI9X","GSON1236262207")</f>
        <v>#NAME?</v>
      </c>
      <c r="T2651" s="28" t="e">
        <f ca="1">[1]!BexGetData("DP_1","00O2TNJGODT0G5Z4TTKYMMOLH","GSON1236262207")</f>
        <v>#NAME?</v>
      </c>
      <c r="U2651" s="23" t="e">
        <f ca="1">[1]!BexGetData("DP_1","00O2TNJGODT0G5Z4TTKYMMUX1","GSON1236262207")</f>
        <v>#NAME?</v>
      </c>
      <c r="V2651" s="28" t="e">
        <f ca="1">[1]!BexGetData("DP_1","00O2TNJGODT0G5Z4TTKYMN18L","GSON1236262207")</f>
        <v>#NAME?</v>
      </c>
      <c r="W2651" s="23" t="e">
        <f ca="1">[1]!BexGetData("DP_1","00O2TNJGODT0G5Z4TTKYMN7K5","GSON1236262207")</f>
        <v>#NAME?</v>
      </c>
    </row>
    <row r="2652" spans="1:23" x14ac:dyDescent="0.2">
      <c r="A2652" s="36" t="s">
        <v>6063</v>
      </c>
      <c r="B2652" s="27" t="s">
        <v>6064</v>
      </c>
      <c r="C2652" s="23" t="e">
        <f ca="1">[1]!BexGetData("DP_1","003N8EMH8GTFRCSWKMPXRR8GU","GSON1236262210")</f>
        <v>#NAME?</v>
      </c>
      <c r="D2652" s="28" t="e">
        <f ca="1">[1]!BexGetData("DP_1","003N8EMH8GTFRCSWKMPXRRESE","GSON1236262210")</f>
        <v>#NAME?</v>
      </c>
      <c r="E2652" s="23" t="e">
        <f ca="1">[1]!BexGetData("DP_1","003N8EMH8GTFRCSWKMPXRRL3Y","GSON1236262210")</f>
        <v>#NAME?</v>
      </c>
      <c r="F2652" s="24" t="e">
        <f ca="1">[1]!BexGetData("DP_1","003N8EMH8GTFRCSWKMPXRRRFI","GSON1236262210")</f>
        <v>#NAME?</v>
      </c>
      <c r="G2652" s="24" t="e">
        <f ca="1">[1]!BexGetData("DP_1","003N8EMH8GTFRCSWKMPXRRXR2","GSON1236262210")</f>
        <v>#NAME?</v>
      </c>
      <c r="H2652" s="24" t="e">
        <f ca="1">[1]!BexGetData("DP_1","003N8EMH8GTFRCSWKMPXRS42M","GSON1236262210")</f>
        <v>#NAME?</v>
      </c>
      <c r="I2652" s="24" t="e">
        <f ca="1">[1]!BexGetData("DP_1","003N8EMH8GTFRCSWKMPXRSAE6","GSON1236262210")</f>
        <v>#NAME?</v>
      </c>
      <c r="J2652" s="24" t="e">
        <f ca="1">[1]!BexGetData("DP_1","003N8EMH8GTFRCSWKMPXRSGPQ","GSON1236262210")</f>
        <v>#NAME?</v>
      </c>
      <c r="K2652" s="23" t="e">
        <f ca="1">[1]!BexGetData("DP_1","003N8EMH8GTFRIVNUPY288VJH","GSON1236262210")</f>
        <v>#NAME?</v>
      </c>
      <c r="L2652" s="23" t="e">
        <f ca="1">[1]!BexGetData("DP_1","003N8EMH8GTFRIVNUPY2891V1","GSON1236262210")</f>
        <v>#NAME?</v>
      </c>
      <c r="M2652" s="28" t="e">
        <f ca="1">[1]!BexGetData("DP_1","003N8EMH8GTFRIVOG7KG9IQXA","GSON1236262210")</f>
        <v>#NAME?</v>
      </c>
      <c r="N2652" s="23" t="e">
        <f ca="1">[1]!BexGetData("DP_1","003N8EMH8GTFRIVOG7KG9IX8U","GSON1236262210")</f>
        <v>#NAME?</v>
      </c>
      <c r="O2652" s="28" t="e">
        <f ca="1">[1]!BexGetData("DP_1","003N8EMH8GTFRIVOG7KG9J3KE","GSON1236262210")</f>
        <v>#NAME?</v>
      </c>
      <c r="P2652" s="23" t="e">
        <f ca="1">[1]!BexGetData("DP_1","003N8EMH8GTFRIVOG7KG9J9VY","GSON1236262210")</f>
        <v>#NAME?</v>
      </c>
      <c r="Q2652" s="24" t="e">
        <f ca="1">[1]!BexGetData("DP_1","00O2TNJGODT0G5Z4TTKYMM5MT","GSON1236262210")</f>
        <v>#NAME?</v>
      </c>
      <c r="R2652" s="24" t="e">
        <f ca="1">[1]!BexGetData("DP_1","00O2TNJGODT0G5Z4TTKYMMBYD","GSON1236262210")</f>
        <v>#NAME?</v>
      </c>
      <c r="S2652" s="24" t="e">
        <f ca="1">[1]!BexGetData("DP_1","00O2TNJGODT0G5Z4TTKYMMI9X","GSON1236262210")</f>
        <v>#NAME?</v>
      </c>
      <c r="T2652" s="24" t="e">
        <f ca="1">[1]!BexGetData("DP_1","00O2TNJGODT0G5Z4TTKYMMOLH","GSON1236262210")</f>
        <v>#NAME?</v>
      </c>
      <c r="U2652" s="24" t="e">
        <f ca="1">[1]!BexGetData("DP_1","00O2TNJGODT0G5Z4TTKYMMUX1","GSON1236262210")</f>
        <v>#NAME?</v>
      </c>
      <c r="V2652" s="24" t="e">
        <f ca="1">[1]!BexGetData("DP_1","00O2TNJGODT0G5Z4TTKYMN18L","GSON1236262210")</f>
        <v>#NAME?</v>
      </c>
      <c r="W2652" s="24" t="e">
        <f ca="1">[1]!BexGetData("DP_1","00O2TNJGODT0G5Z4TTKYMN7K5","GSON1236262210")</f>
        <v>#NAME?</v>
      </c>
    </row>
    <row r="2653" spans="1:23" x14ac:dyDescent="0.2">
      <c r="A2653" s="36" t="s">
        <v>6065</v>
      </c>
      <c r="B2653" s="27" t="s">
        <v>6066</v>
      </c>
      <c r="C2653" s="28" t="e">
        <f ca="1">[1]!BexGetData("DP_1","003N8EMH8GTFRCSWKMPXRR8GU","GSON1236262211")</f>
        <v>#NAME?</v>
      </c>
      <c r="D2653" s="28" t="e">
        <f ca="1">[1]!BexGetData("DP_1","003N8EMH8GTFRCSWKMPXRRESE","GSON1236262211")</f>
        <v>#NAME?</v>
      </c>
      <c r="E2653" s="23" t="e">
        <f ca="1">[1]!BexGetData("DP_1","003N8EMH8GTFRCSWKMPXRRL3Y","GSON1236262211")</f>
        <v>#NAME?</v>
      </c>
      <c r="F2653" s="23" t="e">
        <f ca="1">[1]!BexGetData("DP_1","003N8EMH8GTFRCSWKMPXRRRFI","GSON1236262211")</f>
        <v>#NAME?</v>
      </c>
      <c r="G2653" s="23" t="e">
        <f ca="1">[1]!BexGetData("DP_1","003N8EMH8GTFRCSWKMPXRRXR2","GSON1236262211")</f>
        <v>#NAME?</v>
      </c>
      <c r="H2653" s="28" t="e">
        <f ca="1">[1]!BexGetData("DP_1","003N8EMH8GTFRCSWKMPXRS42M","GSON1236262211")</f>
        <v>#NAME?</v>
      </c>
      <c r="I2653" s="23" t="e">
        <f ca="1">[1]!BexGetData("DP_1","003N8EMH8GTFRCSWKMPXRSAE6","GSON1236262211")</f>
        <v>#NAME?</v>
      </c>
      <c r="J2653" s="24" t="e">
        <f ca="1">[1]!BexGetData("DP_1","003N8EMH8GTFRCSWKMPXRSGPQ","GSON1236262211")</f>
        <v>#NAME?</v>
      </c>
      <c r="K2653" s="28" t="e">
        <f ca="1">[1]!BexGetData("DP_1","003N8EMH8GTFRIVNUPY288VJH","GSON1236262211")</f>
        <v>#NAME?</v>
      </c>
      <c r="L2653" s="28" t="e">
        <f ca="1">[1]!BexGetData("DP_1","003N8EMH8GTFRIVNUPY2891V1","GSON1236262211")</f>
        <v>#NAME?</v>
      </c>
      <c r="M2653" s="28" t="e">
        <f ca="1">[1]!BexGetData("DP_1","003N8EMH8GTFRIVOG7KG9IQXA","GSON1236262211")</f>
        <v>#NAME?</v>
      </c>
      <c r="N2653" s="28" t="e">
        <f ca="1">[1]!BexGetData("DP_1","003N8EMH8GTFRIVOG7KG9IX8U","GSON1236262211")</f>
        <v>#NAME?</v>
      </c>
      <c r="O2653" s="28" t="e">
        <f ca="1">[1]!BexGetData("DP_1","003N8EMH8GTFRIVOG7KG9J3KE","GSON1236262211")</f>
        <v>#NAME?</v>
      </c>
      <c r="P2653" s="28" t="e">
        <f ca="1">[1]!BexGetData("DP_1","003N8EMH8GTFRIVOG7KG9J9VY","GSON1236262211")</f>
        <v>#NAME?</v>
      </c>
      <c r="Q2653" s="24" t="e">
        <f ca="1">[1]!BexGetData("DP_1","00O2TNJGODT0G5Z4TTKYMM5MT","GSON1236262211")</f>
        <v>#NAME?</v>
      </c>
      <c r="R2653" s="23" t="e">
        <f ca="1">[1]!BexGetData("DP_1","00O2TNJGODT0G5Z4TTKYMMBYD","GSON1236262211")</f>
        <v>#NAME?</v>
      </c>
      <c r="S2653" s="23" t="e">
        <f ca="1">[1]!BexGetData("DP_1","00O2TNJGODT0G5Z4TTKYMMI9X","GSON1236262211")</f>
        <v>#NAME?</v>
      </c>
      <c r="T2653" s="28" t="e">
        <f ca="1">[1]!BexGetData("DP_1","00O2TNJGODT0G5Z4TTKYMMOLH","GSON1236262211")</f>
        <v>#NAME?</v>
      </c>
      <c r="U2653" s="23" t="e">
        <f ca="1">[1]!BexGetData("DP_1","00O2TNJGODT0G5Z4TTKYMMUX1","GSON1236262211")</f>
        <v>#NAME?</v>
      </c>
      <c r="V2653" s="28" t="e">
        <f ca="1">[1]!BexGetData("DP_1","00O2TNJGODT0G5Z4TTKYMN18L","GSON1236262211")</f>
        <v>#NAME?</v>
      </c>
      <c r="W2653" s="23" t="e">
        <f ca="1">[1]!BexGetData("DP_1","00O2TNJGODT0G5Z4TTKYMN7K5","GSON1236262211")</f>
        <v>#NAME?</v>
      </c>
    </row>
    <row r="2654" spans="1:23" x14ac:dyDescent="0.2">
      <c r="A2654" s="36" t="s">
        <v>6067</v>
      </c>
      <c r="B2654" s="27" t="s">
        <v>6068</v>
      </c>
      <c r="C2654" s="28" t="e">
        <f ca="1">[1]!BexGetData("DP_1","003N8EMH8GTFRCSWKMPXRR8GU","GSON1236262212")</f>
        <v>#NAME?</v>
      </c>
      <c r="D2654" s="28" t="e">
        <f ca="1">[1]!BexGetData("DP_1","003N8EMH8GTFRCSWKMPXRRESE","GSON1236262212")</f>
        <v>#NAME?</v>
      </c>
      <c r="E2654" s="23" t="e">
        <f ca="1">[1]!BexGetData("DP_1","003N8EMH8GTFRCSWKMPXRRL3Y","GSON1236262212")</f>
        <v>#NAME?</v>
      </c>
      <c r="F2654" s="23" t="e">
        <f ca="1">[1]!BexGetData("DP_1","003N8EMH8GTFRCSWKMPXRRRFI","GSON1236262212")</f>
        <v>#NAME?</v>
      </c>
      <c r="G2654" s="28" t="e">
        <f ca="1">[1]!BexGetData("DP_1","003N8EMH8GTFRCSWKMPXRRXR2","GSON1236262212")</f>
        <v>#NAME?</v>
      </c>
      <c r="H2654" s="28" t="e">
        <f ca="1">[1]!BexGetData("DP_1","003N8EMH8GTFRCSWKMPXRS42M","GSON1236262212")</f>
        <v>#NAME?</v>
      </c>
      <c r="I2654" s="23" t="e">
        <f ca="1">[1]!BexGetData("DP_1","003N8EMH8GTFRCSWKMPXRSAE6","GSON1236262212")</f>
        <v>#NAME?</v>
      </c>
      <c r="J2654" s="23" t="e">
        <f ca="1">[1]!BexGetData("DP_1","003N8EMH8GTFRCSWKMPXRSGPQ","GSON1236262212")</f>
        <v>#NAME?</v>
      </c>
      <c r="K2654" s="28" t="e">
        <f ca="1">[1]!BexGetData("DP_1","003N8EMH8GTFRIVNUPY288VJH","GSON1236262212")</f>
        <v>#NAME?</v>
      </c>
      <c r="L2654" s="28" t="e">
        <f ca="1">[1]!BexGetData("DP_1","003N8EMH8GTFRIVNUPY2891V1","GSON1236262212")</f>
        <v>#NAME?</v>
      </c>
      <c r="M2654" s="28" t="e">
        <f ca="1">[1]!BexGetData("DP_1","003N8EMH8GTFRIVOG7KG9IQXA","GSON1236262212")</f>
        <v>#NAME?</v>
      </c>
      <c r="N2654" s="28" t="e">
        <f ca="1">[1]!BexGetData("DP_1","003N8EMH8GTFRIVOG7KG9IX8U","GSON1236262212")</f>
        <v>#NAME?</v>
      </c>
      <c r="O2654" s="28" t="e">
        <f ca="1">[1]!BexGetData("DP_1","003N8EMH8GTFRIVOG7KG9J3KE","GSON1236262212")</f>
        <v>#NAME?</v>
      </c>
      <c r="P2654" s="28" t="e">
        <f ca="1">[1]!BexGetData("DP_1","003N8EMH8GTFRIVOG7KG9J9VY","GSON1236262212")</f>
        <v>#NAME?</v>
      </c>
      <c r="Q2654" s="23" t="e">
        <f ca="1">[1]!BexGetData("DP_1","00O2TNJGODT0G5Z4TTKYMM5MT","GSON1236262212")</f>
        <v>#NAME?</v>
      </c>
      <c r="R2654" s="28" t="e">
        <f ca="1">[1]!BexGetData("DP_1","00O2TNJGODT0G5Z4TTKYMMBYD","GSON1236262212")</f>
        <v>#NAME?</v>
      </c>
      <c r="S2654" s="28" t="e">
        <f ca="1">[1]!BexGetData("DP_1","00O2TNJGODT0G5Z4TTKYMMI9X","GSON1236262212")</f>
        <v>#NAME?</v>
      </c>
      <c r="T2654" s="28" t="e">
        <f ca="1">[1]!BexGetData("DP_1","00O2TNJGODT0G5Z4TTKYMMOLH","GSON1236262212")</f>
        <v>#NAME?</v>
      </c>
      <c r="U2654" s="28" t="e">
        <f ca="1">[1]!BexGetData("DP_1","00O2TNJGODT0G5Z4TTKYMMUX1","GSON1236262212")</f>
        <v>#NAME?</v>
      </c>
      <c r="V2654" s="28" t="e">
        <f ca="1">[1]!BexGetData("DP_1","00O2TNJGODT0G5Z4TTKYMN18L","GSON1236262212")</f>
        <v>#NAME?</v>
      </c>
      <c r="W2654" s="28" t="e">
        <f ca="1">[1]!BexGetData("DP_1","00O2TNJGODT0G5Z4TTKYMN7K5","GSON1236262212")</f>
        <v>#NAME?</v>
      </c>
    </row>
    <row r="2655" spans="1:23" x14ac:dyDescent="0.2">
      <c r="A2655" s="36" t="s">
        <v>6069</v>
      </c>
      <c r="B2655" s="27" t="s">
        <v>6070</v>
      </c>
      <c r="C2655" s="28" t="e">
        <f ca="1">[1]!BexGetData("DP_1","003N8EMH8GTFRCSWKMPXRR8GU","GSON1236262213")</f>
        <v>#NAME?</v>
      </c>
      <c r="D2655" s="28" t="e">
        <f ca="1">[1]!BexGetData("DP_1","003N8EMH8GTFRCSWKMPXRRESE","GSON1236262213")</f>
        <v>#NAME?</v>
      </c>
      <c r="E2655" s="23" t="e">
        <f ca="1">[1]!BexGetData("DP_1","003N8EMH8GTFRCSWKMPXRRL3Y","GSON1236262213")</f>
        <v>#NAME?</v>
      </c>
      <c r="F2655" s="23" t="e">
        <f ca="1">[1]!BexGetData("DP_1","003N8EMH8GTFRCSWKMPXRRRFI","GSON1236262213")</f>
        <v>#NAME?</v>
      </c>
      <c r="G2655" s="28" t="e">
        <f ca="1">[1]!BexGetData("DP_1","003N8EMH8GTFRCSWKMPXRRXR2","GSON1236262213")</f>
        <v>#NAME?</v>
      </c>
      <c r="H2655" s="28" t="e">
        <f ca="1">[1]!BexGetData("DP_1","003N8EMH8GTFRCSWKMPXRS42M","GSON1236262213")</f>
        <v>#NAME?</v>
      </c>
      <c r="I2655" s="23" t="e">
        <f ca="1">[1]!BexGetData("DP_1","003N8EMH8GTFRCSWKMPXRSAE6","GSON1236262213")</f>
        <v>#NAME?</v>
      </c>
      <c r="J2655" s="23" t="e">
        <f ca="1">[1]!BexGetData("DP_1","003N8EMH8GTFRCSWKMPXRSGPQ","GSON1236262213")</f>
        <v>#NAME?</v>
      </c>
      <c r="K2655" s="28" t="e">
        <f ca="1">[1]!BexGetData("DP_1","003N8EMH8GTFRIVNUPY288VJH","GSON1236262213")</f>
        <v>#NAME?</v>
      </c>
      <c r="L2655" s="28" t="e">
        <f ca="1">[1]!BexGetData("DP_1","003N8EMH8GTFRIVNUPY2891V1","GSON1236262213")</f>
        <v>#NAME?</v>
      </c>
      <c r="M2655" s="28" t="e">
        <f ca="1">[1]!BexGetData("DP_1","003N8EMH8GTFRIVOG7KG9IQXA","GSON1236262213")</f>
        <v>#NAME?</v>
      </c>
      <c r="N2655" s="28" t="e">
        <f ca="1">[1]!BexGetData("DP_1","003N8EMH8GTFRIVOG7KG9IX8U","GSON1236262213")</f>
        <v>#NAME?</v>
      </c>
      <c r="O2655" s="28" t="e">
        <f ca="1">[1]!BexGetData("DP_1","003N8EMH8GTFRIVOG7KG9J3KE","GSON1236262213")</f>
        <v>#NAME?</v>
      </c>
      <c r="P2655" s="28" t="e">
        <f ca="1">[1]!BexGetData("DP_1","003N8EMH8GTFRIVOG7KG9J9VY","GSON1236262213")</f>
        <v>#NAME?</v>
      </c>
      <c r="Q2655" s="23" t="e">
        <f ca="1">[1]!BexGetData("DP_1","00O2TNJGODT0G5Z4TTKYMM5MT","GSON1236262213")</f>
        <v>#NAME?</v>
      </c>
      <c r="R2655" s="28" t="e">
        <f ca="1">[1]!BexGetData("DP_1","00O2TNJGODT0G5Z4TTKYMMBYD","GSON1236262213")</f>
        <v>#NAME?</v>
      </c>
      <c r="S2655" s="28" t="e">
        <f ca="1">[1]!BexGetData("DP_1","00O2TNJGODT0G5Z4TTKYMMI9X","GSON1236262213")</f>
        <v>#NAME?</v>
      </c>
      <c r="T2655" s="28" t="e">
        <f ca="1">[1]!BexGetData("DP_1","00O2TNJGODT0G5Z4TTKYMMOLH","GSON1236262213")</f>
        <v>#NAME?</v>
      </c>
      <c r="U2655" s="28" t="e">
        <f ca="1">[1]!BexGetData("DP_1","00O2TNJGODT0G5Z4TTKYMMUX1","GSON1236262213")</f>
        <v>#NAME?</v>
      </c>
      <c r="V2655" s="28" t="e">
        <f ca="1">[1]!BexGetData("DP_1","00O2TNJGODT0G5Z4TTKYMN18L","GSON1236262213")</f>
        <v>#NAME?</v>
      </c>
      <c r="W2655" s="28" t="e">
        <f ca="1">[1]!BexGetData("DP_1","00O2TNJGODT0G5Z4TTKYMN7K5","GSON1236262213")</f>
        <v>#NAME?</v>
      </c>
    </row>
    <row r="2656" spans="1:23" x14ac:dyDescent="0.2">
      <c r="A2656" s="36" t="s">
        <v>6071</v>
      </c>
      <c r="B2656" s="27" t="s">
        <v>6072</v>
      </c>
      <c r="C2656" s="28" t="e">
        <f ca="1">[1]!BexGetData("DP_1","003N8EMH8GTFRCSWKMPXRR8GU","GSON1236262214")</f>
        <v>#NAME?</v>
      </c>
      <c r="D2656" s="28" t="e">
        <f ca="1">[1]!BexGetData("DP_1","003N8EMH8GTFRCSWKMPXRRESE","GSON1236262214")</f>
        <v>#NAME?</v>
      </c>
      <c r="E2656" s="23" t="e">
        <f ca="1">[1]!BexGetData("DP_1","003N8EMH8GTFRCSWKMPXRRL3Y","GSON1236262214")</f>
        <v>#NAME?</v>
      </c>
      <c r="F2656" s="23" t="e">
        <f ca="1">[1]!BexGetData("DP_1","003N8EMH8GTFRCSWKMPXRRRFI","GSON1236262214")</f>
        <v>#NAME?</v>
      </c>
      <c r="G2656" s="28" t="e">
        <f ca="1">[1]!BexGetData("DP_1","003N8EMH8GTFRCSWKMPXRRXR2","GSON1236262214")</f>
        <v>#NAME?</v>
      </c>
      <c r="H2656" s="28" t="e">
        <f ca="1">[1]!BexGetData("DP_1","003N8EMH8GTFRCSWKMPXRS42M","GSON1236262214")</f>
        <v>#NAME?</v>
      </c>
      <c r="I2656" s="23" t="e">
        <f ca="1">[1]!BexGetData("DP_1","003N8EMH8GTFRCSWKMPXRSAE6","GSON1236262214")</f>
        <v>#NAME?</v>
      </c>
      <c r="J2656" s="23" t="e">
        <f ca="1">[1]!BexGetData("DP_1","003N8EMH8GTFRCSWKMPXRSGPQ","GSON1236262214")</f>
        <v>#NAME?</v>
      </c>
      <c r="K2656" s="28" t="e">
        <f ca="1">[1]!BexGetData("DP_1","003N8EMH8GTFRIVNUPY288VJH","GSON1236262214")</f>
        <v>#NAME?</v>
      </c>
      <c r="L2656" s="28" t="e">
        <f ca="1">[1]!BexGetData("DP_1","003N8EMH8GTFRIVNUPY2891V1","GSON1236262214")</f>
        <v>#NAME?</v>
      </c>
      <c r="M2656" s="28" t="e">
        <f ca="1">[1]!BexGetData("DP_1","003N8EMH8GTFRIVOG7KG9IQXA","GSON1236262214")</f>
        <v>#NAME?</v>
      </c>
      <c r="N2656" s="28" t="e">
        <f ca="1">[1]!BexGetData("DP_1","003N8EMH8GTFRIVOG7KG9IX8U","GSON1236262214")</f>
        <v>#NAME?</v>
      </c>
      <c r="O2656" s="28" t="e">
        <f ca="1">[1]!BexGetData("DP_1","003N8EMH8GTFRIVOG7KG9J3KE","GSON1236262214")</f>
        <v>#NAME?</v>
      </c>
      <c r="P2656" s="28" t="e">
        <f ca="1">[1]!BexGetData("DP_1","003N8EMH8GTFRIVOG7KG9J9VY","GSON1236262214")</f>
        <v>#NAME?</v>
      </c>
      <c r="Q2656" s="23" t="e">
        <f ca="1">[1]!BexGetData("DP_1","00O2TNJGODT0G5Z4TTKYMM5MT","GSON1236262214")</f>
        <v>#NAME?</v>
      </c>
      <c r="R2656" s="28" t="e">
        <f ca="1">[1]!BexGetData("DP_1","00O2TNJGODT0G5Z4TTKYMMBYD","GSON1236262214")</f>
        <v>#NAME?</v>
      </c>
      <c r="S2656" s="28" t="e">
        <f ca="1">[1]!BexGetData("DP_1","00O2TNJGODT0G5Z4TTKYMMI9X","GSON1236262214")</f>
        <v>#NAME?</v>
      </c>
      <c r="T2656" s="28" t="e">
        <f ca="1">[1]!BexGetData("DP_1","00O2TNJGODT0G5Z4TTKYMMOLH","GSON1236262214")</f>
        <v>#NAME?</v>
      </c>
      <c r="U2656" s="28" t="e">
        <f ca="1">[1]!BexGetData("DP_1","00O2TNJGODT0G5Z4TTKYMMUX1","GSON1236262214")</f>
        <v>#NAME?</v>
      </c>
      <c r="V2656" s="28" t="e">
        <f ca="1">[1]!BexGetData("DP_1","00O2TNJGODT0G5Z4TTKYMN18L","GSON1236262214")</f>
        <v>#NAME?</v>
      </c>
      <c r="W2656" s="28" t="e">
        <f ca="1">[1]!BexGetData("DP_1","00O2TNJGODT0G5Z4TTKYMN7K5","GSON1236262214")</f>
        <v>#NAME?</v>
      </c>
    </row>
    <row r="2657" spans="1:23" x14ac:dyDescent="0.2">
      <c r="A2657" s="36" t="s">
        <v>6073</v>
      </c>
      <c r="B2657" s="27" t="s">
        <v>6074</v>
      </c>
      <c r="C2657" s="28" t="e">
        <f ca="1">[1]!BexGetData("DP_1","003N8EMH8GTFRCSWKMPXRR8GU","GSON1236262215")</f>
        <v>#NAME?</v>
      </c>
      <c r="D2657" s="28" t="e">
        <f ca="1">[1]!BexGetData("DP_1","003N8EMH8GTFRCSWKMPXRRESE","GSON1236262215")</f>
        <v>#NAME?</v>
      </c>
      <c r="E2657" s="23" t="e">
        <f ca="1">[1]!BexGetData("DP_1","003N8EMH8GTFRCSWKMPXRRL3Y","GSON1236262215")</f>
        <v>#NAME?</v>
      </c>
      <c r="F2657" s="23" t="e">
        <f ca="1">[1]!BexGetData("DP_1","003N8EMH8GTFRCSWKMPXRRRFI","GSON1236262215")</f>
        <v>#NAME?</v>
      </c>
      <c r="G2657" s="28" t="e">
        <f ca="1">[1]!BexGetData("DP_1","003N8EMH8GTFRCSWKMPXRRXR2","GSON1236262215")</f>
        <v>#NAME?</v>
      </c>
      <c r="H2657" s="28" t="e">
        <f ca="1">[1]!BexGetData("DP_1","003N8EMH8GTFRCSWKMPXRS42M","GSON1236262215")</f>
        <v>#NAME?</v>
      </c>
      <c r="I2657" s="23" t="e">
        <f ca="1">[1]!BexGetData("DP_1","003N8EMH8GTFRCSWKMPXRSAE6","GSON1236262215")</f>
        <v>#NAME?</v>
      </c>
      <c r="J2657" s="23" t="e">
        <f ca="1">[1]!BexGetData("DP_1","003N8EMH8GTFRCSWKMPXRSGPQ","GSON1236262215")</f>
        <v>#NAME?</v>
      </c>
      <c r="K2657" s="28" t="e">
        <f ca="1">[1]!BexGetData("DP_1","003N8EMH8GTFRIVNUPY288VJH","GSON1236262215")</f>
        <v>#NAME?</v>
      </c>
      <c r="L2657" s="28" t="e">
        <f ca="1">[1]!BexGetData("DP_1","003N8EMH8GTFRIVNUPY2891V1","GSON1236262215")</f>
        <v>#NAME?</v>
      </c>
      <c r="M2657" s="28" t="e">
        <f ca="1">[1]!BexGetData("DP_1","003N8EMH8GTFRIVOG7KG9IQXA","GSON1236262215")</f>
        <v>#NAME?</v>
      </c>
      <c r="N2657" s="28" t="e">
        <f ca="1">[1]!BexGetData("DP_1","003N8EMH8GTFRIVOG7KG9IX8U","GSON1236262215")</f>
        <v>#NAME?</v>
      </c>
      <c r="O2657" s="28" t="e">
        <f ca="1">[1]!BexGetData("DP_1","003N8EMH8GTFRIVOG7KG9J3KE","GSON1236262215")</f>
        <v>#NAME?</v>
      </c>
      <c r="P2657" s="28" t="e">
        <f ca="1">[1]!BexGetData("DP_1","003N8EMH8GTFRIVOG7KG9J9VY","GSON1236262215")</f>
        <v>#NAME?</v>
      </c>
      <c r="Q2657" s="23" t="e">
        <f ca="1">[1]!BexGetData("DP_1","00O2TNJGODT0G5Z4TTKYMM5MT","GSON1236262215")</f>
        <v>#NAME?</v>
      </c>
      <c r="R2657" s="28" t="e">
        <f ca="1">[1]!BexGetData("DP_1","00O2TNJGODT0G5Z4TTKYMMBYD","GSON1236262215")</f>
        <v>#NAME?</v>
      </c>
      <c r="S2657" s="28" t="e">
        <f ca="1">[1]!BexGetData("DP_1","00O2TNJGODT0G5Z4TTKYMMI9X","GSON1236262215")</f>
        <v>#NAME?</v>
      </c>
      <c r="T2657" s="28" t="e">
        <f ca="1">[1]!BexGetData("DP_1","00O2TNJGODT0G5Z4TTKYMMOLH","GSON1236262215")</f>
        <v>#NAME?</v>
      </c>
      <c r="U2657" s="28" t="e">
        <f ca="1">[1]!BexGetData("DP_1","00O2TNJGODT0G5Z4TTKYMMUX1","GSON1236262215")</f>
        <v>#NAME?</v>
      </c>
      <c r="V2657" s="28" t="e">
        <f ca="1">[1]!BexGetData("DP_1","00O2TNJGODT0G5Z4TTKYMN18L","GSON1236262215")</f>
        <v>#NAME?</v>
      </c>
      <c r="W2657" s="28" t="e">
        <f ca="1">[1]!BexGetData("DP_1","00O2TNJGODT0G5Z4TTKYMN7K5","GSON1236262215")</f>
        <v>#NAME?</v>
      </c>
    </row>
    <row r="2658" spans="1:23" x14ac:dyDescent="0.2">
      <c r="A2658" s="36" t="s">
        <v>6075</v>
      </c>
      <c r="B2658" s="27" t="s">
        <v>6076</v>
      </c>
      <c r="C2658" s="28" t="e">
        <f ca="1">[1]!BexGetData("DP_1","003N8EMH8GTFRCSWKMPXRR8GU","GSON1236262217")</f>
        <v>#NAME?</v>
      </c>
      <c r="D2658" s="28" t="e">
        <f ca="1">[1]!BexGetData("DP_1","003N8EMH8GTFRCSWKMPXRRESE","GSON1236262217")</f>
        <v>#NAME?</v>
      </c>
      <c r="E2658" s="23" t="e">
        <f ca="1">[1]!BexGetData("DP_1","003N8EMH8GTFRCSWKMPXRRL3Y","GSON1236262217")</f>
        <v>#NAME?</v>
      </c>
      <c r="F2658" s="23" t="e">
        <f ca="1">[1]!BexGetData("DP_1","003N8EMH8GTFRCSWKMPXRRRFI","GSON1236262217")</f>
        <v>#NAME?</v>
      </c>
      <c r="G2658" s="28" t="e">
        <f ca="1">[1]!BexGetData("DP_1","003N8EMH8GTFRCSWKMPXRRXR2","GSON1236262217")</f>
        <v>#NAME?</v>
      </c>
      <c r="H2658" s="28" t="e">
        <f ca="1">[1]!BexGetData("DP_1","003N8EMH8GTFRCSWKMPXRS42M","GSON1236262217")</f>
        <v>#NAME?</v>
      </c>
      <c r="I2658" s="23" t="e">
        <f ca="1">[1]!BexGetData("DP_1","003N8EMH8GTFRCSWKMPXRSAE6","GSON1236262217")</f>
        <v>#NAME?</v>
      </c>
      <c r="J2658" s="23" t="e">
        <f ca="1">[1]!BexGetData("DP_1","003N8EMH8GTFRCSWKMPXRSGPQ","GSON1236262217")</f>
        <v>#NAME?</v>
      </c>
      <c r="K2658" s="28" t="e">
        <f ca="1">[1]!BexGetData("DP_1","003N8EMH8GTFRIVNUPY288VJH","GSON1236262217")</f>
        <v>#NAME?</v>
      </c>
      <c r="L2658" s="28" t="e">
        <f ca="1">[1]!BexGetData("DP_1","003N8EMH8GTFRIVNUPY2891V1","GSON1236262217")</f>
        <v>#NAME?</v>
      </c>
      <c r="M2658" s="28" t="e">
        <f ca="1">[1]!BexGetData("DP_1","003N8EMH8GTFRIVOG7KG9IQXA","GSON1236262217")</f>
        <v>#NAME?</v>
      </c>
      <c r="N2658" s="28" t="e">
        <f ca="1">[1]!BexGetData("DP_1","003N8EMH8GTFRIVOG7KG9IX8U","GSON1236262217")</f>
        <v>#NAME?</v>
      </c>
      <c r="O2658" s="28" t="e">
        <f ca="1">[1]!BexGetData("DP_1","003N8EMH8GTFRIVOG7KG9J3KE","GSON1236262217")</f>
        <v>#NAME?</v>
      </c>
      <c r="P2658" s="28" t="e">
        <f ca="1">[1]!BexGetData("DP_1","003N8EMH8GTFRIVOG7KG9J9VY","GSON1236262217")</f>
        <v>#NAME?</v>
      </c>
      <c r="Q2658" s="23" t="e">
        <f ca="1">[1]!BexGetData("DP_1","00O2TNJGODT0G5Z4TTKYMM5MT","GSON1236262217")</f>
        <v>#NAME?</v>
      </c>
      <c r="R2658" s="28" t="e">
        <f ca="1">[1]!BexGetData("DP_1","00O2TNJGODT0G5Z4TTKYMMBYD","GSON1236262217")</f>
        <v>#NAME?</v>
      </c>
      <c r="S2658" s="28" t="e">
        <f ca="1">[1]!BexGetData("DP_1","00O2TNJGODT0G5Z4TTKYMMI9X","GSON1236262217")</f>
        <v>#NAME?</v>
      </c>
      <c r="T2658" s="28" t="e">
        <f ca="1">[1]!BexGetData("DP_1","00O2TNJGODT0G5Z4TTKYMMOLH","GSON1236262217")</f>
        <v>#NAME?</v>
      </c>
      <c r="U2658" s="28" t="e">
        <f ca="1">[1]!BexGetData("DP_1","00O2TNJGODT0G5Z4TTKYMMUX1","GSON1236262217")</f>
        <v>#NAME?</v>
      </c>
      <c r="V2658" s="28" t="e">
        <f ca="1">[1]!BexGetData("DP_1","00O2TNJGODT0G5Z4TTKYMN18L","GSON1236262217")</f>
        <v>#NAME?</v>
      </c>
      <c r="W2658" s="28" t="e">
        <f ca="1">[1]!BexGetData("DP_1","00O2TNJGODT0G5Z4TTKYMN7K5","GSON1236262217")</f>
        <v>#NAME?</v>
      </c>
    </row>
    <row r="2659" spans="1:23" x14ac:dyDescent="0.2">
      <c r="A2659" s="36" t="s">
        <v>6077</v>
      </c>
      <c r="B2659" s="27" t="s">
        <v>6078</v>
      </c>
      <c r="C2659" s="28" t="e">
        <f ca="1">[1]!BexGetData("DP_1","003N8EMH8GTFRCSWKMPXRR8GU","GSON1236262218")</f>
        <v>#NAME?</v>
      </c>
      <c r="D2659" s="28" t="e">
        <f ca="1">[1]!BexGetData("DP_1","003N8EMH8GTFRCSWKMPXRRESE","GSON1236262218")</f>
        <v>#NAME?</v>
      </c>
      <c r="E2659" s="23" t="e">
        <f ca="1">[1]!BexGetData("DP_1","003N8EMH8GTFRCSWKMPXRRL3Y","GSON1236262218")</f>
        <v>#NAME?</v>
      </c>
      <c r="F2659" s="23" t="e">
        <f ca="1">[1]!BexGetData("DP_1","003N8EMH8GTFRCSWKMPXRRRFI","GSON1236262218")</f>
        <v>#NAME?</v>
      </c>
      <c r="G2659" s="28" t="e">
        <f ca="1">[1]!BexGetData("DP_1","003N8EMH8GTFRCSWKMPXRRXR2","GSON1236262218")</f>
        <v>#NAME?</v>
      </c>
      <c r="H2659" s="28" t="e">
        <f ca="1">[1]!BexGetData("DP_1","003N8EMH8GTFRCSWKMPXRS42M","GSON1236262218")</f>
        <v>#NAME?</v>
      </c>
      <c r="I2659" s="23" t="e">
        <f ca="1">[1]!BexGetData("DP_1","003N8EMH8GTFRCSWKMPXRSAE6","GSON1236262218")</f>
        <v>#NAME?</v>
      </c>
      <c r="J2659" s="23" t="e">
        <f ca="1">[1]!BexGetData("DP_1","003N8EMH8GTFRCSWKMPXRSGPQ","GSON1236262218")</f>
        <v>#NAME?</v>
      </c>
      <c r="K2659" s="28" t="e">
        <f ca="1">[1]!BexGetData("DP_1","003N8EMH8GTFRIVNUPY288VJH","GSON1236262218")</f>
        <v>#NAME?</v>
      </c>
      <c r="L2659" s="28" t="e">
        <f ca="1">[1]!BexGetData("DP_1","003N8EMH8GTFRIVNUPY2891V1","GSON1236262218")</f>
        <v>#NAME?</v>
      </c>
      <c r="M2659" s="28" t="e">
        <f ca="1">[1]!BexGetData("DP_1","003N8EMH8GTFRIVOG7KG9IQXA","GSON1236262218")</f>
        <v>#NAME?</v>
      </c>
      <c r="N2659" s="28" t="e">
        <f ca="1">[1]!BexGetData("DP_1","003N8EMH8GTFRIVOG7KG9IX8U","GSON1236262218")</f>
        <v>#NAME?</v>
      </c>
      <c r="O2659" s="28" t="e">
        <f ca="1">[1]!BexGetData("DP_1","003N8EMH8GTFRIVOG7KG9J3KE","GSON1236262218")</f>
        <v>#NAME?</v>
      </c>
      <c r="P2659" s="28" t="e">
        <f ca="1">[1]!BexGetData("DP_1","003N8EMH8GTFRIVOG7KG9J9VY","GSON1236262218")</f>
        <v>#NAME?</v>
      </c>
      <c r="Q2659" s="23" t="e">
        <f ca="1">[1]!BexGetData("DP_1","00O2TNJGODT0G5Z4TTKYMM5MT","GSON1236262218")</f>
        <v>#NAME?</v>
      </c>
      <c r="R2659" s="28" t="e">
        <f ca="1">[1]!BexGetData("DP_1","00O2TNJGODT0G5Z4TTKYMMBYD","GSON1236262218")</f>
        <v>#NAME?</v>
      </c>
      <c r="S2659" s="28" t="e">
        <f ca="1">[1]!BexGetData("DP_1","00O2TNJGODT0G5Z4TTKYMMI9X","GSON1236262218")</f>
        <v>#NAME?</v>
      </c>
      <c r="T2659" s="28" t="e">
        <f ca="1">[1]!BexGetData("DP_1","00O2TNJGODT0G5Z4TTKYMMOLH","GSON1236262218")</f>
        <v>#NAME?</v>
      </c>
      <c r="U2659" s="28" t="e">
        <f ca="1">[1]!BexGetData("DP_1","00O2TNJGODT0G5Z4TTKYMMUX1","GSON1236262218")</f>
        <v>#NAME?</v>
      </c>
      <c r="V2659" s="28" t="e">
        <f ca="1">[1]!BexGetData("DP_1","00O2TNJGODT0G5Z4TTKYMN18L","GSON1236262218")</f>
        <v>#NAME?</v>
      </c>
      <c r="W2659" s="28" t="e">
        <f ca="1">[1]!BexGetData("DP_1","00O2TNJGODT0G5Z4TTKYMN7K5","GSON1236262218")</f>
        <v>#NAME?</v>
      </c>
    </row>
    <row r="2660" spans="1:23" x14ac:dyDescent="0.2">
      <c r="A2660" s="36" t="s">
        <v>6079</v>
      </c>
      <c r="B2660" s="27" t="s">
        <v>6080</v>
      </c>
      <c r="C2660" s="23" t="e">
        <f ca="1">[1]!BexGetData("DP_1","003N8EMH8GTFRCSWKMPXRR8GU","GSON1236262219")</f>
        <v>#NAME?</v>
      </c>
      <c r="D2660" s="23" t="e">
        <f ca="1">[1]!BexGetData("DP_1","003N8EMH8GTFRCSWKMPXRRESE","GSON1236262219")</f>
        <v>#NAME?</v>
      </c>
      <c r="E2660" s="23" t="e">
        <f ca="1">[1]!BexGetData("DP_1","003N8EMH8GTFRCSWKMPXRRL3Y","GSON1236262219")</f>
        <v>#NAME?</v>
      </c>
      <c r="F2660" s="23" t="e">
        <f ca="1">[1]!BexGetData("DP_1","003N8EMH8GTFRCSWKMPXRRRFI","GSON1236262219")</f>
        <v>#NAME?</v>
      </c>
      <c r="G2660" s="23" t="e">
        <f ca="1">[1]!BexGetData("DP_1","003N8EMH8GTFRCSWKMPXRRXR2","GSON1236262219")</f>
        <v>#NAME?</v>
      </c>
      <c r="H2660" s="23" t="e">
        <f ca="1">[1]!BexGetData("DP_1","003N8EMH8GTFRCSWKMPXRS42M","GSON1236262219")</f>
        <v>#NAME?</v>
      </c>
      <c r="I2660" s="23" t="e">
        <f ca="1">[1]!BexGetData("DP_1","003N8EMH8GTFRCSWKMPXRSAE6","GSON1236262219")</f>
        <v>#NAME?</v>
      </c>
      <c r="J2660" s="24" t="e">
        <f ca="1">[1]!BexGetData("DP_1","003N8EMH8GTFRCSWKMPXRSGPQ","GSON1236262219")</f>
        <v>#NAME?</v>
      </c>
      <c r="K2660" s="23" t="e">
        <f ca="1">[1]!BexGetData("DP_1","003N8EMH8GTFRIVNUPY288VJH","GSON1236262219")</f>
        <v>#NAME?</v>
      </c>
      <c r="L2660" s="23" t="e">
        <f ca="1">[1]!BexGetData("DP_1","003N8EMH8GTFRIVNUPY2891V1","GSON1236262219")</f>
        <v>#NAME?</v>
      </c>
      <c r="M2660" s="28" t="e">
        <f ca="1">[1]!BexGetData("DP_1","003N8EMH8GTFRIVOG7KG9IQXA","GSON1236262219")</f>
        <v>#NAME?</v>
      </c>
      <c r="N2660" s="23" t="e">
        <f ca="1">[1]!BexGetData("DP_1","003N8EMH8GTFRIVOG7KG9IX8U","GSON1236262219")</f>
        <v>#NAME?</v>
      </c>
      <c r="O2660" s="28" t="e">
        <f ca="1">[1]!BexGetData("DP_1","003N8EMH8GTFRIVOG7KG9J3KE","GSON1236262219")</f>
        <v>#NAME?</v>
      </c>
      <c r="P2660" s="23" t="e">
        <f ca="1">[1]!BexGetData("DP_1","003N8EMH8GTFRIVOG7KG9J9VY","GSON1236262219")</f>
        <v>#NAME?</v>
      </c>
      <c r="Q2660" s="24" t="e">
        <f ca="1">[1]!BexGetData("DP_1","00O2TNJGODT0G5Z4TTKYMM5MT","GSON1236262219")</f>
        <v>#NAME?</v>
      </c>
      <c r="R2660" s="23" t="e">
        <f ca="1">[1]!BexGetData("DP_1","00O2TNJGODT0G5Z4TTKYMMBYD","GSON1236262219")</f>
        <v>#NAME?</v>
      </c>
      <c r="S2660" s="23" t="e">
        <f ca="1">[1]!BexGetData("DP_1","00O2TNJGODT0G5Z4TTKYMMI9X","GSON1236262219")</f>
        <v>#NAME?</v>
      </c>
      <c r="T2660" s="28" t="e">
        <f ca="1">[1]!BexGetData("DP_1","00O2TNJGODT0G5Z4TTKYMMOLH","GSON1236262219")</f>
        <v>#NAME?</v>
      </c>
      <c r="U2660" s="23" t="e">
        <f ca="1">[1]!BexGetData("DP_1","00O2TNJGODT0G5Z4TTKYMMUX1","GSON1236262219")</f>
        <v>#NAME?</v>
      </c>
      <c r="V2660" s="28" t="e">
        <f ca="1">[1]!BexGetData("DP_1","00O2TNJGODT0G5Z4TTKYMN18L","GSON1236262219")</f>
        <v>#NAME?</v>
      </c>
      <c r="W2660" s="23" t="e">
        <f ca="1">[1]!BexGetData("DP_1","00O2TNJGODT0G5Z4TTKYMN7K5","GSON1236262219")</f>
        <v>#NAME?</v>
      </c>
    </row>
    <row r="2661" spans="1:23" x14ac:dyDescent="0.2">
      <c r="A2661" s="36" t="s">
        <v>6081</v>
      </c>
      <c r="B2661" s="27" t="s">
        <v>6082</v>
      </c>
      <c r="C2661" s="23" t="e">
        <f ca="1">[1]!BexGetData("DP_1","003N8EMH8GTFRCSWKMPXRR8GU","GSON1236262220")</f>
        <v>#NAME?</v>
      </c>
      <c r="D2661" s="28" t="e">
        <f ca="1">[1]!BexGetData("DP_1","003N8EMH8GTFRCSWKMPXRRESE","GSON1236262220")</f>
        <v>#NAME?</v>
      </c>
      <c r="E2661" s="23" t="e">
        <f ca="1">[1]!BexGetData("DP_1","003N8EMH8GTFRCSWKMPXRRL3Y","GSON1236262220")</f>
        <v>#NAME?</v>
      </c>
      <c r="F2661" s="23" t="e">
        <f ca="1">[1]!BexGetData("DP_1","003N8EMH8GTFRCSWKMPXRRRFI","GSON1236262220")</f>
        <v>#NAME?</v>
      </c>
      <c r="G2661" s="23" t="e">
        <f ca="1">[1]!BexGetData("DP_1","003N8EMH8GTFRCSWKMPXRRXR2","GSON1236262220")</f>
        <v>#NAME?</v>
      </c>
      <c r="H2661" s="28" t="e">
        <f ca="1">[1]!BexGetData("DP_1","003N8EMH8GTFRCSWKMPXRS42M","GSON1236262220")</f>
        <v>#NAME?</v>
      </c>
      <c r="I2661" s="23" t="e">
        <f ca="1">[1]!BexGetData("DP_1","003N8EMH8GTFRCSWKMPXRSAE6","GSON1236262220")</f>
        <v>#NAME?</v>
      </c>
      <c r="J2661" s="24" t="e">
        <f ca="1">[1]!BexGetData("DP_1","003N8EMH8GTFRCSWKMPXRSGPQ","GSON1236262220")</f>
        <v>#NAME?</v>
      </c>
      <c r="K2661" s="23" t="e">
        <f ca="1">[1]!BexGetData("DP_1","003N8EMH8GTFRIVNUPY288VJH","GSON1236262220")</f>
        <v>#NAME?</v>
      </c>
      <c r="L2661" s="23" t="e">
        <f ca="1">[1]!BexGetData("DP_1","003N8EMH8GTFRIVNUPY2891V1","GSON1236262220")</f>
        <v>#NAME?</v>
      </c>
      <c r="M2661" s="28" t="e">
        <f ca="1">[1]!BexGetData("DP_1","003N8EMH8GTFRIVOG7KG9IQXA","GSON1236262220")</f>
        <v>#NAME?</v>
      </c>
      <c r="N2661" s="23" t="e">
        <f ca="1">[1]!BexGetData("DP_1","003N8EMH8GTFRIVOG7KG9IX8U","GSON1236262220")</f>
        <v>#NAME?</v>
      </c>
      <c r="O2661" s="28" t="e">
        <f ca="1">[1]!BexGetData("DP_1","003N8EMH8GTFRIVOG7KG9J3KE","GSON1236262220")</f>
        <v>#NAME?</v>
      </c>
      <c r="P2661" s="23" t="e">
        <f ca="1">[1]!BexGetData("DP_1","003N8EMH8GTFRIVOG7KG9J9VY","GSON1236262220")</f>
        <v>#NAME?</v>
      </c>
      <c r="Q2661" s="24" t="e">
        <f ca="1">[1]!BexGetData("DP_1","00O2TNJGODT0G5Z4TTKYMM5MT","GSON1236262220")</f>
        <v>#NAME?</v>
      </c>
      <c r="R2661" s="23" t="e">
        <f ca="1">[1]!BexGetData("DP_1","00O2TNJGODT0G5Z4TTKYMMBYD","GSON1236262220")</f>
        <v>#NAME?</v>
      </c>
      <c r="S2661" s="23" t="e">
        <f ca="1">[1]!BexGetData("DP_1","00O2TNJGODT0G5Z4TTKYMMI9X","GSON1236262220")</f>
        <v>#NAME?</v>
      </c>
      <c r="T2661" s="28" t="e">
        <f ca="1">[1]!BexGetData("DP_1","00O2TNJGODT0G5Z4TTKYMMOLH","GSON1236262220")</f>
        <v>#NAME?</v>
      </c>
      <c r="U2661" s="23" t="e">
        <f ca="1">[1]!BexGetData("DP_1","00O2TNJGODT0G5Z4TTKYMMUX1","GSON1236262220")</f>
        <v>#NAME?</v>
      </c>
      <c r="V2661" s="28" t="e">
        <f ca="1">[1]!BexGetData("DP_1","00O2TNJGODT0G5Z4TTKYMN18L","GSON1236262220")</f>
        <v>#NAME?</v>
      </c>
      <c r="W2661" s="23" t="e">
        <f ca="1">[1]!BexGetData("DP_1","00O2TNJGODT0G5Z4TTKYMN7K5","GSON1236262220")</f>
        <v>#NAME?</v>
      </c>
    </row>
    <row r="2662" spans="1:23" x14ac:dyDescent="0.2">
      <c r="A2662" s="36" t="s">
        <v>6083</v>
      </c>
      <c r="B2662" s="27" t="s">
        <v>6084</v>
      </c>
      <c r="C2662" s="23" t="e">
        <f ca="1">[1]!BexGetData("DP_1","003N8EMH8GTFRCSWKMPXRR8GU","GSON1236262221")</f>
        <v>#NAME?</v>
      </c>
      <c r="D2662" s="23" t="e">
        <f ca="1">[1]!BexGetData("DP_1","003N8EMH8GTFRCSWKMPXRRESE","GSON1236262221")</f>
        <v>#NAME?</v>
      </c>
      <c r="E2662" s="23" t="e">
        <f ca="1">[1]!BexGetData("DP_1","003N8EMH8GTFRCSWKMPXRRL3Y","GSON1236262221")</f>
        <v>#NAME?</v>
      </c>
      <c r="F2662" s="23" t="e">
        <f ca="1">[1]!BexGetData("DP_1","003N8EMH8GTFRCSWKMPXRRRFI","GSON1236262221")</f>
        <v>#NAME?</v>
      </c>
      <c r="G2662" s="23" t="e">
        <f ca="1">[1]!BexGetData("DP_1","003N8EMH8GTFRCSWKMPXRRXR2","GSON1236262221")</f>
        <v>#NAME?</v>
      </c>
      <c r="H2662" s="28" t="e">
        <f ca="1">[1]!BexGetData("DP_1","003N8EMH8GTFRCSWKMPXRS42M","GSON1236262221")</f>
        <v>#NAME?</v>
      </c>
      <c r="I2662" s="23" t="e">
        <f ca="1">[1]!BexGetData("DP_1","003N8EMH8GTFRCSWKMPXRSAE6","GSON1236262221")</f>
        <v>#NAME?</v>
      </c>
      <c r="J2662" s="23" t="e">
        <f ca="1">[1]!BexGetData("DP_1","003N8EMH8GTFRCSWKMPXRSGPQ","GSON1236262221")</f>
        <v>#NAME?</v>
      </c>
      <c r="K2662" s="23" t="e">
        <f ca="1">[1]!BexGetData("DP_1","003N8EMH8GTFRIVNUPY288VJH","GSON1236262221")</f>
        <v>#NAME?</v>
      </c>
      <c r="L2662" s="23" t="e">
        <f ca="1">[1]!BexGetData("DP_1","003N8EMH8GTFRIVNUPY2891V1","GSON1236262221")</f>
        <v>#NAME?</v>
      </c>
      <c r="M2662" s="28" t="e">
        <f ca="1">[1]!BexGetData("DP_1","003N8EMH8GTFRIVOG7KG9IQXA","GSON1236262221")</f>
        <v>#NAME?</v>
      </c>
      <c r="N2662" s="23" t="e">
        <f ca="1">[1]!BexGetData("DP_1","003N8EMH8GTFRIVOG7KG9IX8U","GSON1236262221")</f>
        <v>#NAME?</v>
      </c>
      <c r="O2662" s="28" t="e">
        <f ca="1">[1]!BexGetData("DP_1","003N8EMH8GTFRIVOG7KG9J3KE","GSON1236262221")</f>
        <v>#NAME?</v>
      </c>
      <c r="P2662" s="23" t="e">
        <f ca="1">[1]!BexGetData("DP_1","003N8EMH8GTFRIVOG7KG9J9VY","GSON1236262221")</f>
        <v>#NAME?</v>
      </c>
      <c r="Q2662" s="23" t="e">
        <f ca="1">[1]!BexGetData("DP_1","00O2TNJGODT0G5Z4TTKYMM5MT","GSON1236262221")</f>
        <v>#NAME?</v>
      </c>
      <c r="R2662" s="23" t="e">
        <f ca="1">[1]!BexGetData("DP_1","00O2TNJGODT0G5Z4TTKYMMBYD","GSON1236262221")</f>
        <v>#NAME?</v>
      </c>
      <c r="S2662" s="23" t="e">
        <f ca="1">[1]!BexGetData("DP_1","00O2TNJGODT0G5Z4TTKYMMI9X","GSON1236262221")</f>
        <v>#NAME?</v>
      </c>
      <c r="T2662" s="28" t="e">
        <f ca="1">[1]!BexGetData("DP_1","00O2TNJGODT0G5Z4TTKYMMOLH","GSON1236262221")</f>
        <v>#NAME?</v>
      </c>
      <c r="U2662" s="23" t="e">
        <f ca="1">[1]!BexGetData("DP_1","00O2TNJGODT0G5Z4TTKYMMUX1","GSON1236262221")</f>
        <v>#NAME?</v>
      </c>
      <c r="V2662" s="28" t="e">
        <f ca="1">[1]!BexGetData("DP_1","00O2TNJGODT0G5Z4TTKYMN18L","GSON1236262221")</f>
        <v>#NAME?</v>
      </c>
      <c r="W2662" s="23" t="e">
        <f ca="1">[1]!BexGetData("DP_1","00O2TNJGODT0G5Z4TTKYMN7K5","GSON1236262221")</f>
        <v>#NAME?</v>
      </c>
    </row>
    <row r="2663" spans="1:23" x14ac:dyDescent="0.2">
      <c r="A2663" s="36" t="s">
        <v>1292</v>
      </c>
      <c r="B2663" s="27" t="s">
        <v>1293</v>
      </c>
      <c r="C2663" s="28" t="e">
        <f ca="1">[1]!BexGetData("DP_1","003N8EMH8GTFRCSWKMPXRR8GU","GSON1236562500")</f>
        <v>#NAME?</v>
      </c>
      <c r="D2663" s="28" t="e">
        <f ca="1">[1]!BexGetData("DP_1","003N8EMH8GTFRCSWKMPXRRESE","GSON1236562500")</f>
        <v>#NAME?</v>
      </c>
      <c r="E2663" s="23" t="e">
        <f ca="1">[1]!BexGetData("DP_1","003N8EMH8GTFRCSWKMPXRRL3Y","GSON1236562500")</f>
        <v>#NAME?</v>
      </c>
      <c r="F2663" s="23" t="e">
        <f ca="1">[1]!BexGetData("DP_1","003N8EMH8GTFRCSWKMPXRRRFI","GSON1236562500")</f>
        <v>#NAME?</v>
      </c>
      <c r="G2663" s="28" t="e">
        <f ca="1">[1]!BexGetData("DP_1","003N8EMH8GTFRCSWKMPXRRXR2","GSON1236562500")</f>
        <v>#NAME?</v>
      </c>
      <c r="H2663" s="28" t="e">
        <f ca="1">[1]!BexGetData("DP_1","003N8EMH8GTFRCSWKMPXRS42M","GSON1236562500")</f>
        <v>#NAME?</v>
      </c>
      <c r="I2663" s="23" t="e">
        <f ca="1">[1]!BexGetData("DP_1","003N8EMH8GTFRCSWKMPXRSAE6","GSON1236562500")</f>
        <v>#NAME?</v>
      </c>
      <c r="J2663" s="23" t="e">
        <f ca="1">[1]!BexGetData("DP_1","003N8EMH8GTFRCSWKMPXRSGPQ","GSON1236562500")</f>
        <v>#NAME?</v>
      </c>
      <c r="K2663" s="28" t="e">
        <f ca="1">[1]!BexGetData("DP_1","003N8EMH8GTFRIVNUPY288VJH","GSON1236562500")</f>
        <v>#NAME?</v>
      </c>
      <c r="L2663" s="28" t="e">
        <f ca="1">[1]!BexGetData("DP_1","003N8EMH8GTFRIVNUPY2891V1","GSON1236562500")</f>
        <v>#NAME?</v>
      </c>
      <c r="M2663" s="28" t="e">
        <f ca="1">[1]!BexGetData("DP_1","003N8EMH8GTFRIVOG7KG9IQXA","GSON1236562500")</f>
        <v>#NAME?</v>
      </c>
      <c r="N2663" s="28" t="e">
        <f ca="1">[1]!BexGetData("DP_1","003N8EMH8GTFRIVOG7KG9IX8U","GSON1236562500")</f>
        <v>#NAME?</v>
      </c>
      <c r="O2663" s="28" t="e">
        <f ca="1">[1]!BexGetData("DP_1","003N8EMH8GTFRIVOG7KG9J3KE","GSON1236562500")</f>
        <v>#NAME?</v>
      </c>
      <c r="P2663" s="28" t="e">
        <f ca="1">[1]!BexGetData("DP_1","003N8EMH8GTFRIVOG7KG9J9VY","GSON1236562500")</f>
        <v>#NAME?</v>
      </c>
      <c r="Q2663" s="23" t="e">
        <f ca="1">[1]!BexGetData("DP_1","00O2TNJGODT0G5Z4TTKYMM5MT","GSON1236562500")</f>
        <v>#NAME?</v>
      </c>
      <c r="R2663" s="28" t="e">
        <f ca="1">[1]!BexGetData("DP_1","00O2TNJGODT0G5Z4TTKYMMBYD","GSON1236562500")</f>
        <v>#NAME?</v>
      </c>
      <c r="S2663" s="28" t="e">
        <f ca="1">[1]!BexGetData("DP_1","00O2TNJGODT0G5Z4TTKYMMI9X","GSON1236562500")</f>
        <v>#NAME?</v>
      </c>
      <c r="T2663" s="28" t="e">
        <f ca="1">[1]!BexGetData("DP_1","00O2TNJGODT0G5Z4TTKYMMOLH","GSON1236562500")</f>
        <v>#NAME?</v>
      </c>
      <c r="U2663" s="28" t="e">
        <f ca="1">[1]!BexGetData("DP_1","00O2TNJGODT0G5Z4TTKYMMUX1","GSON1236562500")</f>
        <v>#NAME?</v>
      </c>
      <c r="V2663" s="28" t="e">
        <f ca="1">[1]!BexGetData("DP_1","00O2TNJGODT0G5Z4TTKYMN18L","GSON1236562500")</f>
        <v>#NAME?</v>
      </c>
      <c r="W2663" s="28" t="e">
        <f ca="1">[1]!BexGetData("DP_1","00O2TNJGODT0G5Z4TTKYMN7K5","GSON1236562500")</f>
        <v>#NAME?</v>
      </c>
    </row>
    <row r="2664" spans="1:23" x14ac:dyDescent="0.2">
      <c r="A2664" s="36" t="s">
        <v>1294</v>
      </c>
      <c r="B2664" s="27" t="s">
        <v>336</v>
      </c>
      <c r="C2664" s="23" t="e">
        <f ca="1">[1]!BexGetData("DP_1","003N8EMH8GTFRCSWKMPXRR8GU","GSON1236562501")</f>
        <v>#NAME?</v>
      </c>
      <c r="D2664" s="23" t="e">
        <f ca="1">[1]!BexGetData("DP_1","003N8EMH8GTFRCSWKMPXRRESE","GSON1236562501")</f>
        <v>#NAME?</v>
      </c>
      <c r="E2664" s="23" t="e">
        <f ca="1">[1]!BexGetData("DP_1","003N8EMH8GTFRCSWKMPXRRL3Y","GSON1236562501")</f>
        <v>#NAME?</v>
      </c>
      <c r="F2664" s="23" t="e">
        <f ca="1">[1]!BexGetData("DP_1","003N8EMH8GTFRCSWKMPXRRRFI","GSON1236562501")</f>
        <v>#NAME?</v>
      </c>
      <c r="G2664" s="28" t="e">
        <f ca="1">[1]!BexGetData("DP_1","003N8EMH8GTFRCSWKMPXRRXR2","GSON1236562501")</f>
        <v>#NAME?</v>
      </c>
      <c r="H2664" s="28" t="e">
        <f ca="1">[1]!BexGetData("DP_1","003N8EMH8GTFRCSWKMPXRS42M","GSON1236562501")</f>
        <v>#NAME?</v>
      </c>
      <c r="I2664" s="23" t="e">
        <f ca="1">[1]!BexGetData("DP_1","003N8EMH8GTFRCSWKMPXRSAE6","GSON1236562501")</f>
        <v>#NAME?</v>
      </c>
      <c r="J2664" s="23" t="e">
        <f ca="1">[1]!BexGetData("DP_1","003N8EMH8GTFRCSWKMPXRSGPQ","GSON1236562501")</f>
        <v>#NAME?</v>
      </c>
      <c r="K2664" s="23" t="e">
        <f ca="1">[1]!BexGetData("DP_1","003N8EMH8GTFRIVNUPY288VJH","GSON1236562501")</f>
        <v>#NAME?</v>
      </c>
      <c r="L2664" s="23" t="e">
        <f ca="1">[1]!BexGetData("DP_1","003N8EMH8GTFRIVNUPY2891V1","GSON1236562501")</f>
        <v>#NAME?</v>
      </c>
      <c r="M2664" s="28" t="e">
        <f ca="1">[1]!BexGetData("DP_1","003N8EMH8GTFRIVOG7KG9IQXA","GSON1236562501")</f>
        <v>#NAME?</v>
      </c>
      <c r="N2664" s="23" t="e">
        <f ca="1">[1]!BexGetData("DP_1","003N8EMH8GTFRIVOG7KG9IX8U","GSON1236562501")</f>
        <v>#NAME?</v>
      </c>
      <c r="O2664" s="28" t="e">
        <f ca="1">[1]!BexGetData("DP_1","003N8EMH8GTFRIVOG7KG9J3KE","GSON1236562501")</f>
        <v>#NAME?</v>
      </c>
      <c r="P2664" s="23" t="e">
        <f ca="1">[1]!BexGetData("DP_1","003N8EMH8GTFRIVOG7KG9J9VY","GSON1236562501")</f>
        <v>#NAME?</v>
      </c>
      <c r="Q2664" s="23" t="e">
        <f ca="1">[1]!BexGetData("DP_1","00O2TNJGODT0G5Z4TTKYMM5MT","GSON1236562501")</f>
        <v>#NAME?</v>
      </c>
      <c r="R2664" s="28" t="e">
        <f ca="1">[1]!BexGetData("DP_1","00O2TNJGODT0G5Z4TTKYMMBYD","GSON1236562501")</f>
        <v>#NAME?</v>
      </c>
      <c r="S2664" s="28" t="e">
        <f ca="1">[1]!BexGetData("DP_1","00O2TNJGODT0G5Z4TTKYMMI9X","GSON1236562501")</f>
        <v>#NAME?</v>
      </c>
      <c r="T2664" s="28" t="e">
        <f ca="1">[1]!BexGetData("DP_1","00O2TNJGODT0G5Z4TTKYMMOLH","GSON1236562501")</f>
        <v>#NAME?</v>
      </c>
      <c r="U2664" s="28" t="e">
        <f ca="1">[1]!BexGetData("DP_1","00O2TNJGODT0G5Z4TTKYMMUX1","GSON1236562501")</f>
        <v>#NAME?</v>
      </c>
      <c r="V2664" s="28" t="e">
        <f ca="1">[1]!BexGetData("DP_1","00O2TNJGODT0G5Z4TTKYMN18L","GSON1236562501")</f>
        <v>#NAME?</v>
      </c>
      <c r="W2664" s="28" t="e">
        <f ca="1">[1]!BexGetData("DP_1","00O2TNJGODT0G5Z4TTKYMN7K5","GSON1236562501")</f>
        <v>#NAME?</v>
      </c>
    </row>
    <row r="2665" spans="1:23" x14ac:dyDescent="0.2">
      <c r="A2665" s="36" t="s">
        <v>6085</v>
      </c>
      <c r="B2665" s="27" t="s">
        <v>6086</v>
      </c>
      <c r="C2665" s="28" t="e">
        <f ca="1">[1]!BexGetData("DP_1","003N8EMH8GTFRCSWKMPXRR8GU","GSON1236562502")</f>
        <v>#NAME?</v>
      </c>
      <c r="D2665" s="28" t="e">
        <f ca="1">[1]!BexGetData("DP_1","003N8EMH8GTFRCSWKMPXRRESE","GSON1236562502")</f>
        <v>#NAME?</v>
      </c>
      <c r="E2665" s="23" t="e">
        <f ca="1">[1]!BexGetData("DP_1","003N8EMH8GTFRCSWKMPXRRL3Y","GSON1236562502")</f>
        <v>#NAME?</v>
      </c>
      <c r="F2665" s="23" t="e">
        <f ca="1">[1]!BexGetData("DP_1","003N8EMH8GTFRCSWKMPXRRRFI","GSON1236562502")</f>
        <v>#NAME?</v>
      </c>
      <c r="G2665" s="23" t="e">
        <f ca="1">[1]!BexGetData("DP_1","003N8EMH8GTFRCSWKMPXRRXR2","GSON1236562502")</f>
        <v>#NAME?</v>
      </c>
      <c r="H2665" s="23" t="e">
        <f ca="1">[1]!BexGetData("DP_1","003N8EMH8GTFRCSWKMPXRS42M","GSON1236562502")</f>
        <v>#NAME?</v>
      </c>
      <c r="I2665" s="23" t="e">
        <f ca="1">[1]!BexGetData("DP_1","003N8EMH8GTFRCSWKMPXRSAE6","GSON1236562502")</f>
        <v>#NAME?</v>
      </c>
      <c r="J2665" s="23" t="e">
        <f ca="1">[1]!BexGetData("DP_1","003N8EMH8GTFRCSWKMPXRSGPQ","GSON1236562502")</f>
        <v>#NAME?</v>
      </c>
      <c r="K2665" s="28" t="e">
        <f ca="1">[1]!BexGetData("DP_1","003N8EMH8GTFRIVNUPY288VJH","GSON1236562502")</f>
        <v>#NAME?</v>
      </c>
      <c r="L2665" s="28" t="e">
        <f ca="1">[1]!BexGetData("DP_1","003N8EMH8GTFRIVNUPY2891V1","GSON1236562502")</f>
        <v>#NAME?</v>
      </c>
      <c r="M2665" s="28" t="e">
        <f ca="1">[1]!BexGetData("DP_1","003N8EMH8GTFRIVOG7KG9IQXA","GSON1236562502")</f>
        <v>#NAME?</v>
      </c>
      <c r="N2665" s="28" t="e">
        <f ca="1">[1]!BexGetData("DP_1","003N8EMH8GTFRIVOG7KG9IX8U","GSON1236562502")</f>
        <v>#NAME?</v>
      </c>
      <c r="O2665" s="28" t="e">
        <f ca="1">[1]!BexGetData("DP_1","003N8EMH8GTFRIVOG7KG9J3KE","GSON1236562502")</f>
        <v>#NAME?</v>
      </c>
      <c r="P2665" s="28" t="e">
        <f ca="1">[1]!BexGetData("DP_1","003N8EMH8GTFRIVOG7KG9J9VY","GSON1236562502")</f>
        <v>#NAME?</v>
      </c>
      <c r="Q2665" s="23" t="e">
        <f ca="1">[1]!BexGetData("DP_1","00O2TNJGODT0G5Z4TTKYMM5MT","GSON1236562502")</f>
        <v>#NAME?</v>
      </c>
      <c r="R2665" s="23" t="e">
        <f ca="1">[1]!BexGetData("DP_1","00O2TNJGODT0G5Z4TTKYMMBYD","GSON1236562502")</f>
        <v>#NAME?</v>
      </c>
      <c r="S2665" s="23" t="e">
        <f ca="1">[1]!BexGetData("DP_1","00O2TNJGODT0G5Z4TTKYMMI9X","GSON1236562502")</f>
        <v>#NAME?</v>
      </c>
      <c r="T2665" s="28" t="e">
        <f ca="1">[1]!BexGetData("DP_1","00O2TNJGODT0G5Z4TTKYMMOLH","GSON1236562502")</f>
        <v>#NAME?</v>
      </c>
      <c r="U2665" s="23" t="e">
        <f ca="1">[1]!BexGetData("DP_1","00O2TNJGODT0G5Z4TTKYMMUX1","GSON1236562502")</f>
        <v>#NAME?</v>
      </c>
      <c r="V2665" s="28" t="e">
        <f ca="1">[1]!BexGetData("DP_1","00O2TNJGODT0G5Z4TTKYMN18L","GSON1236562502")</f>
        <v>#NAME?</v>
      </c>
      <c r="W2665" s="23" t="e">
        <f ca="1">[1]!BexGetData("DP_1","00O2TNJGODT0G5Z4TTKYMN7K5","GSON1236562502")</f>
        <v>#NAME?</v>
      </c>
    </row>
    <row r="2666" spans="1:23" x14ac:dyDescent="0.2">
      <c r="A2666" s="36" t="s">
        <v>1291</v>
      </c>
      <c r="B2666" s="27" t="s">
        <v>1295</v>
      </c>
      <c r="C2666" s="28" t="e">
        <f ca="1">[1]!BexGetData("DP_1","003N8EMH8GTFRCSWKMPXRR8GU","GSON1236562503")</f>
        <v>#NAME?</v>
      </c>
      <c r="D2666" s="28" t="e">
        <f ca="1">[1]!BexGetData("DP_1","003N8EMH8GTFRCSWKMPXRRESE","GSON1236562503")</f>
        <v>#NAME?</v>
      </c>
      <c r="E2666" s="23" t="e">
        <f ca="1">[1]!BexGetData("DP_1","003N8EMH8GTFRCSWKMPXRRL3Y","GSON1236562503")</f>
        <v>#NAME?</v>
      </c>
      <c r="F2666" s="23" t="e">
        <f ca="1">[1]!BexGetData("DP_1","003N8EMH8GTFRCSWKMPXRRRFI","GSON1236562503")</f>
        <v>#NAME?</v>
      </c>
      <c r="G2666" s="28" t="e">
        <f ca="1">[1]!BexGetData("DP_1","003N8EMH8GTFRCSWKMPXRRXR2","GSON1236562503")</f>
        <v>#NAME?</v>
      </c>
      <c r="H2666" s="28" t="e">
        <f ca="1">[1]!BexGetData("DP_1","003N8EMH8GTFRCSWKMPXRS42M","GSON1236562503")</f>
        <v>#NAME?</v>
      </c>
      <c r="I2666" s="23" t="e">
        <f ca="1">[1]!BexGetData("DP_1","003N8EMH8GTFRCSWKMPXRSAE6","GSON1236562503")</f>
        <v>#NAME?</v>
      </c>
      <c r="J2666" s="23" t="e">
        <f ca="1">[1]!BexGetData("DP_1","003N8EMH8GTFRCSWKMPXRSGPQ","GSON1236562503")</f>
        <v>#NAME?</v>
      </c>
      <c r="K2666" s="28" t="e">
        <f ca="1">[1]!BexGetData("DP_1","003N8EMH8GTFRIVNUPY288VJH","GSON1236562503")</f>
        <v>#NAME?</v>
      </c>
      <c r="L2666" s="28" t="e">
        <f ca="1">[1]!BexGetData("DP_1","003N8EMH8GTFRIVNUPY2891V1","GSON1236562503")</f>
        <v>#NAME?</v>
      </c>
      <c r="M2666" s="28" t="e">
        <f ca="1">[1]!BexGetData("DP_1","003N8EMH8GTFRIVOG7KG9IQXA","GSON1236562503")</f>
        <v>#NAME?</v>
      </c>
      <c r="N2666" s="28" t="e">
        <f ca="1">[1]!BexGetData("DP_1","003N8EMH8GTFRIVOG7KG9IX8U","GSON1236562503")</f>
        <v>#NAME?</v>
      </c>
      <c r="O2666" s="28" t="e">
        <f ca="1">[1]!BexGetData("DP_1","003N8EMH8GTFRIVOG7KG9J3KE","GSON1236562503")</f>
        <v>#NAME?</v>
      </c>
      <c r="P2666" s="28" t="e">
        <f ca="1">[1]!BexGetData("DP_1","003N8EMH8GTFRIVOG7KG9J9VY","GSON1236562503")</f>
        <v>#NAME?</v>
      </c>
      <c r="Q2666" s="23" t="e">
        <f ca="1">[1]!BexGetData("DP_1","00O2TNJGODT0G5Z4TTKYMM5MT","GSON1236562503")</f>
        <v>#NAME?</v>
      </c>
      <c r="R2666" s="28" t="e">
        <f ca="1">[1]!BexGetData("DP_1","00O2TNJGODT0G5Z4TTKYMMBYD","GSON1236562503")</f>
        <v>#NAME?</v>
      </c>
      <c r="S2666" s="28" t="e">
        <f ca="1">[1]!BexGetData("DP_1","00O2TNJGODT0G5Z4TTKYMMI9X","GSON1236562503")</f>
        <v>#NAME?</v>
      </c>
      <c r="T2666" s="28" t="e">
        <f ca="1">[1]!BexGetData("DP_1","00O2TNJGODT0G5Z4TTKYMMOLH","GSON1236562503")</f>
        <v>#NAME?</v>
      </c>
      <c r="U2666" s="28" t="e">
        <f ca="1">[1]!BexGetData("DP_1","00O2TNJGODT0G5Z4TTKYMMUX1","GSON1236562503")</f>
        <v>#NAME?</v>
      </c>
      <c r="V2666" s="28" t="e">
        <f ca="1">[1]!BexGetData("DP_1","00O2TNJGODT0G5Z4TTKYMN18L","GSON1236562503")</f>
        <v>#NAME?</v>
      </c>
      <c r="W2666" s="28" t="e">
        <f ca="1">[1]!BexGetData("DP_1","00O2TNJGODT0G5Z4TTKYMN7K5","GSON1236562503")</f>
        <v>#NAME?</v>
      </c>
    </row>
    <row r="2667" spans="1:23" x14ac:dyDescent="0.2">
      <c r="A2667" s="36" t="s">
        <v>6087</v>
      </c>
      <c r="B2667" s="27" t="s">
        <v>6088</v>
      </c>
      <c r="C2667" s="28" t="e">
        <f ca="1">[1]!BexGetData("DP_1","003N8EMH8GTFRCSWKMPXRR8GU","GSON1236562504")</f>
        <v>#NAME?</v>
      </c>
      <c r="D2667" s="28" t="e">
        <f ca="1">[1]!BexGetData("DP_1","003N8EMH8GTFRCSWKMPXRRESE","GSON1236562504")</f>
        <v>#NAME?</v>
      </c>
      <c r="E2667" s="23" t="e">
        <f ca="1">[1]!BexGetData("DP_1","003N8EMH8GTFRCSWKMPXRRL3Y","GSON1236562504")</f>
        <v>#NAME?</v>
      </c>
      <c r="F2667" s="23" t="e">
        <f ca="1">[1]!BexGetData("DP_1","003N8EMH8GTFRCSWKMPXRRRFI","GSON1236562504")</f>
        <v>#NAME?</v>
      </c>
      <c r="G2667" s="28" t="e">
        <f ca="1">[1]!BexGetData("DP_1","003N8EMH8GTFRCSWKMPXRRXR2","GSON1236562504")</f>
        <v>#NAME?</v>
      </c>
      <c r="H2667" s="28" t="e">
        <f ca="1">[1]!BexGetData("DP_1","003N8EMH8GTFRCSWKMPXRS42M","GSON1236562504")</f>
        <v>#NAME?</v>
      </c>
      <c r="I2667" s="23" t="e">
        <f ca="1">[1]!BexGetData("DP_1","003N8EMH8GTFRCSWKMPXRSAE6","GSON1236562504")</f>
        <v>#NAME?</v>
      </c>
      <c r="J2667" s="23" t="e">
        <f ca="1">[1]!BexGetData("DP_1","003N8EMH8GTFRCSWKMPXRSGPQ","GSON1236562504")</f>
        <v>#NAME?</v>
      </c>
      <c r="K2667" s="28" t="e">
        <f ca="1">[1]!BexGetData("DP_1","003N8EMH8GTFRIVNUPY288VJH","GSON1236562504")</f>
        <v>#NAME?</v>
      </c>
      <c r="L2667" s="28" t="e">
        <f ca="1">[1]!BexGetData("DP_1","003N8EMH8GTFRIVNUPY2891V1","GSON1236562504")</f>
        <v>#NAME?</v>
      </c>
      <c r="M2667" s="28" t="e">
        <f ca="1">[1]!BexGetData("DP_1","003N8EMH8GTFRIVOG7KG9IQXA","GSON1236562504")</f>
        <v>#NAME?</v>
      </c>
      <c r="N2667" s="28" t="e">
        <f ca="1">[1]!BexGetData("DP_1","003N8EMH8GTFRIVOG7KG9IX8U","GSON1236562504")</f>
        <v>#NAME?</v>
      </c>
      <c r="O2667" s="28" t="e">
        <f ca="1">[1]!BexGetData("DP_1","003N8EMH8GTFRIVOG7KG9J3KE","GSON1236562504")</f>
        <v>#NAME?</v>
      </c>
      <c r="P2667" s="28" t="e">
        <f ca="1">[1]!BexGetData("DP_1","003N8EMH8GTFRIVOG7KG9J9VY","GSON1236562504")</f>
        <v>#NAME?</v>
      </c>
      <c r="Q2667" s="23" t="e">
        <f ca="1">[1]!BexGetData("DP_1","00O2TNJGODT0G5Z4TTKYMM5MT","GSON1236562504")</f>
        <v>#NAME?</v>
      </c>
      <c r="R2667" s="28" t="e">
        <f ca="1">[1]!BexGetData("DP_1","00O2TNJGODT0G5Z4TTKYMMBYD","GSON1236562504")</f>
        <v>#NAME?</v>
      </c>
      <c r="S2667" s="28" t="e">
        <f ca="1">[1]!BexGetData("DP_1","00O2TNJGODT0G5Z4TTKYMMI9X","GSON1236562504")</f>
        <v>#NAME?</v>
      </c>
      <c r="T2667" s="28" t="e">
        <f ca="1">[1]!BexGetData("DP_1","00O2TNJGODT0G5Z4TTKYMMOLH","GSON1236562504")</f>
        <v>#NAME?</v>
      </c>
      <c r="U2667" s="28" t="e">
        <f ca="1">[1]!BexGetData("DP_1","00O2TNJGODT0G5Z4TTKYMMUX1","GSON1236562504")</f>
        <v>#NAME?</v>
      </c>
      <c r="V2667" s="28" t="e">
        <f ca="1">[1]!BexGetData("DP_1","00O2TNJGODT0G5Z4TTKYMN18L","GSON1236562504")</f>
        <v>#NAME?</v>
      </c>
      <c r="W2667" s="28" t="e">
        <f ca="1">[1]!BexGetData("DP_1","00O2TNJGODT0G5Z4TTKYMN7K5","GSON1236562504")</f>
        <v>#NAME?</v>
      </c>
    </row>
    <row r="2668" spans="1:23" x14ac:dyDescent="0.2">
      <c r="A2668" s="36" t="s">
        <v>6061</v>
      </c>
      <c r="B2668" s="27" t="s">
        <v>6089</v>
      </c>
      <c r="C2668" s="23" t="e">
        <f ca="1">[1]!BexGetData("DP_1","003N8EMH8GTFRCSWKMPXRR8GU","GSON1236562505")</f>
        <v>#NAME?</v>
      </c>
      <c r="D2668" s="23" t="e">
        <f ca="1">[1]!BexGetData("DP_1","003N8EMH8GTFRCSWKMPXRRESE","GSON1236562505")</f>
        <v>#NAME?</v>
      </c>
      <c r="E2668" s="23" t="e">
        <f ca="1">[1]!BexGetData("DP_1","003N8EMH8GTFRCSWKMPXRRL3Y","GSON1236562505")</f>
        <v>#NAME?</v>
      </c>
      <c r="F2668" s="23" t="e">
        <f ca="1">[1]!BexGetData("DP_1","003N8EMH8GTFRCSWKMPXRRRFI","GSON1236562505")</f>
        <v>#NAME?</v>
      </c>
      <c r="G2668" s="23" t="e">
        <f ca="1">[1]!BexGetData("DP_1","003N8EMH8GTFRCSWKMPXRRXR2","GSON1236562505")</f>
        <v>#NAME?</v>
      </c>
      <c r="H2668" s="23" t="e">
        <f ca="1">[1]!BexGetData("DP_1","003N8EMH8GTFRCSWKMPXRS42M","GSON1236562505")</f>
        <v>#NAME?</v>
      </c>
      <c r="I2668" s="23" t="e">
        <f ca="1">[1]!BexGetData("DP_1","003N8EMH8GTFRCSWKMPXRSAE6","GSON1236562505")</f>
        <v>#NAME?</v>
      </c>
      <c r="J2668" s="24" t="e">
        <f ca="1">[1]!BexGetData("DP_1","003N8EMH8GTFRCSWKMPXRSGPQ","GSON1236562505")</f>
        <v>#NAME?</v>
      </c>
      <c r="K2668" s="23" t="e">
        <f ca="1">[1]!BexGetData("DP_1","003N8EMH8GTFRIVNUPY288VJH","GSON1236562505")</f>
        <v>#NAME?</v>
      </c>
      <c r="L2668" s="23" t="e">
        <f ca="1">[1]!BexGetData("DP_1","003N8EMH8GTFRIVNUPY2891V1","GSON1236562505")</f>
        <v>#NAME?</v>
      </c>
      <c r="M2668" s="28" t="e">
        <f ca="1">[1]!BexGetData("DP_1","003N8EMH8GTFRIVOG7KG9IQXA","GSON1236562505")</f>
        <v>#NAME?</v>
      </c>
      <c r="N2668" s="23" t="e">
        <f ca="1">[1]!BexGetData("DP_1","003N8EMH8GTFRIVOG7KG9IX8U","GSON1236562505")</f>
        <v>#NAME?</v>
      </c>
      <c r="O2668" s="28" t="e">
        <f ca="1">[1]!BexGetData("DP_1","003N8EMH8GTFRIVOG7KG9J3KE","GSON1236562505")</f>
        <v>#NAME?</v>
      </c>
      <c r="P2668" s="23" t="e">
        <f ca="1">[1]!BexGetData("DP_1","003N8EMH8GTFRIVOG7KG9J9VY","GSON1236562505")</f>
        <v>#NAME?</v>
      </c>
      <c r="Q2668" s="24" t="e">
        <f ca="1">[1]!BexGetData("DP_1","00O2TNJGODT0G5Z4TTKYMM5MT","GSON1236562505")</f>
        <v>#NAME?</v>
      </c>
      <c r="R2668" s="23" t="e">
        <f ca="1">[1]!BexGetData("DP_1","00O2TNJGODT0G5Z4TTKYMMBYD","GSON1236562505")</f>
        <v>#NAME?</v>
      </c>
      <c r="S2668" s="23" t="e">
        <f ca="1">[1]!BexGetData("DP_1","00O2TNJGODT0G5Z4TTKYMMI9X","GSON1236562505")</f>
        <v>#NAME?</v>
      </c>
      <c r="T2668" s="28" t="e">
        <f ca="1">[1]!BexGetData("DP_1","00O2TNJGODT0G5Z4TTKYMMOLH","GSON1236562505")</f>
        <v>#NAME?</v>
      </c>
      <c r="U2668" s="23" t="e">
        <f ca="1">[1]!BexGetData("DP_1","00O2TNJGODT0G5Z4TTKYMMUX1","GSON1236562505")</f>
        <v>#NAME?</v>
      </c>
      <c r="V2668" s="28" t="e">
        <f ca="1">[1]!BexGetData("DP_1","00O2TNJGODT0G5Z4TTKYMN18L","GSON1236562505")</f>
        <v>#NAME?</v>
      </c>
      <c r="W2668" s="23" t="e">
        <f ca="1">[1]!BexGetData("DP_1","00O2TNJGODT0G5Z4TTKYMN7K5","GSON1236562505")</f>
        <v>#NAME?</v>
      </c>
    </row>
    <row r="2669" spans="1:23" x14ac:dyDescent="0.2">
      <c r="A2669" s="36" t="s">
        <v>6090</v>
      </c>
      <c r="B2669" s="27" t="s">
        <v>6091</v>
      </c>
      <c r="C2669" s="28" t="e">
        <f ca="1">[1]!BexGetData("DP_1","003N8EMH8GTFRCSWKMPXRR8GU","GSON1236562512")</f>
        <v>#NAME?</v>
      </c>
      <c r="D2669" s="28" t="e">
        <f ca="1">[1]!BexGetData("DP_1","003N8EMH8GTFRCSWKMPXRRESE","GSON1236562512")</f>
        <v>#NAME?</v>
      </c>
      <c r="E2669" s="23" t="e">
        <f ca="1">[1]!BexGetData("DP_1","003N8EMH8GTFRCSWKMPXRRL3Y","GSON1236562512")</f>
        <v>#NAME?</v>
      </c>
      <c r="F2669" s="23" t="e">
        <f ca="1">[1]!BexGetData("DP_1","003N8EMH8GTFRCSWKMPXRRRFI","GSON1236562512")</f>
        <v>#NAME?</v>
      </c>
      <c r="G2669" s="28" t="e">
        <f ca="1">[1]!BexGetData("DP_1","003N8EMH8GTFRCSWKMPXRRXR2","GSON1236562512")</f>
        <v>#NAME?</v>
      </c>
      <c r="H2669" s="28" t="e">
        <f ca="1">[1]!BexGetData("DP_1","003N8EMH8GTFRCSWKMPXRS42M","GSON1236562512")</f>
        <v>#NAME?</v>
      </c>
      <c r="I2669" s="23" t="e">
        <f ca="1">[1]!BexGetData("DP_1","003N8EMH8GTFRCSWKMPXRSAE6","GSON1236562512")</f>
        <v>#NAME?</v>
      </c>
      <c r="J2669" s="23" t="e">
        <f ca="1">[1]!BexGetData("DP_1","003N8EMH8GTFRCSWKMPXRSGPQ","GSON1236562512")</f>
        <v>#NAME?</v>
      </c>
      <c r="K2669" s="28" t="e">
        <f ca="1">[1]!BexGetData("DP_1","003N8EMH8GTFRIVNUPY288VJH","GSON1236562512")</f>
        <v>#NAME?</v>
      </c>
      <c r="L2669" s="28" t="e">
        <f ca="1">[1]!BexGetData("DP_1","003N8EMH8GTFRIVNUPY2891V1","GSON1236562512")</f>
        <v>#NAME?</v>
      </c>
      <c r="M2669" s="28" t="e">
        <f ca="1">[1]!BexGetData("DP_1","003N8EMH8GTFRIVOG7KG9IQXA","GSON1236562512")</f>
        <v>#NAME?</v>
      </c>
      <c r="N2669" s="28" t="e">
        <f ca="1">[1]!BexGetData("DP_1","003N8EMH8GTFRIVOG7KG9IX8U","GSON1236562512")</f>
        <v>#NAME?</v>
      </c>
      <c r="O2669" s="28" t="e">
        <f ca="1">[1]!BexGetData("DP_1","003N8EMH8GTFRIVOG7KG9J3KE","GSON1236562512")</f>
        <v>#NAME?</v>
      </c>
      <c r="P2669" s="28" t="e">
        <f ca="1">[1]!BexGetData("DP_1","003N8EMH8GTFRIVOG7KG9J9VY","GSON1236562512")</f>
        <v>#NAME?</v>
      </c>
      <c r="Q2669" s="23" t="e">
        <f ca="1">[1]!BexGetData("DP_1","00O2TNJGODT0G5Z4TTKYMM5MT","GSON1236562512")</f>
        <v>#NAME?</v>
      </c>
      <c r="R2669" s="28" t="e">
        <f ca="1">[1]!BexGetData("DP_1","00O2TNJGODT0G5Z4TTKYMMBYD","GSON1236562512")</f>
        <v>#NAME?</v>
      </c>
      <c r="S2669" s="28" t="e">
        <f ca="1">[1]!BexGetData("DP_1","00O2TNJGODT0G5Z4TTKYMMI9X","GSON1236562512")</f>
        <v>#NAME?</v>
      </c>
      <c r="T2669" s="28" t="e">
        <f ca="1">[1]!BexGetData("DP_1","00O2TNJGODT0G5Z4TTKYMMOLH","GSON1236562512")</f>
        <v>#NAME?</v>
      </c>
      <c r="U2669" s="28" t="e">
        <f ca="1">[1]!BexGetData("DP_1","00O2TNJGODT0G5Z4TTKYMMUX1","GSON1236562512")</f>
        <v>#NAME?</v>
      </c>
      <c r="V2669" s="28" t="e">
        <f ca="1">[1]!BexGetData("DP_1","00O2TNJGODT0G5Z4TTKYMN18L","GSON1236562512")</f>
        <v>#NAME?</v>
      </c>
      <c r="W2669" s="28" t="e">
        <f ca="1">[1]!BexGetData("DP_1","00O2TNJGODT0G5Z4TTKYMN7K5","GSON1236562512")</f>
        <v>#NAME?</v>
      </c>
    </row>
    <row r="2670" spans="1:23" x14ac:dyDescent="0.2">
      <c r="A2670" s="36" t="s">
        <v>6090</v>
      </c>
      <c r="B2670" s="27" t="s">
        <v>6092</v>
      </c>
      <c r="C2670" s="23" t="e">
        <f ca="1">[1]!BexGetData("DP_1","003N8EMH8GTFRCSWKMPXRR8GU","GSON1236562513")</f>
        <v>#NAME?</v>
      </c>
      <c r="D2670" s="23" t="e">
        <f ca="1">[1]!BexGetData("DP_1","003N8EMH8GTFRCSWKMPXRRESE","GSON1236562513")</f>
        <v>#NAME?</v>
      </c>
      <c r="E2670" s="23" t="e">
        <f ca="1">[1]!BexGetData("DP_1","003N8EMH8GTFRCSWKMPXRRL3Y","GSON1236562513")</f>
        <v>#NAME?</v>
      </c>
      <c r="F2670" s="24" t="e">
        <f ca="1">[1]!BexGetData("DP_1","003N8EMH8GTFRCSWKMPXRRRFI","GSON1236562513")</f>
        <v>#NAME?</v>
      </c>
      <c r="G2670" s="24" t="e">
        <f ca="1">[1]!BexGetData("DP_1","003N8EMH8GTFRCSWKMPXRRXR2","GSON1236562513")</f>
        <v>#NAME?</v>
      </c>
      <c r="H2670" s="24" t="e">
        <f ca="1">[1]!BexGetData("DP_1","003N8EMH8GTFRCSWKMPXRS42M","GSON1236562513")</f>
        <v>#NAME?</v>
      </c>
      <c r="I2670" s="24" t="e">
        <f ca="1">[1]!BexGetData("DP_1","003N8EMH8GTFRCSWKMPXRSAE6","GSON1236562513")</f>
        <v>#NAME?</v>
      </c>
      <c r="J2670" s="24" t="e">
        <f ca="1">[1]!BexGetData("DP_1","003N8EMH8GTFRCSWKMPXRSGPQ","GSON1236562513")</f>
        <v>#NAME?</v>
      </c>
      <c r="K2670" s="23" t="e">
        <f ca="1">[1]!BexGetData("DP_1","003N8EMH8GTFRIVNUPY288VJH","GSON1236562513")</f>
        <v>#NAME?</v>
      </c>
      <c r="L2670" s="23" t="e">
        <f ca="1">[1]!BexGetData("DP_1","003N8EMH8GTFRIVNUPY2891V1","GSON1236562513")</f>
        <v>#NAME?</v>
      </c>
      <c r="M2670" s="28" t="e">
        <f ca="1">[1]!BexGetData("DP_1","003N8EMH8GTFRIVOG7KG9IQXA","GSON1236562513")</f>
        <v>#NAME?</v>
      </c>
      <c r="N2670" s="23" t="e">
        <f ca="1">[1]!BexGetData("DP_1","003N8EMH8GTFRIVOG7KG9IX8U","GSON1236562513")</f>
        <v>#NAME?</v>
      </c>
      <c r="O2670" s="28" t="e">
        <f ca="1">[1]!BexGetData("DP_1","003N8EMH8GTFRIVOG7KG9J3KE","GSON1236562513")</f>
        <v>#NAME?</v>
      </c>
      <c r="P2670" s="23" t="e">
        <f ca="1">[1]!BexGetData("DP_1","003N8EMH8GTFRIVOG7KG9J9VY","GSON1236562513")</f>
        <v>#NAME?</v>
      </c>
      <c r="Q2670" s="24" t="e">
        <f ca="1">[1]!BexGetData("DP_1","00O2TNJGODT0G5Z4TTKYMM5MT","GSON1236562513")</f>
        <v>#NAME?</v>
      </c>
      <c r="R2670" s="24" t="e">
        <f ca="1">[1]!BexGetData("DP_1","00O2TNJGODT0G5Z4TTKYMMBYD","GSON1236562513")</f>
        <v>#NAME?</v>
      </c>
      <c r="S2670" s="24" t="e">
        <f ca="1">[1]!BexGetData("DP_1","00O2TNJGODT0G5Z4TTKYMMI9X","GSON1236562513")</f>
        <v>#NAME?</v>
      </c>
      <c r="T2670" s="24" t="e">
        <f ca="1">[1]!BexGetData("DP_1","00O2TNJGODT0G5Z4TTKYMMOLH","GSON1236562513")</f>
        <v>#NAME?</v>
      </c>
      <c r="U2670" s="24" t="e">
        <f ca="1">[1]!BexGetData("DP_1","00O2TNJGODT0G5Z4TTKYMMUX1","GSON1236562513")</f>
        <v>#NAME?</v>
      </c>
      <c r="V2670" s="24" t="e">
        <f ca="1">[1]!BexGetData("DP_1","00O2TNJGODT0G5Z4TTKYMN18L","GSON1236562513")</f>
        <v>#NAME?</v>
      </c>
      <c r="W2670" s="24" t="e">
        <f ca="1">[1]!BexGetData("DP_1","00O2TNJGODT0G5Z4TTKYMN7K5","GSON1236562513")</f>
        <v>#NAME?</v>
      </c>
    </row>
    <row r="2671" spans="1:23" x14ac:dyDescent="0.2">
      <c r="A2671" s="36" t="s">
        <v>1296</v>
      </c>
      <c r="B2671" s="27" t="s">
        <v>1297</v>
      </c>
      <c r="C2671" s="24" t="e">
        <f ca="1">[1]!BexGetData("DP_1","003N8EMH8GTFRCSWKMPXRR8GU","GSON1236662600")</f>
        <v>#NAME?</v>
      </c>
      <c r="D2671" s="24" t="e">
        <f ca="1">[1]!BexGetData("DP_1","003N8EMH8GTFRCSWKMPXRRESE","GSON1236662600")</f>
        <v>#NAME?</v>
      </c>
      <c r="E2671" s="24" t="e">
        <f ca="1">[1]!BexGetData("DP_1","003N8EMH8GTFRCSWKMPXRRL3Y","GSON1236662600")</f>
        <v>#NAME?</v>
      </c>
      <c r="F2671" s="28" t="e">
        <f ca="1">[1]!BexGetData("DP_1","003N8EMH8GTFRCSWKMPXRRRFI","GSON1236662600")</f>
        <v>#NAME?</v>
      </c>
      <c r="G2671" s="28" t="e">
        <f ca="1">[1]!BexGetData("DP_1","003N8EMH8GTFRCSWKMPXRRXR2","GSON1236662600")</f>
        <v>#NAME?</v>
      </c>
      <c r="H2671" s="28" t="e">
        <f ca="1">[1]!BexGetData("DP_1","003N8EMH8GTFRCSWKMPXRS42M","GSON1236662600")</f>
        <v>#NAME?</v>
      </c>
      <c r="I2671" s="28" t="e">
        <f ca="1">[1]!BexGetData("DP_1","003N8EMH8GTFRCSWKMPXRSAE6","GSON1236662600")</f>
        <v>#NAME?</v>
      </c>
      <c r="J2671" s="28" t="e">
        <f ca="1">[1]!BexGetData("DP_1","003N8EMH8GTFRCSWKMPXRSGPQ","GSON1236662600")</f>
        <v>#NAME?</v>
      </c>
      <c r="K2671" s="28" t="e">
        <f ca="1">[1]!BexGetData("DP_1","003N8EMH8GTFRIVNUPY288VJH","GSON1236662600")</f>
        <v>#NAME?</v>
      </c>
      <c r="L2671" s="28" t="e">
        <f ca="1">[1]!BexGetData("DP_1","003N8EMH8GTFRIVNUPY2891V1","GSON1236662600")</f>
        <v>#NAME?</v>
      </c>
      <c r="M2671" s="28" t="e">
        <f ca="1">[1]!BexGetData("DP_1","003N8EMH8GTFRIVOG7KG9IQXA","GSON1236662600")</f>
        <v>#NAME?</v>
      </c>
      <c r="N2671" s="28" t="e">
        <f ca="1">[1]!BexGetData("DP_1","003N8EMH8GTFRIVOG7KG9IX8U","GSON1236662600")</f>
        <v>#NAME?</v>
      </c>
      <c r="O2671" s="28" t="e">
        <f ca="1">[1]!BexGetData("DP_1","003N8EMH8GTFRIVOG7KG9J3KE","GSON1236662600")</f>
        <v>#NAME?</v>
      </c>
      <c r="P2671" s="28" t="e">
        <f ca="1">[1]!BexGetData("DP_1","003N8EMH8GTFRIVOG7KG9J9VY","GSON1236662600")</f>
        <v>#NAME?</v>
      </c>
      <c r="Q2671" s="28" t="e">
        <f ca="1">[1]!BexGetData("DP_1","00O2TNJGODT0G5Z4TTKYMM5MT","GSON1236662600")</f>
        <v>#NAME?</v>
      </c>
      <c r="R2671" s="28" t="e">
        <f ca="1">[1]!BexGetData("DP_1","00O2TNJGODT0G5Z4TTKYMMBYD","GSON1236662600")</f>
        <v>#NAME?</v>
      </c>
      <c r="S2671" s="28" t="e">
        <f ca="1">[1]!BexGetData("DP_1","00O2TNJGODT0G5Z4TTKYMMI9X","GSON1236662600")</f>
        <v>#NAME?</v>
      </c>
      <c r="T2671" s="28" t="e">
        <f ca="1">[1]!BexGetData("DP_1","00O2TNJGODT0G5Z4TTKYMMOLH","GSON1236662600")</f>
        <v>#NAME?</v>
      </c>
      <c r="U2671" s="28" t="e">
        <f ca="1">[1]!BexGetData("DP_1","00O2TNJGODT0G5Z4TTKYMMUX1","GSON1236662600")</f>
        <v>#NAME?</v>
      </c>
      <c r="V2671" s="28" t="e">
        <f ca="1">[1]!BexGetData("DP_1","00O2TNJGODT0G5Z4TTKYMN18L","GSON1236662600")</f>
        <v>#NAME?</v>
      </c>
      <c r="W2671" s="28" t="e">
        <f ca="1">[1]!BexGetData("DP_1","00O2TNJGODT0G5Z4TTKYMN7K5","GSON1236662600")</f>
        <v>#NAME?</v>
      </c>
    </row>
    <row r="2672" spans="1:23" x14ac:dyDescent="0.2">
      <c r="A2672" s="36" t="s">
        <v>1298</v>
      </c>
      <c r="B2672" s="27" t="s">
        <v>1299</v>
      </c>
      <c r="C2672" s="24" t="e">
        <f ca="1">[1]!BexGetData("DP_1","003N8EMH8GTFRCSWKMPXRR8GU","GSON1236962900")</f>
        <v>#NAME?</v>
      </c>
      <c r="D2672" s="24" t="e">
        <f ca="1">[1]!BexGetData("DP_1","003N8EMH8GTFRCSWKMPXRRESE","GSON1236962900")</f>
        <v>#NAME?</v>
      </c>
      <c r="E2672" s="24" t="e">
        <f ca="1">[1]!BexGetData("DP_1","003N8EMH8GTFRCSWKMPXRRL3Y","GSON1236962900")</f>
        <v>#NAME?</v>
      </c>
      <c r="F2672" s="28" t="e">
        <f ca="1">[1]!BexGetData("DP_1","003N8EMH8GTFRCSWKMPXRRRFI","GSON1236962900")</f>
        <v>#NAME?</v>
      </c>
      <c r="G2672" s="28" t="e">
        <f ca="1">[1]!BexGetData("DP_1","003N8EMH8GTFRCSWKMPXRRXR2","GSON1236962900")</f>
        <v>#NAME?</v>
      </c>
      <c r="H2672" s="28" t="e">
        <f ca="1">[1]!BexGetData("DP_1","003N8EMH8GTFRCSWKMPXRS42M","GSON1236962900")</f>
        <v>#NAME?</v>
      </c>
      <c r="I2672" s="28" t="e">
        <f ca="1">[1]!BexGetData("DP_1","003N8EMH8GTFRCSWKMPXRSAE6","GSON1236962900")</f>
        <v>#NAME?</v>
      </c>
      <c r="J2672" s="28" t="e">
        <f ca="1">[1]!BexGetData("DP_1","003N8EMH8GTFRCSWKMPXRSGPQ","GSON1236962900")</f>
        <v>#NAME?</v>
      </c>
      <c r="K2672" s="28" t="e">
        <f ca="1">[1]!BexGetData("DP_1","003N8EMH8GTFRIVNUPY288VJH","GSON1236962900")</f>
        <v>#NAME?</v>
      </c>
      <c r="L2672" s="28" t="e">
        <f ca="1">[1]!BexGetData("DP_1","003N8EMH8GTFRIVNUPY2891V1","GSON1236962900")</f>
        <v>#NAME?</v>
      </c>
      <c r="M2672" s="28" t="e">
        <f ca="1">[1]!BexGetData("DP_1","003N8EMH8GTFRIVOG7KG9IQXA","GSON1236962900")</f>
        <v>#NAME?</v>
      </c>
      <c r="N2672" s="28" t="e">
        <f ca="1">[1]!BexGetData("DP_1","003N8EMH8GTFRIVOG7KG9IX8U","GSON1236962900")</f>
        <v>#NAME?</v>
      </c>
      <c r="O2672" s="28" t="e">
        <f ca="1">[1]!BexGetData("DP_1","003N8EMH8GTFRIVOG7KG9J3KE","GSON1236962900")</f>
        <v>#NAME?</v>
      </c>
      <c r="P2672" s="28" t="e">
        <f ca="1">[1]!BexGetData("DP_1","003N8EMH8GTFRIVOG7KG9J9VY","GSON1236962900")</f>
        <v>#NAME?</v>
      </c>
      <c r="Q2672" s="28" t="e">
        <f ca="1">[1]!BexGetData("DP_1","00O2TNJGODT0G5Z4TTKYMM5MT","GSON1236962900")</f>
        <v>#NAME?</v>
      </c>
      <c r="R2672" s="28" t="e">
        <f ca="1">[1]!BexGetData("DP_1","00O2TNJGODT0G5Z4TTKYMMBYD","GSON1236962900")</f>
        <v>#NAME?</v>
      </c>
      <c r="S2672" s="28" t="e">
        <f ca="1">[1]!BexGetData("DP_1","00O2TNJGODT0G5Z4TTKYMMI9X","GSON1236962900")</f>
        <v>#NAME?</v>
      </c>
      <c r="T2672" s="28" t="e">
        <f ca="1">[1]!BexGetData("DP_1","00O2TNJGODT0G5Z4TTKYMMOLH","GSON1236962900")</f>
        <v>#NAME?</v>
      </c>
      <c r="U2672" s="28" t="e">
        <f ca="1">[1]!BexGetData("DP_1","00O2TNJGODT0G5Z4TTKYMMUX1","GSON1236962900")</f>
        <v>#NAME?</v>
      </c>
      <c r="V2672" s="28" t="e">
        <f ca="1">[1]!BexGetData("DP_1","00O2TNJGODT0G5Z4TTKYMN18L","GSON1236962900")</f>
        <v>#NAME?</v>
      </c>
      <c r="W2672" s="28" t="e">
        <f ca="1">[1]!BexGetData("DP_1","00O2TNJGODT0G5Z4TTKYMN7K5","GSON1236962900")</f>
        <v>#NAME?</v>
      </c>
    </row>
    <row r="2673" spans="1:23" x14ac:dyDescent="0.2">
      <c r="A2673" s="35" t="s">
        <v>1300</v>
      </c>
      <c r="B2673" s="27" t="s">
        <v>1301</v>
      </c>
      <c r="C2673" s="28" t="e">
        <f ca="1">[1]!BexGetData("DP_1","003N8EMH8GTFRCSWKMPXRR8GU","GSON1239")</f>
        <v>#NAME?</v>
      </c>
      <c r="D2673" s="28" t="e">
        <f ca="1">[1]!BexGetData("DP_1","003N8EMH8GTFRCSWKMPXRRESE","GSON1239")</f>
        <v>#NAME?</v>
      </c>
      <c r="E2673" s="23" t="e">
        <f ca="1">[1]!BexGetData("DP_1","003N8EMH8GTFRCSWKMPXRRL3Y","GSON1239")</f>
        <v>#NAME?</v>
      </c>
      <c r="F2673" s="23" t="e">
        <f ca="1">[1]!BexGetData("DP_1","003N8EMH8GTFRCSWKMPXRRRFI","GSON1239")</f>
        <v>#NAME?</v>
      </c>
      <c r="G2673" s="28" t="e">
        <f ca="1">[1]!BexGetData("DP_1","003N8EMH8GTFRCSWKMPXRRXR2","GSON1239")</f>
        <v>#NAME?</v>
      </c>
      <c r="H2673" s="28" t="e">
        <f ca="1">[1]!BexGetData("DP_1","003N8EMH8GTFRCSWKMPXRS42M","GSON1239")</f>
        <v>#NAME?</v>
      </c>
      <c r="I2673" s="23" t="e">
        <f ca="1">[1]!BexGetData("DP_1","003N8EMH8GTFRCSWKMPXRSAE6","GSON1239")</f>
        <v>#NAME?</v>
      </c>
      <c r="J2673" s="23" t="e">
        <f ca="1">[1]!BexGetData("DP_1","003N8EMH8GTFRCSWKMPXRSGPQ","GSON1239")</f>
        <v>#NAME?</v>
      </c>
      <c r="K2673" s="28" t="e">
        <f ca="1">[1]!BexGetData("DP_1","003N8EMH8GTFRIVNUPY288VJH","GSON1239")</f>
        <v>#NAME?</v>
      </c>
      <c r="L2673" s="28" t="e">
        <f ca="1">[1]!BexGetData("DP_1","003N8EMH8GTFRIVNUPY2891V1","GSON1239")</f>
        <v>#NAME?</v>
      </c>
      <c r="M2673" s="28" t="e">
        <f ca="1">[1]!BexGetData("DP_1","003N8EMH8GTFRIVOG7KG9IQXA","GSON1239")</f>
        <v>#NAME?</v>
      </c>
      <c r="N2673" s="28" t="e">
        <f ca="1">[1]!BexGetData("DP_1","003N8EMH8GTFRIVOG7KG9IX8U","GSON1239")</f>
        <v>#NAME?</v>
      </c>
      <c r="O2673" s="28" t="e">
        <f ca="1">[1]!BexGetData("DP_1","003N8EMH8GTFRIVOG7KG9J3KE","GSON1239")</f>
        <v>#NAME?</v>
      </c>
      <c r="P2673" s="28" t="e">
        <f ca="1">[1]!BexGetData("DP_1","003N8EMH8GTFRIVOG7KG9J9VY","GSON1239")</f>
        <v>#NAME?</v>
      </c>
      <c r="Q2673" s="23" t="e">
        <f ca="1">[1]!BexGetData("DP_1","00O2TNJGODT0G5Z4TTKYMM5MT","GSON1239")</f>
        <v>#NAME?</v>
      </c>
      <c r="R2673" s="28" t="e">
        <f ca="1">[1]!BexGetData("DP_1","00O2TNJGODT0G5Z4TTKYMMBYD","GSON1239")</f>
        <v>#NAME?</v>
      </c>
      <c r="S2673" s="28" t="e">
        <f ca="1">[1]!BexGetData("DP_1","00O2TNJGODT0G5Z4TTKYMMI9X","GSON1239")</f>
        <v>#NAME?</v>
      </c>
      <c r="T2673" s="28" t="e">
        <f ca="1">[1]!BexGetData("DP_1","00O2TNJGODT0G5Z4TTKYMMOLH","GSON1239")</f>
        <v>#NAME?</v>
      </c>
      <c r="U2673" s="28" t="e">
        <f ca="1">[1]!BexGetData("DP_1","00O2TNJGODT0G5Z4TTKYMMUX1","GSON1239")</f>
        <v>#NAME?</v>
      </c>
      <c r="V2673" s="28" t="e">
        <f ca="1">[1]!BexGetData("DP_1","00O2TNJGODT0G5Z4TTKYMN18L","GSON1239")</f>
        <v>#NAME?</v>
      </c>
      <c r="W2673" s="28" t="e">
        <f ca="1">[1]!BexGetData("DP_1","00O2TNJGODT0G5Z4TTKYMN7K5","GSON1239")</f>
        <v>#NAME?</v>
      </c>
    </row>
    <row r="2674" spans="1:23" x14ac:dyDescent="0.2">
      <c r="A2674" s="36" t="s">
        <v>1302</v>
      </c>
      <c r="B2674" s="27" t="s">
        <v>1303</v>
      </c>
      <c r="C2674" s="28" t="e">
        <f ca="1">[1]!BexGetData("DP_1","003N8EMH8GTFRCSWKMPXRR8GU","GSON1239158900")</f>
        <v>#NAME?</v>
      </c>
      <c r="D2674" s="28" t="e">
        <f ca="1">[1]!BexGetData("DP_1","003N8EMH8GTFRCSWKMPXRRESE","GSON1239158900")</f>
        <v>#NAME?</v>
      </c>
      <c r="E2674" s="23" t="e">
        <f ca="1">[1]!BexGetData("DP_1","003N8EMH8GTFRCSWKMPXRRL3Y","GSON1239158900")</f>
        <v>#NAME?</v>
      </c>
      <c r="F2674" s="23" t="e">
        <f ca="1">[1]!BexGetData("DP_1","003N8EMH8GTFRCSWKMPXRRRFI","GSON1239158900")</f>
        <v>#NAME?</v>
      </c>
      <c r="G2674" s="28" t="e">
        <f ca="1">[1]!BexGetData("DP_1","003N8EMH8GTFRCSWKMPXRRXR2","GSON1239158900")</f>
        <v>#NAME?</v>
      </c>
      <c r="H2674" s="28" t="e">
        <f ca="1">[1]!BexGetData("DP_1","003N8EMH8GTFRCSWKMPXRS42M","GSON1239158900")</f>
        <v>#NAME?</v>
      </c>
      <c r="I2674" s="23" t="e">
        <f ca="1">[1]!BexGetData("DP_1","003N8EMH8GTFRCSWKMPXRSAE6","GSON1239158900")</f>
        <v>#NAME?</v>
      </c>
      <c r="J2674" s="23" t="e">
        <f ca="1">[1]!BexGetData("DP_1","003N8EMH8GTFRCSWKMPXRSGPQ","GSON1239158900")</f>
        <v>#NAME?</v>
      </c>
      <c r="K2674" s="28" t="e">
        <f ca="1">[1]!BexGetData("DP_1","003N8EMH8GTFRIVNUPY288VJH","GSON1239158900")</f>
        <v>#NAME?</v>
      </c>
      <c r="L2674" s="28" t="e">
        <f ca="1">[1]!BexGetData("DP_1","003N8EMH8GTFRIVNUPY2891V1","GSON1239158900")</f>
        <v>#NAME?</v>
      </c>
      <c r="M2674" s="28" t="e">
        <f ca="1">[1]!BexGetData("DP_1","003N8EMH8GTFRIVOG7KG9IQXA","GSON1239158900")</f>
        <v>#NAME?</v>
      </c>
      <c r="N2674" s="28" t="e">
        <f ca="1">[1]!BexGetData("DP_1","003N8EMH8GTFRIVOG7KG9IX8U","GSON1239158900")</f>
        <v>#NAME?</v>
      </c>
      <c r="O2674" s="28" t="e">
        <f ca="1">[1]!BexGetData("DP_1","003N8EMH8GTFRIVOG7KG9J3KE","GSON1239158900")</f>
        <v>#NAME?</v>
      </c>
      <c r="P2674" s="28" t="e">
        <f ca="1">[1]!BexGetData("DP_1","003N8EMH8GTFRIVOG7KG9J9VY","GSON1239158900")</f>
        <v>#NAME?</v>
      </c>
      <c r="Q2674" s="23" t="e">
        <f ca="1">[1]!BexGetData("DP_1","00O2TNJGODT0G5Z4TTKYMM5MT","GSON1239158900")</f>
        <v>#NAME?</v>
      </c>
      <c r="R2674" s="28" t="e">
        <f ca="1">[1]!BexGetData("DP_1","00O2TNJGODT0G5Z4TTKYMMBYD","GSON1239158900")</f>
        <v>#NAME?</v>
      </c>
      <c r="S2674" s="28" t="e">
        <f ca="1">[1]!BexGetData("DP_1","00O2TNJGODT0G5Z4TTKYMMI9X","GSON1239158900")</f>
        <v>#NAME?</v>
      </c>
      <c r="T2674" s="28" t="e">
        <f ca="1">[1]!BexGetData("DP_1","00O2TNJGODT0G5Z4TTKYMMOLH","GSON1239158900")</f>
        <v>#NAME?</v>
      </c>
      <c r="U2674" s="28" t="e">
        <f ca="1">[1]!BexGetData("DP_1","00O2TNJGODT0G5Z4TTKYMMUX1","GSON1239158900")</f>
        <v>#NAME?</v>
      </c>
      <c r="V2674" s="28" t="e">
        <f ca="1">[1]!BexGetData("DP_1","00O2TNJGODT0G5Z4TTKYMN18L","GSON1239158900")</f>
        <v>#NAME?</v>
      </c>
      <c r="W2674" s="28" t="e">
        <f ca="1">[1]!BexGetData("DP_1","00O2TNJGODT0G5Z4TTKYMN7K5","GSON1239158900")</f>
        <v>#NAME?</v>
      </c>
    </row>
    <row r="2675" spans="1:23" x14ac:dyDescent="0.2">
      <c r="A2675" s="34" t="s">
        <v>9</v>
      </c>
      <c r="B2675" s="27" t="s">
        <v>82</v>
      </c>
      <c r="C2675" s="23" t="e">
        <f ca="1">[1]!BexGetData("DP_1","003N8EMH8GTFRCSWKMPXRR8GU","GSON124")</f>
        <v>#NAME?</v>
      </c>
      <c r="D2675" s="23" t="e">
        <f ca="1">[1]!BexGetData("DP_1","003N8EMH8GTFRCSWKMPXRRESE","GSON124")</f>
        <v>#NAME?</v>
      </c>
      <c r="E2675" s="23" t="e">
        <f ca="1">[1]!BexGetData("DP_1","003N8EMH8GTFRCSWKMPXRRL3Y","GSON124")</f>
        <v>#NAME?</v>
      </c>
      <c r="F2675" s="23" t="e">
        <f ca="1">[1]!BexGetData("DP_1","003N8EMH8GTFRCSWKMPXRRRFI","GSON124")</f>
        <v>#NAME?</v>
      </c>
      <c r="G2675" s="23" t="e">
        <f ca="1">[1]!BexGetData("DP_1","003N8EMH8GTFRCSWKMPXRRXR2","GSON124")</f>
        <v>#NAME?</v>
      </c>
      <c r="H2675" s="23" t="e">
        <f ca="1">[1]!BexGetData("DP_1","003N8EMH8GTFRCSWKMPXRS42M","GSON124")</f>
        <v>#NAME?</v>
      </c>
      <c r="I2675" s="23" t="e">
        <f ca="1">[1]!BexGetData("DP_1","003N8EMH8GTFRCSWKMPXRSAE6","GSON124")</f>
        <v>#NAME?</v>
      </c>
      <c r="J2675" s="23" t="e">
        <f ca="1">[1]!BexGetData("DP_1","003N8EMH8GTFRCSWKMPXRSGPQ","GSON124")</f>
        <v>#NAME?</v>
      </c>
      <c r="K2675" s="23" t="e">
        <f ca="1">[1]!BexGetData("DP_1","003N8EMH8GTFRIVNUPY288VJH","GSON124")</f>
        <v>#NAME?</v>
      </c>
      <c r="L2675" s="23" t="e">
        <f ca="1">[1]!BexGetData("DP_1","003N8EMH8GTFRIVNUPY2891V1","GSON124")</f>
        <v>#NAME?</v>
      </c>
      <c r="M2675" s="28" t="e">
        <f ca="1">[1]!BexGetData("DP_1","003N8EMH8GTFRIVOG7KG9IQXA","GSON124")</f>
        <v>#NAME?</v>
      </c>
      <c r="N2675" s="23" t="e">
        <f ca="1">[1]!BexGetData("DP_1","003N8EMH8GTFRIVOG7KG9IX8U","GSON124")</f>
        <v>#NAME?</v>
      </c>
      <c r="O2675" s="28" t="e">
        <f ca="1">[1]!BexGetData("DP_1","003N8EMH8GTFRIVOG7KG9J3KE","GSON124")</f>
        <v>#NAME?</v>
      </c>
      <c r="P2675" s="23" t="e">
        <f ca="1">[1]!BexGetData("DP_1","003N8EMH8GTFRIVOG7KG9J9VY","GSON124")</f>
        <v>#NAME?</v>
      </c>
      <c r="Q2675" s="23" t="e">
        <f ca="1">[1]!BexGetData("DP_1","00O2TNJGODT0G5Z4TTKYMM5MT","GSON124")</f>
        <v>#NAME?</v>
      </c>
      <c r="R2675" s="23" t="e">
        <f ca="1">[1]!BexGetData("DP_1","00O2TNJGODT0G5Z4TTKYMMBYD","GSON124")</f>
        <v>#NAME?</v>
      </c>
      <c r="S2675" s="23" t="e">
        <f ca="1">[1]!BexGetData("DP_1","00O2TNJGODT0G5Z4TTKYMMI9X","GSON124")</f>
        <v>#NAME?</v>
      </c>
      <c r="T2675" s="28" t="e">
        <f ca="1">[1]!BexGetData("DP_1","00O2TNJGODT0G5Z4TTKYMMOLH","GSON124")</f>
        <v>#NAME?</v>
      </c>
      <c r="U2675" s="23" t="e">
        <f ca="1">[1]!BexGetData("DP_1","00O2TNJGODT0G5Z4TTKYMMUX1","GSON124")</f>
        <v>#NAME?</v>
      </c>
      <c r="V2675" s="28" t="e">
        <f ca="1">[1]!BexGetData("DP_1","00O2TNJGODT0G5Z4TTKYMN18L","GSON124")</f>
        <v>#NAME?</v>
      </c>
      <c r="W2675" s="23" t="e">
        <f ca="1">[1]!BexGetData("DP_1","00O2TNJGODT0G5Z4TTKYMN7K5","GSON124")</f>
        <v>#NAME?</v>
      </c>
    </row>
    <row r="2676" spans="1:23" x14ac:dyDescent="0.2">
      <c r="A2676" s="35" t="s">
        <v>83</v>
      </c>
      <c r="B2676" s="27" t="s">
        <v>84</v>
      </c>
      <c r="C2676" s="23" t="e">
        <f ca="1">[1]!BexGetData("DP_1","003N8EMH8GTFRCSWKMPXRR8GU","GSON1241")</f>
        <v>#NAME?</v>
      </c>
      <c r="D2676" s="23" t="e">
        <f ca="1">[1]!BexGetData("DP_1","003N8EMH8GTFRCSWKMPXRRESE","GSON1241")</f>
        <v>#NAME?</v>
      </c>
      <c r="E2676" s="23" t="e">
        <f ca="1">[1]!BexGetData("DP_1","003N8EMH8GTFRCSWKMPXRRL3Y","GSON1241")</f>
        <v>#NAME?</v>
      </c>
      <c r="F2676" s="23" t="e">
        <f ca="1">[1]!BexGetData("DP_1","003N8EMH8GTFRCSWKMPXRRRFI","GSON1241")</f>
        <v>#NAME?</v>
      </c>
      <c r="G2676" s="23" t="e">
        <f ca="1">[1]!BexGetData("DP_1","003N8EMH8GTFRCSWKMPXRRXR2","GSON1241")</f>
        <v>#NAME?</v>
      </c>
      <c r="H2676" s="23" t="e">
        <f ca="1">[1]!BexGetData("DP_1","003N8EMH8GTFRCSWKMPXRS42M","GSON1241")</f>
        <v>#NAME?</v>
      </c>
      <c r="I2676" s="23" t="e">
        <f ca="1">[1]!BexGetData("DP_1","003N8EMH8GTFRCSWKMPXRSAE6","GSON1241")</f>
        <v>#NAME?</v>
      </c>
      <c r="J2676" s="23" t="e">
        <f ca="1">[1]!BexGetData("DP_1","003N8EMH8GTFRCSWKMPXRSGPQ","GSON1241")</f>
        <v>#NAME?</v>
      </c>
      <c r="K2676" s="23" t="e">
        <f ca="1">[1]!BexGetData("DP_1","003N8EMH8GTFRIVNUPY288VJH","GSON1241")</f>
        <v>#NAME?</v>
      </c>
      <c r="L2676" s="23" t="e">
        <f ca="1">[1]!BexGetData("DP_1","003N8EMH8GTFRIVNUPY2891V1","GSON1241")</f>
        <v>#NAME?</v>
      </c>
      <c r="M2676" s="28" t="e">
        <f ca="1">[1]!BexGetData("DP_1","003N8EMH8GTFRIVOG7KG9IQXA","GSON1241")</f>
        <v>#NAME?</v>
      </c>
      <c r="N2676" s="23" t="e">
        <f ca="1">[1]!BexGetData("DP_1","003N8EMH8GTFRIVOG7KG9IX8U","GSON1241")</f>
        <v>#NAME?</v>
      </c>
      <c r="O2676" s="28" t="e">
        <f ca="1">[1]!BexGetData("DP_1","003N8EMH8GTFRIVOG7KG9J3KE","GSON1241")</f>
        <v>#NAME?</v>
      </c>
      <c r="P2676" s="23" t="e">
        <f ca="1">[1]!BexGetData("DP_1","003N8EMH8GTFRIVOG7KG9J9VY","GSON1241")</f>
        <v>#NAME?</v>
      </c>
      <c r="Q2676" s="23" t="e">
        <f ca="1">[1]!BexGetData("DP_1","00O2TNJGODT0G5Z4TTKYMM5MT","GSON1241")</f>
        <v>#NAME?</v>
      </c>
      <c r="R2676" s="23" t="e">
        <f ca="1">[1]!BexGetData("DP_1","00O2TNJGODT0G5Z4TTKYMMBYD","GSON1241")</f>
        <v>#NAME?</v>
      </c>
      <c r="S2676" s="23" t="e">
        <f ca="1">[1]!BexGetData("DP_1","00O2TNJGODT0G5Z4TTKYMMI9X","GSON1241")</f>
        <v>#NAME?</v>
      </c>
      <c r="T2676" s="28" t="e">
        <f ca="1">[1]!BexGetData("DP_1","00O2TNJGODT0G5Z4TTKYMMOLH","GSON1241")</f>
        <v>#NAME?</v>
      </c>
      <c r="U2676" s="23" t="e">
        <f ca="1">[1]!BexGetData("DP_1","00O2TNJGODT0G5Z4TTKYMMUX1","GSON1241")</f>
        <v>#NAME?</v>
      </c>
      <c r="V2676" s="28" t="e">
        <f ca="1">[1]!BexGetData("DP_1","00O2TNJGODT0G5Z4TTKYMN18L","GSON1241")</f>
        <v>#NAME?</v>
      </c>
      <c r="W2676" s="23" t="e">
        <f ca="1">[1]!BexGetData("DP_1","00O2TNJGODT0G5Z4TTKYMN7K5","GSON1241")</f>
        <v>#NAME?</v>
      </c>
    </row>
    <row r="2677" spans="1:23" x14ac:dyDescent="0.2">
      <c r="A2677" s="36" t="s">
        <v>1304</v>
      </c>
      <c r="B2677" s="27" t="s">
        <v>1305</v>
      </c>
      <c r="C2677" s="28" t="e">
        <f ca="1">[1]!BexGetData("DP_1","003N8EMH8GTFRCSWKMPXRR8GU","GSON1241151100")</f>
        <v>#NAME?</v>
      </c>
      <c r="D2677" s="28" t="e">
        <f ca="1">[1]!BexGetData("DP_1","003N8EMH8GTFRCSWKMPXRRESE","GSON1241151100")</f>
        <v>#NAME?</v>
      </c>
      <c r="E2677" s="23" t="e">
        <f ca="1">[1]!BexGetData("DP_1","003N8EMH8GTFRCSWKMPXRRL3Y","GSON1241151100")</f>
        <v>#NAME?</v>
      </c>
      <c r="F2677" s="23" t="e">
        <f ca="1">[1]!BexGetData("DP_1","003N8EMH8GTFRCSWKMPXRRRFI","GSON1241151100")</f>
        <v>#NAME?</v>
      </c>
      <c r="G2677" s="23" t="e">
        <f ca="1">[1]!BexGetData("DP_1","003N8EMH8GTFRCSWKMPXRRXR2","GSON1241151100")</f>
        <v>#NAME?</v>
      </c>
      <c r="H2677" s="23" t="e">
        <f ca="1">[1]!BexGetData("DP_1","003N8EMH8GTFRCSWKMPXRS42M","GSON1241151100")</f>
        <v>#NAME?</v>
      </c>
      <c r="I2677" s="23" t="e">
        <f ca="1">[1]!BexGetData("DP_1","003N8EMH8GTFRCSWKMPXRSAE6","GSON1241151100")</f>
        <v>#NAME?</v>
      </c>
      <c r="J2677" s="23" t="e">
        <f ca="1">[1]!BexGetData("DP_1","003N8EMH8GTFRCSWKMPXRSGPQ","GSON1241151100")</f>
        <v>#NAME?</v>
      </c>
      <c r="K2677" s="28" t="e">
        <f ca="1">[1]!BexGetData("DP_1","003N8EMH8GTFRIVNUPY288VJH","GSON1241151100")</f>
        <v>#NAME?</v>
      </c>
      <c r="L2677" s="28" t="e">
        <f ca="1">[1]!BexGetData("DP_1","003N8EMH8GTFRIVNUPY2891V1","GSON1241151100")</f>
        <v>#NAME?</v>
      </c>
      <c r="M2677" s="28" t="e">
        <f ca="1">[1]!BexGetData("DP_1","003N8EMH8GTFRIVOG7KG9IQXA","GSON1241151100")</f>
        <v>#NAME?</v>
      </c>
      <c r="N2677" s="28" t="e">
        <f ca="1">[1]!BexGetData("DP_1","003N8EMH8GTFRIVOG7KG9IX8U","GSON1241151100")</f>
        <v>#NAME?</v>
      </c>
      <c r="O2677" s="28" t="e">
        <f ca="1">[1]!BexGetData("DP_1","003N8EMH8GTFRIVOG7KG9J3KE","GSON1241151100")</f>
        <v>#NAME?</v>
      </c>
      <c r="P2677" s="28" t="e">
        <f ca="1">[1]!BexGetData("DP_1","003N8EMH8GTFRIVOG7KG9J9VY","GSON1241151100")</f>
        <v>#NAME?</v>
      </c>
      <c r="Q2677" s="23" t="e">
        <f ca="1">[1]!BexGetData("DP_1","00O2TNJGODT0G5Z4TTKYMM5MT","GSON1241151100")</f>
        <v>#NAME?</v>
      </c>
      <c r="R2677" s="23" t="e">
        <f ca="1">[1]!BexGetData("DP_1","00O2TNJGODT0G5Z4TTKYMMBYD","GSON1241151100")</f>
        <v>#NAME?</v>
      </c>
      <c r="S2677" s="23" t="e">
        <f ca="1">[1]!BexGetData("DP_1","00O2TNJGODT0G5Z4TTKYMMI9X","GSON1241151100")</f>
        <v>#NAME?</v>
      </c>
      <c r="T2677" s="23" t="e">
        <f ca="1">[1]!BexGetData("DP_1","00O2TNJGODT0G5Z4TTKYMMOLH","GSON1241151100")</f>
        <v>#NAME?</v>
      </c>
      <c r="U2677" s="28" t="e">
        <f ca="1">[1]!BexGetData("DP_1","00O2TNJGODT0G5Z4TTKYMMUX1","GSON1241151100")</f>
        <v>#NAME?</v>
      </c>
      <c r="V2677" s="23" t="e">
        <f ca="1">[1]!BexGetData("DP_1","00O2TNJGODT0G5Z4TTKYMN18L","GSON1241151100")</f>
        <v>#NAME?</v>
      </c>
      <c r="W2677" s="28" t="e">
        <f ca="1">[1]!BexGetData("DP_1","00O2TNJGODT0G5Z4TTKYMN7K5","GSON1241151100")</f>
        <v>#NAME?</v>
      </c>
    </row>
    <row r="2678" spans="1:23" x14ac:dyDescent="0.2">
      <c r="A2678" s="36" t="s">
        <v>1306</v>
      </c>
      <c r="B2678" s="27" t="s">
        <v>85</v>
      </c>
      <c r="C2678" s="23" t="e">
        <f ca="1">[1]!BexGetData("DP_1","003N8EMH8GTFRCSWKMPXRR8GU","GSON1241151101")</f>
        <v>#NAME?</v>
      </c>
      <c r="D2678" s="23" t="e">
        <f ca="1">[1]!BexGetData("DP_1","003N8EMH8GTFRCSWKMPXRRESE","GSON1241151101")</f>
        <v>#NAME?</v>
      </c>
      <c r="E2678" s="23" t="e">
        <f ca="1">[1]!BexGetData("DP_1","003N8EMH8GTFRCSWKMPXRRL3Y","GSON1241151101")</f>
        <v>#NAME?</v>
      </c>
      <c r="F2678" s="23" t="e">
        <f ca="1">[1]!BexGetData("DP_1","003N8EMH8GTFRCSWKMPXRRRFI","GSON1241151101")</f>
        <v>#NAME?</v>
      </c>
      <c r="G2678" s="23" t="e">
        <f ca="1">[1]!BexGetData("DP_1","003N8EMH8GTFRCSWKMPXRRXR2","GSON1241151101")</f>
        <v>#NAME?</v>
      </c>
      <c r="H2678" s="23" t="e">
        <f ca="1">[1]!BexGetData("DP_1","003N8EMH8GTFRCSWKMPXRS42M","GSON1241151101")</f>
        <v>#NAME?</v>
      </c>
      <c r="I2678" s="23" t="e">
        <f ca="1">[1]!BexGetData("DP_1","003N8EMH8GTFRCSWKMPXRSAE6","GSON1241151101")</f>
        <v>#NAME?</v>
      </c>
      <c r="J2678" s="23" t="e">
        <f ca="1">[1]!BexGetData("DP_1","003N8EMH8GTFRCSWKMPXRSGPQ","GSON1241151101")</f>
        <v>#NAME?</v>
      </c>
      <c r="K2678" s="23" t="e">
        <f ca="1">[1]!BexGetData("DP_1","003N8EMH8GTFRIVNUPY288VJH","GSON1241151101")</f>
        <v>#NAME?</v>
      </c>
      <c r="L2678" s="23" t="e">
        <f ca="1">[1]!BexGetData("DP_1","003N8EMH8GTFRIVNUPY2891V1","GSON1241151101")</f>
        <v>#NAME?</v>
      </c>
      <c r="M2678" s="28" t="e">
        <f ca="1">[1]!BexGetData("DP_1","003N8EMH8GTFRIVOG7KG9IQXA","GSON1241151101")</f>
        <v>#NAME?</v>
      </c>
      <c r="N2678" s="23" t="e">
        <f ca="1">[1]!BexGetData("DP_1","003N8EMH8GTFRIVOG7KG9IX8U","GSON1241151101")</f>
        <v>#NAME?</v>
      </c>
      <c r="O2678" s="28" t="e">
        <f ca="1">[1]!BexGetData("DP_1","003N8EMH8GTFRIVOG7KG9J3KE","GSON1241151101")</f>
        <v>#NAME?</v>
      </c>
      <c r="P2678" s="23" t="e">
        <f ca="1">[1]!BexGetData("DP_1","003N8EMH8GTFRIVOG7KG9J9VY","GSON1241151101")</f>
        <v>#NAME?</v>
      </c>
      <c r="Q2678" s="23" t="e">
        <f ca="1">[1]!BexGetData("DP_1","00O2TNJGODT0G5Z4TTKYMM5MT","GSON1241151101")</f>
        <v>#NAME?</v>
      </c>
      <c r="R2678" s="23" t="e">
        <f ca="1">[1]!BexGetData("DP_1","00O2TNJGODT0G5Z4TTKYMMBYD","GSON1241151101")</f>
        <v>#NAME?</v>
      </c>
      <c r="S2678" s="23" t="e">
        <f ca="1">[1]!BexGetData("DP_1","00O2TNJGODT0G5Z4TTKYMMI9X","GSON1241151101")</f>
        <v>#NAME?</v>
      </c>
      <c r="T2678" s="28" t="e">
        <f ca="1">[1]!BexGetData("DP_1","00O2TNJGODT0G5Z4TTKYMMOLH","GSON1241151101")</f>
        <v>#NAME?</v>
      </c>
      <c r="U2678" s="23" t="e">
        <f ca="1">[1]!BexGetData("DP_1","00O2TNJGODT0G5Z4TTKYMMUX1","GSON1241151101")</f>
        <v>#NAME?</v>
      </c>
      <c r="V2678" s="28" t="e">
        <f ca="1">[1]!BexGetData("DP_1","00O2TNJGODT0G5Z4TTKYMN18L","GSON1241151101")</f>
        <v>#NAME?</v>
      </c>
      <c r="W2678" s="23" t="e">
        <f ca="1">[1]!BexGetData("DP_1","00O2TNJGODT0G5Z4TTKYMN7K5","GSON1241151101")</f>
        <v>#NAME?</v>
      </c>
    </row>
    <row r="2679" spans="1:23" x14ac:dyDescent="0.2">
      <c r="A2679" s="36" t="s">
        <v>6093</v>
      </c>
      <c r="B2679" s="27" t="s">
        <v>6094</v>
      </c>
      <c r="C2679" s="28" t="e">
        <f ca="1">[1]!BexGetData("DP_1","003N8EMH8GTFRCSWKMPXRR8GU","GSON1241251200")</f>
        <v>#NAME?</v>
      </c>
      <c r="D2679" s="28" t="e">
        <f ca="1">[1]!BexGetData("DP_1","003N8EMH8GTFRCSWKMPXRRESE","GSON1241251200")</f>
        <v>#NAME?</v>
      </c>
      <c r="E2679" s="23" t="e">
        <f ca="1">[1]!BexGetData("DP_1","003N8EMH8GTFRCSWKMPXRRL3Y","GSON1241251200")</f>
        <v>#NAME?</v>
      </c>
      <c r="F2679" s="23" t="e">
        <f ca="1">[1]!BexGetData("DP_1","003N8EMH8GTFRCSWKMPXRRRFI","GSON1241251200")</f>
        <v>#NAME?</v>
      </c>
      <c r="G2679" s="28" t="e">
        <f ca="1">[1]!BexGetData("DP_1","003N8EMH8GTFRCSWKMPXRRXR2","GSON1241251200")</f>
        <v>#NAME?</v>
      </c>
      <c r="H2679" s="28" t="e">
        <f ca="1">[1]!BexGetData("DP_1","003N8EMH8GTFRCSWKMPXRS42M","GSON1241251200")</f>
        <v>#NAME?</v>
      </c>
      <c r="I2679" s="23" t="e">
        <f ca="1">[1]!BexGetData("DP_1","003N8EMH8GTFRCSWKMPXRSAE6","GSON1241251200")</f>
        <v>#NAME?</v>
      </c>
      <c r="J2679" s="23" t="e">
        <f ca="1">[1]!BexGetData("DP_1","003N8EMH8GTFRCSWKMPXRSGPQ","GSON1241251200")</f>
        <v>#NAME?</v>
      </c>
      <c r="K2679" s="28" t="e">
        <f ca="1">[1]!BexGetData("DP_1","003N8EMH8GTFRIVNUPY288VJH","GSON1241251200")</f>
        <v>#NAME?</v>
      </c>
      <c r="L2679" s="28" t="e">
        <f ca="1">[1]!BexGetData("DP_1","003N8EMH8GTFRIVNUPY2891V1","GSON1241251200")</f>
        <v>#NAME?</v>
      </c>
      <c r="M2679" s="28" t="e">
        <f ca="1">[1]!BexGetData("DP_1","003N8EMH8GTFRIVOG7KG9IQXA","GSON1241251200")</f>
        <v>#NAME?</v>
      </c>
      <c r="N2679" s="28" t="e">
        <f ca="1">[1]!BexGetData("DP_1","003N8EMH8GTFRIVOG7KG9IX8U","GSON1241251200")</f>
        <v>#NAME?</v>
      </c>
      <c r="O2679" s="28" t="e">
        <f ca="1">[1]!BexGetData("DP_1","003N8EMH8GTFRIVOG7KG9J3KE","GSON1241251200")</f>
        <v>#NAME?</v>
      </c>
      <c r="P2679" s="28" t="e">
        <f ca="1">[1]!BexGetData("DP_1","003N8EMH8GTFRIVOG7KG9J9VY","GSON1241251200")</f>
        <v>#NAME?</v>
      </c>
      <c r="Q2679" s="23" t="e">
        <f ca="1">[1]!BexGetData("DP_1","00O2TNJGODT0G5Z4TTKYMM5MT","GSON1241251200")</f>
        <v>#NAME?</v>
      </c>
      <c r="R2679" s="28" t="e">
        <f ca="1">[1]!BexGetData("DP_1","00O2TNJGODT0G5Z4TTKYMMBYD","GSON1241251200")</f>
        <v>#NAME?</v>
      </c>
      <c r="S2679" s="28" t="e">
        <f ca="1">[1]!BexGetData("DP_1","00O2TNJGODT0G5Z4TTKYMMI9X","GSON1241251200")</f>
        <v>#NAME?</v>
      </c>
      <c r="T2679" s="28" t="e">
        <f ca="1">[1]!BexGetData("DP_1","00O2TNJGODT0G5Z4TTKYMMOLH","GSON1241251200")</f>
        <v>#NAME?</v>
      </c>
      <c r="U2679" s="28" t="e">
        <f ca="1">[1]!BexGetData("DP_1","00O2TNJGODT0G5Z4TTKYMMUX1","GSON1241251200")</f>
        <v>#NAME?</v>
      </c>
      <c r="V2679" s="28" t="e">
        <f ca="1">[1]!BexGetData("DP_1","00O2TNJGODT0G5Z4TTKYMN18L","GSON1241251200")</f>
        <v>#NAME?</v>
      </c>
      <c r="W2679" s="28" t="e">
        <f ca="1">[1]!BexGetData("DP_1","00O2TNJGODT0G5Z4TTKYMN7K5","GSON1241251200")</f>
        <v>#NAME?</v>
      </c>
    </row>
    <row r="2680" spans="1:23" x14ac:dyDescent="0.2">
      <c r="A2680" s="36" t="s">
        <v>1307</v>
      </c>
      <c r="B2680" s="27" t="s">
        <v>1308</v>
      </c>
      <c r="C2680" s="23" t="e">
        <f ca="1">[1]!BexGetData("DP_1","003N8EMH8GTFRCSWKMPXRR8GU","GSON1241251201")</f>
        <v>#NAME?</v>
      </c>
      <c r="D2680" s="23" t="e">
        <f ca="1">[1]!BexGetData("DP_1","003N8EMH8GTFRCSWKMPXRRESE","GSON1241251201")</f>
        <v>#NAME?</v>
      </c>
      <c r="E2680" s="23" t="e">
        <f ca="1">[1]!BexGetData("DP_1","003N8EMH8GTFRCSWKMPXRRL3Y","GSON1241251201")</f>
        <v>#NAME?</v>
      </c>
      <c r="F2680" s="23" t="e">
        <f ca="1">[1]!BexGetData("DP_1","003N8EMH8GTFRCSWKMPXRRRFI","GSON1241251201")</f>
        <v>#NAME?</v>
      </c>
      <c r="G2680" s="28" t="e">
        <f ca="1">[1]!BexGetData("DP_1","003N8EMH8GTFRCSWKMPXRRXR2","GSON1241251201")</f>
        <v>#NAME?</v>
      </c>
      <c r="H2680" s="28" t="e">
        <f ca="1">[1]!BexGetData("DP_1","003N8EMH8GTFRCSWKMPXRS42M","GSON1241251201")</f>
        <v>#NAME?</v>
      </c>
      <c r="I2680" s="23" t="e">
        <f ca="1">[1]!BexGetData("DP_1","003N8EMH8GTFRCSWKMPXRSAE6","GSON1241251201")</f>
        <v>#NAME?</v>
      </c>
      <c r="J2680" s="23" t="e">
        <f ca="1">[1]!BexGetData("DP_1","003N8EMH8GTFRCSWKMPXRSGPQ","GSON1241251201")</f>
        <v>#NAME?</v>
      </c>
      <c r="K2680" s="23" t="e">
        <f ca="1">[1]!BexGetData("DP_1","003N8EMH8GTFRIVNUPY288VJH","GSON1241251201")</f>
        <v>#NAME?</v>
      </c>
      <c r="L2680" s="23" t="e">
        <f ca="1">[1]!BexGetData("DP_1","003N8EMH8GTFRIVNUPY2891V1","GSON1241251201")</f>
        <v>#NAME?</v>
      </c>
      <c r="M2680" s="28" t="e">
        <f ca="1">[1]!BexGetData("DP_1","003N8EMH8GTFRIVOG7KG9IQXA","GSON1241251201")</f>
        <v>#NAME?</v>
      </c>
      <c r="N2680" s="23" t="e">
        <f ca="1">[1]!BexGetData("DP_1","003N8EMH8GTFRIVOG7KG9IX8U","GSON1241251201")</f>
        <v>#NAME?</v>
      </c>
      <c r="O2680" s="28" t="e">
        <f ca="1">[1]!BexGetData("DP_1","003N8EMH8GTFRIVOG7KG9J3KE","GSON1241251201")</f>
        <v>#NAME?</v>
      </c>
      <c r="P2680" s="23" t="e">
        <f ca="1">[1]!BexGetData("DP_1","003N8EMH8GTFRIVOG7KG9J9VY","GSON1241251201")</f>
        <v>#NAME?</v>
      </c>
      <c r="Q2680" s="23" t="e">
        <f ca="1">[1]!BexGetData("DP_1","00O2TNJGODT0G5Z4TTKYMM5MT","GSON1241251201")</f>
        <v>#NAME?</v>
      </c>
      <c r="R2680" s="28" t="e">
        <f ca="1">[1]!BexGetData("DP_1","00O2TNJGODT0G5Z4TTKYMMBYD","GSON1241251201")</f>
        <v>#NAME?</v>
      </c>
      <c r="S2680" s="28" t="e">
        <f ca="1">[1]!BexGetData("DP_1","00O2TNJGODT0G5Z4TTKYMMI9X","GSON1241251201")</f>
        <v>#NAME?</v>
      </c>
      <c r="T2680" s="28" t="e">
        <f ca="1">[1]!BexGetData("DP_1","00O2TNJGODT0G5Z4TTKYMMOLH","GSON1241251201")</f>
        <v>#NAME?</v>
      </c>
      <c r="U2680" s="28" t="e">
        <f ca="1">[1]!BexGetData("DP_1","00O2TNJGODT0G5Z4TTKYMMUX1","GSON1241251201")</f>
        <v>#NAME?</v>
      </c>
      <c r="V2680" s="28" t="e">
        <f ca="1">[1]!BexGetData("DP_1","00O2TNJGODT0G5Z4TTKYMN18L","GSON1241251201")</f>
        <v>#NAME?</v>
      </c>
      <c r="W2680" s="28" t="e">
        <f ca="1">[1]!BexGetData("DP_1","00O2TNJGODT0G5Z4TTKYMN7K5","GSON1241251201")</f>
        <v>#NAME?</v>
      </c>
    </row>
    <row r="2681" spans="1:23" x14ac:dyDescent="0.2">
      <c r="A2681" s="36" t="s">
        <v>1309</v>
      </c>
      <c r="B2681" s="27" t="s">
        <v>1310</v>
      </c>
      <c r="C2681" s="28" t="e">
        <f ca="1">[1]!BexGetData("DP_1","003N8EMH8GTFRCSWKMPXRR8GU","GSON1241351500")</f>
        <v>#NAME?</v>
      </c>
      <c r="D2681" s="28" t="e">
        <f ca="1">[1]!BexGetData("DP_1","003N8EMH8GTFRCSWKMPXRRESE","GSON1241351500")</f>
        <v>#NAME?</v>
      </c>
      <c r="E2681" s="23" t="e">
        <f ca="1">[1]!BexGetData("DP_1","003N8EMH8GTFRCSWKMPXRRL3Y","GSON1241351500")</f>
        <v>#NAME?</v>
      </c>
      <c r="F2681" s="23" t="e">
        <f ca="1">[1]!BexGetData("DP_1","003N8EMH8GTFRCSWKMPXRRRFI","GSON1241351500")</f>
        <v>#NAME?</v>
      </c>
      <c r="G2681" s="23" t="e">
        <f ca="1">[1]!BexGetData("DP_1","003N8EMH8GTFRCSWKMPXRRXR2","GSON1241351500")</f>
        <v>#NAME?</v>
      </c>
      <c r="H2681" s="23" t="e">
        <f ca="1">[1]!BexGetData("DP_1","003N8EMH8GTFRCSWKMPXRS42M","GSON1241351500")</f>
        <v>#NAME?</v>
      </c>
      <c r="I2681" s="23" t="e">
        <f ca="1">[1]!BexGetData("DP_1","003N8EMH8GTFRCSWKMPXRSAE6","GSON1241351500")</f>
        <v>#NAME?</v>
      </c>
      <c r="J2681" s="23" t="e">
        <f ca="1">[1]!BexGetData("DP_1","003N8EMH8GTFRCSWKMPXRSGPQ","GSON1241351500")</f>
        <v>#NAME?</v>
      </c>
      <c r="K2681" s="28" t="e">
        <f ca="1">[1]!BexGetData("DP_1","003N8EMH8GTFRIVNUPY288VJH","GSON1241351500")</f>
        <v>#NAME?</v>
      </c>
      <c r="L2681" s="28" t="e">
        <f ca="1">[1]!BexGetData("DP_1","003N8EMH8GTFRIVNUPY2891V1","GSON1241351500")</f>
        <v>#NAME?</v>
      </c>
      <c r="M2681" s="28" t="e">
        <f ca="1">[1]!BexGetData("DP_1","003N8EMH8GTFRIVOG7KG9IQXA","GSON1241351500")</f>
        <v>#NAME?</v>
      </c>
      <c r="N2681" s="28" t="e">
        <f ca="1">[1]!BexGetData("DP_1","003N8EMH8GTFRIVOG7KG9IX8U","GSON1241351500")</f>
        <v>#NAME?</v>
      </c>
      <c r="O2681" s="28" t="e">
        <f ca="1">[1]!BexGetData("DP_1","003N8EMH8GTFRIVOG7KG9J3KE","GSON1241351500")</f>
        <v>#NAME?</v>
      </c>
      <c r="P2681" s="28" t="e">
        <f ca="1">[1]!BexGetData("DP_1","003N8EMH8GTFRIVOG7KG9J9VY","GSON1241351500")</f>
        <v>#NAME?</v>
      </c>
      <c r="Q2681" s="23" t="e">
        <f ca="1">[1]!BexGetData("DP_1","00O2TNJGODT0G5Z4TTKYMM5MT","GSON1241351500")</f>
        <v>#NAME?</v>
      </c>
      <c r="R2681" s="23" t="e">
        <f ca="1">[1]!BexGetData("DP_1","00O2TNJGODT0G5Z4TTKYMMBYD","GSON1241351500")</f>
        <v>#NAME?</v>
      </c>
      <c r="S2681" s="23" t="e">
        <f ca="1">[1]!BexGetData("DP_1","00O2TNJGODT0G5Z4TTKYMMI9X","GSON1241351500")</f>
        <v>#NAME?</v>
      </c>
      <c r="T2681" s="23" t="e">
        <f ca="1">[1]!BexGetData("DP_1","00O2TNJGODT0G5Z4TTKYMMOLH","GSON1241351500")</f>
        <v>#NAME?</v>
      </c>
      <c r="U2681" s="28" t="e">
        <f ca="1">[1]!BexGetData("DP_1","00O2TNJGODT0G5Z4TTKYMMUX1","GSON1241351500")</f>
        <v>#NAME?</v>
      </c>
      <c r="V2681" s="23" t="e">
        <f ca="1">[1]!BexGetData("DP_1","00O2TNJGODT0G5Z4TTKYMN18L","GSON1241351500")</f>
        <v>#NAME?</v>
      </c>
      <c r="W2681" s="28" t="e">
        <f ca="1">[1]!BexGetData("DP_1","00O2TNJGODT0G5Z4TTKYMN7K5","GSON1241351500")</f>
        <v>#NAME?</v>
      </c>
    </row>
    <row r="2682" spans="1:23" x14ac:dyDescent="0.2">
      <c r="A2682" s="36" t="s">
        <v>1311</v>
      </c>
      <c r="B2682" s="27" t="s">
        <v>1312</v>
      </c>
      <c r="C2682" s="23" t="e">
        <f ca="1">[1]!BexGetData("DP_1","003N8EMH8GTFRCSWKMPXRR8GU","GSON1241351501")</f>
        <v>#NAME?</v>
      </c>
      <c r="D2682" s="23" t="e">
        <f ca="1">[1]!BexGetData("DP_1","003N8EMH8GTFRCSWKMPXRRESE","GSON1241351501")</f>
        <v>#NAME?</v>
      </c>
      <c r="E2682" s="23" t="e">
        <f ca="1">[1]!BexGetData("DP_1","003N8EMH8GTFRCSWKMPXRRL3Y","GSON1241351501")</f>
        <v>#NAME?</v>
      </c>
      <c r="F2682" s="23" t="e">
        <f ca="1">[1]!BexGetData("DP_1","003N8EMH8GTFRCSWKMPXRRRFI","GSON1241351501")</f>
        <v>#NAME?</v>
      </c>
      <c r="G2682" s="23" t="e">
        <f ca="1">[1]!BexGetData("DP_1","003N8EMH8GTFRCSWKMPXRRXR2","GSON1241351501")</f>
        <v>#NAME?</v>
      </c>
      <c r="H2682" s="23" t="e">
        <f ca="1">[1]!BexGetData("DP_1","003N8EMH8GTFRCSWKMPXRS42M","GSON1241351501")</f>
        <v>#NAME?</v>
      </c>
      <c r="I2682" s="23" t="e">
        <f ca="1">[1]!BexGetData("DP_1","003N8EMH8GTFRCSWKMPXRSAE6","GSON1241351501")</f>
        <v>#NAME?</v>
      </c>
      <c r="J2682" s="23" t="e">
        <f ca="1">[1]!BexGetData("DP_1","003N8EMH8GTFRCSWKMPXRSGPQ","GSON1241351501")</f>
        <v>#NAME?</v>
      </c>
      <c r="K2682" s="23" t="e">
        <f ca="1">[1]!BexGetData("DP_1","003N8EMH8GTFRIVNUPY288VJH","GSON1241351501")</f>
        <v>#NAME?</v>
      </c>
      <c r="L2682" s="23" t="e">
        <f ca="1">[1]!BexGetData("DP_1","003N8EMH8GTFRIVNUPY2891V1","GSON1241351501")</f>
        <v>#NAME?</v>
      </c>
      <c r="M2682" s="28" t="e">
        <f ca="1">[1]!BexGetData("DP_1","003N8EMH8GTFRIVOG7KG9IQXA","GSON1241351501")</f>
        <v>#NAME?</v>
      </c>
      <c r="N2682" s="23" t="e">
        <f ca="1">[1]!BexGetData("DP_1","003N8EMH8GTFRIVOG7KG9IX8U","GSON1241351501")</f>
        <v>#NAME?</v>
      </c>
      <c r="O2682" s="28" t="e">
        <f ca="1">[1]!BexGetData("DP_1","003N8EMH8GTFRIVOG7KG9J3KE","GSON1241351501")</f>
        <v>#NAME?</v>
      </c>
      <c r="P2682" s="23" t="e">
        <f ca="1">[1]!BexGetData("DP_1","003N8EMH8GTFRIVOG7KG9J9VY","GSON1241351501")</f>
        <v>#NAME?</v>
      </c>
      <c r="Q2682" s="23" t="e">
        <f ca="1">[1]!BexGetData("DP_1","00O2TNJGODT0G5Z4TTKYMM5MT","GSON1241351501")</f>
        <v>#NAME?</v>
      </c>
      <c r="R2682" s="23" t="e">
        <f ca="1">[1]!BexGetData("DP_1","00O2TNJGODT0G5Z4TTKYMMBYD","GSON1241351501")</f>
        <v>#NAME?</v>
      </c>
      <c r="S2682" s="23" t="e">
        <f ca="1">[1]!BexGetData("DP_1","00O2TNJGODT0G5Z4TTKYMMI9X","GSON1241351501")</f>
        <v>#NAME?</v>
      </c>
      <c r="T2682" s="28" t="e">
        <f ca="1">[1]!BexGetData("DP_1","00O2TNJGODT0G5Z4TTKYMMOLH","GSON1241351501")</f>
        <v>#NAME?</v>
      </c>
      <c r="U2682" s="23" t="e">
        <f ca="1">[1]!BexGetData("DP_1","00O2TNJGODT0G5Z4TTKYMMUX1","GSON1241351501")</f>
        <v>#NAME?</v>
      </c>
      <c r="V2682" s="28" t="e">
        <f ca="1">[1]!BexGetData("DP_1","00O2TNJGODT0G5Z4TTKYMN18L","GSON1241351501")</f>
        <v>#NAME?</v>
      </c>
      <c r="W2682" s="23" t="e">
        <f ca="1">[1]!BexGetData("DP_1","00O2TNJGODT0G5Z4TTKYMN7K5","GSON1241351501")</f>
        <v>#NAME?</v>
      </c>
    </row>
    <row r="2683" spans="1:23" x14ac:dyDescent="0.2">
      <c r="A2683" s="36" t="s">
        <v>1313</v>
      </c>
      <c r="B2683" s="27" t="s">
        <v>1314</v>
      </c>
      <c r="C2683" s="28" t="e">
        <f ca="1">[1]!BexGetData("DP_1","003N8EMH8GTFRCSWKMPXRR8GU","GSON1241951900")</f>
        <v>#NAME?</v>
      </c>
      <c r="D2683" s="28" t="e">
        <f ca="1">[1]!BexGetData("DP_1","003N8EMH8GTFRCSWKMPXRRESE","GSON1241951900")</f>
        <v>#NAME?</v>
      </c>
      <c r="E2683" s="23" t="e">
        <f ca="1">[1]!BexGetData("DP_1","003N8EMH8GTFRCSWKMPXRRL3Y","GSON1241951900")</f>
        <v>#NAME?</v>
      </c>
      <c r="F2683" s="23" t="e">
        <f ca="1">[1]!BexGetData("DP_1","003N8EMH8GTFRCSWKMPXRRRFI","GSON1241951900")</f>
        <v>#NAME?</v>
      </c>
      <c r="G2683" s="28" t="e">
        <f ca="1">[1]!BexGetData("DP_1","003N8EMH8GTFRCSWKMPXRRXR2","GSON1241951900")</f>
        <v>#NAME?</v>
      </c>
      <c r="H2683" s="23" t="e">
        <f ca="1">[1]!BexGetData("DP_1","003N8EMH8GTFRCSWKMPXRS42M","GSON1241951900")</f>
        <v>#NAME?</v>
      </c>
      <c r="I2683" s="23" t="e">
        <f ca="1">[1]!BexGetData("DP_1","003N8EMH8GTFRCSWKMPXRSAE6","GSON1241951900")</f>
        <v>#NAME?</v>
      </c>
      <c r="J2683" s="23" t="e">
        <f ca="1">[1]!BexGetData("DP_1","003N8EMH8GTFRCSWKMPXRSGPQ","GSON1241951900")</f>
        <v>#NAME?</v>
      </c>
      <c r="K2683" s="28" t="e">
        <f ca="1">[1]!BexGetData("DP_1","003N8EMH8GTFRIVNUPY288VJH","GSON1241951900")</f>
        <v>#NAME?</v>
      </c>
      <c r="L2683" s="28" t="e">
        <f ca="1">[1]!BexGetData("DP_1","003N8EMH8GTFRIVNUPY2891V1","GSON1241951900")</f>
        <v>#NAME?</v>
      </c>
      <c r="M2683" s="28" t="e">
        <f ca="1">[1]!BexGetData("DP_1","003N8EMH8GTFRIVOG7KG9IQXA","GSON1241951900")</f>
        <v>#NAME?</v>
      </c>
      <c r="N2683" s="28" t="e">
        <f ca="1">[1]!BexGetData("DP_1","003N8EMH8GTFRIVOG7KG9IX8U","GSON1241951900")</f>
        <v>#NAME?</v>
      </c>
      <c r="O2683" s="28" t="e">
        <f ca="1">[1]!BexGetData("DP_1","003N8EMH8GTFRIVOG7KG9J3KE","GSON1241951900")</f>
        <v>#NAME?</v>
      </c>
      <c r="P2683" s="28" t="e">
        <f ca="1">[1]!BexGetData("DP_1","003N8EMH8GTFRIVOG7KG9J9VY","GSON1241951900")</f>
        <v>#NAME?</v>
      </c>
      <c r="Q2683" s="23" t="e">
        <f ca="1">[1]!BexGetData("DP_1","00O2TNJGODT0G5Z4TTKYMM5MT","GSON1241951900")</f>
        <v>#NAME?</v>
      </c>
      <c r="R2683" s="23" t="e">
        <f ca="1">[1]!BexGetData("DP_1","00O2TNJGODT0G5Z4TTKYMMBYD","GSON1241951900")</f>
        <v>#NAME?</v>
      </c>
      <c r="S2683" s="23" t="e">
        <f ca="1">[1]!BexGetData("DP_1","00O2TNJGODT0G5Z4TTKYMMI9X","GSON1241951900")</f>
        <v>#NAME?</v>
      </c>
      <c r="T2683" s="23" t="e">
        <f ca="1">[1]!BexGetData("DP_1","00O2TNJGODT0G5Z4TTKYMMOLH","GSON1241951900")</f>
        <v>#NAME?</v>
      </c>
      <c r="U2683" s="28" t="e">
        <f ca="1">[1]!BexGetData("DP_1","00O2TNJGODT0G5Z4TTKYMMUX1","GSON1241951900")</f>
        <v>#NAME?</v>
      </c>
      <c r="V2683" s="23" t="e">
        <f ca="1">[1]!BexGetData("DP_1","00O2TNJGODT0G5Z4TTKYMN18L","GSON1241951900")</f>
        <v>#NAME?</v>
      </c>
      <c r="W2683" s="28" t="e">
        <f ca="1">[1]!BexGetData("DP_1","00O2TNJGODT0G5Z4TTKYMN7K5","GSON1241951900")</f>
        <v>#NAME?</v>
      </c>
    </row>
    <row r="2684" spans="1:23" x14ac:dyDescent="0.2">
      <c r="A2684" s="36" t="s">
        <v>1315</v>
      </c>
      <c r="B2684" s="27" t="s">
        <v>1316</v>
      </c>
      <c r="C2684" s="23" t="e">
        <f ca="1">[1]!BexGetData("DP_1","003N8EMH8GTFRCSWKMPXRR8GU","GSON1241951901")</f>
        <v>#NAME?</v>
      </c>
      <c r="D2684" s="23" t="e">
        <f ca="1">[1]!BexGetData("DP_1","003N8EMH8GTFRCSWKMPXRRESE","GSON1241951901")</f>
        <v>#NAME?</v>
      </c>
      <c r="E2684" s="23" t="e">
        <f ca="1">[1]!BexGetData("DP_1","003N8EMH8GTFRCSWKMPXRRL3Y","GSON1241951901")</f>
        <v>#NAME?</v>
      </c>
      <c r="F2684" s="23" t="e">
        <f ca="1">[1]!BexGetData("DP_1","003N8EMH8GTFRCSWKMPXRRRFI","GSON1241951901")</f>
        <v>#NAME?</v>
      </c>
      <c r="G2684" s="23" t="e">
        <f ca="1">[1]!BexGetData("DP_1","003N8EMH8GTFRCSWKMPXRRXR2","GSON1241951901")</f>
        <v>#NAME?</v>
      </c>
      <c r="H2684" s="23" t="e">
        <f ca="1">[1]!BexGetData("DP_1","003N8EMH8GTFRCSWKMPXRS42M","GSON1241951901")</f>
        <v>#NAME?</v>
      </c>
      <c r="I2684" s="23" t="e">
        <f ca="1">[1]!BexGetData("DP_1","003N8EMH8GTFRCSWKMPXRSAE6","GSON1241951901")</f>
        <v>#NAME?</v>
      </c>
      <c r="J2684" s="23" t="e">
        <f ca="1">[1]!BexGetData("DP_1","003N8EMH8GTFRCSWKMPXRSGPQ","GSON1241951901")</f>
        <v>#NAME?</v>
      </c>
      <c r="K2684" s="23" t="e">
        <f ca="1">[1]!BexGetData("DP_1","003N8EMH8GTFRIVNUPY288VJH","GSON1241951901")</f>
        <v>#NAME?</v>
      </c>
      <c r="L2684" s="23" t="e">
        <f ca="1">[1]!BexGetData("DP_1","003N8EMH8GTFRIVNUPY2891V1","GSON1241951901")</f>
        <v>#NAME?</v>
      </c>
      <c r="M2684" s="28" t="e">
        <f ca="1">[1]!BexGetData("DP_1","003N8EMH8GTFRIVOG7KG9IQXA","GSON1241951901")</f>
        <v>#NAME?</v>
      </c>
      <c r="N2684" s="23" t="e">
        <f ca="1">[1]!BexGetData("DP_1","003N8EMH8GTFRIVOG7KG9IX8U","GSON1241951901")</f>
        <v>#NAME?</v>
      </c>
      <c r="O2684" s="28" t="e">
        <f ca="1">[1]!BexGetData("DP_1","003N8EMH8GTFRIVOG7KG9J3KE","GSON1241951901")</f>
        <v>#NAME?</v>
      </c>
      <c r="P2684" s="23" t="e">
        <f ca="1">[1]!BexGetData("DP_1","003N8EMH8GTFRIVOG7KG9J9VY","GSON1241951901")</f>
        <v>#NAME?</v>
      </c>
      <c r="Q2684" s="23" t="e">
        <f ca="1">[1]!BexGetData("DP_1","00O2TNJGODT0G5Z4TTKYMM5MT","GSON1241951901")</f>
        <v>#NAME?</v>
      </c>
      <c r="R2684" s="23" t="e">
        <f ca="1">[1]!BexGetData("DP_1","00O2TNJGODT0G5Z4TTKYMMBYD","GSON1241951901")</f>
        <v>#NAME?</v>
      </c>
      <c r="S2684" s="23" t="e">
        <f ca="1">[1]!BexGetData("DP_1","00O2TNJGODT0G5Z4TTKYMMI9X","GSON1241951901")</f>
        <v>#NAME?</v>
      </c>
      <c r="T2684" s="28" t="e">
        <f ca="1">[1]!BexGetData("DP_1","00O2TNJGODT0G5Z4TTKYMMOLH","GSON1241951901")</f>
        <v>#NAME?</v>
      </c>
      <c r="U2684" s="23" t="e">
        <f ca="1">[1]!BexGetData("DP_1","00O2TNJGODT0G5Z4TTKYMMUX1","GSON1241951901")</f>
        <v>#NAME?</v>
      </c>
      <c r="V2684" s="28" t="e">
        <f ca="1">[1]!BexGetData("DP_1","00O2TNJGODT0G5Z4TTKYMN18L","GSON1241951901")</f>
        <v>#NAME?</v>
      </c>
      <c r="W2684" s="23" t="e">
        <f ca="1">[1]!BexGetData("DP_1","00O2TNJGODT0G5Z4TTKYMN7K5","GSON1241951901")</f>
        <v>#NAME?</v>
      </c>
    </row>
    <row r="2685" spans="1:23" x14ac:dyDescent="0.2">
      <c r="A2685" s="36" t="s">
        <v>1317</v>
      </c>
      <c r="B2685" s="27" t="s">
        <v>1318</v>
      </c>
      <c r="C2685" s="23" t="e">
        <f ca="1">[1]!BexGetData("DP_1","003N8EMH8GTFRCSWKMPXRR8GU","GSON1241951902")</f>
        <v>#NAME?</v>
      </c>
      <c r="D2685" s="28" t="e">
        <f ca="1">[1]!BexGetData("DP_1","003N8EMH8GTFRCSWKMPXRRESE","GSON1241951902")</f>
        <v>#NAME?</v>
      </c>
      <c r="E2685" s="23" t="e">
        <f ca="1">[1]!BexGetData("DP_1","003N8EMH8GTFRCSWKMPXRRL3Y","GSON1241951902")</f>
        <v>#NAME?</v>
      </c>
      <c r="F2685" s="23" t="e">
        <f ca="1">[1]!BexGetData("DP_1","003N8EMH8GTFRCSWKMPXRRRFI","GSON1241951902")</f>
        <v>#NAME?</v>
      </c>
      <c r="G2685" s="23" t="e">
        <f ca="1">[1]!BexGetData("DP_1","003N8EMH8GTFRCSWKMPXRRXR2","GSON1241951902")</f>
        <v>#NAME?</v>
      </c>
      <c r="H2685" s="28" t="e">
        <f ca="1">[1]!BexGetData("DP_1","003N8EMH8GTFRCSWKMPXRS42M","GSON1241951902")</f>
        <v>#NAME?</v>
      </c>
      <c r="I2685" s="23" t="e">
        <f ca="1">[1]!BexGetData("DP_1","003N8EMH8GTFRCSWKMPXRSAE6","GSON1241951902")</f>
        <v>#NAME?</v>
      </c>
      <c r="J2685" s="23" t="e">
        <f ca="1">[1]!BexGetData("DP_1","003N8EMH8GTFRCSWKMPXRSGPQ","GSON1241951902")</f>
        <v>#NAME?</v>
      </c>
      <c r="K2685" s="23" t="e">
        <f ca="1">[1]!BexGetData("DP_1","003N8EMH8GTFRIVNUPY288VJH","GSON1241951902")</f>
        <v>#NAME?</v>
      </c>
      <c r="L2685" s="23" t="e">
        <f ca="1">[1]!BexGetData("DP_1","003N8EMH8GTFRIVNUPY2891V1","GSON1241951902")</f>
        <v>#NAME?</v>
      </c>
      <c r="M2685" s="28" t="e">
        <f ca="1">[1]!BexGetData("DP_1","003N8EMH8GTFRIVOG7KG9IQXA","GSON1241951902")</f>
        <v>#NAME?</v>
      </c>
      <c r="N2685" s="23" t="e">
        <f ca="1">[1]!BexGetData("DP_1","003N8EMH8GTFRIVOG7KG9IX8U","GSON1241951902")</f>
        <v>#NAME?</v>
      </c>
      <c r="O2685" s="28" t="e">
        <f ca="1">[1]!BexGetData("DP_1","003N8EMH8GTFRIVOG7KG9J3KE","GSON1241951902")</f>
        <v>#NAME?</v>
      </c>
      <c r="P2685" s="23" t="e">
        <f ca="1">[1]!BexGetData("DP_1","003N8EMH8GTFRIVOG7KG9J9VY","GSON1241951902")</f>
        <v>#NAME?</v>
      </c>
      <c r="Q2685" s="23" t="e">
        <f ca="1">[1]!BexGetData("DP_1","00O2TNJGODT0G5Z4TTKYMM5MT","GSON1241951902")</f>
        <v>#NAME?</v>
      </c>
      <c r="R2685" s="23" t="e">
        <f ca="1">[1]!BexGetData("DP_1","00O2TNJGODT0G5Z4TTKYMMBYD","GSON1241951902")</f>
        <v>#NAME?</v>
      </c>
      <c r="S2685" s="23" t="e">
        <f ca="1">[1]!BexGetData("DP_1","00O2TNJGODT0G5Z4TTKYMMI9X","GSON1241951902")</f>
        <v>#NAME?</v>
      </c>
      <c r="T2685" s="28" t="e">
        <f ca="1">[1]!BexGetData("DP_1","00O2TNJGODT0G5Z4TTKYMMOLH","GSON1241951902")</f>
        <v>#NAME?</v>
      </c>
      <c r="U2685" s="23" t="e">
        <f ca="1">[1]!BexGetData("DP_1","00O2TNJGODT0G5Z4TTKYMMUX1","GSON1241951902")</f>
        <v>#NAME?</v>
      </c>
      <c r="V2685" s="28" t="e">
        <f ca="1">[1]!BexGetData("DP_1","00O2TNJGODT0G5Z4TTKYMN18L","GSON1241951902")</f>
        <v>#NAME?</v>
      </c>
      <c r="W2685" s="23" t="e">
        <f ca="1">[1]!BexGetData("DP_1","00O2TNJGODT0G5Z4TTKYMN7K5","GSON1241951902")</f>
        <v>#NAME?</v>
      </c>
    </row>
    <row r="2686" spans="1:23" x14ac:dyDescent="0.2">
      <c r="A2686" s="35" t="s">
        <v>83</v>
      </c>
      <c r="B2686" s="27" t="s">
        <v>337</v>
      </c>
      <c r="C2686" s="23" t="e">
        <f ca="1">[1]!BexGetData("DP_1","003N8EMH8GTFRCSWKMPXRR8GU","GSON1242")</f>
        <v>#NAME?</v>
      </c>
      <c r="D2686" s="23" t="e">
        <f ca="1">[1]!BexGetData("DP_1","003N8EMH8GTFRCSWKMPXRRESE","GSON1242")</f>
        <v>#NAME?</v>
      </c>
      <c r="E2686" s="23" t="e">
        <f ca="1">[1]!BexGetData("DP_1","003N8EMH8GTFRCSWKMPXRRL3Y","GSON1242")</f>
        <v>#NAME?</v>
      </c>
      <c r="F2686" s="23" t="e">
        <f ca="1">[1]!BexGetData("DP_1","003N8EMH8GTFRCSWKMPXRRRFI","GSON1242")</f>
        <v>#NAME?</v>
      </c>
      <c r="G2686" s="23" t="e">
        <f ca="1">[1]!BexGetData("DP_1","003N8EMH8GTFRCSWKMPXRRXR2","GSON1242")</f>
        <v>#NAME?</v>
      </c>
      <c r="H2686" s="23" t="e">
        <f ca="1">[1]!BexGetData("DP_1","003N8EMH8GTFRCSWKMPXRS42M","GSON1242")</f>
        <v>#NAME?</v>
      </c>
      <c r="I2686" s="23" t="e">
        <f ca="1">[1]!BexGetData("DP_1","003N8EMH8GTFRCSWKMPXRSAE6","GSON1242")</f>
        <v>#NAME?</v>
      </c>
      <c r="J2686" s="23" t="e">
        <f ca="1">[1]!BexGetData("DP_1","003N8EMH8GTFRCSWKMPXRSGPQ","GSON1242")</f>
        <v>#NAME?</v>
      </c>
      <c r="K2686" s="23" t="e">
        <f ca="1">[1]!BexGetData("DP_1","003N8EMH8GTFRIVNUPY288VJH","GSON1242")</f>
        <v>#NAME?</v>
      </c>
      <c r="L2686" s="23" t="e">
        <f ca="1">[1]!BexGetData("DP_1","003N8EMH8GTFRIVNUPY2891V1","GSON1242")</f>
        <v>#NAME?</v>
      </c>
      <c r="M2686" s="28" t="e">
        <f ca="1">[1]!BexGetData("DP_1","003N8EMH8GTFRIVOG7KG9IQXA","GSON1242")</f>
        <v>#NAME?</v>
      </c>
      <c r="N2686" s="23" t="e">
        <f ca="1">[1]!BexGetData("DP_1","003N8EMH8GTFRIVOG7KG9IX8U","GSON1242")</f>
        <v>#NAME?</v>
      </c>
      <c r="O2686" s="28" t="e">
        <f ca="1">[1]!BexGetData("DP_1","003N8EMH8GTFRIVOG7KG9J3KE","GSON1242")</f>
        <v>#NAME?</v>
      </c>
      <c r="P2686" s="23" t="e">
        <f ca="1">[1]!BexGetData("DP_1","003N8EMH8GTFRIVOG7KG9J9VY","GSON1242")</f>
        <v>#NAME?</v>
      </c>
      <c r="Q2686" s="23" t="e">
        <f ca="1">[1]!BexGetData("DP_1","00O2TNJGODT0G5Z4TTKYMM5MT","GSON1242")</f>
        <v>#NAME?</v>
      </c>
      <c r="R2686" s="23" t="e">
        <f ca="1">[1]!BexGetData("DP_1","00O2TNJGODT0G5Z4TTKYMMBYD","GSON1242")</f>
        <v>#NAME?</v>
      </c>
      <c r="S2686" s="23" t="e">
        <f ca="1">[1]!BexGetData("DP_1","00O2TNJGODT0G5Z4TTKYMMI9X","GSON1242")</f>
        <v>#NAME?</v>
      </c>
      <c r="T2686" s="28" t="e">
        <f ca="1">[1]!BexGetData("DP_1","00O2TNJGODT0G5Z4TTKYMMOLH","GSON1242")</f>
        <v>#NAME?</v>
      </c>
      <c r="U2686" s="23" t="e">
        <f ca="1">[1]!BexGetData("DP_1","00O2TNJGODT0G5Z4TTKYMMUX1","GSON1242")</f>
        <v>#NAME?</v>
      </c>
      <c r="V2686" s="28" t="e">
        <f ca="1">[1]!BexGetData("DP_1","00O2TNJGODT0G5Z4TTKYMN18L","GSON1242")</f>
        <v>#NAME?</v>
      </c>
      <c r="W2686" s="23" t="e">
        <f ca="1">[1]!BexGetData("DP_1","00O2TNJGODT0G5Z4TTKYMN7K5","GSON1242")</f>
        <v>#NAME?</v>
      </c>
    </row>
    <row r="2687" spans="1:23" x14ac:dyDescent="0.2">
      <c r="A2687" s="36" t="s">
        <v>1319</v>
      </c>
      <c r="B2687" s="27" t="s">
        <v>1320</v>
      </c>
      <c r="C2687" s="28" t="e">
        <f ca="1">[1]!BexGetData("DP_1","003N8EMH8GTFRCSWKMPXRR8GU","GSON1242152100")</f>
        <v>#NAME?</v>
      </c>
      <c r="D2687" s="28" t="e">
        <f ca="1">[1]!BexGetData("DP_1","003N8EMH8GTFRCSWKMPXRRESE","GSON1242152100")</f>
        <v>#NAME?</v>
      </c>
      <c r="E2687" s="23" t="e">
        <f ca="1">[1]!BexGetData("DP_1","003N8EMH8GTFRCSWKMPXRRL3Y","GSON1242152100")</f>
        <v>#NAME?</v>
      </c>
      <c r="F2687" s="23" t="e">
        <f ca="1">[1]!BexGetData("DP_1","003N8EMH8GTFRCSWKMPXRRRFI","GSON1242152100")</f>
        <v>#NAME?</v>
      </c>
      <c r="G2687" s="28" t="e">
        <f ca="1">[1]!BexGetData("DP_1","003N8EMH8GTFRCSWKMPXRRXR2","GSON1242152100")</f>
        <v>#NAME?</v>
      </c>
      <c r="H2687" s="28" t="e">
        <f ca="1">[1]!BexGetData("DP_1","003N8EMH8GTFRCSWKMPXRS42M","GSON1242152100")</f>
        <v>#NAME?</v>
      </c>
      <c r="I2687" s="23" t="e">
        <f ca="1">[1]!BexGetData("DP_1","003N8EMH8GTFRCSWKMPXRSAE6","GSON1242152100")</f>
        <v>#NAME?</v>
      </c>
      <c r="J2687" s="23" t="e">
        <f ca="1">[1]!BexGetData("DP_1","003N8EMH8GTFRCSWKMPXRSGPQ","GSON1242152100")</f>
        <v>#NAME?</v>
      </c>
      <c r="K2687" s="28" t="e">
        <f ca="1">[1]!BexGetData("DP_1","003N8EMH8GTFRIVNUPY288VJH","GSON1242152100")</f>
        <v>#NAME?</v>
      </c>
      <c r="L2687" s="28" t="e">
        <f ca="1">[1]!BexGetData("DP_1","003N8EMH8GTFRIVNUPY2891V1","GSON1242152100")</f>
        <v>#NAME?</v>
      </c>
      <c r="M2687" s="28" t="e">
        <f ca="1">[1]!BexGetData("DP_1","003N8EMH8GTFRIVOG7KG9IQXA","GSON1242152100")</f>
        <v>#NAME?</v>
      </c>
      <c r="N2687" s="28" t="e">
        <f ca="1">[1]!BexGetData("DP_1","003N8EMH8GTFRIVOG7KG9IX8U","GSON1242152100")</f>
        <v>#NAME?</v>
      </c>
      <c r="O2687" s="28" t="e">
        <f ca="1">[1]!BexGetData("DP_1","003N8EMH8GTFRIVOG7KG9J3KE","GSON1242152100")</f>
        <v>#NAME?</v>
      </c>
      <c r="P2687" s="28" t="e">
        <f ca="1">[1]!BexGetData("DP_1","003N8EMH8GTFRIVOG7KG9J9VY","GSON1242152100")</f>
        <v>#NAME?</v>
      </c>
      <c r="Q2687" s="23" t="e">
        <f ca="1">[1]!BexGetData("DP_1","00O2TNJGODT0G5Z4TTKYMM5MT","GSON1242152100")</f>
        <v>#NAME?</v>
      </c>
      <c r="R2687" s="28" t="e">
        <f ca="1">[1]!BexGetData("DP_1","00O2TNJGODT0G5Z4TTKYMMBYD","GSON1242152100")</f>
        <v>#NAME?</v>
      </c>
      <c r="S2687" s="28" t="e">
        <f ca="1">[1]!BexGetData("DP_1","00O2TNJGODT0G5Z4TTKYMMI9X","GSON1242152100")</f>
        <v>#NAME?</v>
      </c>
      <c r="T2687" s="28" t="e">
        <f ca="1">[1]!BexGetData("DP_1","00O2TNJGODT0G5Z4TTKYMMOLH","GSON1242152100")</f>
        <v>#NAME?</v>
      </c>
      <c r="U2687" s="28" t="e">
        <f ca="1">[1]!BexGetData("DP_1","00O2TNJGODT0G5Z4TTKYMMUX1","GSON1242152100")</f>
        <v>#NAME?</v>
      </c>
      <c r="V2687" s="28" t="e">
        <f ca="1">[1]!BexGetData("DP_1","00O2TNJGODT0G5Z4TTKYMN18L","GSON1242152100")</f>
        <v>#NAME?</v>
      </c>
      <c r="W2687" s="28" t="e">
        <f ca="1">[1]!BexGetData("DP_1","00O2TNJGODT0G5Z4TTKYMN7K5","GSON1242152100")</f>
        <v>#NAME?</v>
      </c>
    </row>
    <row r="2688" spans="1:23" x14ac:dyDescent="0.2">
      <c r="A2688" s="36" t="s">
        <v>338</v>
      </c>
      <c r="B2688" s="27" t="s">
        <v>339</v>
      </c>
      <c r="C2688" s="23" t="e">
        <f ca="1">[1]!BexGetData("DP_1","003N8EMH8GTFRCSWKMPXRR8GU","GSON1242152101")</f>
        <v>#NAME?</v>
      </c>
      <c r="D2688" s="23" t="e">
        <f ca="1">[1]!BexGetData("DP_1","003N8EMH8GTFRCSWKMPXRRESE","GSON1242152101")</f>
        <v>#NAME?</v>
      </c>
      <c r="E2688" s="23" t="e">
        <f ca="1">[1]!BexGetData("DP_1","003N8EMH8GTFRCSWKMPXRRL3Y","GSON1242152101")</f>
        <v>#NAME?</v>
      </c>
      <c r="F2688" s="23" t="e">
        <f ca="1">[1]!BexGetData("DP_1","003N8EMH8GTFRCSWKMPXRRRFI","GSON1242152101")</f>
        <v>#NAME?</v>
      </c>
      <c r="G2688" s="23" t="e">
        <f ca="1">[1]!BexGetData("DP_1","003N8EMH8GTFRCSWKMPXRRXR2","GSON1242152101")</f>
        <v>#NAME?</v>
      </c>
      <c r="H2688" s="23" t="e">
        <f ca="1">[1]!BexGetData("DP_1","003N8EMH8GTFRCSWKMPXRS42M","GSON1242152101")</f>
        <v>#NAME?</v>
      </c>
      <c r="I2688" s="23" t="e">
        <f ca="1">[1]!BexGetData("DP_1","003N8EMH8GTFRCSWKMPXRSAE6","GSON1242152101")</f>
        <v>#NAME?</v>
      </c>
      <c r="J2688" s="23" t="e">
        <f ca="1">[1]!BexGetData("DP_1","003N8EMH8GTFRCSWKMPXRSGPQ","GSON1242152101")</f>
        <v>#NAME?</v>
      </c>
      <c r="K2688" s="23" t="e">
        <f ca="1">[1]!BexGetData("DP_1","003N8EMH8GTFRIVNUPY288VJH","GSON1242152101")</f>
        <v>#NAME?</v>
      </c>
      <c r="L2688" s="23" t="e">
        <f ca="1">[1]!BexGetData("DP_1","003N8EMH8GTFRIVNUPY2891V1","GSON1242152101")</f>
        <v>#NAME?</v>
      </c>
      <c r="M2688" s="28" t="e">
        <f ca="1">[1]!BexGetData("DP_1","003N8EMH8GTFRIVOG7KG9IQXA","GSON1242152101")</f>
        <v>#NAME?</v>
      </c>
      <c r="N2688" s="23" t="e">
        <f ca="1">[1]!BexGetData("DP_1","003N8EMH8GTFRIVOG7KG9IX8U","GSON1242152101")</f>
        <v>#NAME?</v>
      </c>
      <c r="O2688" s="28" t="e">
        <f ca="1">[1]!BexGetData("DP_1","003N8EMH8GTFRIVOG7KG9J3KE","GSON1242152101")</f>
        <v>#NAME?</v>
      </c>
      <c r="P2688" s="23" t="e">
        <f ca="1">[1]!BexGetData("DP_1","003N8EMH8GTFRIVOG7KG9J9VY","GSON1242152101")</f>
        <v>#NAME?</v>
      </c>
      <c r="Q2688" s="23" t="e">
        <f ca="1">[1]!BexGetData("DP_1","00O2TNJGODT0G5Z4TTKYMM5MT","GSON1242152101")</f>
        <v>#NAME?</v>
      </c>
      <c r="R2688" s="23" t="e">
        <f ca="1">[1]!BexGetData("DP_1","00O2TNJGODT0G5Z4TTKYMMBYD","GSON1242152101")</f>
        <v>#NAME?</v>
      </c>
      <c r="S2688" s="23" t="e">
        <f ca="1">[1]!BexGetData("DP_1","00O2TNJGODT0G5Z4TTKYMMI9X","GSON1242152101")</f>
        <v>#NAME?</v>
      </c>
      <c r="T2688" s="28" t="e">
        <f ca="1">[1]!BexGetData("DP_1","00O2TNJGODT0G5Z4TTKYMMOLH","GSON1242152101")</f>
        <v>#NAME?</v>
      </c>
      <c r="U2688" s="23" t="e">
        <f ca="1">[1]!BexGetData("DP_1","00O2TNJGODT0G5Z4TTKYMMUX1","GSON1242152101")</f>
        <v>#NAME?</v>
      </c>
      <c r="V2688" s="28" t="e">
        <f ca="1">[1]!BexGetData("DP_1","00O2TNJGODT0G5Z4TTKYMN18L","GSON1242152101")</f>
        <v>#NAME?</v>
      </c>
      <c r="W2688" s="23" t="e">
        <f ca="1">[1]!BexGetData("DP_1","00O2TNJGODT0G5Z4TTKYMN7K5","GSON1242152101")</f>
        <v>#NAME?</v>
      </c>
    </row>
    <row r="2689" spans="1:23" x14ac:dyDescent="0.2">
      <c r="A2689" s="36" t="s">
        <v>6095</v>
      </c>
      <c r="B2689" s="27" t="s">
        <v>6096</v>
      </c>
      <c r="C2689" s="28" t="e">
        <f ca="1">[1]!BexGetData("DP_1","003N8EMH8GTFRCSWKMPXRR8GU","GSON1242252200")</f>
        <v>#NAME?</v>
      </c>
      <c r="D2689" s="28" t="e">
        <f ca="1">[1]!BexGetData("DP_1","003N8EMH8GTFRCSWKMPXRRESE","GSON1242252200")</f>
        <v>#NAME?</v>
      </c>
      <c r="E2689" s="23" t="e">
        <f ca="1">[1]!BexGetData("DP_1","003N8EMH8GTFRCSWKMPXRRL3Y","GSON1242252200")</f>
        <v>#NAME?</v>
      </c>
      <c r="F2689" s="23" t="e">
        <f ca="1">[1]!BexGetData("DP_1","003N8EMH8GTFRCSWKMPXRRRFI","GSON1242252200")</f>
        <v>#NAME?</v>
      </c>
      <c r="G2689" s="28" t="e">
        <f ca="1">[1]!BexGetData("DP_1","003N8EMH8GTFRCSWKMPXRRXR2","GSON1242252200")</f>
        <v>#NAME?</v>
      </c>
      <c r="H2689" s="28" t="e">
        <f ca="1">[1]!BexGetData("DP_1","003N8EMH8GTFRCSWKMPXRS42M","GSON1242252200")</f>
        <v>#NAME?</v>
      </c>
      <c r="I2689" s="23" t="e">
        <f ca="1">[1]!BexGetData("DP_1","003N8EMH8GTFRCSWKMPXRSAE6","GSON1242252200")</f>
        <v>#NAME?</v>
      </c>
      <c r="J2689" s="23" t="e">
        <f ca="1">[1]!BexGetData("DP_1","003N8EMH8GTFRCSWKMPXRSGPQ","GSON1242252200")</f>
        <v>#NAME?</v>
      </c>
      <c r="K2689" s="28" t="e">
        <f ca="1">[1]!BexGetData("DP_1","003N8EMH8GTFRIVNUPY288VJH","GSON1242252200")</f>
        <v>#NAME?</v>
      </c>
      <c r="L2689" s="28" t="e">
        <f ca="1">[1]!BexGetData("DP_1","003N8EMH8GTFRIVNUPY2891V1","GSON1242252200")</f>
        <v>#NAME?</v>
      </c>
      <c r="M2689" s="28" t="e">
        <f ca="1">[1]!BexGetData("DP_1","003N8EMH8GTFRIVOG7KG9IQXA","GSON1242252200")</f>
        <v>#NAME?</v>
      </c>
      <c r="N2689" s="28" t="e">
        <f ca="1">[1]!BexGetData("DP_1","003N8EMH8GTFRIVOG7KG9IX8U","GSON1242252200")</f>
        <v>#NAME?</v>
      </c>
      <c r="O2689" s="28" t="e">
        <f ca="1">[1]!BexGetData("DP_1","003N8EMH8GTFRIVOG7KG9J3KE","GSON1242252200")</f>
        <v>#NAME?</v>
      </c>
      <c r="P2689" s="28" t="e">
        <f ca="1">[1]!BexGetData("DP_1","003N8EMH8GTFRIVOG7KG9J9VY","GSON1242252200")</f>
        <v>#NAME?</v>
      </c>
      <c r="Q2689" s="23" t="e">
        <f ca="1">[1]!BexGetData("DP_1","00O2TNJGODT0G5Z4TTKYMM5MT","GSON1242252200")</f>
        <v>#NAME?</v>
      </c>
      <c r="R2689" s="28" t="e">
        <f ca="1">[1]!BexGetData("DP_1","00O2TNJGODT0G5Z4TTKYMMBYD","GSON1242252200")</f>
        <v>#NAME?</v>
      </c>
      <c r="S2689" s="28" t="e">
        <f ca="1">[1]!BexGetData("DP_1","00O2TNJGODT0G5Z4TTKYMMI9X","GSON1242252200")</f>
        <v>#NAME?</v>
      </c>
      <c r="T2689" s="28" t="e">
        <f ca="1">[1]!BexGetData("DP_1","00O2TNJGODT0G5Z4TTKYMMOLH","GSON1242252200")</f>
        <v>#NAME?</v>
      </c>
      <c r="U2689" s="28" t="e">
        <f ca="1">[1]!BexGetData("DP_1","00O2TNJGODT0G5Z4TTKYMMUX1","GSON1242252200")</f>
        <v>#NAME?</v>
      </c>
      <c r="V2689" s="28" t="e">
        <f ca="1">[1]!BexGetData("DP_1","00O2TNJGODT0G5Z4TTKYMN18L","GSON1242252200")</f>
        <v>#NAME?</v>
      </c>
      <c r="W2689" s="28" t="e">
        <f ca="1">[1]!BexGetData("DP_1","00O2TNJGODT0G5Z4TTKYMN7K5","GSON1242252200")</f>
        <v>#NAME?</v>
      </c>
    </row>
    <row r="2690" spans="1:23" x14ac:dyDescent="0.2">
      <c r="A2690" s="36" t="s">
        <v>6097</v>
      </c>
      <c r="B2690" s="27" t="s">
        <v>6098</v>
      </c>
      <c r="C2690" s="28" t="e">
        <f ca="1">[1]!BexGetData("DP_1","003N8EMH8GTFRCSWKMPXRR8GU","GSON1242252201")</f>
        <v>#NAME?</v>
      </c>
      <c r="D2690" s="28" t="e">
        <f ca="1">[1]!BexGetData("DP_1","003N8EMH8GTFRCSWKMPXRRESE","GSON1242252201")</f>
        <v>#NAME?</v>
      </c>
      <c r="E2690" s="23" t="e">
        <f ca="1">[1]!BexGetData("DP_1","003N8EMH8GTFRCSWKMPXRRL3Y","GSON1242252201")</f>
        <v>#NAME?</v>
      </c>
      <c r="F2690" s="23" t="e">
        <f ca="1">[1]!BexGetData("DP_1","003N8EMH8GTFRCSWKMPXRRRFI","GSON1242252201")</f>
        <v>#NAME?</v>
      </c>
      <c r="G2690" s="23" t="e">
        <f ca="1">[1]!BexGetData("DP_1","003N8EMH8GTFRCSWKMPXRRXR2","GSON1242252201")</f>
        <v>#NAME?</v>
      </c>
      <c r="H2690" s="28" t="e">
        <f ca="1">[1]!BexGetData("DP_1","003N8EMH8GTFRCSWKMPXRS42M","GSON1242252201")</f>
        <v>#NAME?</v>
      </c>
      <c r="I2690" s="23" t="e">
        <f ca="1">[1]!BexGetData("DP_1","003N8EMH8GTFRCSWKMPXRSAE6","GSON1242252201")</f>
        <v>#NAME?</v>
      </c>
      <c r="J2690" s="23" t="e">
        <f ca="1">[1]!BexGetData("DP_1","003N8EMH8GTFRCSWKMPXRSGPQ","GSON1242252201")</f>
        <v>#NAME?</v>
      </c>
      <c r="K2690" s="28" t="e">
        <f ca="1">[1]!BexGetData("DP_1","003N8EMH8GTFRIVNUPY288VJH","GSON1242252201")</f>
        <v>#NAME?</v>
      </c>
      <c r="L2690" s="28" t="e">
        <f ca="1">[1]!BexGetData("DP_1","003N8EMH8GTFRIVNUPY2891V1","GSON1242252201")</f>
        <v>#NAME?</v>
      </c>
      <c r="M2690" s="28" t="e">
        <f ca="1">[1]!BexGetData("DP_1","003N8EMH8GTFRIVOG7KG9IQXA","GSON1242252201")</f>
        <v>#NAME?</v>
      </c>
      <c r="N2690" s="28" t="e">
        <f ca="1">[1]!BexGetData("DP_1","003N8EMH8GTFRIVOG7KG9IX8U","GSON1242252201")</f>
        <v>#NAME?</v>
      </c>
      <c r="O2690" s="28" t="e">
        <f ca="1">[1]!BexGetData("DP_1","003N8EMH8GTFRIVOG7KG9J3KE","GSON1242252201")</f>
        <v>#NAME?</v>
      </c>
      <c r="P2690" s="28" t="e">
        <f ca="1">[1]!BexGetData("DP_1","003N8EMH8GTFRIVOG7KG9J9VY","GSON1242252201")</f>
        <v>#NAME?</v>
      </c>
      <c r="Q2690" s="23" t="e">
        <f ca="1">[1]!BexGetData("DP_1","00O2TNJGODT0G5Z4TTKYMM5MT","GSON1242252201")</f>
        <v>#NAME?</v>
      </c>
      <c r="R2690" s="23" t="e">
        <f ca="1">[1]!BexGetData("DP_1","00O2TNJGODT0G5Z4TTKYMMBYD","GSON1242252201")</f>
        <v>#NAME?</v>
      </c>
      <c r="S2690" s="23" t="e">
        <f ca="1">[1]!BexGetData("DP_1","00O2TNJGODT0G5Z4TTKYMMI9X","GSON1242252201")</f>
        <v>#NAME?</v>
      </c>
      <c r="T2690" s="28" t="e">
        <f ca="1">[1]!BexGetData("DP_1","00O2TNJGODT0G5Z4TTKYMMOLH","GSON1242252201")</f>
        <v>#NAME?</v>
      </c>
      <c r="U2690" s="23" t="e">
        <f ca="1">[1]!BexGetData("DP_1","00O2TNJGODT0G5Z4TTKYMMUX1","GSON1242252201")</f>
        <v>#NAME?</v>
      </c>
      <c r="V2690" s="28" t="e">
        <f ca="1">[1]!BexGetData("DP_1","00O2TNJGODT0G5Z4TTKYMN18L","GSON1242252201")</f>
        <v>#NAME?</v>
      </c>
      <c r="W2690" s="23" t="e">
        <f ca="1">[1]!BexGetData("DP_1","00O2TNJGODT0G5Z4TTKYMN7K5","GSON1242252201")</f>
        <v>#NAME?</v>
      </c>
    </row>
    <row r="2691" spans="1:23" x14ac:dyDescent="0.2">
      <c r="A2691" s="36" t="s">
        <v>1321</v>
      </c>
      <c r="B2691" s="27" t="s">
        <v>1322</v>
      </c>
      <c r="C2691" s="28" t="e">
        <f ca="1">[1]!BexGetData("DP_1","003N8EMH8GTFRCSWKMPXRR8GU","GSON1242352300")</f>
        <v>#NAME?</v>
      </c>
      <c r="D2691" s="28" t="e">
        <f ca="1">[1]!BexGetData("DP_1","003N8EMH8GTFRCSWKMPXRRESE","GSON1242352300")</f>
        <v>#NAME?</v>
      </c>
      <c r="E2691" s="23" t="e">
        <f ca="1">[1]!BexGetData("DP_1","003N8EMH8GTFRCSWKMPXRRL3Y","GSON1242352300")</f>
        <v>#NAME?</v>
      </c>
      <c r="F2691" s="23" t="e">
        <f ca="1">[1]!BexGetData("DP_1","003N8EMH8GTFRCSWKMPXRRRFI","GSON1242352300")</f>
        <v>#NAME?</v>
      </c>
      <c r="G2691" s="28" t="e">
        <f ca="1">[1]!BexGetData("DP_1","003N8EMH8GTFRCSWKMPXRRXR2","GSON1242352300")</f>
        <v>#NAME?</v>
      </c>
      <c r="H2691" s="23" t="e">
        <f ca="1">[1]!BexGetData("DP_1","003N8EMH8GTFRCSWKMPXRS42M","GSON1242352300")</f>
        <v>#NAME?</v>
      </c>
      <c r="I2691" s="23" t="e">
        <f ca="1">[1]!BexGetData("DP_1","003N8EMH8GTFRCSWKMPXRSAE6","GSON1242352300")</f>
        <v>#NAME?</v>
      </c>
      <c r="J2691" s="23" t="e">
        <f ca="1">[1]!BexGetData("DP_1","003N8EMH8GTFRCSWKMPXRSGPQ","GSON1242352300")</f>
        <v>#NAME?</v>
      </c>
      <c r="K2691" s="28" t="e">
        <f ca="1">[1]!BexGetData("DP_1","003N8EMH8GTFRIVNUPY288VJH","GSON1242352300")</f>
        <v>#NAME?</v>
      </c>
      <c r="L2691" s="28" t="e">
        <f ca="1">[1]!BexGetData("DP_1","003N8EMH8GTFRIVNUPY2891V1","GSON1242352300")</f>
        <v>#NAME?</v>
      </c>
      <c r="M2691" s="28" t="e">
        <f ca="1">[1]!BexGetData("DP_1","003N8EMH8GTFRIVOG7KG9IQXA","GSON1242352300")</f>
        <v>#NAME?</v>
      </c>
      <c r="N2691" s="28" t="e">
        <f ca="1">[1]!BexGetData("DP_1","003N8EMH8GTFRIVOG7KG9IX8U","GSON1242352300")</f>
        <v>#NAME?</v>
      </c>
      <c r="O2691" s="28" t="e">
        <f ca="1">[1]!BexGetData("DP_1","003N8EMH8GTFRIVOG7KG9J3KE","GSON1242352300")</f>
        <v>#NAME?</v>
      </c>
      <c r="P2691" s="28" t="e">
        <f ca="1">[1]!BexGetData("DP_1","003N8EMH8GTFRIVOG7KG9J9VY","GSON1242352300")</f>
        <v>#NAME?</v>
      </c>
      <c r="Q2691" s="23" t="e">
        <f ca="1">[1]!BexGetData("DP_1","00O2TNJGODT0G5Z4TTKYMM5MT","GSON1242352300")</f>
        <v>#NAME?</v>
      </c>
      <c r="R2691" s="23" t="e">
        <f ca="1">[1]!BexGetData("DP_1","00O2TNJGODT0G5Z4TTKYMMBYD","GSON1242352300")</f>
        <v>#NAME?</v>
      </c>
      <c r="S2691" s="23" t="e">
        <f ca="1">[1]!BexGetData("DP_1","00O2TNJGODT0G5Z4TTKYMMI9X","GSON1242352300")</f>
        <v>#NAME?</v>
      </c>
      <c r="T2691" s="23" t="e">
        <f ca="1">[1]!BexGetData("DP_1","00O2TNJGODT0G5Z4TTKYMMOLH","GSON1242352300")</f>
        <v>#NAME?</v>
      </c>
      <c r="U2691" s="28" t="e">
        <f ca="1">[1]!BexGetData("DP_1","00O2TNJGODT0G5Z4TTKYMMUX1","GSON1242352300")</f>
        <v>#NAME?</v>
      </c>
      <c r="V2691" s="23" t="e">
        <f ca="1">[1]!BexGetData("DP_1","00O2TNJGODT0G5Z4TTKYMN18L","GSON1242352300")</f>
        <v>#NAME?</v>
      </c>
      <c r="W2691" s="28" t="e">
        <f ca="1">[1]!BexGetData("DP_1","00O2TNJGODT0G5Z4TTKYMN7K5","GSON1242352300")</f>
        <v>#NAME?</v>
      </c>
    </row>
    <row r="2692" spans="1:23" x14ac:dyDescent="0.2">
      <c r="A2692" s="36" t="s">
        <v>1323</v>
      </c>
      <c r="B2692" s="27" t="s">
        <v>1324</v>
      </c>
      <c r="C2692" s="23" t="e">
        <f ca="1">[1]!BexGetData("DP_1","003N8EMH8GTFRCSWKMPXRR8GU","GSON1242352301")</f>
        <v>#NAME?</v>
      </c>
      <c r="D2692" s="23" t="e">
        <f ca="1">[1]!BexGetData("DP_1","003N8EMH8GTFRCSWKMPXRRESE","GSON1242352301")</f>
        <v>#NAME?</v>
      </c>
      <c r="E2692" s="23" t="e">
        <f ca="1">[1]!BexGetData("DP_1","003N8EMH8GTFRCSWKMPXRRL3Y","GSON1242352301")</f>
        <v>#NAME?</v>
      </c>
      <c r="F2692" s="23" t="e">
        <f ca="1">[1]!BexGetData("DP_1","003N8EMH8GTFRCSWKMPXRRRFI","GSON1242352301")</f>
        <v>#NAME?</v>
      </c>
      <c r="G2692" s="23" t="e">
        <f ca="1">[1]!BexGetData("DP_1","003N8EMH8GTFRCSWKMPXRRXR2","GSON1242352301")</f>
        <v>#NAME?</v>
      </c>
      <c r="H2692" s="23" t="e">
        <f ca="1">[1]!BexGetData("DP_1","003N8EMH8GTFRCSWKMPXRS42M","GSON1242352301")</f>
        <v>#NAME?</v>
      </c>
      <c r="I2692" s="23" t="e">
        <f ca="1">[1]!BexGetData("DP_1","003N8EMH8GTFRCSWKMPXRSAE6","GSON1242352301")</f>
        <v>#NAME?</v>
      </c>
      <c r="J2692" s="23" t="e">
        <f ca="1">[1]!BexGetData("DP_1","003N8EMH8GTFRCSWKMPXRSGPQ","GSON1242352301")</f>
        <v>#NAME?</v>
      </c>
      <c r="K2692" s="23" t="e">
        <f ca="1">[1]!BexGetData("DP_1","003N8EMH8GTFRIVNUPY288VJH","GSON1242352301")</f>
        <v>#NAME?</v>
      </c>
      <c r="L2692" s="23" t="e">
        <f ca="1">[1]!BexGetData("DP_1","003N8EMH8GTFRIVNUPY2891V1","GSON1242352301")</f>
        <v>#NAME?</v>
      </c>
      <c r="M2692" s="28" t="e">
        <f ca="1">[1]!BexGetData("DP_1","003N8EMH8GTFRIVOG7KG9IQXA","GSON1242352301")</f>
        <v>#NAME?</v>
      </c>
      <c r="N2692" s="23" t="e">
        <f ca="1">[1]!BexGetData("DP_1","003N8EMH8GTFRIVOG7KG9IX8U","GSON1242352301")</f>
        <v>#NAME?</v>
      </c>
      <c r="O2692" s="28" t="e">
        <f ca="1">[1]!BexGetData("DP_1","003N8EMH8GTFRIVOG7KG9J3KE","GSON1242352301")</f>
        <v>#NAME?</v>
      </c>
      <c r="P2692" s="23" t="e">
        <f ca="1">[1]!BexGetData("DP_1","003N8EMH8GTFRIVOG7KG9J9VY","GSON1242352301")</f>
        <v>#NAME?</v>
      </c>
      <c r="Q2692" s="23" t="e">
        <f ca="1">[1]!BexGetData("DP_1","00O2TNJGODT0G5Z4TTKYMM5MT","GSON1242352301")</f>
        <v>#NAME?</v>
      </c>
      <c r="R2692" s="23" t="e">
        <f ca="1">[1]!BexGetData("DP_1","00O2TNJGODT0G5Z4TTKYMMBYD","GSON1242352301")</f>
        <v>#NAME?</v>
      </c>
      <c r="S2692" s="23" t="e">
        <f ca="1">[1]!BexGetData("DP_1","00O2TNJGODT0G5Z4TTKYMMI9X","GSON1242352301")</f>
        <v>#NAME?</v>
      </c>
      <c r="T2692" s="28" t="e">
        <f ca="1">[1]!BexGetData("DP_1","00O2TNJGODT0G5Z4TTKYMMOLH","GSON1242352301")</f>
        <v>#NAME?</v>
      </c>
      <c r="U2692" s="23" t="e">
        <f ca="1">[1]!BexGetData("DP_1","00O2TNJGODT0G5Z4TTKYMMUX1","GSON1242352301")</f>
        <v>#NAME?</v>
      </c>
      <c r="V2692" s="28" t="e">
        <f ca="1">[1]!BexGetData("DP_1","00O2TNJGODT0G5Z4TTKYMN18L","GSON1242352301")</f>
        <v>#NAME?</v>
      </c>
      <c r="W2692" s="23" t="e">
        <f ca="1">[1]!BexGetData("DP_1","00O2TNJGODT0G5Z4TTKYMN7K5","GSON1242352301")</f>
        <v>#NAME?</v>
      </c>
    </row>
    <row r="2693" spans="1:23" x14ac:dyDescent="0.2">
      <c r="A2693" s="36" t="s">
        <v>1325</v>
      </c>
      <c r="B2693" s="27" t="s">
        <v>1326</v>
      </c>
      <c r="C2693" s="28" t="e">
        <f ca="1">[1]!BexGetData("DP_1","003N8EMH8GTFRCSWKMPXRR8GU","GSON1242952900")</f>
        <v>#NAME?</v>
      </c>
      <c r="D2693" s="28" t="e">
        <f ca="1">[1]!BexGetData("DP_1","003N8EMH8GTFRCSWKMPXRRESE","GSON1242952900")</f>
        <v>#NAME?</v>
      </c>
      <c r="E2693" s="23" t="e">
        <f ca="1">[1]!BexGetData("DP_1","003N8EMH8GTFRCSWKMPXRRL3Y","GSON1242952900")</f>
        <v>#NAME?</v>
      </c>
      <c r="F2693" s="23" t="e">
        <f ca="1">[1]!BexGetData("DP_1","003N8EMH8GTFRCSWKMPXRRRFI","GSON1242952900")</f>
        <v>#NAME?</v>
      </c>
      <c r="G2693" s="28" t="e">
        <f ca="1">[1]!BexGetData("DP_1","003N8EMH8GTFRCSWKMPXRRXR2","GSON1242952900")</f>
        <v>#NAME?</v>
      </c>
      <c r="H2693" s="28" t="e">
        <f ca="1">[1]!BexGetData("DP_1","003N8EMH8GTFRCSWKMPXRS42M","GSON1242952900")</f>
        <v>#NAME?</v>
      </c>
      <c r="I2693" s="23" t="e">
        <f ca="1">[1]!BexGetData("DP_1","003N8EMH8GTFRCSWKMPXRSAE6","GSON1242952900")</f>
        <v>#NAME?</v>
      </c>
      <c r="J2693" s="23" t="e">
        <f ca="1">[1]!BexGetData("DP_1","003N8EMH8GTFRCSWKMPXRSGPQ","GSON1242952900")</f>
        <v>#NAME?</v>
      </c>
      <c r="K2693" s="28" t="e">
        <f ca="1">[1]!BexGetData("DP_1","003N8EMH8GTFRIVNUPY288VJH","GSON1242952900")</f>
        <v>#NAME?</v>
      </c>
      <c r="L2693" s="28" t="e">
        <f ca="1">[1]!BexGetData("DP_1","003N8EMH8GTFRIVNUPY2891V1","GSON1242952900")</f>
        <v>#NAME?</v>
      </c>
      <c r="M2693" s="28" t="e">
        <f ca="1">[1]!BexGetData("DP_1","003N8EMH8GTFRIVOG7KG9IQXA","GSON1242952900")</f>
        <v>#NAME?</v>
      </c>
      <c r="N2693" s="28" t="e">
        <f ca="1">[1]!BexGetData("DP_1","003N8EMH8GTFRIVOG7KG9IX8U","GSON1242952900")</f>
        <v>#NAME?</v>
      </c>
      <c r="O2693" s="28" t="e">
        <f ca="1">[1]!BexGetData("DP_1","003N8EMH8GTFRIVOG7KG9J3KE","GSON1242952900")</f>
        <v>#NAME?</v>
      </c>
      <c r="P2693" s="28" t="e">
        <f ca="1">[1]!BexGetData("DP_1","003N8EMH8GTFRIVOG7KG9J9VY","GSON1242952900")</f>
        <v>#NAME?</v>
      </c>
      <c r="Q2693" s="23" t="e">
        <f ca="1">[1]!BexGetData("DP_1","00O2TNJGODT0G5Z4TTKYMM5MT","GSON1242952900")</f>
        <v>#NAME?</v>
      </c>
      <c r="R2693" s="28" t="e">
        <f ca="1">[1]!BexGetData("DP_1","00O2TNJGODT0G5Z4TTKYMMBYD","GSON1242952900")</f>
        <v>#NAME?</v>
      </c>
      <c r="S2693" s="28" t="e">
        <f ca="1">[1]!BexGetData("DP_1","00O2TNJGODT0G5Z4TTKYMMI9X","GSON1242952900")</f>
        <v>#NAME?</v>
      </c>
      <c r="T2693" s="28" t="e">
        <f ca="1">[1]!BexGetData("DP_1","00O2TNJGODT0G5Z4TTKYMMOLH","GSON1242952900")</f>
        <v>#NAME?</v>
      </c>
      <c r="U2693" s="28" t="e">
        <f ca="1">[1]!BexGetData("DP_1","00O2TNJGODT0G5Z4TTKYMMUX1","GSON1242952900")</f>
        <v>#NAME?</v>
      </c>
      <c r="V2693" s="28" t="e">
        <f ca="1">[1]!BexGetData("DP_1","00O2TNJGODT0G5Z4TTKYMN18L","GSON1242952900")</f>
        <v>#NAME?</v>
      </c>
      <c r="W2693" s="28" t="e">
        <f ca="1">[1]!BexGetData("DP_1","00O2TNJGODT0G5Z4TTKYMN7K5","GSON1242952900")</f>
        <v>#NAME?</v>
      </c>
    </row>
    <row r="2694" spans="1:23" x14ac:dyDescent="0.2">
      <c r="A2694" s="36" t="s">
        <v>6099</v>
      </c>
      <c r="B2694" s="27" t="s">
        <v>6100</v>
      </c>
      <c r="C2694" s="23" t="e">
        <f ca="1">[1]!BexGetData("DP_1","003N8EMH8GTFRCSWKMPXRR8GU","GSON1242952901")</f>
        <v>#NAME?</v>
      </c>
      <c r="D2694" s="28" t="e">
        <f ca="1">[1]!BexGetData("DP_1","003N8EMH8GTFRCSWKMPXRRESE","GSON1242952901")</f>
        <v>#NAME?</v>
      </c>
      <c r="E2694" s="23" t="e">
        <f ca="1">[1]!BexGetData("DP_1","003N8EMH8GTFRCSWKMPXRRL3Y","GSON1242952901")</f>
        <v>#NAME?</v>
      </c>
      <c r="F2694" s="23" t="e">
        <f ca="1">[1]!BexGetData("DP_1","003N8EMH8GTFRCSWKMPXRRRFI","GSON1242952901")</f>
        <v>#NAME?</v>
      </c>
      <c r="G2694" s="28" t="e">
        <f ca="1">[1]!BexGetData("DP_1","003N8EMH8GTFRCSWKMPXRRXR2","GSON1242952901")</f>
        <v>#NAME?</v>
      </c>
      <c r="H2694" s="28" t="e">
        <f ca="1">[1]!BexGetData("DP_1","003N8EMH8GTFRCSWKMPXRS42M","GSON1242952901")</f>
        <v>#NAME?</v>
      </c>
      <c r="I2694" s="23" t="e">
        <f ca="1">[1]!BexGetData("DP_1","003N8EMH8GTFRCSWKMPXRSAE6","GSON1242952901")</f>
        <v>#NAME?</v>
      </c>
      <c r="J2694" s="23" t="e">
        <f ca="1">[1]!BexGetData("DP_1","003N8EMH8GTFRCSWKMPXRSGPQ","GSON1242952901")</f>
        <v>#NAME?</v>
      </c>
      <c r="K2694" s="23" t="e">
        <f ca="1">[1]!BexGetData("DP_1","003N8EMH8GTFRIVNUPY288VJH","GSON1242952901")</f>
        <v>#NAME?</v>
      </c>
      <c r="L2694" s="23" t="e">
        <f ca="1">[1]!BexGetData("DP_1","003N8EMH8GTFRIVNUPY2891V1","GSON1242952901")</f>
        <v>#NAME?</v>
      </c>
      <c r="M2694" s="28" t="e">
        <f ca="1">[1]!BexGetData("DP_1","003N8EMH8GTFRIVOG7KG9IQXA","GSON1242952901")</f>
        <v>#NAME?</v>
      </c>
      <c r="N2694" s="23" t="e">
        <f ca="1">[1]!BexGetData("DP_1","003N8EMH8GTFRIVOG7KG9IX8U","GSON1242952901")</f>
        <v>#NAME?</v>
      </c>
      <c r="O2694" s="28" t="e">
        <f ca="1">[1]!BexGetData("DP_1","003N8EMH8GTFRIVOG7KG9J3KE","GSON1242952901")</f>
        <v>#NAME?</v>
      </c>
      <c r="P2694" s="23" t="e">
        <f ca="1">[1]!BexGetData("DP_1","003N8EMH8GTFRIVOG7KG9J9VY","GSON1242952901")</f>
        <v>#NAME?</v>
      </c>
      <c r="Q2694" s="23" t="e">
        <f ca="1">[1]!BexGetData("DP_1","00O2TNJGODT0G5Z4TTKYMM5MT","GSON1242952901")</f>
        <v>#NAME?</v>
      </c>
      <c r="R2694" s="28" t="e">
        <f ca="1">[1]!BexGetData("DP_1","00O2TNJGODT0G5Z4TTKYMMBYD","GSON1242952901")</f>
        <v>#NAME?</v>
      </c>
      <c r="S2694" s="28" t="e">
        <f ca="1">[1]!BexGetData("DP_1","00O2TNJGODT0G5Z4TTKYMMI9X","GSON1242952901")</f>
        <v>#NAME?</v>
      </c>
      <c r="T2694" s="28" t="e">
        <f ca="1">[1]!BexGetData("DP_1","00O2TNJGODT0G5Z4TTKYMMOLH","GSON1242952901")</f>
        <v>#NAME?</v>
      </c>
      <c r="U2694" s="28" t="e">
        <f ca="1">[1]!BexGetData("DP_1","00O2TNJGODT0G5Z4TTKYMMUX1","GSON1242952901")</f>
        <v>#NAME?</v>
      </c>
      <c r="V2694" s="28" t="e">
        <f ca="1">[1]!BexGetData("DP_1","00O2TNJGODT0G5Z4TTKYMN18L","GSON1242952901")</f>
        <v>#NAME?</v>
      </c>
      <c r="W2694" s="28" t="e">
        <f ca="1">[1]!BexGetData("DP_1","00O2TNJGODT0G5Z4TTKYMN7K5","GSON1242952901")</f>
        <v>#NAME?</v>
      </c>
    </row>
    <row r="2695" spans="1:23" x14ac:dyDescent="0.2">
      <c r="A2695" s="35" t="s">
        <v>1327</v>
      </c>
      <c r="B2695" s="27" t="s">
        <v>1328</v>
      </c>
      <c r="C2695" s="23" t="e">
        <f ca="1">[1]!BexGetData("DP_1","003N8EMH8GTFRCSWKMPXRR8GU","GSON1243")</f>
        <v>#NAME?</v>
      </c>
      <c r="D2695" s="23" t="e">
        <f ca="1">[1]!BexGetData("DP_1","003N8EMH8GTFRCSWKMPXRRESE","GSON1243")</f>
        <v>#NAME?</v>
      </c>
      <c r="E2695" s="23" t="e">
        <f ca="1">[1]!BexGetData("DP_1","003N8EMH8GTFRCSWKMPXRRL3Y","GSON1243")</f>
        <v>#NAME?</v>
      </c>
      <c r="F2695" s="23" t="e">
        <f ca="1">[1]!BexGetData("DP_1","003N8EMH8GTFRCSWKMPXRRRFI","GSON1243")</f>
        <v>#NAME?</v>
      </c>
      <c r="G2695" s="23" t="e">
        <f ca="1">[1]!BexGetData("DP_1","003N8EMH8GTFRCSWKMPXRRXR2","GSON1243")</f>
        <v>#NAME?</v>
      </c>
      <c r="H2695" s="23" t="e">
        <f ca="1">[1]!BexGetData("DP_1","003N8EMH8GTFRCSWKMPXRS42M","GSON1243")</f>
        <v>#NAME?</v>
      </c>
      <c r="I2695" s="23" t="e">
        <f ca="1">[1]!BexGetData("DP_1","003N8EMH8GTFRCSWKMPXRSAE6","GSON1243")</f>
        <v>#NAME?</v>
      </c>
      <c r="J2695" s="23" t="e">
        <f ca="1">[1]!BexGetData("DP_1","003N8EMH8GTFRCSWKMPXRSGPQ","GSON1243")</f>
        <v>#NAME?</v>
      </c>
      <c r="K2695" s="23" t="e">
        <f ca="1">[1]!BexGetData("DP_1","003N8EMH8GTFRIVNUPY288VJH","GSON1243")</f>
        <v>#NAME?</v>
      </c>
      <c r="L2695" s="23" t="e">
        <f ca="1">[1]!BexGetData("DP_1","003N8EMH8GTFRIVNUPY2891V1","GSON1243")</f>
        <v>#NAME?</v>
      </c>
      <c r="M2695" s="28" t="e">
        <f ca="1">[1]!BexGetData("DP_1","003N8EMH8GTFRIVOG7KG9IQXA","GSON1243")</f>
        <v>#NAME?</v>
      </c>
      <c r="N2695" s="23" t="e">
        <f ca="1">[1]!BexGetData("DP_1","003N8EMH8GTFRIVOG7KG9IX8U","GSON1243")</f>
        <v>#NAME?</v>
      </c>
      <c r="O2695" s="28" t="e">
        <f ca="1">[1]!BexGetData("DP_1","003N8EMH8GTFRIVOG7KG9J3KE","GSON1243")</f>
        <v>#NAME?</v>
      </c>
      <c r="P2695" s="23" t="e">
        <f ca="1">[1]!BexGetData("DP_1","003N8EMH8GTFRIVOG7KG9J9VY","GSON1243")</f>
        <v>#NAME?</v>
      </c>
      <c r="Q2695" s="23" t="e">
        <f ca="1">[1]!BexGetData("DP_1","00O2TNJGODT0G5Z4TTKYMM5MT","GSON1243")</f>
        <v>#NAME?</v>
      </c>
      <c r="R2695" s="23" t="e">
        <f ca="1">[1]!BexGetData("DP_1","00O2TNJGODT0G5Z4TTKYMMBYD","GSON1243")</f>
        <v>#NAME?</v>
      </c>
      <c r="S2695" s="23" t="e">
        <f ca="1">[1]!BexGetData("DP_1","00O2TNJGODT0G5Z4TTKYMMI9X","GSON1243")</f>
        <v>#NAME?</v>
      </c>
      <c r="T2695" s="28" t="e">
        <f ca="1">[1]!BexGetData("DP_1","00O2TNJGODT0G5Z4TTKYMMOLH","GSON1243")</f>
        <v>#NAME?</v>
      </c>
      <c r="U2695" s="23" t="e">
        <f ca="1">[1]!BexGetData("DP_1","00O2TNJGODT0G5Z4TTKYMMUX1","GSON1243")</f>
        <v>#NAME?</v>
      </c>
      <c r="V2695" s="28" t="e">
        <f ca="1">[1]!BexGetData("DP_1","00O2TNJGODT0G5Z4TTKYMN18L","GSON1243")</f>
        <v>#NAME?</v>
      </c>
      <c r="W2695" s="23" t="e">
        <f ca="1">[1]!BexGetData("DP_1","00O2TNJGODT0G5Z4TTKYMN7K5","GSON1243")</f>
        <v>#NAME?</v>
      </c>
    </row>
    <row r="2696" spans="1:23" x14ac:dyDescent="0.2">
      <c r="A2696" s="36" t="s">
        <v>1329</v>
      </c>
      <c r="B2696" s="27" t="s">
        <v>1330</v>
      </c>
      <c r="C2696" s="28" t="e">
        <f ca="1">[1]!BexGetData("DP_1","003N8EMH8GTFRCSWKMPXRR8GU","GSON1243153100")</f>
        <v>#NAME?</v>
      </c>
      <c r="D2696" s="28" t="e">
        <f ca="1">[1]!BexGetData("DP_1","003N8EMH8GTFRCSWKMPXRRESE","GSON1243153100")</f>
        <v>#NAME?</v>
      </c>
      <c r="E2696" s="23" t="e">
        <f ca="1">[1]!BexGetData("DP_1","003N8EMH8GTFRCSWKMPXRRL3Y","GSON1243153100")</f>
        <v>#NAME?</v>
      </c>
      <c r="F2696" s="23" t="e">
        <f ca="1">[1]!BexGetData("DP_1","003N8EMH8GTFRCSWKMPXRRRFI","GSON1243153100")</f>
        <v>#NAME?</v>
      </c>
      <c r="G2696" s="28" t="e">
        <f ca="1">[1]!BexGetData("DP_1","003N8EMH8GTFRCSWKMPXRRXR2","GSON1243153100")</f>
        <v>#NAME?</v>
      </c>
      <c r="H2696" s="28" t="e">
        <f ca="1">[1]!BexGetData("DP_1","003N8EMH8GTFRCSWKMPXRS42M","GSON1243153100")</f>
        <v>#NAME?</v>
      </c>
      <c r="I2696" s="23" t="e">
        <f ca="1">[1]!BexGetData("DP_1","003N8EMH8GTFRCSWKMPXRSAE6","GSON1243153100")</f>
        <v>#NAME?</v>
      </c>
      <c r="J2696" s="23" t="e">
        <f ca="1">[1]!BexGetData("DP_1","003N8EMH8GTFRCSWKMPXRSGPQ","GSON1243153100")</f>
        <v>#NAME?</v>
      </c>
      <c r="K2696" s="28" t="e">
        <f ca="1">[1]!BexGetData("DP_1","003N8EMH8GTFRIVNUPY288VJH","GSON1243153100")</f>
        <v>#NAME?</v>
      </c>
      <c r="L2696" s="28" t="e">
        <f ca="1">[1]!BexGetData("DP_1","003N8EMH8GTFRIVNUPY2891V1","GSON1243153100")</f>
        <v>#NAME?</v>
      </c>
      <c r="M2696" s="28" t="e">
        <f ca="1">[1]!BexGetData("DP_1","003N8EMH8GTFRIVOG7KG9IQXA","GSON1243153100")</f>
        <v>#NAME?</v>
      </c>
      <c r="N2696" s="28" t="e">
        <f ca="1">[1]!BexGetData("DP_1","003N8EMH8GTFRIVOG7KG9IX8U","GSON1243153100")</f>
        <v>#NAME?</v>
      </c>
      <c r="O2696" s="28" t="e">
        <f ca="1">[1]!BexGetData("DP_1","003N8EMH8GTFRIVOG7KG9J3KE","GSON1243153100")</f>
        <v>#NAME?</v>
      </c>
      <c r="P2696" s="28" t="e">
        <f ca="1">[1]!BexGetData("DP_1","003N8EMH8GTFRIVOG7KG9J9VY","GSON1243153100")</f>
        <v>#NAME?</v>
      </c>
      <c r="Q2696" s="23" t="e">
        <f ca="1">[1]!BexGetData("DP_1","00O2TNJGODT0G5Z4TTKYMM5MT","GSON1243153100")</f>
        <v>#NAME?</v>
      </c>
      <c r="R2696" s="28" t="e">
        <f ca="1">[1]!BexGetData("DP_1","00O2TNJGODT0G5Z4TTKYMMBYD","GSON1243153100")</f>
        <v>#NAME?</v>
      </c>
      <c r="S2696" s="28" t="e">
        <f ca="1">[1]!BexGetData("DP_1","00O2TNJGODT0G5Z4TTKYMMI9X","GSON1243153100")</f>
        <v>#NAME?</v>
      </c>
      <c r="T2696" s="28" t="e">
        <f ca="1">[1]!BexGetData("DP_1","00O2TNJGODT0G5Z4TTKYMMOLH","GSON1243153100")</f>
        <v>#NAME?</v>
      </c>
      <c r="U2696" s="28" t="e">
        <f ca="1">[1]!BexGetData("DP_1","00O2TNJGODT0G5Z4TTKYMMUX1","GSON1243153100")</f>
        <v>#NAME?</v>
      </c>
      <c r="V2696" s="28" t="e">
        <f ca="1">[1]!BexGetData("DP_1","00O2TNJGODT0G5Z4TTKYMN18L","GSON1243153100")</f>
        <v>#NAME?</v>
      </c>
      <c r="W2696" s="28" t="e">
        <f ca="1">[1]!BexGetData("DP_1","00O2TNJGODT0G5Z4TTKYMN7K5","GSON1243153100")</f>
        <v>#NAME?</v>
      </c>
    </row>
    <row r="2697" spans="1:23" x14ac:dyDescent="0.2">
      <c r="A2697" s="36" t="s">
        <v>1331</v>
      </c>
      <c r="B2697" s="27" t="s">
        <v>1332</v>
      </c>
      <c r="C2697" s="23" t="e">
        <f ca="1">[1]!BexGetData("DP_1","003N8EMH8GTFRCSWKMPXRR8GU","GSON1243153101")</f>
        <v>#NAME?</v>
      </c>
      <c r="D2697" s="23" t="e">
        <f ca="1">[1]!BexGetData("DP_1","003N8EMH8GTFRCSWKMPXRRESE","GSON1243153101")</f>
        <v>#NAME?</v>
      </c>
      <c r="E2697" s="23" t="e">
        <f ca="1">[1]!BexGetData("DP_1","003N8EMH8GTFRCSWKMPXRRL3Y","GSON1243153101")</f>
        <v>#NAME?</v>
      </c>
      <c r="F2697" s="23" t="e">
        <f ca="1">[1]!BexGetData("DP_1","003N8EMH8GTFRCSWKMPXRRRFI","GSON1243153101")</f>
        <v>#NAME?</v>
      </c>
      <c r="G2697" s="23" t="e">
        <f ca="1">[1]!BexGetData("DP_1","003N8EMH8GTFRCSWKMPXRRXR2","GSON1243153101")</f>
        <v>#NAME?</v>
      </c>
      <c r="H2697" s="23" t="e">
        <f ca="1">[1]!BexGetData("DP_1","003N8EMH8GTFRCSWKMPXRS42M","GSON1243153101")</f>
        <v>#NAME?</v>
      </c>
      <c r="I2697" s="23" t="e">
        <f ca="1">[1]!BexGetData("DP_1","003N8EMH8GTFRCSWKMPXRSAE6","GSON1243153101")</f>
        <v>#NAME?</v>
      </c>
      <c r="J2697" s="23" t="e">
        <f ca="1">[1]!BexGetData("DP_1","003N8EMH8GTFRCSWKMPXRSGPQ","GSON1243153101")</f>
        <v>#NAME?</v>
      </c>
      <c r="K2697" s="23" t="e">
        <f ca="1">[1]!BexGetData("DP_1","003N8EMH8GTFRIVNUPY288VJH","GSON1243153101")</f>
        <v>#NAME?</v>
      </c>
      <c r="L2697" s="23" t="e">
        <f ca="1">[1]!BexGetData("DP_1","003N8EMH8GTFRIVNUPY2891V1","GSON1243153101")</f>
        <v>#NAME?</v>
      </c>
      <c r="M2697" s="28" t="e">
        <f ca="1">[1]!BexGetData("DP_1","003N8EMH8GTFRIVOG7KG9IQXA","GSON1243153101")</f>
        <v>#NAME?</v>
      </c>
      <c r="N2697" s="23" t="e">
        <f ca="1">[1]!BexGetData("DP_1","003N8EMH8GTFRIVOG7KG9IX8U","GSON1243153101")</f>
        <v>#NAME?</v>
      </c>
      <c r="O2697" s="28" t="e">
        <f ca="1">[1]!BexGetData("DP_1","003N8EMH8GTFRIVOG7KG9J3KE","GSON1243153101")</f>
        <v>#NAME?</v>
      </c>
      <c r="P2697" s="23" t="e">
        <f ca="1">[1]!BexGetData("DP_1","003N8EMH8GTFRIVOG7KG9J9VY","GSON1243153101")</f>
        <v>#NAME?</v>
      </c>
      <c r="Q2697" s="23" t="e">
        <f ca="1">[1]!BexGetData("DP_1","00O2TNJGODT0G5Z4TTKYMM5MT","GSON1243153101")</f>
        <v>#NAME?</v>
      </c>
      <c r="R2697" s="23" t="e">
        <f ca="1">[1]!BexGetData("DP_1","00O2TNJGODT0G5Z4TTKYMMBYD","GSON1243153101")</f>
        <v>#NAME?</v>
      </c>
      <c r="S2697" s="23" t="e">
        <f ca="1">[1]!BexGetData("DP_1","00O2TNJGODT0G5Z4TTKYMMI9X","GSON1243153101")</f>
        <v>#NAME?</v>
      </c>
      <c r="T2697" s="28" t="e">
        <f ca="1">[1]!BexGetData("DP_1","00O2TNJGODT0G5Z4TTKYMMOLH","GSON1243153101")</f>
        <v>#NAME?</v>
      </c>
      <c r="U2697" s="23" t="e">
        <f ca="1">[1]!BexGetData("DP_1","00O2TNJGODT0G5Z4TTKYMMUX1","GSON1243153101")</f>
        <v>#NAME?</v>
      </c>
      <c r="V2697" s="28" t="e">
        <f ca="1">[1]!BexGetData("DP_1","00O2TNJGODT0G5Z4TTKYMN18L","GSON1243153101")</f>
        <v>#NAME?</v>
      </c>
      <c r="W2697" s="23" t="e">
        <f ca="1">[1]!BexGetData("DP_1","00O2TNJGODT0G5Z4TTKYMN7K5","GSON1243153101")</f>
        <v>#NAME?</v>
      </c>
    </row>
    <row r="2698" spans="1:23" x14ac:dyDescent="0.2">
      <c r="A2698" s="36" t="s">
        <v>1333</v>
      </c>
      <c r="B2698" s="27" t="s">
        <v>1334</v>
      </c>
      <c r="C2698" s="28" t="e">
        <f ca="1">[1]!BexGetData("DP_1","003N8EMH8GTFRCSWKMPXRR8GU","GSON1243253200")</f>
        <v>#NAME?</v>
      </c>
      <c r="D2698" s="28" t="e">
        <f ca="1">[1]!BexGetData("DP_1","003N8EMH8GTFRCSWKMPXRRESE","GSON1243253200")</f>
        <v>#NAME?</v>
      </c>
      <c r="E2698" s="23" t="e">
        <f ca="1">[1]!BexGetData("DP_1","003N8EMH8GTFRCSWKMPXRRL3Y","GSON1243253200")</f>
        <v>#NAME?</v>
      </c>
      <c r="F2698" s="23" t="e">
        <f ca="1">[1]!BexGetData("DP_1","003N8EMH8GTFRCSWKMPXRRRFI","GSON1243253200")</f>
        <v>#NAME?</v>
      </c>
      <c r="G2698" s="28" t="e">
        <f ca="1">[1]!BexGetData("DP_1","003N8EMH8GTFRCSWKMPXRRXR2","GSON1243253200")</f>
        <v>#NAME?</v>
      </c>
      <c r="H2698" s="28" t="e">
        <f ca="1">[1]!BexGetData("DP_1","003N8EMH8GTFRCSWKMPXRS42M","GSON1243253200")</f>
        <v>#NAME?</v>
      </c>
      <c r="I2698" s="23" t="e">
        <f ca="1">[1]!BexGetData("DP_1","003N8EMH8GTFRCSWKMPXRSAE6","GSON1243253200")</f>
        <v>#NAME?</v>
      </c>
      <c r="J2698" s="23" t="e">
        <f ca="1">[1]!BexGetData("DP_1","003N8EMH8GTFRCSWKMPXRSGPQ","GSON1243253200")</f>
        <v>#NAME?</v>
      </c>
      <c r="K2698" s="28" t="e">
        <f ca="1">[1]!BexGetData("DP_1","003N8EMH8GTFRIVNUPY288VJH","GSON1243253200")</f>
        <v>#NAME?</v>
      </c>
      <c r="L2698" s="28" t="e">
        <f ca="1">[1]!BexGetData("DP_1","003N8EMH8GTFRIVNUPY2891V1","GSON1243253200")</f>
        <v>#NAME?</v>
      </c>
      <c r="M2698" s="28" t="e">
        <f ca="1">[1]!BexGetData("DP_1","003N8EMH8GTFRIVOG7KG9IQXA","GSON1243253200")</f>
        <v>#NAME?</v>
      </c>
      <c r="N2698" s="28" t="e">
        <f ca="1">[1]!BexGetData("DP_1","003N8EMH8GTFRIVOG7KG9IX8U","GSON1243253200")</f>
        <v>#NAME?</v>
      </c>
      <c r="O2698" s="28" t="e">
        <f ca="1">[1]!BexGetData("DP_1","003N8EMH8GTFRIVOG7KG9J3KE","GSON1243253200")</f>
        <v>#NAME?</v>
      </c>
      <c r="P2698" s="28" t="e">
        <f ca="1">[1]!BexGetData("DP_1","003N8EMH8GTFRIVOG7KG9J9VY","GSON1243253200")</f>
        <v>#NAME?</v>
      </c>
      <c r="Q2698" s="23" t="e">
        <f ca="1">[1]!BexGetData("DP_1","00O2TNJGODT0G5Z4TTKYMM5MT","GSON1243253200")</f>
        <v>#NAME?</v>
      </c>
      <c r="R2698" s="28" t="e">
        <f ca="1">[1]!BexGetData("DP_1","00O2TNJGODT0G5Z4TTKYMMBYD","GSON1243253200")</f>
        <v>#NAME?</v>
      </c>
      <c r="S2698" s="28" t="e">
        <f ca="1">[1]!BexGetData("DP_1","00O2TNJGODT0G5Z4TTKYMMI9X","GSON1243253200")</f>
        <v>#NAME?</v>
      </c>
      <c r="T2698" s="28" t="e">
        <f ca="1">[1]!BexGetData("DP_1","00O2TNJGODT0G5Z4TTKYMMOLH","GSON1243253200")</f>
        <v>#NAME?</v>
      </c>
      <c r="U2698" s="28" t="e">
        <f ca="1">[1]!BexGetData("DP_1","00O2TNJGODT0G5Z4TTKYMMUX1","GSON1243253200")</f>
        <v>#NAME?</v>
      </c>
      <c r="V2698" s="28" t="e">
        <f ca="1">[1]!BexGetData("DP_1","00O2TNJGODT0G5Z4TTKYMN18L","GSON1243253200")</f>
        <v>#NAME?</v>
      </c>
      <c r="W2698" s="28" t="e">
        <f ca="1">[1]!BexGetData("DP_1","00O2TNJGODT0G5Z4TTKYMN7K5","GSON1243253200")</f>
        <v>#NAME?</v>
      </c>
    </row>
    <row r="2699" spans="1:23" x14ac:dyDescent="0.2">
      <c r="A2699" s="36" t="s">
        <v>6101</v>
      </c>
      <c r="B2699" s="27" t="s">
        <v>6102</v>
      </c>
      <c r="C2699" s="28" t="e">
        <f ca="1">[1]!BexGetData("DP_1","003N8EMH8GTFRCSWKMPXRR8GU","GSON1243253201")</f>
        <v>#NAME?</v>
      </c>
      <c r="D2699" s="28" t="e">
        <f ca="1">[1]!BexGetData("DP_1","003N8EMH8GTFRCSWKMPXRRESE","GSON1243253201")</f>
        <v>#NAME?</v>
      </c>
      <c r="E2699" s="23" t="e">
        <f ca="1">[1]!BexGetData("DP_1","003N8EMH8GTFRCSWKMPXRRL3Y","GSON1243253201")</f>
        <v>#NAME?</v>
      </c>
      <c r="F2699" s="23" t="e">
        <f ca="1">[1]!BexGetData("DP_1","003N8EMH8GTFRCSWKMPXRRRFI","GSON1243253201")</f>
        <v>#NAME?</v>
      </c>
      <c r="G2699" s="28" t="e">
        <f ca="1">[1]!BexGetData("DP_1","003N8EMH8GTFRCSWKMPXRRXR2","GSON1243253201")</f>
        <v>#NAME?</v>
      </c>
      <c r="H2699" s="28" t="e">
        <f ca="1">[1]!BexGetData("DP_1","003N8EMH8GTFRCSWKMPXRS42M","GSON1243253201")</f>
        <v>#NAME?</v>
      </c>
      <c r="I2699" s="23" t="e">
        <f ca="1">[1]!BexGetData("DP_1","003N8EMH8GTFRCSWKMPXRSAE6","GSON1243253201")</f>
        <v>#NAME?</v>
      </c>
      <c r="J2699" s="23" t="e">
        <f ca="1">[1]!BexGetData("DP_1","003N8EMH8GTFRCSWKMPXRSGPQ","GSON1243253201")</f>
        <v>#NAME?</v>
      </c>
      <c r="K2699" s="28" t="e">
        <f ca="1">[1]!BexGetData("DP_1","003N8EMH8GTFRIVNUPY288VJH","GSON1243253201")</f>
        <v>#NAME?</v>
      </c>
      <c r="L2699" s="28" t="e">
        <f ca="1">[1]!BexGetData("DP_1","003N8EMH8GTFRIVNUPY2891V1","GSON1243253201")</f>
        <v>#NAME?</v>
      </c>
      <c r="M2699" s="28" t="e">
        <f ca="1">[1]!BexGetData("DP_1","003N8EMH8GTFRIVOG7KG9IQXA","GSON1243253201")</f>
        <v>#NAME?</v>
      </c>
      <c r="N2699" s="28" t="e">
        <f ca="1">[1]!BexGetData("DP_1","003N8EMH8GTFRIVOG7KG9IX8U","GSON1243253201")</f>
        <v>#NAME?</v>
      </c>
      <c r="O2699" s="28" t="e">
        <f ca="1">[1]!BexGetData("DP_1","003N8EMH8GTFRIVOG7KG9J3KE","GSON1243253201")</f>
        <v>#NAME?</v>
      </c>
      <c r="P2699" s="28" t="e">
        <f ca="1">[1]!BexGetData("DP_1","003N8EMH8GTFRIVOG7KG9J9VY","GSON1243253201")</f>
        <v>#NAME?</v>
      </c>
      <c r="Q2699" s="23" t="e">
        <f ca="1">[1]!BexGetData("DP_1","00O2TNJGODT0G5Z4TTKYMM5MT","GSON1243253201")</f>
        <v>#NAME?</v>
      </c>
      <c r="R2699" s="28" t="e">
        <f ca="1">[1]!BexGetData("DP_1","00O2TNJGODT0G5Z4TTKYMMBYD","GSON1243253201")</f>
        <v>#NAME?</v>
      </c>
      <c r="S2699" s="28" t="e">
        <f ca="1">[1]!BexGetData("DP_1","00O2TNJGODT0G5Z4TTKYMMI9X","GSON1243253201")</f>
        <v>#NAME?</v>
      </c>
      <c r="T2699" s="28" t="e">
        <f ca="1">[1]!BexGetData("DP_1","00O2TNJGODT0G5Z4TTKYMMOLH","GSON1243253201")</f>
        <v>#NAME?</v>
      </c>
      <c r="U2699" s="28" t="e">
        <f ca="1">[1]!BexGetData("DP_1","00O2TNJGODT0G5Z4TTKYMMUX1","GSON1243253201")</f>
        <v>#NAME?</v>
      </c>
      <c r="V2699" s="28" t="e">
        <f ca="1">[1]!BexGetData("DP_1","00O2TNJGODT0G5Z4TTKYMN18L","GSON1243253201")</f>
        <v>#NAME?</v>
      </c>
      <c r="W2699" s="28" t="e">
        <f ca="1">[1]!BexGetData("DP_1","00O2TNJGODT0G5Z4TTKYMN7K5","GSON1243253201")</f>
        <v>#NAME?</v>
      </c>
    </row>
    <row r="2700" spans="1:23" x14ac:dyDescent="0.2">
      <c r="A2700" s="35" t="s">
        <v>340</v>
      </c>
      <c r="B2700" s="27" t="s">
        <v>86</v>
      </c>
      <c r="C2700" s="23" t="e">
        <f ca="1">[1]!BexGetData("DP_1","003N8EMH8GTFRCSWKMPXRR8GU","GSON1244")</f>
        <v>#NAME?</v>
      </c>
      <c r="D2700" s="23" t="e">
        <f ca="1">[1]!BexGetData("DP_1","003N8EMH8GTFRCSWKMPXRRESE","GSON1244")</f>
        <v>#NAME?</v>
      </c>
      <c r="E2700" s="23" t="e">
        <f ca="1">[1]!BexGetData("DP_1","003N8EMH8GTFRCSWKMPXRRL3Y","GSON1244")</f>
        <v>#NAME?</v>
      </c>
      <c r="F2700" s="23" t="e">
        <f ca="1">[1]!BexGetData("DP_1","003N8EMH8GTFRCSWKMPXRRRFI","GSON1244")</f>
        <v>#NAME?</v>
      </c>
      <c r="G2700" s="23" t="e">
        <f ca="1">[1]!BexGetData("DP_1","003N8EMH8GTFRCSWKMPXRRXR2","GSON1244")</f>
        <v>#NAME?</v>
      </c>
      <c r="H2700" s="23" t="e">
        <f ca="1">[1]!BexGetData("DP_1","003N8EMH8GTFRCSWKMPXRS42M","GSON1244")</f>
        <v>#NAME?</v>
      </c>
      <c r="I2700" s="23" t="e">
        <f ca="1">[1]!BexGetData("DP_1","003N8EMH8GTFRCSWKMPXRSAE6","GSON1244")</f>
        <v>#NAME?</v>
      </c>
      <c r="J2700" s="23" t="e">
        <f ca="1">[1]!BexGetData("DP_1","003N8EMH8GTFRCSWKMPXRSGPQ","GSON1244")</f>
        <v>#NAME?</v>
      </c>
      <c r="K2700" s="23" t="e">
        <f ca="1">[1]!BexGetData("DP_1","003N8EMH8GTFRIVNUPY288VJH","GSON1244")</f>
        <v>#NAME?</v>
      </c>
      <c r="L2700" s="23" t="e">
        <f ca="1">[1]!BexGetData("DP_1","003N8EMH8GTFRIVNUPY2891V1","GSON1244")</f>
        <v>#NAME?</v>
      </c>
      <c r="M2700" s="28" t="e">
        <f ca="1">[1]!BexGetData("DP_1","003N8EMH8GTFRIVOG7KG9IQXA","GSON1244")</f>
        <v>#NAME?</v>
      </c>
      <c r="N2700" s="23" t="e">
        <f ca="1">[1]!BexGetData("DP_1","003N8EMH8GTFRIVOG7KG9IX8U","GSON1244")</f>
        <v>#NAME?</v>
      </c>
      <c r="O2700" s="28" t="e">
        <f ca="1">[1]!BexGetData("DP_1","003N8EMH8GTFRIVOG7KG9J3KE","GSON1244")</f>
        <v>#NAME?</v>
      </c>
      <c r="P2700" s="23" t="e">
        <f ca="1">[1]!BexGetData("DP_1","003N8EMH8GTFRIVOG7KG9J9VY","GSON1244")</f>
        <v>#NAME?</v>
      </c>
      <c r="Q2700" s="23" t="e">
        <f ca="1">[1]!BexGetData("DP_1","00O2TNJGODT0G5Z4TTKYMM5MT","GSON1244")</f>
        <v>#NAME?</v>
      </c>
      <c r="R2700" s="23" t="e">
        <f ca="1">[1]!BexGetData("DP_1","00O2TNJGODT0G5Z4TTKYMMBYD","GSON1244")</f>
        <v>#NAME?</v>
      </c>
      <c r="S2700" s="23" t="e">
        <f ca="1">[1]!BexGetData("DP_1","00O2TNJGODT0G5Z4TTKYMMI9X","GSON1244")</f>
        <v>#NAME?</v>
      </c>
      <c r="T2700" s="28" t="e">
        <f ca="1">[1]!BexGetData("DP_1","00O2TNJGODT0G5Z4TTKYMMOLH","GSON1244")</f>
        <v>#NAME?</v>
      </c>
      <c r="U2700" s="23" t="e">
        <f ca="1">[1]!BexGetData("DP_1","00O2TNJGODT0G5Z4TTKYMMUX1","GSON1244")</f>
        <v>#NAME?</v>
      </c>
      <c r="V2700" s="28" t="e">
        <f ca="1">[1]!BexGetData("DP_1","00O2TNJGODT0G5Z4TTKYMN18L","GSON1244")</f>
        <v>#NAME?</v>
      </c>
      <c r="W2700" s="23" t="e">
        <f ca="1">[1]!BexGetData("DP_1","00O2TNJGODT0G5Z4TTKYMN7K5","GSON1244")</f>
        <v>#NAME?</v>
      </c>
    </row>
    <row r="2701" spans="1:23" x14ac:dyDescent="0.2">
      <c r="A2701" s="36" t="s">
        <v>1335</v>
      </c>
      <c r="B2701" s="27" t="s">
        <v>1336</v>
      </c>
      <c r="C2701" s="28" t="e">
        <f ca="1">[1]!BexGetData("DP_1","003N8EMH8GTFRCSWKMPXRR8GU","GSON1244154100")</f>
        <v>#NAME?</v>
      </c>
      <c r="D2701" s="28" t="e">
        <f ca="1">[1]!BexGetData("DP_1","003N8EMH8GTFRCSWKMPXRRESE","GSON1244154100")</f>
        <v>#NAME?</v>
      </c>
      <c r="E2701" s="23" t="e">
        <f ca="1">[1]!BexGetData("DP_1","003N8EMH8GTFRCSWKMPXRRL3Y","GSON1244154100")</f>
        <v>#NAME?</v>
      </c>
      <c r="F2701" s="23" t="e">
        <f ca="1">[1]!BexGetData("DP_1","003N8EMH8GTFRCSWKMPXRRRFI","GSON1244154100")</f>
        <v>#NAME?</v>
      </c>
      <c r="G2701" s="28" t="e">
        <f ca="1">[1]!BexGetData("DP_1","003N8EMH8GTFRCSWKMPXRRXR2","GSON1244154100")</f>
        <v>#NAME?</v>
      </c>
      <c r="H2701" s="23" t="e">
        <f ca="1">[1]!BexGetData("DP_1","003N8EMH8GTFRCSWKMPXRS42M","GSON1244154100")</f>
        <v>#NAME?</v>
      </c>
      <c r="I2701" s="23" t="e">
        <f ca="1">[1]!BexGetData("DP_1","003N8EMH8GTFRCSWKMPXRSAE6","GSON1244154100")</f>
        <v>#NAME?</v>
      </c>
      <c r="J2701" s="23" t="e">
        <f ca="1">[1]!BexGetData("DP_1","003N8EMH8GTFRCSWKMPXRSGPQ","GSON1244154100")</f>
        <v>#NAME?</v>
      </c>
      <c r="K2701" s="28" t="e">
        <f ca="1">[1]!BexGetData("DP_1","003N8EMH8GTFRIVNUPY288VJH","GSON1244154100")</f>
        <v>#NAME?</v>
      </c>
      <c r="L2701" s="28" t="e">
        <f ca="1">[1]!BexGetData("DP_1","003N8EMH8GTFRIVNUPY2891V1","GSON1244154100")</f>
        <v>#NAME?</v>
      </c>
      <c r="M2701" s="28" t="e">
        <f ca="1">[1]!BexGetData("DP_1","003N8EMH8GTFRIVOG7KG9IQXA","GSON1244154100")</f>
        <v>#NAME?</v>
      </c>
      <c r="N2701" s="28" t="e">
        <f ca="1">[1]!BexGetData("DP_1","003N8EMH8GTFRIVOG7KG9IX8U","GSON1244154100")</f>
        <v>#NAME?</v>
      </c>
      <c r="O2701" s="28" t="e">
        <f ca="1">[1]!BexGetData("DP_1","003N8EMH8GTFRIVOG7KG9J3KE","GSON1244154100")</f>
        <v>#NAME?</v>
      </c>
      <c r="P2701" s="28" t="e">
        <f ca="1">[1]!BexGetData("DP_1","003N8EMH8GTFRIVOG7KG9J9VY","GSON1244154100")</f>
        <v>#NAME?</v>
      </c>
      <c r="Q2701" s="23" t="e">
        <f ca="1">[1]!BexGetData("DP_1","00O2TNJGODT0G5Z4TTKYMM5MT","GSON1244154100")</f>
        <v>#NAME?</v>
      </c>
      <c r="R2701" s="23" t="e">
        <f ca="1">[1]!BexGetData("DP_1","00O2TNJGODT0G5Z4TTKYMMBYD","GSON1244154100")</f>
        <v>#NAME?</v>
      </c>
      <c r="S2701" s="23" t="e">
        <f ca="1">[1]!BexGetData("DP_1","00O2TNJGODT0G5Z4TTKYMMI9X","GSON1244154100")</f>
        <v>#NAME?</v>
      </c>
      <c r="T2701" s="23" t="e">
        <f ca="1">[1]!BexGetData("DP_1","00O2TNJGODT0G5Z4TTKYMMOLH","GSON1244154100")</f>
        <v>#NAME?</v>
      </c>
      <c r="U2701" s="28" t="e">
        <f ca="1">[1]!BexGetData("DP_1","00O2TNJGODT0G5Z4TTKYMMUX1","GSON1244154100")</f>
        <v>#NAME?</v>
      </c>
      <c r="V2701" s="23" t="e">
        <f ca="1">[1]!BexGetData("DP_1","00O2TNJGODT0G5Z4TTKYMN18L","GSON1244154100")</f>
        <v>#NAME?</v>
      </c>
      <c r="W2701" s="28" t="e">
        <f ca="1">[1]!BexGetData("DP_1","00O2TNJGODT0G5Z4TTKYMN7K5","GSON1244154100")</f>
        <v>#NAME?</v>
      </c>
    </row>
    <row r="2702" spans="1:23" x14ac:dyDescent="0.2">
      <c r="A2702" s="36" t="s">
        <v>1337</v>
      </c>
      <c r="B2702" s="27" t="s">
        <v>87</v>
      </c>
      <c r="C2702" s="23" t="e">
        <f ca="1">[1]!BexGetData("DP_1","003N8EMH8GTFRCSWKMPXRR8GU","GSON1244154101")</f>
        <v>#NAME?</v>
      </c>
      <c r="D2702" s="23" t="e">
        <f ca="1">[1]!BexGetData("DP_1","003N8EMH8GTFRCSWKMPXRRESE","GSON1244154101")</f>
        <v>#NAME?</v>
      </c>
      <c r="E2702" s="23" t="e">
        <f ca="1">[1]!BexGetData("DP_1","003N8EMH8GTFRCSWKMPXRRL3Y","GSON1244154101")</f>
        <v>#NAME?</v>
      </c>
      <c r="F2702" s="23" t="e">
        <f ca="1">[1]!BexGetData("DP_1","003N8EMH8GTFRCSWKMPXRRRFI","GSON1244154101")</f>
        <v>#NAME?</v>
      </c>
      <c r="G2702" s="23" t="e">
        <f ca="1">[1]!BexGetData("DP_1","003N8EMH8GTFRCSWKMPXRRXR2","GSON1244154101")</f>
        <v>#NAME?</v>
      </c>
      <c r="H2702" s="23" t="e">
        <f ca="1">[1]!BexGetData("DP_1","003N8EMH8GTFRCSWKMPXRS42M","GSON1244154101")</f>
        <v>#NAME?</v>
      </c>
      <c r="I2702" s="23" t="e">
        <f ca="1">[1]!BexGetData("DP_1","003N8EMH8GTFRCSWKMPXRSAE6","GSON1244154101")</f>
        <v>#NAME?</v>
      </c>
      <c r="J2702" s="23" t="e">
        <f ca="1">[1]!BexGetData("DP_1","003N8EMH8GTFRCSWKMPXRSGPQ","GSON1244154101")</f>
        <v>#NAME?</v>
      </c>
      <c r="K2702" s="23" t="e">
        <f ca="1">[1]!BexGetData("DP_1","003N8EMH8GTFRIVNUPY288VJH","GSON1244154101")</f>
        <v>#NAME?</v>
      </c>
      <c r="L2702" s="23" t="e">
        <f ca="1">[1]!BexGetData("DP_1","003N8EMH8GTFRIVNUPY2891V1","GSON1244154101")</f>
        <v>#NAME?</v>
      </c>
      <c r="M2702" s="28" t="e">
        <f ca="1">[1]!BexGetData("DP_1","003N8EMH8GTFRIVOG7KG9IQXA","GSON1244154101")</f>
        <v>#NAME?</v>
      </c>
      <c r="N2702" s="23" t="e">
        <f ca="1">[1]!BexGetData("DP_1","003N8EMH8GTFRIVOG7KG9IX8U","GSON1244154101")</f>
        <v>#NAME?</v>
      </c>
      <c r="O2702" s="28" t="e">
        <f ca="1">[1]!BexGetData("DP_1","003N8EMH8GTFRIVOG7KG9J3KE","GSON1244154101")</f>
        <v>#NAME?</v>
      </c>
      <c r="P2702" s="23" t="e">
        <f ca="1">[1]!BexGetData("DP_1","003N8EMH8GTFRIVOG7KG9J9VY","GSON1244154101")</f>
        <v>#NAME?</v>
      </c>
      <c r="Q2702" s="23" t="e">
        <f ca="1">[1]!BexGetData("DP_1","00O2TNJGODT0G5Z4TTKYMM5MT","GSON1244154101")</f>
        <v>#NAME?</v>
      </c>
      <c r="R2702" s="23" t="e">
        <f ca="1">[1]!BexGetData("DP_1","00O2TNJGODT0G5Z4TTKYMMBYD","GSON1244154101")</f>
        <v>#NAME?</v>
      </c>
      <c r="S2702" s="23" t="e">
        <f ca="1">[1]!BexGetData("DP_1","00O2TNJGODT0G5Z4TTKYMMI9X","GSON1244154101")</f>
        <v>#NAME?</v>
      </c>
      <c r="T2702" s="28" t="e">
        <f ca="1">[1]!BexGetData("DP_1","00O2TNJGODT0G5Z4TTKYMMOLH","GSON1244154101")</f>
        <v>#NAME?</v>
      </c>
      <c r="U2702" s="23" t="e">
        <f ca="1">[1]!BexGetData("DP_1","00O2TNJGODT0G5Z4TTKYMMUX1","GSON1244154101")</f>
        <v>#NAME?</v>
      </c>
      <c r="V2702" s="28" t="e">
        <f ca="1">[1]!BexGetData("DP_1","00O2TNJGODT0G5Z4TTKYMN18L","GSON1244154101")</f>
        <v>#NAME?</v>
      </c>
      <c r="W2702" s="23" t="e">
        <f ca="1">[1]!BexGetData("DP_1","00O2TNJGODT0G5Z4TTKYMN7K5","GSON1244154101")</f>
        <v>#NAME?</v>
      </c>
    </row>
    <row r="2703" spans="1:23" x14ac:dyDescent="0.2">
      <c r="A2703" s="36" t="s">
        <v>1338</v>
      </c>
      <c r="B2703" s="27" t="s">
        <v>1339</v>
      </c>
      <c r="C2703" s="28" t="e">
        <f ca="1">[1]!BexGetData("DP_1","003N8EMH8GTFRCSWKMPXRR8GU","GSON1244254200")</f>
        <v>#NAME?</v>
      </c>
      <c r="D2703" s="28" t="e">
        <f ca="1">[1]!BexGetData("DP_1","003N8EMH8GTFRCSWKMPXRRESE","GSON1244254200")</f>
        <v>#NAME?</v>
      </c>
      <c r="E2703" s="23" t="e">
        <f ca="1">[1]!BexGetData("DP_1","003N8EMH8GTFRCSWKMPXRRL3Y","GSON1244254200")</f>
        <v>#NAME?</v>
      </c>
      <c r="F2703" s="23" t="e">
        <f ca="1">[1]!BexGetData("DP_1","003N8EMH8GTFRCSWKMPXRRRFI","GSON1244254200")</f>
        <v>#NAME?</v>
      </c>
      <c r="G2703" s="28" t="e">
        <f ca="1">[1]!BexGetData("DP_1","003N8EMH8GTFRCSWKMPXRRXR2","GSON1244254200")</f>
        <v>#NAME?</v>
      </c>
      <c r="H2703" s="23" t="e">
        <f ca="1">[1]!BexGetData("DP_1","003N8EMH8GTFRCSWKMPXRS42M","GSON1244254200")</f>
        <v>#NAME?</v>
      </c>
      <c r="I2703" s="23" t="e">
        <f ca="1">[1]!BexGetData("DP_1","003N8EMH8GTFRCSWKMPXRSAE6","GSON1244254200")</f>
        <v>#NAME?</v>
      </c>
      <c r="J2703" s="23" t="e">
        <f ca="1">[1]!BexGetData("DP_1","003N8EMH8GTFRCSWKMPXRSGPQ","GSON1244254200")</f>
        <v>#NAME?</v>
      </c>
      <c r="K2703" s="28" t="e">
        <f ca="1">[1]!BexGetData("DP_1","003N8EMH8GTFRIVNUPY288VJH","GSON1244254200")</f>
        <v>#NAME?</v>
      </c>
      <c r="L2703" s="28" t="e">
        <f ca="1">[1]!BexGetData("DP_1","003N8EMH8GTFRIVNUPY2891V1","GSON1244254200")</f>
        <v>#NAME?</v>
      </c>
      <c r="M2703" s="28" t="e">
        <f ca="1">[1]!BexGetData("DP_1","003N8EMH8GTFRIVOG7KG9IQXA","GSON1244254200")</f>
        <v>#NAME?</v>
      </c>
      <c r="N2703" s="28" t="e">
        <f ca="1">[1]!BexGetData("DP_1","003N8EMH8GTFRIVOG7KG9IX8U","GSON1244254200")</f>
        <v>#NAME?</v>
      </c>
      <c r="O2703" s="28" t="e">
        <f ca="1">[1]!BexGetData("DP_1","003N8EMH8GTFRIVOG7KG9J3KE","GSON1244254200")</f>
        <v>#NAME?</v>
      </c>
      <c r="P2703" s="28" t="e">
        <f ca="1">[1]!BexGetData("DP_1","003N8EMH8GTFRIVOG7KG9J9VY","GSON1244254200")</f>
        <v>#NAME?</v>
      </c>
      <c r="Q2703" s="23" t="e">
        <f ca="1">[1]!BexGetData("DP_1","00O2TNJGODT0G5Z4TTKYMM5MT","GSON1244254200")</f>
        <v>#NAME?</v>
      </c>
      <c r="R2703" s="23" t="e">
        <f ca="1">[1]!BexGetData("DP_1","00O2TNJGODT0G5Z4TTKYMMBYD","GSON1244254200")</f>
        <v>#NAME?</v>
      </c>
      <c r="S2703" s="23" t="e">
        <f ca="1">[1]!BexGetData("DP_1","00O2TNJGODT0G5Z4TTKYMMI9X","GSON1244254200")</f>
        <v>#NAME?</v>
      </c>
      <c r="T2703" s="23" t="e">
        <f ca="1">[1]!BexGetData("DP_1","00O2TNJGODT0G5Z4TTKYMMOLH","GSON1244254200")</f>
        <v>#NAME?</v>
      </c>
      <c r="U2703" s="28" t="e">
        <f ca="1">[1]!BexGetData("DP_1","00O2TNJGODT0G5Z4TTKYMMUX1","GSON1244254200")</f>
        <v>#NAME?</v>
      </c>
      <c r="V2703" s="23" t="e">
        <f ca="1">[1]!BexGetData("DP_1","00O2TNJGODT0G5Z4TTKYMN18L","GSON1244254200")</f>
        <v>#NAME?</v>
      </c>
      <c r="W2703" s="28" t="e">
        <f ca="1">[1]!BexGetData("DP_1","00O2TNJGODT0G5Z4TTKYMN7K5","GSON1244254200")</f>
        <v>#NAME?</v>
      </c>
    </row>
    <row r="2704" spans="1:23" x14ac:dyDescent="0.2">
      <c r="A2704" s="36" t="s">
        <v>6103</v>
      </c>
      <c r="B2704" s="27" t="s">
        <v>6104</v>
      </c>
      <c r="C2704" s="23" t="e">
        <f ca="1">[1]!BexGetData("DP_1","003N8EMH8GTFRCSWKMPXRR8GU","GSON1244254201")</f>
        <v>#NAME?</v>
      </c>
      <c r="D2704" s="28" t="e">
        <f ca="1">[1]!BexGetData("DP_1","003N8EMH8GTFRCSWKMPXRRESE","GSON1244254201")</f>
        <v>#NAME?</v>
      </c>
      <c r="E2704" s="23" t="e">
        <f ca="1">[1]!BexGetData("DP_1","003N8EMH8GTFRCSWKMPXRRL3Y","GSON1244254201")</f>
        <v>#NAME?</v>
      </c>
      <c r="F2704" s="23" t="e">
        <f ca="1">[1]!BexGetData("DP_1","003N8EMH8GTFRCSWKMPXRRRFI","GSON1244254201")</f>
        <v>#NAME?</v>
      </c>
      <c r="G2704" s="23" t="e">
        <f ca="1">[1]!BexGetData("DP_1","003N8EMH8GTFRCSWKMPXRRXR2","GSON1244254201")</f>
        <v>#NAME?</v>
      </c>
      <c r="H2704" s="28" t="e">
        <f ca="1">[1]!BexGetData("DP_1","003N8EMH8GTFRCSWKMPXRS42M","GSON1244254201")</f>
        <v>#NAME?</v>
      </c>
      <c r="I2704" s="23" t="e">
        <f ca="1">[1]!BexGetData("DP_1","003N8EMH8GTFRCSWKMPXRSAE6","GSON1244254201")</f>
        <v>#NAME?</v>
      </c>
      <c r="J2704" s="23" t="e">
        <f ca="1">[1]!BexGetData("DP_1","003N8EMH8GTFRCSWKMPXRSGPQ","GSON1244254201")</f>
        <v>#NAME?</v>
      </c>
      <c r="K2704" s="23" t="e">
        <f ca="1">[1]!BexGetData("DP_1","003N8EMH8GTFRIVNUPY288VJH","GSON1244254201")</f>
        <v>#NAME?</v>
      </c>
      <c r="L2704" s="23" t="e">
        <f ca="1">[1]!BexGetData("DP_1","003N8EMH8GTFRIVNUPY2891V1","GSON1244254201")</f>
        <v>#NAME?</v>
      </c>
      <c r="M2704" s="28" t="e">
        <f ca="1">[1]!BexGetData("DP_1","003N8EMH8GTFRIVOG7KG9IQXA","GSON1244254201")</f>
        <v>#NAME?</v>
      </c>
      <c r="N2704" s="23" t="e">
        <f ca="1">[1]!BexGetData("DP_1","003N8EMH8GTFRIVOG7KG9IX8U","GSON1244254201")</f>
        <v>#NAME?</v>
      </c>
      <c r="O2704" s="28" t="e">
        <f ca="1">[1]!BexGetData("DP_1","003N8EMH8GTFRIVOG7KG9J3KE","GSON1244254201")</f>
        <v>#NAME?</v>
      </c>
      <c r="P2704" s="23" t="e">
        <f ca="1">[1]!BexGetData("DP_1","003N8EMH8GTFRIVOG7KG9J9VY","GSON1244254201")</f>
        <v>#NAME?</v>
      </c>
      <c r="Q2704" s="23" t="e">
        <f ca="1">[1]!BexGetData("DP_1","00O2TNJGODT0G5Z4TTKYMM5MT","GSON1244254201")</f>
        <v>#NAME?</v>
      </c>
      <c r="R2704" s="23" t="e">
        <f ca="1">[1]!BexGetData("DP_1","00O2TNJGODT0G5Z4TTKYMMBYD","GSON1244254201")</f>
        <v>#NAME?</v>
      </c>
      <c r="S2704" s="23" t="e">
        <f ca="1">[1]!BexGetData("DP_1","00O2TNJGODT0G5Z4TTKYMMI9X","GSON1244254201")</f>
        <v>#NAME?</v>
      </c>
      <c r="T2704" s="28" t="e">
        <f ca="1">[1]!BexGetData("DP_1","00O2TNJGODT0G5Z4TTKYMMOLH","GSON1244254201")</f>
        <v>#NAME?</v>
      </c>
      <c r="U2704" s="23" t="e">
        <f ca="1">[1]!BexGetData("DP_1","00O2TNJGODT0G5Z4TTKYMMUX1","GSON1244254201")</f>
        <v>#NAME?</v>
      </c>
      <c r="V2704" s="28" t="e">
        <f ca="1">[1]!BexGetData("DP_1","00O2TNJGODT0G5Z4TTKYMN18L","GSON1244254201")</f>
        <v>#NAME?</v>
      </c>
      <c r="W2704" s="23" t="e">
        <f ca="1">[1]!BexGetData("DP_1","00O2TNJGODT0G5Z4TTKYMN7K5","GSON1244254201")</f>
        <v>#NAME?</v>
      </c>
    </row>
    <row r="2705" spans="1:23" x14ac:dyDescent="0.2">
      <c r="A2705" s="36" t="s">
        <v>6105</v>
      </c>
      <c r="B2705" s="27" t="s">
        <v>6106</v>
      </c>
      <c r="C2705" s="28" t="e">
        <f ca="1">[1]!BexGetData("DP_1","003N8EMH8GTFRCSWKMPXRR8GU","GSON1244354300")</f>
        <v>#NAME?</v>
      </c>
      <c r="D2705" s="28" t="e">
        <f ca="1">[1]!BexGetData("DP_1","003N8EMH8GTFRCSWKMPXRRESE","GSON1244354300")</f>
        <v>#NAME?</v>
      </c>
      <c r="E2705" s="23" t="e">
        <f ca="1">[1]!BexGetData("DP_1","003N8EMH8GTFRCSWKMPXRRL3Y","GSON1244354300")</f>
        <v>#NAME?</v>
      </c>
      <c r="F2705" s="23" t="e">
        <f ca="1">[1]!BexGetData("DP_1","003N8EMH8GTFRCSWKMPXRRRFI","GSON1244354300")</f>
        <v>#NAME?</v>
      </c>
      <c r="G2705" s="28" t="e">
        <f ca="1">[1]!BexGetData("DP_1","003N8EMH8GTFRCSWKMPXRRXR2","GSON1244354300")</f>
        <v>#NAME?</v>
      </c>
      <c r="H2705" s="28" t="e">
        <f ca="1">[1]!BexGetData("DP_1","003N8EMH8GTFRCSWKMPXRS42M","GSON1244354300")</f>
        <v>#NAME?</v>
      </c>
      <c r="I2705" s="23" t="e">
        <f ca="1">[1]!BexGetData("DP_1","003N8EMH8GTFRCSWKMPXRSAE6","GSON1244354300")</f>
        <v>#NAME?</v>
      </c>
      <c r="J2705" s="23" t="e">
        <f ca="1">[1]!BexGetData("DP_1","003N8EMH8GTFRCSWKMPXRSGPQ","GSON1244354300")</f>
        <v>#NAME?</v>
      </c>
      <c r="K2705" s="28" t="e">
        <f ca="1">[1]!BexGetData("DP_1","003N8EMH8GTFRIVNUPY288VJH","GSON1244354300")</f>
        <v>#NAME?</v>
      </c>
      <c r="L2705" s="28" t="e">
        <f ca="1">[1]!BexGetData("DP_1","003N8EMH8GTFRIVNUPY2891V1","GSON1244354300")</f>
        <v>#NAME?</v>
      </c>
      <c r="M2705" s="28" t="e">
        <f ca="1">[1]!BexGetData("DP_1","003N8EMH8GTFRIVOG7KG9IQXA","GSON1244354300")</f>
        <v>#NAME?</v>
      </c>
      <c r="N2705" s="28" t="e">
        <f ca="1">[1]!BexGetData("DP_1","003N8EMH8GTFRIVOG7KG9IX8U","GSON1244354300")</f>
        <v>#NAME?</v>
      </c>
      <c r="O2705" s="28" t="e">
        <f ca="1">[1]!BexGetData("DP_1","003N8EMH8GTFRIVOG7KG9J3KE","GSON1244354300")</f>
        <v>#NAME?</v>
      </c>
      <c r="P2705" s="28" t="e">
        <f ca="1">[1]!BexGetData("DP_1","003N8EMH8GTFRIVOG7KG9J9VY","GSON1244354300")</f>
        <v>#NAME?</v>
      </c>
      <c r="Q2705" s="23" t="e">
        <f ca="1">[1]!BexGetData("DP_1","00O2TNJGODT0G5Z4TTKYMM5MT","GSON1244354300")</f>
        <v>#NAME?</v>
      </c>
      <c r="R2705" s="28" t="e">
        <f ca="1">[1]!BexGetData("DP_1","00O2TNJGODT0G5Z4TTKYMMBYD","GSON1244354300")</f>
        <v>#NAME?</v>
      </c>
      <c r="S2705" s="28" t="e">
        <f ca="1">[1]!BexGetData("DP_1","00O2TNJGODT0G5Z4TTKYMMI9X","GSON1244354300")</f>
        <v>#NAME?</v>
      </c>
      <c r="T2705" s="28" t="e">
        <f ca="1">[1]!BexGetData("DP_1","00O2TNJGODT0G5Z4TTKYMMOLH","GSON1244354300")</f>
        <v>#NAME?</v>
      </c>
      <c r="U2705" s="28" t="e">
        <f ca="1">[1]!BexGetData("DP_1","00O2TNJGODT0G5Z4TTKYMMUX1","GSON1244354300")</f>
        <v>#NAME?</v>
      </c>
      <c r="V2705" s="28" t="e">
        <f ca="1">[1]!BexGetData("DP_1","00O2TNJGODT0G5Z4TTKYMN18L","GSON1244354300")</f>
        <v>#NAME?</v>
      </c>
      <c r="W2705" s="28" t="e">
        <f ca="1">[1]!BexGetData("DP_1","00O2TNJGODT0G5Z4TTKYMN7K5","GSON1244354300")</f>
        <v>#NAME?</v>
      </c>
    </row>
    <row r="2706" spans="1:23" x14ac:dyDescent="0.2">
      <c r="A2706" s="36" t="s">
        <v>6107</v>
      </c>
      <c r="B2706" s="27" t="s">
        <v>6108</v>
      </c>
      <c r="C2706" s="28" t="e">
        <f ca="1">[1]!BexGetData("DP_1","003N8EMH8GTFRCSWKMPXRR8GU","GSON1244554501")</f>
        <v>#NAME?</v>
      </c>
      <c r="D2706" s="28" t="e">
        <f ca="1">[1]!BexGetData("DP_1","003N8EMH8GTFRCSWKMPXRRESE","GSON1244554501")</f>
        <v>#NAME?</v>
      </c>
      <c r="E2706" s="23" t="e">
        <f ca="1">[1]!BexGetData("DP_1","003N8EMH8GTFRCSWKMPXRRL3Y","GSON1244554501")</f>
        <v>#NAME?</v>
      </c>
      <c r="F2706" s="23" t="e">
        <f ca="1">[1]!BexGetData("DP_1","003N8EMH8GTFRCSWKMPXRRRFI","GSON1244554501")</f>
        <v>#NAME?</v>
      </c>
      <c r="G2706" s="23" t="e">
        <f ca="1">[1]!BexGetData("DP_1","003N8EMH8GTFRCSWKMPXRRXR2","GSON1244554501")</f>
        <v>#NAME?</v>
      </c>
      <c r="H2706" s="28" t="e">
        <f ca="1">[1]!BexGetData("DP_1","003N8EMH8GTFRCSWKMPXRS42M","GSON1244554501")</f>
        <v>#NAME?</v>
      </c>
      <c r="I2706" s="23" t="e">
        <f ca="1">[1]!BexGetData("DP_1","003N8EMH8GTFRCSWKMPXRSAE6","GSON1244554501")</f>
        <v>#NAME?</v>
      </c>
      <c r="J2706" s="24" t="e">
        <f ca="1">[1]!BexGetData("DP_1","003N8EMH8GTFRCSWKMPXRSGPQ","GSON1244554501")</f>
        <v>#NAME?</v>
      </c>
      <c r="K2706" s="28" t="e">
        <f ca="1">[1]!BexGetData("DP_1","003N8EMH8GTFRIVNUPY288VJH","GSON1244554501")</f>
        <v>#NAME?</v>
      </c>
      <c r="L2706" s="28" t="e">
        <f ca="1">[1]!BexGetData("DP_1","003N8EMH8GTFRIVNUPY2891V1","GSON1244554501")</f>
        <v>#NAME?</v>
      </c>
      <c r="M2706" s="28" t="e">
        <f ca="1">[1]!BexGetData("DP_1","003N8EMH8GTFRIVOG7KG9IQXA","GSON1244554501")</f>
        <v>#NAME?</v>
      </c>
      <c r="N2706" s="28" t="e">
        <f ca="1">[1]!BexGetData("DP_1","003N8EMH8GTFRIVOG7KG9IX8U","GSON1244554501")</f>
        <v>#NAME?</v>
      </c>
      <c r="O2706" s="28" t="e">
        <f ca="1">[1]!BexGetData("DP_1","003N8EMH8GTFRIVOG7KG9J3KE","GSON1244554501")</f>
        <v>#NAME?</v>
      </c>
      <c r="P2706" s="28" t="e">
        <f ca="1">[1]!BexGetData("DP_1","003N8EMH8GTFRIVOG7KG9J9VY","GSON1244554501")</f>
        <v>#NAME?</v>
      </c>
      <c r="Q2706" s="24" t="e">
        <f ca="1">[1]!BexGetData("DP_1","00O2TNJGODT0G5Z4TTKYMM5MT","GSON1244554501")</f>
        <v>#NAME?</v>
      </c>
      <c r="R2706" s="23" t="e">
        <f ca="1">[1]!BexGetData("DP_1","00O2TNJGODT0G5Z4TTKYMMBYD","GSON1244554501")</f>
        <v>#NAME?</v>
      </c>
      <c r="S2706" s="23" t="e">
        <f ca="1">[1]!BexGetData("DP_1","00O2TNJGODT0G5Z4TTKYMMI9X","GSON1244554501")</f>
        <v>#NAME?</v>
      </c>
      <c r="T2706" s="28" t="e">
        <f ca="1">[1]!BexGetData("DP_1","00O2TNJGODT0G5Z4TTKYMMOLH","GSON1244554501")</f>
        <v>#NAME?</v>
      </c>
      <c r="U2706" s="23" t="e">
        <f ca="1">[1]!BexGetData("DP_1","00O2TNJGODT0G5Z4TTKYMMUX1","GSON1244554501")</f>
        <v>#NAME?</v>
      </c>
      <c r="V2706" s="28" t="e">
        <f ca="1">[1]!BexGetData("DP_1","00O2TNJGODT0G5Z4TTKYMN18L","GSON1244554501")</f>
        <v>#NAME?</v>
      </c>
      <c r="W2706" s="23" t="e">
        <f ca="1">[1]!BexGetData("DP_1","00O2TNJGODT0G5Z4TTKYMN7K5","GSON1244554501")</f>
        <v>#NAME?</v>
      </c>
    </row>
    <row r="2707" spans="1:23" x14ac:dyDescent="0.2">
      <c r="A2707" s="36" t="s">
        <v>6109</v>
      </c>
      <c r="B2707" s="27" t="s">
        <v>6110</v>
      </c>
      <c r="C2707" s="28" t="e">
        <f ca="1">[1]!BexGetData("DP_1","003N8EMH8GTFRCSWKMPXRR8GU","GSON1244954901")</f>
        <v>#NAME?</v>
      </c>
      <c r="D2707" s="28" t="e">
        <f ca="1">[1]!BexGetData("DP_1","003N8EMH8GTFRCSWKMPXRRESE","GSON1244954901")</f>
        <v>#NAME?</v>
      </c>
      <c r="E2707" s="23" t="e">
        <f ca="1">[1]!BexGetData("DP_1","003N8EMH8GTFRCSWKMPXRRL3Y","GSON1244954901")</f>
        <v>#NAME?</v>
      </c>
      <c r="F2707" s="23" t="e">
        <f ca="1">[1]!BexGetData("DP_1","003N8EMH8GTFRCSWKMPXRRRFI","GSON1244954901")</f>
        <v>#NAME?</v>
      </c>
      <c r="G2707" s="23" t="e">
        <f ca="1">[1]!BexGetData("DP_1","003N8EMH8GTFRCSWKMPXRRXR2","GSON1244954901")</f>
        <v>#NAME?</v>
      </c>
      <c r="H2707" s="28" t="e">
        <f ca="1">[1]!BexGetData("DP_1","003N8EMH8GTFRCSWKMPXRS42M","GSON1244954901")</f>
        <v>#NAME?</v>
      </c>
      <c r="I2707" s="23" t="e">
        <f ca="1">[1]!BexGetData("DP_1","003N8EMH8GTFRCSWKMPXRSAE6","GSON1244954901")</f>
        <v>#NAME?</v>
      </c>
      <c r="J2707" s="23" t="e">
        <f ca="1">[1]!BexGetData("DP_1","003N8EMH8GTFRCSWKMPXRSGPQ","GSON1244954901")</f>
        <v>#NAME?</v>
      </c>
      <c r="K2707" s="28" t="e">
        <f ca="1">[1]!BexGetData("DP_1","003N8EMH8GTFRIVNUPY288VJH","GSON1244954901")</f>
        <v>#NAME?</v>
      </c>
      <c r="L2707" s="28" t="e">
        <f ca="1">[1]!BexGetData("DP_1","003N8EMH8GTFRIVNUPY2891V1","GSON1244954901")</f>
        <v>#NAME?</v>
      </c>
      <c r="M2707" s="28" t="e">
        <f ca="1">[1]!BexGetData("DP_1","003N8EMH8GTFRIVOG7KG9IQXA","GSON1244954901")</f>
        <v>#NAME?</v>
      </c>
      <c r="N2707" s="28" t="e">
        <f ca="1">[1]!BexGetData("DP_1","003N8EMH8GTFRIVOG7KG9IX8U","GSON1244954901")</f>
        <v>#NAME?</v>
      </c>
      <c r="O2707" s="28" t="e">
        <f ca="1">[1]!BexGetData("DP_1","003N8EMH8GTFRIVOG7KG9J3KE","GSON1244954901")</f>
        <v>#NAME?</v>
      </c>
      <c r="P2707" s="28" t="e">
        <f ca="1">[1]!BexGetData("DP_1","003N8EMH8GTFRIVOG7KG9J9VY","GSON1244954901")</f>
        <v>#NAME?</v>
      </c>
      <c r="Q2707" s="23" t="e">
        <f ca="1">[1]!BexGetData("DP_1","00O2TNJGODT0G5Z4TTKYMM5MT","GSON1244954901")</f>
        <v>#NAME?</v>
      </c>
      <c r="R2707" s="23" t="e">
        <f ca="1">[1]!BexGetData("DP_1","00O2TNJGODT0G5Z4TTKYMMBYD","GSON1244954901")</f>
        <v>#NAME?</v>
      </c>
      <c r="S2707" s="23" t="e">
        <f ca="1">[1]!BexGetData("DP_1","00O2TNJGODT0G5Z4TTKYMMI9X","GSON1244954901")</f>
        <v>#NAME?</v>
      </c>
      <c r="T2707" s="28" t="e">
        <f ca="1">[1]!BexGetData("DP_1","00O2TNJGODT0G5Z4TTKYMMOLH","GSON1244954901")</f>
        <v>#NAME?</v>
      </c>
      <c r="U2707" s="23" t="e">
        <f ca="1">[1]!BexGetData("DP_1","00O2TNJGODT0G5Z4TTKYMMUX1","GSON1244954901")</f>
        <v>#NAME?</v>
      </c>
      <c r="V2707" s="28" t="e">
        <f ca="1">[1]!BexGetData("DP_1","00O2TNJGODT0G5Z4TTKYMN18L","GSON1244954901")</f>
        <v>#NAME?</v>
      </c>
      <c r="W2707" s="23" t="e">
        <f ca="1">[1]!BexGetData("DP_1","00O2TNJGODT0G5Z4TTKYMN7K5","GSON1244954901")</f>
        <v>#NAME?</v>
      </c>
    </row>
    <row r="2708" spans="1:23" x14ac:dyDescent="0.2">
      <c r="A2708" s="35" t="s">
        <v>6111</v>
      </c>
      <c r="B2708" s="27" t="s">
        <v>6112</v>
      </c>
      <c r="C2708" s="23" t="e">
        <f ca="1">[1]!BexGetData("DP_1","003N8EMH8GTFRCSWKMPXRR8GU","GSON1245")</f>
        <v>#NAME?</v>
      </c>
      <c r="D2708" s="28" t="e">
        <f ca="1">[1]!BexGetData("DP_1","003N8EMH8GTFRCSWKMPXRRESE","GSON1245")</f>
        <v>#NAME?</v>
      </c>
      <c r="E2708" s="23" t="e">
        <f ca="1">[1]!BexGetData("DP_1","003N8EMH8GTFRCSWKMPXRRL3Y","GSON1245")</f>
        <v>#NAME?</v>
      </c>
      <c r="F2708" s="23" t="e">
        <f ca="1">[1]!BexGetData("DP_1","003N8EMH8GTFRCSWKMPXRRRFI","GSON1245")</f>
        <v>#NAME?</v>
      </c>
      <c r="G2708" s="23" t="e">
        <f ca="1">[1]!BexGetData("DP_1","003N8EMH8GTFRCSWKMPXRRXR2","GSON1245")</f>
        <v>#NAME?</v>
      </c>
      <c r="H2708" s="23" t="e">
        <f ca="1">[1]!BexGetData("DP_1","003N8EMH8GTFRCSWKMPXRS42M","GSON1245")</f>
        <v>#NAME?</v>
      </c>
      <c r="I2708" s="23" t="e">
        <f ca="1">[1]!BexGetData("DP_1","003N8EMH8GTFRCSWKMPXRSAE6","GSON1245")</f>
        <v>#NAME?</v>
      </c>
      <c r="J2708" s="23" t="e">
        <f ca="1">[1]!BexGetData("DP_1","003N8EMH8GTFRCSWKMPXRSGPQ","GSON1245")</f>
        <v>#NAME?</v>
      </c>
      <c r="K2708" s="23" t="e">
        <f ca="1">[1]!BexGetData("DP_1","003N8EMH8GTFRIVNUPY288VJH","GSON1245")</f>
        <v>#NAME?</v>
      </c>
      <c r="L2708" s="23" t="e">
        <f ca="1">[1]!BexGetData("DP_1","003N8EMH8GTFRIVNUPY2891V1","GSON1245")</f>
        <v>#NAME?</v>
      </c>
      <c r="M2708" s="28" t="e">
        <f ca="1">[1]!BexGetData("DP_1","003N8EMH8GTFRIVOG7KG9IQXA","GSON1245")</f>
        <v>#NAME?</v>
      </c>
      <c r="N2708" s="23" t="e">
        <f ca="1">[1]!BexGetData("DP_1","003N8EMH8GTFRIVOG7KG9IX8U","GSON1245")</f>
        <v>#NAME?</v>
      </c>
      <c r="O2708" s="28" t="e">
        <f ca="1">[1]!BexGetData("DP_1","003N8EMH8GTFRIVOG7KG9J3KE","GSON1245")</f>
        <v>#NAME?</v>
      </c>
      <c r="P2708" s="23" t="e">
        <f ca="1">[1]!BexGetData("DP_1","003N8EMH8GTFRIVOG7KG9J9VY","GSON1245")</f>
        <v>#NAME?</v>
      </c>
      <c r="Q2708" s="23" t="e">
        <f ca="1">[1]!BexGetData("DP_1","00O2TNJGODT0G5Z4TTKYMM5MT","GSON1245")</f>
        <v>#NAME?</v>
      </c>
      <c r="R2708" s="23" t="e">
        <f ca="1">[1]!BexGetData("DP_1","00O2TNJGODT0G5Z4TTKYMMBYD","GSON1245")</f>
        <v>#NAME?</v>
      </c>
      <c r="S2708" s="23" t="e">
        <f ca="1">[1]!BexGetData("DP_1","00O2TNJGODT0G5Z4TTKYMMI9X","GSON1245")</f>
        <v>#NAME?</v>
      </c>
      <c r="T2708" s="28" t="e">
        <f ca="1">[1]!BexGetData("DP_1","00O2TNJGODT0G5Z4TTKYMMOLH","GSON1245")</f>
        <v>#NAME?</v>
      </c>
      <c r="U2708" s="23" t="e">
        <f ca="1">[1]!BexGetData("DP_1","00O2TNJGODT0G5Z4TTKYMMUX1","GSON1245")</f>
        <v>#NAME?</v>
      </c>
      <c r="V2708" s="28" t="e">
        <f ca="1">[1]!BexGetData("DP_1","00O2TNJGODT0G5Z4TTKYMN18L","GSON1245")</f>
        <v>#NAME?</v>
      </c>
      <c r="W2708" s="23" t="e">
        <f ca="1">[1]!BexGetData("DP_1","00O2TNJGODT0G5Z4TTKYMN7K5","GSON1245")</f>
        <v>#NAME?</v>
      </c>
    </row>
    <row r="2709" spans="1:23" x14ac:dyDescent="0.2">
      <c r="A2709" s="36" t="s">
        <v>6113</v>
      </c>
      <c r="B2709" s="27" t="s">
        <v>6114</v>
      </c>
      <c r="C2709" s="28" t="e">
        <f ca="1">[1]!BexGetData("DP_1","003N8EMH8GTFRCSWKMPXRR8GU","GSON1245155100")</f>
        <v>#NAME?</v>
      </c>
      <c r="D2709" s="28" t="e">
        <f ca="1">[1]!BexGetData("DP_1","003N8EMH8GTFRCSWKMPXRRESE","GSON1245155100")</f>
        <v>#NAME?</v>
      </c>
      <c r="E2709" s="23" t="e">
        <f ca="1">[1]!BexGetData("DP_1","003N8EMH8GTFRCSWKMPXRRL3Y","GSON1245155100")</f>
        <v>#NAME?</v>
      </c>
      <c r="F2709" s="23" t="e">
        <f ca="1">[1]!BexGetData("DP_1","003N8EMH8GTFRCSWKMPXRRRFI","GSON1245155100")</f>
        <v>#NAME?</v>
      </c>
      <c r="G2709" s="28" t="e">
        <f ca="1">[1]!BexGetData("DP_1","003N8EMH8GTFRCSWKMPXRRXR2","GSON1245155100")</f>
        <v>#NAME?</v>
      </c>
      <c r="H2709" s="28" t="e">
        <f ca="1">[1]!BexGetData("DP_1","003N8EMH8GTFRCSWKMPXRS42M","GSON1245155100")</f>
        <v>#NAME?</v>
      </c>
      <c r="I2709" s="23" t="e">
        <f ca="1">[1]!BexGetData("DP_1","003N8EMH8GTFRCSWKMPXRSAE6","GSON1245155100")</f>
        <v>#NAME?</v>
      </c>
      <c r="J2709" s="23" t="e">
        <f ca="1">[1]!BexGetData("DP_1","003N8EMH8GTFRCSWKMPXRSGPQ","GSON1245155100")</f>
        <v>#NAME?</v>
      </c>
      <c r="K2709" s="28" t="e">
        <f ca="1">[1]!BexGetData("DP_1","003N8EMH8GTFRIVNUPY288VJH","GSON1245155100")</f>
        <v>#NAME?</v>
      </c>
      <c r="L2709" s="28" t="e">
        <f ca="1">[1]!BexGetData("DP_1","003N8EMH8GTFRIVNUPY2891V1","GSON1245155100")</f>
        <v>#NAME?</v>
      </c>
      <c r="M2709" s="28" t="e">
        <f ca="1">[1]!BexGetData("DP_1","003N8EMH8GTFRIVOG7KG9IQXA","GSON1245155100")</f>
        <v>#NAME?</v>
      </c>
      <c r="N2709" s="28" t="e">
        <f ca="1">[1]!BexGetData("DP_1","003N8EMH8GTFRIVOG7KG9IX8U","GSON1245155100")</f>
        <v>#NAME?</v>
      </c>
      <c r="O2709" s="28" t="e">
        <f ca="1">[1]!BexGetData("DP_1","003N8EMH8GTFRIVOG7KG9J3KE","GSON1245155100")</f>
        <v>#NAME?</v>
      </c>
      <c r="P2709" s="28" t="e">
        <f ca="1">[1]!BexGetData("DP_1","003N8EMH8GTFRIVOG7KG9J9VY","GSON1245155100")</f>
        <v>#NAME?</v>
      </c>
      <c r="Q2709" s="23" t="e">
        <f ca="1">[1]!BexGetData("DP_1","00O2TNJGODT0G5Z4TTKYMM5MT","GSON1245155100")</f>
        <v>#NAME?</v>
      </c>
      <c r="R2709" s="28" t="e">
        <f ca="1">[1]!BexGetData("DP_1","00O2TNJGODT0G5Z4TTKYMMBYD","GSON1245155100")</f>
        <v>#NAME?</v>
      </c>
      <c r="S2709" s="28" t="e">
        <f ca="1">[1]!BexGetData("DP_1","00O2TNJGODT0G5Z4TTKYMMI9X","GSON1245155100")</f>
        <v>#NAME?</v>
      </c>
      <c r="T2709" s="28" t="e">
        <f ca="1">[1]!BexGetData("DP_1","00O2TNJGODT0G5Z4TTKYMMOLH","GSON1245155100")</f>
        <v>#NAME?</v>
      </c>
      <c r="U2709" s="28" t="e">
        <f ca="1">[1]!BexGetData("DP_1","00O2TNJGODT0G5Z4TTKYMMUX1","GSON1245155100")</f>
        <v>#NAME?</v>
      </c>
      <c r="V2709" s="28" t="e">
        <f ca="1">[1]!BexGetData("DP_1","00O2TNJGODT0G5Z4TTKYMN18L","GSON1245155100")</f>
        <v>#NAME?</v>
      </c>
      <c r="W2709" s="28" t="e">
        <f ca="1">[1]!BexGetData("DP_1","00O2TNJGODT0G5Z4TTKYMN7K5","GSON1245155100")</f>
        <v>#NAME?</v>
      </c>
    </row>
    <row r="2710" spans="1:23" x14ac:dyDescent="0.2">
      <c r="A2710" s="36" t="s">
        <v>6115</v>
      </c>
      <c r="B2710" s="27" t="s">
        <v>6116</v>
      </c>
      <c r="C2710" s="23" t="e">
        <f ca="1">[1]!BexGetData("DP_1","003N8EMH8GTFRCSWKMPXRR8GU","GSON1245155101")</f>
        <v>#NAME?</v>
      </c>
      <c r="D2710" s="28" t="e">
        <f ca="1">[1]!BexGetData("DP_1","003N8EMH8GTFRCSWKMPXRRESE","GSON1245155101")</f>
        <v>#NAME?</v>
      </c>
      <c r="E2710" s="23" t="e">
        <f ca="1">[1]!BexGetData("DP_1","003N8EMH8GTFRCSWKMPXRRL3Y","GSON1245155101")</f>
        <v>#NAME?</v>
      </c>
      <c r="F2710" s="23" t="e">
        <f ca="1">[1]!BexGetData("DP_1","003N8EMH8GTFRCSWKMPXRRRFI","GSON1245155101")</f>
        <v>#NAME?</v>
      </c>
      <c r="G2710" s="23" t="e">
        <f ca="1">[1]!BexGetData("DP_1","003N8EMH8GTFRCSWKMPXRRXR2","GSON1245155101")</f>
        <v>#NAME?</v>
      </c>
      <c r="H2710" s="23" t="e">
        <f ca="1">[1]!BexGetData("DP_1","003N8EMH8GTFRCSWKMPXRS42M","GSON1245155101")</f>
        <v>#NAME?</v>
      </c>
      <c r="I2710" s="23" t="e">
        <f ca="1">[1]!BexGetData("DP_1","003N8EMH8GTFRCSWKMPXRSAE6","GSON1245155101")</f>
        <v>#NAME?</v>
      </c>
      <c r="J2710" s="23" t="e">
        <f ca="1">[1]!BexGetData("DP_1","003N8EMH8GTFRCSWKMPXRSGPQ","GSON1245155101")</f>
        <v>#NAME?</v>
      </c>
      <c r="K2710" s="23" t="e">
        <f ca="1">[1]!BexGetData("DP_1","003N8EMH8GTFRIVNUPY288VJH","GSON1245155101")</f>
        <v>#NAME?</v>
      </c>
      <c r="L2710" s="23" t="e">
        <f ca="1">[1]!BexGetData("DP_1","003N8EMH8GTFRIVNUPY2891V1","GSON1245155101")</f>
        <v>#NAME?</v>
      </c>
      <c r="M2710" s="28" t="e">
        <f ca="1">[1]!BexGetData("DP_1","003N8EMH8GTFRIVOG7KG9IQXA","GSON1245155101")</f>
        <v>#NAME?</v>
      </c>
      <c r="N2710" s="23" t="e">
        <f ca="1">[1]!BexGetData("DP_1","003N8EMH8GTFRIVOG7KG9IX8U","GSON1245155101")</f>
        <v>#NAME?</v>
      </c>
      <c r="O2710" s="28" t="e">
        <f ca="1">[1]!BexGetData("DP_1","003N8EMH8GTFRIVOG7KG9J3KE","GSON1245155101")</f>
        <v>#NAME?</v>
      </c>
      <c r="P2710" s="23" t="e">
        <f ca="1">[1]!BexGetData("DP_1","003N8EMH8GTFRIVOG7KG9J9VY","GSON1245155101")</f>
        <v>#NAME?</v>
      </c>
      <c r="Q2710" s="23" t="e">
        <f ca="1">[1]!BexGetData("DP_1","00O2TNJGODT0G5Z4TTKYMM5MT","GSON1245155101")</f>
        <v>#NAME?</v>
      </c>
      <c r="R2710" s="23" t="e">
        <f ca="1">[1]!BexGetData("DP_1","00O2TNJGODT0G5Z4TTKYMMBYD","GSON1245155101")</f>
        <v>#NAME?</v>
      </c>
      <c r="S2710" s="23" t="e">
        <f ca="1">[1]!BexGetData("DP_1","00O2TNJGODT0G5Z4TTKYMMI9X","GSON1245155101")</f>
        <v>#NAME?</v>
      </c>
      <c r="T2710" s="28" t="e">
        <f ca="1">[1]!BexGetData("DP_1","00O2TNJGODT0G5Z4TTKYMMOLH","GSON1245155101")</f>
        <v>#NAME?</v>
      </c>
      <c r="U2710" s="23" t="e">
        <f ca="1">[1]!BexGetData("DP_1","00O2TNJGODT0G5Z4TTKYMMUX1","GSON1245155101")</f>
        <v>#NAME?</v>
      </c>
      <c r="V2710" s="28" t="e">
        <f ca="1">[1]!BexGetData("DP_1","00O2TNJGODT0G5Z4TTKYMN18L","GSON1245155101")</f>
        <v>#NAME?</v>
      </c>
      <c r="W2710" s="23" t="e">
        <f ca="1">[1]!BexGetData("DP_1","00O2TNJGODT0G5Z4TTKYMN7K5","GSON1245155101")</f>
        <v>#NAME?</v>
      </c>
    </row>
    <row r="2711" spans="1:23" x14ac:dyDescent="0.2">
      <c r="A2711" s="35" t="s">
        <v>1340</v>
      </c>
      <c r="B2711" s="27" t="s">
        <v>1341</v>
      </c>
      <c r="C2711" s="23" t="e">
        <f ca="1">[1]!BexGetData("DP_1","003N8EMH8GTFRCSWKMPXRR8GU","GSON1246")</f>
        <v>#NAME?</v>
      </c>
      <c r="D2711" s="23" t="e">
        <f ca="1">[1]!BexGetData("DP_1","003N8EMH8GTFRCSWKMPXRRESE","GSON1246")</f>
        <v>#NAME?</v>
      </c>
      <c r="E2711" s="23" t="e">
        <f ca="1">[1]!BexGetData("DP_1","003N8EMH8GTFRCSWKMPXRRL3Y","GSON1246")</f>
        <v>#NAME?</v>
      </c>
      <c r="F2711" s="23" t="e">
        <f ca="1">[1]!BexGetData("DP_1","003N8EMH8GTFRCSWKMPXRRRFI","GSON1246")</f>
        <v>#NAME?</v>
      </c>
      <c r="G2711" s="23" t="e">
        <f ca="1">[1]!BexGetData("DP_1","003N8EMH8GTFRCSWKMPXRRXR2","GSON1246")</f>
        <v>#NAME?</v>
      </c>
      <c r="H2711" s="23" t="e">
        <f ca="1">[1]!BexGetData("DP_1","003N8EMH8GTFRCSWKMPXRS42M","GSON1246")</f>
        <v>#NAME?</v>
      </c>
      <c r="I2711" s="23" t="e">
        <f ca="1">[1]!BexGetData("DP_1","003N8EMH8GTFRCSWKMPXRSAE6","GSON1246")</f>
        <v>#NAME?</v>
      </c>
      <c r="J2711" s="23" t="e">
        <f ca="1">[1]!BexGetData("DP_1","003N8EMH8GTFRCSWKMPXRSGPQ","GSON1246")</f>
        <v>#NAME?</v>
      </c>
      <c r="K2711" s="23" t="e">
        <f ca="1">[1]!BexGetData("DP_1","003N8EMH8GTFRIVNUPY288VJH","GSON1246")</f>
        <v>#NAME?</v>
      </c>
      <c r="L2711" s="23" t="e">
        <f ca="1">[1]!BexGetData("DP_1","003N8EMH8GTFRIVNUPY2891V1","GSON1246")</f>
        <v>#NAME?</v>
      </c>
      <c r="M2711" s="28" t="e">
        <f ca="1">[1]!BexGetData("DP_1","003N8EMH8GTFRIVOG7KG9IQXA","GSON1246")</f>
        <v>#NAME?</v>
      </c>
      <c r="N2711" s="23" t="e">
        <f ca="1">[1]!BexGetData("DP_1","003N8EMH8GTFRIVOG7KG9IX8U","GSON1246")</f>
        <v>#NAME?</v>
      </c>
      <c r="O2711" s="28" t="e">
        <f ca="1">[1]!BexGetData("DP_1","003N8EMH8GTFRIVOG7KG9J3KE","GSON1246")</f>
        <v>#NAME?</v>
      </c>
      <c r="P2711" s="23" t="e">
        <f ca="1">[1]!BexGetData("DP_1","003N8EMH8GTFRIVOG7KG9J9VY","GSON1246")</f>
        <v>#NAME?</v>
      </c>
      <c r="Q2711" s="23" t="e">
        <f ca="1">[1]!BexGetData("DP_1","00O2TNJGODT0G5Z4TTKYMM5MT","GSON1246")</f>
        <v>#NAME?</v>
      </c>
      <c r="R2711" s="23" t="e">
        <f ca="1">[1]!BexGetData("DP_1","00O2TNJGODT0G5Z4TTKYMMBYD","GSON1246")</f>
        <v>#NAME?</v>
      </c>
      <c r="S2711" s="23" t="e">
        <f ca="1">[1]!BexGetData("DP_1","00O2TNJGODT0G5Z4TTKYMMI9X","GSON1246")</f>
        <v>#NAME?</v>
      </c>
      <c r="T2711" s="28" t="e">
        <f ca="1">[1]!BexGetData("DP_1","00O2TNJGODT0G5Z4TTKYMMOLH","GSON1246")</f>
        <v>#NAME?</v>
      </c>
      <c r="U2711" s="23" t="e">
        <f ca="1">[1]!BexGetData("DP_1","00O2TNJGODT0G5Z4TTKYMMUX1","GSON1246")</f>
        <v>#NAME?</v>
      </c>
      <c r="V2711" s="28" t="e">
        <f ca="1">[1]!BexGetData("DP_1","00O2TNJGODT0G5Z4TTKYMN18L","GSON1246")</f>
        <v>#NAME?</v>
      </c>
      <c r="W2711" s="23" t="e">
        <f ca="1">[1]!BexGetData("DP_1","00O2TNJGODT0G5Z4TTKYMN7K5","GSON1246")</f>
        <v>#NAME?</v>
      </c>
    </row>
    <row r="2712" spans="1:23" x14ac:dyDescent="0.2">
      <c r="A2712" s="36" t="s">
        <v>1342</v>
      </c>
      <c r="B2712" s="27" t="s">
        <v>1343</v>
      </c>
      <c r="C2712" s="28" t="e">
        <f ca="1">[1]!BexGetData("DP_1","003N8EMH8GTFRCSWKMPXRR8GU","GSON1246156100")</f>
        <v>#NAME?</v>
      </c>
      <c r="D2712" s="28" t="e">
        <f ca="1">[1]!BexGetData("DP_1","003N8EMH8GTFRCSWKMPXRRESE","GSON1246156100")</f>
        <v>#NAME?</v>
      </c>
      <c r="E2712" s="23" t="e">
        <f ca="1">[1]!BexGetData("DP_1","003N8EMH8GTFRCSWKMPXRRL3Y","GSON1246156100")</f>
        <v>#NAME?</v>
      </c>
      <c r="F2712" s="23" t="e">
        <f ca="1">[1]!BexGetData("DP_1","003N8EMH8GTFRCSWKMPXRRRFI","GSON1246156100")</f>
        <v>#NAME?</v>
      </c>
      <c r="G2712" s="28" t="e">
        <f ca="1">[1]!BexGetData("DP_1","003N8EMH8GTFRCSWKMPXRRXR2","GSON1246156100")</f>
        <v>#NAME?</v>
      </c>
      <c r="H2712" s="28" t="e">
        <f ca="1">[1]!BexGetData("DP_1","003N8EMH8GTFRCSWKMPXRS42M","GSON1246156100")</f>
        <v>#NAME?</v>
      </c>
      <c r="I2712" s="23" t="e">
        <f ca="1">[1]!BexGetData("DP_1","003N8EMH8GTFRCSWKMPXRSAE6","GSON1246156100")</f>
        <v>#NAME?</v>
      </c>
      <c r="J2712" s="23" t="e">
        <f ca="1">[1]!BexGetData("DP_1","003N8EMH8GTFRCSWKMPXRSGPQ","GSON1246156100")</f>
        <v>#NAME?</v>
      </c>
      <c r="K2712" s="28" t="e">
        <f ca="1">[1]!BexGetData("DP_1","003N8EMH8GTFRIVNUPY288VJH","GSON1246156100")</f>
        <v>#NAME?</v>
      </c>
      <c r="L2712" s="28" t="e">
        <f ca="1">[1]!BexGetData("DP_1","003N8EMH8GTFRIVNUPY2891V1","GSON1246156100")</f>
        <v>#NAME?</v>
      </c>
      <c r="M2712" s="28" t="e">
        <f ca="1">[1]!BexGetData("DP_1","003N8EMH8GTFRIVOG7KG9IQXA","GSON1246156100")</f>
        <v>#NAME?</v>
      </c>
      <c r="N2712" s="28" t="e">
        <f ca="1">[1]!BexGetData("DP_1","003N8EMH8GTFRIVOG7KG9IX8U","GSON1246156100")</f>
        <v>#NAME?</v>
      </c>
      <c r="O2712" s="28" t="e">
        <f ca="1">[1]!BexGetData("DP_1","003N8EMH8GTFRIVOG7KG9J3KE","GSON1246156100")</f>
        <v>#NAME?</v>
      </c>
      <c r="P2712" s="28" t="e">
        <f ca="1">[1]!BexGetData("DP_1","003N8EMH8GTFRIVOG7KG9J9VY","GSON1246156100")</f>
        <v>#NAME?</v>
      </c>
      <c r="Q2712" s="23" t="e">
        <f ca="1">[1]!BexGetData("DP_1","00O2TNJGODT0G5Z4TTKYMM5MT","GSON1246156100")</f>
        <v>#NAME?</v>
      </c>
      <c r="R2712" s="28" t="e">
        <f ca="1">[1]!BexGetData("DP_1","00O2TNJGODT0G5Z4TTKYMMBYD","GSON1246156100")</f>
        <v>#NAME?</v>
      </c>
      <c r="S2712" s="28" t="e">
        <f ca="1">[1]!BexGetData("DP_1","00O2TNJGODT0G5Z4TTKYMMI9X","GSON1246156100")</f>
        <v>#NAME?</v>
      </c>
      <c r="T2712" s="28" t="e">
        <f ca="1">[1]!BexGetData("DP_1","00O2TNJGODT0G5Z4TTKYMMOLH","GSON1246156100")</f>
        <v>#NAME?</v>
      </c>
      <c r="U2712" s="28" t="e">
        <f ca="1">[1]!BexGetData("DP_1","00O2TNJGODT0G5Z4TTKYMMUX1","GSON1246156100")</f>
        <v>#NAME?</v>
      </c>
      <c r="V2712" s="28" t="e">
        <f ca="1">[1]!BexGetData("DP_1","00O2TNJGODT0G5Z4TTKYMN18L","GSON1246156100")</f>
        <v>#NAME?</v>
      </c>
      <c r="W2712" s="28" t="e">
        <f ca="1">[1]!BexGetData("DP_1","00O2TNJGODT0G5Z4TTKYMN7K5","GSON1246156100")</f>
        <v>#NAME?</v>
      </c>
    </row>
    <row r="2713" spans="1:23" x14ac:dyDescent="0.2">
      <c r="A2713" s="36" t="s">
        <v>1344</v>
      </c>
      <c r="B2713" s="27" t="s">
        <v>1345</v>
      </c>
      <c r="C2713" s="28" t="e">
        <f ca="1">[1]!BexGetData("DP_1","003N8EMH8GTFRCSWKMPXRR8GU","GSON1246256200")</f>
        <v>#NAME?</v>
      </c>
      <c r="D2713" s="28" t="e">
        <f ca="1">[1]!BexGetData("DP_1","003N8EMH8GTFRCSWKMPXRRESE","GSON1246256200")</f>
        <v>#NAME?</v>
      </c>
      <c r="E2713" s="23" t="e">
        <f ca="1">[1]!BexGetData("DP_1","003N8EMH8GTFRCSWKMPXRRL3Y","GSON1246256200")</f>
        <v>#NAME?</v>
      </c>
      <c r="F2713" s="23" t="e">
        <f ca="1">[1]!BexGetData("DP_1","003N8EMH8GTFRCSWKMPXRRRFI","GSON1246256200")</f>
        <v>#NAME?</v>
      </c>
      <c r="G2713" s="28" t="e">
        <f ca="1">[1]!BexGetData("DP_1","003N8EMH8GTFRCSWKMPXRRXR2","GSON1246256200")</f>
        <v>#NAME?</v>
      </c>
      <c r="H2713" s="28" t="e">
        <f ca="1">[1]!BexGetData("DP_1","003N8EMH8GTFRCSWKMPXRS42M","GSON1246256200")</f>
        <v>#NAME?</v>
      </c>
      <c r="I2713" s="23" t="e">
        <f ca="1">[1]!BexGetData("DP_1","003N8EMH8GTFRCSWKMPXRSAE6","GSON1246256200")</f>
        <v>#NAME?</v>
      </c>
      <c r="J2713" s="23" t="e">
        <f ca="1">[1]!BexGetData("DP_1","003N8EMH8GTFRCSWKMPXRSGPQ","GSON1246256200")</f>
        <v>#NAME?</v>
      </c>
      <c r="K2713" s="28" t="e">
        <f ca="1">[1]!BexGetData("DP_1","003N8EMH8GTFRIVNUPY288VJH","GSON1246256200")</f>
        <v>#NAME?</v>
      </c>
      <c r="L2713" s="28" t="e">
        <f ca="1">[1]!BexGetData("DP_1","003N8EMH8GTFRIVNUPY2891V1","GSON1246256200")</f>
        <v>#NAME?</v>
      </c>
      <c r="M2713" s="28" t="e">
        <f ca="1">[1]!BexGetData("DP_1","003N8EMH8GTFRIVOG7KG9IQXA","GSON1246256200")</f>
        <v>#NAME?</v>
      </c>
      <c r="N2713" s="28" t="e">
        <f ca="1">[1]!BexGetData("DP_1","003N8EMH8GTFRIVOG7KG9IX8U","GSON1246256200")</f>
        <v>#NAME?</v>
      </c>
      <c r="O2713" s="28" t="e">
        <f ca="1">[1]!BexGetData("DP_1","003N8EMH8GTFRIVOG7KG9J3KE","GSON1246256200")</f>
        <v>#NAME?</v>
      </c>
      <c r="P2713" s="28" t="e">
        <f ca="1">[1]!BexGetData("DP_1","003N8EMH8GTFRIVOG7KG9J9VY","GSON1246256200")</f>
        <v>#NAME?</v>
      </c>
      <c r="Q2713" s="23" t="e">
        <f ca="1">[1]!BexGetData("DP_1","00O2TNJGODT0G5Z4TTKYMM5MT","GSON1246256200")</f>
        <v>#NAME?</v>
      </c>
      <c r="R2713" s="28" t="e">
        <f ca="1">[1]!BexGetData("DP_1","00O2TNJGODT0G5Z4TTKYMMBYD","GSON1246256200")</f>
        <v>#NAME?</v>
      </c>
      <c r="S2713" s="28" t="e">
        <f ca="1">[1]!BexGetData("DP_1","00O2TNJGODT0G5Z4TTKYMMI9X","GSON1246256200")</f>
        <v>#NAME?</v>
      </c>
      <c r="T2713" s="28" t="e">
        <f ca="1">[1]!BexGetData("DP_1","00O2TNJGODT0G5Z4TTKYMMOLH","GSON1246256200")</f>
        <v>#NAME?</v>
      </c>
      <c r="U2713" s="28" t="e">
        <f ca="1">[1]!BexGetData("DP_1","00O2TNJGODT0G5Z4TTKYMMUX1","GSON1246256200")</f>
        <v>#NAME?</v>
      </c>
      <c r="V2713" s="28" t="e">
        <f ca="1">[1]!BexGetData("DP_1","00O2TNJGODT0G5Z4TTKYMN18L","GSON1246256200")</f>
        <v>#NAME?</v>
      </c>
      <c r="W2713" s="28" t="e">
        <f ca="1">[1]!BexGetData("DP_1","00O2TNJGODT0G5Z4TTKYMN7K5","GSON1246256200")</f>
        <v>#NAME?</v>
      </c>
    </row>
    <row r="2714" spans="1:23" x14ac:dyDescent="0.2">
      <c r="A2714" s="36" t="s">
        <v>6117</v>
      </c>
      <c r="B2714" s="27" t="s">
        <v>6118</v>
      </c>
      <c r="C2714" s="28" t="e">
        <f ca="1">[1]!BexGetData("DP_1","003N8EMH8GTFRCSWKMPXRR8GU","GSON1246256201")</f>
        <v>#NAME?</v>
      </c>
      <c r="D2714" s="28" t="e">
        <f ca="1">[1]!BexGetData("DP_1","003N8EMH8GTFRCSWKMPXRRESE","GSON1246256201")</f>
        <v>#NAME?</v>
      </c>
      <c r="E2714" s="23" t="e">
        <f ca="1">[1]!BexGetData("DP_1","003N8EMH8GTFRCSWKMPXRRL3Y","GSON1246256201")</f>
        <v>#NAME?</v>
      </c>
      <c r="F2714" s="23" t="e">
        <f ca="1">[1]!BexGetData("DP_1","003N8EMH8GTFRCSWKMPXRRRFI","GSON1246256201")</f>
        <v>#NAME?</v>
      </c>
      <c r="G2714" s="23" t="e">
        <f ca="1">[1]!BexGetData("DP_1","003N8EMH8GTFRCSWKMPXRRXR2","GSON1246256201")</f>
        <v>#NAME?</v>
      </c>
      <c r="H2714" s="23" t="e">
        <f ca="1">[1]!BexGetData("DP_1","003N8EMH8GTFRCSWKMPXRS42M","GSON1246256201")</f>
        <v>#NAME?</v>
      </c>
      <c r="I2714" s="23" t="e">
        <f ca="1">[1]!BexGetData("DP_1","003N8EMH8GTFRCSWKMPXRSAE6","GSON1246256201")</f>
        <v>#NAME?</v>
      </c>
      <c r="J2714" s="23" t="e">
        <f ca="1">[1]!BexGetData("DP_1","003N8EMH8GTFRCSWKMPXRSGPQ","GSON1246256201")</f>
        <v>#NAME?</v>
      </c>
      <c r="K2714" s="28" t="e">
        <f ca="1">[1]!BexGetData("DP_1","003N8EMH8GTFRIVNUPY288VJH","GSON1246256201")</f>
        <v>#NAME?</v>
      </c>
      <c r="L2714" s="28" t="e">
        <f ca="1">[1]!BexGetData("DP_1","003N8EMH8GTFRIVNUPY2891V1","GSON1246256201")</f>
        <v>#NAME?</v>
      </c>
      <c r="M2714" s="28" t="e">
        <f ca="1">[1]!BexGetData("DP_1","003N8EMH8GTFRIVOG7KG9IQXA","GSON1246256201")</f>
        <v>#NAME?</v>
      </c>
      <c r="N2714" s="28" t="e">
        <f ca="1">[1]!BexGetData("DP_1","003N8EMH8GTFRIVOG7KG9IX8U","GSON1246256201")</f>
        <v>#NAME?</v>
      </c>
      <c r="O2714" s="28" t="e">
        <f ca="1">[1]!BexGetData("DP_1","003N8EMH8GTFRIVOG7KG9J3KE","GSON1246256201")</f>
        <v>#NAME?</v>
      </c>
      <c r="P2714" s="28" t="e">
        <f ca="1">[1]!BexGetData("DP_1","003N8EMH8GTFRIVOG7KG9J9VY","GSON1246256201")</f>
        <v>#NAME?</v>
      </c>
      <c r="Q2714" s="23" t="e">
        <f ca="1">[1]!BexGetData("DP_1","00O2TNJGODT0G5Z4TTKYMM5MT","GSON1246256201")</f>
        <v>#NAME?</v>
      </c>
      <c r="R2714" s="23" t="e">
        <f ca="1">[1]!BexGetData("DP_1","00O2TNJGODT0G5Z4TTKYMMBYD","GSON1246256201")</f>
        <v>#NAME?</v>
      </c>
      <c r="S2714" s="23" t="e">
        <f ca="1">[1]!BexGetData("DP_1","00O2TNJGODT0G5Z4TTKYMMI9X","GSON1246256201")</f>
        <v>#NAME?</v>
      </c>
      <c r="T2714" s="28" t="e">
        <f ca="1">[1]!BexGetData("DP_1","00O2TNJGODT0G5Z4TTKYMMOLH","GSON1246256201")</f>
        <v>#NAME?</v>
      </c>
      <c r="U2714" s="23" t="e">
        <f ca="1">[1]!BexGetData("DP_1","00O2TNJGODT0G5Z4TTKYMMUX1","GSON1246256201")</f>
        <v>#NAME?</v>
      </c>
      <c r="V2714" s="28" t="e">
        <f ca="1">[1]!BexGetData("DP_1","00O2TNJGODT0G5Z4TTKYMN18L","GSON1246256201")</f>
        <v>#NAME?</v>
      </c>
      <c r="W2714" s="23" t="e">
        <f ca="1">[1]!BexGetData("DP_1","00O2TNJGODT0G5Z4TTKYMN7K5","GSON1246256201")</f>
        <v>#NAME?</v>
      </c>
    </row>
    <row r="2715" spans="1:23" x14ac:dyDescent="0.2">
      <c r="A2715" s="36" t="s">
        <v>1346</v>
      </c>
      <c r="B2715" s="27" t="s">
        <v>1347</v>
      </c>
      <c r="C2715" s="28" t="e">
        <f ca="1">[1]!BexGetData("DP_1","003N8EMH8GTFRCSWKMPXRR8GU","GSON1246356300")</f>
        <v>#NAME?</v>
      </c>
      <c r="D2715" s="28" t="e">
        <f ca="1">[1]!BexGetData("DP_1","003N8EMH8GTFRCSWKMPXRRESE","GSON1246356300")</f>
        <v>#NAME?</v>
      </c>
      <c r="E2715" s="23" t="e">
        <f ca="1">[1]!BexGetData("DP_1","003N8EMH8GTFRCSWKMPXRRL3Y","GSON1246356300")</f>
        <v>#NAME?</v>
      </c>
      <c r="F2715" s="23" t="e">
        <f ca="1">[1]!BexGetData("DP_1","003N8EMH8GTFRCSWKMPXRRRFI","GSON1246356300")</f>
        <v>#NAME?</v>
      </c>
      <c r="G2715" s="28" t="e">
        <f ca="1">[1]!BexGetData("DP_1","003N8EMH8GTFRCSWKMPXRRXR2","GSON1246356300")</f>
        <v>#NAME?</v>
      </c>
      <c r="H2715" s="28" t="e">
        <f ca="1">[1]!BexGetData("DP_1","003N8EMH8GTFRCSWKMPXRS42M","GSON1246356300")</f>
        <v>#NAME?</v>
      </c>
      <c r="I2715" s="23" t="e">
        <f ca="1">[1]!BexGetData("DP_1","003N8EMH8GTFRCSWKMPXRSAE6","GSON1246356300")</f>
        <v>#NAME?</v>
      </c>
      <c r="J2715" s="23" t="e">
        <f ca="1">[1]!BexGetData("DP_1","003N8EMH8GTFRCSWKMPXRSGPQ","GSON1246356300")</f>
        <v>#NAME?</v>
      </c>
      <c r="K2715" s="28" t="e">
        <f ca="1">[1]!BexGetData("DP_1","003N8EMH8GTFRIVNUPY288VJH","GSON1246356300")</f>
        <v>#NAME?</v>
      </c>
      <c r="L2715" s="28" t="e">
        <f ca="1">[1]!BexGetData("DP_1","003N8EMH8GTFRIVNUPY2891V1","GSON1246356300")</f>
        <v>#NAME?</v>
      </c>
      <c r="M2715" s="28" t="e">
        <f ca="1">[1]!BexGetData("DP_1","003N8EMH8GTFRIVOG7KG9IQXA","GSON1246356300")</f>
        <v>#NAME?</v>
      </c>
      <c r="N2715" s="28" t="e">
        <f ca="1">[1]!BexGetData("DP_1","003N8EMH8GTFRIVOG7KG9IX8U","GSON1246356300")</f>
        <v>#NAME?</v>
      </c>
      <c r="O2715" s="28" t="e">
        <f ca="1">[1]!BexGetData("DP_1","003N8EMH8GTFRIVOG7KG9J3KE","GSON1246356300")</f>
        <v>#NAME?</v>
      </c>
      <c r="P2715" s="28" t="e">
        <f ca="1">[1]!BexGetData("DP_1","003N8EMH8GTFRIVOG7KG9J9VY","GSON1246356300")</f>
        <v>#NAME?</v>
      </c>
      <c r="Q2715" s="23" t="e">
        <f ca="1">[1]!BexGetData("DP_1","00O2TNJGODT0G5Z4TTKYMM5MT","GSON1246356300")</f>
        <v>#NAME?</v>
      </c>
      <c r="R2715" s="28" t="e">
        <f ca="1">[1]!BexGetData("DP_1","00O2TNJGODT0G5Z4TTKYMMBYD","GSON1246356300")</f>
        <v>#NAME?</v>
      </c>
      <c r="S2715" s="28" t="e">
        <f ca="1">[1]!BexGetData("DP_1","00O2TNJGODT0G5Z4TTKYMMI9X","GSON1246356300")</f>
        <v>#NAME?</v>
      </c>
      <c r="T2715" s="28" t="e">
        <f ca="1">[1]!BexGetData("DP_1","00O2TNJGODT0G5Z4TTKYMMOLH","GSON1246356300")</f>
        <v>#NAME?</v>
      </c>
      <c r="U2715" s="28" t="e">
        <f ca="1">[1]!BexGetData("DP_1","00O2TNJGODT0G5Z4TTKYMMUX1","GSON1246356300")</f>
        <v>#NAME?</v>
      </c>
      <c r="V2715" s="28" t="e">
        <f ca="1">[1]!BexGetData("DP_1","00O2TNJGODT0G5Z4TTKYMN18L","GSON1246356300")</f>
        <v>#NAME?</v>
      </c>
      <c r="W2715" s="28" t="e">
        <f ca="1">[1]!BexGetData("DP_1","00O2TNJGODT0G5Z4TTKYMN7K5","GSON1246356300")</f>
        <v>#NAME?</v>
      </c>
    </row>
    <row r="2716" spans="1:23" x14ac:dyDescent="0.2">
      <c r="A2716" s="36" t="s">
        <v>1348</v>
      </c>
      <c r="B2716" s="27" t="s">
        <v>1349</v>
      </c>
      <c r="C2716" s="23" t="e">
        <f ca="1">[1]!BexGetData("DP_1","003N8EMH8GTFRCSWKMPXRR8GU","GSON1246356301")</f>
        <v>#NAME?</v>
      </c>
      <c r="D2716" s="23" t="e">
        <f ca="1">[1]!BexGetData("DP_1","003N8EMH8GTFRCSWKMPXRRESE","GSON1246356301")</f>
        <v>#NAME?</v>
      </c>
      <c r="E2716" s="23" t="e">
        <f ca="1">[1]!BexGetData("DP_1","003N8EMH8GTFRCSWKMPXRRL3Y","GSON1246356301")</f>
        <v>#NAME?</v>
      </c>
      <c r="F2716" s="23" t="e">
        <f ca="1">[1]!BexGetData("DP_1","003N8EMH8GTFRCSWKMPXRRRFI","GSON1246356301")</f>
        <v>#NAME?</v>
      </c>
      <c r="G2716" s="23" t="e">
        <f ca="1">[1]!BexGetData("DP_1","003N8EMH8GTFRCSWKMPXRRXR2","GSON1246356301")</f>
        <v>#NAME?</v>
      </c>
      <c r="H2716" s="28" t="e">
        <f ca="1">[1]!BexGetData("DP_1","003N8EMH8GTFRCSWKMPXRS42M","GSON1246356301")</f>
        <v>#NAME?</v>
      </c>
      <c r="I2716" s="23" t="e">
        <f ca="1">[1]!BexGetData("DP_1","003N8EMH8GTFRCSWKMPXRSAE6","GSON1246356301")</f>
        <v>#NAME?</v>
      </c>
      <c r="J2716" s="23" t="e">
        <f ca="1">[1]!BexGetData("DP_1","003N8EMH8GTFRCSWKMPXRSGPQ","GSON1246356301")</f>
        <v>#NAME?</v>
      </c>
      <c r="K2716" s="23" t="e">
        <f ca="1">[1]!BexGetData("DP_1","003N8EMH8GTFRIVNUPY288VJH","GSON1246356301")</f>
        <v>#NAME?</v>
      </c>
      <c r="L2716" s="23" t="e">
        <f ca="1">[1]!BexGetData("DP_1","003N8EMH8GTFRIVNUPY2891V1","GSON1246356301")</f>
        <v>#NAME?</v>
      </c>
      <c r="M2716" s="28" t="e">
        <f ca="1">[1]!BexGetData("DP_1","003N8EMH8GTFRIVOG7KG9IQXA","GSON1246356301")</f>
        <v>#NAME?</v>
      </c>
      <c r="N2716" s="23" t="e">
        <f ca="1">[1]!BexGetData("DP_1","003N8EMH8GTFRIVOG7KG9IX8U","GSON1246356301")</f>
        <v>#NAME?</v>
      </c>
      <c r="O2716" s="28" t="e">
        <f ca="1">[1]!BexGetData("DP_1","003N8EMH8GTFRIVOG7KG9J3KE","GSON1246356301")</f>
        <v>#NAME?</v>
      </c>
      <c r="P2716" s="23" t="e">
        <f ca="1">[1]!BexGetData("DP_1","003N8EMH8GTFRIVOG7KG9J9VY","GSON1246356301")</f>
        <v>#NAME?</v>
      </c>
      <c r="Q2716" s="23" t="e">
        <f ca="1">[1]!BexGetData("DP_1","00O2TNJGODT0G5Z4TTKYMM5MT","GSON1246356301")</f>
        <v>#NAME?</v>
      </c>
      <c r="R2716" s="23" t="e">
        <f ca="1">[1]!BexGetData("DP_1","00O2TNJGODT0G5Z4TTKYMMBYD","GSON1246356301")</f>
        <v>#NAME?</v>
      </c>
      <c r="S2716" s="23" t="e">
        <f ca="1">[1]!BexGetData("DP_1","00O2TNJGODT0G5Z4TTKYMMI9X","GSON1246356301")</f>
        <v>#NAME?</v>
      </c>
      <c r="T2716" s="28" t="e">
        <f ca="1">[1]!BexGetData("DP_1","00O2TNJGODT0G5Z4TTKYMMOLH","GSON1246356301")</f>
        <v>#NAME?</v>
      </c>
      <c r="U2716" s="23" t="e">
        <f ca="1">[1]!BexGetData("DP_1","00O2TNJGODT0G5Z4TTKYMMUX1","GSON1246356301")</f>
        <v>#NAME?</v>
      </c>
      <c r="V2716" s="28" t="e">
        <f ca="1">[1]!BexGetData("DP_1","00O2TNJGODT0G5Z4TTKYMN18L","GSON1246356301")</f>
        <v>#NAME?</v>
      </c>
      <c r="W2716" s="23" t="e">
        <f ca="1">[1]!BexGetData("DP_1","00O2TNJGODT0G5Z4TTKYMN7K5","GSON1246356301")</f>
        <v>#NAME?</v>
      </c>
    </row>
    <row r="2717" spans="1:23" x14ac:dyDescent="0.2">
      <c r="A2717" s="36" t="s">
        <v>1350</v>
      </c>
      <c r="B2717" s="27" t="s">
        <v>1351</v>
      </c>
      <c r="C2717" s="28" t="e">
        <f ca="1">[1]!BexGetData("DP_1","003N8EMH8GTFRCSWKMPXRR8GU","GSON1246456400")</f>
        <v>#NAME?</v>
      </c>
      <c r="D2717" s="28" t="e">
        <f ca="1">[1]!BexGetData("DP_1","003N8EMH8GTFRCSWKMPXRRESE","GSON1246456400")</f>
        <v>#NAME?</v>
      </c>
      <c r="E2717" s="23" t="e">
        <f ca="1">[1]!BexGetData("DP_1","003N8EMH8GTFRCSWKMPXRRL3Y","GSON1246456400")</f>
        <v>#NAME?</v>
      </c>
      <c r="F2717" s="23" t="e">
        <f ca="1">[1]!BexGetData("DP_1","003N8EMH8GTFRCSWKMPXRRRFI","GSON1246456400")</f>
        <v>#NAME?</v>
      </c>
      <c r="G2717" s="28" t="e">
        <f ca="1">[1]!BexGetData("DP_1","003N8EMH8GTFRCSWKMPXRRXR2","GSON1246456400")</f>
        <v>#NAME?</v>
      </c>
      <c r="H2717" s="23" t="e">
        <f ca="1">[1]!BexGetData("DP_1","003N8EMH8GTFRCSWKMPXRS42M","GSON1246456400")</f>
        <v>#NAME?</v>
      </c>
      <c r="I2717" s="23" t="e">
        <f ca="1">[1]!BexGetData("DP_1","003N8EMH8GTFRCSWKMPXRSAE6","GSON1246456400")</f>
        <v>#NAME?</v>
      </c>
      <c r="J2717" s="23" t="e">
        <f ca="1">[1]!BexGetData("DP_1","003N8EMH8GTFRCSWKMPXRSGPQ","GSON1246456400")</f>
        <v>#NAME?</v>
      </c>
      <c r="K2717" s="28" t="e">
        <f ca="1">[1]!BexGetData("DP_1","003N8EMH8GTFRIVNUPY288VJH","GSON1246456400")</f>
        <v>#NAME?</v>
      </c>
      <c r="L2717" s="28" t="e">
        <f ca="1">[1]!BexGetData("DP_1","003N8EMH8GTFRIVNUPY2891V1","GSON1246456400")</f>
        <v>#NAME?</v>
      </c>
      <c r="M2717" s="28" t="e">
        <f ca="1">[1]!BexGetData("DP_1","003N8EMH8GTFRIVOG7KG9IQXA","GSON1246456400")</f>
        <v>#NAME?</v>
      </c>
      <c r="N2717" s="28" t="e">
        <f ca="1">[1]!BexGetData("DP_1","003N8EMH8GTFRIVOG7KG9IX8U","GSON1246456400")</f>
        <v>#NAME?</v>
      </c>
      <c r="O2717" s="28" t="e">
        <f ca="1">[1]!BexGetData("DP_1","003N8EMH8GTFRIVOG7KG9J3KE","GSON1246456400")</f>
        <v>#NAME?</v>
      </c>
      <c r="P2717" s="28" t="e">
        <f ca="1">[1]!BexGetData("DP_1","003N8EMH8GTFRIVOG7KG9J9VY","GSON1246456400")</f>
        <v>#NAME?</v>
      </c>
      <c r="Q2717" s="23" t="e">
        <f ca="1">[1]!BexGetData("DP_1","00O2TNJGODT0G5Z4TTKYMM5MT","GSON1246456400")</f>
        <v>#NAME?</v>
      </c>
      <c r="R2717" s="23" t="e">
        <f ca="1">[1]!BexGetData("DP_1","00O2TNJGODT0G5Z4TTKYMMBYD","GSON1246456400")</f>
        <v>#NAME?</v>
      </c>
      <c r="S2717" s="23" t="e">
        <f ca="1">[1]!BexGetData("DP_1","00O2TNJGODT0G5Z4TTKYMMI9X","GSON1246456400")</f>
        <v>#NAME?</v>
      </c>
      <c r="T2717" s="23" t="e">
        <f ca="1">[1]!BexGetData("DP_1","00O2TNJGODT0G5Z4TTKYMMOLH","GSON1246456400")</f>
        <v>#NAME?</v>
      </c>
      <c r="U2717" s="28" t="e">
        <f ca="1">[1]!BexGetData("DP_1","00O2TNJGODT0G5Z4TTKYMMUX1","GSON1246456400")</f>
        <v>#NAME?</v>
      </c>
      <c r="V2717" s="23" t="e">
        <f ca="1">[1]!BexGetData("DP_1","00O2TNJGODT0G5Z4TTKYMN18L","GSON1246456400")</f>
        <v>#NAME?</v>
      </c>
      <c r="W2717" s="28" t="e">
        <f ca="1">[1]!BexGetData("DP_1","00O2TNJGODT0G5Z4TTKYMN7K5","GSON1246456400")</f>
        <v>#NAME?</v>
      </c>
    </row>
    <row r="2718" spans="1:23" x14ac:dyDescent="0.2">
      <c r="A2718" s="36" t="s">
        <v>1352</v>
      </c>
      <c r="B2718" s="27" t="s">
        <v>1353</v>
      </c>
      <c r="C2718" s="23" t="e">
        <f ca="1">[1]!BexGetData("DP_1","003N8EMH8GTFRCSWKMPXRR8GU","GSON1246456401")</f>
        <v>#NAME?</v>
      </c>
      <c r="D2718" s="23" t="e">
        <f ca="1">[1]!BexGetData("DP_1","003N8EMH8GTFRCSWKMPXRRESE","GSON1246456401")</f>
        <v>#NAME?</v>
      </c>
      <c r="E2718" s="23" t="e">
        <f ca="1">[1]!BexGetData("DP_1","003N8EMH8GTFRCSWKMPXRRL3Y","GSON1246456401")</f>
        <v>#NAME?</v>
      </c>
      <c r="F2718" s="23" t="e">
        <f ca="1">[1]!BexGetData("DP_1","003N8EMH8GTFRCSWKMPXRRRFI","GSON1246456401")</f>
        <v>#NAME?</v>
      </c>
      <c r="G2718" s="23" t="e">
        <f ca="1">[1]!BexGetData("DP_1","003N8EMH8GTFRCSWKMPXRRXR2","GSON1246456401")</f>
        <v>#NAME?</v>
      </c>
      <c r="H2718" s="23" t="e">
        <f ca="1">[1]!BexGetData("DP_1","003N8EMH8GTFRCSWKMPXRS42M","GSON1246456401")</f>
        <v>#NAME?</v>
      </c>
      <c r="I2718" s="23" t="e">
        <f ca="1">[1]!BexGetData("DP_1","003N8EMH8GTFRCSWKMPXRSAE6","GSON1246456401")</f>
        <v>#NAME?</v>
      </c>
      <c r="J2718" s="23" t="e">
        <f ca="1">[1]!BexGetData("DP_1","003N8EMH8GTFRCSWKMPXRSGPQ","GSON1246456401")</f>
        <v>#NAME?</v>
      </c>
      <c r="K2718" s="23" t="e">
        <f ca="1">[1]!BexGetData("DP_1","003N8EMH8GTFRIVNUPY288VJH","GSON1246456401")</f>
        <v>#NAME?</v>
      </c>
      <c r="L2718" s="23" t="e">
        <f ca="1">[1]!BexGetData("DP_1","003N8EMH8GTFRIVNUPY2891V1","GSON1246456401")</f>
        <v>#NAME?</v>
      </c>
      <c r="M2718" s="28" t="e">
        <f ca="1">[1]!BexGetData("DP_1","003N8EMH8GTFRIVOG7KG9IQXA","GSON1246456401")</f>
        <v>#NAME?</v>
      </c>
      <c r="N2718" s="23" t="e">
        <f ca="1">[1]!BexGetData("DP_1","003N8EMH8GTFRIVOG7KG9IX8U","GSON1246456401")</f>
        <v>#NAME?</v>
      </c>
      <c r="O2718" s="28" t="e">
        <f ca="1">[1]!BexGetData("DP_1","003N8EMH8GTFRIVOG7KG9J3KE","GSON1246456401")</f>
        <v>#NAME?</v>
      </c>
      <c r="P2718" s="23" t="e">
        <f ca="1">[1]!BexGetData("DP_1","003N8EMH8GTFRIVOG7KG9J9VY","GSON1246456401")</f>
        <v>#NAME?</v>
      </c>
      <c r="Q2718" s="23" t="e">
        <f ca="1">[1]!BexGetData("DP_1","00O2TNJGODT0G5Z4TTKYMM5MT","GSON1246456401")</f>
        <v>#NAME?</v>
      </c>
      <c r="R2718" s="23" t="e">
        <f ca="1">[1]!BexGetData("DP_1","00O2TNJGODT0G5Z4TTKYMMBYD","GSON1246456401")</f>
        <v>#NAME?</v>
      </c>
      <c r="S2718" s="23" t="e">
        <f ca="1">[1]!BexGetData("DP_1","00O2TNJGODT0G5Z4TTKYMMI9X","GSON1246456401")</f>
        <v>#NAME?</v>
      </c>
      <c r="T2718" s="28" t="e">
        <f ca="1">[1]!BexGetData("DP_1","00O2TNJGODT0G5Z4TTKYMMOLH","GSON1246456401")</f>
        <v>#NAME?</v>
      </c>
      <c r="U2718" s="23" t="e">
        <f ca="1">[1]!BexGetData("DP_1","00O2TNJGODT0G5Z4TTKYMMUX1","GSON1246456401")</f>
        <v>#NAME?</v>
      </c>
      <c r="V2718" s="28" t="e">
        <f ca="1">[1]!BexGetData("DP_1","00O2TNJGODT0G5Z4TTKYMN18L","GSON1246456401")</f>
        <v>#NAME?</v>
      </c>
      <c r="W2718" s="23" t="e">
        <f ca="1">[1]!BexGetData("DP_1","00O2TNJGODT0G5Z4TTKYMN7K5","GSON1246456401")</f>
        <v>#NAME?</v>
      </c>
    </row>
    <row r="2719" spans="1:23" x14ac:dyDescent="0.2">
      <c r="A2719" s="36" t="s">
        <v>6119</v>
      </c>
      <c r="B2719" s="27" t="s">
        <v>1354</v>
      </c>
      <c r="C2719" s="28" t="e">
        <f ca="1">[1]!BexGetData("DP_1","003N8EMH8GTFRCSWKMPXRR8GU","GSON1246556500")</f>
        <v>#NAME?</v>
      </c>
      <c r="D2719" s="28" t="e">
        <f ca="1">[1]!BexGetData("DP_1","003N8EMH8GTFRCSWKMPXRRESE","GSON1246556500")</f>
        <v>#NAME?</v>
      </c>
      <c r="E2719" s="23" t="e">
        <f ca="1">[1]!BexGetData("DP_1","003N8EMH8GTFRCSWKMPXRRL3Y","GSON1246556500")</f>
        <v>#NAME?</v>
      </c>
      <c r="F2719" s="23" t="e">
        <f ca="1">[1]!BexGetData("DP_1","003N8EMH8GTFRCSWKMPXRRRFI","GSON1246556500")</f>
        <v>#NAME?</v>
      </c>
      <c r="G2719" s="23" t="e">
        <f ca="1">[1]!BexGetData("DP_1","003N8EMH8GTFRCSWKMPXRRXR2","GSON1246556500")</f>
        <v>#NAME?</v>
      </c>
      <c r="H2719" s="23" t="e">
        <f ca="1">[1]!BexGetData("DP_1","003N8EMH8GTFRCSWKMPXRS42M","GSON1246556500")</f>
        <v>#NAME?</v>
      </c>
      <c r="I2719" s="23" t="e">
        <f ca="1">[1]!BexGetData("DP_1","003N8EMH8GTFRCSWKMPXRSAE6","GSON1246556500")</f>
        <v>#NAME?</v>
      </c>
      <c r="J2719" s="23" t="e">
        <f ca="1">[1]!BexGetData("DP_1","003N8EMH8GTFRCSWKMPXRSGPQ","GSON1246556500")</f>
        <v>#NAME?</v>
      </c>
      <c r="K2719" s="28" t="e">
        <f ca="1">[1]!BexGetData("DP_1","003N8EMH8GTFRIVNUPY288VJH","GSON1246556500")</f>
        <v>#NAME?</v>
      </c>
      <c r="L2719" s="28" t="e">
        <f ca="1">[1]!BexGetData("DP_1","003N8EMH8GTFRIVNUPY2891V1","GSON1246556500")</f>
        <v>#NAME?</v>
      </c>
      <c r="M2719" s="28" t="e">
        <f ca="1">[1]!BexGetData("DP_1","003N8EMH8GTFRIVOG7KG9IQXA","GSON1246556500")</f>
        <v>#NAME?</v>
      </c>
      <c r="N2719" s="28" t="e">
        <f ca="1">[1]!BexGetData("DP_1","003N8EMH8GTFRIVOG7KG9IX8U","GSON1246556500")</f>
        <v>#NAME?</v>
      </c>
      <c r="O2719" s="28" t="e">
        <f ca="1">[1]!BexGetData("DP_1","003N8EMH8GTFRIVOG7KG9J3KE","GSON1246556500")</f>
        <v>#NAME?</v>
      </c>
      <c r="P2719" s="28" t="e">
        <f ca="1">[1]!BexGetData("DP_1","003N8EMH8GTFRIVOG7KG9J9VY","GSON1246556500")</f>
        <v>#NAME?</v>
      </c>
      <c r="Q2719" s="23" t="e">
        <f ca="1">[1]!BexGetData("DP_1","00O2TNJGODT0G5Z4TTKYMM5MT","GSON1246556500")</f>
        <v>#NAME?</v>
      </c>
      <c r="R2719" s="23" t="e">
        <f ca="1">[1]!BexGetData("DP_1","00O2TNJGODT0G5Z4TTKYMMBYD","GSON1246556500")</f>
        <v>#NAME?</v>
      </c>
      <c r="S2719" s="23" t="e">
        <f ca="1">[1]!BexGetData("DP_1","00O2TNJGODT0G5Z4TTKYMMI9X","GSON1246556500")</f>
        <v>#NAME?</v>
      </c>
      <c r="T2719" s="23" t="e">
        <f ca="1">[1]!BexGetData("DP_1","00O2TNJGODT0G5Z4TTKYMMOLH","GSON1246556500")</f>
        <v>#NAME?</v>
      </c>
      <c r="U2719" s="28" t="e">
        <f ca="1">[1]!BexGetData("DP_1","00O2TNJGODT0G5Z4TTKYMMUX1","GSON1246556500")</f>
        <v>#NAME?</v>
      </c>
      <c r="V2719" s="23" t="e">
        <f ca="1">[1]!BexGetData("DP_1","00O2TNJGODT0G5Z4TTKYMN18L","GSON1246556500")</f>
        <v>#NAME?</v>
      </c>
      <c r="W2719" s="28" t="e">
        <f ca="1">[1]!BexGetData("DP_1","00O2TNJGODT0G5Z4TTKYMN7K5","GSON1246556500")</f>
        <v>#NAME?</v>
      </c>
    </row>
    <row r="2720" spans="1:23" x14ac:dyDescent="0.2">
      <c r="A2720" s="36" t="s">
        <v>6120</v>
      </c>
      <c r="B2720" s="27" t="s">
        <v>1355</v>
      </c>
      <c r="C2720" s="23" t="e">
        <f ca="1">[1]!BexGetData("DP_1","003N8EMH8GTFRCSWKMPXRR8GU","GSON1246556501")</f>
        <v>#NAME?</v>
      </c>
      <c r="D2720" s="23" t="e">
        <f ca="1">[1]!BexGetData("DP_1","003N8EMH8GTFRCSWKMPXRRESE","GSON1246556501")</f>
        <v>#NAME?</v>
      </c>
      <c r="E2720" s="23" t="e">
        <f ca="1">[1]!BexGetData("DP_1","003N8EMH8GTFRCSWKMPXRRL3Y","GSON1246556501")</f>
        <v>#NAME?</v>
      </c>
      <c r="F2720" s="23" t="e">
        <f ca="1">[1]!BexGetData("DP_1","003N8EMH8GTFRCSWKMPXRRRFI","GSON1246556501")</f>
        <v>#NAME?</v>
      </c>
      <c r="G2720" s="23" t="e">
        <f ca="1">[1]!BexGetData("DP_1","003N8EMH8GTFRCSWKMPXRRXR2","GSON1246556501")</f>
        <v>#NAME?</v>
      </c>
      <c r="H2720" s="23" t="e">
        <f ca="1">[1]!BexGetData("DP_1","003N8EMH8GTFRCSWKMPXRS42M","GSON1246556501")</f>
        <v>#NAME?</v>
      </c>
      <c r="I2720" s="23" t="e">
        <f ca="1">[1]!BexGetData("DP_1","003N8EMH8GTFRCSWKMPXRSAE6","GSON1246556501")</f>
        <v>#NAME?</v>
      </c>
      <c r="J2720" s="23" t="e">
        <f ca="1">[1]!BexGetData("DP_1","003N8EMH8GTFRCSWKMPXRSGPQ","GSON1246556501")</f>
        <v>#NAME?</v>
      </c>
      <c r="K2720" s="23" t="e">
        <f ca="1">[1]!BexGetData("DP_1","003N8EMH8GTFRIVNUPY288VJH","GSON1246556501")</f>
        <v>#NAME?</v>
      </c>
      <c r="L2720" s="23" t="e">
        <f ca="1">[1]!BexGetData("DP_1","003N8EMH8GTFRIVNUPY2891V1","GSON1246556501")</f>
        <v>#NAME?</v>
      </c>
      <c r="M2720" s="28" t="e">
        <f ca="1">[1]!BexGetData("DP_1","003N8EMH8GTFRIVOG7KG9IQXA","GSON1246556501")</f>
        <v>#NAME?</v>
      </c>
      <c r="N2720" s="23" t="e">
        <f ca="1">[1]!BexGetData("DP_1","003N8EMH8GTFRIVOG7KG9IX8U","GSON1246556501")</f>
        <v>#NAME?</v>
      </c>
      <c r="O2720" s="28" t="e">
        <f ca="1">[1]!BexGetData("DP_1","003N8EMH8GTFRIVOG7KG9J3KE","GSON1246556501")</f>
        <v>#NAME?</v>
      </c>
      <c r="P2720" s="23" t="e">
        <f ca="1">[1]!BexGetData("DP_1","003N8EMH8GTFRIVOG7KG9J9VY","GSON1246556501")</f>
        <v>#NAME?</v>
      </c>
      <c r="Q2720" s="23" t="e">
        <f ca="1">[1]!BexGetData("DP_1","00O2TNJGODT0G5Z4TTKYMM5MT","GSON1246556501")</f>
        <v>#NAME?</v>
      </c>
      <c r="R2720" s="23" t="e">
        <f ca="1">[1]!BexGetData("DP_1","00O2TNJGODT0G5Z4TTKYMMBYD","GSON1246556501")</f>
        <v>#NAME?</v>
      </c>
      <c r="S2720" s="23" t="e">
        <f ca="1">[1]!BexGetData("DP_1","00O2TNJGODT0G5Z4TTKYMMI9X","GSON1246556501")</f>
        <v>#NAME?</v>
      </c>
      <c r="T2720" s="28" t="e">
        <f ca="1">[1]!BexGetData("DP_1","00O2TNJGODT0G5Z4TTKYMMOLH","GSON1246556501")</f>
        <v>#NAME?</v>
      </c>
      <c r="U2720" s="23" t="e">
        <f ca="1">[1]!BexGetData("DP_1","00O2TNJGODT0G5Z4TTKYMMUX1","GSON1246556501")</f>
        <v>#NAME?</v>
      </c>
      <c r="V2720" s="28" t="e">
        <f ca="1">[1]!BexGetData("DP_1","00O2TNJGODT0G5Z4TTKYMN18L","GSON1246556501")</f>
        <v>#NAME?</v>
      </c>
      <c r="W2720" s="23" t="e">
        <f ca="1">[1]!BexGetData("DP_1","00O2TNJGODT0G5Z4TTKYMN7K5","GSON1246556501")</f>
        <v>#NAME?</v>
      </c>
    </row>
    <row r="2721" spans="1:23" x14ac:dyDescent="0.2">
      <c r="A2721" s="36" t="s">
        <v>1356</v>
      </c>
      <c r="B2721" s="27" t="s">
        <v>1357</v>
      </c>
      <c r="C2721" s="28" t="e">
        <f ca="1">[1]!BexGetData("DP_1","003N8EMH8GTFRCSWKMPXRR8GU","GSON1246656600")</f>
        <v>#NAME?</v>
      </c>
      <c r="D2721" s="28" t="e">
        <f ca="1">[1]!BexGetData("DP_1","003N8EMH8GTFRCSWKMPXRRESE","GSON1246656600")</f>
        <v>#NAME?</v>
      </c>
      <c r="E2721" s="23" t="e">
        <f ca="1">[1]!BexGetData("DP_1","003N8EMH8GTFRCSWKMPXRRL3Y","GSON1246656600")</f>
        <v>#NAME?</v>
      </c>
      <c r="F2721" s="23" t="e">
        <f ca="1">[1]!BexGetData("DP_1","003N8EMH8GTFRCSWKMPXRRRFI","GSON1246656600")</f>
        <v>#NAME?</v>
      </c>
      <c r="G2721" s="28" t="e">
        <f ca="1">[1]!BexGetData("DP_1","003N8EMH8GTFRCSWKMPXRRXR2","GSON1246656600")</f>
        <v>#NAME?</v>
      </c>
      <c r="H2721" s="23" t="e">
        <f ca="1">[1]!BexGetData("DP_1","003N8EMH8GTFRCSWKMPXRS42M","GSON1246656600")</f>
        <v>#NAME?</v>
      </c>
      <c r="I2721" s="23" t="e">
        <f ca="1">[1]!BexGetData("DP_1","003N8EMH8GTFRCSWKMPXRSAE6","GSON1246656600")</f>
        <v>#NAME?</v>
      </c>
      <c r="J2721" s="23" t="e">
        <f ca="1">[1]!BexGetData("DP_1","003N8EMH8GTFRCSWKMPXRSGPQ","GSON1246656600")</f>
        <v>#NAME?</v>
      </c>
      <c r="K2721" s="28" t="e">
        <f ca="1">[1]!BexGetData("DP_1","003N8EMH8GTFRIVNUPY288VJH","GSON1246656600")</f>
        <v>#NAME?</v>
      </c>
      <c r="L2721" s="28" t="e">
        <f ca="1">[1]!BexGetData("DP_1","003N8EMH8GTFRIVNUPY2891V1","GSON1246656600")</f>
        <v>#NAME?</v>
      </c>
      <c r="M2721" s="28" t="e">
        <f ca="1">[1]!BexGetData("DP_1","003N8EMH8GTFRIVOG7KG9IQXA","GSON1246656600")</f>
        <v>#NAME?</v>
      </c>
      <c r="N2721" s="28" t="e">
        <f ca="1">[1]!BexGetData("DP_1","003N8EMH8GTFRIVOG7KG9IX8U","GSON1246656600")</f>
        <v>#NAME?</v>
      </c>
      <c r="O2721" s="28" t="e">
        <f ca="1">[1]!BexGetData("DP_1","003N8EMH8GTFRIVOG7KG9J3KE","GSON1246656600")</f>
        <v>#NAME?</v>
      </c>
      <c r="P2721" s="28" t="e">
        <f ca="1">[1]!BexGetData("DP_1","003N8EMH8GTFRIVOG7KG9J9VY","GSON1246656600")</f>
        <v>#NAME?</v>
      </c>
      <c r="Q2721" s="23" t="e">
        <f ca="1">[1]!BexGetData("DP_1","00O2TNJGODT0G5Z4TTKYMM5MT","GSON1246656600")</f>
        <v>#NAME?</v>
      </c>
      <c r="R2721" s="23" t="e">
        <f ca="1">[1]!BexGetData("DP_1","00O2TNJGODT0G5Z4TTKYMMBYD","GSON1246656600")</f>
        <v>#NAME?</v>
      </c>
      <c r="S2721" s="23" t="e">
        <f ca="1">[1]!BexGetData("DP_1","00O2TNJGODT0G5Z4TTKYMMI9X","GSON1246656600")</f>
        <v>#NAME?</v>
      </c>
      <c r="T2721" s="23" t="e">
        <f ca="1">[1]!BexGetData("DP_1","00O2TNJGODT0G5Z4TTKYMMOLH","GSON1246656600")</f>
        <v>#NAME?</v>
      </c>
      <c r="U2721" s="28" t="e">
        <f ca="1">[1]!BexGetData("DP_1","00O2TNJGODT0G5Z4TTKYMMUX1","GSON1246656600")</f>
        <v>#NAME?</v>
      </c>
      <c r="V2721" s="23" t="e">
        <f ca="1">[1]!BexGetData("DP_1","00O2TNJGODT0G5Z4TTKYMN18L","GSON1246656600")</f>
        <v>#NAME?</v>
      </c>
      <c r="W2721" s="28" t="e">
        <f ca="1">[1]!BexGetData("DP_1","00O2TNJGODT0G5Z4TTKYMN7K5","GSON1246656600")</f>
        <v>#NAME?</v>
      </c>
    </row>
    <row r="2722" spans="1:23" x14ac:dyDescent="0.2">
      <c r="A2722" s="36" t="s">
        <v>1358</v>
      </c>
      <c r="B2722" s="27" t="s">
        <v>1359</v>
      </c>
      <c r="C2722" s="23" t="e">
        <f ca="1">[1]!BexGetData("DP_1","003N8EMH8GTFRCSWKMPXRR8GU","GSON1246656601")</f>
        <v>#NAME?</v>
      </c>
      <c r="D2722" s="23" t="e">
        <f ca="1">[1]!BexGetData("DP_1","003N8EMH8GTFRCSWKMPXRRESE","GSON1246656601")</f>
        <v>#NAME?</v>
      </c>
      <c r="E2722" s="23" t="e">
        <f ca="1">[1]!BexGetData("DP_1","003N8EMH8GTFRCSWKMPXRRL3Y","GSON1246656601")</f>
        <v>#NAME?</v>
      </c>
      <c r="F2722" s="23" t="e">
        <f ca="1">[1]!BexGetData("DP_1","003N8EMH8GTFRCSWKMPXRRRFI","GSON1246656601")</f>
        <v>#NAME?</v>
      </c>
      <c r="G2722" s="23" t="e">
        <f ca="1">[1]!BexGetData("DP_1","003N8EMH8GTFRCSWKMPXRRXR2","GSON1246656601")</f>
        <v>#NAME?</v>
      </c>
      <c r="H2722" s="23" t="e">
        <f ca="1">[1]!BexGetData("DP_1","003N8EMH8GTFRCSWKMPXRS42M","GSON1246656601")</f>
        <v>#NAME?</v>
      </c>
      <c r="I2722" s="23" t="e">
        <f ca="1">[1]!BexGetData("DP_1","003N8EMH8GTFRCSWKMPXRSAE6","GSON1246656601")</f>
        <v>#NAME?</v>
      </c>
      <c r="J2722" s="23" t="e">
        <f ca="1">[1]!BexGetData("DP_1","003N8EMH8GTFRCSWKMPXRSGPQ","GSON1246656601")</f>
        <v>#NAME?</v>
      </c>
      <c r="K2722" s="23" t="e">
        <f ca="1">[1]!BexGetData("DP_1","003N8EMH8GTFRIVNUPY288VJH","GSON1246656601")</f>
        <v>#NAME?</v>
      </c>
      <c r="L2722" s="23" t="e">
        <f ca="1">[1]!BexGetData("DP_1","003N8EMH8GTFRIVNUPY2891V1","GSON1246656601")</f>
        <v>#NAME?</v>
      </c>
      <c r="M2722" s="28" t="e">
        <f ca="1">[1]!BexGetData("DP_1","003N8EMH8GTFRIVOG7KG9IQXA","GSON1246656601")</f>
        <v>#NAME?</v>
      </c>
      <c r="N2722" s="23" t="e">
        <f ca="1">[1]!BexGetData("DP_1","003N8EMH8GTFRIVOG7KG9IX8U","GSON1246656601")</f>
        <v>#NAME?</v>
      </c>
      <c r="O2722" s="28" t="e">
        <f ca="1">[1]!BexGetData("DP_1","003N8EMH8GTFRIVOG7KG9J3KE","GSON1246656601")</f>
        <v>#NAME?</v>
      </c>
      <c r="P2722" s="23" t="e">
        <f ca="1">[1]!BexGetData("DP_1","003N8EMH8GTFRIVOG7KG9J9VY","GSON1246656601")</f>
        <v>#NAME?</v>
      </c>
      <c r="Q2722" s="23" t="e">
        <f ca="1">[1]!BexGetData("DP_1","00O2TNJGODT0G5Z4TTKYMM5MT","GSON1246656601")</f>
        <v>#NAME?</v>
      </c>
      <c r="R2722" s="23" t="e">
        <f ca="1">[1]!BexGetData("DP_1","00O2TNJGODT0G5Z4TTKYMMBYD","GSON1246656601")</f>
        <v>#NAME?</v>
      </c>
      <c r="S2722" s="23" t="e">
        <f ca="1">[1]!BexGetData("DP_1","00O2TNJGODT0G5Z4TTKYMMI9X","GSON1246656601")</f>
        <v>#NAME?</v>
      </c>
      <c r="T2722" s="28" t="e">
        <f ca="1">[1]!BexGetData("DP_1","00O2TNJGODT0G5Z4TTKYMMOLH","GSON1246656601")</f>
        <v>#NAME?</v>
      </c>
      <c r="U2722" s="23" t="e">
        <f ca="1">[1]!BexGetData("DP_1","00O2TNJGODT0G5Z4TTKYMMUX1","GSON1246656601")</f>
        <v>#NAME?</v>
      </c>
      <c r="V2722" s="28" t="e">
        <f ca="1">[1]!BexGetData("DP_1","00O2TNJGODT0G5Z4TTKYMN18L","GSON1246656601")</f>
        <v>#NAME?</v>
      </c>
      <c r="W2722" s="23" t="e">
        <f ca="1">[1]!BexGetData("DP_1","00O2TNJGODT0G5Z4TTKYMN7K5","GSON1246656601")</f>
        <v>#NAME?</v>
      </c>
    </row>
    <row r="2723" spans="1:23" x14ac:dyDescent="0.2">
      <c r="A2723" s="36" t="s">
        <v>1360</v>
      </c>
      <c r="B2723" s="27" t="s">
        <v>1361</v>
      </c>
      <c r="C2723" s="28" t="e">
        <f ca="1">[1]!BexGetData("DP_1","003N8EMH8GTFRCSWKMPXRR8GU","GSON1246756700")</f>
        <v>#NAME?</v>
      </c>
      <c r="D2723" s="28" t="e">
        <f ca="1">[1]!BexGetData("DP_1","003N8EMH8GTFRCSWKMPXRRESE","GSON1246756700")</f>
        <v>#NAME?</v>
      </c>
      <c r="E2723" s="23" t="e">
        <f ca="1">[1]!BexGetData("DP_1","003N8EMH8GTFRCSWKMPXRRL3Y","GSON1246756700")</f>
        <v>#NAME?</v>
      </c>
      <c r="F2723" s="23" t="e">
        <f ca="1">[1]!BexGetData("DP_1","003N8EMH8GTFRCSWKMPXRRRFI","GSON1246756700")</f>
        <v>#NAME?</v>
      </c>
      <c r="G2723" s="28" t="e">
        <f ca="1">[1]!BexGetData("DP_1","003N8EMH8GTFRCSWKMPXRRXR2","GSON1246756700")</f>
        <v>#NAME?</v>
      </c>
      <c r="H2723" s="28" t="e">
        <f ca="1">[1]!BexGetData("DP_1","003N8EMH8GTFRCSWKMPXRS42M","GSON1246756700")</f>
        <v>#NAME?</v>
      </c>
      <c r="I2723" s="23" t="e">
        <f ca="1">[1]!BexGetData("DP_1","003N8EMH8GTFRCSWKMPXRSAE6","GSON1246756700")</f>
        <v>#NAME?</v>
      </c>
      <c r="J2723" s="23" t="e">
        <f ca="1">[1]!BexGetData("DP_1","003N8EMH8GTFRCSWKMPXRSGPQ","GSON1246756700")</f>
        <v>#NAME?</v>
      </c>
      <c r="K2723" s="28" t="e">
        <f ca="1">[1]!BexGetData("DP_1","003N8EMH8GTFRIVNUPY288VJH","GSON1246756700")</f>
        <v>#NAME?</v>
      </c>
      <c r="L2723" s="28" t="e">
        <f ca="1">[1]!BexGetData("DP_1","003N8EMH8GTFRIVNUPY2891V1","GSON1246756700")</f>
        <v>#NAME?</v>
      </c>
      <c r="M2723" s="28" t="e">
        <f ca="1">[1]!BexGetData("DP_1","003N8EMH8GTFRIVOG7KG9IQXA","GSON1246756700")</f>
        <v>#NAME?</v>
      </c>
      <c r="N2723" s="28" t="e">
        <f ca="1">[1]!BexGetData("DP_1","003N8EMH8GTFRIVOG7KG9IX8U","GSON1246756700")</f>
        <v>#NAME?</v>
      </c>
      <c r="O2723" s="28" t="e">
        <f ca="1">[1]!BexGetData("DP_1","003N8EMH8GTFRIVOG7KG9J3KE","GSON1246756700")</f>
        <v>#NAME?</v>
      </c>
      <c r="P2723" s="28" t="e">
        <f ca="1">[1]!BexGetData("DP_1","003N8EMH8GTFRIVOG7KG9J9VY","GSON1246756700")</f>
        <v>#NAME?</v>
      </c>
      <c r="Q2723" s="23" t="e">
        <f ca="1">[1]!BexGetData("DP_1","00O2TNJGODT0G5Z4TTKYMM5MT","GSON1246756700")</f>
        <v>#NAME?</v>
      </c>
      <c r="R2723" s="28" t="e">
        <f ca="1">[1]!BexGetData("DP_1","00O2TNJGODT0G5Z4TTKYMMBYD","GSON1246756700")</f>
        <v>#NAME?</v>
      </c>
      <c r="S2723" s="28" t="e">
        <f ca="1">[1]!BexGetData("DP_1","00O2TNJGODT0G5Z4TTKYMMI9X","GSON1246756700")</f>
        <v>#NAME?</v>
      </c>
      <c r="T2723" s="28" t="e">
        <f ca="1">[1]!BexGetData("DP_1","00O2TNJGODT0G5Z4TTKYMMOLH","GSON1246756700")</f>
        <v>#NAME?</v>
      </c>
      <c r="U2723" s="28" t="e">
        <f ca="1">[1]!BexGetData("DP_1","00O2TNJGODT0G5Z4TTKYMMUX1","GSON1246756700")</f>
        <v>#NAME?</v>
      </c>
      <c r="V2723" s="28" t="e">
        <f ca="1">[1]!BexGetData("DP_1","00O2TNJGODT0G5Z4TTKYMN18L","GSON1246756700")</f>
        <v>#NAME?</v>
      </c>
      <c r="W2723" s="28" t="e">
        <f ca="1">[1]!BexGetData("DP_1","00O2TNJGODT0G5Z4TTKYMN7K5","GSON1246756700")</f>
        <v>#NAME?</v>
      </c>
    </row>
    <row r="2724" spans="1:23" x14ac:dyDescent="0.2">
      <c r="A2724" s="36" t="s">
        <v>6121</v>
      </c>
      <c r="B2724" s="27" t="s">
        <v>6122</v>
      </c>
      <c r="C2724" s="23" t="e">
        <f ca="1">[1]!BexGetData("DP_1","003N8EMH8GTFRCSWKMPXRR8GU","GSON1246756701")</f>
        <v>#NAME?</v>
      </c>
      <c r="D2724" s="28" t="e">
        <f ca="1">[1]!BexGetData("DP_1","003N8EMH8GTFRCSWKMPXRRESE","GSON1246756701")</f>
        <v>#NAME?</v>
      </c>
      <c r="E2724" s="23" t="e">
        <f ca="1">[1]!BexGetData("DP_1","003N8EMH8GTFRCSWKMPXRRL3Y","GSON1246756701")</f>
        <v>#NAME?</v>
      </c>
      <c r="F2724" s="23" t="e">
        <f ca="1">[1]!BexGetData("DP_1","003N8EMH8GTFRCSWKMPXRRRFI","GSON1246756701")</f>
        <v>#NAME?</v>
      </c>
      <c r="G2724" s="23" t="e">
        <f ca="1">[1]!BexGetData("DP_1","003N8EMH8GTFRCSWKMPXRRXR2","GSON1246756701")</f>
        <v>#NAME?</v>
      </c>
      <c r="H2724" s="28" t="e">
        <f ca="1">[1]!BexGetData("DP_1","003N8EMH8GTFRCSWKMPXRS42M","GSON1246756701")</f>
        <v>#NAME?</v>
      </c>
      <c r="I2724" s="23" t="e">
        <f ca="1">[1]!BexGetData("DP_1","003N8EMH8GTFRCSWKMPXRSAE6","GSON1246756701")</f>
        <v>#NAME?</v>
      </c>
      <c r="J2724" s="23" t="e">
        <f ca="1">[1]!BexGetData("DP_1","003N8EMH8GTFRCSWKMPXRSGPQ","GSON1246756701")</f>
        <v>#NAME?</v>
      </c>
      <c r="K2724" s="23" t="e">
        <f ca="1">[1]!BexGetData("DP_1","003N8EMH8GTFRIVNUPY288VJH","GSON1246756701")</f>
        <v>#NAME?</v>
      </c>
      <c r="L2724" s="23" t="e">
        <f ca="1">[1]!BexGetData("DP_1","003N8EMH8GTFRIVNUPY2891V1","GSON1246756701")</f>
        <v>#NAME?</v>
      </c>
      <c r="M2724" s="28" t="e">
        <f ca="1">[1]!BexGetData("DP_1","003N8EMH8GTFRIVOG7KG9IQXA","GSON1246756701")</f>
        <v>#NAME?</v>
      </c>
      <c r="N2724" s="23" t="e">
        <f ca="1">[1]!BexGetData("DP_1","003N8EMH8GTFRIVOG7KG9IX8U","GSON1246756701")</f>
        <v>#NAME?</v>
      </c>
      <c r="O2724" s="28" t="e">
        <f ca="1">[1]!BexGetData("DP_1","003N8EMH8GTFRIVOG7KG9J3KE","GSON1246756701")</f>
        <v>#NAME?</v>
      </c>
      <c r="P2724" s="23" t="e">
        <f ca="1">[1]!BexGetData("DP_1","003N8EMH8GTFRIVOG7KG9J9VY","GSON1246756701")</f>
        <v>#NAME?</v>
      </c>
      <c r="Q2724" s="23" t="e">
        <f ca="1">[1]!BexGetData("DP_1","00O2TNJGODT0G5Z4TTKYMM5MT","GSON1246756701")</f>
        <v>#NAME?</v>
      </c>
      <c r="R2724" s="23" t="e">
        <f ca="1">[1]!BexGetData("DP_1","00O2TNJGODT0G5Z4TTKYMMBYD","GSON1246756701")</f>
        <v>#NAME?</v>
      </c>
      <c r="S2724" s="23" t="e">
        <f ca="1">[1]!BexGetData("DP_1","00O2TNJGODT0G5Z4TTKYMMI9X","GSON1246756701")</f>
        <v>#NAME?</v>
      </c>
      <c r="T2724" s="28" t="e">
        <f ca="1">[1]!BexGetData("DP_1","00O2TNJGODT0G5Z4TTKYMMOLH","GSON1246756701")</f>
        <v>#NAME?</v>
      </c>
      <c r="U2724" s="23" t="e">
        <f ca="1">[1]!BexGetData("DP_1","00O2TNJGODT0G5Z4TTKYMMUX1","GSON1246756701")</f>
        <v>#NAME?</v>
      </c>
      <c r="V2724" s="28" t="e">
        <f ca="1">[1]!BexGetData("DP_1","00O2TNJGODT0G5Z4TTKYMN18L","GSON1246756701")</f>
        <v>#NAME?</v>
      </c>
      <c r="W2724" s="23" t="e">
        <f ca="1">[1]!BexGetData("DP_1","00O2TNJGODT0G5Z4TTKYMN7K5","GSON1246756701")</f>
        <v>#NAME?</v>
      </c>
    </row>
    <row r="2725" spans="1:23" x14ac:dyDescent="0.2">
      <c r="A2725" s="36" t="s">
        <v>6123</v>
      </c>
      <c r="B2725" s="27" t="s">
        <v>6124</v>
      </c>
      <c r="C2725" s="23" t="e">
        <f ca="1">[1]!BexGetData("DP_1","003N8EMH8GTFRCSWKMPXRR8GU","GSON1246756702")</f>
        <v>#NAME?</v>
      </c>
      <c r="D2725" s="28" t="e">
        <f ca="1">[1]!BexGetData("DP_1","003N8EMH8GTFRCSWKMPXRRESE","GSON1246756702")</f>
        <v>#NAME?</v>
      </c>
      <c r="E2725" s="23" t="e">
        <f ca="1">[1]!BexGetData("DP_1","003N8EMH8GTFRCSWKMPXRRL3Y","GSON1246756702")</f>
        <v>#NAME?</v>
      </c>
      <c r="F2725" s="23" t="e">
        <f ca="1">[1]!BexGetData("DP_1","003N8EMH8GTFRCSWKMPXRRRFI","GSON1246756702")</f>
        <v>#NAME?</v>
      </c>
      <c r="G2725" s="23" t="e">
        <f ca="1">[1]!BexGetData("DP_1","003N8EMH8GTFRCSWKMPXRRXR2","GSON1246756702")</f>
        <v>#NAME?</v>
      </c>
      <c r="H2725" s="28" t="e">
        <f ca="1">[1]!BexGetData("DP_1","003N8EMH8GTFRCSWKMPXRS42M","GSON1246756702")</f>
        <v>#NAME?</v>
      </c>
      <c r="I2725" s="23" t="e">
        <f ca="1">[1]!BexGetData("DP_1","003N8EMH8GTFRCSWKMPXRSAE6","GSON1246756702")</f>
        <v>#NAME?</v>
      </c>
      <c r="J2725" s="23" t="e">
        <f ca="1">[1]!BexGetData("DP_1","003N8EMH8GTFRCSWKMPXRSGPQ","GSON1246756702")</f>
        <v>#NAME?</v>
      </c>
      <c r="K2725" s="23" t="e">
        <f ca="1">[1]!BexGetData("DP_1","003N8EMH8GTFRIVNUPY288VJH","GSON1246756702")</f>
        <v>#NAME?</v>
      </c>
      <c r="L2725" s="23" t="e">
        <f ca="1">[1]!BexGetData("DP_1","003N8EMH8GTFRIVNUPY2891V1","GSON1246756702")</f>
        <v>#NAME?</v>
      </c>
      <c r="M2725" s="28" t="e">
        <f ca="1">[1]!BexGetData("DP_1","003N8EMH8GTFRIVOG7KG9IQXA","GSON1246756702")</f>
        <v>#NAME?</v>
      </c>
      <c r="N2725" s="23" t="e">
        <f ca="1">[1]!BexGetData("DP_1","003N8EMH8GTFRIVOG7KG9IX8U","GSON1246756702")</f>
        <v>#NAME?</v>
      </c>
      <c r="O2725" s="28" t="e">
        <f ca="1">[1]!BexGetData("DP_1","003N8EMH8GTFRIVOG7KG9J3KE","GSON1246756702")</f>
        <v>#NAME?</v>
      </c>
      <c r="P2725" s="23" t="e">
        <f ca="1">[1]!BexGetData("DP_1","003N8EMH8GTFRIVOG7KG9J9VY","GSON1246756702")</f>
        <v>#NAME?</v>
      </c>
      <c r="Q2725" s="23" t="e">
        <f ca="1">[1]!BexGetData("DP_1","00O2TNJGODT0G5Z4TTKYMM5MT","GSON1246756702")</f>
        <v>#NAME?</v>
      </c>
      <c r="R2725" s="23" t="e">
        <f ca="1">[1]!BexGetData("DP_1","00O2TNJGODT0G5Z4TTKYMMBYD","GSON1246756702")</f>
        <v>#NAME?</v>
      </c>
      <c r="S2725" s="23" t="e">
        <f ca="1">[1]!BexGetData("DP_1","00O2TNJGODT0G5Z4TTKYMMI9X","GSON1246756702")</f>
        <v>#NAME?</v>
      </c>
      <c r="T2725" s="28" t="e">
        <f ca="1">[1]!BexGetData("DP_1","00O2TNJGODT0G5Z4TTKYMMOLH","GSON1246756702")</f>
        <v>#NAME?</v>
      </c>
      <c r="U2725" s="23" t="e">
        <f ca="1">[1]!BexGetData("DP_1","00O2TNJGODT0G5Z4TTKYMMUX1","GSON1246756702")</f>
        <v>#NAME?</v>
      </c>
      <c r="V2725" s="28" t="e">
        <f ca="1">[1]!BexGetData("DP_1","00O2TNJGODT0G5Z4TTKYMN18L","GSON1246756702")</f>
        <v>#NAME?</v>
      </c>
      <c r="W2725" s="23" t="e">
        <f ca="1">[1]!BexGetData("DP_1","00O2TNJGODT0G5Z4TTKYMN7K5","GSON1246756702")</f>
        <v>#NAME?</v>
      </c>
    </row>
    <row r="2726" spans="1:23" x14ac:dyDescent="0.2">
      <c r="A2726" s="36" t="s">
        <v>1362</v>
      </c>
      <c r="B2726" s="27" t="s">
        <v>1363</v>
      </c>
      <c r="C2726" s="28" t="e">
        <f ca="1">[1]!BexGetData("DP_1","003N8EMH8GTFRCSWKMPXRR8GU","GSON1246956900")</f>
        <v>#NAME?</v>
      </c>
      <c r="D2726" s="28" t="e">
        <f ca="1">[1]!BexGetData("DP_1","003N8EMH8GTFRCSWKMPXRRESE","GSON1246956900")</f>
        <v>#NAME?</v>
      </c>
      <c r="E2726" s="23" t="e">
        <f ca="1">[1]!BexGetData("DP_1","003N8EMH8GTFRCSWKMPXRRL3Y","GSON1246956900")</f>
        <v>#NAME?</v>
      </c>
      <c r="F2726" s="23" t="e">
        <f ca="1">[1]!BexGetData("DP_1","003N8EMH8GTFRCSWKMPXRRRFI","GSON1246956900")</f>
        <v>#NAME?</v>
      </c>
      <c r="G2726" s="28" t="e">
        <f ca="1">[1]!BexGetData("DP_1","003N8EMH8GTFRCSWKMPXRRXR2","GSON1246956900")</f>
        <v>#NAME?</v>
      </c>
      <c r="H2726" s="28" t="e">
        <f ca="1">[1]!BexGetData("DP_1","003N8EMH8GTFRCSWKMPXRS42M","GSON1246956900")</f>
        <v>#NAME?</v>
      </c>
      <c r="I2726" s="23" t="e">
        <f ca="1">[1]!BexGetData("DP_1","003N8EMH8GTFRCSWKMPXRSAE6","GSON1246956900")</f>
        <v>#NAME?</v>
      </c>
      <c r="J2726" s="23" t="e">
        <f ca="1">[1]!BexGetData("DP_1","003N8EMH8GTFRCSWKMPXRSGPQ","GSON1246956900")</f>
        <v>#NAME?</v>
      </c>
      <c r="K2726" s="28" t="e">
        <f ca="1">[1]!BexGetData("DP_1","003N8EMH8GTFRIVNUPY288VJH","GSON1246956900")</f>
        <v>#NAME?</v>
      </c>
      <c r="L2726" s="28" t="e">
        <f ca="1">[1]!BexGetData("DP_1","003N8EMH8GTFRIVNUPY2891V1","GSON1246956900")</f>
        <v>#NAME?</v>
      </c>
      <c r="M2726" s="28" t="e">
        <f ca="1">[1]!BexGetData("DP_1","003N8EMH8GTFRIVOG7KG9IQXA","GSON1246956900")</f>
        <v>#NAME?</v>
      </c>
      <c r="N2726" s="28" t="e">
        <f ca="1">[1]!BexGetData("DP_1","003N8EMH8GTFRIVOG7KG9IX8U","GSON1246956900")</f>
        <v>#NAME?</v>
      </c>
      <c r="O2726" s="28" t="e">
        <f ca="1">[1]!BexGetData("DP_1","003N8EMH8GTFRIVOG7KG9J3KE","GSON1246956900")</f>
        <v>#NAME?</v>
      </c>
      <c r="P2726" s="28" t="e">
        <f ca="1">[1]!BexGetData("DP_1","003N8EMH8GTFRIVOG7KG9J9VY","GSON1246956900")</f>
        <v>#NAME?</v>
      </c>
      <c r="Q2726" s="23" t="e">
        <f ca="1">[1]!BexGetData("DP_1","00O2TNJGODT0G5Z4TTKYMM5MT","GSON1246956900")</f>
        <v>#NAME?</v>
      </c>
      <c r="R2726" s="28" t="e">
        <f ca="1">[1]!BexGetData("DP_1","00O2TNJGODT0G5Z4TTKYMMBYD","GSON1246956900")</f>
        <v>#NAME?</v>
      </c>
      <c r="S2726" s="28" t="e">
        <f ca="1">[1]!BexGetData("DP_1","00O2TNJGODT0G5Z4TTKYMMI9X","GSON1246956900")</f>
        <v>#NAME?</v>
      </c>
      <c r="T2726" s="28" t="e">
        <f ca="1">[1]!BexGetData("DP_1","00O2TNJGODT0G5Z4TTKYMMOLH","GSON1246956900")</f>
        <v>#NAME?</v>
      </c>
      <c r="U2726" s="28" t="e">
        <f ca="1">[1]!BexGetData("DP_1","00O2TNJGODT0G5Z4TTKYMMUX1","GSON1246956900")</f>
        <v>#NAME?</v>
      </c>
      <c r="V2726" s="28" t="e">
        <f ca="1">[1]!BexGetData("DP_1","00O2TNJGODT0G5Z4TTKYMN18L","GSON1246956900")</f>
        <v>#NAME?</v>
      </c>
      <c r="W2726" s="28" t="e">
        <f ca="1">[1]!BexGetData("DP_1","00O2TNJGODT0G5Z4TTKYMN7K5","GSON1246956900")</f>
        <v>#NAME?</v>
      </c>
    </row>
    <row r="2727" spans="1:23" x14ac:dyDescent="0.2">
      <c r="A2727" s="36" t="s">
        <v>6125</v>
      </c>
      <c r="B2727" s="27" t="s">
        <v>6126</v>
      </c>
      <c r="C2727" s="23" t="e">
        <f ca="1">[1]!BexGetData("DP_1","003N8EMH8GTFRCSWKMPXRR8GU","GSON1246956901")</f>
        <v>#NAME?</v>
      </c>
      <c r="D2727" s="23" t="e">
        <f ca="1">[1]!BexGetData("DP_1","003N8EMH8GTFRCSWKMPXRRESE","GSON1246956901")</f>
        <v>#NAME?</v>
      </c>
      <c r="E2727" s="23" t="e">
        <f ca="1">[1]!BexGetData("DP_1","003N8EMH8GTFRCSWKMPXRRL3Y","GSON1246956901")</f>
        <v>#NAME?</v>
      </c>
      <c r="F2727" s="23" t="e">
        <f ca="1">[1]!BexGetData("DP_1","003N8EMH8GTFRCSWKMPXRRRFI","GSON1246956901")</f>
        <v>#NAME?</v>
      </c>
      <c r="G2727" s="28" t="e">
        <f ca="1">[1]!BexGetData("DP_1","003N8EMH8GTFRCSWKMPXRRXR2","GSON1246956901")</f>
        <v>#NAME?</v>
      </c>
      <c r="H2727" s="28" t="e">
        <f ca="1">[1]!BexGetData("DP_1","003N8EMH8GTFRCSWKMPXRS42M","GSON1246956901")</f>
        <v>#NAME?</v>
      </c>
      <c r="I2727" s="23" t="e">
        <f ca="1">[1]!BexGetData("DP_1","003N8EMH8GTFRCSWKMPXRSAE6","GSON1246956901")</f>
        <v>#NAME?</v>
      </c>
      <c r="J2727" s="23" t="e">
        <f ca="1">[1]!BexGetData("DP_1","003N8EMH8GTFRCSWKMPXRSGPQ","GSON1246956901")</f>
        <v>#NAME?</v>
      </c>
      <c r="K2727" s="23" t="e">
        <f ca="1">[1]!BexGetData("DP_1","003N8EMH8GTFRIVNUPY288VJH","GSON1246956901")</f>
        <v>#NAME?</v>
      </c>
      <c r="L2727" s="23" t="e">
        <f ca="1">[1]!BexGetData("DP_1","003N8EMH8GTFRIVNUPY2891V1","GSON1246956901")</f>
        <v>#NAME?</v>
      </c>
      <c r="M2727" s="23" t="e">
        <f ca="1">[1]!BexGetData("DP_1","003N8EMH8GTFRIVOG7KG9IQXA","GSON1246956901")</f>
        <v>#NAME?</v>
      </c>
      <c r="N2727" s="28" t="e">
        <f ca="1">[1]!BexGetData("DP_1","003N8EMH8GTFRIVOG7KG9IX8U","GSON1246956901")</f>
        <v>#NAME?</v>
      </c>
      <c r="O2727" s="23" t="e">
        <f ca="1">[1]!BexGetData("DP_1","003N8EMH8GTFRIVOG7KG9J3KE","GSON1246956901")</f>
        <v>#NAME?</v>
      </c>
      <c r="P2727" s="28" t="e">
        <f ca="1">[1]!BexGetData("DP_1","003N8EMH8GTFRIVOG7KG9J9VY","GSON1246956901")</f>
        <v>#NAME?</v>
      </c>
      <c r="Q2727" s="23" t="e">
        <f ca="1">[1]!BexGetData("DP_1","00O2TNJGODT0G5Z4TTKYMM5MT","GSON1246956901")</f>
        <v>#NAME?</v>
      </c>
      <c r="R2727" s="28" t="e">
        <f ca="1">[1]!BexGetData("DP_1","00O2TNJGODT0G5Z4TTKYMMBYD","GSON1246956901")</f>
        <v>#NAME?</v>
      </c>
      <c r="S2727" s="28" t="e">
        <f ca="1">[1]!BexGetData("DP_1","00O2TNJGODT0G5Z4TTKYMMI9X","GSON1246956901")</f>
        <v>#NAME?</v>
      </c>
      <c r="T2727" s="28" t="e">
        <f ca="1">[1]!BexGetData("DP_1","00O2TNJGODT0G5Z4TTKYMMOLH","GSON1246956901")</f>
        <v>#NAME?</v>
      </c>
      <c r="U2727" s="28" t="e">
        <f ca="1">[1]!BexGetData("DP_1","00O2TNJGODT0G5Z4TTKYMMUX1","GSON1246956901")</f>
        <v>#NAME?</v>
      </c>
      <c r="V2727" s="28" t="e">
        <f ca="1">[1]!BexGetData("DP_1","00O2TNJGODT0G5Z4TTKYMN18L","GSON1246956901")</f>
        <v>#NAME?</v>
      </c>
      <c r="W2727" s="28" t="e">
        <f ca="1">[1]!BexGetData("DP_1","00O2TNJGODT0G5Z4TTKYMN7K5","GSON1246956901")</f>
        <v>#NAME?</v>
      </c>
    </row>
    <row r="2728" spans="1:23" x14ac:dyDescent="0.2">
      <c r="A2728" s="36" t="s">
        <v>6127</v>
      </c>
      <c r="B2728" s="27" t="s">
        <v>6128</v>
      </c>
      <c r="C2728" s="23" t="e">
        <f ca="1">[1]!BexGetData("DP_1","003N8EMH8GTFRCSWKMPXRR8GU","GSON1246956903")</f>
        <v>#NAME?</v>
      </c>
      <c r="D2728" s="28" t="e">
        <f ca="1">[1]!BexGetData("DP_1","003N8EMH8GTFRCSWKMPXRRESE","GSON1246956903")</f>
        <v>#NAME?</v>
      </c>
      <c r="E2728" s="23" t="e">
        <f ca="1">[1]!BexGetData("DP_1","003N8EMH8GTFRCSWKMPXRRL3Y","GSON1246956903")</f>
        <v>#NAME?</v>
      </c>
      <c r="F2728" s="24" t="e">
        <f ca="1">[1]!BexGetData("DP_1","003N8EMH8GTFRCSWKMPXRRRFI","GSON1246956903")</f>
        <v>#NAME?</v>
      </c>
      <c r="G2728" s="24" t="e">
        <f ca="1">[1]!BexGetData("DP_1","003N8EMH8GTFRCSWKMPXRRXR2","GSON1246956903")</f>
        <v>#NAME?</v>
      </c>
      <c r="H2728" s="24" t="e">
        <f ca="1">[1]!BexGetData("DP_1","003N8EMH8GTFRCSWKMPXRS42M","GSON1246956903")</f>
        <v>#NAME?</v>
      </c>
      <c r="I2728" s="24" t="e">
        <f ca="1">[1]!BexGetData("DP_1","003N8EMH8GTFRCSWKMPXRSAE6","GSON1246956903")</f>
        <v>#NAME?</v>
      </c>
      <c r="J2728" s="24" t="e">
        <f ca="1">[1]!BexGetData("DP_1","003N8EMH8GTFRCSWKMPXRSGPQ","GSON1246956903")</f>
        <v>#NAME?</v>
      </c>
      <c r="K2728" s="23" t="e">
        <f ca="1">[1]!BexGetData("DP_1","003N8EMH8GTFRIVNUPY288VJH","GSON1246956903")</f>
        <v>#NAME?</v>
      </c>
      <c r="L2728" s="23" t="e">
        <f ca="1">[1]!BexGetData("DP_1","003N8EMH8GTFRIVNUPY2891V1","GSON1246956903")</f>
        <v>#NAME?</v>
      </c>
      <c r="M2728" s="28" t="e">
        <f ca="1">[1]!BexGetData("DP_1","003N8EMH8GTFRIVOG7KG9IQXA","GSON1246956903")</f>
        <v>#NAME?</v>
      </c>
      <c r="N2728" s="23" t="e">
        <f ca="1">[1]!BexGetData("DP_1","003N8EMH8GTFRIVOG7KG9IX8U","GSON1246956903")</f>
        <v>#NAME?</v>
      </c>
      <c r="O2728" s="28" t="e">
        <f ca="1">[1]!BexGetData("DP_1","003N8EMH8GTFRIVOG7KG9J3KE","GSON1246956903")</f>
        <v>#NAME?</v>
      </c>
      <c r="P2728" s="23" t="e">
        <f ca="1">[1]!BexGetData("DP_1","003N8EMH8GTFRIVOG7KG9J9VY","GSON1246956903")</f>
        <v>#NAME?</v>
      </c>
      <c r="Q2728" s="24" t="e">
        <f ca="1">[1]!BexGetData("DP_1","00O2TNJGODT0G5Z4TTKYMM5MT","GSON1246956903")</f>
        <v>#NAME?</v>
      </c>
      <c r="R2728" s="24" t="e">
        <f ca="1">[1]!BexGetData("DP_1","00O2TNJGODT0G5Z4TTKYMMBYD","GSON1246956903")</f>
        <v>#NAME?</v>
      </c>
      <c r="S2728" s="24" t="e">
        <f ca="1">[1]!BexGetData("DP_1","00O2TNJGODT0G5Z4TTKYMMI9X","GSON1246956903")</f>
        <v>#NAME?</v>
      </c>
      <c r="T2728" s="24" t="e">
        <f ca="1">[1]!BexGetData("DP_1","00O2TNJGODT0G5Z4TTKYMMOLH","GSON1246956903")</f>
        <v>#NAME?</v>
      </c>
      <c r="U2728" s="24" t="e">
        <f ca="1">[1]!BexGetData("DP_1","00O2TNJGODT0G5Z4TTKYMMUX1","GSON1246956903")</f>
        <v>#NAME?</v>
      </c>
      <c r="V2728" s="24" t="e">
        <f ca="1">[1]!BexGetData("DP_1","00O2TNJGODT0G5Z4TTKYMN18L","GSON1246956903")</f>
        <v>#NAME?</v>
      </c>
      <c r="W2728" s="24" t="e">
        <f ca="1">[1]!BexGetData("DP_1","00O2TNJGODT0G5Z4TTKYMN7K5","GSON1246956903")</f>
        <v>#NAME?</v>
      </c>
    </row>
    <row r="2729" spans="1:23" x14ac:dyDescent="0.2">
      <c r="A2729" s="35" t="s">
        <v>1364</v>
      </c>
      <c r="B2729" s="27" t="s">
        <v>1365</v>
      </c>
      <c r="C2729" s="28" t="e">
        <f ca="1">[1]!BexGetData("DP_1","003N8EMH8GTFRCSWKMPXRR8GU","GSON1247")</f>
        <v>#NAME?</v>
      </c>
      <c r="D2729" s="28" t="e">
        <f ca="1">[1]!BexGetData("DP_1","003N8EMH8GTFRCSWKMPXRRESE","GSON1247")</f>
        <v>#NAME?</v>
      </c>
      <c r="E2729" s="23" t="e">
        <f ca="1">[1]!BexGetData("DP_1","003N8EMH8GTFRCSWKMPXRRL3Y","GSON1247")</f>
        <v>#NAME?</v>
      </c>
      <c r="F2729" s="23" t="e">
        <f ca="1">[1]!BexGetData("DP_1","003N8EMH8GTFRCSWKMPXRRRFI","GSON1247")</f>
        <v>#NAME?</v>
      </c>
      <c r="G2729" s="28" t="e">
        <f ca="1">[1]!BexGetData("DP_1","003N8EMH8GTFRCSWKMPXRRXR2","GSON1247")</f>
        <v>#NAME?</v>
      </c>
      <c r="H2729" s="28" t="e">
        <f ca="1">[1]!BexGetData("DP_1","003N8EMH8GTFRCSWKMPXRS42M","GSON1247")</f>
        <v>#NAME?</v>
      </c>
      <c r="I2729" s="23" t="e">
        <f ca="1">[1]!BexGetData("DP_1","003N8EMH8GTFRCSWKMPXRSAE6","GSON1247")</f>
        <v>#NAME?</v>
      </c>
      <c r="J2729" s="23" t="e">
        <f ca="1">[1]!BexGetData("DP_1","003N8EMH8GTFRCSWKMPXRSGPQ","GSON1247")</f>
        <v>#NAME?</v>
      </c>
      <c r="K2729" s="28" t="e">
        <f ca="1">[1]!BexGetData("DP_1","003N8EMH8GTFRIVNUPY288VJH","GSON1247")</f>
        <v>#NAME?</v>
      </c>
      <c r="L2729" s="28" t="e">
        <f ca="1">[1]!BexGetData("DP_1","003N8EMH8GTFRIVNUPY2891V1","GSON1247")</f>
        <v>#NAME?</v>
      </c>
      <c r="M2729" s="28" t="e">
        <f ca="1">[1]!BexGetData("DP_1","003N8EMH8GTFRIVOG7KG9IQXA","GSON1247")</f>
        <v>#NAME?</v>
      </c>
      <c r="N2729" s="28" t="e">
        <f ca="1">[1]!BexGetData("DP_1","003N8EMH8GTFRIVOG7KG9IX8U","GSON1247")</f>
        <v>#NAME?</v>
      </c>
      <c r="O2729" s="28" t="e">
        <f ca="1">[1]!BexGetData("DP_1","003N8EMH8GTFRIVOG7KG9J3KE","GSON1247")</f>
        <v>#NAME?</v>
      </c>
      <c r="P2729" s="28" t="e">
        <f ca="1">[1]!BexGetData("DP_1","003N8EMH8GTFRIVOG7KG9J9VY","GSON1247")</f>
        <v>#NAME?</v>
      </c>
      <c r="Q2729" s="23" t="e">
        <f ca="1">[1]!BexGetData("DP_1","00O2TNJGODT0G5Z4TTKYMM5MT","GSON1247")</f>
        <v>#NAME?</v>
      </c>
      <c r="R2729" s="28" t="e">
        <f ca="1">[1]!BexGetData("DP_1","00O2TNJGODT0G5Z4TTKYMMBYD","GSON1247")</f>
        <v>#NAME?</v>
      </c>
      <c r="S2729" s="28" t="e">
        <f ca="1">[1]!BexGetData("DP_1","00O2TNJGODT0G5Z4TTKYMMI9X","GSON1247")</f>
        <v>#NAME?</v>
      </c>
      <c r="T2729" s="28" t="e">
        <f ca="1">[1]!BexGetData("DP_1","00O2TNJGODT0G5Z4TTKYMMOLH","GSON1247")</f>
        <v>#NAME?</v>
      </c>
      <c r="U2729" s="28" t="e">
        <f ca="1">[1]!BexGetData("DP_1","00O2TNJGODT0G5Z4TTKYMMUX1","GSON1247")</f>
        <v>#NAME?</v>
      </c>
      <c r="V2729" s="28" t="e">
        <f ca="1">[1]!BexGetData("DP_1","00O2TNJGODT0G5Z4TTKYMN18L","GSON1247")</f>
        <v>#NAME?</v>
      </c>
      <c r="W2729" s="28" t="e">
        <f ca="1">[1]!BexGetData("DP_1","00O2TNJGODT0G5Z4TTKYMN7K5","GSON1247")</f>
        <v>#NAME?</v>
      </c>
    </row>
    <row r="2730" spans="1:23" x14ac:dyDescent="0.2">
      <c r="A2730" s="36" t="s">
        <v>1366</v>
      </c>
      <c r="B2730" s="27" t="s">
        <v>1367</v>
      </c>
      <c r="C2730" s="28" t="e">
        <f ca="1">[1]!BexGetData("DP_1","003N8EMH8GTFRCSWKMPXRR8GU","GSON1247151300")</f>
        <v>#NAME?</v>
      </c>
      <c r="D2730" s="28" t="e">
        <f ca="1">[1]!BexGetData("DP_1","003N8EMH8GTFRCSWKMPXRRESE","GSON1247151300")</f>
        <v>#NAME?</v>
      </c>
      <c r="E2730" s="23" t="e">
        <f ca="1">[1]!BexGetData("DP_1","003N8EMH8GTFRCSWKMPXRRL3Y","GSON1247151300")</f>
        <v>#NAME?</v>
      </c>
      <c r="F2730" s="23" t="e">
        <f ca="1">[1]!BexGetData("DP_1","003N8EMH8GTFRCSWKMPXRRRFI","GSON1247151300")</f>
        <v>#NAME?</v>
      </c>
      <c r="G2730" s="28" t="e">
        <f ca="1">[1]!BexGetData("DP_1","003N8EMH8GTFRCSWKMPXRRXR2","GSON1247151300")</f>
        <v>#NAME?</v>
      </c>
      <c r="H2730" s="28" t="e">
        <f ca="1">[1]!BexGetData("DP_1","003N8EMH8GTFRCSWKMPXRS42M","GSON1247151300")</f>
        <v>#NAME?</v>
      </c>
      <c r="I2730" s="23" t="e">
        <f ca="1">[1]!BexGetData("DP_1","003N8EMH8GTFRCSWKMPXRSAE6","GSON1247151300")</f>
        <v>#NAME?</v>
      </c>
      <c r="J2730" s="23" t="e">
        <f ca="1">[1]!BexGetData("DP_1","003N8EMH8GTFRCSWKMPXRSGPQ","GSON1247151300")</f>
        <v>#NAME?</v>
      </c>
      <c r="K2730" s="28" t="e">
        <f ca="1">[1]!BexGetData("DP_1","003N8EMH8GTFRIVNUPY288VJH","GSON1247151300")</f>
        <v>#NAME?</v>
      </c>
      <c r="L2730" s="28" t="e">
        <f ca="1">[1]!BexGetData("DP_1","003N8EMH8GTFRIVNUPY2891V1","GSON1247151300")</f>
        <v>#NAME?</v>
      </c>
      <c r="M2730" s="28" t="e">
        <f ca="1">[1]!BexGetData("DP_1","003N8EMH8GTFRIVOG7KG9IQXA","GSON1247151300")</f>
        <v>#NAME?</v>
      </c>
      <c r="N2730" s="28" t="e">
        <f ca="1">[1]!BexGetData("DP_1","003N8EMH8GTFRIVOG7KG9IX8U","GSON1247151300")</f>
        <v>#NAME?</v>
      </c>
      <c r="O2730" s="28" t="e">
        <f ca="1">[1]!BexGetData("DP_1","003N8EMH8GTFRIVOG7KG9J3KE","GSON1247151300")</f>
        <v>#NAME?</v>
      </c>
      <c r="P2730" s="28" t="e">
        <f ca="1">[1]!BexGetData("DP_1","003N8EMH8GTFRIVOG7KG9J9VY","GSON1247151300")</f>
        <v>#NAME?</v>
      </c>
      <c r="Q2730" s="23" t="e">
        <f ca="1">[1]!BexGetData("DP_1","00O2TNJGODT0G5Z4TTKYMM5MT","GSON1247151300")</f>
        <v>#NAME?</v>
      </c>
      <c r="R2730" s="28" t="e">
        <f ca="1">[1]!BexGetData("DP_1","00O2TNJGODT0G5Z4TTKYMMBYD","GSON1247151300")</f>
        <v>#NAME?</v>
      </c>
      <c r="S2730" s="28" t="e">
        <f ca="1">[1]!BexGetData("DP_1","00O2TNJGODT0G5Z4TTKYMMI9X","GSON1247151300")</f>
        <v>#NAME?</v>
      </c>
      <c r="T2730" s="28" t="e">
        <f ca="1">[1]!BexGetData("DP_1","00O2TNJGODT0G5Z4TTKYMMOLH","GSON1247151300")</f>
        <v>#NAME?</v>
      </c>
      <c r="U2730" s="28" t="e">
        <f ca="1">[1]!BexGetData("DP_1","00O2TNJGODT0G5Z4TTKYMMUX1","GSON1247151300")</f>
        <v>#NAME?</v>
      </c>
      <c r="V2730" s="28" t="e">
        <f ca="1">[1]!BexGetData("DP_1","00O2TNJGODT0G5Z4TTKYMN18L","GSON1247151300")</f>
        <v>#NAME?</v>
      </c>
      <c r="W2730" s="28" t="e">
        <f ca="1">[1]!BexGetData("DP_1","00O2TNJGODT0G5Z4TTKYMN7K5","GSON1247151300")</f>
        <v>#NAME?</v>
      </c>
    </row>
    <row r="2731" spans="1:23" x14ac:dyDescent="0.2">
      <c r="A2731" s="36" t="s">
        <v>1368</v>
      </c>
      <c r="B2731" s="27" t="s">
        <v>1369</v>
      </c>
      <c r="C2731" s="28" t="e">
        <f ca="1">[1]!BexGetData("DP_1","003N8EMH8GTFRCSWKMPXRR8GU","GSON1247151301")</f>
        <v>#NAME?</v>
      </c>
      <c r="D2731" s="28" t="e">
        <f ca="1">[1]!BexGetData("DP_1","003N8EMH8GTFRCSWKMPXRRESE","GSON1247151301")</f>
        <v>#NAME?</v>
      </c>
      <c r="E2731" s="23" t="e">
        <f ca="1">[1]!BexGetData("DP_1","003N8EMH8GTFRCSWKMPXRRL3Y","GSON1247151301")</f>
        <v>#NAME?</v>
      </c>
      <c r="F2731" s="23" t="e">
        <f ca="1">[1]!BexGetData("DP_1","003N8EMH8GTFRCSWKMPXRRRFI","GSON1247151301")</f>
        <v>#NAME?</v>
      </c>
      <c r="G2731" s="28" t="e">
        <f ca="1">[1]!BexGetData("DP_1","003N8EMH8GTFRCSWKMPXRRXR2","GSON1247151301")</f>
        <v>#NAME?</v>
      </c>
      <c r="H2731" s="28" t="e">
        <f ca="1">[1]!BexGetData("DP_1","003N8EMH8GTFRCSWKMPXRS42M","GSON1247151301")</f>
        <v>#NAME?</v>
      </c>
      <c r="I2731" s="23" t="e">
        <f ca="1">[1]!BexGetData("DP_1","003N8EMH8GTFRCSWKMPXRSAE6","GSON1247151301")</f>
        <v>#NAME?</v>
      </c>
      <c r="J2731" s="23" t="e">
        <f ca="1">[1]!BexGetData("DP_1","003N8EMH8GTFRCSWKMPXRSGPQ","GSON1247151301")</f>
        <v>#NAME?</v>
      </c>
      <c r="K2731" s="28" t="e">
        <f ca="1">[1]!BexGetData("DP_1","003N8EMH8GTFRIVNUPY288VJH","GSON1247151301")</f>
        <v>#NAME?</v>
      </c>
      <c r="L2731" s="28" t="e">
        <f ca="1">[1]!BexGetData("DP_1","003N8EMH8GTFRIVNUPY2891V1","GSON1247151301")</f>
        <v>#NAME?</v>
      </c>
      <c r="M2731" s="28" t="e">
        <f ca="1">[1]!BexGetData("DP_1","003N8EMH8GTFRIVOG7KG9IQXA","GSON1247151301")</f>
        <v>#NAME?</v>
      </c>
      <c r="N2731" s="28" t="e">
        <f ca="1">[1]!BexGetData("DP_1","003N8EMH8GTFRIVOG7KG9IX8U","GSON1247151301")</f>
        <v>#NAME?</v>
      </c>
      <c r="O2731" s="28" t="e">
        <f ca="1">[1]!BexGetData("DP_1","003N8EMH8GTFRIVOG7KG9J3KE","GSON1247151301")</f>
        <v>#NAME?</v>
      </c>
      <c r="P2731" s="28" t="e">
        <f ca="1">[1]!BexGetData("DP_1","003N8EMH8GTFRIVOG7KG9J9VY","GSON1247151301")</f>
        <v>#NAME?</v>
      </c>
      <c r="Q2731" s="23" t="e">
        <f ca="1">[1]!BexGetData("DP_1","00O2TNJGODT0G5Z4TTKYMM5MT","GSON1247151301")</f>
        <v>#NAME?</v>
      </c>
      <c r="R2731" s="28" t="e">
        <f ca="1">[1]!BexGetData("DP_1","00O2TNJGODT0G5Z4TTKYMMBYD","GSON1247151301")</f>
        <v>#NAME?</v>
      </c>
      <c r="S2731" s="28" t="e">
        <f ca="1">[1]!BexGetData("DP_1","00O2TNJGODT0G5Z4TTKYMMI9X","GSON1247151301")</f>
        <v>#NAME?</v>
      </c>
      <c r="T2731" s="28" t="e">
        <f ca="1">[1]!BexGetData("DP_1","00O2TNJGODT0G5Z4TTKYMMOLH","GSON1247151301")</f>
        <v>#NAME?</v>
      </c>
      <c r="U2731" s="28" t="e">
        <f ca="1">[1]!BexGetData("DP_1","00O2TNJGODT0G5Z4TTKYMMUX1","GSON1247151301")</f>
        <v>#NAME?</v>
      </c>
      <c r="V2731" s="28" t="e">
        <f ca="1">[1]!BexGetData("DP_1","00O2TNJGODT0G5Z4TTKYMN18L","GSON1247151301")</f>
        <v>#NAME?</v>
      </c>
      <c r="W2731" s="28" t="e">
        <f ca="1">[1]!BexGetData("DP_1","00O2TNJGODT0G5Z4TTKYMN7K5","GSON1247151301")</f>
        <v>#NAME?</v>
      </c>
    </row>
    <row r="2732" spans="1:23" x14ac:dyDescent="0.2">
      <c r="A2732" s="35" t="s">
        <v>1370</v>
      </c>
      <c r="B2732" s="27" t="s">
        <v>1371</v>
      </c>
      <c r="C2732" s="28" t="e">
        <f ca="1">[1]!BexGetData("DP_1","003N8EMH8GTFRCSWKMPXRR8GU","GSON1248")</f>
        <v>#NAME?</v>
      </c>
      <c r="D2732" s="28" t="e">
        <f ca="1">[1]!BexGetData("DP_1","003N8EMH8GTFRCSWKMPXRRESE","GSON1248")</f>
        <v>#NAME?</v>
      </c>
      <c r="E2732" s="23" t="e">
        <f ca="1">[1]!BexGetData("DP_1","003N8EMH8GTFRCSWKMPXRRL3Y","GSON1248")</f>
        <v>#NAME?</v>
      </c>
      <c r="F2732" s="23" t="e">
        <f ca="1">[1]!BexGetData("DP_1","003N8EMH8GTFRCSWKMPXRRRFI","GSON1248")</f>
        <v>#NAME?</v>
      </c>
      <c r="G2732" s="28" t="e">
        <f ca="1">[1]!BexGetData("DP_1","003N8EMH8GTFRCSWKMPXRRXR2","GSON1248")</f>
        <v>#NAME?</v>
      </c>
      <c r="H2732" s="28" t="e">
        <f ca="1">[1]!BexGetData("DP_1","003N8EMH8GTFRCSWKMPXRS42M","GSON1248")</f>
        <v>#NAME?</v>
      </c>
      <c r="I2732" s="23" t="e">
        <f ca="1">[1]!BexGetData("DP_1","003N8EMH8GTFRCSWKMPXRSAE6","GSON1248")</f>
        <v>#NAME?</v>
      </c>
      <c r="J2732" s="23" t="e">
        <f ca="1">[1]!BexGetData("DP_1","003N8EMH8GTFRCSWKMPXRSGPQ","GSON1248")</f>
        <v>#NAME?</v>
      </c>
      <c r="K2732" s="28" t="e">
        <f ca="1">[1]!BexGetData("DP_1","003N8EMH8GTFRIVNUPY288VJH","GSON1248")</f>
        <v>#NAME?</v>
      </c>
      <c r="L2732" s="28" t="e">
        <f ca="1">[1]!BexGetData("DP_1","003N8EMH8GTFRIVNUPY2891V1","GSON1248")</f>
        <v>#NAME?</v>
      </c>
      <c r="M2732" s="28" t="e">
        <f ca="1">[1]!BexGetData("DP_1","003N8EMH8GTFRIVOG7KG9IQXA","GSON1248")</f>
        <v>#NAME?</v>
      </c>
      <c r="N2732" s="28" t="e">
        <f ca="1">[1]!BexGetData("DP_1","003N8EMH8GTFRIVOG7KG9IX8U","GSON1248")</f>
        <v>#NAME?</v>
      </c>
      <c r="O2732" s="28" t="e">
        <f ca="1">[1]!BexGetData("DP_1","003N8EMH8GTFRIVOG7KG9J3KE","GSON1248")</f>
        <v>#NAME?</v>
      </c>
      <c r="P2732" s="28" t="e">
        <f ca="1">[1]!BexGetData("DP_1","003N8EMH8GTFRIVOG7KG9J9VY","GSON1248")</f>
        <v>#NAME?</v>
      </c>
      <c r="Q2732" s="23" t="e">
        <f ca="1">[1]!BexGetData("DP_1","00O2TNJGODT0G5Z4TTKYMM5MT","GSON1248")</f>
        <v>#NAME?</v>
      </c>
      <c r="R2732" s="28" t="e">
        <f ca="1">[1]!BexGetData("DP_1","00O2TNJGODT0G5Z4TTKYMMBYD","GSON1248")</f>
        <v>#NAME?</v>
      </c>
      <c r="S2732" s="28" t="e">
        <f ca="1">[1]!BexGetData("DP_1","00O2TNJGODT0G5Z4TTKYMMI9X","GSON1248")</f>
        <v>#NAME?</v>
      </c>
      <c r="T2732" s="28" t="e">
        <f ca="1">[1]!BexGetData("DP_1","00O2TNJGODT0G5Z4TTKYMMOLH","GSON1248")</f>
        <v>#NAME?</v>
      </c>
      <c r="U2732" s="28" t="e">
        <f ca="1">[1]!BexGetData("DP_1","00O2TNJGODT0G5Z4TTKYMMUX1","GSON1248")</f>
        <v>#NAME?</v>
      </c>
      <c r="V2732" s="28" t="e">
        <f ca="1">[1]!BexGetData("DP_1","00O2TNJGODT0G5Z4TTKYMN18L","GSON1248")</f>
        <v>#NAME?</v>
      </c>
      <c r="W2732" s="28" t="e">
        <f ca="1">[1]!BexGetData("DP_1","00O2TNJGODT0G5Z4TTKYMN7K5","GSON1248")</f>
        <v>#NAME?</v>
      </c>
    </row>
    <row r="2733" spans="1:23" x14ac:dyDescent="0.2">
      <c r="A2733" s="36" t="s">
        <v>6129</v>
      </c>
      <c r="B2733" s="27" t="s">
        <v>6130</v>
      </c>
      <c r="C2733" s="28" t="e">
        <f ca="1">[1]!BexGetData("DP_1","003N8EMH8GTFRCSWKMPXRR8GU","GSON1248957900")</f>
        <v>#NAME?</v>
      </c>
      <c r="D2733" s="28" t="e">
        <f ca="1">[1]!BexGetData("DP_1","003N8EMH8GTFRCSWKMPXRRESE","GSON1248957900")</f>
        <v>#NAME?</v>
      </c>
      <c r="E2733" s="23" t="e">
        <f ca="1">[1]!BexGetData("DP_1","003N8EMH8GTFRCSWKMPXRRL3Y","GSON1248957900")</f>
        <v>#NAME?</v>
      </c>
      <c r="F2733" s="23" t="e">
        <f ca="1">[1]!BexGetData("DP_1","003N8EMH8GTFRCSWKMPXRRRFI","GSON1248957900")</f>
        <v>#NAME?</v>
      </c>
      <c r="G2733" s="28" t="e">
        <f ca="1">[1]!BexGetData("DP_1","003N8EMH8GTFRCSWKMPXRRXR2","GSON1248957900")</f>
        <v>#NAME?</v>
      </c>
      <c r="H2733" s="28" t="e">
        <f ca="1">[1]!BexGetData("DP_1","003N8EMH8GTFRCSWKMPXRS42M","GSON1248957900")</f>
        <v>#NAME?</v>
      </c>
      <c r="I2733" s="23" t="e">
        <f ca="1">[1]!BexGetData("DP_1","003N8EMH8GTFRCSWKMPXRSAE6","GSON1248957900")</f>
        <v>#NAME?</v>
      </c>
      <c r="J2733" s="23" t="e">
        <f ca="1">[1]!BexGetData("DP_1","003N8EMH8GTFRCSWKMPXRSGPQ","GSON1248957900")</f>
        <v>#NAME?</v>
      </c>
      <c r="K2733" s="28" t="e">
        <f ca="1">[1]!BexGetData("DP_1","003N8EMH8GTFRIVNUPY288VJH","GSON1248957900")</f>
        <v>#NAME?</v>
      </c>
      <c r="L2733" s="28" t="e">
        <f ca="1">[1]!BexGetData("DP_1","003N8EMH8GTFRIVNUPY2891V1","GSON1248957900")</f>
        <v>#NAME?</v>
      </c>
      <c r="M2733" s="28" t="e">
        <f ca="1">[1]!BexGetData("DP_1","003N8EMH8GTFRIVOG7KG9IQXA","GSON1248957900")</f>
        <v>#NAME?</v>
      </c>
      <c r="N2733" s="28" t="e">
        <f ca="1">[1]!BexGetData("DP_1","003N8EMH8GTFRIVOG7KG9IX8U","GSON1248957900")</f>
        <v>#NAME?</v>
      </c>
      <c r="O2733" s="28" t="e">
        <f ca="1">[1]!BexGetData("DP_1","003N8EMH8GTFRIVOG7KG9J3KE","GSON1248957900")</f>
        <v>#NAME?</v>
      </c>
      <c r="P2733" s="28" t="e">
        <f ca="1">[1]!BexGetData("DP_1","003N8EMH8GTFRIVOG7KG9J9VY","GSON1248957900")</f>
        <v>#NAME?</v>
      </c>
      <c r="Q2733" s="23" t="e">
        <f ca="1">[1]!BexGetData("DP_1","00O2TNJGODT0G5Z4TTKYMM5MT","GSON1248957900")</f>
        <v>#NAME?</v>
      </c>
      <c r="R2733" s="28" t="e">
        <f ca="1">[1]!BexGetData("DP_1","00O2TNJGODT0G5Z4TTKYMMBYD","GSON1248957900")</f>
        <v>#NAME?</v>
      </c>
      <c r="S2733" s="28" t="e">
        <f ca="1">[1]!BexGetData("DP_1","00O2TNJGODT0G5Z4TTKYMMI9X","GSON1248957900")</f>
        <v>#NAME?</v>
      </c>
      <c r="T2733" s="28" t="e">
        <f ca="1">[1]!BexGetData("DP_1","00O2TNJGODT0G5Z4TTKYMMOLH","GSON1248957900")</f>
        <v>#NAME?</v>
      </c>
      <c r="U2733" s="28" t="e">
        <f ca="1">[1]!BexGetData("DP_1","00O2TNJGODT0G5Z4TTKYMMUX1","GSON1248957900")</f>
        <v>#NAME?</v>
      </c>
      <c r="V2733" s="28" t="e">
        <f ca="1">[1]!BexGetData("DP_1","00O2TNJGODT0G5Z4TTKYMN18L","GSON1248957900")</f>
        <v>#NAME?</v>
      </c>
      <c r="W2733" s="28" t="e">
        <f ca="1">[1]!BexGetData("DP_1","00O2TNJGODT0G5Z4TTKYMN7K5","GSON1248957900")</f>
        <v>#NAME?</v>
      </c>
    </row>
    <row r="2734" spans="1:23" x14ac:dyDescent="0.2">
      <c r="A2734" s="36" t="s">
        <v>6131</v>
      </c>
      <c r="B2734" s="27" t="s">
        <v>6132</v>
      </c>
      <c r="C2734" s="28" t="e">
        <f ca="1">[1]!BexGetData("DP_1","003N8EMH8GTFRCSWKMPXRR8GU","GSON1248957901")</f>
        <v>#NAME?</v>
      </c>
      <c r="D2734" s="28" t="e">
        <f ca="1">[1]!BexGetData("DP_1","003N8EMH8GTFRCSWKMPXRRESE","GSON1248957901")</f>
        <v>#NAME?</v>
      </c>
      <c r="E2734" s="23" t="e">
        <f ca="1">[1]!BexGetData("DP_1","003N8EMH8GTFRCSWKMPXRRL3Y","GSON1248957901")</f>
        <v>#NAME?</v>
      </c>
      <c r="F2734" s="23" t="e">
        <f ca="1">[1]!BexGetData("DP_1","003N8EMH8GTFRCSWKMPXRRRFI","GSON1248957901")</f>
        <v>#NAME?</v>
      </c>
      <c r="G2734" s="28" t="e">
        <f ca="1">[1]!BexGetData("DP_1","003N8EMH8GTFRCSWKMPXRRXR2","GSON1248957901")</f>
        <v>#NAME?</v>
      </c>
      <c r="H2734" s="28" t="e">
        <f ca="1">[1]!BexGetData("DP_1","003N8EMH8GTFRCSWKMPXRS42M","GSON1248957901")</f>
        <v>#NAME?</v>
      </c>
      <c r="I2734" s="23" t="e">
        <f ca="1">[1]!BexGetData("DP_1","003N8EMH8GTFRCSWKMPXRSAE6","GSON1248957901")</f>
        <v>#NAME?</v>
      </c>
      <c r="J2734" s="23" t="e">
        <f ca="1">[1]!BexGetData("DP_1","003N8EMH8GTFRCSWKMPXRSGPQ","GSON1248957901")</f>
        <v>#NAME?</v>
      </c>
      <c r="K2734" s="28" t="e">
        <f ca="1">[1]!BexGetData("DP_1","003N8EMH8GTFRIVNUPY288VJH","GSON1248957901")</f>
        <v>#NAME?</v>
      </c>
      <c r="L2734" s="28" t="e">
        <f ca="1">[1]!BexGetData("DP_1","003N8EMH8GTFRIVNUPY2891V1","GSON1248957901")</f>
        <v>#NAME?</v>
      </c>
      <c r="M2734" s="28" t="e">
        <f ca="1">[1]!BexGetData("DP_1","003N8EMH8GTFRIVOG7KG9IQXA","GSON1248957901")</f>
        <v>#NAME?</v>
      </c>
      <c r="N2734" s="28" t="e">
        <f ca="1">[1]!BexGetData("DP_1","003N8EMH8GTFRIVOG7KG9IX8U","GSON1248957901")</f>
        <v>#NAME?</v>
      </c>
      <c r="O2734" s="28" t="e">
        <f ca="1">[1]!BexGetData("DP_1","003N8EMH8GTFRIVOG7KG9J3KE","GSON1248957901")</f>
        <v>#NAME?</v>
      </c>
      <c r="P2734" s="28" t="e">
        <f ca="1">[1]!BexGetData("DP_1","003N8EMH8GTFRIVOG7KG9J9VY","GSON1248957901")</f>
        <v>#NAME?</v>
      </c>
      <c r="Q2734" s="23" t="e">
        <f ca="1">[1]!BexGetData("DP_1","00O2TNJGODT0G5Z4TTKYMM5MT","GSON1248957901")</f>
        <v>#NAME?</v>
      </c>
      <c r="R2734" s="28" t="e">
        <f ca="1">[1]!BexGetData("DP_1","00O2TNJGODT0G5Z4TTKYMMBYD","GSON1248957901")</f>
        <v>#NAME?</v>
      </c>
      <c r="S2734" s="28" t="e">
        <f ca="1">[1]!BexGetData("DP_1","00O2TNJGODT0G5Z4TTKYMMI9X","GSON1248957901")</f>
        <v>#NAME?</v>
      </c>
      <c r="T2734" s="28" t="e">
        <f ca="1">[1]!BexGetData("DP_1","00O2TNJGODT0G5Z4TTKYMMOLH","GSON1248957901")</f>
        <v>#NAME?</v>
      </c>
      <c r="U2734" s="28" t="e">
        <f ca="1">[1]!BexGetData("DP_1","00O2TNJGODT0G5Z4TTKYMMUX1","GSON1248957901")</f>
        <v>#NAME?</v>
      </c>
      <c r="V2734" s="28" t="e">
        <f ca="1">[1]!BexGetData("DP_1","00O2TNJGODT0G5Z4TTKYMN18L","GSON1248957901")</f>
        <v>#NAME?</v>
      </c>
      <c r="W2734" s="28" t="e">
        <f ca="1">[1]!BexGetData("DP_1","00O2TNJGODT0G5Z4TTKYMN7K5","GSON1248957901")</f>
        <v>#NAME?</v>
      </c>
    </row>
    <row r="2735" spans="1:23" x14ac:dyDescent="0.2">
      <c r="A2735" s="34" t="s">
        <v>10</v>
      </c>
      <c r="B2735" s="27" t="s">
        <v>341</v>
      </c>
      <c r="C2735" s="23" t="e">
        <f ca="1">[1]!BexGetData("DP_1","003N8EMH8GTFRCSWKMPXRR8GU","GSON125")</f>
        <v>#NAME?</v>
      </c>
      <c r="D2735" s="23" t="e">
        <f ca="1">[1]!BexGetData("DP_1","003N8EMH8GTFRCSWKMPXRRESE","GSON125")</f>
        <v>#NAME?</v>
      </c>
      <c r="E2735" s="23" t="e">
        <f ca="1">[1]!BexGetData("DP_1","003N8EMH8GTFRCSWKMPXRRL3Y","GSON125")</f>
        <v>#NAME?</v>
      </c>
      <c r="F2735" s="23" t="e">
        <f ca="1">[1]!BexGetData("DP_1","003N8EMH8GTFRCSWKMPXRRRFI","GSON125")</f>
        <v>#NAME?</v>
      </c>
      <c r="G2735" s="23" t="e">
        <f ca="1">[1]!BexGetData("DP_1","003N8EMH8GTFRCSWKMPXRRXR2","GSON125")</f>
        <v>#NAME?</v>
      </c>
      <c r="H2735" s="23" t="e">
        <f ca="1">[1]!BexGetData("DP_1","003N8EMH8GTFRCSWKMPXRS42M","GSON125")</f>
        <v>#NAME?</v>
      </c>
      <c r="I2735" s="23" t="e">
        <f ca="1">[1]!BexGetData("DP_1","003N8EMH8GTFRCSWKMPXRSAE6","GSON125")</f>
        <v>#NAME?</v>
      </c>
      <c r="J2735" s="23" t="e">
        <f ca="1">[1]!BexGetData("DP_1","003N8EMH8GTFRCSWKMPXRSGPQ","GSON125")</f>
        <v>#NAME?</v>
      </c>
      <c r="K2735" s="23" t="e">
        <f ca="1">[1]!BexGetData("DP_1","003N8EMH8GTFRIVNUPY288VJH","GSON125")</f>
        <v>#NAME?</v>
      </c>
      <c r="L2735" s="23" t="e">
        <f ca="1">[1]!BexGetData("DP_1","003N8EMH8GTFRIVNUPY2891V1","GSON125")</f>
        <v>#NAME?</v>
      </c>
      <c r="M2735" s="28" t="e">
        <f ca="1">[1]!BexGetData("DP_1","003N8EMH8GTFRIVOG7KG9IQXA","GSON125")</f>
        <v>#NAME?</v>
      </c>
      <c r="N2735" s="23" t="e">
        <f ca="1">[1]!BexGetData("DP_1","003N8EMH8GTFRIVOG7KG9IX8U","GSON125")</f>
        <v>#NAME?</v>
      </c>
      <c r="O2735" s="28" t="e">
        <f ca="1">[1]!BexGetData("DP_1","003N8EMH8GTFRIVOG7KG9J3KE","GSON125")</f>
        <v>#NAME?</v>
      </c>
      <c r="P2735" s="23" t="e">
        <f ca="1">[1]!BexGetData("DP_1","003N8EMH8GTFRIVOG7KG9J9VY","GSON125")</f>
        <v>#NAME?</v>
      </c>
      <c r="Q2735" s="23" t="e">
        <f ca="1">[1]!BexGetData("DP_1","00O2TNJGODT0G5Z4TTKYMM5MT","GSON125")</f>
        <v>#NAME?</v>
      </c>
      <c r="R2735" s="23" t="e">
        <f ca="1">[1]!BexGetData("DP_1","00O2TNJGODT0G5Z4TTKYMMBYD","GSON125")</f>
        <v>#NAME?</v>
      </c>
      <c r="S2735" s="23" t="e">
        <f ca="1">[1]!BexGetData("DP_1","00O2TNJGODT0G5Z4TTKYMMI9X","GSON125")</f>
        <v>#NAME?</v>
      </c>
      <c r="T2735" s="28" t="e">
        <f ca="1">[1]!BexGetData("DP_1","00O2TNJGODT0G5Z4TTKYMMOLH","GSON125")</f>
        <v>#NAME?</v>
      </c>
      <c r="U2735" s="23" t="e">
        <f ca="1">[1]!BexGetData("DP_1","00O2TNJGODT0G5Z4TTKYMMUX1","GSON125")</f>
        <v>#NAME?</v>
      </c>
      <c r="V2735" s="28" t="e">
        <f ca="1">[1]!BexGetData("DP_1","00O2TNJGODT0G5Z4TTKYMN18L","GSON125")</f>
        <v>#NAME?</v>
      </c>
      <c r="W2735" s="23" t="e">
        <f ca="1">[1]!BexGetData("DP_1","00O2TNJGODT0G5Z4TTKYMN7K5","GSON125")</f>
        <v>#NAME?</v>
      </c>
    </row>
    <row r="2736" spans="1:23" x14ac:dyDescent="0.2">
      <c r="A2736" s="35" t="s">
        <v>342</v>
      </c>
      <c r="B2736" s="27" t="s">
        <v>343</v>
      </c>
      <c r="C2736" s="23" t="e">
        <f ca="1">[1]!BexGetData("DP_1","003N8EMH8GTFRCSWKMPXRR8GU","GSON1251")</f>
        <v>#NAME?</v>
      </c>
      <c r="D2736" s="28" t="e">
        <f ca="1">[1]!BexGetData("DP_1","003N8EMH8GTFRCSWKMPXRRESE","GSON1251")</f>
        <v>#NAME?</v>
      </c>
      <c r="E2736" s="23" t="e">
        <f ca="1">[1]!BexGetData("DP_1","003N8EMH8GTFRCSWKMPXRRL3Y","GSON1251")</f>
        <v>#NAME?</v>
      </c>
      <c r="F2736" s="23" t="e">
        <f ca="1">[1]!BexGetData("DP_1","003N8EMH8GTFRCSWKMPXRRRFI","GSON1251")</f>
        <v>#NAME?</v>
      </c>
      <c r="G2736" s="23" t="e">
        <f ca="1">[1]!BexGetData("DP_1","003N8EMH8GTFRCSWKMPXRRXR2","GSON1251")</f>
        <v>#NAME?</v>
      </c>
      <c r="H2736" s="28" t="e">
        <f ca="1">[1]!BexGetData("DP_1","003N8EMH8GTFRCSWKMPXRS42M","GSON1251")</f>
        <v>#NAME?</v>
      </c>
      <c r="I2736" s="23" t="e">
        <f ca="1">[1]!BexGetData("DP_1","003N8EMH8GTFRCSWKMPXRSAE6","GSON1251")</f>
        <v>#NAME?</v>
      </c>
      <c r="J2736" s="23" t="e">
        <f ca="1">[1]!BexGetData("DP_1","003N8EMH8GTFRCSWKMPXRSGPQ","GSON1251")</f>
        <v>#NAME?</v>
      </c>
      <c r="K2736" s="23" t="e">
        <f ca="1">[1]!BexGetData("DP_1","003N8EMH8GTFRIVNUPY288VJH","GSON1251")</f>
        <v>#NAME?</v>
      </c>
      <c r="L2736" s="23" t="e">
        <f ca="1">[1]!BexGetData("DP_1","003N8EMH8GTFRIVNUPY2891V1","GSON1251")</f>
        <v>#NAME?</v>
      </c>
      <c r="M2736" s="28" t="e">
        <f ca="1">[1]!BexGetData("DP_1","003N8EMH8GTFRIVOG7KG9IQXA","GSON1251")</f>
        <v>#NAME?</v>
      </c>
      <c r="N2736" s="23" t="e">
        <f ca="1">[1]!BexGetData("DP_1","003N8EMH8GTFRIVOG7KG9IX8U","GSON1251")</f>
        <v>#NAME?</v>
      </c>
      <c r="O2736" s="28" t="e">
        <f ca="1">[1]!BexGetData("DP_1","003N8EMH8GTFRIVOG7KG9J3KE","GSON1251")</f>
        <v>#NAME?</v>
      </c>
      <c r="P2736" s="23" t="e">
        <f ca="1">[1]!BexGetData("DP_1","003N8EMH8GTFRIVOG7KG9J9VY","GSON1251")</f>
        <v>#NAME?</v>
      </c>
      <c r="Q2736" s="23" t="e">
        <f ca="1">[1]!BexGetData("DP_1","00O2TNJGODT0G5Z4TTKYMM5MT","GSON1251")</f>
        <v>#NAME?</v>
      </c>
      <c r="R2736" s="23" t="e">
        <f ca="1">[1]!BexGetData("DP_1","00O2TNJGODT0G5Z4TTKYMMBYD","GSON1251")</f>
        <v>#NAME?</v>
      </c>
      <c r="S2736" s="23" t="e">
        <f ca="1">[1]!BexGetData("DP_1","00O2TNJGODT0G5Z4TTKYMMI9X","GSON1251")</f>
        <v>#NAME?</v>
      </c>
      <c r="T2736" s="28" t="e">
        <f ca="1">[1]!BexGetData("DP_1","00O2TNJGODT0G5Z4TTKYMMOLH","GSON1251")</f>
        <v>#NAME?</v>
      </c>
      <c r="U2736" s="23" t="e">
        <f ca="1">[1]!BexGetData("DP_1","00O2TNJGODT0G5Z4TTKYMMUX1","GSON1251")</f>
        <v>#NAME?</v>
      </c>
      <c r="V2736" s="28" t="e">
        <f ca="1">[1]!BexGetData("DP_1","00O2TNJGODT0G5Z4TTKYMN18L","GSON1251")</f>
        <v>#NAME?</v>
      </c>
      <c r="W2736" s="23" t="e">
        <f ca="1">[1]!BexGetData("DP_1","00O2TNJGODT0G5Z4TTKYMN7K5","GSON1251")</f>
        <v>#NAME?</v>
      </c>
    </row>
    <row r="2737" spans="1:23" x14ac:dyDescent="0.2">
      <c r="A2737" s="36" t="s">
        <v>1372</v>
      </c>
      <c r="B2737" s="27" t="s">
        <v>1373</v>
      </c>
      <c r="C2737" s="28" t="e">
        <f ca="1">[1]!BexGetData("DP_1","003N8EMH8GTFRCSWKMPXRR8GU","GSON1251159100")</f>
        <v>#NAME?</v>
      </c>
      <c r="D2737" s="28" t="e">
        <f ca="1">[1]!BexGetData("DP_1","003N8EMH8GTFRCSWKMPXRRESE","GSON1251159100")</f>
        <v>#NAME?</v>
      </c>
      <c r="E2737" s="23" t="e">
        <f ca="1">[1]!BexGetData("DP_1","003N8EMH8GTFRCSWKMPXRRL3Y","GSON1251159100")</f>
        <v>#NAME?</v>
      </c>
      <c r="F2737" s="23" t="e">
        <f ca="1">[1]!BexGetData("DP_1","003N8EMH8GTFRCSWKMPXRRRFI","GSON1251159100")</f>
        <v>#NAME?</v>
      </c>
      <c r="G2737" s="28" t="e">
        <f ca="1">[1]!BexGetData("DP_1","003N8EMH8GTFRCSWKMPXRRXR2","GSON1251159100")</f>
        <v>#NAME?</v>
      </c>
      <c r="H2737" s="28" t="e">
        <f ca="1">[1]!BexGetData("DP_1","003N8EMH8GTFRCSWKMPXRS42M","GSON1251159100")</f>
        <v>#NAME?</v>
      </c>
      <c r="I2737" s="23" t="e">
        <f ca="1">[1]!BexGetData("DP_1","003N8EMH8GTFRCSWKMPXRSAE6","GSON1251159100")</f>
        <v>#NAME?</v>
      </c>
      <c r="J2737" s="23" t="e">
        <f ca="1">[1]!BexGetData("DP_1","003N8EMH8GTFRCSWKMPXRSGPQ","GSON1251159100")</f>
        <v>#NAME?</v>
      </c>
      <c r="K2737" s="28" t="e">
        <f ca="1">[1]!BexGetData("DP_1","003N8EMH8GTFRIVNUPY288VJH","GSON1251159100")</f>
        <v>#NAME?</v>
      </c>
      <c r="L2737" s="28" t="e">
        <f ca="1">[1]!BexGetData("DP_1","003N8EMH8GTFRIVNUPY2891V1","GSON1251159100")</f>
        <v>#NAME?</v>
      </c>
      <c r="M2737" s="28" t="e">
        <f ca="1">[1]!BexGetData("DP_1","003N8EMH8GTFRIVOG7KG9IQXA","GSON1251159100")</f>
        <v>#NAME?</v>
      </c>
      <c r="N2737" s="28" t="e">
        <f ca="1">[1]!BexGetData("DP_1","003N8EMH8GTFRIVOG7KG9IX8U","GSON1251159100")</f>
        <v>#NAME?</v>
      </c>
      <c r="O2737" s="28" t="e">
        <f ca="1">[1]!BexGetData("DP_1","003N8EMH8GTFRIVOG7KG9J3KE","GSON1251159100")</f>
        <v>#NAME?</v>
      </c>
      <c r="P2737" s="28" t="e">
        <f ca="1">[1]!BexGetData("DP_1","003N8EMH8GTFRIVOG7KG9J9VY","GSON1251159100")</f>
        <v>#NAME?</v>
      </c>
      <c r="Q2737" s="23" t="e">
        <f ca="1">[1]!BexGetData("DP_1","00O2TNJGODT0G5Z4TTKYMM5MT","GSON1251159100")</f>
        <v>#NAME?</v>
      </c>
      <c r="R2737" s="28" t="e">
        <f ca="1">[1]!BexGetData("DP_1","00O2TNJGODT0G5Z4TTKYMMBYD","GSON1251159100")</f>
        <v>#NAME?</v>
      </c>
      <c r="S2737" s="28" t="e">
        <f ca="1">[1]!BexGetData("DP_1","00O2TNJGODT0G5Z4TTKYMMI9X","GSON1251159100")</f>
        <v>#NAME?</v>
      </c>
      <c r="T2737" s="28" t="e">
        <f ca="1">[1]!BexGetData("DP_1","00O2TNJGODT0G5Z4TTKYMMOLH","GSON1251159100")</f>
        <v>#NAME?</v>
      </c>
      <c r="U2737" s="28" t="e">
        <f ca="1">[1]!BexGetData("DP_1","00O2TNJGODT0G5Z4TTKYMMUX1","GSON1251159100")</f>
        <v>#NAME?</v>
      </c>
      <c r="V2737" s="28" t="e">
        <f ca="1">[1]!BexGetData("DP_1","00O2TNJGODT0G5Z4TTKYMN18L","GSON1251159100")</f>
        <v>#NAME?</v>
      </c>
      <c r="W2737" s="28" t="e">
        <f ca="1">[1]!BexGetData("DP_1","00O2TNJGODT0G5Z4TTKYMN7K5","GSON1251159100")</f>
        <v>#NAME?</v>
      </c>
    </row>
    <row r="2738" spans="1:23" x14ac:dyDescent="0.2">
      <c r="A2738" s="36" t="s">
        <v>344</v>
      </c>
      <c r="B2738" s="27" t="s">
        <v>345</v>
      </c>
      <c r="C2738" s="23" t="e">
        <f ca="1">[1]!BexGetData("DP_1","003N8EMH8GTFRCSWKMPXRR8GU","GSON1251159101")</f>
        <v>#NAME?</v>
      </c>
      <c r="D2738" s="28" t="e">
        <f ca="1">[1]!BexGetData("DP_1","003N8EMH8GTFRCSWKMPXRRESE","GSON1251159101")</f>
        <v>#NAME?</v>
      </c>
      <c r="E2738" s="23" t="e">
        <f ca="1">[1]!BexGetData("DP_1","003N8EMH8GTFRCSWKMPXRRL3Y","GSON1251159101")</f>
        <v>#NAME?</v>
      </c>
      <c r="F2738" s="23" t="e">
        <f ca="1">[1]!BexGetData("DP_1","003N8EMH8GTFRCSWKMPXRRRFI","GSON1251159101")</f>
        <v>#NAME?</v>
      </c>
      <c r="G2738" s="23" t="e">
        <f ca="1">[1]!BexGetData("DP_1","003N8EMH8GTFRCSWKMPXRRXR2","GSON1251159101")</f>
        <v>#NAME?</v>
      </c>
      <c r="H2738" s="28" t="e">
        <f ca="1">[1]!BexGetData("DP_1","003N8EMH8GTFRCSWKMPXRS42M","GSON1251159101")</f>
        <v>#NAME?</v>
      </c>
      <c r="I2738" s="23" t="e">
        <f ca="1">[1]!BexGetData("DP_1","003N8EMH8GTFRCSWKMPXRSAE6","GSON1251159101")</f>
        <v>#NAME?</v>
      </c>
      <c r="J2738" s="23" t="e">
        <f ca="1">[1]!BexGetData("DP_1","003N8EMH8GTFRCSWKMPXRSGPQ","GSON1251159101")</f>
        <v>#NAME?</v>
      </c>
      <c r="K2738" s="23" t="e">
        <f ca="1">[1]!BexGetData("DP_1","003N8EMH8GTFRIVNUPY288VJH","GSON1251159101")</f>
        <v>#NAME?</v>
      </c>
      <c r="L2738" s="23" t="e">
        <f ca="1">[1]!BexGetData("DP_1","003N8EMH8GTFRIVNUPY2891V1","GSON1251159101")</f>
        <v>#NAME?</v>
      </c>
      <c r="M2738" s="28" t="e">
        <f ca="1">[1]!BexGetData("DP_1","003N8EMH8GTFRIVOG7KG9IQXA","GSON1251159101")</f>
        <v>#NAME?</v>
      </c>
      <c r="N2738" s="23" t="e">
        <f ca="1">[1]!BexGetData("DP_1","003N8EMH8GTFRIVOG7KG9IX8U","GSON1251159101")</f>
        <v>#NAME?</v>
      </c>
      <c r="O2738" s="28" t="e">
        <f ca="1">[1]!BexGetData("DP_1","003N8EMH8GTFRIVOG7KG9J3KE","GSON1251159101")</f>
        <v>#NAME?</v>
      </c>
      <c r="P2738" s="23" t="e">
        <f ca="1">[1]!BexGetData("DP_1","003N8EMH8GTFRIVOG7KG9J9VY","GSON1251159101")</f>
        <v>#NAME?</v>
      </c>
      <c r="Q2738" s="23" t="e">
        <f ca="1">[1]!BexGetData("DP_1","00O2TNJGODT0G5Z4TTKYMM5MT","GSON1251159101")</f>
        <v>#NAME?</v>
      </c>
      <c r="R2738" s="23" t="e">
        <f ca="1">[1]!BexGetData("DP_1","00O2TNJGODT0G5Z4TTKYMMBYD","GSON1251159101")</f>
        <v>#NAME?</v>
      </c>
      <c r="S2738" s="23" t="e">
        <f ca="1">[1]!BexGetData("DP_1","00O2TNJGODT0G5Z4TTKYMMI9X","GSON1251159101")</f>
        <v>#NAME?</v>
      </c>
      <c r="T2738" s="28" t="e">
        <f ca="1">[1]!BexGetData("DP_1","00O2TNJGODT0G5Z4TTKYMMOLH","GSON1251159101")</f>
        <v>#NAME?</v>
      </c>
      <c r="U2738" s="23" t="e">
        <f ca="1">[1]!BexGetData("DP_1","00O2TNJGODT0G5Z4TTKYMMUX1","GSON1251159101")</f>
        <v>#NAME?</v>
      </c>
      <c r="V2738" s="28" t="e">
        <f ca="1">[1]!BexGetData("DP_1","00O2TNJGODT0G5Z4TTKYMN18L","GSON1251159101")</f>
        <v>#NAME?</v>
      </c>
      <c r="W2738" s="23" t="e">
        <f ca="1">[1]!BexGetData("DP_1","00O2TNJGODT0G5Z4TTKYMN7K5","GSON1251159101")</f>
        <v>#NAME?</v>
      </c>
    </row>
    <row r="2739" spans="1:23" x14ac:dyDescent="0.2">
      <c r="A2739" s="35" t="s">
        <v>1374</v>
      </c>
      <c r="B2739" s="27" t="s">
        <v>1375</v>
      </c>
      <c r="C2739" s="23" t="e">
        <f ca="1">[1]!BexGetData("DP_1","003N8EMH8GTFRCSWKMPXRR8GU","GSON1254")</f>
        <v>#NAME?</v>
      </c>
      <c r="D2739" s="23" t="e">
        <f ca="1">[1]!BexGetData("DP_1","003N8EMH8GTFRCSWKMPXRRESE","GSON1254")</f>
        <v>#NAME?</v>
      </c>
      <c r="E2739" s="23" t="e">
        <f ca="1">[1]!BexGetData("DP_1","003N8EMH8GTFRCSWKMPXRRL3Y","GSON1254")</f>
        <v>#NAME?</v>
      </c>
      <c r="F2739" s="23" t="e">
        <f ca="1">[1]!BexGetData("DP_1","003N8EMH8GTFRCSWKMPXRRRFI","GSON1254")</f>
        <v>#NAME?</v>
      </c>
      <c r="G2739" s="23" t="e">
        <f ca="1">[1]!BexGetData("DP_1","003N8EMH8GTFRCSWKMPXRRXR2","GSON1254")</f>
        <v>#NAME?</v>
      </c>
      <c r="H2739" s="23" t="e">
        <f ca="1">[1]!BexGetData("DP_1","003N8EMH8GTFRCSWKMPXRS42M","GSON1254")</f>
        <v>#NAME?</v>
      </c>
      <c r="I2739" s="23" t="e">
        <f ca="1">[1]!BexGetData("DP_1","003N8EMH8GTFRCSWKMPXRSAE6","GSON1254")</f>
        <v>#NAME?</v>
      </c>
      <c r="J2739" s="23" t="e">
        <f ca="1">[1]!BexGetData("DP_1","003N8EMH8GTFRCSWKMPXRSGPQ","GSON1254")</f>
        <v>#NAME?</v>
      </c>
      <c r="K2739" s="23" t="e">
        <f ca="1">[1]!BexGetData("DP_1","003N8EMH8GTFRIVNUPY288VJH","GSON1254")</f>
        <v>#NAME?</v>
      </c>
      <c r="L2739" s="23" t="e">
        <f ca="1">[1]!BexGetData("DP_1","003N8EMH8GTFRIVNUPY2891V1","GSON1254")</f>
        <v>#NAME?</v>
      </c>
      <c r="M2739" s="28" t="e">
        <f ca="1">[1]!BexGetData("DP_1","003N8EMH8GTFRIVOG7KG9IQXA","GSON1254")</f>
        <v>#NAME?</v>
      </c>
      <c r="N2739" s="23" t="e">
        <f ca="1">[1]!BexGetData("DP_1","003N8EMH8GTFRIVOG7KG9IX8U","GSON1254")</f>
        <v>#NAME?</v>
      </c>
      <c r="O2739" s="28" t="e">
        <f ca="1">[1]!BexGetData("DP_1","003N8EMH8GTFRIVOG7KG9J3KE","GSON1254")</f>
        <v>#NAME?</v>
      </c>
      <c r="P2739" s="23" t="e">
        <f ca="1">[1]!BexGetData("DP_1","003N8EMH8GTFRIVOG7KG9J9VY","GSON1254")</f>
        <v>#NAME?</v>
      </c>
      <c r="Q2739" s="23" t="e">
        <f ca="1">[1]!BexGetData("DP_1","00O2TNJGODT0G5Z4TTKYMM5MT","GSON1254")</f>
        <v>#NAME?</v>
      </c>
      <c r="R2739" s="23" t="e">
        <f ca="1">[1]!BexGetData("DP_1","00O2TNJGODT0G5Z4TTKYMMBYD","GSON1254")</f>
        <v>#NAME?</v>
      </c>
      <c r="S2739" s="23" t="e">
        <f ca="1">[1]!BexGetData("DP_1","00O2TNJGODT0G5Z4TTKYMMI9X","GSON1254")</f>
        <v>#NAME?</v>
      </c>
      <c r="T2739" s="28" t="e">
        <f ca="1">[1]!BexGetData("DP_1","00O2TNJGODT0G5Z4TTKYMMOLH","GSON1254")</f>
        <v>#NAME?</v>
      </c>
      <c r="U2739" s="23" t="e">
        <f ca="1">[1]!BexGetData("DP_1","00O2TNJGODT0G5Z4TTKYMMUX1","GSON1254")</f>
        <v>#NAME?</v>
      </c>
      <c r="V2739" s="28" t="e">
        <f ca="1">[1]!BexGetData("DP_1","00O2TNJGODT0G5Z4TTKYMN18L","GSON1254")</f>
        <v>#NAME?</v>
      </c>
      <c r="W2739" s="23" t="e">
        <f ca="1">[1]!BexGetData("DP_1","00O2TNJGODT0G5Z4TTKYMN7K5","GSON1254")</f>
        <v>#NAME?</v>
      </c>
    </row>
    <row r="2740" spans="1:23" x14ac:dyDescent="0.2">
      <c r="A2740" s="36" t="s">
        <v>1376</v>
      </c>
      <c r="B2740" s="27" t="s">
        <v>1377</v>
      </c>
      <c r="C2740" s="23" t="e">
        <f ca="1">[1]!BexGetData("DP_1","003N8EMH8GTFRCSWKMPXRR8GU","GSON12541")</f>
        <v>#NAME?</v>
      </c>
      <c r="D2740" s="23" t="e">
        <f ca="1">[1]!BexGetData("DP_1","003N8EMH8GTFRCSWKMPXRRESE","GSON12541")</f>
        <v>#NAME?</v>
      </c>
      <c r="E2740" s="23" t="e">
        <f ca="1">[1]!BexGetData("DP_1","003N8EMH8GTFRCSWKMPXRRL3Y","GSON12541")</f>
        <v>#NAME?</v>
      </c>
      <c r="F2740" s="23" t="e">
        <f ca="1">[1]!BexGetData("DP_1","003N8EMH8GTFRCSWKMPXRRRFI","GSON12541")</f>
        <v>#NAME?</v>
      </c>
      <c r="G2740" s="23" t="e">
        <f ca="1">[1]!BexGetData("DP_1","003N8EMH8GTFRCSWKMPXRRXR2","GSON12541")</f>
        <v>#NAME?</v>
      </c>
      <c r="H2740" s="23" t="e">
        <f ca="1">[1]!BexGetData("DP_1","003N8EMH8GTFRCSWKMPXRS42M","GSON12541")</f>
        <v>#NAME?</v>
      </c>
      <c r="I2740" s="23" t="e">
        <f ca="1">[1]!BexGetData("DP_1","003N8EMH8GTFRCSWKMPXRSAE6","GSON12541")</f>
        <v>#NAME?</v>
      </c>
      <c r="J2740" s="23" t="e">
        <f ca="1">[1]!BexGetData("DP_1","003N8EMH8GTFRCSWKMPXRSGPQ","GSON12541")</f>
        <v>#NAME?</v>
      </c>
      <c r="K2740" s="23" t="e">
        <f ca="1">[1]!BexGetData("DP_1","003N8EMH8GTFRIVNUPY288VJH","GSON12541")</f>
        <v>#NAME?</v>
      </c>
      <c r="L2740" s="23" t="e">
        <f ca="1">[1]!BexGetData("DP_1","003N8EMH8GTFRIVNUPY2891V1","GSON12541")</f>
        <v>#NAME?</v>
      </c>
      <c r="M2740" s="28" t="e">
        <f ca="1">[1]!BexGetData("DP_1","003N8EMH8GTFRIVOG7KG9IQXA","GSON12541")</f>
        <v>#NAME?</v>
      </c>
      <c r="N2740" s="23" t="e">
        <f ca="1">[1]!BexGetData("DP_1","003N8EMH8GTFRIVOG7KG9IX8U","GSON12541")</f>
        <v>#NAME?</v>
      </c>
      <c r="O2740" s="28" t="e">
        <f ca="1">[1]!BexGetData("DP_1","003N8EMH8GTFRIVOG7KG9J3KE","GSON12541")</f>
        <v>#NAME?</v>
      </c>
      <c r="P2740" s="23" t="e">
        <f ca="1">[1]!BexGetData("DP_1","003N8EMH8GTFRIVOG7KG9J9VY","GSON12541")</f>
        <v>#NAME?</v>
      </c>
      <c r="Q2740" s="23" t="e">
        <f ca="1">[1]!BexGetData("DP_1","00O2TNJGODT0G5Z4TTKYMM5MT","GSON12541")</f>
        <v>#NAME?</v>
      </c>
      <c r="R2740" s="23" t="e">
        <f ca="1">[1]!BexGetData("DP_1","00O2TNJGODT0G5Z4TTKYMMBYD","GSON12541")</f>
        <v>#NAME?</v>
      </c>
      <c r="S2740" s="23" t="e">
        <f ca="1">[1]!BexGetData("DP_1","00O2TNJGODT0G5Z4TTKYMMI9X","GSON12541")</f>
        <v>#NAME?</v>
      </c>
      <c r="T2740" s="28" t="e">
        <f ca="1">[1]!BexGetData("DP_1","00O2TNJGODT0G5Z4TTKYMMOLH","GSON12541")</f>
        <v>#NAME?</v>
      </c>
      <c r="U2740" s="23" t="e">
        <f ca="1">[1]!BexGetData("DP_1","00O2TNJGODT0G5Z4TTKYMMUX1","GSON12541")</f>
        <v>#NAME?</v>
      </c>
      <c r="V2740" s="28" t="e">
        <f ca="1">[1]!BexGetData("DP_1","00O2TNJGODT0G5Z4TTKYMN18L","GSON12541")</f>
        <v>#NAME?</v>
      </c>
      <c r="W2740" s="23" t="e">
        <f ca="1">[1]!BexGetData("DP_1","00O2TNJGODT0G5Z4TTKYMN7K5","GSON12541")</f>
        <v>#NAME?</v>
      </c>
    </row>
    <row r="2741" spans="1:23" x14ac:dyDescent="0.2">
      <c r="A2741" s="37" t="s">
        <v>1378</v>
      </c>
      <c r="B2741" s="27" t="s">
        <v>1379</v>
      </c>
      <c r="C2741" s="28" t="e">
        <f ca="1">[1]!BexGetData("DP_1","003N8EMH8GTFRCSWKMPXRR8GU","GSON1254159700")</f>
        <v>#NAME?</v>
      </c>
      <c r="D2741" s="28" t="e">
        <f ca="1">[1]!BexGetData("DP_1","003N8EMH8GTFRCSWKMPXRRESE","GSON1254159700")</f>
        <v>#NAME?</v>
      </c>
      <c r="E2741" s="23" t="e">
        <f ca="1">[1]!BexGetData("DP_1","003N8EMH8GTFRCSWKMPXRRL3Y","GSON1254159700")</f>
        <v>#NAME?</v>
      </c>
      <c r="F2741" s="23" t="e">
        <f ca="1">[1]!BexGetData("DP_1","003N8EMH8GTFRCSWKMPXRRRFI","GSON1254159700")</f>
        <v>#NAME?</v>
      </c>
      <c r="G2741" s="28" t="e">
        <f ca="1">[1]!BexGetData("DP_1","003N8EMH8GTFRCSWKMPXRRXR2","GSON1254159700")</f>
        <v>#NAME?</v>
      </c>
      <c r="H2741" s="28" t="e">
        <f ca="1">[1]!BexGetData("DP_1","003N8EMH8GTFRCSWKMPXRS42M","GSON1254159700")</f>
        <v>#NAME?</v>
      </c>
      <c r="I2741" s="23" t="e">
        <f ca="1">[1]!BexGetData("DP_1","003N8EMH8GTFRCSWKMPXRSAE6","GSON1254159700")</f>
        <v>#NAME?</v>
      </c>
      <c r="J2741" s="23" t="e">
        <f ca="1">[1]!BexGetData("DP_1","003N8EMH8GTFRCSWKMPXRSGPQ","GSON1254159700")</f>
        <v>#NAME?</v>
      </c>
      <c r="K2741" s="28" t="e">
        <f ca="1">[1]!BexGetData("DP_1","003N8EMH8GTFRIVNUPY288VJH","GSON1254159700")</f>
        <v>#NAME?</v>
      </c>
      <c r="L2741" s="28" t="e">
        <f ca="1">[1]!BexGetData("DP_1","003N8EMH8GTFRIVNUPY2891V1","GSON1254159700")</f>
        <v>#NAME?</v>
      </c>
      <c r="M2741" s="28" t="e">
        <f ca="1">[1]!BexGetData("DP_1","003N8EMH8GTFRIVOG7KG9IQXA","GSON1254159700")</f>
        <v>#NAME?</v>
      </c>
      <c r="N2741" s="28" t="e">
        <f ca="1">[1]!BexGetData("DP_1","003N8EMH8GTFRIVOG7KG9IX8U","GSON1254159700")</f>
        <v>#NAME?</v>
      </c>
      <c r="O2741" s="28" t="e">
        <f ca="1">[1]!BexGetData("DP_1","003N8EMH8GTFRIVOG7KG9J3KE","GSON1254159700")</f>
        <v>#NAME?</v>
      </c>
      <c r="P2741" s="28" t="e">
        <f ca="1">[1]!BexGetData("DP_1","003N8EMH8GTFRIVOG7KG9J9VY","GSON1254159700")</f>
        <v>#NAME?</v>
      </c>
      <c r="Q2741" s="23" t="e">
        <f ca="1">[1]!BexGetData("DP_1","00O2TNJGODT0G5Z4TTKYMM5MT","GSON1254159700")</f>
        <v>#NAME?</v>
      </c>
      <c r="R2741" s="28" t="e">
        <f ca="1">[1]!BexGetData("DP_1","00O2TNJGODT0G5Z4TTKYMMBYD","GSON1254159700")</f>
        <v>#NAME?</v>
      </c>
      <c r="S2741" s="28" t="e">
        <f ca="1">[1]!BexGetData("DP_1","00O2TNJGODT0G5Z4TTKYMMI9X","GSON1254159700")</f>
        <v>#NAME?</v>
      </c>
      <c r="T2741" s="28" t="e">
        <f ca="1">[1]!BexGetData("DP_1","00O2TNJGODT0G5Z4TTKYMMOLH","GSON1254159700")</f>
        <v>#NAME?</v>
      </c>
      <c r="U2741" s="28" t="e">
        <f ca="1">[1]!BexGetData("DP_1","00O2TNJGODT0G5Z4TTKYMMUX1","GSON1254159700")</f>
        <v>#NAME?</v>
      </c>
      <c r="V2741" s="28" t="e">
        <f ca="1">[1]!BexGetData("DP_1","00O2TNJGODT0G5Z4TTKYMN18L","GSON1254159700")</f>
        <v>#NAME?</v>
      </c>
      <c r="W2741" s="28" t="e">
        <f ca="1">[1]!BexGetData("DP_1","00O2TNJGODT0G5Z4TTKYMN7K5","GSON1254159700")</f>
        <v>#NAME?</v>
      </c>
    </row>
    <row r="2742" spans="1:23" x14ac:dyDescent="0.2">
      <c r="A2742" s="37" t="s">
        <v>6133</v>
      </c>
      <c r="B2742" s="27" t="s">
        <v>6134</v>
      </c>
      <c r="C2742" s="23" t="e">
        <f ca="1">[1]!BexGetData("DP_1","003N8EMH8GTFRCSWKMPXRR8GU","GSON1254159701")</f>
        <v>#NAME?</v>
      </c>
      <c r="D2742" s="23" t="e">
        <f ca="1">[1]!BexGetData("DP_1","003N8EMH8GTFRCSWKMPXRRESE","GSON1254159701")</f>
        <v>#NAME?</v>
      </c>
      <c r="E2742" s="23" t="e">
        <f ca="1">[1]!BexGetData("DP_1","003N8EMH8GTFRCSWKMPXRRL3Y","GSON1254159701")</f>
        <v>#NAME?</v>
      </c>
      <c r="F2742" s="23" t="e">
        <f ca="1">[1]!BexGetData("DP_1","003N8EMH8GTFRCSWKMPXRRRFI","GSON1254159701")</f>
        <v>#NAME?</v>
      </c>
      <c r="G2742" s="23" t="e">
        <f ca="1">[1]!BexGetData("DP_1","003N8EMH8GTFRCSWKMPXRRXR2","GSON1254159701")</f>
        <v>#NAME?</v>
      </c>
      <c r="H2742" s="23" t="e">
        <f ca="1">[1]!BexGetData("DP_1","003N8EMH8GTFRCSWKMPXRS42M","GSON1254159701")</f>
        <v>#NAME?</v>
      </c>
      <c r="I2742" s="23" t="e">
        <f ca="1">[1]!BexGetData("DP_1","003N8EMH8GTFRCSWKMPXRSAE6","GSON1254159701")</f>
        <v>#NAME?</v>
      </c>
      <c r="J2742" s="24" t="e">
        <f ca="1">[1]!BexGetData("DP_1","003N8EMH8GTFRCSWKMPXRSGPQ","GSON1254159701")</f>
        <v>#NAME?</v>
      </c>
      <c r="K2742" s="23" t="e">
        <f ca="1">[1]!BexGetData("DP_1","003N8EMH8GTFRIVNUPY288VJH","GSON1254159701")</f>
        <v>#NAME?</v>
      </c>
      <c r="L2742" s="23" t="e">
        <f ca="1">[1]!BexGetData("DP_1","003N8EMH8GTFRIVNUPY2891V1","GSON1254159701")</f>
        <v>#NAME?</v>
      </c>
      <c r="M2742" s="28" t="e">
        <f ca="1">[1]!BexGetData("DP_1","003N8EMH8GTFRIVOG7KG9IQXA","GSON1254159701")</f>
        <v>#NAME?</v>
      </c>
      <c r="N2742" s="23" t="e">
        <f ca="1">[1]!BexGetData("DP_1","003N8EMH8GTFRIVOG7KG9IX8U","GSON1254159701")</f>
        <v>#NAME?</v>
      </c>
      <c r="O2742" s="28" t="e">
        <f ca="1">[1]!BexGetData("DP_1","003N8EMH8GTFRIVOG7KG9J3KE","GSON1254159701")</f>
        <v>#NAME?</v>
      </c>
      <c r="P2742" s="23" t="e">
        <f ca="1">[1]!BexGetData("DP_1","003N8EMH8GTFRIVOG7KG9J9VY","GSON1254159701")</f>
        <v>#NAME?</v>
      </c>
      <c r="Q2742" s="24" t="e">
        <f ca="1">[1]!BexGetData("DP_1","00O2TNJGODT0G5Z4TTKYMM5MT","GSON1254159701")</f>
        <v>#NAME?</v>
      </c>
      <c r="R2742" s="23" t="e">
        <f ca="1">[1]!BexGetData("DP_1","00O2TNJGODT0G5Z4TTKYMMBYD","GSON1254159701")</f>
        <v>#NAME?</v>
      </c>
      <c r="S2742" s="23" t="e">
        <f ca="1">[1]!BexGetData("DP_1","00O2TNJGODT0G5Z4TTKYMMI9X","GSON1254159701")</f>
        <v>#NAME?</v>
      </c>
      <c r="T2742" s="28" t="e">
        <f ca="1">[1]!BexGetData("DP_1","00O2TNJGODT0G5Z4TTKYMMOLH","GSON1254159701")</f>
        <v>#NAME?</v>
      </c>
      <c r="U2742" s="23" t="e">
        <f ca="1">[1]!BexGetData("DP_1","00O2TNJGODT0G5Z4TTKYMMUX1","GSON1254159701")</f>
        <v>#NAME?</v>
      </c>
      <c r="V2742" s="28" t="e">
        <f ca="1">[1]!BexGetData("DP_1","00O2TNJGODT0G5Z4TTKYMN18L","GSON1254159701")</f>
        <v>#NAME?</v>
      </c>
      <c r="W2742" s="23" t="e">
        <f ca="1">[1]!BexGetData("DP_1","00O2TNJGODT0G5Z4TTKYMN7K5","GSON1254159701")</f>
        <v>#NAME?</v>
      </c>
    </row>
    <row r="2743" spans="1:23" x14ac:dyDescent="0.2">
      <c r="A2743" s="34" t="s">
        <v>468</v>
      </c>
      <c r="B2743" s="27" t="s">
        <v>469</v>
      </c>
      <c r="C2743" s="23" t="e">
        <f ca="1">[1]!BexGetData("DP_1","003N8EMH8GTFRCSWKMPXRR8GU","GSON126")</f>
        <v>#NAME?</v>
      </c>
      <c r="D2743" s="23" t="e">
        <f ca="1">[1]!BexGetData("DP_1","003N8EMH8GTFRCSWKMPXRRESE","GSON126")</f>
        <v>#NAME?</v>
      </c>
      <c r="E2743" s="23" t="e">
        <f ca="1">[1]!BexGetData("DP_1","003N8EMH8GTFRCSWKMPXRRL3Y","GSON126")</f>
        <v>#NAME?</v>
      </c>
      <c r="F2743" s="23" t="e">
        <f ca="1">[1]!BexGetData("DP_1","003N8EMH8GTFRCSWKMPXRRRFI","GSON126")</f>
        <v>#NAME?</v>
      </c>
      <c r="G2743" s="23" t="e">
        <f ca="1">[1]!BexGetData("DP_1","003N8EMH8GTFRCSWKMPXRRXR2","GSON126")</f>
        <v>#NAME?</v>
      </c>
      <c r="H2743" s="23" t="e">
        <f ca="1">[1]!BexGetData("DP_1","003N8EMH8GTFRCSWKMPXRS42M","GSON126")</f>
        <v>#NAME?</v>
      </c>
      <c r="I2743" s="23" t="e">
        <f ca="1">[1]!BexGetData("DP_1","003N8EMH8GTFRCSWKMPXRSAE6","GSON126")</f>
        <v>#NAME?</v>
      </c>
      <c r="J2743" s="23" t="e">
        <f ca="1">[1]!BexGetData("DP_1","003N8EMH8GTFRCSWKMPXRSGPQ","GSON126")</f>
        <v>#NAME?</v>
      </c>
      <c r="K2743" s="23" t="e">
        <f ca="1">[1]!BexGetData("DP_1","003N8EMH8GTFRIVNUPY288VJH","GSON126")</f>
        <v>#NAME?</v>
      </c>
      <c r="L2743" s="23" t="e">
        <f ca="1">[1]!BexGetData("DP_1","003N8EMH8GTFRIVNUPY2891V1","GSON126")</f>
        <v>#NAME?</v>
      </c>
      <c r="M2743" s="23" t="e">
        <f ca="1">[1]!BexGetData("DP_1","003N8EMH8GTFRIVOG7KG9IQXA","GSON126")</f>
        <v>#NAME?</v>
      </c>
      <c r="N2743" s="28" t="e">
        <f ca="1">[1]!BexGetData("DP_1","003N8EMH8GTFRIVOG7KG9IX8U","GSON126")</f>
        <v>#NAME?</v>
      </c>
      <c r="O2743" s="23" t="e">
        <f ca="1">[1]!BexGetData("DP_1","003N8EMH8GTFRIVOG7KG9J3KE","GSON126")</f>
        <v>#NAME?</v>
      </c>
      <c r="P2743" s="28" t="e">
        <f ca="1">[1]!BexGetData("DP_1","003N8EMH8GTFRIVOG7KG9J9VY","GSON126")</f>
        <v>#NAME?</v>
      </c>
      <c r="Q2743" s="23" t="e">
        <f ca="1">[1]!BexGetData("DP_1","00O2TNJGODT0G5Z4TTKYMM5MT","GSON126")</f>
        <v>#NAME?</v>
      </c>
      <c r="R2743" s="23" t="e">
        <f ca="1">[1]!BexGetData("DP_1","00O2TNJGODT0G5Z4TTKYMMBYD","GSON126")</f>
        <v>#NAME?</v>
      </c>
      <c r="S2743" s="23" t="e">
        <f ca="1">[1]!BexGetData("DP_1","00O2TNJGODT0G5Z4TTKYMMI9X","GSON126")</f>
        <v>#NAME?</v>
      </c>
      <c r="T2743" s="23" t="e">
        <f ca="1">[1]!BexGetData("DP_1","00O2TNJGODT0G5Z4TTKYMMOLH","GSON126")</f>
        <v>#NAME?</v>
      </c>
      <c r="U2743" s="28" t="e">
        <f ca="1">[1]!BexGetData("DP_1","00O2TNJGODT0G5Z4TTKYMMUX1","GSON126")</f>
        <v>#NAME?</v>
      </c>
      <c r="V2743" s="23" t="e">
        <f ca="1">[1]!BexGetData("DP_1","00O2TNJGODT0G5Z4TTKYMN18L","GSON126")</f>
        <v>#NAME?</v>
      </c>
      <c r="W2743" s="28" t="e">
        <f ca="1">[1]!BexGetData("DP_1","00O2TNJGODT0G5Z4TTKYMN7K5","GSON126")</f>
        <v>#NAME?</v>
      </c>
    </row>
    <row r="2744" spans="1:23" x14ac:dyDescent="0.2">
      <c r="A2744" s="35" t="s">
        <v>470</v>
      </c>
      <c r="B2744" s="27" t="s">
        <v>1380</v>
      </c>
      <c r="C2744" s="28" t="e">
        <f ca="1">[1]!BexGetData("DP_1","003N8EMH8GTFRCSWKMPXRR8GU","GSON1261")</f>
        <v>#NAME?</v>
      </c>
      <c r="D2744" s="23" t="e">
        <f ca="1">[1]!BexGetData("DP_1","003N8EMH8GTFRCSWKMPXRRESE","GSON1261")</f>
        <v>#NAME?</v>
      </c>
      <c r="E2744" s="23" t="e">
        <f ca="1">[1]!BexGetData("DP_1","003N8EMH8GTFRCSWKMPXRRL3Y","GSON1261")</f>
        <v>#NAME?</v>
      </c>
      <c r="F2744" s="23" t="e">
        <f ca="1">[1]!BexGetData("DP_1","003N8EMH8GTFRCSWKMPXRRRFI","GSON1261")</f>
        <v>#NAME?</v>
      </c>
      <c r="G2744" s="23" t="e">
        <f ca="1">[1]!BexGetData("DP_1","003N8EMH8GTFRCSWKMPXRRXR2","GSON1261")</f>
        <v>#NAME?</v>
      </c>
      <c r="H2744" s="23" t="e">
        <f ca="1">[1]!BexGetData("DP_1","003N8EMH8GTFRCSWKMPXRS42M","GSON1261")</f>
        <v>#NAME?</v>
      </c>
      <c r="I2744" s="23" t="e">
        <f ca="1">[1]!BexGetData("DP_1","003N8EMH8GTFRCSWKMPXRSAE6","GSON1261")</f>
        <v>#NAME?</v>
      </c>
      <c r="J2744" s="23" t="e">
        <f ca="1">[1]!BexGetData("DP_1","003N8EMH8GTFRCSWKMPXRSGPQ","GSON1261")</f>
        <v>#NAME?</v>
      </c>
      <c r="K2744" s="23" t="e">
        <f ca="1">[1]!BexGetData("DP_1","003N8EMH8GTFRIVNUPY288VJH","GSON1261")</f>
        <v>#NAME?</v>
      </c>
      <c r="L2744" s="23" t="e">
        <f ca="1">[1]!BexGetData("DP_1","003N8EMH8GTFRIVNUPY2891V1","GSON1261")</f>
        <v>#NAME?</v>
      </c>
      <c r="M2744" s="23" t="e">
        <f ca="1">[1]!BexGetData("DP_1","003N8EMH8GTFRIVOG7KG9IQXA","GSON1261")</f>
        <v>#NAME?</v>
      </c>
      <c r="N2744" s="28" t="e">
        <f ca="1">[1]!BexGetData("DP_1","003N8EMH8GTFRIVOG7KG9IX8U","GSON1261")</f>
        <v>#NAME?</v>
      </c>
      <c r="O2744" s="23" t="e">
        <f ca="1">[1]!BexGetData("DP_1","003N8EMH8GTFRIVOG7KG9J3KE","GSON1261")</f>
        <v>#NAME?</v>
      </c>
      <c r="P2744" s="28" t="e">
        <f ca="1">[1]!BexGetData("DP_1","003N8EMH8GTFRIVOG7KG9J9VY","GSON1261")</f>
        <v>#NAME?</v>
      </c>
      <c r="Q2744" s="23" t="e">
        <f ca="1">[1]!BexGetData("DP_1","00O2TNJGODT0G5Z4TTKYMM5MT","GSON1261")</f>
        <v>#NAME?</v>
      </c>
      <c r="R2744" s="23" t="e">
        <f ca="1">[1]!BexGetData("DP_1","00O2TNJGODT0G5Z4TTKYMMBYD","GSON1261")</f>
        <v>#NAME?</v>
      </c>
      <c r="S2744" s="23" t="e">
        <f ca="1">[1]!BexGetData("DP_1","00O2TNJGODT0G5Z4TTKYMMI9X","GSON1261")</f>
        <v>#NAME?</v>
      </c>
      <c r="T2744" s="23" t="e">
        <f ca="1">[1]!BexGetData("DP_1","00O2TNJGODT0G5Z4TTKYMMOLH","GSON1261")</f>
        <v>#NAME?</v>
      </c>
      <c r="U2744" s="28" t="e">
        <f ca="1">[1]!BexGetData("DP_1","00O2TNJGODT0G5Z4TTKYMMUX1","GSON1261")</f>
        <v>#NAME?</v>
      </c>
      <c r="V2744" s="23" t="e">
        <f ca="1">[1]!BexGetData("DP_1","00O2TNJGODT0G5Z4TTKYMN18L","GSON1261")</f>
        <v>#NAME?</v>
      </c>
      <c r="W2744" s="28" t="e">
        <f ca="1">[1]!BexGetData("DP_1","00O2TNJGODT0G5Z4TTKYMN7K5","GSON1261")</f>
        <v>#NAME?</v>
      </c>
    </row>
    <row r="2745" spans="1:23" x14ac:dyDescent="0.2">
      <c r="A2745" s="36" t="s">
        <v>1381</v>
      </c>
      <c r="B2745" s="27" t="s">
        <v>1382</v>
      </c>
      <c r="C2745" s="28" t="e">
        <f ca="1">[1]!BexGetData("DP_1","003N8EMH8GTFRCSWKMPXRR8GU","GSON1261100001")</f>
        <v>#NAME?</v>
      </c>
      <c r="D2745" s="23" t="e">
        <f ca="1">[1]!BexGetData("DP_1","003N8EMH8GTFRCSWKMPXRRESE","GSON1261100001")</f>
        <v>#NAME?</v>
      </c>
      <c r="E2745" s="23" t="e">
        <f ca="1">[1]!BexGetData("DP_1","003N8EMH8GTFRCSWKMPXRRL3Y","GSON1261100001")</f>
        <v>#NAME?</v>
      </c>
      <c r="F2745" s="23" t="e">
        <f ca="1">[1]!BexGetData("DP_1","003N8EMH8GTFRCSWKMPXRRRFI","GSON1261100001")</f>
        <v>#NAME?</v>
      </c>
      <c r="G2745" s="23" t="e">
        <f ca="1">[1]!BexGetData("DP_1","003N8EMH8GTFRCSWKMPXRRXR2","GSON1261100001")</f>
        <v>#NAME?</v>
      </c>
      <c r="H2745" s="23" t="e">
        <f ca="1">[1]!BexGetData("DP_1","003N8EMH8GTFRCSWKMPXRS42M","GSON1261100001")</f>
        <v>#NAME?</v>
      </c>
      <c r="I2745" s="23" t="e">
        <f ca="1">[1]!BexGetData("DP_1","003N8EMH8GTFRCSWKMPXRSAE6","GSON1261100001")</f>
        <v>#NAME?</v>
      </c>
      <c r="J2745" s="23" t="e">
        <f ca="1">[1]!BexGetData("DP_1","003N8EMH8GTFRCSWKMPXRSGPQ","GSON1261100001")</f>
        <v>#NAME?</v>
      </c>
      <c r="K2745" s="23" t="e">
        <f ca="1">[1]!BexGetData("DP_1","003N8EMH8GTFRIVNUPY288VJH","GSON1261100001")</f>
        <v>#NAME?</v>
      </c>
      <c r="L2745" s="23" t="e">
        <f ca="1">[1]!BexGetData("DP_1","003N8EMH8GTFRIVNUPY2891V1","GSON1261100001")</f>
        <v>#NAME?</v>
      </c>
      <c r="M2745" s="23" t="e">
        <f ca="1">[1]!BexGetData("DP_1","003N8EMH8GTFRIVOG7KG9IQXA","GSON1261100001")</f>
        <v>#NAME?</v>
      </c>
      <c r="N2745" s="28" t="e">
        <f ca="1">[1]!BexGetData("DP_1","003N8EMH8GTFRIVOG7KG9IX8U","GSON1261100001")</f>
        <v>#NAME?</v>
      </c>
      <c r="O2745" s="23" t="e">
        <f ca="1">[1]!BexGetData("DP_1","003N8EMH8GTFRIVOG7KG9J3KE","GSON1261100001")</f>
        <v>#NAME?</v>
      </c>
      <c r="P2745" s="28" t="e">
        <f ca="1">[1]!BexGetData("DP_1","003N8EMH8GTFRIVOG7KG9J9VY","GSON1261100001")</f>
        <v>#NAME?</v>
      </c>
      <c r="Q2745" s="23" t="e">
        <f ca="1">[1]!BexGetData("DP_1","00O2TNJGODT0G5Z4TTKYMM5MT","GSON1261100001")</f>
        <v>#NAME?</v>
      </c>
      <c r="R2745" s="23" t="e">
        <f ca="1">[1]!BexGetData("DP_1","00O2TNJGODT0G5Z4TTKYMMBYD","GSON1261100001")</f>
        <v>#NAME?</v>
      </c>
      <c r="S2745" s="23" t="e">
        <f ca="1">[1]!BexGetData("DP_1","00O2TNJGODT0G5Z4TTKYMMI9X","GSON1261100001")</f>
        <v>#NAME?</v>
      </c>
      <c r="T2745" s="23" t="e">
        <f ca="1">[1]!BexGetData("DP_1","00O2TNJGODT0G5Z4TTKYMMOLH","GSON1261100001")</f>
        <v>#NAME?</v>
      </c>
      <c r="U2745" s="28" t="e">
        <f ca="1">[1]!BexGetData("DP_1","00O2TNJGODT0G5Z4TTKYMMUX1","GSON1261100001")</f>
        <v>#NAME?</v>
      </c>
      <c r="V2745" s="23" t="e">
        <f ca="1">[1]!BexGetData("DP_1","00O2TNJGODT0G5Z4TTKYMN18L","GSON1261100001")</f>
        <v>#NAME?</v>
      </c>
      <c r="W2745" s="28" t="e">
        <f ca="1">[1]!BexGetData("DP_1","00O2TNJGODT0G5Z4TTKYMN7K5","GSON1261100001")</f>
        <v>#NAME?</v>
      </c>
    </row>
    <row r="2746" spans="1:23" x14ac:dyDescent="0.2">
      <c r="A2746" s="36" t="s">
        <v>6135</v>
      </c>
      <c r="B2746" s="27" t="s">
        <v>6136</v>
      </c>
      <c r="C2746" s="24" t="e">
        <f ca="1">[1]!BexGetData("DP_1","003N8EMH8GTFRCSWKMPXRR8GU","GSON1261200001")</f>
        <v>#NAME?</v>
      </c>
      <c r="D2746" s="24" t="e">
        <f ca="1">[1]!BexGetData("DP_1","003N8EMH8GTFRCSWKMPXRRESE","GSON1261200001")</f>
        <v>#NAME?</v>
      </c>
      <c r="E2746" s="24" t="e">
        <f ca="1">[1]!BexGetData("DP_1","003N8EMH8GTFRCSWKMPXRRL3Y","GSON1261200001")</f>
        <v>#NAME?</v>
      </c>
      <c r="F2746" s="28" t="e">
        <f ca="1">[1]!BexGetData("DP_1","003N8EMH8GTFRCSWKMPXRRRFI","GSON1261200001")</f>
        <v>#NAME?</v>
      </c>
      <c r="G2746" s="28" t="e">
        <f ca="1">[1]!BexGetData("DP_1","003N8EMH8GTFRCSWKMPXRRXR2","GSON1261200001")</f>
        <v>#NAME?</v>
      </c>
      <c r="H2746" s="28" t="e">
        <f ca="1">[1]!BexGetData("DP_1","003N8EMH8GTFRCSWKMPXRS42M","GSON1261200001")</f>
        <v>#NAME?</v>
      </c>
      <c r="I2746" s="28" t="e">
        <f ca="1">[1]!BexGetData("DP_1","003N8EMH8GTFRCSWKMPXRSAE6","GSON1261200001")</f>
        <v>#NAME?</v>
      </c>
      <c r="J2746" s="28" t="e">
        <f ca="1">[1]!BexGetData("DP_1","003N8EMH8GTFRCSWKMPXRSGPQ","GSON1261200001")</f>
        <v>#NAME?</v>
      </c>
      <c r="K2746" s="28" t="e">
        <f ca="1">[1]!BexGetData("DP_1","003N8EMH8GTFRIVNUPY288VJH","GSON1261200001")</f>
        <v>#NAME?</v>
      </c>
      <c r="L2746" s="28" t="e">
        <f ca="1">[1]!BexGetData("DP_1","003N8EMH8GTFRIVNUPY2891V1","GSON1261200001")</f>
        <v>#NAME?</v>
      </c>
      <c r="M2746" s="28" t="e">
        <f ca="1">[1]!BexGetData("DP_1","003N8EMH8GTFRIVOG7KG9IQXA","GSON1261200001")</f>
        <v>#NAME?</v>
      </c>
      <c r="N2746" s="28" t="e">
        <f ca="1">[1]!BexGetData("DP_1","003N8EMH8GTFRIVOG7KG9IX8U","GSON1261200001")</f>
        <v>#NAME?</v>
      </c>
      <c r="O2746" s="28" t="e">
        <f ca="1">[1]!BexGetData("DP_1","003N8EMH8GTFRIVOG7KG9J3KE","GSON1261200001")</f>
        <v>#NAME?</v>
      </c>
      <c r="P2746" s="28" t="e">
        <f ca="1">[1]!BexGetData("DP_1","003N8EMH8GTFRIVOG7KG9J9VY","GSON1261200001")</f>
        <v>#NAME?</v>
      </c>
      <c r="Q2746" s="28" t="e">
        <f ca="1">[1]!BexGetData("DP_1","00O2TNJGODT0G5Z4TTKYMM5MT","GSON1261200001")</f>
        <v>#NAME?</v>
      </c>
      <c r="R2746" s="28" t="e">
        <f ca="1">[1]!BexGetData("DP_1","00O2TNJGODT0G5Z4TTKYMMBYD","GSON1261200001")</f>
        <v>#NAME?</v>
      </c>
      <c r="S2746" s="28" t="e">
        <f ca="1">[1]!BexGetData("DP_1","00O2TNJGODT0G5Z4TTKYMMI9X","GSON1261200001")</f>
        <v>#NAME?</v>
      </c>
      <c r="T2746" s="28" t="e">
        <f ca="1">[1]!BexGetData("DP_1","00O2TNJGODT0G5Z4TTKYMMOLH","GSON1261200001")</f>
        <v>#NAME?</v>
      </c>
      <c r="U2746" s="28" t="e">
        <f ca="1">[1]!BexGetData("DP_1","00O2TNJGODT0G5Z4TTKYMMUX1","GSON1261200001")</f>
        <v>#NAME?</v>
      </c>
      <c r="V2746" s="28" t="e">
        <f ca="1">[1]!BexGetData("DP_1","00O2TNJGODT0G5Z4TTKYMN18L","GSON1261200001")</f>
        <v>#NAME?</v>
      </c>
      <c r="W2746" s="28" t="e">
        <f ca="1">[1]!BexGetData("DP_1","00O2TNJGODT0G5Z4TTKYMN7K5","GSON1261200001")</f>
        <v>#NAME?</v>
      </c>
    </row>
    <row r="2747" spans="1:23" x14ac:dyDescent="0.2">
      <c r="A2747" s="35" t="s">
        <v>470</v>
      </c>
      <c r="B2747" s="27" t="s">
        <v>1383</v>
      </c>
      <c r="C2747" s="28" t="e">
        <f ca="1">[1]!BexGetData("DP_1","003N8EMH8GTFRCSWKMPXRR8GU","GSON1262")</f>
        <v>#NAME?</v>
      </c>
      <c r="D2747" s="23" t="e">
        <f ca="1">[1]!BexGetData("DP_1","003N8EMH8GTFRCSWKMPXRRESE","GSON1262")</f>
        <v>#NAME?</v>
      </c>
      <c r="E2747" s="23" t="e">
        <f ca="1">[1]!BexGetData("DP_1","003N8EMH8GTFRCSWKMPXRRL3Y","GSON1262")</f>
        <v>#NAME?</v>
      </c>
      <c r="F2747" s="23" t="e">
        <f ca="1">[1]!BexGetData("DP_1","003N8EMH8GTFRCSWKMPXRRRFI","GSON1262")</f>
        <v>#NAME?</v>
      </c>
      <c r="G2747" s="28" t="e">
        <f ca="1">[1]!BexGetData("DP_1","003N8EMH8GTFRCSWKMPXRRXR2","GSON1262")</f>
        <v>#NAME?</v>
      </c>
      <c r="H2747" s="23" t="e">
        <f ca="1">[1]!BexGetData("DP_1","003N8EMH8GTFRCSWKMPXRS42M","GSON1262")</f>
        <v>#NAME?</v>
      </c>
      <c r="I2747" s="23" t="e">
        <f ca="1">[1]!BexGetData("DP_1","003N8EMH8GTFRCSWKMPXRSAE6","GSON1262")</f>
        <v>#NAME?</v>
      </c>
      <c r="J2747" s="23" t="e">
        <f ca="1">[1]!BexGetData("DP_1","003N8EMH8GTFRCSWKMPXRSGPQ","GSON1262")</f>
        <v>#NAME?</v>
      </c>
      <c r="K2747" s="23" t="e">
        <f ca="1">[1]!BexGetData("DP_1","003N8EMH8GTFRIVNUPY288VJH","GSON1262")</f>
        <v>#NAME?</v>
      </c>
      <c r="L2747" s="23" t="e">
        <f ca="1">[1]!BexGetData("DP_1","003N8EMH8GTFRIVNUPY2891V1","GSON1262")</f>
        <v>#NAME?</v>
      </c>
      <c r="M2747" s="23" t="e">
        <f ca="1">[1]!BexGetData("DP_1","003N8EMH8GTFRIVOG7KG9IQXA","GSON1262")</f>
        <v>#NAME?</v>
      </c>
      <c r="N2747" s="28" t="e">
        <f ca="1">[1]!BexGetData("DP_1","003N8EMH8GTFRIVOG7KG9IX8U","GSON1262")</f>
        <v>#NAME?</v>
      </c>
      <c r="O2747" s="23" t="e">
        <f ca="1">[1]!BexGetData("DP_1","003N8EMH8GTFRIVOG7KG9J3KE","GSON1262")</f>
        <v>#NAME?</v>
      </c>
      <c r="P2747" s="28" t="e">
        <f ca="1">[1]!BexGetData("DP_1","003N8EMH8GTFRIVOG7KG9J9VY","GSON1262")</f>
        <v>#NAME?</v>
      </c>
      <c r="Q2747" s="23" t="e">
        <f ca="1">[1]!BexGetData("DP_1","00O2TNJGODT0G5Z4TTKYMM5MT","GSON1262")</f>
        <v>#NAME?</v>
      </c>
      <c r="R2747" s="23" t="e">
        <f ca="1">[1]!BexGetData("DP_1","00O2TNJGODT0G5Z4TTKYMMBYD","GSON1262")</f>
        <v>#NAME?</v>
      </c>
      <c r="S2747" s="23" t="e">
        <f ca="1">[1]!BexGetData("DP_1","00O2TNJGODT0G5Z4TTKYMMI9X","GSON1262")</f>
        <v>#NAME?</v>
      </c>
      <c r="T2747" s="23" t="e">
        <f ca="1">[1]!BexGetData("DP_1","00O2TNJGODT0G5Z4TTKYMMOLH","GSON1262")</f>
        <v>#NAME?</v>
      </c>
      <c r="U2747" s="28" t="e">
        <f ca="1">[1]!BexGetData("DP_1","00O2TNJGODT0G5Z4TTKYMMUX1","GSON1262")</f>
        <v>#NAME?</v>
      </c>
      <c r="V2747" s="23" t="e">
        <f ca="1">[1]!BexGetData("DP_1","00O2TNJGODT0G5Z4TTKYMN18L","GSON1262")</f>
        <v>#NAME?</v>
      </c>
      <c r="W2747" s="28" t="e">
        <f ca="1">[1]!BexGetData("DP_1","00O2TNJGODT0G5Z4TTKYMN7K5","GSON1262")</f>
        <v>#NAME?</v>
      </c>
    </row>
    <row r="2748" spans="1:23" x14ac:dyDescent="0.2">
      <c r="A2748" s="36" t="s">
        <v>1384</v>
      </c>
      <c r="B2748" s="27" t="s">
        <v>1385</v>
      </c>
      <c r="C2748" s="28" t="e">
        <f ca="1">[1]!BexGetData("DP_1","003N8EMH8GTFRCSWKMPXRR8GU","GSON1262100001")</f>
        <v>#NAME?</v>
      </c>
      <c r="D2748" s="23" t="e">
        <f ca="1">[1]!BexGetData("DP_1","003N8EMH8GTFRCSWKMPXRRESE","GSON1262100001")</f>
        <v>#NAME?</v>
      </c>
      <c r="E2748" s="23" t="e">
        <f ca="1">[1]!BexGetData("DP_1","003N8EMH8GTFRCSWKMPXRRL3Y","GSON1262100001")</f>
        <v>#NAME?</v>
      </c>
      <c r="F2748" s="23" t="e">
        <f ca="1">[1]!BexGetData("DP_1","003N8EMH8GTFRCSWKMPXRRRFI","GSON1262100001")</f>
        <v>#NAME?</v>
      </c>
      <c r="G2748" s="28" t="e">
        <f ca="1">[1]!BexGetData("DP_1","003N8EMH8GTFRCSWKMPXRRXR2","GSON1262100001")</f>
        <v>#NAME?</v>
      </c>
      <c r="H2748" s="23" t="e">
        <f ca="1">[1]!BexGetData("DP_1","003N8EMH8GTFRCSWKMPXRS42M","GSON1262100001")</f>
        <v>#NAME?</v>
      </c>
      <c r="I2748" s="23" t="e">
        <f ca="1">[1]!BexGetData("DP_1","003N8EMH8GTFRCSWKMPXRSAE6","GSON1262100001")</f>
        <v>#NAME?</v>
      </c>
      <c r="J2748" s="23" t="e">
        <f ca="1">[1]!BexGetData("DP_1","003N8EMH8GTFRCSWKMPXRSGPQ","GSON1262100001")</f>
        <v>#NAME?</v>
      </c>
      <c r="K2748" s="23" t="e">
        <f ca="1">[1]!BexGetData("DP_1","003N8EMH8GTFRIVNUPY288VJH","GSON1262100001")</f>
        <v>#NAME?</v>
      </c>
      <c r="L2748" s="23" t="e">
        <f ca="1">[1]!BexGetData("DP_1","003N8EMH8GTFRIVNUPY2891V1","GSON1262100001")</f>
        <v>#NAME?</v>
      </c>
      <c r="M2748" s="23" t="e">
        <f ca="1">[1]!BexGetData("DP_1","003N8EMH8GTFRIVOG7KG9IQXA","GSON1262100001")</f>
        <v>#NAME?</v>
      </c>
      <c r="N2748" s="28" t="e">
        <f ca="1">[1]!BexGetData("DP_1","003N8EMH8GTFRIVOG7KG9IX8U","GSON1262100001")</f>
        <v>#NAME?</v>
      </c>
      <c r="O2748" s="23" t="e">
        <f ca="1">[1]!BexGetData("DP_1","003N8EMH8GTFRIVOG7KG9J3KE","GSON1262100001")</f>
        <v>#NAME?</v>
      </c>
      <c r="P2748" s="28" t="e">
        <f ca="1">[1]!BexGetData("DP_1","003N8EMH8GTFRIVOG7KG9J9VY","GSON1262100001")</f>
        <v>#NAME?</v>
      </c>
      <c r="Q2748" s="23" t="e">
        <f ca="1">[1]!BexGetData("DP_1","00O2TNJGODT0G5Z4TTKYMM5MT","GSON1262100001")</f>
        <v>#NAME?</v>
      </c>
      <c r="R2748" s="23" t="e">
        <f ca="1">[1]!BexGetData("DP_1","00O2TNJGODT0G5Z4TTKYMMBYD","GSON1262100001")</f>
        <v>#NAME?</v>
      </c>
      <c r="S2748" s="23" t="e">
        <f ca="1">[1]!BexGetData("DP_1","00O2TNJGODT0G5Z4TTKYMMI9X","GSON1262100001")</f>
        <v>#NAME?</v>
      </c>
      <c r="T2748" s="23" t="e">
        <f ca="1">[1]!BexGetData("DP_1","00O2TNJGODT0G5Z4TTKYMMOLH","GSON1262100001")</f>
        <v>#NAME?</v>
      </c>
      <c r="U2748" s="28" t="e">
        <f ca="1">[1]!BexGetData("DP_1","00O2TNJGODT0G5Z4TTKYMMUX1","GSON1262100001")</f>
        <v>#NAME?</v>
      </c>
      <c r="V2748" s="23" t="e">
        <f ca="1">[1]!BexGetData("DP_1","00O2TNJGODT0G5Z4TTKYMN18L","GSON1262100001")</f>
        <v>#NAME?</v>
      </c>
      <c r="W2748" s="28" t="e">
        <f ca="1">[1]!BexGetData("DP_1","00O2TNJGODT0G5Z4TTKYMN7K5","GSON1262100001")</f>
        <v>#NAME?</v>
      </c>
    </row>
    <row r="2749" spans="1:23" x14ac:dyDescent="0.2">
      <c r="A2749" s="35" t="s">
        <v>470</v>
      </c>
      <c r="B2749" s="27" t="s">
        <v>471</v>
      </c>
      <c r="C2749" s="23" t="e">
        <f ca="1">[1]!BexGetData("DP_1","003N8EMH8GTFRCSWKMPXRR8GU","GSON1263")</f>
        <v>#NAME?</v>
      </c>
      <c r="D2749" s="23" t="e">
        <f ca="1">[1]!BexGetData("DP_1","003N8EMH8GTFRCSWKMPXRRESE","GSON1263")</f>
        <v>#NAME?</v>
      </c>
      <c r="E2749" s="23" t="e">
        <f ca="1">[1]!BexGetData("DP_1","003N8EMH8GTFRCSWKMPXRRL3Y","GSON1263")</f>
        <v>#NAME?</v>
      </c>
      <c r="F2749" s="23" t="e">
        <f ca="1">[1]!BexGetData("DP_1","003N8EMH8GTFRCSWKMPXRRRFI","GSON1263")</f>
        <v>#NAME?</v>
      </c>
      <c r="G2749" s="23" t="e">
        <f ca="1">[1]!BexGetData("DP_1","003N8EMH8GTFRCSWKMPXRRXR2","GSON1263")</f>
        <v>#NAME?</v>
      </c>
      <c r="H2749" s="23" t="e">
        <f ca="1">[1]!BexGetData("DP_1","003N8EMH8GTFRCSWKMPXRS42M","GSON1263")</f>
        <v>#NAME?</v>
      </c>
      <c r="I2749" s="23" t="e">
        <f ca="1">[1]!BexGetData("DP_1","003N8EMH8GTFRCSWKMPXRSAE6","GSON1263")</f>
        <v>#NAME?</v>
      </c>
      <c r="J2749" s="23" t="e">
        <f ca="1">[1]!BexGetData("DP_1","003N8EMH8GTFRCSWKMPXRSGPQ","GSON1263")</f>
        <v>#NAME?</v>
      </c>
      <c r="K2749" s="23" t="e">
        <f ca="1">[1]!BexGetData("DP_1","003N8EMH8GTFRIVNUPY288VJH","GSON1263")</f>
        <v>#NAME?</v>
      </c>
      <c r="L2749" s="23" t="e">
        <f ca="1">[1]!BexGetData("DP_1","003N8EMH8GTFRIVNUPY2891V1","GSON1263")</f>
        <v>#NAME?</v>
      </c>
      <c r="M2749" s="23" t="e">
        <f ca="1">[1]!BexGetData("DP_1","003N8EMH8GTFRIVOG7KG9IQXA","GSON1263")</f>
        <v>#NAME?</v>
      </c>
      <c r="N2749" s="28" t="e">
        <f ca="1">[1]!BexGetData("DP_1","003N8EMH8GTFRIVOG7KG9IX8U","GSON1263")</f>
        <v>#NAME?</v>
      </c>
      <c r="O2749" s="23" t="e">
        <f ca="1">[1]!BexGetData("DP_1","003N8EMH8GTFRIVOG7KG9J3KE","GSON1263")</f>
        <v>#NAME?</v>
      </c>
      <c r="P2749" s="28" t="e">
        <f ca="1">[1]!BexGetData("DP_1","003N8EMH8GTFRIVOG7KG9J9VY","GSON1263")</f>
        <v>#NAME?</v>
      </c>
      <c r="Q2749" s="23" t="e">
        <f ca="1">[1]!BexGetData("DP_1","00O2TNJGODT0G5Z4TTKYMM5MT","GSON1263")</f>
        <v>#NAME?</v>
      </c>
      <c r="R2749" s="23" t="e">
        <f ca="1">[1]!BexGetData("DP_1","00O2TNJGODT0G5Z4TTKYMMBYD","GSON1263")</f>
        <v>#NAME?</v>
      </c>
      <c r="S2749" s="23" t="e">
        <f ca="1">[1]!BexGetData("DP_1","00O2TNJGODT0G5Z4TTKYMMI9X","GSON1263")</f>
        <v>#NAME?</v>
      </c>
      <c r="T2749" s="23" t="e">
        <f ca="1">[1]!BexGetData("DP_1","00O2TNJGODT0G5Z4TTKYMMOLH","GSON1263")</f>
        <v>#NAME?</v>
      </c>
      <c r="U2749" s="28" t="e">
        <f ca="1">[1]!BexGetData("DP_1","00O2TNJGODT0G5Z4TTKYMMUX1","GSON1263")</f>
        <v>#NAME?</v>
      </c>
      <c r="V2749" s="23" t="e">
        <f ca="1">[1]!BexGetData("DP_1","00O2TNJGODT0G5Z4TTKYMN18L","GSON1263")</f>
        <v>#NAME?</v>
      </c>
      <c r="W2749" s="28" t="e">
        <f ca="1">[1]!BexGetData("DP_1","00O2TNJGODT0G5Z4TTKYMN7K5","GSON1263")</f>
        <v>#NAME?</v>
      </c>
    </row>
    <row r="2750" spans="1:23" x14ac:dyDescent="0.2">
      <c r="A2750" s="36" t="s">
        <v>1386</v>
      </c>
      <c r="B2750" s="27" t="s">
        <v>472</v>
      </c>
      <c r="C2750" s="23" t="e">
        <f ca="1">[1]!BexGetData("DP_1","003N8EMH8GTFRCSWKMPXRR8GU","GSON1263100001")</f>
        <v>#NAME?</v>
      </c>
      <c r="D2750" s="23" t="e">
        <f ca="1">[1]!BexGetData("DP_1","003N8EMH8GTFRCSWKMPXRRESE","GSON1263100001")</f>
        <v>#NAME?</v>
      </c>
      <c r="E2750" s="23" t="e">
        <f ca="1">[1]!BexGetData("DP_1","003N8EMH8GTFRCSWKMPXRRL3Y","GSON1263100001")</f>
        <v>#NAME?</v>
      </c>
      <c r="F2750" s="23" t="e">
        <f ca="1">[1]!BexGetData("DP_1","003N8EMH8GTFRCSWKMPXRRRFI","GSON1263100001")</f>
        <v>#NAME?</v>
      </c>
      <c r="G2750" s="23" t="e">
        <f ca="1">[1]!BexGetData("DP_1","003N8EMH8GTFRCSWKMPXRRXR2","GSON1263100001")</f>
        <v>#NAME?</v>
      </c>
      <c r="H2750" s="23" t="e">
        <f ca="1">[1]!BexGetData("DP_1","003N8EMH8GTFRCSWKMPXRS42M","GSON1263100001")</f>
        <v>#NAME?</v>
      </c>
      <c r="I2750" s="23" t="e">
        <f ca="1">[1]!BexGetData("DP_1","003N8EMH8GTFRCSWKMPXRSAE6","GSON1263100001")</f>
        <v>#NAME?</v>
      </c>
      <c r="J2750" s="23" t="e">
        <f ca="1">[1]!BexGetData("DP_1","003N8EMH8GTFRCSWKMPXRSGPQ","GSON1263100001")</f>
        <v>#NAME?</v>
      </c>
      <c r="K2750" s="23" t="e">
        <f ca="1">[1]!BexGetData("DP_1","003N8EMH8GTFRIVNUPY288VJH","GSON1263100001")</f>
        <v>#NAME?</v>
      </c>
      <c r="L2750" s="23" t="e">
        <f ca="1">[1]!BexGetData("DP_1","003N8EMH8GTFRIVNUPY2891V1","GSON1263100001")</f>
        <v>#NAME?</v>
      </c>
      <c r="M2750" s="23" t="e">
        <f ca="1">[1]!BexGetData("DP_1","003N8EMH8GTFRIVOG7KG9IQXA","GSON1263100001")</f>
        <v>#NAME?</v>
      </c>
      <c r="N2750" s="28" t="e">
        <f ca="1">[1]!BexGetData("DP_1","003N8EMH8GTFRIVOG7KG9IX8U","GSON1263100001")</f>
        <v>#NAME?</v>
      </c>
      <c r="O2750" s="23" t="e">
        <f ca="1">[1]!BexGetData("DP_1","003N8EMH8GTFRIVOG7KG9J3KE","GSON1263100001")</f>
        <v>#NAME?</v>
      </c>
      <c r="P2750" s="28" t="e">
        <f ca="1">[1]!BexGetData("DP_1","003N8EMH8GTFRIVOG7KG9J9VY","GSON1263100001")</f>
        <v>#NAME?</v>
      </c>
      <c r="Q2750" s="23" t="e">
        <f ca="1">[1]!BexGetData("DP_1","00O2TNJGODT0G5Z4TTKYMM5MT","GSON1263100001")</f>
        <v>#NAME?</v>
      </c>
      <c r="R2750" s="23" t="e">
        <f ca="1">[1]!BexGetData("DP_1","00O2TNJGODT0G5Z4TTKYMMBYD","GSON1263100001")</f>
        <v>#NAME?</v>
      </c>
      <c r="S2750" s="23" t="e">
        <f ca="1">[1]!BexGetData("DP_1","00O2TNJGODT0G5Z4TTKYMMI9X","GSON1263100001")</f>
        <v>#NAME?</v>
      </c>
      <c r="T2750" s="23" t="e">
        <f ca="1">[1]!BexGetData("DP_1","00O2TNJGODT0G5Z4TTKYMMOLH","GSON1263100001")</f>
        <v>#NAME?</v>
      </c>
      <c r="U2750" s="28" t="e">
        <f ca="1">[1]!BexGetData("DP_1","00O2TNJGODT0G5Z4TTKYMMUX1","GSON1263100001")</f>
        <v>#NAME?</v>
      </c>
      <c r="V2750" s="23" t="e">
        <f ca="1">[1]!BexGetData("DP_1","00O2TNJGODT0G5Z4TTKYMN18L","GSON1263100001")</f>
        <v>#NAME?</v>
      </c>
      <c r="W2750" s="28" t="e">
        <f ca="1">[1]!BexGetData("DP_1","00O2TNJGODT0G5Z4TTKYMN7K5","GSON1263100001")</f>
        <v>#NAME?</v>
      </c>
    </row>
    <row r="2751" spans="1:23" x14ac:dyDescent="0.2">
      <c r="A2751" s="35" t="s">
        <v>1387</v>
      </c>
      <c r="B2751" s="27" t="s">
        <v>1388</v>
      </c>
      <c r="C2751" s="28" t="e">
        <f ca="1">[1]!BexGetData("DP_1","003N8EMH8GTFRCSWKMPXRR8GU","GSON1264")</f>
        <v>#NAME?</v>
      </c>
      <c r="D2751" s="28" t="e">
        <f ca="1">[1]!BexGetData("DP_1","003N8EMH8GTFRCSWKMPXRRESE","GSON1264")</f>
        <v>#NAME?</v>
      </c>
      <c r="E2751" s="23" t="e">
        <f ca="1">[1]!BexGetData("DP_1","003N8EMH8GTFRCSWKMPXRRL3Y","GSON1264")</f>
        <v>#NAME?</v>
      </c>
      <c r="F2751" s="23" t="e">
        <f ca="1">[1]!BexGetData("DP_1","003N8EMH8GTFRCSWKMPXRRRFI","GSON1264")</f>
        <v>#NAME?</v>
      </c>
      <c r="G2751" s="28" t="e">
        <f ca="1">[1]!BexGetData("DP_1","003N8EMH8GTFRCSWKMPXRRXR2","GSON1264")</f>
        <v>#NAME?</v>
      </c>
      <c r="H2751" s="28" t="e">
        <f ca="1">[1]!BexGetData("DP_1","003N8EMH8GTFRCSWKMPXRS42M","GSON1264")</f>
        <v>#NAME?</v>
      </c>
      <c r="I2751" s="23" t="e">
        <f ca="1">[1]!BexGetData("DP_1","003N8EMH8GTFRCSWKMPXRSAE6","GSON1264")</f>
        <v>#NAME?</v>
      </c>
      <c r="J2751" s="23" t="e">
        <f ca="1">[1]!BexGetData("DP_1","003N8EMH8GTFRCSWKMPXRSGPQ","GSON1264")</f>
        <v>#NAME?</v>
      </c>
      <c r="K2751" s="28" t="e">
        <f ca="1">[1]!BexGetData("DP_1","003N8EMH8GTFRIVNUPY288VJH","GSON1264")</f>
        <v>#NAME?</v>
      </c>
      <c r="L2751" s="28" t="e">
        <f ca="1">[1]!BexGetData("DP_1","003N8EMH8GTFRIVNUPY2891V1","GSON1264")</f>
        <v>#NAME?</v>
      </c>
      <c r="M2751" s="28" t="e">
        <f ca="1">[1]!BexGetData("DP_1","003N8EMH8GTFRIVOG7KG9IQXA","GSON1264")</f>
        <v>#NAME?</v>
      </c>
      <c r="N2751" s="28" t="e">
        <f ca="1">[1]!BexGetData("DP_1","003N8EMH8GTFRIVOG7KG9IX8U","GSON1264")</f>
        <v>#NAME?</v>
      </c>
      <c r="O2751" s="28" t="e">
        <f ca="1">[1]!BexGetData("DP_1","003N8EMH8GTFRIVOG7KG9J3KE","GSON1264")</f>
        <v>#NAME?</v>
      </c>
      <c r="P2751" s="28" t="e">
        <f ca="1">[1]!BexGetData("DP_1","003N8EMH8GTFRIVOG7KG9J9VY","GSON1264")</f>
        <v>#NAME?</v>
      </c>
      <c r="Q2751" s="23" t="e">
        <f ca="1">[1]!BexGetData("DP_1","00O2TNJGODT0G5Z4TTKYMM5MT","GSON1264")</f>
        <v>#NAME?</v>
      </c>
      <c r="R2751" s="28" t="e">
        <f ca="1">[1]!BexGetData("DP_1","00O2TNJGODT0G5Z4TTKYMMBYD","GSON1264")</f>
        <v>#NAME?</v>
      </c>
      <c r="S2751" s="28" t="e">
        <f ca="1">[1]!BexGetData("DP_1","00O2TNJGODT0G5Z4TTKYMMI9X","GSON1264")</f>
        <v>#NAME?</v>
      </c>
      <c r="T2751" s="28" t="e">
        <f ca="1">[1]!BexGetData("DP_1","00O2TNJGODT0G5Z4TTKYMMOLH","GSON1264")</f>
        <v>#NAME?</v>
      </c>
      <c r="U2751" s="28" t="e">
        <f ca="1">[1]!BexGetData("DP_1","00O2TNJGODT0G5Z4TTKYMMUX1","GSON1264")</f>
        <v>#NAME?</v>
      </c>
      <c r="V2751" s="28" t="e">
        <f ca="1">[1]!BexGetData("DP_1","00O2TNJGODT0G5Z4TTKYMN18L","GSON1264")</f>
        <v>#NAME?</v>
      </c>
      <c r="W2751" s="28" t="e">
        <f ca="1">[1]!BexGetData("DP_1","00O2TNJGODT0G5Z4TTKYMN7K5","GSON1264")</f>
        <v>#NAME?</v>
      </c>
    </row>
    <row r="2752" spans="1:23" x14ac:dyDescent="0.2">
      <c r="A2752" s="36" t="s">
        <v>1389</v>
      </c>
      <c r="B2752" s="27" t="s">
        <v>1390</v>
      </c>
      <c r="C2752" s="28" t="e">
        <f ca="1">[1]!BexGetData("DP_1","003N8EMH8GTFRCSWKMPXRR8GU","GSON1264100001")</f>
        <v>#NAME?</v>
      </c>
      <c r="D2752" s="28" t="e">
        <f ca="1">[1]!BexGetData("DP_1","003N8EMH8GTFRCSWKMPXRRESE","GSON1264100001")</f>
        <v>#NAME?</v>
      </c>
      <c r="E2752" s="23" t="e">
        <f ca="1">[1]!BexGetData("DP_1","003N8EMH8GTFRCSWKMPXRRL3Y","GSON1264100001")</f>
        <v>#NAME?</v>
      </c>
      <c r="F2752" s="23" t="e">
        <f ca="1">[1]!BexGetData("DP_1","003N8EMH8GTFRCSWKMPXRRRFI","GSON1264100001")</f>
        <v>#NAME?</v>
      </c>
      <c r="G2752" s="28" t="e">
        <f ca="1">[1]!BexGetData("DP_1","003N8EMH8GTFRCSWKMPXRRXR2","GSON1264100001")</f>
        <v>#NAME?</v>
      </c>
      <c r="H2752" s="28" t="e">
        <f ca="1">[1]!BexGetData("DP_1","003N8EMH8GTFRCSWKMPXRS42M","GSON1264100001")</f>
        <v>#NAME?</v>
      </c>
      <c r="I2752" s="23" t="e">
        <f ca="1">[1]!BexGetData("DP_1","003N8EMH8GTFRCSWKMPXRSAE6","GSON1264100001")</f>
        <v>#NAME?</v>
      </c>
      <c r="J2752" s="23" t="e">
        <f ca="1">[1]!BexGetData("DP_1","003N8EMH8GTFRCSWKMPXRSGPQ","GSON1264100001")</f>
        <v>#NAME?</v>
      </c>
      <c r="K2752" s="28" t="e">
        <f ca="1">[1]!BexGetData("DP_1","003N8EMH8GTFRIVNUPY288VJH","GSON1264100001")</f>
        <v>#NAME?</v>
      </c>
      <c r="L2752" s="28" t="e">
        <f ca="1">[1]!BexGetData("DP_1","003N8EMH8GTFRIVNUPY2891V1","GSON1264100001")</f>
        <v>#NAME?</v>
      </c>
      <c r="M2752" s="28" t="e">
        <f ca="1">[1]!BexGetData("DP_1","003N8EMH8GTFRIVOG7KG9IQXA","GSON1264100001")</f>
        <v>#NAME?</v>
      </c>
      <c r="N2752" s="28" t="e">
        <f ca="1">[1]!BexGetData("DP_1","003N8EMH8GTFRIVOG7KG9IX8U","GSON1264100001")</f>
        <v>#NAME?</v>
      </c>
      <c r="O2752" s="28" t="e">
        <f ca="1">[1]!BexGetData("DP_1","003N8EMH8GTFRIVOG7KG9J3KE","GSON1264100001")</f>
        <v>#NAME?</v>
      </c>
      <c r="P2752" s="28" t="e">
        <f ca="1">[1]!BexGetData("DP_1","003N8EMH8GTFRIVOG7KG9J9VY","GSON1264100001")</f>
        <v>#NAME?</v>
      </c>
      <c r="Q2752" s="23" t="e">
        <f ca="1">[1]!BexGetData("DP_1","00O2TNJGODT0G5Z4TTKYMM5MT","GSON1264100001")</f>
        <v>#NAME?</v>
      </c>
      <c r="R2752" s="28" t="e">
        <f ca="1">[1]!BexGetData("DP_1","00O2TNJGODT0G5Z4TTKYMMBYD","GSON1264100001")</f>
        <v>#NAME?</v>
      </c>
      <c r="S2752" s="28" t="e">
        <f ca="1">[1]!BexGetData("DP_1","00O2TNJGODT0G5Z4TTKYMMI9X","GSON1264100001")</f>
        <v>#NAME?</v>
      </c>
      <c r="T2752" s="28" t="e">
        <f ca="1">[1]!BexGetData("DP_1","00O2TNJGODT0G5Z4TTKYMMOLH","GSON1264100001")</f>
        <v>#NAME?</v>
      </c>
      <c r="U2752" s="28" t="e">
        <f ca="1">[1]!BexGetData("DP_1","00O2TNJGODT0G5Z4TTKYMMUX1","GSON1264100001")</f>
        <v>#NAME?</v>
      </c>
      <c r="V2752" s="28" t="e">
        <f ca="1">[1]!BexGetData("DP_1","00O2TNJGODT0G5Z4TTKYMN18L","GSON1264100001")</f>
        <v>#NAME?</v>
      </c>
      <c r="W2752" s="28" t="e">
        <f ca="1">[1]!BexGetData("DP_1","00O2TNJGODT0G5Z4TTKYMN7K5","GSON1264100001")</f>
        <v>#NAME?</v>
      </c>
    </row>
    <row r="2753" spans="1:23" x14ac:dyDescent="0.2">
      <c r="A2753" s="35" t="s">
        <v>1391</v>
      </c>
      <c r="B2753" s="27" t="s">
        <v>1392</v>
      </c>
      <c r="C2753" s="23" t="e">
        <f ca="1">[1]!BexGetData("DP_1","003N8EMH8GTFRCSWKMPXRR8GU","GSON1265")</f>
        <v>#NAME?</v>
      </c>
      <c r="D2753" s="23" t="e">
        <f ca="1">[1]!BexGetData("DP_1","003N8EMH8GTFRCSWKMPXRRESE","GSON1265")</f>
        <v>#NAME?</v>
      </c>
      <c r="E2753" s="23" t="e">
        <f ca="1">[1]!BexGetData("DP_1","003N8EMH8GTFRCSWKMPXRRL3Y","GSON1265")</f>
        <v>#NAME?</v>
      </c>
      <c r="F2753" s="23" t="e">
        <f ca="1">[1]!BexGetData("DP_1","003N8EMH8GTFRCSWKMPXRRRFI","GSON1265")</f>
        <v>#NAME?</v>
      </c>
      <c r="G2753" s="23" t="e">
        <f ca="1">[1]!BexGetData("DP_1","003N8EMH8GTFRCSWKMPXRRXR2","GSON1265")</f>
        <v>#NAME?</v>
      </c>
      <c r="H2753" s="23" t="e">
        <f ca="1">[1]!BexGetData("DP_1","003N8EMH8GTFRCSWKMPXRS42M","GSON1265")</f>
        <v>#NAME?</v>
      </c>
      <c r="I2753" s="23" t="e">
        <f ca="1">[1]!BexGetData("DP_1","003N8EMH8GTFRCSWKMPXRSAE6","GSON1265")</f>
        <v>#NAME?</v>
      </c>
      <c r="J2753" s="23" t="e">
        <f ca="1">[1]!BexGetData("DP_1","003N8EMH8GTFRCSWKMPXRSGPQ","GSON1265")</f>
        <v>#NAME?</v>
      </c>
      <c r="K2753" s="23" t="e">
        <f ca="1">[1]!BexGetData("DP_1","003N8EMH8GTFRIVNUPY288VJH","GSON1265")</f>
        <v>#NAME?</v>
      </c>
      <c r="L2753" s="23" t="e">
        <f ca="1">[1]!BexGetData("DP_1","003N8EMH8GTFRIVNUPY2891V1","GSON1265")</f>
        <v>#NAME?</v>
      </c>
      <c r="M2753" s="23" t="e">
        <f ca="1">[1]!BexGetData("DP_1","003N8EMH8GTFRIVOG7KG9IQXA","GSON1265")</f>
        <v>#NAME?</v>
      </c>
      <c r="N2753" s="28" t="e">
        <f ca="1">[1]!BexGetData("DP_1","003N8EMH8GTFRIVOG7KG9IX8U","GSON1265")</f>
        <v>#NAME?</v>
      </c>
      <c r="O2753" s="23" t="e">
        <f ca="1">[1]!BexGetData("DP_1","003N8EMH8GTFRIVOG7KG9J3KE","GSON1265")</f>
        <v>#NAME?</v>
      </c>
      <c r="P2753" s="28" t="e">
        <f ca="1">[1]!BexGetData("DP_1","003N8EMH8GTFRIVOG7KG9J9VY","GSON1265")</f>
        <v>#NAME?</v>
      </c>
      <c r="Q2753" s="23" t="e">
        <f ca="1">[1]!BexGetData("DP_1","00O2TNJGODT0G5Z4TTKYMM5MT","GSON1265")</f>
        <v>#NAME?</v>
      </c>
      <c r="R2753" s="23" t="e">
        <f ca="1">[1]!BexGetData("DP_1","00O2TNJGODT0G5Z4TTKYMMBYD","GSON1265")</f>
        <v>#NAME?</v>
      </c>
      <c r="S2753" s="23" t="e">
        <f ca="1">[1]!BexGetData("DP_1","00O2TNJGODT0G5Z4TTKYMMI9X","GSON1265")</f>
        <v>#NAME?</v>
      </c>
      <c r="T2753" s="23" t="e">
        <f ca="1">[1]!BexGetData("DP_1","00O2TNJGODT0G5Z4TTKYMMOLH","GSON1265")</f>
        <v>#NAME?</v>
      </c>
      <c r="U2753" s="28" t="e">
        <f ca="1">[1]!BexGetData("DP_1","00O2TNJGODT0G5Z4TTKYMMUX1","GSON1265")</f>
        <v>#NAME?</v>
      </c>
      <c r="V2753" s="23" t="e">
        <f ca="1">[1]!BexGetData("DP_1","00O2TNJGODT0G5Z4TTKYMN18L","GSON1265")</f>
        <v>#NAME?</v>
      </c>
      <c r="W2753" s="28" t="e">
        <f ca="1">[1]!BexGetData("DP_1","00O2TNJGODT0G5Z4TTKYMN7K5","GSON1265")</f>
        <v>#NAME?</v>
      </c>
    </row>
    <row r="2754" spans="1:23" x14ac:dyDescent="0.2">
      <c r="A2754" s="36" t="s">
        <v>1393</v>
      </c>
      <c r="B2754" s="27" t="s">
        <v>1394</v>
      </c>
      <c r="C2754" s="23" t="e">
        <f ca="1">[1]!BexGetData("DP_1","003N8EMH8GTFRCSWKMPXRR8GU","GSON1265100001")</f>
        <v>#NAME?</v>
      </c>
      <c r="D2754" s="23" t="e">
        <f ca="1">[1]!BexGetData("DP_1","003N8EMH8GTFRCSWKMPXRRESE","GSON1265100001")</f>
        <v>#NAME?</v>
      </c>
      <c r="E2754" s="23" t="e">
        <f ca="1">[1]!BexGetData("DP_1","003N8EMH8GTFRCSWKMPXRRL3Y","GSON1265100001")</f>
        <v>#NAME?</v>
      </c>
      <c r="F2754" s="23" t="e">
        <f ca="1">[1]!BexGetData("DP_1","003N8EMH8GTFRCSWKMPXRRRFI","GSON1265100001")</f>
        <v>#NAME?</v>
      </c>
      <c r="G2754" s="23" t="e">
        <f ca="1">[1]!BexGetData("DP_1","003N8EMH8GTFRCSWKMPXRRXR2","GSON1265100001")</f>
        <v>#NAME?</v>
      </c>
      <c r="H2754" s="23" t="e">
        <f ca="1">[1]!BexGetData("DP_1","003N8EMH8GTFRCSWKMPXRS42M","GSON1265100001")</f>
        <v>#NAME?</v>
      </c>
      <c r="I2754" s="23" t="e">
        <f ca="1">[1]!BexGetData("DP_1","003N8EMH8GTFRCSWKMPXRSAE6","GSON1265100001")</f>
        <v>#NAME?</v>
      </c>
      <c r="J2754" s="23" t="e">
        <f ca="1">[1]!BexGetData("DP_1","003N8EMH8GTFRCSWKMPXRSGPQ","GSON1265100001")</f>
        <v>#NAME?</v>
      </c>
      <c r="K2754" s="23" t="e">
        <f ca="1">[1]!BexGetData("DP_1","003N8EMH8GTFRIVNUPY288VJH","GSON1265100001")</f>
        <v>#NAME?</v>
      </c>
      <c r="L2754" s="23" t="e">
        <f ca="1">[1]!BexGetData("DP_1","003N8EMH8GTFRIVNUPY2891V1","GSON1265100001")</f>
        <v>#NAME?</v>
      </c>
      <c r="M2754" s="23" t="e">
        <f ca="1">[1]!BexGetData("DP_1","003N8EMH8GTFRIVOG7KG9IQXA","GSON1265100001")</f>
        <v>#NAME?</v>
      </c>
      <c r="N2754" s="28" t="e">
        <f ca="1">[1]!BexGetData("DP_1","003N8EMH8GTFRIVOG7KG9IX8U","GSON1265100001")</f>
        <v>#NAME?</v>
      </c>
      <c r="O2754" s="23" t="e">
        <f ca="1">[1]!BexGetData("DP_1","003N8EMH8GTFRIVOG7KG9J3KE","GSON1265100001")</f>
        <v>#NAME?</v>
      </c>
      <c r="P2754" s="28" t="e">
        <f ca="1">[1]!BexGetData("DP_1","003N8EMH8GTFRIVOG7KG9J9VY","GSON1265100001")</f>
        <v>#NAME?</v>
      </c>
      <c r="Q2754" s="23" t="e">
        <f ca="1">[1]!BexGetData("DP_1","00O2TNJGODT0G5Z4TTKYMM5MT","GSON1265100001")</f>
        <v>#NAME?</v>
      </c>
      <c r="R2754" s="23" t="e">
        <f ca="1">[1]!BexGetData("DP_1","00O2TNJGODT0G5Z4TTKYMMBYD","GSON1265100001")</f>
        <v>#NAME?</v>
      </c>
      <c r="S2754" s="23" t="e">
        <f ca="1">[1]!BexGetData("DP_1","00O2TNJGODT0G5Z4TTKYMMI9X","GSON1265100001")</f>
        <v>#NAME?</v>
      </c>
      <c r="T2754" s="23" t="e">
        <f ca="1">[1]!BexGetData("DP_1","00O2TNJGODT0G5Z4TTKYMMOLH","GSON1265100001")</f>
        <v>#NAME?</v>
      </c>
      <c r="U2754" s="28" t="e">
        <f ca="1">[1]!BexGetData("DP_1","00O2TNJGODT0G5Z4TTKYMMUX1","GSON1265100001")</f>
        <v>#NAME?</v>
      </c>
      <c r="V2754" s="23" t="e">
        <f ca="1">[1]!BexGetData("DP_1","00O2TNJGODT0G5Z4TTKYMN18L","GSON1265100001")</f>
        <v>#NAME?</v>
      </c>
      <c r="W2754" s="28" t="e">
        <f ca="1">[1]!BexGetData("DP_1","00O2TNJGODT0G5Z4TTKYMN7K5","GSON1265100001")</f>
        <v>#NAME?</v>
      </c>
    </row>
    <row r="2755" spans="1:23" x14ac:dyDescent="0.2">
      <c r="A2755" s="34" t="s">
        <v>11</v>
      </c>
      <c r="B2755" s="27" t="s">
        <v>1395</v>
      </c>
      <c r="C2755" s="28" t="e">
        <f ca="1">[1]!BexGetData("DP_1","003N8EMH8GTFRCSWKMPXRR8GU","GSON127")</f>
        <v>#NAME?</v>
      </c>
      <c r="D2755" s="28" t="e">
        <f ca="1">[1]!BexGetData("DP_1","003N8EMH8GTFRCSWKMPXRRESE","GSON127")</f>
        <v>#NAME?</v>
      </c>
      <c r="E2755" s="23" t="e">
        <f ca="1">[1]!BexGetData("DP_1","003N8EMH8GTFRCSWKMPXRRL3Y","GSON127")</f>
        <v>#NAME?</v>
      </c>
      <c r="F2755" s="23" t="e">
        <f ca="1">[1]!BexGetData("DP_1","003N8EMH8GTFRCSWKMPXRRRFI","GSON127")</f>
        <v>#NAME?</v>
      </c>
      <c r="G2755" s="28" t="e">
        <f ca="1">[1]!BexGetData("DP_1","003N8EMH8GTFRCSWKMPXRRXR2","GSON127")</f>
        <v>#NAME?</v>
      </c>
      <c r="H2755" s="28" t="e">
        <f ca="1">[1]!BexGetData("DP_1","003N8EMH8GTFRCSWKMPXRS42M","GSON127")</f>
        <v>#NAME?</v>
      </c>
      <c r="I2755" s="23" t="e">
        <f ca="1">[1]!BexGetData("DP_1","003N8EMH8GTFRCSWKMPXRSAE6","GSON127")</f>
        <v>#NAME?</v>
      </c>
      <c r="J2755" s="23" t="e">
        <f ca="1">[1]!BexGetData("DP_1","003N8EMH8GTFRCSWKMPXRSGPQ","GSON127")</f>
        <v>#NAME?</v>
      </c>
      <c r="K2755" s="28" t="e">
        <f ca="1">[1]!BexGetData("DP_1","003N8EMH8GTFRIVNUPY288VJH","GSON127")</f>
        <v>#NAME?</v>
      </c>
      <c r="L2755" s="28" t="e">
        <f ca="1">[1]!BexGetData("DP_1","003N8EMH8GTFRIVNUPY2891V1","GSON127")</f>
        <v>#NAME?</v>
      </c>
      <c r="M2755" s="28" t="e">
        <f ca="1">[1]!BexGetData("DP_1","003N8EMH8GTFRIVOG7KG9IQXA","GSON127")</f>
        <v>#NAME?</v>
      </c>
      <c r="N2755" s="28" t="e">
        <f ca="1">[1]!BexGetData("DP_1","003N8EMH8GTFRIVOG7KG9IX8U","GSON127")</f>
        <v>#NAME?</v>
      </c>
      <c r="O2755" s="28" t="e">
        <f ca="1">[1]!BexGetData("DP_1","003N8EMH8GTFRIVOG7KG9J3KE","GSON127")</f>
        <v>#NAME?</v>
      </c>
      <c r="P2755" s="28" t="e">
        <f ca="1">[1]!BexGetData("DP_1","003N8EMH8GTFRIVOG7KG9J9VY","GSON127")</f>
        <v>#NAME?</v>
      </c>
      <c r="Q2755" s="23" t="e">
        <f ca="1">[1]!BexGetData("DP_1","00O2TNJGODT0G5Z4TTKYMM5MT","GSON127")</f>
        <v>#NAME?</v>
      </c>
      <c r="R2755" s="28" t="e">
        <f ca="1">[1]!BexGetData("DP_1","00O2TNJGODT0G5Z4TTKYMMBYD","GSON127")</f>
        <v>#NAME?</v>
      </c>
      <c r="S2755" s="28" t="e">
        <f ca="1">[1]!BexGetData("DP_1","00O2TNJGODT0G5Z4TTKYMMI9X","GSON127")</f>
        <v>#NAME?</v>
      </c>
      <c r="T2755" s="28" t="e">
        <f ca="1">[1]!BexGetData("DP_1","00O2TNJGODT0G5Z4TTKYMMOLH","GSON127")</f>
        <v>#NAME?</v>
      </c>
      <c r="U2755" s="28" t="e">
        <f ca="1">[1]!BexGetData("DP_1","00O2TNJGODT0G5Z4TTKYMMUX1","GSON127")</f>
        <v>#NAME?</v>
      </c>
      <c r="V2755" s="28" t="e">
        <f ca="1">[1]!BexGetData("DP_1","00O2TNJGODT0G5Z4TTKYMN18L","GSON127")</f>
        <v>#NAME?</v>
      </c>
      <c r="W2755" s="28" t="e">
        <f ca="1">[1]!BexGetData("DP_1","00O2TNJGODT0G5Z4TTKYMN7K5","GSON127")</f>
        <v>#NAME?</v>
      </c>
    </row>
    <row r="2756" spans="1:23" x14ac:dyDescent="0.2">
      <c r="A2756" s="35" t="s">
        <v>1396</v>
      </c>
      <c r="B2756" s="27" t="s">
        <v>1397</v>
      </c>
      <c r="C2756" s="28" t="e">
        <f ca="1">[1]!BexGetData("DP_1","003N8EMH8GTFRCSWKMPXRR8GU","GSON1271")</f>
        <v>#NAME?</v>
      </c>
      <c r="D2756" s="28" t="e">
        <f ca="1">[1]!BexGetData("DP_1","003N8EMH8GTFRCSWKMPXRRESE","GSON1271")</f>
        <v>#NAME?</v>
      </c>
      <c r="E2756" s="23" t="e">
        <f ca="1">[1]!BexGetData("DP_1","003N8EMH8GTFRCSWKMPXRRL3Y","GSON1271")</f>
        <v>#NAME?</v>
      </c>
      <c r="F2756" s="23" t="e">
        <f ca="1">[1]!BexGetData("DP_1","003N8EMH8GTFRCSWKMPXRRRFI","GSON1271")</f>
        <v>#NAME?</v>
      </c>
      <c r="G2756" s="28" t="e">
        <f ca="1">[1]!BexGetData("DP_1","003N8EMH8GTFRCSWKMPXRRXR2","GSON1271")</f>
        <v>#NAME?</v>
      </c>
      <c r="H2756" s="28" t="e">
        <f ca="1">[1]!BexGetData("DP_1","003N8EMH8GTFRCSWKMPXRS42M","GSON1271")</f>
        <v>#NAME?</v>
      </c>
      <c r="I2756" s="23" t="e">
        <f ca="1">[1]!BexGetData("DP_1","003N8EMH8GTFRCSWKMPXRSAE6","GSON1271")</f>
        <v>#NAME?</v>
      </c>
      <c r="J2756" s="23" t="e">
        <f ca="1">[1]!BexGetData("DP_1","003N8EMH8GTFRCSWKMPXRSGPQ","GSON1271")</f>
        <v>#NAME?</v>
      </c>
      <c r="K2756" s="28" t="e">
        <f ca="1">[1]!BexGetData("DP_1","003N8EMH8GTFRIVNUPY288VJH","GSON1271")</f>
        <v>#NAME?</v>
      </c>
      <c r="L2756" s="28" t="e">
        <f ca="1">[1]!BexGetData("DP_1","003N8EMH8GTFRIVNUPY2891V1","GSON1271")</f>
        <v>#NAME?</v>
      </c>
      <c r="M2756" s="28" t="e">
        <f ca="1">[1]!BexGetData("DP_1","003N8EMH8GTFRIVOG7KG9IQXA","GSON1271")</f>
        <v>#NAME?</v>
      </c>
      <c r="N2756" s="28" t="e">
        <f ca="1">[1]!BexGetData("DP_1","003N8EMH8GTFRIVOG7KG9IX8U","GSON1271")</f>
        <v>#NAME?</v>
      </c>
      <c r="O2756" s="28" t="e">
        <f ca="1">[1]!BexGetData("DP_1","003N8EMH8GTFRIVOG7KG9J3KE","GSON1271")</f>
        <v>#NAME?</v>
      </c>
      <c r="P2756" s="28" t="e">
        <f ca="1">[1]!BexGetData("DP_1","003N8EMH8GTFRIVOG7KG9J9VY","GSON1271")</f>
        <v>#NAME?</v>
      </c>
      <c r="Q2756" s="23" t="e">
        <f ca="1">[1]!BexGetData("DP_1","00O2TNJGODT0G5Z4TTKYMM5MT","GSON1271")</f>
        <v>#NAME?</v>
      </c>
      <c r="R2756" s="28" t="e">
        <f ca="1">[1]!BexGetData("DP_1","00O2TNJGODT0G5Z4TTKYMMBYD","GSON1271")</f>
        <v>#NAME?</v>
      </c>
      <c r="S2756" s="28" t="e">
        <f ca="1">[1]!BexGetData("DP_1","00O2TNJGODT0G5Z4TTKYMMI9X","GSON1271")</f>
        <v>#NAME?</v>
      </c>
      <c r="T2756" s="28" t="e">
        <f ca="1">[1]!BexGetData("DP_1","00O2TNJGODT0G5Z4TTKYMMOLH","GSON1271")</f>
        <v>#NAME?</v>
      </c>
      <c r="U2756" s="28" t="e">
        <f ca="1">[1]!BexGetData("DP_1","00O2TNJGODT0G5Z4TTKYMMUX1","GSON1271")</f>
        <v>#NAME?</v>
      </c>
      <c r="V2756" s="28" t="e">
        <f ca="1">[1]!BexGetData("DP_1","00O2TNJGODT0G5Z4TTKYMN18L","GSON1271")</f>
        <v>#NAME?</v>
      </c>
      <c r="W2756" s="28" t="e">
        <f ca="1">[1]!BexGetData("DP_1","00O2TNJGODT0G5Z4TTKYMN7K5","GSON1271")</f>
        <v>#NAME?</v>
      </c>
    </row>
    <row r="2757" spans="1:23" x14ac:dyDescent="0.2">
      <c r="A2757" s="36" t="s">
        <v>1398</v>
      </c>
      <c r="B2757" s="27" t="s">
        <v>1399</v>
      </c>
      <c r="C2757" s="28" t="e">
        <f ca="1">[1]!BexGetData("DP_1","003N8EMH8GTFRCSWKMPXRR8GU","GSON1271163000")</f>
        <v>#NAME?</v>
      </c>
      <c r="D2757" s="28" t="e">
        <f ca="1">[1]!BexGetData("DP_1","003N8EMH8GTFRCSWKMPXRRESE","GSON1271163000")</f>
        <v>#NAME?</v>
      </c>
      <c r="E2757" s="23" t="e">
        <f ca="1">[1]!BexGetData("DP_1","003N8EMH8GTFRCSWKMPXRRL3Y","GSON1271163000")</f>
        <v>#NAME?</v>
      </c>
      <c r="F2757" s="23" t="e">
        <f ca="1">[1]!BexGetData("DP_1","003N8EMH8GTFRCSWKMPXRRRFI","GSON1271163000")</f>
        <v>#NAME?</v>
      </c>
      <c r="G2757" s="28" t="e">
        <f ca="1">[1]!BexGetData("DP_1","003N8EMH8GTFRCSWKMPXRRXR2","GSON1271163000")</f>
        <v>#NAME?</v>
      </c>
      <c r="H2757" s="28" t="e">
        <f ca="1">[1]!BexGetData("DP_1","003N8EMH8GTFRCSWKMPXRS42M","GSON1271163000")</f>
        <v>#NAME?</v>
      </c>
      <c r="I2757" s="23" t="e">
        <f ca="1">[1]!BexGetData("DP_1","003N8EMH8GTFRCSWKMPXRSAE6","GSON1271163000")</f>
        <v>#NAME?</v>
      </c>
      <c r="J2757" s="23" t="e">
        <f ca="1">[1]!BexGetData("DP_1","003N8EMH8GTFRCSWKMPXRSGPQ","GSON1271163000")</f>
        <v>#NAME?</v>
      </c>
      <c r="K2757" s="28" t="e">
        <f ca="1">[1]!BexGetData("DP_1","003N8EMH8GTFRIVNUPY288VJH","GSON1271163000")</f>
        <v>#NAME?</v>
      </c>
      <c r="L2757" s="28" t="e">
        <f ca="1">[1]!BexGetData("DP_1","003N8EMH8GTFRIVNUPY2891V1","GSON1271163000")</f>
        <v>#NAME?</v>
      </c>
      <c r="M2757" s="28" t="e">
        <f ca="1">[1]!BexGetData("DP_1","003N8EMH8GTFRIVOG7KG9IQXA","GSON1271163000")</f>
        <v>#NAME?</v>
      </c>
      <c r="N2757" s="28" t="e">
        <f ca="1">[1]!BexGetData("DP_1","003N8EMH8GTFRIVOG7KG9IX8U","GSON1271163000")</f>
        <v>#NAME?</v>
      </c>
      <c r="O2757" s="28" t="e">
        <f ca="1">[1]!BexGetData("DP_1","003N8EMH8GTFRIVOG7KG9J3KE","GSON1271163000")</f>
        <v>#NAME?</v>
      </c>
      <c r="P2757" s="28" t="e">
        <f ca="1">[1]!BexGetData("DP_1","003N8EMH8GTFRIVOG7KG9J9VY","GSON1271163000")</f>
        <v>#NAME?</v>
      </c>
      <c r="Q2757" s="23" t="e">
        <f ca="1">[1]!BexGetData("DP_1","00O2TNJGODT0G5Z4TTKYMM5MT","GSON1271163000")</f>
        <v>#NAME?</v>
      </c>
      <c r="R2757" s="28" t="e">
        <f ca="1">[1]!BexGetData("DP_1","00O2TNJGODT0G5Z4TTKYMMBYD","GSON1271163000")</f>
        <v>#NAME?</v>
      </c>
      <c r="S2757" s="28" t="e">
        <f ca="1">[1]!BexGetData("DP_1","00O2TNJGODT0G5Z4TTKYMMI9X","GSON1271163000")</f>
        <v>#NAME?</v>
      </c>
      <c r="T2757" s="28" t="e">
        <f ca="1">[1]!BexGetData("DP_1","00O2TNJGODT0G5Z4TTKYMMOLH","GSON1271163000")</f>
        <v>#NAME?</v>
      </c>
      <c r="U2757" s="28" t="e">
        <f ca="1">[1]!BexGetData("DP_1","00O2TNJGODT0G5Z4TTKYMMUX1","GSON1271163000")</f>
        <v>#NAME?</v>
      </c>
      <c r="V2757" s="28" t="e">
        <f ca="1">[1]!BexGetData("DP_1","00O2TNJGODT0G5Z4TTKYMN18L","GSON1271163000")</f>
        <v>#NAME?</v>
      </c>
      <c r="W2757" s="28" t="e">
        <f ca="1">[1]!BexGetData("DP_1","00O2TNJGODT0G5Z4TTKYMN7K5","GSON1271163000")</f>
        <v>#NAME?</v>
      </c>
    </row>
    <row r="2758" spans="1:23" x14ac:dyDescent="0.2">
      <c r="A2758" s="34" t="s">
        <v>88</v>
      </c>
      <c r="B2758" s="27" t="s">
        <v>89</v>
      </c>
      <c r="C2758" s="28" t="e">
        <f ca="1">[1]!BexGetData("DP_1","003N8EMH8GTFRCSWKMPXRR8GU","GSON129")</f>
        <v>#NAME?</v>
      </c>
      <c r="D2758" s="28" t="e">
        <f ca="1">[1]!BexGetData("DP_1","003N8EMH8GTFRCSWKMPXRRESE","GSON129")</f>
        <v>#NAME?</v>
      </c>
      <c r="E2758" s="23" t="e">
        <f ca="1">[1]!BexGetData("DP_1","003N8EMH8GTFRCSWKMPXRRL3Y","GSON129")</f>
        <v>#NAME?</v>
      </c>
      <c r="F2758" s="23" t="e">
        <f ca="1">[1]!BexGetData("DP_1","003N8EMH8GTFRCSWKMPXRRRFI","GSON129")</f>
        <v>#NAME?</v>
      </c>
      <c r="G2758" s="28" t="e">
        <f ca="1">[1]!BexGetData("DP_1","003N8EMH8GTFRCSWKMPXRRXR2","GSON129")</f>
        <v>#NAME?</v>
      </c>
      <c r="H2758" s="28" t="e">
        <f ca="1">[1]!BexGetData("DP_1","003N8EMH8GTFRCSWKMPXRS42M","GSON129")</f>
        <v>#NAME?</v>
      </c>
      <c r="I2758" s="23" t="e">
        <f ca="1">[1]!BexGetData("DP_1","003N8EMH8GTFRCSWKMPXRSAE6","GSON129")</f>
        <v>#NAME?</v>
      </c>
      <c r="J2758" s="23" t="e">
        <f ca="1">[1]!BexGetData("DP_1","003N8EMH8GTFRCSWKMPXRSGPQ","GSON129")</f>
        <v>#NAME?</v>
      </c>
      <c r="K2758" s="28" t="e">
        <f ca="1">[1]!BexGetData("DP_1","003N8EMH8GTFRIVNUPY288VJH","GSON129")</f>
        <v>#NAME?</v>
      </c>
      <c r="L2758" s="28" t="e">
        <f ca="1">[1]!BexGetData("DP_1","003N8EMH8GTFRIVNUPY2891V1","GSON129")</f>
        <v>#NAME?</v>
      </c>
      <c r="M2758" s="28" t="e">
        <f ca="1">[1]!BexGetData("DP_1","003N8EMH8GTFRIVOG7KG9IQXA","GSON129")</f>
        <v>#NAME?</v>
      </c>
      <c r="N2758" s="28" t="e">
        <f ca="1">[1]!BexGetData("DP_1","003N8EMH8GTFRIVOG7KG9IX8U","GSON129")</f>
        <v>#NAME?</v>
      </c>
      <c r="O2758" s="28" t="e">
        <f ca="1">[1]!BexGetData("DP_1","003N8EMH8GTFRIVOG7KG9J3KE","GSON129")</f>
        <v>#NAME?</v>
      </c>
      <c r="P2758" s="28" t="e">
        <f ca="1">[1]!BexGetData("DP_1","003N8EMH8GTFRIVOG7KG9J9VY","GSON129")</f>
        <v>#NAME?</v>
      </c>
      <c r="Q2758" s="23" t="e">
        <f ca="1">[1]!BexGetData("DP_1","00O2TNJGODT0G5Z4TTKYMM5MT","GSON129")</f>
        <v>#NAME?</v>
      </c>
      <c r="R2758" s="28" t="e">
        <f ca="1">[1]!BexGetData("DP_1","00O2TNJGODT0G5Z4TTKYMMBYD","GSON129")</f>
        <v>#NAME?</v>
      </c>
      <c r="S2758" s="28" t="e">
        <f ca="1">[1]!BexGetData("DP_1","00O2TNJGODT0G5Z4TTKYMMI9X","GSON129")</f>
        <v>#NAME?</v>
      </c>
      <c r="T2758" s="28" t="e">
        <f ca="1">[1]!BexGetData("DP_1","00O2TNJGODT0G5Z4TTKYMMOLH","GSON129")</f>
        <v>#NAME?</v>
      </c>
      <c r="U2758" s="28" t="e">
        <f ca="1">[1]!BexGetData("DP_1","00O2TNJGODT0G5Z4TTKYMMUX1","GSON129")</f>
        <v>#NAME?</v>
      </c>
      <c r="V2758" s="28" t="e">
        <f ca="1">[1]!BexGetData("DP_1","00O2TNJGODT0G5Z4TTKYMN18L","GSON129")</f>
        <v>#NAME?</v>
      </c>
      <c r="W2758" s="28" t="e">
        <f ca="1">[1]!BexGetData("DP_1","00O2TNJGODT0G5Z4TTKYMN7K5","GSON129")</f>
        <v>#NAME?</v>
      </c>
    </row>
    <row r="2759" spans="1:23" x14ac:dyDescent="0.2">
      <c r="A2759" s="35" t="s">
        <v>473</v>
      </c>
      <c r="B2759" s="27" t="s">
        <v>474</v>
      </c>
      <c r="C2759" s="28" t="e">
        <f ca="1">[1]!BexGetData("DP_1","003N8EMH8GTFRCSWKMPXRR8GU","GSON1293")</f>
        <v>#NAME?</v>
      </c>
      <c r="D2759" s="28" t="e">
        <f ca="1">[1]!BexGetData("DP_1","003N8EMH8GTFRCSWKMPXRRESE","GSON1293")</f>
        <v>#NAME?</v>
      </c>
      <c r="E2759" s="23" t="e">
        <f ca="1">[1]!BexGetData("DP_1","003N8EMH8GTFRCSWKMPXRRL3Y","GSON1293")</f>
        <v>#NAME?</v>
      </c>
      <c r="F2759" s="23" t="e">
        <f ca="1">[1]!BexGetData("DP_1","003N8EMH8GTFRCSWKMPXRRRFI","GSON1293")</f>
        <v>#NAME?</v>
      </c>
      <c r="G2759" s="28" t="e">
        <f ca="1">[1]!BexGetData("DP_1","003N8EMH8GTFRCSWKMPXRRXR2","GSON1293")</f>
        <v>#NAME?</v>
      </c>
      <c r="H2759" s="28" t="e">
        <f ca="1">[1]!BexGetData("DP_1","003N8EMH8GTFRCSWKMPXRS42M","GSON1293")</f>
        <v>#NAME?</v>
      </c>
      <c r="I2759" s="23" t="e">
        <f ca="1">[1]!BexGetData("DP_1","003N8EMH8GTFRCSWKMPXRSAE6","GSON1293")</f>
        <v>#NAME?</v>
      </c>
      <c r="J2759" s="23" t="e">
        <f ca="1">[1]!BexGetData("DP_1","003N8EMH8GTFRCSWKMPXRSGPQ","GSON1293")</f>
        <v>#NAME?</v>
      </c>
      <c r="K2759" s="28" t="e">
        <f ca="1">[1]!BexGetData("DP_1","003N8EMH8GTFRIVNUPY288VJH","GSON1293")</f>
        <v>#NAME?</v>
      </c>
      <c r="L2759" s="28" t="e">
        <f ca="1">[1]!BexGetData("DP_1","003N8EMH8GTFRIVNUPY2891V1","GSON1293")</f>
        <v>#NAME?</v>
      </c>
      <c r="M2759" s="28" t="e">
        <f ca="1">[1]!BexGetData("DP_1","003N8EMH8GTFRIVOG7KG9IQXA","GSON1293")</f>
        <v>#NAME?</v>
      </c>
      <c r="N2759" s="28" t="e">
        <f ca="1">[1]!BexGetData("DP_1","003N8EMH8GTFRIVOG7KG9IX8U","GSON1293")</f>
        <v>#NAME?</v>
      </c>
      <c r="O2759" s="28" t="e">
        <f ca="1">[1]!BexGetData("DP_1","003N8EMH8GTFRIVOG7KG9J3KE","GSON1293")</f>
        <v>#NAME?</v>
      </c>
      <c r="P2759" s="28" t="e">
        <f ca="1">[1]!BexGetData("DP_1","003N8EMH8GTFRIVOG7KG9J9VY","GSON1293")</f>
        <v>#NAME?</v>
      </c>
      <c r="Q2759" s="23" t="e">
        <f ca="1">[1]!BexGetData("DP_1","00O2TNJGODT0G5Z4TTKYMM5MT","GSON1293")</f>
        <v>#NAME?</v>
      </c>
      <c r="R2759" s="28" t="e">
        <f ca="1">[1]!BexGetData("DP_1","00O2TNJGODT0G5Z4TTKYMMBYD","GSON1293")</f>
        <v>#NAME?</v>
      </c>
      <c r="S2759" s="28" t="e">
        <f ca="1">[1]!BexGetData("DP_1","00O2TNJGODT0G5Z4TTKYMMI9X","GSON1293")</f>
        <v>#NAME?</v>
      </c>
      <c r="T2759" s="28" t="e">
        <f ca="1">[1]!BexGetData("DP_1","00O2TNJGODT0G5Z4TTKYMMOLH","GSON1293")</f>
        <v>#NAME?</v>
      </c>
      <c r="U2759" s="28" t="e">
        <f ca="1">[1]!BexGetData("DP_1","00O2TNJGODT0G5Z4TTKYMMUX1","GSON1293")</f>
        <v>#NAME?</v>
      </c>
      <c r="V2759" s="28" t="e">
        <f ca="1">[1]!BexGetData("DP_1","00O2TNJGODT0G5Z4TTKYMN18L","GSON1293")</f>
        <v>#NAME?</v>
      </c>
      <c r="W2759" s="28" t="e">
        <f ca="1">[1]!BexGetData("DP_1","00O2TNJGODT0G5Z4TTKYMN7K5","GSON1293")</f>
        <v>#NAME?</v>
      </c>
    </row>
    <row r="2760" spans="1:23" x14ac:dyDescent="0.2">
      <c r="A2760" s="36" t="s">
        <v>1400</v>
      </c>
      <c r="B2760" s="27" t="s">
        <v>475</v>
      </c>
      <c r="C2760" s="28" t="e">
        <f ca="1">[1]!BexGetData("DP_1","003N8EMH8GTFRCSWKMPXRR8GU","GSON1293100001")</f>
        <v>#NAME?</v>
      </c>
      <c r="D2760" s="28" t="e">
        <f ca="1">[1]!BexGetData("DP_1","003N8EMH8GTFRCSWKMPXRRESE","GSON1293100001")</f>
        <v>#NAME?</v>
      </c>
      <c r="E2760" s="23" t="e">
        <f ca="1">[1]!BexGetData("DP_1","003N8EMH8GTFRCSWKMPXRRL3Y","GSON1293100001")</f>
        <v>#NAME?</v>
      </c>
      <c r="F2760" s="23" t="e">
        <f ca="1">[1]!BexGetData("DP_1","003N8EMH8GTFRCSWKMPXRRRFI","GSON1293100001")</f>
        <v>#NAME?</v>
      </c>
      <c r="G2760" s="28" t="e">
        <f ca="1">[1]!BexGetData("DP_1","003N8EMH8GTFRCSWKMPXRRXR2","GSON1293100001")</f>
        <v>#NAME?</v>
      </c>
      <c r="H2760" s="28" t="e">
        <f ca="1">[1]!BexGetData("DP_1","003N8EMH8GTFRCSWKMPXRS42M","GSON1293100001")</f>
        <v>#NAME?</v>
      </c>
      <c r="I2760" s="23" t="e">
        <f ca="1">[1]!BexGetData("DP_1","003N8EMH8GTFRCSWKMPXRSAE6","GSON1293100001")</f>
        <v>#NAME?</v>
      </c>
      <c r="J2760" s="23" t="e">
        <f ca="1">[1]!BexGetData("DP_1","003N8EMH8GTFRCSWKMPXRSGPQ","GSON1293100001")</f>
        <v>#NAME?</v>
      </c>
      <c r="K2760" s="28" t="e">
        <f ca="1">[1]!BexGetData("DP_1","003N8EMH8GTFRIVNUPY288VJH","GSON1293100001")</f>
        <v>#NAME?</v>
      </c>
      <c r="L2760" s="28" t="e">
        <f ca="1">[1]!BexGetData("DP_1","003N8EMH8GTFRIVNUPY2891V1","GSON1293100001")</f>
        <v>#NAME?</v>
      </c>
      <c r="M2760" s="28" t="e">
        <f ca="1">[1]!BexGetData("DP_1","003N8EMH8GTFRIVOG7KG9IQXA","GSON1293100001")</f>
        <v>#NAME?</v>
      </c>
      <c r="N2760" s="28" t="e">
        <f ca="1">[1]!BexGetData("DP_1","003N8EMH8GTFRIVOG7KG9IX8U","GSON1293100001")</f>
        <v>#NAME?</v>
      </c>
      <c r="O2760" s="28" t="e">
        <f ca="1">[1]!BexGetData("DP_1","003N8EMH8GTFRIVOG7KG9J3KE","GSON1293100001")</f>
        <v>#NAME?</v>
      </c>
      <c r="P2760" s="28" t="e">
        <f ca="1">[1]!BexGetData("DP_1","003N8EMH8GTFRIVOG7KG9J9VY","GSON1293100001")</f>
        <v>#NAME?</v>
      </c>
      <c r="Q2760" s="23" t="e">
        <f ca="1">[1]!BexGetData("DP_1","00O2TNJGODT0G5Z4TTKYMM5MT","GSON1293100001")</f>
        <v>#NAME?</v>
      </c>
      <c r="R2760" s="28" t="e">
        <f ca="1">[1]!BexGetData("DP_1","00O2TNJGODT0G5Z4TTKYMMBYD","GSON1293100001")</f>
        <v>#NAME?</v>
      </c>
      <c r="S2760" s="28" t="e">
        <f ca="1">[1]!BexGetData("DP_1","00O2TNJGODT0G5Z4TTKYMMI9X","GSON1293100001")</f>
        <v>#NAME?</v>
      </c>
      <c r="T2760" s="28" t="e">
        <f ca="1">[1]!BexGetData("DP_1","00O2TNJGODT0G5Z4TTKYMMOLH","GSON1293100001")</f>
        <v>#NAME?</v>
      </c>
      <c r="U2760" s="28" t="e">
        <f ca="1">[1]!BexGetData("DP_1","00O2TNJGODT0G5Z4TTKYMMUX1","GSON1293100001")</f>
        <v>#NAME?</v>
      </c>
      <c r="V2760" s="28" t="e">
        <f ca="1">[1]!BexGetData("DP_1","00O2TNJGODT0G5Z4TTKYMN18L","GSON1293100001")</f>
        <v>#NAME?</v>
      </c>
      <c r="W2760" s="28" t="e">
        <f ca="1">[1]!BexGetData("DP_1","00O2TNJGODT0G5Z4TTKYMN7K5","GSON1293100001")</f>
        <v>#NAME?</v>
      </c>
    </row>
    <row r="2761" spans="1:23" x14ac:dyDescent="0.2">
      <c r="A2761" s="36" t="s">
        <v>6137</v>
      </c>
      <c r="B2761" s="27" t="s">
        <v>6138</v>
      </c>
      <c r="C2761" s="24" t="e">
        <f ca="1">[1]!BexGetData("DP_1","003N8EMH8GTFRCSWKMPXRR8GU","GSON1293200001")</f>
        <v>#NAME?</v>
      </c>
      <c r="D2761" s="24" t="e">
        <f ca="1">[1]!BexGetData("DP_1","003N8EMH8GTFRCSWKMPXRRESE","GSON1293200001")</f>
        <v>#NAME?</v>
      </c>
      <c r="E2761" s="24" t="e">
        <f ca="1">[1]!BexGetData("DP_1","003N8EMH8GTFRCSWKMPXRRL3Y","GSON1293200001")</f>
        <v>#NAME?</v>
      </c>
      <c r="F2761" s="28" t="e">
        <f ca="1">[1]!BexGetData("DP_1","003N8EMH8GTFRCSWKMPXRRRFI","GSON1293200001")</f>
        <v>#NAME?</v>
      </c>
      <c r="G2761" s="28" t="e">
        <f ca="1">[1]!BexGetData("DP_1","003N8EMH8GTFRCSWKMPXRRXR2","GSON1293200001")</f>
        <v>#NAME?</v>
      </c>
      <c r="H2761" s="28" t="e">
        <f ca="1">[1]!BexGetData("DP_1","003N8EMH8GTFRCSWKMPXRS42M","GSON1293200001")</f>
        <v>#NAME?</v>
      </c>
      <c r="I2761" s="28" t="e">
        <f ca="1">[1]!BexGetData("DP_1","003N8EMH8GTFRCSWKMPXRSAE6","GSON1293200001")</f>
        <v>#NAME?</v>
      </c>
      <c r="J2761" s="28" t="e">
        <f ca="1">[1]!BexGetData("DP_1","003N8EMH8GTFRCSWKMPXRSGPQ","GSON1293200001")</f>
        <v>#NAME?</v>
      </c>
      <c r="K2761" s="28" t="e">
        <f ca="1">[1]!BexGetData("DP_1","003N8EMH8GTFRIVNUPY288VJH","GSON1293200001")</f>
        <v>#NAME?</v>
      </c>
      <c r="L2761" s="28" t="e">
        <f ca="1">[1]!BexGetData("DP_1","003N8EMH8GTFRIVNUPY2891V1","GSON1293200001")</f>
        <v>#NAME?</v>
      </c>
      <c r="M2761" s="28" t="e">
        <f ca="1">[1]!BexGetData("DP_1","003N8EMH8GTFRIVOG7KG9IQXA","GSON1293200001")</f>
        <v>#NAME?</v>
      </c>
      <c r="N2761" s="28" t="e">
        <f ca="1">[1]!BexGetData("DP_1","003N8EMH8GTFRIVOG7KG9IX8U","GSON1293200001")</f>
        <v>#NAME?</v>
      </c>
      <c r="O2761" s="28" t="e">
        <f ca="1">[1]!BexGetData("DP_1","003N8EMH8GTFRIVOG7KG9J3KE","GSON1293200001")</f>
        <v>#NAME?</v>
      </c>
      <c r="P2761" s="28" t="e">
        <f ca="1">[1]!BexGetData("DP_1","003N8EMH8GTFRIVOG7KG9J9VY","GSON1293200001")</f>
        <v>#NAME?</v>
      </c>
      <c r="Q2761" s="28" t="e">
        <f ca="1">[1]!BexGetData("DP_1","00O2TNJGODT0G5Z4TTKYMM5MT","GSON1293200001")</f>
        <v>#NAME?</v>
      </c>
      <c r="R2761" s="28" t="e">
        <f ca="1">[1]!BexGetData("DP_1","00O2TNJGODT0G5Z4TTKYMMBYD","GSON1293200001")</f>
        <v>#NAME?</v>
      </c>
      <c r="S2761" s="28" t="e">
        <f ca="1">[1]!BexGetData("DP_1","00O2TNJGODT0G5Z4TTKYMMI9X","GSON1293200001")</f>
        <v>#NAME?</v>
      </c>
      <c r="T2761" s="28" t="e">
        <f ca="1">[1]!BexGetData("DP_1","00O2TNJGODT0G5Z4TTKYMMOLH","GSON1293200001")</f>
        <v>#NAME?</v>
      </c>
      <c r="U2761" s="28" t="e">
        <f ca="1">[1]!BexGetData("DP_1","00O2TNJGODT0G5Z4TTKYMMUX1","GSON1293200001")</f>
        <v>#NAME?</v>
      </c>
      <c r="V2761" s="28" t="e">
        <f ca="1">[1]!BexGetData("DP_1","00O2TNJGODT0G5Z4TTKYMN18L","GSON1293200001")</f>
        <v>#NAME?</v>
      </c>
      <c r="W2761" s="28" t="e">
        <f ca="1">[1]!BexGetData("DP_1","00O2TNJGODT0G5Z4TTKYMN7K5","GSON1293200001")</f>
        <v>#NAME?</v>
      </c>
    </row>
    <row r="2762" spans="1:23" x14ac:dyDescent="0.2">
      <c r="A2762" s="32" t="s">
        <v>90</v>
      </c>
      <c r="B2762" s="26" t="s">
        <v>91</v>
      </c>
      <c r="C2762" s="23" t="e">
        <f ca="1">[1]!BexGetData("DP_1","003N8EMH8GTFRCSWKMPXRR8GU","GSON2-3")</f>
        <v>#NAME?</v>
      </c>
      <c r="D2762" s="23" t="e">
        <f ca="1">[1]!BexGetData("DP_1","003N8EMH8GTFRCSWKMPXRRESE","GSON2-3")</f>
        <v>#NAME?</v>
      </c>
      <c r="E2762" s="23" t="e">
        <f ca="1">[1]!BexGetData("DP_1","003N8EMH8GTFRCSWKMPXRRL3Y","GSON2-3")</f>
        <v>#NAME?</v>
      </c>
      <c r="F2762" s="23" t="e">
        <f ca="1">[1]!BexGetData("DP_1","003N8EMH8GTFRCSWKMPXRRRFI","GSON2-3")</f>
        <v>#NAME?</v>
      </c>
      <c r="G2762" s="23" t="e">
        <f ca="1">[1]!BexGetData("DP_1","003N8EMH8GTFRCSWKMPXRRXR2","GSON2-3")</f>
        <v>#NAME?</v>
      </c>
      <c r="H2762" s="23" t="e">
        <f ca="1">[1]!BexGetData("DP_1","003N8EMH8GTFRCSWKMPXRS42M","GSON2-3")</f>
        <v>#NAME?</v>
      </c>
      <c r="I2762" s="23" t="e">
        <f ca="1">[1]!BexGetData("DP_1","003N8EMH8GTFRCSWKMPXRSAE6","GSON2-3")</f>
        <v>#NAME?</v>
      </c>
      <c r="J2762" s="23" t="e">
        <f ca="1">[1]!BexGetData("DP_1","003N8EMH8GTFRCSWKMPXRSGPQ","GSON2-3")</f>
        <v>#NAME?</v>
      </c>
      <c r="K2762" s="23" t="e">
        <f ca="1">[1]!BexGetData("DP_1","003N8EMH8GTFRIVNUPY288VJH","GSON2-3")</f>
        <v>#NAME?</v>
      </c>
      <c r="L2762" s="23" t="e">
        <f ca="1">[1]!BexGetData("DP_1","003N8EMH8GTFRIVNUPY2891V1","GSON2-3")</f>
        <v>#NAME?</v>
      </c>
      <c r="M2762" s="23" t="e">
        <f ca="1">[1]!BexGetData("DP_1","003N8EMH8GTFRIVOG7KG9IQXA","GSON2-3")</f>
        <v>#NAME?</v>
      </c>
      <c r="N2762" s="28" t="e">
        <f ca="1">[1]!BexGetData("DP_1","003N8EMH8GTFRIVOG7KG9IX8U","GSON2-3")</f>
        <v>#NAME?</v>
      </c>
      <c r="O2762" s="23" t="e">
        <f ca="1">[1]!BexGetData("DP_1","003N8EMH8GTFRIVOG7KG9J3KE","GSON2-3")</f>
        <v>#NAME?</v>
      </c>
      <c r="P2762" s="28" t="e">
        <f ca="1">[1]!BexGetData("DP_1","003N8EMH8GTFRIVOG7KG9J9VY","GSON2-3")</f>
        <v>#NAME?</v>
      </c>
      <c r="Q2762" s="23" t="e">
        <f ca="1">[1]!BexGetData("DP_1","00O2TNJGODT0G5Z4TTKYMM5MT","GSON2-3")</f>
        <v>#NAME?</v>
      </c>
      <c r="R2762" s="23" t="e">
        <f ca="1">[1]!BexGetData("DP_1","00O2TNJGODT0G5Z4TTKYMMBYD","GSON2-3")</f>
        <v>#NAME?</v>
      </c>
      <c r="S2762" s="23" t="e">
        <f ca="1">[1]!BexGetData("DP_1","00O2TNJGODT0G5Z4TTKYMMI9X","GSON2-3")</f>
        <v>#NAME?</v>
      </c>
      <c r="T2762" s="28" t="e">
        <f ca="1">[1]!BexGetData("DP_1","00O2TNJGODT0G5Z4TTKYMMOLH","GSON2-3")</f>
        <v>#NAME?</v>
      </c>
      <c r="U2762" s="23" t="e">
        <f ca="1">[1]!BexGetData("DP_1","00O2TNJGODT0G5Z4TTKYMMUX1","GSON2-3")</f>
        <v>#NAME?</v>
      </c>
      <c r="V2762" s="28" t="e">
        <f ca="1">[1]!BexGetData("DP_1","00O2TNJGODT0G5Z4TTKYMN18L","GSON2-3")</f>
        <v>#NAME?</v>
      </c>
      <c r="W2762" s="23" t="e">
        <f ca="1">[1]!BexGetData("DP_1","00O2TNJGODT0G5Z4TTKYMN7K5","GSON2-3")</f>
        <v>#NAME?</v>
      </c>
    </row>
    <row r="2763" spans="1:23" x14ac:dyDescent="0.2">
      <c r="A2763" s="33" t="s">
        <v>13</v>
      </c>
      <c r="B2763" s="27" t="s">
        <v>92</v>
      </c>
      <c r="C2763" s="23" t="e">
        <f ca="1">[1]!BexGetData("DP_1","003N8EMH8GTFRCSWKMPXRR8GU","GSON2")</f>
        <v>#NAME?</v>
      </c>
      <c r="D2763" s="23" t="e">
        <f ca="1">[1]!BexGetData("DP_1","003N8EMH8GTFRCSWKMPXRRESE","GSON2")</f>
        <v>#NAME?</v>
      </c>
      <c r="E2763" s="23" t="e">
        <f ca="1">[1]!BexGetData("DP_1","003N8EMH8GTFRCSWKMPXRRL3Y","GSON2")</f>
        <v>#NAME?</v>
      </c>
      <c r="F2763" s="23" t="e">
        <f ca="1">[1]!BexGetData("DP_1","003N8EMH8GTFRCSWKMPXRRRFI","GSON2")</f>
        <v>#NAME?</v>
      </c>
      <c r="G2763" s="23" t="e">
        <f ca="1">[1]!BexGetData("DP_1","003N8EMH8GTFRCSWKMPXRRXR2","GSON2")</f>
        <v>#NAME?</v>
      </c>
      <c r="H2763" s="23" t="e">
        <f ca="1">[1]!BexGetData("DP_1","003N8EMH8GTFRCSWKMPXRS42M","GSON2")</f>
        <v>#NAME?</v>
      </c>
      <c r="I2763" s="23" t="e">
        <f ca="1">[1]!BexGetData("DP_1","003N8EMH8GTFRCSWKMPXRSAE6","GSON2")</f>
        <v>#NAME?</v>
      </c>
      <c r="J2763" s="23" t="e">
        <f ca="1">[1]!BexGetData("DP_1","003N8EMH8GTFRCSWKMPXRSGPQ","GSON2")</f>
        <v>#NAME?</v>
      </c>
      <c r="K2763" s="23" t="e">
        <f ca="1">[1]!BexGetData("DP_1","003N8EMH8GTFRIVNUPY288VJH","GSON2")</f>
        <v>#NAME?</v>
      </c>
      <c r="L2763" s="23" t="e">
        <f ca="1">[1]!BexGetData("DP_1","003N8EMH8GTFRIVNUPY2891V1","GSON2")</f>
        <v>#NAME?</v>
      </c>
      <c r="M2763" s="23" t="e">
        <f ca="1">[1]!BexGetData("DP_1","003N8EMH8GTFRIVOG7KG9IQXA","GSON2")</f>
        <v>#NAME?</v>
      </c>
      <c r="N2763" s="28" t="e">
        <f ca="1">[1]!BexGetData("DP_1","003N8EMH8GTFRIVOG7KG9IX8U","GSON2")</f>
        <v>#NAME?</v>
      </c>
      <c r="O2763" s="23" t="e">
        <f ca="1">[1]!BexGetData("DP_1","003N8EMH8GTFRIVOG7KG9J3KE","GSON2")</f>
        <v>#NAME?</v>
      </c>
      <c r="P2763" s="28" t="e">
        <f ca="1">[1]!BexGetData("DP_1","003N8EMH8GTFRIVOG7KG9J9VY","GSON2")</f>
        <v>#NAME?</v>
      </c>
      <c r="Q2763" s="23" t="e">
        <f ca="1">[1]!BexGetData("DP_1","00O2TNJGODT0G5Z4TTKYMM5MT","GSON2")</f>
        <v>#NAME?</v>
      </c>
      <c r="R2763" s="23" t="e">
        <f ca="1">[1]!BexGetData("DP_1","00O2TNJGODT0G5Z4TTKYMMBYD","GSON2")</f>
        <v>#NAME?</v>
      </c>
      <c r="S2763" s="23" t="e">
        <f ca="1">[1]!BexGetData("DP_1","00O2TNJGODT0G5Z4TTKYMMI9X","GSON2")</f>
        <v>#NAME?</v>
      </c>
      <c r="T2763" s="23" t="e">
        <f ca="1">[1]!BexGetData("DP_1","00O2TNJGODT0G5Z4TTKYMMOLH","GSON2")</f>
        <v>#NAME?</v>
      </c>
      <c r="U2763" s="28" t="e">
        <f ca="1">[1]!BexGetData("DP_1","00O2TNJGODT0G5Z4TTKYMMUX1","GSON2")</f>
        <v>#NAME?</v>
      </c>
      <c r="V2763" s="23" t="e">
        <f ca="1">[1]!BexGetData("DP_1","00O2TNJGODT0G5Z4TTKYMN18L","GSON2")</f>
        <v>#NAME?</v>
      </c>
      <c r="W2763" s="28" t="e">
        <f ca="1">[1]!BexGetData("DP_1","00O2TNJGODT0G5Z4TTKYMN7K5","GSON2")</f>
        <v>#NAME?</v>
      </c>
    </row>
    <row r="2764" spans="1:23" x14ac:dyDescent="0.2">
      <c r="A2764" s="34" t="s">
        <v>14</v>
      </c>
      <c r="B2764" s="27" t="s">
        <v>93</v>
      </c>
      <c r="C2764" s="23" t="e">
        <f ca="1">[1]!BexGetData("DP_1","003N8EMH8GTFRCSWKMPXRR8GU","GSON21")</f>
        <v>#NAME?</v>
      </c>
      <c r="D2764" s="23" t="e">
        <f ca="1">[1]!BexGetData("DP_1","003N8EMH8GTFRCSWKMPXRRESE","GSON21")</f>
        <v>#NAME?</v>
      </c>
      <c r="E2764" s="23" t="e">
        <f ca="1">[1]!BexGetData("DP_1","003N8EMH8GTFRCSWKMPXRRL3Y","GSON21")</f>
        <v>#NAME?</v>
      </c>
      <c r="F2764" s="23" t="e">
        <f ca="1">[1]!BexGetData("DP_1","003N8EMH8GTFRCSWKMPXRRRFI","GSON21")</f>
        <v>#NAME?</v>
      </c>
      <c r="G2764" s="23" t="e">
        <f ca="1">[1]!BexGetData("DP_1","003N8EMH8GTFRCSWKMPXRRXR2","GSON21")</f>
        <v>#NAME?</v>
      </c>
      <c r="H2764" s="23" t="e">
        <f ca="1">[1]!BexGetData("DP_1","003N8EMH8GTFRCSWKMPXRS42M","GSON21")</f>
        <v>#NAME?</v>
      </c>
      <c r="I2764" s="23" t="e">
        <f ca="1">[1]!BexGetData("DP_1","003N8EMH8GTFRCSWKMPXRSAE6","GSON21")</f>
        <v>#NAME?</v>
      </c>
      <c r="J2764" s="23" t="e">
        <f ca="1">[1]!BexGetData("DP_1","003N8EMH8GTFRCSWKMPXRSGPQ","GSON21")</f>
        <v>#NAME?</v>
      </c>
      <c r="K2764" s="23" t="e">
        <f ca="1">[1]!BexGetData("DP_1","003N8EMH8GTFRIVNUPY288VJH","GSON21")</f>
        <v>#NAME?</v>
      </c>
      <c r="L2764" s="23" t="e">
        <f ca="1">[1]!BexGetData("DP_1","003N8EMH8GTFRIVNUPY2891V1","GSON21")</f>
        <v>#NAME?</v>
      </c>
      <c r="M2764" s="23" t="e">
        <f ca="1">[1]!BexGetData("DP_1","003N8EMH8GTFRIVOG7KG9IQXA","GSON21")</f>
        <v>#NAME?</v>
      </c>
      <c r="N2764" s="28" t="e">
        <f ca="1">[1]!BexGetData("DP_1","003N8EMH8GTFRIVOG7KG9IX8U","GSON21")</f>
        <v>#NAME?</v>
      </c>
      <c r="O2764" s="23" t="e">
        <f ca="1">[1]!BexGetData("DP_1","003N8EMH8GTFRIVOG7KG9J3KE","GSON21")</f>
        <v>#NAME?</v>
      </c>
      <c r="P2764" s="28" t="e">
        <f ca="1">[1]!BexGetData("DP_1","003N8EMH8GTFRIVOG7KG9J9VY","GSON21")</f>
        <v>#NAME?</v>
      </c>
      <c r="Q2764" s="23" t="e">
        <f ca="1">[1]!BexGetData("DP_1","00O2TNJGODT0G5Z4TTKYMM5MT","GSON21")</f>
        <v>#NAME?</v>
      </c>
      <c r="R2764" s="23" t="e">
        <f ca="1">[1]!BexGetData("DP_1","00O2TNJGODT0G5Z4TTKYMMBYD","GSON21")</f>
        <v>#NAME?</v>
      </c>
      <c r="S2764" s="23" t="e">
        <f ca="1">[1]!BexGetData("DP_1","00O2TNJGODT0G5Z4TTKYMMI9X","GSON21")</f>
        <v>#NAME?</v>
      </c>
      <c r="T2764" s="23" t="e">
        <f ca="1">[1]!BexGetData("DP_1","00O2TNJGODT0G5Z4TTKYMMOLH","GSON21")</f>
        <v>#NAME?</v>
      </c>
      <c r="U2764" s="28" t="e">
        <f ca="1">[1]!BexGetData("DP_1","00O2TNJGODT0G5Z4TTKYMMUX1","GSON21")</f>
        <v>#NAME?</v>
      </c>
      <c r="V2764" s="23" t="e">
        <f ca="1">[1]!BexGetData("DP_1","00O2TNJGODT0G5Z4TTKYMN18L","GSON21")</f>
        <v>#NAME?</v>
      </c>
      <c r="W2764" s="28" t="e">
        <f ca="1">[1]!BexGetData("DP_1","00O2TNJGODT0G5Z4TTKYMN7K5","GSON21")</f>
        <v>#NAME?</v>
      </c>
    </row>
    <row r="2765" spans="1:23" x14ac:dyDescent="0.2">
      <c r="A2765" s="35" t="s">
        <v>94</v>
      </c>
      <c r="B2765" s="27" t="s">
        <v>95</v>
      </c>
      <c r="C2765" s="23" t="e">
        <f ca="1">[1]!BexGetData("DP_1","003N8EMH8GTFRCSWKMPXRR8GU","GSON211")</f>
        <v>#NAME?</v>
      </c>
      <c r="D2765" s="23" t="e">
        <f ca="1">[1]!BexGetData("DP_1","003N8EMH8GTFRCSWKMPXRRESE","GSON211")</f>
        <v>#NAME?</v>
      </c>
      <c r="E2765" s="23" t="e">
        <f ca="1">[1]!BexGetData("DP_1","003N8EMH8GTFRCSWKMPXRRL3Y","GSON211")</f>
        <v>#NAME?</v>
      </c>
      <c r="F2765" s="23" t="e">
        <f ca="1">[1]!BexGetData("DP_1","003N8EMH8GTFRCSWKMPXRRRFI","GSON211")</f>
        <v>#NAME?</v>
      </c>
      <c r="G2765" s="23" t="e">
        <f ca="1">[1]!BexGetData("DP_1","003N8EMH8GTFRCSWKMPXRRXR2","GSON211")</f>
        <v>#NAME?</v>
      </c>
      <c r="H2765" s="23" t="e">
        <f ca="1">[1]!BexGetData("DP_1","003N8EMH8GTFRCSWKMPXRS42M","GSON211")</f>
        <v>#NAME?</v>
      </c>
      <c r="I2765" s="23" t="e">
        <f ca="1">[1]!BexGetData("DP_1","003N8EMH8GTFRCSWKMPXRSAE6","GSON211")</f>
        <v>#NAME?</v>
      </c>
      <c r="J2765" s="23" t="e">
        <f ca="1">[1]!BexGetData("DP_1","003N8EMH8GTFRCSWKMPXRSGPQ","GSON211")</f>
        <v>#NAME?</v>
      </c>
      <c r="K2765" s="23" t="e">
        <f ca="1">[1]!BexGetData("DP_1","003N8EMH8GTFRIVNUPY288VJH","GSON211")</f>
        <v>#NAME?</v>
      </c>
      <c r="L2765" s="23" t="e">
        <f ca="1">[1]!BexGetData("DP_1","003N8EMH8GTFRIVNUPY2891V1","GSON211")</f>
        <v>#NAME?</v>
      </c>
      <c r="M2765" s="28" t="e">
        <f ca="1">[1]!BexGetData("DP_1","003N8EMH8GTFRIVOG7KG9IQXA","GSON211")</f>
        <v>#NAME?</v>
      </c>
      <c r="N2765" s="23" t="e">
        <f ca="1">[1]!BexGetData("DP_1","003N8EMH8GTFRIVOG7KG9IX8U","GSON211")</f>
        <v>#NAME?</v>
      </c>
      <c r="O2765" s="28" t="e">
        <f ca="1">[1]!BexGetData("DP_1","003N8EMH8GTFRIVOG7KG9J3KE","GSON211")</f>
        <v>#NAME?</v>
      </c>
      <c r="P2765" s="23" t="e">
        <f ca="1">[1]!BexGetData("DP_1","003N8EMH8GTFRIVOG7KG9J9VY","GSON211")</f>
        <v>#NAME?</v>
      </c>
      <c r="Q2765" s="23" t="e">
        <f ca="1">[1]!BexGetData("DP_1","00O2TNJGODT0G5Z4TTKYMM5MT","GSON211")</f>
        <v>#NAME?</v>
      </c>
      <c r="R2765" s="23" t="e">
        <f ca="1">[1]!BexGetData("DP_1","00O2TNJGODT0G5Z4TTKYMMBYD","GSON211")</f>
        <v>#NAME?</v>
      </c>
      <c r="S2765" s="23" t="e">
        <f ca="1">[1]!BexGetData("DP_1","00O2TNJGODT0G5Z4TTKYMMI9X","GSON211")</f>
        <v>#NAME?</v>
      </c>
      <c r="T2765" s="23" t="e">
        <f ca="1">[1]!BexGetData("DP_1","00O2TNJGODT0G5Z4TTKYMMOLH","GSON211")</f>
        <v>#NAME?</v>
      </c>
      <c r="U2765" s="28" t="e">
        <f ca="1">[1]!BexGetData("DP_1","00O2TNJGODT0G5Z4TTKYMMUX1","GSON211")</f>
        <v>#NAME?</v>
      </c>
      <c r="V2765" s="23" t="e">
        <f ca="1">[1]!BexGetData("DP_1","00O2TNJGODT0G5Z4TTKYMN18L","GSON211")</f>
        <v>#NAME?</v>
      </c>
      <c r="W2765" s="28" t="e">
        <f ca="1">[1]!BexGetData("DP_1","00O2TNJGODT0G5Z4TTKYMN7K5","GSON211")</f>
        <v>#NAME?</v>
      </c>
    </row>
    <row r="2766" spans="1:23" x14ac:dyDescent="0.2">
      <c r="A2766" s="36" t="s">
        <v>476</v>
      </c>
      <c r="B2766" s="27" t="s">
        <v>477</v>
      </c>
      <c r="C2766" s="23" t="e">
        <f ca="1">[1]!BexGetData("DP_1","003N8EMH8GTFRCSWKMPXRR8GU","GSON2111")</f>
        <v>#NAME?</v>
      </c>
      <c r="D2766" s="23" t="e">
        <f ca="1">[1]!BexGetData("DP_1","003N8EMH8GTFRCSWKMPXRRESE","GSON2111")</f>
        <v>#NAME?</v>
      </c>
      <c r="E2766" s="23" t="e">
        <f ca="1">[1]!BexGetData("DP_1","003N8EMH8GTFRCSWKMPXRRL3Y","GSON2111")</f>
        <v>#NAME?</v>
      </c>
      <c r="F2766" s="23" t="e">
        <f ca="1">[1]!BexGetData("DP_1","003N8EMH8GTFRCSWKMPXRRRFI","GSON2111")</f>
        <v>#NAME?</v>
      </c>
      <c r="G2766" s="23" t="e">
        <f ca="1">[1]!BexGetData("DP_1","003N8EMH8GTFRCSWKMPXRRXR2","GSON2111")</f>
        <v>#NAME?</v>
      </c>
      <c r="H2766" s="23" t="e">
        <f ca="1">[1]!BexGetData("DP_1","003N8EMH8GTFRCSWKMPXRS42M","GSON2111")</f>
        <v>#NAME?</v>
      </c>
      <c r="I2766" s="23" t="e">
        <f ca="1">[1]!BexGetData("DP_1","003N8EMH8GTFRCSWKMPXRSAE6","GSON2111")</f>
        <v>#NAME?</v>
      </c>
      <c r="J2766" s="23" t="e">
        <f ca="1">[1]!BexGetData("DP_1","003N8EMH8GTFRCSWKMPXRSGPQ","GSON2111")</f>
        <v>#NAME?</v>
      </c>
      <c r="K2766" s="23" t="e">
        <f ca="1">[1]!BexGetData("DP_1","003N8EMH8GTFRIVNUPY288VJH","GSON2111")</f>
        <v>#NAME?</v>
      </c>
      <c r="L2766" s="23" t="e">
        <f ca="1">[1]!BexGetData("DP_1","003N8EMH8GTFRIVNUPY2891V1","GSON2111")</f>
        <v>#NAME?</v>
      </c>
      <c r="M2766" s="23" t="e">
        <f ca="1">[1]!BexGetData("DP_1","003N8EMH8GTFRIVOG7KG9IQXA","GSON2111")</f>
        <v>#NAME?</v>
      </c>
      <c r="N2766" s="28" t="e">
        <f ca="1">[1]!BexGetData("DP_1","003N8EMH8GTFRIVOG7KG9IX8U","GSON2111")</f>
        <v>#NAME?</v>
      </c>
      <c r="O2766" s="23" t="e">
        <f ca="1">[1]!BexGetData("DP_1","003N8EMH8GTFRIVOG7KG9J3KE","GSON2111")</f>
        <v>#NAME?</v>
      </c>
      <c r="P2766" s="28" t="e">
        <f ca="1">[1]!BexGetData("DP_1","003N8EMH8GTFRIVOG7KG9J9VY","GSON2111")</f>
        <v>#NAME?</v>
      </c>
      <c r="Q2766" s="23" t="e">
        <f ca="1">[1]!BexGetData("DP_1","00O2TNJGODT0G5Z4TTKYMM5MT","GSON2111")</f>
        <v>#NAME?</v>
      </c>
      <c r="R2766" s="28" t="e">
        <f ca="1">[1]!BexGetData("DP_1","00O2TNJGODT0G5Z4TTKYMMBYD","GSON2111")</f>
        <v>#NAME?</v>
      </c>
      <c r="S2766" s="28" t="e">
        <f ca="1">[1]!BexGetData("DP_1","00O2TNJGODT0G5Z4TTKYMMI9X","GSON2111")</f>
        <v>#NAME?</v>
      </c>
      <c r="T2766" s="28" t="e">
        <f ca="1">[1]!BexGetData("DP_1","00O2TNJGODT0G5Z4TTKYMMOLH","GSON2111")</f>
        <v>#NAME?</v>
      </c>
      <c r="U2766" s="28" t="e">
        <f ca="1">[1]!BexGetData("DP_1","00O2TNJGODT0G5Z4TTKYMMUX1","GSON2111")</f>
        <v>#NAME?</v>
      </c>
      <c r="V2766" s="28" t="e">
        <f ca="1">[1]!BexGetData("DP_1","00O2TNJGODT0G5Z4TTKYMN18L","GSON2111")</f>
        <v>#NAME?</v>
      </c>
      <c r="W2766" s="28" t="e">
        <f ca="1">[1]!BexGetData("DP_1","00O2TNJGODT0G5Z4TTKYMN7K5","GSON2111")</f>
        <v>#NAME?</v>
      </c>
    </row>
    <row r="2767" spans="1:23" x14ac:dyDescent="0.2">
      <c r="A2767" s="37" t="s">
        <v>1401</v>
      </c>
      <c r="B2767" s="27" t="s">
        <v>478</v>
      </c>
      <c r="C2767" s="23" t="e">
        <f ca="1">[1]!BexGetData("DP_1","003N8EMH8GTFRCSWKMPXRR8GU","GSON2111100001")</f>
        <v>#NAME?</v>
      </c>
      <c r="D2767" s="23" t="e">
        <f ca="1">[1]!BexGetData("DP_1","003N8EMH8GTFRCSWKMPXRRESE","GSON2111100001")</f>
        <v>#NAME?</v>
      </c>
      <c r="E2767" s="28" t="e">
        <f ca="1">[1]!BexGetData("DP_1","003N8EMH8GTFRCSWKMPXRRL3Y","GSON2111100001")</f>
        <v>#NAME?</v>
      </c>
      <c r="F2767" s="28" t="e">
        <f ca="1">[1]!BexGetData("DP_1","003N8EMH8GTFRCSWKMPXRRRFI","GSON2111100001")</f>
        <v>#NAME?</v>
      </c>
      <c r="G2767" s="23" t="e">
        <f ca="1">[1]!BexGetData("DP_1","003N8EMH8GTFRCSWKMPXRRXR2","GSON2111100001")</f>
        <v>#NAME?</v>
      </c>
      <c r="H2767" s="23" t="e">
        <f ca="1">[1]!BexGetData("DP_1","003N8EMH8GTFRCSWKMPXRS42M","GSON2111100001")</f>
        <v>#NAME?</v>
      </c>
      <c r="I2767" s="28" t="e">
        <f ca="1">[1]!BexGetData("DP_1","003N8EMH8GTFRCSWKMPXRSAE6","GSON2111100001")</f>
        <v>#NAME?</v>
      </c>
      <c r="J2767" s="24" t="e">
        <f ca="1">[1]!BexGetData("DP_1","003N8EMH8GTFRCSWKMPXRSGPQ","GSON2111100001")</f>
        <v>#NAME?</v>
      </c>
      <c r="K2767" s="28" t="e">
        <f ca="1">[1]!BexGetData("DP_1","003N8EMH8GTFRIVNUPY288VJH","GSON2111100001")</f>
        <v>#NAME?</v>
      </c>
      <c r="L2767" s="28" t="e">
        <f ca="1">[1]!BexGetData("DP_1","003N8EMH8GTFRIVNUPY2891V1","GSON2111100001")</f>
        <v>#NAME?</v>
      </c>
      <c r="M2767" s="28" t="e">
        <f ca="1">[1]!BexGetData("DP_1","003N8EMH8GTFRIVOG7KG9IQXA","GSON2111100001")</f>
        <v>#NAME?</v>
      </c>
      <c r="N2767" s="28" t="e">
        <f ca="1">[1]!BexGetData("DP_1","003N8EMH8GTFRIVOG7KG9IX8U","GSON2111100001")</f>
        <v>#NAME?</v>
      </c>
      <c r="O2767" s="28" t="e">
        <f ca="1">[1]!BexGetData("DP_1","003N8EMH8GTFRIVOG7KG9J3KE","GSON2111100001")</f>
        <v>#NAME?</v>
      </c>
      <c r="P2767" s="28" t="e">
        <f ca="1">[1]!BexGetData("DP_1","003N8EMH8GTFRIVOG7KG9J9VY","GSON2111100001")</f>
        <v>#NAME?</v>
      </c>
      <c r="Q2767" s="24" t="e">
        <f ca="1">[1]!BexGetData("DP_1","00O2TNJGODT0G5Z4TTKYMM5MT","GSON2111100001")</f>
        <v>#NAME?</v>
      </c>
      <c r="R2767" s="28" t="e">
        <f ca="1">[1]!BexGetData("DP_1","00O2TNJGODT0G5Z4TTKYMMBYD","GSON2111100001")</f>
        <v>#NAME?</v>
      </c>
      <c r="S2767" s="28" t="e">
        <f ca="1">[1]!BexGetData("DP_1","00O2TNJGODT0G5Z4TTKYMMI9X","GSON2111100001")</f>
        <v>#NAME?</v>
      </c>
      <c r="T2767" s="28" t="e">
        <f ca="1">[1]!BexGetData("DP_1","00O2TNJGODT0G5Z4TTKYMMOLH","GSON2111100001")</f>
        <v>#NAME?</v>
      </c>
      <c r="U2767" s="28" t="e">
        <f ca="1">[1]!BexGetData("DP_1","00O2TNJGODT0G5Z4TTKYMMUX1","GSON2111100001")</f>
        <v>#NAME?</v>
      </c>
      <c r="V2767" s="28" t="e">
        <f ca="1">[1]!BexGetData("DP_1","00O2TNJGODT0G5Z4TTKYMN18L","GSON2111100001")</f>
        <v>#NAME?</v>
      </c>
      <c r="W2767" s="28" t="e">
        <f ca="1">[1]!BexGetData("DP_1","00O2TNJGODT0G5Z4TTKYMN7K5","GSON2111100001")</f>
        <v>#NAME?</v>
      </c>
    </row>
    <row r="2768" spans="1:23" x14ac:dyDescent="0.2">
      <c r="A2768" s="37" t="s">
        <v>6139</v>
      </c>
      <c r="B2768" s="27" t="s">
        <v>6140</v>
      </c>
      <c r="C2768" s="23" t="e">
        <f ca="1">[1]!BexGetData("DP_1","003N8EMH8GTFRCSWKMPXRR8GU","GSON2111100003")</f>
        <v>#NAME?</v>
      </c>
      <c r="D2768" s="23" t="e">
        <f ca="1">[1]!BexGetData("DP_1","003N8EMH8GTFRCSWKMPXRRESE","GSON2111100003")</f>
        <v>#NAME?</v>
      </c>
      <c r="E2768" s="23" t="e">
        <f ca="1">[1]!BexGetData("DP_1","003N8EMH8GTFRCSWKMPXRRL3Y","GSON2111100003")</f>
        <v>#NAME?</v>
      </c>
      <c r="F2768" s="28" t="e">
        <f ca="1">[1]!BexGetData("DP_1","003N8EMH8GTFRCSWKMPXRRRFI","GSON2111100003")</f>
        <v>#NAME?</v>
      </c>
      <c r="G2768" s="23" t="e">
        <f ca="1">[1]!BexGetData("DP_1","003N8EMH8GTFRCSWKMPXRRXR2","GSON2111100003")</f>
        <v>#NAME?</v>
      </c>
      <c r="H2768" s="23" t="e">
        <f ca="1">[1]!BexGetData("DP_1","003N8EMH8GTFRCSWKMPXRS42M","GSON2111100003")</f>
        <v>#NAME?</v>
      </c>
      <c r="I2768" s="28" t="e">
        <f ca="1">[1]!BexGetData("DP_1","003N8EMH8GTFRCSWKMPXRSAE6","GSON2111100003")</f>
        <v>#NAME?</v>
      </c>
      <c r="J2768" s="24" t="e">
        <f ca="1">[1]!BexGetData("DP_1","003N8EMH8GTFRCSWKMPXRSGPQ","GSON2111100003")</f>
        <v>#NAME?</v>
      </c>
      <c r="K2768" s="23" t="e">
        <f ca="1">[1]!BexGetData("DP_1","003N8EMH8GTFRIVNUPY288VJH","GSON2111100003")</f>
        <v>#NAME?</v>
      </c>
      <c r="L2768" s="23" t="e">
        <f ca="1">[1]!BexGetData("DP_1","003N8EMH8GTFRIVNUPY2891V1","GSON2111100003")</f>
        <v>#NAME?</v>
      </c>
      <c r="M2768" s="23" t="e">
        <f ca="1">[1]!BexGetData("DP_1","003N8EMH8GTFRIVOG7KG9IQXA","GSON2111100003")</f>
        <v>#NAME?</v>
      </c>
      <c r="N2768" s="28" t="e">
        <f ca="1">[1]!BexGetData("DP_1","003N8EMH8GTFRIVOG7KG9IX8U","GSON2111100003")</f>
        <v>#NAME?</v>
      </c>
      <c r="O2768" s="23" t="e">
        <f ca="1">[1]!BexGetData("DP_1","003N8EMH8GTFRIVOG7KG9J3KE","GSON2111100003")</f>
        <v>#NAME?</v>
      </c>
      <c r="P2768" s="28" t="e">
        <f ca="1">[1]!BexGetData("DP_1","003N8EMH8GTFRIVOG7KG9J9VY","GSON2111100003")</f>
        <v>#NAME?</v>
      </c>
      <c r="Q2768" s="24" t="e">
        <f ca="1">[1]!BexGetData("DP_1","00O2TNJGODT0G5Z4TTKYMM5MT","GSON2111100003")</f>
        <v>#NAME?</v>
      </c>
      <c r="R2768" s="28" t="e">
        <f ca="1">[1]!BexGetData("DP_1","00O2TNJGODT0G5Z4TTKYMMBYD","GSON2111100003")</f>
        <v>#NAME?</v>
      </c>
      <c r="S2768" s="28" t="e">
        <f ca="1">[1]!BexGetData("DP_1","00O2TNJGODT0G5Z4TTKYMMI9X","GSON2111100003")</f>
        <v>#NAME?</v>
      </c>
      <c r="T2768" s="28" t="e">
        <f ca="1">[1]!BexGetData("DP_1","00O2TNJGODT0G5Z4TTKYMMOLH","GSON2111100003")</f>
        <v>#NAME?</v>
      </c>
      <c r="U2768" s="28" t="e">
        <f ca="1">[1]!BexGetData("DP_1","00O2TNJGODT0G5Z4TTKYMMUX1","GSON2111100003")</f>
        <v>#NAME?</v>
      </c>
      <c r="V2768" s="28" t="e">
        <f ca="1">[1]!BexGetData("DP_1","00O2TNJGODT0G5Z4TTKYMN18L","GSON2111100003")</f>
        <v>#NAME?</v>
      </c>
      <c r="W2768" s="28" t="e">
        <f ca="1">[1]!BexGetData("DP_1","00O2TNJGODT0G5Z4TTKYMN7K5","GSON2111100003")</f>
        <v>#NAME?</v>
      </c>
    </row>
    <row r="2769" spans="1:23" x14ac:dyDescent="0.2">
      <c r="A2769" s="37" t="s">
        <v>1402</v>
      </c>
      <c r="B2769" s="27" t="s">
        <v>1403</v>
      </c>
      <c r="C2769" s="28" t="e">
        <f ca="1">[1]!BexGetData("DP_1","003N8EMH8GTFRCSWKMPXRR8GU","GSON2111100004")</f>
        <v>#NAME?</v>
      </c>
      <c r="D2769" s="28" t="e">
        <f ca="1">[1]!BexGetData("DP_1","003N8EMH8GTFRCSWKMPXRRESE","GSON2111100004")</f>
        <v>#NAME?</v>
      </c>
      <c r="E2769" s="23" t="e">
        <f ca="1">[1]!BexGetData("DP_1","003N8EMH8GTFRCSWKMPXRRL3Y","GSON2111100004")</f>
        <v>#NAME?</v>
      </c>
      <c r="F2769" s="23" t="e">
        <f ca="1">[1]!BexGetData("DP_1","003N8EMH8GTFRCSWKMPXRRRFI","GSON2111100004")</f>
        <v>#NAME?</v>
      </c>
      <c r="G2769" s="28" t="e">
        <f ca="1">[1]!BexGetData("DP_1","003N8EMH8GTFRCSWKMPXRRXR2","GSON2111100004")</f>
        <v>#NAME?</v>
      </c>
      <c r="H2769" s="28" t="e">
        <f ca="1">[1]!BexGetData("DP_1","003N8EMH8GTFRCSWKMPXRS42M","GSON2111100004")</f>
        <v>#NAME?</v>
      </c>
      <c r="I2769" s="23" t="e">
        <f ca="1">[1]!BexGetData("DP_1","003N8EMH8GTFRCSWKMPXRSAE6","GSON2111100004")</f>
        <v>#NAME?</v>
      </c>
      <c r="J2769" s="23" t="e">
        <f ca="1">[1]!BexGetData("DP_1","003N8EMH8GTFRCSWKMPXRSGPQ","GSON2111100004")</f>
        <v>#NAME?</v>
      </c>
      <c r="K2769" s="28" t="e">
        <f ca="1">[1]!BexGetData("DP_1","003N8EMH8GTFRIVNUPY288VJH","GSON2111100004")</f>
        <v>#NAME?</v>
      </c>
      <c r="L2769" s="28" t="e">
        <f ca="1">[1]!BexGetData("DP_1","003N8EMH8GTFRIVNUPY2891V1","GSON2111100004")</f>
        <v>#NAME?</v>
      </c>
      <c r="M2769" s="28" t="e">
        <f ca="1">[1]!BexGetData("DP_1","003N8EMH8GTFRIVOG7KG9IQXA","GSON2111100004")</f>
        <v>#NAME?</v>
      </c>
      <c r="N2769" s="28" t="e">
        <f ca="1">[1]!BexGetData("DP_1","003N8EMH8GTFRIVOG7KG9IX8U","GSON2111100004")</f>
        <v>#NAME?</v>
      </c>
      <c r="O2769" s="28" t="e">
        <f ca="1">[1]!BexGetData("DP_1","003N8EMH8GTFRIVOG7KG9J3KE","GSON2111100004")</f>
        <v>#NAME?</v>
      </c>
      <c r="P2769" s="28" t="e">
        <f ca="1">[1]!BexGetData("DP_1","003N8EMH8GTFRIVOG7KG9J9VY","GSON2111100004")</f>
        <v>#NAME?</v>
      </c>
      <c r="Q2769" s="23" t="e">
        <f ca="1">[1]!BexGetData("DP_1","00O2TNJGODT0G5Z4TTKYMM5MT","GSON2111100004")</f>
        <v>#NAME?</v>
      </c>
      <c r="R2769" s="28" t="e">
        <f ca="1">[1]!BexGetData("DP_1","00O2TNJGODT0G5Z4TTKYMMBYD","GSON2111100004")</f>
        <v>#NAME?</v>
      </c>
      <c r="S2769" s="28" t="e">
        <f ca="1">[1]!BexGetData("DP_1","00O2TNJGODT0G5Z4TTKYMMI9X","GSON2111100004")</f>
        <v>#NAME?</v>
      </c>
      <c r="T2769" s="28" t="e">
        <f ca="1">[1]!BexGetData("DP_1","00O2TNJGODT0G5Z4TTKYMMOLH","GSON2111100004")</f>
        <v>#NAME?</v>
      </c>
      <c r="U2769" s="28" t="e">
        <f ca="1">[1]!BexGetData("DP_1","00O2TNJGODT0G5Z4TTKYMMUX1","GSON2111100004")</f>
        <v>#NAME?</v>
      </c>
      <c r="V2769" s="28" t="e">
        <f ca="1">[1]!BexGetData("DP_1","00O2TNJGODT0G5Z4TTKYMN18L","GSON2111100004")</f>
        <v>#NAME?</v>
      </c>
      <c r="W2769" s="28" t="e">
        <f ca="1">[1]!BexGetData("DP_1","00O2TNJGODT0G5Z4TTKYMN7K5","GSON2111100004")</f>
        <v>#NAME?</v>
      </c>
    </row>
    <row r="2770" spans="1:23" x14ac:dyDescent="0.2">
      <c r="A2770" s="36" t="s">
        <v>96</v>
      </c>
      <c r="B2770" s="27" t="s">
        <v>97</v>
      </c>
      <c r="C2770" s="23" t="e">
        <f ca="1">[1]!BexGetData("DP_1","003N8EMH8GTFRCSWKMPXRR8GU","GSON2112")</f>
        <v>#NAME?</v>
      </c>
      <c r="D2770" s="23" t="e">
        <f ca="1">[1]!BexGetData("DP_1","003N8EMH8GTFRCSWKMPXRRESE","GSON2112")</f>
        <v>#NAME?</v>
      </c>
      <c r="E2770" s="23" t="e">
        <f ca="1">[1]!BexGetData("DP_1","003N8EMH8GTFRCSWKMPXRRL3Y","GSON2112")</f>
        <v>#NAME?</v>
      </c>
      <c r="F2770" s="23" t="e">
        <f ca="1">[1]!BexGetData("DP_1","003N8EMH8GTFRCSWKMPXRRRFI","GSON2112")</f>
        <v>#NAME?</v>
      </c>
      <c r="G2770" s="23" t="e">
        <f ca="1">[1]!BexGetData("DP_1","003N8EMH8GTFRCSWKMPXRRXR2","GSON2112")</f>
        <v>#NAME?</v>
      </c>
      <c r="H2770" s="23" t="e">
        <f ca="1">[1]!BexGetData("DP_1","003N8EMH8GTFRCSWKMPXRS42M","GSON2112")</f>
        <v>#NAME?</v>
      </c>
      <c r="I2770" s="23" t="e">
        <f ca="1">[1]!BexGetData("DP_1","003N8EMH8GTFRCSWKMPXRSAE6","GSON2112")</f>
        <v>#NAME?</v>
      </c>
      <c r="J2770" s="23" t="e">
        <f ca="1">[1]!BexGetData("DP_1","003N8EMH8GTFRCSWKMPXRSGPQ","GSON2112")</f>
        <v>#NAME?</v>
      </c>
      <c r="K2770" s="23" t="e">
        <f ca="1">[1]!BexGetData("DP_1","003N8EMH8GTFRIVNUPY288VJH","GSON2112")</f>
        <v>#NAME?</v>
      </c>
      <c r="L2770" s="23" t="e">
        <f ca="1">[1]!BexGetData("DP_1","003N8EMH8GTFRIVNUPY2891V1","GSON2112")</f>
        <v>#NAME?</v>
      </c>
      <c r="M2770" s="23" t="e">
        <f ca="1">[1]!BexGetData("DP_1","003N8EMH8GTFRIVOG7KG9IQXA","GSON2112")</f>
        <v>#NAME?</v>
      </c>
      <c r="N2770" s="28" t="e">
        <f ca="1">[1]!BexGetData("DP_1","003N8EMH8GTFRIVOG7KG9IX8U","GSON2112")</f>
        <v>#NAME?</v>
      </c>
      <c r="O2770" s="23" t="e">
        <f ca="1">[1]!BexGetData("DP_1","003N8EMH8GTFRIVOG7KG9J3KE","GSON2112")</f>
        <v>#NAME?</v>
      </c>
      <c r="P2770" s="28" t="e">
        <f ca="1">[1]!BexGetData("DP_1","003N8EMH8GTFRIVOG7KG9J9VY","GSON2112")</f>
        <v>#NAME?</v>
      </c>
      <c r="Q2770" s="23" t="e">
        <f ca="1">[1]!BexGetData("DP_1","00O2TNJGODT0G5Z4TTKYMM5MT","GSON2112")</f>
        <v>#NAME?</v>
      </c>
      <c r="R2770" s="23" t="e">
        <f ca="1">[1]!BexGetData("DP_1","00O2TNJGODT0G5Z4TTKYMMBYD","GSON2112")</f>
        <v>#NAME?</v>
      </c>
      <c r="S2770" s="23" t="e">
        <f ca="1">[1]!BexGetData("DP_1","00O2TNJGODT0G5Z4TTKYMMI9X","GSON2112")</f>
        <v>#NAME?</v>
      </c>
      <c r="T2770" s="23" t="e">
        <f ca="1">[1]!BexGetData("DP_1","00O2TNJGODT0G5Z4TTKYMMOLH","GSON2112")</f>
        <v>#NAME?</v>
      </c>
      <c r="U2770" s="28" t="e">
        <f ca="1">[1]!BexGetData("DP_1","00O2TNJGODT0G5Z4TTKYMMUX1","GSON2112")</f>
        <v>#NAME?</v>
      </c>
      <c r="V2770" s="23" t="e">
        <f ca="1">[1]!BexGetData("DP_1","00O2TNJGODT0G5Z4TTKYMN18L","GSON2112")</f>
        <v>#NAME?</v>
      </c>
      <c r="W2770" s="28" t="e">
        <f ca="1">[1]!BexGetData("DP_1","00O2TNJGODT0G5Z4TTKYMN7K5","GSON2112")</f>
        <v>#NAME?</v>
      </c>
    </row>
    <row r="2771" spans="1:23" x14ac:dyDescent="0.2">
      <c r="A2771" s="37" t="s">
        <v>1404</v>
      </c>
      <c r="B2771" s="27" t="s">
        <v>346</v>
      </c>
      <c r="C2771" s="23" t="e">
        <f ca="1">[1]!BexGetData("DP_1","003N8EMH8GTFRCSWKMPXRR8GU","GSON2112100001")</f>
        <v>#NAME?</v>
      </c>
      <c r="D2771" s="23" t="e">
        <f ca="1">[1]!BexGetData("DP_1","003N8EMH8GTFRCSWKMPXRRESE","GSON2112100001")</f>
        <v>#NAME?</v>
      </c>
      <c r="E2771" s="23" t="e">
        <f ca="1">[1]!BexGetData("DP_1","003N8EMH8GTFRCSWKMPXRRL3Y","GSON2112100001")</f>
        <v>#NAME?</v>
      </c>
      <c r="F2771" s="23" t="e">
        <f ca="1">[1]!BexGetData("DP_1","003N8EMH8GTFRCSWKMPXRRRFI","GSON2112100001")</f>
        <v>#NAME?</v>
      </c>
      <c r="G2771" s="23" t="e">
        <f ca="1">[1]!BexGetData("DP_1","003N8EMH8GTFRCSWKMPXRRXR2","GSON2112100001")</f>
        <v>#NAME?</v>
      </c>
      <c r="H2771" s="23" t="e">
        <f ca="1">[1]!BexGetData("DP_1","003N8EMH8GTFRCSWKMPXRS42M","GSON2112100001")</f>
        <v>#NAME?</v>
      </c>
      <c r="I2771" s="23" t="e">
        <f ca="1">[1]!BexGetData("DP_1","003N8EMH8GTFRCSWKMPXRSAE6","GSON2112100001")</f>
        <v>#NAME?</v>
      </c>
      <c r="J2771" s="24" t="e">
        <f ca="1">[1]!BexGetData("DP_1","003N8EMH8GTFRCSWKMPXRSGPQ","GSON2112100001")</f>
        <v>#NAME?</v>
      </c>
      <c r="K2771" s="23" t="e">
        <f ca="1">[1]!BexGetData("DP_1","003N8EMH8GTFRIVNUPY288VJH","GSON2112100001")</f>
        <v>#NAME?</v>
      </c>
      <c r="L2771" s="23" t="e">
        <f ca="1">[1]!BexGetData("DP_1","003N8EMH8GTFRIVNUPY2891V1","GSON2112100001")</f>
        <v>#NAME?</v>
      </c>
      <c r="M2771" s="23" t="e">
        <f ca="1">[1]!BexGetData("DP_1","003N8EMH8GTFRIVOG7KG9IQXA","GSON2112100001")</f>
        <v>#NAME?</v>
      </c>
      <c r="N2771" s="28" t="e">
        <f ca="1">[1]!BexGetData("DP_1","003N8EMH8GTFRIVOG7KG9IX8U","GSON2112100001")</f>
        <v>#NAME?</v>
      </c>
      <c r="O2771" s="23" t="e">
        <f ca="1">[1]!BexGetData("DP_1","003N8EMH8GTFRIVOG7KG9J3KE","GSON2112100001")</f>
        <v>#NAME?</v>
      </c>
      <c r="P2771" s="28" t="e">
        <f ca="1">[1]!BexGetData("DP_1","003N8EMH8GTFRIVOG7KG9J9VY","GSON2112100001")</f>
        <v>#NAME?</v>
      </c>
      <c r="Q2771" s="24" t="e">
        <f ca="1">[1]!BexGetData("DP_1","00O2TNJGODT0G5Z4TTKYMM5MT","GSON2112100001")</f>
        <v>#NAME?</v>
      </c>
      <c r="R2771" s="23" t="e">
        <f ca="1">[1]!BexGetData("DP_1","00O2TNJGODT0G5Z4TTKYMMBYD","GSON2112100001")</f>
        <v>#NAME?</v>
      </c>
      <c r="S2771" s="23" t="e">
        <f ca="1">[1]!BexGetData("DP_1","00O2TNJGODT0G5Z4TTKYMMI9X","GSON2112100001")</f>
        <v>#NAME?</v>
      </c>
      <c r="T2771" s="23" t="e">
        <f ca="1">[1]!BexGetData("DP_1","00O2TNJGODT0G5Z4TTKYMMOLH","GSON2112100001")</f>
        <v>#NAME?</v>
      </c>
      <c r="U2771" s="28" t="e">
        <f ca="1">[1]!BexGetData("DP_1","00O2TNJGODT0G5Z4TTKYMMUX1","GSON2112100001")</f>
        <v>#NAME?</v>
      </c>
      <c r="V2771" s="23" t="e">
        <f ca="1">[1]!BexGetData("DP_1","00O2TNJGODT0G5Z4TTKYMN18L","GSON2112100001")</f>
        <v>#NAME?</v>
      </c>
      <c r="W2771" s="28" t="e">
        <f ca="1">[1]!BexGetData("DP_1","00O2TNJGODT0G5Z4TTKYMN7K5","GSON2112100001")</f>
        <v>#NAME?</v>
      </c>
    </row>
    <row r="2772" spans="1:23" x14ac:dyDescent="0.2">
      <c r="A2772" s="37" t="s">
        <v>1405</v>
      </c>
      <c r="B2772" s="27" t="s">
        <v>678</v>
      </c>
      <c r="C2772" s="23" t="e">
        <f ca="1">[1]!BexGetData("DP_1","003N8EMH8GTFRCSWKMPXRR8GU","GSON2112100002")</f>
        <v>#NAME?</v>
      </c>
      <c r="D2772" s="23" t="e">
        <f ca="1">[1]!BexGetData("DP_1","003N8EMH8GTFRCSWKMPXRRESE","GSON2112100002")</f>
        <v>#NAME?</v>
      </c>
      <c r="E2772" s="23" t="e">
        <f ca="1">[1]!BexGetData("DP_1","003N8EMH8GTFRCSWKMPXRRL3Y","GSON2112100002")</f>
        <v>#NAME?</v>
      </c>
      <c r="F2772" s="23" t="e">
        <f ca="1">[1]!BexGetData("DP_1","003N8EMH8GTFRCSWKMPXRRRFI","GSON2112100002")</f>
        <v>#NAME?</v>
      </c>
      <c r="G2772" s="23" t="e">
        <f ca="1">[1]!BexGetData("DP_1","003N8EMH8GTFRCSWKMPXRRXR2","GSON2112100002")</f>
        <v>#NAME?</v>
      </c>
      <c r="H2772" s="23" t="e">
        <f ca="1">[1]!BexGetData("DP_1","003N8EMH8GTFRCSWKMPXRS42M","GSON2112100002")</f>
        <v>#NAME?</v>
      </c>
      <c r="I2772" s="23" t="e">
        <f ca="1">[1]!BexGetData("DP_1","003N8EMH8GTFRCSWKMPXRSAE6","GSON2112100002")</f>
        <v>#NAME?</v>
      </c>
      <c r="J2772" s="24" t="e">
        <f ca="1">[1]!BexGetData("DP_1","003N8EMH8GTFRCSWKMPXRSGPQ","GSON2112100002")</f>
        <v>#NAME?</v>
      </c>
      <c r="K2772" s="23" t="e">
        <f ca="1">[1]!BexGetData("DP_1","003N8EMH8GTFRIVNUPY288VJH","GSON2112100002")</f>
        <v>#NAME?</v>
      </c>
      <c r="L2772" s="23" t="e">
        <f ca="1">[1]!BexGetData("DP_1","003N8EMH8GTFRIVNUPY2891V1","GSON2112100002")</f>
        <v>#NAME?</v>
      </c>
      <c r="M2772" s="28" t="e">
        <f ca="1">[1]!BexGetData("DP_1","003N8EMH8GTFRIVOG7KG9IQXA","GSON2112100002")</f>
        <v>#NAME?</v>
      </c>
      <c r="N2772" s="23" t="e">
        <f ca="1">[1]!BexGetData("DP_1","003N8EMH8GTFRIVOG7KG9IX8U","GSON2112100002")</f>
        <v>#NAME?</v>
      </c>
      <c r="O2772" s="28" t="e">
        <f ca="1">[1]!BexGetData("DP_1","003N8EMH8GTFRIVOG7KG9J3KE","GSON2112100002")</f>
        <v>#NAME?</v>
      </c>
      <c r="P2772" s="23" t="e">
        <f ca="1">[1]!BexGetData("DP_1","003N8EMH8GTFRIVOG7KG9J9VY","GSON2112100002")</f>
        <v>#NAME?</v>
      </c>
      <c r="Q2772" s="24" t="e">
        <f ca="1">[1]!BexGetData("DP_1","00O2TNJGODT0G5Z4TTKYMM5MT","GSON2112100002")</f>
        <v>#NAME?</v>
      </c>
      <c r="R2772" s="23" t="e">
        <f ca="1">[1]!BexGetData("DP_1","00O2TNJGODT0G5Z4TTKYMMBYD","GSON2112100002")</f>
        <v>#NAME?</v>
      </c>
      <c r="S2772" s="23" t="e">
        <f ca="1">[1]!BexGetData("DP_1","00O2TNJGODT0G5Z4TTKYMMI9X","GSON2112100002")</f>
        <v>#NAME?</v>
      </c>
      <c r="T2772" s="23" t="e">
        <f ca="1">[1]!BexGetData("DP_1","00O2TNJGODT0G5Z4TTKYMMOLH","GSON2112100002")</f>
        <v>#NAME?</v>
      </c>
      <c r="U2772" s="28" t="e">
        <f ca="1">[1]!BexGetData("DP_1","00O2TNJGODT0G5Z4TTKYMMUX1","GSON2112100002")</f>
        <v>#NAME?</v>
      </c>
      <c r="V2772" s="23" t="e">
        <f ca="1">[1]!BexGetData("DP_1","00O2TNJGODT0G5Z4TTKYMN18L","GSON2112100002")</f>
        <v>#NAME?</v>
      </c>
      <c r="W2772" s="28" t="e">
        <f ca="1">[1]!BexGetData("DP_1","00O2TNJGODT0G5Z4TTKYMN7K5","GSON2112100002")</f>
        <v>#NAME?</v>
      </c>
    </row>
    <row r="2773" spans="1:23" x14ac:dyDescent="0.2">
      <c r="A2773" s="37" t="s">
        <v>679</v>
      </c>
      <c r="B2773" s="27" t="s">
        <v>680</v>
      </c>
      <c r="C2773" s="23" t="e">
        <f ca="1">[1]!BexGetData("DP_1","003N8EMH8GTFRCSWKMPXRR8GU","GSON2112100003")</f>
        <v>#NAME?</v>
      </c>
      <c r="D2773" s="23" t="e">
        <f ca="1">[1]!BexGetData("DP_1","003N8EMH8GTFRCSWKMPXRRESE","GSON2112100003")</f>
        <v>#NAME?</v>
      </c>
      <c r="E2773" s="23" t="e">
        <f ca="1">[1]!BexGetData("DP_1","003N8EMH8GTFRCSWKMPXRRL3Y","GSON2112100003")</f>
        <v>#NAME?</v>
      </c>
      <c r="F2773" s="23" t="e">
        <f ca="1">[1]!BexGetData("DP_1","003N8EMH8GTFRCSWKMPXRRRFI","GSON2112100003")</f>
        <v>#NAME?</v>
      </c>
      <c r="G2773" s="23" t="e">
        <f ca="1">[1]!BexGetData("DP_1","003N8EMH8GTFRCSWKMPXRRXR2","GSON2112100003")</f>
        <v>#NAME?</v>
      </c>
      <c r="H2773" s="23" t="e">
        <f ca="1">[1]!BexGetData("DP_1","003N8EMH8GTFRCSWKMPXRS42M","GSON2112100003")</f>
        <v>#NAME?</v>
      </c>
      <c r="I2773" s="23" t="e">
        <f ca="1">[1]!BexGetData("DP_1","003N8EMH8GTFRCSWKMPXRSAE6","GSON2112100003")</f>
        <v>#NAME?</v>
      </c>
      <c r="J2773" s="24" t="e">
        <f ca="1">[1]!BexGetData("DP_1","003N8EMH8GTFRCSWKMPXRSGPQ","GSON2112100003")</f>
        <v>#NAME?</v>
      </c>
      <c r="K2773" s="23" t="e">
        <f ca="1">[1]!BexGetData("DP_1","003N8EMH8GTFRIVNUPY288VJH","GSON2112100003")</f>
        <v>#NAME?</v>
      </c>
      <c r="L2773" s="23" t="e">
        <f ca="1">[1]!BexGetData("DP_1","003N8EMH8GTFRIVNUPY2891V1","GSON2112100003")</f>
        <v>#NAME?</v>
      </c>
      <c r="M2773" s="23" t="e">
        <f ca="1">[1]!BexGetData("DP_1","003N8EMH8GTFRIVOG7KG9IQXA","GSON2112100003")</f>
        <v>#NAME?</v>
      </c>
      <c r="N2773" s="28" t="e">
        <f ca="1">[1]!BexGetData("DP_1","003N8EMH8GTFRIVOG7KG9IX8U","GSON2112100003")</f>
        <v>#NAME?</v>
      </c>
      <c r="O2773" s="23" t="e">
        <f ca="1">[1]!BexGetData("DP_1","003N8EMH8GTFRIVOG7KG9J3KE","GSON2112100003")</f>
        <v>#NAME?</v>
      </c>
      <c r="P2773" s="28" t="e">
        <f ca="1">[1]!BexGetData("DP_1","003N8EMH8GTFRIVOG7KG9J9VY","GSON2112100003")</f>
        <v>#NAME?</v>
      </c>
      <c r="Q2773" s="24" t="e">
        <f ca="1">[1]!BexGetData("DP_1","00O2TNJGODT0G5Z4TTKYMM5MT","GSON2112100003")</f>
        <v>#NAME?</v>
      </c>
      <c r="R2773" s="23" t="e">
        <f ca="1">[1]!BexGetData("DP_1","00O2TNJGODT0G5Z4TTKYMMBYD","GSON2112100003")</f>
        <v>#NAME?</v>
      </c>
      <c r="S2773" s="23" t="e">
        <f ca="1">[1]!BexGetData("DP_1","00O2TNJGODT0G5Z4TTKYMMI9X","GSON2112100003")</f>
        <v>#NAME?</v>
      </c>
      <c r="T2773" s="23" t="e">
        <f ca="1">[1]!BexGetData("DP_1","00O2TNJGODT0G5Z4TTKYMMOLH","GSON2112100003")</f>
        <v>#NAME?</v>
      </c>
      <c r="U2773" s="28" t="e">
        <f ca="1">[1]!BexGetData("DP_1","00O2TNJGODT0G5Z4TTKYMMUX1","GSON2112100003")</f>
        <v>#NAME?</v>
      </c>
      <c r="V2773" s="23" t="e">
        <f ca="1">[1]!BexGetData("DP_1","00O2TNJGODT0G5Z4TTKYMN18L","GSON2112100003")</f>
        <v>#NAME?</v>
      </c>
      <c r="W2773" s="28" t="e">
        <f ca="1">[1]!BexGetData("DP_1","00O2TNJGODT0G5Z4TTKYMN7K5","GSON2112100003")</f>
        <v>#NAME?</v>
      </c>
    </row>
    <row r="2774" spans="1:23" x14ac:dyDescent="0.2">
      <c r="A2774" s="37" t="s">
        <v>6141</v>
      </c>
      <c r="B2774" s="27" t="s">
        <v>6142</v>
      </c>
      <c r="C2774" s="23" t="e">
        <f ca="1">[1]!BexGetData("DP_1","003N8EMH8GTFRCSWKMPXRR8GU","GSON2112100004")</f>
        <v>#NAME?</v>
      </c>
      <c r="D2774" s="23" t="e">
        <f ca="1">[1]!BexGetData("DP_1","003N8EMH8GTFRCSWKMPXRRESE","GSON2112100004")</f>
        <v>#NAME?</v>
      </c>
      <c r="E2774" s="23" t="e">
        <f ca="1">[1]!BexGetData("DP_1","003N8EMH8GTFRCSWKMPXRRL3Y","GSON2112100004")</f>
        <v>#NAME?</v>
      </c>
      <c r="F2774" s="23" t="e">
        <f ca="1">[1]!BexGetData("DP_1","003N8EMH8GTFRCSWKMPXRRRFI","GSON2112100004")</f>
        <v>#NAME?</v>
      </c>
      <c r="G2774" s="23" t="e">
        <f ca="1">[1]!BexGetData("DP_1","003N8EMH8GTFRCSWKMPXRRXR2","GSON2112100004")</f>
        <v>#NAME?</v>
      </c>
      <c r="H2774" s="23" t="e">
        <f ca="1">[1]!BexGetData("DP_1","003N8EMH8GTFRCSWKMPXRS42M","GSON2112100004")</f>
        <v>#NAME?</v>
      </c>
      <c r="I2774" s="23" t="e">
        <f ca="1">[1]!BexGetData("DP_1","003N8EMH8GTFRCSWKMPXRSAE6","GSON2112100004")</f>
        <v>#NAME?</v>
      </c>
      <c r="J2774" s="23" t="e">
        <f ca="1">[1]!BexGetData("DP_1","003N8EMH8GTFRCSWKMPXRSGPQ","GSON2112100004")</f>
        <v>#NAME?</v>
      </c>
      <c r="K2774" s="23" t="e">
        <f ca="1">[1]!BexGetData("DP_1","003N8EMH8GTFRIVNUPY288VJH","GSON2112100004")</f>
        <v>#NAME?</v>
      </c>
      <c r="L2774" s="23" t="e">
        <f ca="1">[1]!BexGetData("DP_1","003N8EMH8GTFRIVNUPY2891V1","GSON2112100004")</f>
        <v>#NAME?</v>
      </c>
      <c r="M2774" s="28" t="e">
        <f ca="1">[1]!BexGetData("DP_1","003N8EMH8GTFRIVOG7KG9IQXA","GSON2112100004")</f>
        <v>#NAME?</v>
      </c>
      <c r="N2774" s="23" t="e">
        <f ca="1">[1]!BexGetData("DP_1","003N8EMH8GTFRIVOG7KG9IX8U","GSON2112100004")</f>
        <v>#NAME?</v>
      </c>
      <c r="O2774" s="28" t="e">
        <f ca="1">[1]!BexGetData("DP_1","003N8EMH8GTFRIVOG7KG9J3KE","GSON2112100004")</f>
        <v>#NAME?</v>
      </c>
      <c r="P2774" s="23" t="e">
        <f ca="1">[1]!BexGetData("DP_1","003N8EMH8GTFRIVOG7KG9J9VY","GSON2112100004")</f>
        <v>#NAME?</v>
      </c>
      <c r="Q2774" s="23" t="e">
        <f ca="1">[1]!BexGetData("DP_1","00O2TNJGODT0G5Z4TTKYMM5MT","GSON2112100004")</f>
        <v>#NAME?</v>
      </c>
      <c r="R2774" s="23" t="e">
        <f ca="1">[1]!BexGetData("DP_1","00O2TNJGODT0G5Z4TTKYMMBYD","GSON2112100004")</f>
        <v>#NAME?</v>
      </c>
      <c r="S2774" s="23" t="e">
        <f ca="1">[1]!BexGetData("DP_1","00O2TNJGODT0G5Z4TTKYMMI9X","GSON2112100004")</f>
        <v>#NAME?</v>
      </c>
      <c r="T2774" s="28" t="e">
        <f ca="1">[1]!BexGetData("DP_1","00O2TNJGODT0G5Z4TTKYMMOLH","GSON2112100004")</f>
        <v>#NAME?</v>
      </c>
      <c r="U2774" s="23" t="e">
        <f ca="1">[1]!BexGetData("DP_1","00O2TNJGODT0G5Z4TTKYMMUX1","GSON2112100004")</f>
        <v>#NAME?</v>
      </c>
      <c r="V2774" s="28" t="e">
        <f ca="1">[1]!BexGetData("DP_1","00O2TNJGODT0G5Z4TTKYMN18L","GSON2112100004")</f>
        <v>#NAME?</v>
      </c>
      <c r="W2774" s="23" t="e">
        <f ca="1">[1]!BexGetData("DP_1","00O2TNJGODT0G5Z4TTKYMN7K5","GSON2112100004")</f>
        <v>#NAME?</v>
      </c>
    </row>
    <row r="2775" spans="1:23" x14ac:dyDescent="0.2">
      <c r="A2775" s="37" t="s">
        <v>6143</v>
      </c>
      <c r="B2775" s="27" t="s">
        <v>6144</v>
      </c>
      <c r="C2775" s="28" t="e">
        <f ca="1">[1]!BexGetData("DP_1","003N8EMH8GTFRCSWKMPXRR8GU","GSON2112100005")</f>
        <v>#NAME?</v>
      </c>
      <c r="D2775" s="28" t="e">
        <f ca="1">[1]!BexGetData("DP_1","003N8EMH8GTFRCSWKMPXRRESE","GSON2112100005")</f>
        <v>#NAME?</v>
      </c>
      <c r="E2775" s="23" t="e">
        <f ca="1">[1]!BexGetData("DP_1","003N8EMH8GTFRCSWKMPXRRL3Y","GSON2112100005")</f>
        <v>#NAME?</v>
      </c>
      <c r="F2775" s="23" t="e">
        <f ca="1">[1]!BexGetData("DP_1","003N8EMH8GTFRCSWKMPXRRRFI","GSON2112100005")</f>
        <v>#NAME?</v>
      </c>
      <c r="G2775" s="28" t="e">
        <f ca="1">[1]!BexGetData("DP_1","003N8EMH8GTFRCSWKMPXRRXR2","GSON2112100005")</f>
        <v>#NAME?</v>
      </c>
      <c r="H2775" s="23" t="e">
        <f ca="1">[1]!BexGetData("DP_1","003N8EMH8GTFRCSWKMPXRS42M","GSON2112100005")</f>
        <v>#NAME?</v>
      </c>
      <c r="I2775" s="23" t="e">
        <f ca="1">[1]!BexGetData("DP_1","003N8EMH8GTFRCSWKMPXRSAE6","GSON2112100005")</f>
        <v>#NAME?</v>
      </c>
      <c r="J2775" s="24" t="e">
        <f ca="1">[1]!BexGetData("DP_1","003N8EMH8GTFRCSWKMPXRSGPQ","GSON2112100005")</f>
        <v>#NAME?</v>
      </c>
      <c r="K2775" s="28" t="e">
        <f ca="1">[1]!BexGetData("DP_1","003N8EMH8GTFRIVNUPY288VJH","GSON2112100005")</f>
        <v>#NAME?</v>
      </c>
      <c r="L2775" s="28" t="e">
        <f ca="1">[1]!BexGetData("DP_1","003N8EMH8GTFRIVNUPY2891V1","GSON2112100005")</f>
        <v>#NAME?</v>
      </c>
      <c r="M2775" s="28" t="e">
        <f ca="1">[1]!BexGetData("DP_1","003N8EMH8GTFRIVOG7KG9IQXA","GSON2112100005")</f>
        <v>#NAME?</v>
      </c>
      <c r="N2775" s="28" t="e">
        <f ca="1">[1]!BexGetData("DP_1","003N8EMH8GTFRIVOG7KG9IX8U","GSON2112100005")</f>
        <v>#NAME?</v>
      </c>
      <c r="O2775" s="28" t="e">
        <f ca="1">[1]!BexGetData("DP_1","003N8EMH8GTFRIVOG7KG9J3KE","GSON2112100005")</f>
        <v>#NAME?</v>
      </c>
      <c r="P2775" s="28" t="e">
        <f ca="1">[1]!BexGetData("DP_1","003N8EMH8GTFRIVOG7KG9J9VY","GSON2112100005")</f>
        <v>#NAME?</v>
      </c>
      <c r="Q2775" s="24" t="e">
        <f ca="1">[1]!BexGetData("DP_1","00O2TNJGODT0G5Z4TTKYMM5MT","GSON2112100005")</f>
        <v>#NAME?</v>
      </c>
      <c r="R2775" s="23" t="e">
        <f ca="1">[1]!BexGetData("DP_1","00O2TNJGODT0G5Z4TTKYMMBYD","GSON2112100005")</f>
        <v>#NAME?</v>
      </c>
      <c r="S2775" s="23" t="e">
        <f ca="1">[1]!BexGetData("DP_1","00O2TNJGODT0G5Z4TTKYMMI9X","GSON2112100005")</f>
        <v>#NAME?</v>
      </c>
      <c r="T2775" s="23" t="e">
        <f ca="1">[1]!BexGetData("DP_1","00O2TNJGODT0G5Z4TTKYMMOLH","GSON2112100005")</f>
        <v>#NAME?</v>
      </c>
      <c r="U2775" s="28" t="e">
        <f ca="1">[1]!BexGetData("DP_1","00O2TNJGODT0G5Z4TTKYMMUX1","GSON2112100005")</f>
        <v>#NAME?</v>
      </c>
      <c r="V2775" s="23" t="e">
        <f ca="1">[1]!BexGetData("DP_1","00O2TNJGODT0G5Z4TTKYMN18L","GSON2112100005")</f>
        <v>#NAME?</v>
      </c>
      <c r="W2775" s="28" t="e">
        <f ca="1">[1]!BexGetData("DP_1","00O2TNJGODT0G5Z4TTKYMN7K5","GSON2112100005")</f>
        <v>#NAME?</v>
      </c>
    </row>
    <row r="2776" spans="1:23" x14ac:dyDescent="0.2">
      <c r="A2776" s="37" t="s">
        <v>1406</v>
      </c>
      <c r="B2776" s="27" t="s">
        <v>1407</v>
      </c>
      <c r="C2776" s="23" t="e">
        <f ca="1">[1]!BexGetData("DP_1","003N8EMH8GTFRCSWKMPXRR8GU","GSON2113100002")</f>
        <v>#NAME?</v>
      </c>
      <c r="D2776" s="23" t="e">
        <f ca="1">[1]!BexGetData("DP_1","003N8EMH8GTFRCSWKMPXRRESE","GSON2113100002")</f>
        <v>#NAME?</v>
      </c>
      <c r="E2776" s="23" t="e">
        <f ca="1">[1]!BexGetData("DP_1","003N8EMH8GTFRCSWKMPXRRL3Y","GSON2113100002")</f>
        <v>#NAME?</v>
      </c>
      <c r="F2776" s="23" t="e">
        <f ca="1">[1]!BexGetData("DP_1","003N8EMH8GTFRCSWKMPXRRRFI","GSON2113100002")</f>
        <v>#NAME?</v>
      </c>
      <c r="G2776" s="23" t="e">
        <f ca="1">[1]!BexGetData("DP_1","003N8EMH8GTFRCSWKMPXRRXR2","GSON2113100002")</f>
        <v>#NAME?</v>
      </c>
      <c r="H2776" s="23" t="e">
        <f ca="1">[1]!BexGetData("DP_1","003N8EMH8GTFRCSWKMPXRS42M","GSON2113100002")</f>
        <v>#NAME?</v>
      </c>
      <c r="I2776" s="23" t="e">
        <f ca="1">[1]!BexGetData("DP_1","003N8EMH8GTFRCSWKMPXRSAE6","GSON2113100002")</f>
        <v>#NAME?</v>
      </c>
      <c r="J2776" s="24" t="e">
        <f ca="1">[1]!BexGetData("DP_1","003N8EMH8GTFRCSWKMPXRSGPQ","GSON2113100002")</f>
        <v>#NAME?</v>
      </c>
      <c r="K2776" s="23" t="e">
        <f ca="1">[1]!BexGetData("DP_1","003N8EMH8GTFRIVNUPY288VJH","GSON2113100002")</f>
        <v>#NAME?</v>
      </c>
      <c r="L2776" s="23" t="e">
        <f ca="1">[1]!BexGetData("DP_1","003N8EMH8GTFRIVNUPY2891V1","GSON2113100002")</f>
        <v>#NAME?</v>
      </c>
      <c r="M2776" s="28" t="e">
        <f ca="1">[1]!BexGetData("DP_1","003N8EMH8GTFRIVOG7KG9IQXA","GSON2113100002")</f>
        <v>#NAME?</v>
      </c>
      <c r="N2776" s="23" t="e">
        <f ca="1">[1]!BexGetData("DP_1","003N8EMH8GTFRIVOG7KG9IX8U","GSON2113100002")</f>
        <v>#NAME?</v>
      </c>
      <c r="O2776" s="28" t="e">
        <f ca="1">[1]!BexGetData("DP_1","003N8EMH8GTFRIVOG7KG9J3KE","GSON2113100002")</f>
        <v>#NAME?</v>
      </c>
      <c r="P2776" s="23" t="e">
        <f ca="1">[1]!BexGetData("DP_1","003N8EMH8GTFRIVOG7KG9J9VY","GSON2113100002")</f>
        <v>#NAME?</v>
      </c>
      <c r="Q2776" s="24" t="e">
        <f ca="1">[1]!BexGetData("DP_1","00O2TNJGODT0G5Z4TTKYMM5MT","GSON2113100002")</f>
        <v>#NAME?</v>
      </c>
      <c r="R2776" s="23" t="e">
        <f ca="1">[1]!BexGetData("DP_1","00O2TNJGODT0G5Z4TTKYMMBYD","GSON2113100002")</f>
        <v>#NAME?</v>
      </c>
      <c r="S2776" s="23" t="e">
        <f ca="1">[1]!BexGetData("DP_1","00O2TNJGODT0G5Z4TTKYMMI9X","GSON2113100002")</f>
        <v>#NAME?</v>
      </c>
      <c r="T2776" s="23" t="e">
        <f ca="1">[1]!BexGetData("DP_1","00O2TNJGODT0G5Z4TTKYMMOLH","GSON2113100002")</f>
        <v>#NAME?</v>
      </c>
      <c r="U2776" s="28" t="e">
        <f ca="1">[1]!BexGetData("DP_1","00O2TNJGODT0G5Z4TTKYMMUX1","GSON2113100002")</f>
        <v>#NAME?</v>
      </c>
      <c r="V2776" s="23" t="e">
        <f ca="1">[1]!BexGetData("DP_1","00O2TNJGODT0G5Z4TTKYMN18L","GSON2113100002")</f>
        <v>#NAME?</v>
      </c>
      <c r="W2776" s="28" t="e">
        <f ca="1">[1]!BexGetData("DP_1","00O2TNJGODT0G5Z4TTKYMN7K5","GSON2113100002")</f>
        <v>#NAME?</v>
      </c>
    </row>
    <row r="2777" spans="1:23" x14ac:dyDescent="0.2">
      <c r="A2777" s="36" t="s">
        <v>1408</v>
      </c>
      <c r="B2777" s="27" t="s">
        <v>1409</v>
      </c>
      <c r="C2777" s="23" t="e">
        <f ca="1">[1]!BexGetData("DP_1","003N8EMH8GTFRCSWKMPXRR8GU","GSON2113")</f>
        <v>#NAME?</v>
      </c>
      <c r="D2777" s="23" t="e">
        <f ca="1">[1]!BexGetData("DP_1","003N8EMH8GTFRCSWKMPXRRESE","GSON2113")</f>
        <v>#NAME?</v>
      </c>
      <c r="E2777" s="23" t="e">
        <f ca="1">[1]!BexGetData("DP_1","003N8EMH8GTFRCSWKMPXRRL3Y","GSON2113")</f>
        <v>#NAME?</v>
      </c>
      <c r="F2777" s="23" t="e">
        <f ca="1">[1]!BexGetData("DP_1","003N8EMH8GTFRCSWKMPXRRRFI","GSON2113")</f>
        <v>#NAME?</v>
      </c>
      <c r="G2777" s="23" t="e">
        <f ca="1">[1]!BexGetData("DP_1","003N8EMH8GTFRCSWKMPXRRXR2","GSON2113")</f>
        <v>#NAME?</v>
      </c>
      <c r="H2777" s="23" t="e">
        <f ca="1">[1]!BexGetData("DP_1","003N8EMH8GTFRCSWKMPXRS42M","GSON2113")</f>
        <v>#NAME?</v>
      </c>
      <c r="I2777" s="23" t="e">
        <f ca="1">[1]!BexGetData("DP_1","003N8EMH8GTFRCSWKMPXRSAE6","GSON2113")</f>
        <v>#NAME?</v>
      </c>
      <c r="J2777" s="23" t="e">
        <f ca="1">[1]!BexGetData("DP_1","003N8EMH8GTFRCSWKMPXRSGPQ","GSON2113")</f>
        <v>#NAME?</v>
      </c>
      <c r="K2777" s="23" t="e">
        <f ca="1">[1]!BexGetData("DP_1","003N8EMH8GTFRIVNUPY288VJH","GSON2113")</f>
        <v>#NAME?</v>
      </c>
      <c r="L2777" s="23" t="e">
        <f ca="1">[1]!BexGetData("DP_1","003N8EMH8GTFRIVNUPY2891V1","GSON2113")</f>
        <v>#NAME?</v>
      </c>
      <c r="M2777" s="23" t="e">
        <f ca="1">[1]!BexGetData("DP_1","003N8EMH8GTFRIVOG7KG9IQXA","GSON2113")</f>
        <v>#NAME?</v>
      </c>
      <c r="N2777" s="28" t="e">
        <f ca="1">[1]!BexGetData("DP_1","003N8EMH8GTFRIVOG7KG9IX8U","GSON2113")</f>
        <v>#NAME?</v>
      </c>
      <c r="O2777" s="23" t="e">
        <f ca="1">[1]!BexGetData("DP_1","003N8EMH8GTFRIVOG7KG9J3KE","GSON2113")</f>
        <v>#NAME?</v>
      </c>
      <c r="P2777" s="28" t="e">
        <f ca="1">[1]!BexGetData("DP_1","003N8EMH8GTFRIVOG7KG9J9VY","GSON2113")</f>
        <v>#NAME?</v>
      </c>
      <c r="Q2777" s="23" t="e">
        <f ca="1">[1]!BexGetData("DP_1","00O2TNJGODT0G5Z4TTKYMM5MT","GSON2113")</f>
        <v>#NAME?</v>
      </c>
      <c r="R2777" s="23" t="e">
        <f ca="1">[1]!BexGetData("DP_1","00O2TNJGODT0G5Z4TTKYMMBYD","GSON2113")</f>
        <v>#NAME?</v>
      </c>
      <c r="S2777" s="23" t="e">
        <f ca="1">[1]!BexGetData("DP_1","00O2TNJGODT0G5Z4TTKYMMI9X","GSON2113")</f>
        <v>#NAME?</v>
      </c>
      <c r="T2777" s="23" t="e">
        <f ca="1">[1]!BexGetData("DP_1","00O2TNJGODT0G5Z4TTKYMMOLH","GSON2113")</f>
        <v>#NAME?</v>
      </c>
      <c r="U2777" s="28" t="e">
        <f ca="1">[1]!BexGetData("DP_1","00O2TNJGODT0G5Z4TTKYMMUX1","GSON2113")</f>
        <v>#NAME?</v>
      </c>
      <c r="V2777" s="23" t="e">
        <f ca="1">[1]!BexGetData("DP_1","00O2TNJGODT0G5Z4TTKYMN18L","GSON2113")</f>
        <v>#NAME?</v>
      </c>
      <c r="W2777" s="28" t="e">
        <f ca="1">[1]!BexGetData("DP_1","00O2TNJGODT0G5Z4TTKYMN7K5","GSON2113")</f>
        <v>#NAME?</v>
      </c>
    </row>
    <row r="2778" spans="1:23" x14ac:dyDescent="0.2">
      <c r="A2778" s="37" t="s">
        <v>1410</v>
      </c>
      <c r="B2778" s="27" t="s">
        <v>1411</v>
      </c>
      <c r="C2778" s="23" t="e">
        <f ca="1">[1]!BexGetData("DP_1","003N8EMH8GTFRCSWKMPXRR8GU","GSON2113100001")</f>
        <v>#NAME?</v>
      </c>
      <c r="D2778" s="23" t="e">
        <f ca="1">[1]!BexGetData("DP_1","003N8EMH8GTFRCSWKMPXRRESE","GSON2113100001")</f>
        <v>#NAME?</v>
      </c>
      <c r="E2778" s="23" t="e">
        <f ca="1">[1]!BexGetData("DP_1","003N8EMH8GTFRCSWKMPXRRL3Y","GSON2113100001")</f>
        <v>#NAME?</v>
      </c>
      <c r="F2778" s="23" t="e">
        <f ca="1">[1]!BexGetData("DP_1","003N8EMH8GTFRCSWKMPXRRRFI","GSON2113100001")</f>
        <v>#NAME?</v>
      </c>
      <c r="G2778" s="23" t="e">
        <f ca="1">[1]!BexGetData("DP_1","003N8EMH8GTFRCSWKMPXRRXR2","GSON2113100001")</f>
        <v>#NAME?</v>
      </c>
      <c r="H2778" s="23" t="e">
        <f ca="1">[1]!BexGetData("DP_1","003N8EMH8GTFRCSWKMPXRS42M","GSON2113100001")</f>
        <v>#NAME?</v>
      </c>
      <c r="I2778" s="23" t="e">
        <f ca="1">[1]!BexGetData("DP_1","003N8EMH8GTFRCSWKMPXRSAE6","GSON2113100001")</f>
        <v>#NAME?</v>
      </c>
      <c r="J2778" s="24" t="e">
        <f ca="1">[1]!BexGetData("DP_1","003N8EMH8GTFRCSWKMPXRSGPQ","GSON2113100001")</f>
        <v>#NAME?</v>
      </c>
      <c r="K2778" s="23" t="e">
        <f ca="1">[1]!BexGetData("DP_1","003N8EMH8GTFRIVNUPY288VJH","GSON2113100001")</f>
        <v>#NAME?</v>
      </c>
      <c r="L2778" s="23" t="e">
        <f ca="1">[1]!BexGetData("DP_1","003N8EMH8GTFRIVNUPY2891V1","GSON2113100001")</f>
        <v>#NAME?</v>
      </c>
      <c r="M2778" s="23" t="e">
        <f ca="1">[1]!BexGetData("DP_1","003N8EMH8GTFRIVOG7KG9IQXA","GSON2113100001")</f>
        <v>#NAME?</v>
      </c>
      <c r="N2778" s="28" t="e">
        <f ca="1">[1]!BexGetData("DP_1","003N8EMH8GTFRIVOG7KG9IX8U","GSON2113100001")</f>
        <v>#NAME?</v>
      </c>
      <c r="O2778" s="23" t="e">
        <f ca="1">[1]!BexGetData("DP_1","003N8EMH8GTFRIVOG7KG9J3KE","GSON2113100001")</f>
        <v>#NAME?</v>
      </c>
      <c r="P2778" s="28" t="e">
        <f ca="1">[1]!BexGetData("DP_1","003N8EMH8GTFRIVOG7KG9J9VY","GSON2113100001")</f>
        <v>#NAME?</v>
      </c>
      <c r="Q2778" s="24" t="e">
        <f ca="1">[1]!BexGetData("DP_1","00O2TNJGODT0G5Z4TTKYMM5MT","GSON2113100001")</f>
        <v>#NAME?</v>
      </c>
      <c r="R2778" s="23" t="e">
        <f ca="1">[1]!BexGetData("DP_1","00O2TNJGODT0G5Z4TTKYMMBYD","GSON2113100001")</f>
        <v>#NAME?</v>
      </c>
      <c r="S2778" s="23" t="e">
        <f ca="1">[1]!BexGetData("DP_1","00O2TNJGODT0G5Z4TTKYMMI9X","GSON2113100001")</f>
        <v>#NAME?</v>
      </c>
      <c r="T2778" s="23" t="e">
        <f ca="1">[1]!BexGetData("DP_1","00O2TNJGODT0G5Z4TTKYMMOLH","GSON2113100001")</f>
        <v>#NAME?</v>
      </c>
      <c r="U2778" s="28" t="e">
        <f ca="1">[1]!BexGetData("DP_1","00O2TNJGODT0G5Z4TTKYMMUX1","GSON2113100001")</f>
        <v>#NAME?</v>
      </c>
      <c r="V2778" s="23" t="e">
        <f ca="1">[1]!BexGetData("DP_1","00O2TNJGODT0G5Z4TTKYMN18L","GSON2113100001")</f>
        <v>#NAME?</v>
      </c>
      <c r="W2778" s="28" t="e">
        <f ca="1">[1]!BexGetData("DP_1","00O2TNJGODT0G5Z4TTKYMN7K5","GSON2113100001")</f>
        <v>#NAME?</v>
      </c>
    </row>
    <row r="2779" spans="1:23" x14ac:dyDescent="0.2">
      <c r="A2779" s="37" t="s">
        <v>6145</v>
      </c>
      <c r="B2779" s="27" t="s">
        <v>6146</v>
      </c>
      <c r="C2779" s="28" t="e">
        <f ca="1">[1]!BexGetData("DP_1","003N8EMH8GTFRCSWKMPXRR8GU","GSON2113100003")</f>
        <v>#NAME?</v>
      </c>
      <c r="D2779" s="28" t="e">
        <f ca="1">[1]!BexGetData("DP_1","003N8EMH8GTFRCSWKMPXRRESE","GSON2113100003")</f>
        <v>#NAME?</v>
      </c>
      <c r="E2779" s="28" t="e">
        <f ca="1">[1]!BexGetData("DP_1","003N8EMH8GTFRCSWKMPXRRL3Y","GSON2113100003")</f>
        <v>#NAME?</v>
      </c>
      <c r="F2779" s="28" t="e">
        <f ca="1">[1]!BexGetData("DP_1","003N8EMH8GTFRCSWKMPXRRRFI","GSON2113100003")</f>
        <v>#NAME?</v>
      </c>
      <c r="G2779" s="23" t="e">
        <f ca="1">[1]!BexGetData("DP_1","003N8EMH8GTFRCSWKMPXRRXR2","GSON2113100003")</f>
        <v>#NAME?</v>
      </c>
      <c r="H2779" s="23" t="e">
        <f ca="1">[1]!BexGetData("DP_1","003N8EMH8GTFRCSWKMPXRS42M","GSON2113100003")</f>
        <v>#NAME?</v>
      </c>
      <c r="I2779" s="28" t="e">
        <f ca="1">[1]!BexGetData("DP_1","003N8EMH8GTFRCSWKMPXRSAE6","GSON2113100003")</f>
        <v>#NAME?</v>
      </c>
      <c r="J2779" s="23" t="e">
        <f ca="1">[1]!BexGetData("DP_1","003N8EMH8GTFRCSWKMPXRSGPQ","GSON2113100003")</f>
        <v>#NAME?</v>
      </c>
      <c r="K2779" s="28" t="e">
        <f ca="1">[1]!BexGetData("DP_1","003N8EMH8GTFRIVNUPY288VJH","GSON2113100003")</f>
        <v>#NAME?</v>
      </c>
      <c r="L2779" s="28" t="e">
        <f ca="1">[1]!BexGetData("DP_1","003N8EMH8GTFRIVNUPY2891V1","GSON2113100003")</f>
        <v>#NAME?</v>
      </c>
      <c r="M2779" s="28" t="e">
        <f ca="1">[1]!BexGetData("DP_1","003N8EMH8GTFRIVOG7KG9IQXA","GSON2113100003")</f>
        <v>#NAME?</v>
      </c>
      <c r="N2779" s="28" t="e">
        <f ca="1">[1]!BexGetData("DP_1","003N8EMH8GTFRIVOG7KG9IX8U","GSON2113100003")</f>
        <v>#NAME?</v>
      </c>
      <c r="O2779" s="28" t="e">
        <f ca="1">[1]!BexGetData("DP_1","003N8EMH8GTFRIVOG7KG9J3KE","GSON2113100003")</f>
        <v>#NAME?</v>
      </c>
      <c r="P2779" s="28" t="e">
        <f ca="1">[1]!BexGetData("DP_1","003N8EMH8GTFRIVOG7KG9J9VY","GSON2113100003")</f>
        <v>#NAME?</v>
      </c>
      <c r="Q2779" s="23" t="e">
        <f ca="1">[1]!BexGetData("DP_1","00O2TNJGODT0G5Z4TTKYMM5MT","GSON2113100003")</f>
        <v>#NAME?</v>
      </c>
      <c r="R2779" s="23" t="e">
        <f ca="1">[1]!BexGetData("DP_1","00O2TNJGODT0G5Z4TTKYMMBYD","GSON2113100003")</f>
        <v>#NAME?</v>
      </c>
      <c r="S2779" s="23" t="e">
        <f ca="1">[1]!BexGetData("DP_1","00O2TNJGODT0G5Z4TTKYMMI9X","GSON2113100003")</f>
        <v>#NAME?</v>
      </c>
      <c r="T2779" s="28" t="e">
        <f ca="1">[1]!BexGetData("DP_1","00O2TNJGODT0G5Z4TTKYMMOLH","GSON2113100003")</f>
        <v>#NAME?</v>
      </c>
      <c r="U2779" s="23" t="e">
        <f ca="1">[1]!BexGetData("DP_1","00O2TNJGODT0G5Z4TTKYMMUX1","GSON2113100003")</f>
        <v>#NAME?</v>
      </c>
      <c r="V2779" s="28" t="e">
        <f ca="1">[1]!BexGetData("DP_1","00O2TNJGODT0G5Z4TTKYMN18L","GSON2113100003")</f>
        <v>#NAME?</v>
      </c>
      <c r="W2779" s="23" t="e">
        <f ca="1">[1]!BexGetData("DP_1","00O2TNJGODT0G5Z4TTKYMN7K5","GSON2113100003")</f>
        <v>#NAME?</v>
      </c>
    </row>
    <row r="2780" spans="1:23" x14ac:dyDescent="0.2">
      <c r="A2780" s="36" t="s">
        <v>347</v>
      </c>
      <c r="B2780" s="27" t="s">
        <v>348</v>
      </c>
      <c r="C2780" s="23" t="e">
        <f ca="1">[1]!BexGetData("DP_1","003N8EMH8GTFRCSWKMPXRR8GU","GSON2114")</f>
        <v>#NAME?</v>
      </c>
      <c r="D2780" s="23" t="e">
        <f ca="1">[1]!BexGetData("DP_1","003N8EMH8GTFRCSWKMPXRRESE","GSON2114")</f>
        <v>#NAME?</v>
      </c>
      <c r="E2780" s="23" t="e">
        <f ca="1">[1]!BexGetData("DP_1","003N8EMH8GTFRCSWKMPXRRL3Y","GSON2114")</f>
        <v>#NAME?</v>
      </c>
      <c r="F2780" s="23" t="e">
        <f ca="1">[1]!BexGetData("DP_1","003N8EMH8GTFRCSWKMPXRRRFI","GSON2114")</f>
        <v>#NAME?</v>
      </c>
      <c r="G2780" s="23" t="e">
        <f ca="1">[1]!BexGetData("DP_1","003N8EMH8GTFRCSWKMPXRRXR2","GSON2114")</f>
        <v>#NAME?</v>
      </c>
      <c r="H2780" s="23" t="e">
        <f ca="1">[1]!BexGetData("DP_1","003N8EMH8GTFRCSWKMPXRS42M","GSON2114")</f>
        <v>#NAME?</v>
      </c>
      <c r="I2780" s="23" t="e">
        <f ca="1">[1]!BexGetData("DP_1","003N8EMH8GTFRCSWKMPXRSAE6","GSON2114")</f>
        <v>#NAME?</v>
      </c>
      <c r="J2780" s="23" t="e">
        <f ca="1">[1]!BexGetData("DP_1","003N8EMH8GTFRCSWKMPXRSGPQ","GSON2114")</f>
        <v>#NAME?</v>
      </c>
      <c r="K2780" s="23" t="e">
        <f ca="1">[1]!BexGetData("DP_1","003N8EMH8GTFRIVNUPY288VJH","GSON2114")</f>
        <v>#NAME?</v>
      </c>
      <c r="L2780" s="23" t="e">
        <f ca="1">[1]!BexGetData("DP_1","003N8EMH8GTFRIVNUPY2891V1","GSON2114")</f>
        <v>#NAME?</v>
      </c>
      <c r="M2780" s="23" t="e">
        <f ca="1">[1]!BexGetData("DP_1","003N8EMH8GTFRIVOG7KG9IQXA","GSON2114")</f>
        <v>#NAME?</v>
      </c>
      <c r="N2780" s="28" t="e">
        <f ca="1">[1]!BexGetData("DP_1","003N8EMH8GTFRIVOG7KG9IX8U","GSON2114")</f>
        <v>#NAME?</v>
      </c>
      <c r="O2780" s="23" t="e">
        <f ca="1">[1]!BexGetData("DP_1","003N8EMH8GTFRIVOG7KG9J3KE","GSON2114")</f>
        <v>#NAME?</v>
      </c>
      <c r="P2780" s="28" t="e">
        <f ca="1">[1]!BexGetData("DP_1","003N8EMH8GTFRIVOG7KG9J9VY","GSON2114")</f>
        <v>#NAME?</v>
      </c>
      <c r="Q2780" s="23" t="e">
        <f ca="1">[1]!BexGetData("DP_1","00O2TNJGODT0G5Z4TTKYMM5MT","GSON2114")</f>
        <v>#NAME?</v>
      </c>
      <c r="R2780" s="23" t="e">
        <f ca="1">[1]!BexGetData("DP_1","00O2TNJGODT0G5Z4TTKYMMBYD","GSON2114")</f>
        <v>#NAME?</v>
      </c>
      <c r="S2780" s="23" t="e">
        <f ca="1">[1]!BexGetData("DP_1","00O2TNJGODT0G5Z4TTKYMMI9X","GSON2114")</f>
        <v>#NAME?</v>
      </c>
      <c r="T2780" s="28" t="e">
        <f ca="1">[1]!BexGetData("DP_1","00O2TNJGODT0G5Z4TTKYMMOLH","GSON2114")</f>
        <v>#NAME?</v>
      </c>
      <c r="U2780" s="23" t="e">
        <f ca="1">[1]!BexGetData("DP_1","00O2TNJGODT0G5Z4TTKYMMUX1","GSON2114")</f>
        <v>#NAME?</v>
      </c>
      <c r="V2780" s="28" t="e">
        <f ca="1">[1]!BexGetData("DP_1","00O2TNJGODT0G5Z4TTKYMN18L","GSON2114")</f>
        <v>#NAME?</v>
      </c>
      <c r="W2780" s="23" t="e">
        <f ca="1">[1]!BexGetData("DP_1","00O2TNJGODT0G5Z4TTKYMN7K5","GSON2114")</f>
        <v>#NAME?</v>
      </c>
    </row>
    <row r="2781" spans="1:23" x14ac:dyDescent="0.2">
      <c r="A2781" s="37" t="s">
        <v>1412</v>
      </c>
      <c r="B2781" s="27" t="s">
        <v>349</v>
      </c>
      <c r="C2781" s="23" t="e">
        <f ca="1">[1]!BexGetData("DP_1","003N8EMH8GTFRCSWKMPXRR8GU","GSON2114100001")</f>
        <v>#NAME?</v>
      </c>
      <c r="D2781" s="23" t="e">
        <f ca="1">[1]!BexGetData("DP_1","003N8EMH8GTFRCSWKMPXRRESE","GSON2114100001")</f>
        <v>#NAME?</v>
      </c>
      <c r="E2781" s="23" t="e">
        <f ca="1">[1]!BexGetData("DP_1","003N8EMH8GTFRCSWKMPXRRL3Y","GSON2114100001")</f>
        <v>#NAME?</v>
      </c>
      <c r="F2781" s="23" t="e">
        <f ca="1">[1]!BexGetData("DP_1","003N8EMH8GTFRCSWKMPXRRRFI","GSON2114100001")</f>
        <v>#NAME?</v>
      </c>
      <c r="G2781" s="23" t="e">
        <f ca="1">[1]!BexGetData("DP_1","003N8EMH8GTFRCSWKMPXRRXR2","GSON2114100001")</f>
        <v>#NAME?</v>
      </c>
      <c r="H2781" s="23" t="e">
        <f ca="1">[1]!BexGetData("DP_1","003N8EMH8GTFRCSWKMPXRS42M","GSON2114100001")</f>
        <v>#NAME?</v>
      </c>
      <c r="I2781" s="23" t="e">
        <f ca="1">[1]!BexGetData("DP_1","003N8EMH8GTFRCSWKMPXRSAE6","GSON2114100001")</f>
        <v>#NAME?</v>
      </c>
      <c r="J2781" s="24" t="e">
        <f ca="1">[1]!BexGetData("DP_1","003N8EMH8GTFRCSWKMPXRSGPQ","GSON2114100001")</f>
        <v>#NAME?</v>
      </c>
      <c r="K2781" s="23" t="e">
        <f ca="1">[1]!BexGetData("DP_1","003N8EMH8GTFRIVNUPY288VJH","GSON2114100001")</f>
        <v>#NAME?</v>
      </c>
      <c r="L2781" s="23" t="e">
        <f ca="1">[1]!BexGetData("DP_1","003N8EMH8GTFRIVNUPY2891V1","GSON2114100001")</f>
        <v>#NAME?</v>
      </c>
      <c r="M2781" s="28" t="e">
        <f ca="1">[1]!BexGetData("DP_1","003N8EMH8GTFRIVOG7KG9IQXA","GSON2114100001")</f>
        <v>#NAME?</v>
      </c>
      <c r="N2781" s="23" t="e">
        <f ca="1">[1]!BexGetData("DP_1","003N8EMH8GTFRIVOG7KG9IX8U","GSON2114100001")</f>
        <v>#NAME?</v>
      </c>
      <c r="O2781" s="28" t="e">
        <f ca="1">[1]!BexGetData("DP_1","003N8EMH8GTFRIVOG7KG9J3KE","GSON2114100001")</f>
        <v>#NAME?</v>
      </c>
      <c r="P2781" s="23" t="e">
        <f ca="1">[1]!BexGetData("DP_1","003N8EMH8GTFRIVOG7KG9J9VY","GSON2114100001")</f>
        <v>#NAME?</v>
      </c>
      <c r="Q2781" s="24" t="e">
        <f ca="1">[1]!BexGetData("DP_1","00O2TNJGODT0G5Z4TTKYMM5MT","GSON2114100001")</f>
        <v>#NAME?</v>
      </c>
      <c r="R2781" s="23" t="e">
        <f ca="1">[1]!BexGetData("DP_1","00O2TNJGODT0G5Z4TTKYMMBYD","GSON2114100001")</f>
        <v>#NAME?</v>
      </c>
      <c r="S2781" s="23" t="e">
        <f ca="1">[1]!BexGetData("DP_1","00O2TNJGODT0G5Z4TTKYMMI9X","GSON2114100001")</f>
        <v>#NAME?</v>
      </c>
      <c r="T2781" s="28" t="e">
        <f ca="1">[1]!BexGetData("DP_1","00O2TNJGODT0G5Z4TTKYMMOLH","GSON2114100001")</f>
        <v>#NAME?</v>
      </c>
      <c r="U2781" s="23" t="e">
        <f ca="1">[1]!BexGetData("DP_1","00O2TNJGODT0G5Z4TTKYMMUX1","GSON2114100001")</f>
        <v>#NAME?</v>
      </c>
      <c r="V2781" s="28" t="e">
        <f ca="1">[1]!BexGetData("DP_1","00O2TNJGODT0G5Z4TTKYMN18L","GSON2114100001")</f>
        <v>#NAME?</v>
      </c>
      <c r="W2781" s="23" t="e">
        <f ca="1">[1]!BexGetData("DP_1","00O2TNJGODT0G5Z4TTKYMN7K5","GSON2114100001")</f>
        <v>#NAME?</v>
      </c>
    </row>
    <row r="2782" spans="1:23" x14ac:dyDescent="0.2">
      <c r="A2782" s="37" t="s">
        <v>6147</v>
      </c>
      <c r="B2782" s="27" t="s">
        <v>6148</v>
      </c>
      <c r="C2782" s="23" t="e">
        <f ca="1">[1]!BexGetData("DP_1","003N8EMH8GTFRCSWKMPXRR8GU","GSON2114100002")</f>
        <v>#NAME?</v>
      </c>
      <c r="D2782" s="23" t="e">
        <f ca="1">[1]!BexGetData("DP_1","003N8EMH8GTFRCSWKMPXRRESE","GSON2114100002")</f>
        <v>#NAME?</v>
      </c>
      <c r="E2782" s="28" t="e">
        <f ca="1">[1]!BexGetData("DP_1","003N8EMH8GTFRCSWKMPXRRL3Y","GSON2114100002")</f>
        <v>#NAME?</v>
      </c>
      <c r="F2782" s="23" t="e">
        <f ca="1">[1]!BexGetData("DP_1","003N8EMH8GTFRCSWKMPXRRRFI","GSON2114100002")</f>
        <v>#NAME?</v>
      </c>
      <c r="G2782" s="28" t="e">
        <f ca="1">[1]!BexGetData("DP_1","003N8EMH8GTFRCSWKMPXRRXR2","GSON2114100002")</f>
        <v>#NAME?</v>
      </c>
      <c r="H2782" s="28" t="e">
        <f ca="1">[1]!BexGetData("DP_1","003N8EMH8GTFRCSWKMPXRS42M","GSON2114100002")</f>
        <v>#NAME?</v>
      </c>
      <c r="I2782" s="23" t="e">
        <f ca="1">[1]!BexGetData("DP_1","003N8EMH8GTFRCSWKMPXRSAE6","GSON2114100002")</f>
        <v>#NAME?</v>
      </c>
      <c r="J2782" s="23" t="e">
        <f ca="1">[1]!BexGetData("DP_1","003N8EMH8GTFRCSWKMPXRSGPQ","GSON2114100002")</f>
        <v>#NAME?</v>
      </c>
      <c r="K2782" s="23" t="e">
        <f ca="1">[1]!BexGetData("DP_1","003N8EMH8GTFRIVNUPY288VJH","GSON2114100002")</f>
        <v>#NAME?</v>
      </c>
      <c r="L2782" s="23" t="e">
        <f ca="1">[1]!BexGetData("DP_1","003N8EMH8GTFRIVNUPY2891V1","GSON2114100002")</f>
        <v>#NAME?</v>
      </c>
      <c r="M2782" s="28" t="e">
        <f ca="1">[1]!BexGetData("DP_1","003N8EMH8GTFRIVOG7KG9IQXA","GSON2114100002")</f>
        <v>#NAME?</v>
      </c>
      <c r="N2782" s="23" t="e">
        <f ca="1">[1]!BexGetData("DP_1","003N8EMH8GTFRIVOG7KG9IX8U","GSON2114100002")</f>
        <v>#NAME?</v>
      </c>
      <c r="O2782" s="28" t="e">
        <f ca="1">[1]!BexGetData("DP_1","003N8EMH8GTFRIVOG7KG9J3KE","GSON2114100002")</f>
        <v>#NAME?</v>
      </c>
      <c r="P2782" s="23" t="e">
        <f ca="1">[1]!BexGetData("DP_1","003N8EMH8GTFRIVOG7KG9J9VY","GSON2114100002")</f>
        <v>#NAME?</v>
      </c>
      <c r="Q2782" s="23" t="e">
        <f ca="1">[1]!BexGetData("DP_1","00O2TNJGODT0G5Z4TTKYMM5MT","GSON2114100002")</f>
        <v>#NAME?</v>
      </c>
      <c r="R2782" s="28" t="e">
        <f ca="1">[1]!BexGetData("DP_1","00O2TNJGODT0G5Z4TTKYMMBYD","GSON2114100002")</f>
        <v>#NAME?</v>
      </c>
      <c r="S2782" s="28" t="e">
        <f ca="1">[1]!BexGetData("DP_1","00O2TNJGODT0G5Z4TTKYMMI9X","GSON2114100002")</f>
        <v>#NAME?</v>
      </c>
      <c r="T2782" s="28" t="e">
        <f ca="1">[1]!BexGetData("DP_1","00O2TNJGODT0G5Z4TTKYMMOLH","GSON2114100002")</f>
        <v>#NAME?</v>
      </c>
      <c r="U2782" s="28" t="e">
        <f ca="1">[1]!BexGetData("DP_1","00O2TNJGODT0G5Z4TTKYMMUX1","GSON2114100002")</f>
        <v>#NAME?</v>
      </c>
      <c r="V2782" s="28" t="e">
        <f ca="1">[1]!BexGetData("DP_1","00O2TNJGODT0G5Z4TTKYMN18L","GSON2114100002")</f>
        <v>#NAME?</v>
      </c>
      <c r="W2782" s="28" t="e">
        <f ca="1">[1]!BexGetData("DP_1","00O2TNJGODT0G5Z4TTKYMN7K5","GSON2114100002")</f>
        <v>#NAME?</v>
      </c>
    </row>
    <row r="2783" spans="1:23" x14ac:dyDescent="0.2">
      <c r="A2783" s="37" t="s">
        <v>6149</v>
      </c>
      <c r="B2783" s="27" t="s">
        <v>6150</v>
      </c>
      <c r="C2783" s="23" t="e">
        <f ca="1">[1]!BexGetData("DP_1","003N8EMH8GTFRCSWKMPXRR8GU","GSON2114100003")</f>
        <v>#NAME?</v>
      </c>
      <c r="D2783" s="23" t="e">
        <f ca="1">[1]!BexGetData("DP_1","003N8EMH8GTFRCSWKMPXRRESE","GSON2114100003")</f>
        <v>#NAME?</v>
      </c>
      <c r="E2783" s="23" t="e">
        <f ca="1">[1]!BexGetData("DP_1","003N8EMH8GTFRCSWKMPXRRL3Y","GSON2114100003")</f>
        <v>#NAME?</v>
      </c>
      <c r="F2783" s="28" t="e">
        <f ca="1">[1]!BexGetData("DP_1","003N8EMH8GTFRCSWKMPXRRRFI","GSON2114100003")</f>
        <v>#NAME?</v>
      </c>
      <c r="G2783" s="23" t="e">
        <f ca="1">[1]!BexGetData("DP_1","003N8EMH8GTFRCSWKMPXRRXR2","GSON2114100003")</f>
        <v>#NAME?</v>
      </c>
      <c r="H2783" s="23" t="e">
        <f ca="1">[1]!BexGetData("DP_1","003N8EMH8GTFRCSWKMPXRS42M","GSON2114100003")</f>
        <v>#NAME?</v>
      </c>
      <c r="I2783" s="28" t="e">
        <f ca="1">[1]!BexGetData("DP_1","003N8EMH8GTFRCSWKMPXRSAE6","GSON2114100003")</f>
        <v>#NAME?</v>
      </c>
      <c r="J2783" s="24" t="e">
        <f ca="1">[1]!BexGetData("DP_1","003N8EMH8GTFRCSWKMPXRSGPQ","GSON2114100003")</f>
        <v>#NAME?</v>
      </c>
      <c r="K2783" s="23" t="e">
        <f ca="1">[1]!BexGetData("DP_1","003N8EMH8GTFRIVNUPY288VJH","GSON2114100003")</f>
        <v>#NAME?</v>
      </c>
      <c r="L2783" s="23" t="e">
        <f ca="1">[1]!BexGetData("DP_1","003N8EMH8GTFRIVNUPY2891V1","GSON2114100003")</f>
        <v>#NAME?</v>
      </c>
      <c r="M2783" s="23" t="e">
        <f ca="1">[1]!BexGetData("DP_1","003N8EMH8GTFRIVOG7KG9IQXA","GSON2114100003")</f>
        <v>#NAME?</v>
      </c>
      <c r="N2783" s="28" t="e">
        <f ca="1">[1]!BexGetData("DP_1","003N8EMH8GTFRIVOG7KG9IX8U","GSON2114100003")</f>
        <v>#NAME?</v>
      </c>
      <c r="O2783" s="23" t="e">
        <f ca="1">[1]!BexGetData("DP_1","003N8EMH8GTFRIVOG7KG9J3KE","GSON2114100003")</f>
        <v>#NAME?</v>
      </c>
      <c r="P2783" s="28" t="e">
        <f ca="1">[1]!BexGetData("DP_1","003N8EMH8GTFRIVOG7KG9J9VY","GSON2114100003")</f>
        <v>#NAME?</v>
      </c>
      <c r="Q2783" s="24" t="e">
        <f ca="1">[1]!BexGetData("DP_1","00O2TNJGODT0G5Z4TTKYMM5MT","GSON2114100003")</f>
        <v>#NAME?</v>
      </c>
      <c r="R2783" s="28" t="e">
        <f ca="1">[1]!BexGetData("DP_1","00O2TNJGODT0G5Z4TTKYMMBYD","GSON2114100003")</f>
        <v>#NAME?</v>
      </c>
      <c r="S2783" s="28" t="e">
        <f ca="1">[1]!BexGetData("DP_1","00O2TNJGODT0G5Z4TTKYMMI9X","GSON2114100003")</f>
        <v>#NAME?</v>
      </c>
      <c r="T2783" s="28" t="e">
        <f ca="1">[1]!BexGetData("DP_1","00O2TNJGODT0G5Z4TTKYMMOLH","GSON2114100003")</f>
        <v>#NAME?</v>
      </c>
      <c r="U2783" s="28" t="e">
        <f ca="1">[1]!BexGetData("DP_1","00O2TNJGODT0G5Z4TTKYMMUX1","GSON2114100003")</f>
        <v>#NAME?</v>
      </c>
      <c r="V2783" s="28" t="e">
        <f ca="1">[1]!BexGetData("DP_1","00O2TNJGODT0G5Z4TTKYMN18L","GSON2114100003")</f>
        <v>#NAME?</v>
      </c>
      <c r="W2783" s="28" t="e">
        <f ca="1">[1]!BexGetData("DP_1","00O2TNJGODT0G5Z4TTKYMN7K5","GSON2114100003")</f>
        <v>#NAME?</v>
      </c>
    </row>
    <row r="2784" spans="1:23" x14ac:dyDescent="0.2">
      <c r="A2784" s="37" t="s">
        <v>6151</v>
      </c>
      <c r="B2784" s="27" t="s">
        <v>6152</v>
      </c>
      <c r="C2784" s="23" t="e">
        <f ca="1">[1]!BexGetData("DP_1","003N8EMH8GTFRCSWKMPXRR8GU","GSON2114100004")</f>
        <v>#NAME?</v>
      </c>
      <c r="D2784" s="23" t="e">
        <f ca="1">[1]!BexGetData("DP_1","003N8EMH8GTFRCSWKMPXRRESE","GSON2114100004")</f>
        <v>#NAME?</v>
      </c>
      <c r="E2784" s="28" t="e">
        <f ca="1">[1]!BexGetData("DP_1","003N8EMH8GTFRCSWKMPXRRL3Y","GSON2114100004")</f>
        <v>#NAME?</v>
      </c>
      <c r="F2784" s="24" t="e">
        <f ca="1">[1]!BexGetData("DP_1","003N8EMH8GTFRCSWKMPXRRRFI","GSON2114100004")</f>
        <v>#NAME?</v>
      </c>
      <c r="G2784" s="24" t="e">
        <f ca="1">[1]!BexGetData("DP_1","003N8EMH8GTFRCSWKMPXRRXR2","GSON2114100004")</f>
        <v>#NAME?</v>
      </c>
      <c r="H2784" s="24" t="e">
        <f ca="1">[1]!BexGetData("DP_1","003N8EMH8GTFRCSWKMPXRS42M","GSON2114100004")</f>
        <v>#NAME?</v>
      </c>
      <c r="I2784" s="24" t="e">
        <f ca="1">[1]!BexGetData("DP_1","003N8EMH8GTFRCSWKMPXRSAE6","GSON2114100004")</f>
        <v>#NAME?</v>
      </c>
      <c r="J2784" s="24" t="e">
        <f ca="1">[1]!BexGetData("DP_1","003N8EMH8GTFRCSWKMPXRSGPQ","GSON2114100004")</f>
        <v>#NAME?</v>
      </c>
      <c r="K2784" s="28" t="e">
        <f ca="1">[1]!BexGetData("DP_1","003N8EMH8GTFRIVNUPY288VJH","GSON2114100004")</f>
        <v>#NAME?</v>
      </c>
      <c r="L2784" s="28" t="e">
        <f ca="1">[1]!BexGetData("DP_1","003N8EMH8GTFRIVNUPY2891V1","GSON2114100004")</f>
        <v>#NAME?</v>
      </c>
      <c r="M2784" s="28" t="e">
        <f ca="1">[1]!BexGetData("DP_1","003N8EMH8GTFRIVOG7KG9IQXA","GSON2114100004")</f>
        <v>#NAME?</v>
      </c>
      <c r="N2784" s="28" t="e">
        <f ca="1">[1]!BexGetData("DP_1","003N8EMH8GTFRIVOG7KG9IX8U","GSON2114100004")</f>
        <v>#NAME?</v>
      </c>
      <c r="O2784" s="28" t="e">
        <f ca="1">[1]!BexGetData("DP_1","003N8EMH8GTFRIVOG7KG9J3KE","GSON2114100004")</f>
        <v>#NAME?</v>
      </c>
      <c r="P2784" s="28" t="e">
        <f ca="1">[1]!BexGetData("DP_1","003N8EMH8GTFRIVOG7KG9J9VY","GSON2114100004")</f>
        <v>#NAME?</v>
      </c>
      <c r="Q2784" s="24" t="e">
        <f ca="1">[1]!BexGetData("DP_1","00O2TNJGODT0G5Z4TTKYMM5MT","GSON2114100004")</f>
        <v>#NAME?</v>
      </c>
      <c r="R2784" s="24" t="e">
        <f ca="1">[1]!BexGetData("DP_1","00O2TNJGODT0G5Z4TTKYMMBYD","GSON2114100004")</f>
        <v>#NAME?</v>
      </c>
      <c r="S2784" s="24" t="e">
        <f ca="1">[1]!BexGetData("DP_1","00O2TNJGODT0G5Z4TTKYMMI9X","GSON2114100004")</f>
        <v>#NAME?</v>
      </c>
      <c r="T2784" s="24" t="e">
        <f ca="1">[1]!BexGetData("DP_1","00O2TNJGODT0G5Z4TTKYMMOLH","GSON2114100004")</f>
        <v>#NAME?</v>
      </c>
      <c r="U2784" s="24" t="e">
        <f ca="1">[1]!BexGetData("DP_1","00O2TNJGODT0G5Z4TTKYMMUX1","GSON2114100004")</f>
        <v>#NAME?</v>
      </c>
      <c r="V2784" s="24" t="e">
        <f ca="1">[1]!BexGetData("DP_1","00O2TNJGODT0G5Z4TTKYMN18L","GSON2114100004")</f>
        <v>#NAME?</v>
      </c>
      <c r="W2784" s="24" t="e">
        <f ca="1">[1]!BexGetData("DP_1","00O2TNJGODT0G5Z4TTKYMN7K5","GSON2114100004")</f>
        <v>#NAME?</v>
      </c>
    </row>
    <row r="2785" spans="1:23" x14ac:dyDescent="0.2">
      <c r="A2785" s="36" t="s">
        <v>6153</v>
      </c>
      <c r="B2785" s="27" t="s">
        <v>6154</v>
      </c>
      <c r="C2785" s="23" t="e">
        <f ca="1">[1]!BexGetData("DP_1","003N8EMH8GTFRCSWKMPXRR8GU","GSON2115")</f>
        <v>#NAME?</v>
      </c>
      <c r="D2785" s="23" t="e">
        <f ca="1">[1]!BexGetData("DP_1","003N8EMH8GTFRCSWKMPXRRESE","GSON2115")</f>
        <v>#NAME?</v>
      </c>
      <c r="E2785" s="23" t="e">
        <f ca="1">[1]!BexGetData("DP_1","003N8EMH8GTFRCSWKMPXRRL3Y","GSON2115")</f>
        <v>#NAME?</v>
      </c>
      <c r="F2785" s="23" t="e">
        <f ca="1">[1]!BexGetData("DP_1","003N8EMH8GTFRCSWKMPXRRRFI","GSON2115")</f>
        <v>#NAME?</v>
      </c>
      <c r="G2785" s="23" t="e">
        <f ca="1">[1]!BexGetData("DP_1","003N8EMH8GTFRCSWKMPXRRXR2","GSON2115")</f>
        <v>#NAME?</v>
      </c>
      <c r="H2785" s="23" t="e">
        <f ca="1">[1]!BexGetData("DP_1","003N8EMH8GTFRCSWKMPXRS42M","GSON2115")</f>
        <v>#NAME?</v>
      </c>
      <c r="I2785" s="23" t="e">
        <f ca="1">[1]!BexGetData("DP_1","003N8EMH8GTFRCSWKMPXRSAE6","GSON2115")</f>
        <v>#NAME?</v>
      </c>
      <c r="J2785" s="23" t="e">
        <f ca="1">[1]!BexGetData("DP_1","003N8EMH8GTFRCSWKMPXRSGPQ","GSON2115")</f>
        <v>#NAME?</v>
      </c>
      <c r="K2785" s="23" t="e">
        <f ca="1">[1]!BexGetData("DP_1","003N8EMH8GTFRIVNUPY288VJH","GSON2115")</f>
        <v>#NAME?</v>
      </c>
      <c r="L2785" s="23" t="e">
        <f ca="1">[1]!BexGetData("DP_1","003N8EMH8GTFRIVNUPY2891V1","GSON2115")</f>
        <v>#NAME?</v>
      </c>
      <c r="M2785" s="28" t="e">
        <f ca="1">[1]!BexGetData("DP_1","003N8EMH8GTFRIVOG7KG9IQXA","GSON2115")</f>
        <v>#NAME?</v>
      </c>
      <c r="N2785" s="23" t="e">
        <f ca="1">[1]!BexGetData("DP_1","003N8EMH8GTFRIVOG7KG9IX8U","GSON2115")</f>
        <v>#NAME?</v>
      </c>
      <c r="O2785" s="28" t="e">
        <f ca="1">[1]!BexGetData("DP_1","003N8EMH8GTFRIVOG7KG9J3KE","GSON2115")</f>
        <v>#NAME?</v>
      </c>
      <c r="P2785" s="23" t="e">
        <f ca="1">[1]!BexGetData("DP_1","003N8EMH8GTFRIVOG7KG9J9VY","GSON2115")</f>
        <v>#NAME?</v>
      </c>
      <c r="Q2785" s="23" t="e">
        <f ca="1">[1]!BexGetData("DP_1","00O2TNJGODT0G5Z4TTKYMM5MT","GSON2115")</f>
        <v>#NAME?</v>
      </c>
      <c r="R2785" s="23" t="e">
        <f ca="1">[1]!BexGetData("DP_1","00O2TNJGODT0G5Z4TTKYMMBYD","GSON2115")</f>
        <v>#NAME?</v>
      </c>
      <c r="S2785" s="23" t="e">
        <f ca="1">[1]!BexGetData("DP_1","00O2TNJGODT0G5Z4TTKYMMI9X","GSON2115")</f>
        <v>#NAME?</v>
      </c>
      <c r="T2785" s="23" t="e">
        <f ca="1">[1]!BexGetData("DP_1","00O2TNJGODT0G5Z4TTKYMMOLH","GSON2115")</f>
        <v>#NAME?</v>
      </c>
      <c r="U2785" s="28" t="e">
        <f ca="1">[1]!BexGetData("DP_1","00O2TNJGODT0G5Z4TTKYMMUX1","GSON2115")</f>
        <v>#NAME?</v>
      </c>
      <c r="V2785" s="23" t="e">
        <f ca="1">[1]!BexGetData("DP_1","00O2TNJGODT0G5Z4TTKYMN18L","GSON2115")</f>
        <v>#NAME?</v>
      </c>
      <c r="W2785" s="28" t="e">
        <f ca="1">[1]!BexGetData("DP_1","00O2TNJGODT0G5Z4TTKYMN7K5","GSON2115")</f>
        <v>#NAME?</v>
      </c>
    </row>
    <row r="2786" spans="1:23" x14ac:dyDescent="0.2">
      <c r="A2786" s="37" t="s">
        <v>6155</v>
      </c>
      <c r="B2786" s="27" t="s">
        <v>6156</v>
      </c>
      <c r="C2786" s="23" t="e">
        <f ca="1">[1]!BexGetData("DP_1","003N8EMH8GTFRCSWKMPXRR8GU","GSON2115100001")</f>
        <v>#NAME?</v>
      </c>
      <c r="D2786" s="23" t="e">
        <f ca="1">[1]!BexGetData("DP_1","003N8EMH8GTFRCSWKMPXRRESE","GSON2115100001")</f>
        <v>#NAME?</v>
      </c>
      <c r="E2786" s="23" t="e">
        <f ca="1">[1]!BexGetData("DP_1","003N8EMH8GTFRCSWKMPXRRL3Y","GSON2115100001")</f>
        <v>#NAME?</v>
      </c>
      <c r="F2786" s="23" t="e">
        <f ca="1">[1]!BexGetData("DP_1","003N8EMH8GTFRCSWKMPXRRRFI","GSON2115100001")</f>
        <v>#NAME?</v>
      </c>
      <c r="G2786" s="23" t="e">
        <f ca="1">[1]!BexGetData("DP_1","003N8EMH8GTFRCSWKMPXRRXR2","GSON2115100001")</f>
        <v>#NAME?</v>
      </c>
      <c r="H2786" s="23" t="e">
        <f ca="1">[1]!BexGetData("DP_1","003N8EMH8GTFRCSWKMPXRS42M","GSON2115100001")</f>
        <v>#NAME?</v>
      </c>
      <c r="I2786" s="23" t="e">
        <f ca="1">[1]!BexGetData("DP_1","003N8EMH8GTFRCSWKMPXRSAE6","GSON2115100001")</f>
        <v>#NAME?</v>
      </c>
      <c r="J2786" s="24" t="e">
        <f ca="1">[1]!BexGetData("DP_1","003N8EMH8GTFRCSWKMPXRSGPQ","GSON2115100001")</f>
        <v>#NAME?</v>
      </c>
      <c r="K2786" s="23" t="e">
        <f ca="1">[1]!BexGetData("DP_1","003N8EMH8GTFRIVNUPY288VJH","GSON2115100001")</f>
        <v>#NAME?</v>
      </c>
      <c r="L2786" s="23" t="e">
        <f ca="1">[1]!BexGetData("DP_1","003N8EMH8GTFRIVNUPY2891V1","GSON2115100001")</f>
        <v>#NAME?</v>
      </c>
      <c r="M2786" s="28" t="e">
        <f ca="1">[1]!BexGetData("DP_1","003N8EMH8GTFRIVOG7KG9IQXA","GSON2115100001")</f>
        <v>#NAME?</v>
      </c>
      <c r="N2786" s="23" t="e">
        <f ca="1">[1]!BexGetData("DP_1","003N8EMH8GTFRIVOG7KG9IX8U","GSON2115100001")</f>
        <v>#NAME?</v>
      </c>
      <c r="O2786" s="28" t="e">
        <f ca="1">[1]!BexGetData("DP_1","003N8EMH8GTFRIVOG7KG9J3KE","GSON2115100001")</f>
        <v>#NAME?</v>
      </c>
      <c r="P2786" s="23" t="e">
        <f ca="1">[1]!BexGetData("DP_1","003N8EMH8GTFRIVOG7KG9J9VY","GSON2115100001")</f>
        <v>#NAME?</v>
      </c>
      <c r="Q2786" s="24" t="e">
        <f ca="1">[1]!BexGetData("DP_1","00O2TNJGODT0G5Z4TTKYMM5MT","GSON2115100001")</f>
        <v>#NAME?</v>
      </c>
      <c r="R2786" s="23" t="e">
        <f ca="1">[1]!BexGetData("DP_1","00O2TNJGODT0G5Z4TTKYMMBYD","GSON2115100001")</f>
        <v>#NAME?</v>
      </c>
      <c r="S2786" s="23" t="e">
        <f ca="1">[1]!BexGetData("DP_1","00O2TNJGODT0G5Z4TTKYMMI9X","GSON2115100001")</f>
        <v>#NAME?</v>
      </c>
      <c r="T2786" s="23" t="e">
        <f ca="1">[1]!BexGetData("DP_1","00O2TNJGODT0G5Z4TTKYMMOLH","GSON2115100001")</f>
        <v>#NAME?</v>
      </c>
      <c r="U2786" s="28" t="e">
        <f ca="1">[1]!BexGetData("DP_1","00O2TNJGODT0G5Z4TTKYMMUX1","GSON2115100001")</f>
        <v>#NAME?</v>
      </c>
      <c r="V2786" s="23" t="e">
        <f ca="1">[1]!BexGetData("DP_1","00O2TNJGODT0G5Z4TTKYMN18L","GSON2115100001")</f>
        <v>#NAME?</v>
      </c>
      <c r="W2786" s="28" t="e">
        <f ca="1">[1]!BexGetData("DP_1","00O2TNJGODT0G5Z4TTKYMN7K5","GSON2115100001")</f>
        <v>#NAME?</v>
      </c>
    </row>
    <row r="2787" spans="1:23" x14ac:dyDescent="0.2">
      <c r="A2787" s="37" t="s">
        <v>6157</v>
      </c>
      <c r="B2787" s="27" t="s">
        <v>6158</v>
      </c>
      <c r="C2787" s="23" t="e">
        <f ca="1">[1]!BexGetData("DP_1","003N8EMH8GTFRCSWKMPXRR8GU","GSON2115100002")</f>
        <v>#NAME?</v>
      </c>
      <c r="D2787" s="23" t="e">
        <f ca="1">[1]!BexGetData("DP_1","003N8EMH8GTFRCSWKMPXRRESE","GSON2115100002")</f>
        <v>#NAME?</v>
      </c>
      <c r="E2787" s="23" t="e">
        <f ca="1">[1]!BexGetData("DP_1","003N8EMH8GTFRCSWKMPXRRL3Y","GSON2115100002")</f>
        <v>#NAME?</v>
      </c>
      <c r="F2787" s="23" t="e">
        <f ca="1">[1]!BexGetData("DP_1","003N8EMH8GTFRCSWKMPXRRRFI","GSON2115100002")</f>
        <v>#NAME?</v>
      </c>
      <c r="G2787" s="23" t="e">
        <f ca="1">[1]!BexGetData("DP_1","003N8EMH8GTFRCSWKMPXRRXR2","GSON2115100002")</f>
        <v>#NAME?</v>
      </c>
      <c r="H2787" s="23" t="e">
        <f ca="1">[1]!BexGetData("DP_1","003N8EMH8GTFRCSWKMPXRS42M","GSON2115100002")</f>
        <v>#NAME?</v>
      </c>
      <c r="I2787" s="23" t="e">
        <f ca="1">[1]!BexGetData("DP_1","003N8EMH8GTFRCSWKMPXRSAE6","GSON2115100002")</f>
        <v>#NAME?</v>
      </c>
      <c r="J2787" s="24" t="e">
        <f ca="1">[1]!BexGetData("DP_1","003N8EMH8GTFRCSWKMPXRSGPQ","GSON2115100002")</f>
        <v>#NAME?</v>
      </c>
      <c r="K2787" s="23" t="e">
        <f ca="1">[1]!BexGetData("DP_1","003N8EMH8GTFRIVNUPY288VJH","GSON2115100002")</f>
        <v>#NAME?</v>
      </c>
      <c r="L2787" s="23" t="e">
        <f ca="1">[1]!BexGetData("DP_1","003N8EMH8GTFRIVNUPY2891V1","GSON2115100002")</f>
        <v>#NAME?</v>
      </c>
      <c r="M2787" s="23" t="e">
        <f ca="1">[1]!BexGetData("DP_1","003N8EMH8GTFRIVOG7KG9IQXA","GSON2115100002")</f>
        <v>#NAME?</v>
      </c>
      <c r="N2787" s="28" t="e">
        <f ca="1">[1]!BexGetData("DP_1","003N8EMH8GTFRIVOG7KG9IX8U","GSON2115100002")</f>
        <v>#NAME?</v>
      </c>
      <c r="O2787" s="23" t="e">
        <f ca="1">[1]!BexGetData("DP_1","003N8EMH8GTFRIVOG7KG9J3KE","GSON2115100002")</f>
        <v>#NAME?</v>
      </c>
      <c r="P2787" s="28" t="e">
        <f ca="1">[1]!BexGetData("DP_1","003N8EMH8GTFRIVOG7KG9J9VY","GSON2115100002")</f>
        <v>#NAME?</v>
      </c>
      <c r="Q2787" s="24" t="e">
        <f ca="1">[1]!BexGetData("DP_1","00O2TNJGODT0G5Z4TTKYMM5MT","GSON2115100002")</f>
        <v>#NAME?</v>
      </c>
      <c r="R2787" s="23" t="e">
        <f ca="1">[1]!BexGetData("DP_1","00O2TNJGODT0G5Z4TTKYMMBYD","GSON2115100002")</f>
        <v>#NAME?</v>
      </c>
      <c r="S2787" s="23" t="e">
        <f ca="1">[1]!BexGetData("DP_1","00O2TNJGODT0G5Z4TTKYMMI9X","GSON2115100002")</f>
        <v>#NAME?</v>
      </c>
      <c r="T2787" s="23" t="e">
        <f ca="1">[1]!BexGetData("DP_1","00O2TNJGODT0G5Z4TTKYMMOLH","GSON2115100002")</f>
        <v>#NAME?</v>
      </c>
      <c r="U2787" s="28" t="e">
        <f ca="1">[1]!BexGetData("DP_1","00O2TNJGODT0G5Z4TTKYMMUX1","GSON2115100002")</f>
        <v>#NAME?</v>
      </c>
      <c r="V2787" s="23" t="e">
        <f ca="1">[1]!BexGetData("DP_1","00O2TNJGODT0G5Z4TTKYMN18L","GSON2115100002")</f>
        <v>#NAME?</v>
      </c>
      <c r="W2787" s="28" t="e">
        <f ca="1">[1]!BexGetData("DP_1","00O2TNJGODT0G5Z4TTKYMN7K5","GSON2115100002")</f>
        <v>#NAME?</v>
      </c>
    </row>
    <row r="2788" spans="1:23" x14ac:dyDescent="0.2">
      <c r="A2788" s="37" t="s">
        <v>6159</v>
      </c>
      <c r="B2788" s="27" t="s">
        <v>6160</v>
      </c>
      <c r="C2788" s="23" t="e">
        <f ca="1">[1]!BexGetData("DP_1","003N8EMH8GTFRCSWKMPXRR8GU","GSON2115100003")</f>
        <v>#NAME?</v>
      </c>
      <c r="D2788" s="28" t="e">
        <f ca="1">[1]!BexGetData("DP_1","003N8EMH8GTFRCSWKMPXRRESE","GSON2115100003")</f>
        <v>#NAME?</v>
      </c>
      <c r="E2788" s="23" t="e">
        <f ca="1">[1]!BexGetData("DP_1","003N8EMH8GTFRCSWKMPXRRL3Y","GSON2115100003")</f>
        <v>#NAME?</v>
      </c>
      <c r="F2788" s="23" t="e">
        <f ca="1">[1]!BexGetData("DP_1","003N8EMH8GTFRCSWKMPXRRRFI","GSON2115100003")</f>
        <v>#NAME?</v>
      </c>
      <c r="G2788" s="23" t="e">
        <f ca="1">[1]!BexGetData("DP_1","003N8EMH8GTFRCSWKMPXRRXR2","GSON2115100003")</f>
        <v>#NAME?</v>
      </c>
      <c r="H2788" s="23" t="e">
        <f ca="1">[1]!BexGetData("DP_1","003N8EMH8GTFRCSWKMPXRS42M","GSON2115100003")</f>
        <v>#NAME?</v>
      </c>
      <c r="I2788" s="23" t="e">
        <f ca="1">[1]!BexGetData("DP_1","003N8EMH8GTFRCSWKMPXRSAE6","GSON2115100003")</f>
        <v>#NAME?</v>
      </c>
      <c r="J2788" s="23" t="e">
        <f ca="1">[1]!BexGetData("DP_1","003N8EMH8GTFRCSWKMPXRSGPQ","GSON2115100003")</f>
        <v>#NAME?</v>
      </c>
      <c r="K2788" s="23" t="e">
        <f ca="1">[1]!BexGetData("DP_1","003N8EMH8GTFRIVNUPY288VJH","GSON2115100003")</f>
        <v>#NAME?</v>
      </c>
      <c r="L2788" s="23" t="e">
        <f ca="1">[1]!BexGetData("DP_1","003N8EMH8GTFRIVNUPY2891V1","GSON2115100003")</f>
        <v>#NAME?</v>
      </c>
      <c r="M2788" s="28" t="e">
        <f ca="1">[1]!BexGetData("DP_1","003N8EMH8GTFRIVOG7KG9IQXA","GSON2115100003")</f>
        <v>#NAME?</v>
      </c>
      <c r="N2788" s="23" t="e">
        <f ca="1">[1]!BexGetData("DP_1","003N8EMH8GTFRIVOG7KG9IX8U","GSON2115100003")</f>
        <v>#NAME?</v>
      </c>
      <c r="O2788" s="28" t="e">
        <f ca="1">[1]!BexGetData("DP_1","003N8EMH8GTFRIVOG7KG9J3KE","GSON2115100003")</f>
        <v>#NAME?</v>
      </c>
      <c r="P2788" s="23" t="e">
        <f ca="1">[1]!BexGetData("DP_1","003N8EMH8GTFRIVOG7KG9J9VY","GSON2115100003")</f>
        <v>#NAME?</v>
      </c>
      <c r="Q2788" s="23" t="e">
        <f ca="1">[1]!BexGetData("DP_1","00O2TNJGODT0G5Z4TTKYMM5MT","GSON2115100003")</f>
        <v>#NAME?</v>
      </c>
      <c r="R2788" s="23" t="e">
        <f ca="1">[1]!BexGetData("DP_1","00O2TNJGODT0G5Z4TTKYMMBYD","GSON2115100003")</f>
        <v>#NAME?</v>
      </c>
      <c r="S2788" s="23" t="e">
        <f ca="1">[1]!BexGetData("DP_1","00O2TNJGODT0G5Z4TTKYMMI9X","GSON2115100003")</f>
        <v>#NAME?</v>
      </c>
      <c r="T2788" s="28" t="e">
        <f ca="1">[1]!BexGetData("DP_1","00O2TNJGODT0G5Z4TTKYMMOLH","GSON2115100003")</f>
        <v>#NAME?</v>
      </c>
      <c r="U2788" s="23" t="e">
        <f ca="1">[1]!BexGetData("DP_1","00O2TNJGODT0G5Z4TTKYMMUX1","GSON2115100003")</f>
        <v>#NAME?</v>
      </c>
      <c r="V2788" s="28" t="e">
        <f ca="1">[1]!BexGetData("DP_1","00O2TNJGODT0G5Z4TTKYMN18L","GSON2115100003")</f>
        <v>#NAME?</v>
      </c>
      <c r="W2788" s="23" t="e">
        <f ca="1">[1]!BexGetData("DP_1","00O2TNJGODT0G5Z4TTKYMN7K5","GSON2115100003")</f>
        <v>#NAME?</v>
      </c>
    </row>
    <row r="2789" spans="1:23" x14ac:dyDescent="0.2">
      <c r="A2789" s="37" t="s">
        <v>6161</v>
      </c>
      <c r="B2789" s="27" t="s">
        <v>6162</v>
      </c>
      <c r="C2789" s="23" t="e">
        <f ca="1">[1]!BexGetData("DP_1","003N8EMH8GTFRCSWKMPXRR8GU","GSON2115100004")</f>
        <v>#NAME?</v>
      </c>
      <c r="D2789" s="23" t="e">
        <f ca="1">[1]!BexGetData("DP_1","003N8EMH8GTFRCSWKMPXRRESE","GSON2115100004")</f>
        <v>#NAME?</v>
      </c>
      <c r="E2789" s="28" t="e">
        <f ca="1">[1]!BexGetData("DP_1","003N8EMH8GTFRCSWKMPXRRL3Y","GSON2115100004")</f>
        <v>#NAME?</v>
      </c>
      <c r="F2789" s="24" t="e">
        <f ca="1">[1]!BexGetData("DP_1","003N8EMH8GTFRCSWKMPXRRRFI","GSON2115100004")</f>
        <v>#NAME?</v>
      </c>
      <c r="G2789" s="24" t="e">
        <f ca="1">[1]!BexGetData("DP_1","003N8EMH8GTFRCSWKMPXRRXR2","GSON2115100004")</f>
        <v>#NAME?</v>
      </c>
      <c r="H2789" s="24" t="e">
        <f ca="1">[1]!BexGetData("DP_1","003N8EMH8GTFRCSWKMPXRS42M","GSON2115100004")</f>
        <v>#NAME?</v>
      </c>
      <c r="I2789" s="24" t="e">
        <f ca="1">[1]!BexGetData("DP_1","003N8EMH8GTFRCSWKMPXRSAE6","GSON2115100004")</f>
        <v>#NAME?</v>
      </c>
      <c r="J2789" s="24" t="e">
        <f ca="1">[1]!BexGetData("DP_1","003N8EMH8GTFRCSWKMPXRSGPQ","GSON2115100004")</f>
        <v>#NAME?</v>
      </c>
      <c r="K2789" s="28" t="e">
        <f ca="1">[1]!BexGetData("DP_1","003N8EMH8GTFRIVNUPY288VJH","GSON2115100004")</f>
        <v>#NAME?</v>
      </c>
      <c r="L2789" s="28" t="e">
        <f ca="1">[1]!BexGetData("DP_1","003N8EMH8GTFRIVNUPY2891V1","GSON2115100004")</f>
        <v>#NAME?</v>
      </c>
      <c r="M2789" s="28" t="e">
        <f ca="1">[1]!BexGetData("DP_1","003N8EMH8GTFRIVOG7KG9IQXA","GSON2115100004")</f>
        <v>#NAME?</v>
      </c>
      <c r="N2789" s="28" t="e">
        <f ca="1">[1]!BexGetData("DP_1","003N8EMH8GTFRIVOG7KG9IX8U","GSON2115100004")</f>
        <v>#NAME?</v>
      </c>
      <c r="O2789" s="28" t="e">
        <f ca="1">[1]!BexGetData("DP_1","003N8EMH8GTFRIVOG7KG9J3KE","GSON2115100004")</f>
        <v>#NAME?</v>
      </c>
      <c r="P2789" s="28" t="e">
        <f ca="1">[1]!BexGetData("DP_1","003N8EMH8GTFRIVOG7KG9J9VY","GSON2115100004")</f>
        <v>#NAME?</v>
      </c>
      <c r="Q2789" s="24" t="e">
        <f ca="1">[1]!BexGetData("DP_1","00O2TNJGODT0G5Z4TTKYMM5MT","GSON2115100004")</f>
        <v>#NAME?</v>
      </c>
      <c r="R2789" s="24" t="e">
        <f ca="1">[1]!BexGetData("DP_1","00O2TNJGODT0G5Z4TTKYMMBYD","GSON2115100004")</f>
        <v>#NAME?</v>
      </c>
      <c r="S2789" s="24" t="e">
        <f ca="1">[1]!BexGetData("DP_1","00O2TNJGODT0G5Z4TTKYMMI9X","GSON2115100004")</f>
        <v>#NAME?</v>
      </c>
      <c r="T2789" s="24" t="e">
        <f ca="1">[1]!BexGetData("DP_1","00O2TNJGODT0G5Z4TTKYMMOLH","GSON2115100004")</f>
        <v>#NAME?</v>
      </c>
      <c r="U2789" s="24" t="e">
        <f ca="1">[1]!BexGetData("DP_1","00O2TNJGODT0G5Z4TTKYMMUX1","GSON2115100004")</f>
        <v>#NAME?</v>
      </c>
      <c r="V2789" s="24" t="e">
        <f ca="1">[1]!BexGetData("DP_1","00O2TNJGODT0G5Z4TTKYMN18L","GSON2115100004")</f>
        <v>#NAME?</v>
      </c>
      <c r="W2789" s="24" t="e">
        <f ca="1">[1]!BexGetData("DP_1","00O2TNJGODT0G5Z4TTKYMN7K5","GSON2115100004")</f>
        <v>#NAME?</v>
      </c>
    </row>
    <row r="2790" spans="1:23" x14ac:dyDescent="0.2">
      <c r="A2790" s="36" t="s">
        <v>479</v>
      </c>
      <c r="B2790" s="27" t="s">
        <v>480</v>
      </c>
      <c r="C2790" s="23" t="e">
        <f ca="1">[1]!BexGetData("DP_1","003N8EMH8GTFRCSWKMPXRR8GU","GSON2116")</f>
        <v>#NAME?</v>
      </c>
      <c r="D2790" s="23" t="e">
        <f ca="1">[1]!BexGetData("DP_1","003N8EMH8GTFRCSWKMPXRRESE","GSON2116")</f>
        <v>#NAME?</v>
      </c>
      <c r="E2790" s="23" t="e">
        <f ca="1">[1]!BexGetData("DP_1","003N8EMH8GTFRCSWKMPXRRL3Y","GSON2116")</f>
        <v>#NAME?</v>
      </c>
      <c r="F2790" s="23" t="e">
        <f ca="1">[1]!BexGetData("DP_1","003N8EMH8GTFRCSWKMPXRRRFI","GSON2116")</f>
        <v>#NAME?</v>
      </c>
      <c r="G2790" s="23" t="e">
        <f ca="1">[1]!BexGetData("DP_1","003N8EMH8GTFRCSWKMPXRRXR2","GSON2116")</f>
        <v>#NAME?</v>
      </c>
      <c r="H2790" s="23" t="e">
        <f ca="1">[1]!BexGetData("DP_1","003N8EMH8GTFRCSWKMPXRS42M","GSON2116")</f>
        <v>#NAME?</v>
      </c>
      <c r="I2790" s="23" t="e">
        <f ca="1">[1]!BexGetData("DP_1","003N8EMH8GTFRCSWKMPXRSAE6","GSON2116")</f>
        <v>#NAME?</v>
      </c>
      <c r="J2790" s="24" t="e">
        <f ca="1">[1]!BexGetData("DP_1","003N8EMH8GTFRCSWKMPXRSGPQ","GSON2116")</f>
        <v>#NAME?</v>
      </c>
      <c r="K2790" s="23" t="e">
        <f ca="1">[1]!BexGetData("DP_1","003N8EMH8GTFRIVNUPY288VJH","GSON2116")</f>
        <v>#NAME?</v>
      </c>
      <c r="L2790" s="23" t="e">
        <f ca="1">[1]!BexGetData("DP_1","003N8EMH8GTFRIVNUPY2891V1","GSON2116")</f>
        <v>#NAME?</v>
      </c>
      <c r="M2790" s="23" t="e">
        <f ca="1">[1]!BexGetData("DP_1","003N8EMH8GTFRIVOG7KG9IQXA","GSON2116")</f>
        <v>#NAME?</v>
      </c>
      <c r="N2790" s="28" t="e">
        <f ca="1">[1]!BexGetData("DP_1","003N8EMH8GTFRIVOG7KG9IX8U","GSON2116")</f>
        <v>#NAME?</v>
      </c>
      <c r="O2790" s="23" t="e">
        <f ca="1">[1]!BexGetData("DP_1","003N8EMH8GTFRIVOG7KG9J3KE","GSON2116")</f>
        <v>#NAME?</v>
      </c>
      <c r="P2790" s="28" t="e">
        <f ca="1">[1]!BexGetData("DP_1","003N8EMH8GTFRIVOG7KG9J9VY","GSON2116")</f>
        <v>#NAME?</v>
      </c>
      <c r="Q2790" s="24" t="e">
        <f ca="1">[1]!BexGetData("DP_1","00O2TNJGODT0G5Z4TTKYMM5MT","GSON2116")</f>
        <v>#NAME?</v>
      </c>
      <c r="R2790" s="23" t="e">
        <f ca="1">[1]!BexGetData("DP_1","00O2TNJGODT0G5Z4TTKYMMBYD","GSON2116")</f>
        <v>#NAME?</v>
      </c>
      <c r="S2790" s="23" t="e">
        <f ca="1">[1]!BexGetData("DP_1","00O2TNJGODT0G5Z4TTKYMMI9X","GSON2116")</f>
        <v>#NAME?</v>
      </c>
      <c r="T2790" s="23" t="e">
        <f ca="1">[1]!BexGetData("DP_1","00O2TNJGODT0G5Z4TTKYMMOLH","GSON2116")</f>
        <v>#NAME?</v>
      </c>
      <c r="U2790" s="28" t="e">
        <f ca="1">[1]!BexGetData("DP_1","00O2TNJGODT0G5Z4TTKYMMUX1","GSON2116")</f>
        <v>#NAME?</v>
      </c>
      <c r="V2790" s="23" t="e">
        <f ca="1">[1]!BexGetData("DP_1","00O2TNJGODT0G5Z4TTKYMN18L","GSON2116")</f>
        <v>#NAME?</v>
      </c>
      <c r="W2790" s="28" t="e">
        <f ca="1">[1]!BexGetData("DP_1","00O2TNJGODT0G5Z4TTKYMN7K5","GSON2116")</f>
        <v>#NAME?</v>
      </c>
    </row>
    <row r="2791" spans="1:23" x14ac:dyDescent="0.2">
      <c r="A2791" s="37" t="s">
        <v>1413</v>
      </c>
      <c r="B2791" s="27" t="s">
        <v>481</v>
      </c>
      <c r="C2791" s="23" t="e">
        <f ca="1">[1]!BexGetData("DP_1","003N8EMH8GTFRCSWKMPXRR8GU","GSON2116100001")</f>
        <v>#NAME?</v>
      </c>
      <c r="D2791" s="23" t="e">
        <f ca="1">[1]!BexGetData("DP_1","003N8EMH8GTFRCSWKMPXRRESE","GSON2116100001")</f>
        <v>#NAME?</v>
      </c>
      <c r="E2791" s="28" t="e">
        <f ca="1">[1]!BexGetData("DP_1","003N8EMH8GTFRCSWKMPXRRL3Y","GSON2116100001")</f>
        <v>#NAME?</v>
      </c>
      <c r="F2791" s="28" t="e">
        <f ca="1">[1]!BexGetData("DP_1","003N8EMH8GTFRCSWKMPXRRRFI","GSON2116100001")</f>
        <v>#NAME?</v>
      </c>
      <c r="G2791" s="23" t="e">
        <f ca="1">[1]!BexGetData("DP_1","003N8EMH8GTFRCSWKMPXRRXR2","GSON2116100001")</f>
        <v>#NAME?</v>
      </c>
      <c r="H2791" s="23" t="e">
        <f ca="1">[1]!BexGetData("DP_1","003N8EMH8GTFRCSWKMPXRS42M","GSON2116100001")</f>
        <v>#NAME?</v>
      </c>
      <c r="I2791" s="28" t="e">
        <f ca="1">[1]!BexGetData("DP_1","003N8EMH8GTFRCSWKMPXRSAE6","GSON2116100001")</f>
        <v>#NAME?</v>
      </c>
      <c r="J2791" s="24" t="e">
        <f ca="1">[1]!BexGetData("DP_1","003N8EMH8GTFRCSWKMPXRSGPQ","GSON2116100001")</f>
        <v>#NAME?</v>
      </c>
      <c r="K2791" s="28" t="e">
        <f ca="1">[1]!BexGetData("DP_1","003N8EMH8GTFRIVNUPY288VJH","GSON2116100001")</f>
        <v>#NAME?</v>
      </c>
      <c r="L2791" s="28" t="e">
        <f ca="1">[1]!BexGetData("DP_1","003N8EMH8GTFRIVNUPY2891V1","GSON2116100001")</f>
        <v>#NAME?</v>
      </c>
      <c r="M2791" s="28" t="e">
        <f ca="1">[1]!BexGetData("DP_1","003N8EMH8GTFRIVOG7KG9IQXA","GSON2116100001")</f>
        <v>#NAME?</v>
      </c>
      <c r="N2791" s="28" t="e">
        <f ca="1">[1]!BexGetData("DP_1","003N8EMH8GTFRIVOG7KG9IX8U","GSON2116100001")</f>
        <v>#NAME?</v>
      </c>
      <c r="O2791" s="28" t="e">
        <f ca="1">[1]!BexGetData("DP_1","003N8EMH8GTFRIVOG7KG9J3KE","GSON2116100001")</f>
        <v>#NAME?</v>
      </c>
      <c r="P2791" s="28" t="e">
        <f ca="1">[1]!BexGetData("DP_1","003N8EMH8GTFRIVOG7KG9J9VY","GSON2116100001")</f>
        <v>#NAME?</v>
      </c>
      <c r="Q2791" s="24" t="e">
        <f ca="1">[1]!BexGetData("DP_1","00O2TNJGODT0G5Z4TTKYMM5MT","GSON2116100001")</f>
        <v>#NAME?</v>
      </c>
      <c r="R2791" s="28" t="e">
        <f ca="1">[1]!BexGetData("DP_1","00O2TNJGODT0G5Z4TTKYMMBYD","GSON2116100001")</f>
        <v>#NAME?</v>
      </c>
      <c r="S2791" s="28" t="e">
        <f ca="1">[1]!BexGetData("DP_1","00O2TNJGODT0G5Z4TTKYMMI9X","GSON2116100001")</f>
        <v>#NAME?</v>
      </c>
      <c r="T2791" s="28" t="e">
        <f ca="1">[1]!BexGetData("DP_1","00O2TNJGODT0G5Z4TTKYMMOLH","GSON2116100001")</f>
        <v>#NAME?</v>
      </c>
      <c r="U2791" s="28" t="e">
        <f ca="1">[1]!BexGetData("DP_1","00O2TNJGODT0G5Z4TTKYMMUX1","GSON2116100001")</f>
        <v>#NAME?</v>
      </c>
      <c r="V2791" s="28" t="e">
        <f ca="1">[1]!BexGetData("DP_1","00O2TNJGODT0G5Z4TTKYMN18L","GSON2116100001")</f>
        <v>#NAME?</v>
      </c>
      <c r="W2791" s="28" t="e">
        <f ca="1">[1]!BexGetData("DP_1","00O2TNJGODT0G5Z4TTKYMN7K5","GSON2116100001")</f>
        <v>#NAME?</v>
      </c>
    </row>
    <row r="2792" spans="1:23" x14ac:dyDescent="0.2">
      <c r="A2792" s="37" t="s">
        <v>6163</v>
      </c>
      <c r="B2792" s="27" t="s">
        <v>6164</v>
      </c>
      <c r="C2792" s="23" t="e">
        <f ca="1">[1]!BexGetData("DP_1","003N8EMH8GTFRCSWKMPXRR8GU","GSON2116100003")</f>
        <v>#NAME?</v>
      </c>
      <c r="D2792" s="23" t="e">
        <f ca="1">[1]!BexGetData("DP_1","003N8EMH8GTFRCSWKMPXRRESE","GSON2116100003")</f>
        <v>#NAME?</v>
      </c>
      <c r="E2792" s="23" t="e">
        <f ca="1">[1]!BexGetData("DP_1","003N8EMH8GTFRCSWKMPXRRL3Y","GSON2116100003")</f>
        <v>#NAME?</v>
      </c>
      <c r="F2792" s="23" t="e">
        <f ca="1">[1]!BexGetData("DP_1","003N8EMH8GTFRCSWKMPXRRRFI","GSON2116100003")</f>
        <v>#NAME?</v>
      </c>
      <c r="G2792" s="23" t="e">
        <f ca="1">[1]!BexGetData("DP_1","003N8EMH8GTFRCSWKMPXRRXR2","GSON2116100003")</f>
        <v>#NAME?</v>
      </c>
      <c r="H2792" s="23" t="e">
        <f ca="1">[1]!BexGetData("DP_1","003N8EMH8GTFRCSWKMPXRS42M","GSON2116100003")</f>
        <v>#NAME?</v>
      </c>
      <c r="I2792" s="23" t="e">
        <f ca="1">[1]!BexGetData("DP_1","003N8EMH8GTFRCSWKMPXRSAE6","GSON2116100003")</f>
        <v>#NAME?</v>
      </c>
      <c r="J2792" s="24" t="e">
        <f ca="1">[1]!BexGetData("DP_1","003N8EMH8GTFRCSWKMPXRSGPQ","GSON2116100003")</f>
        <v>#NAME?</v>
      </c>
      <c r="K2792" s="23" t="e">
        <f ca="1">[1]!BexGetData("DP_1","003N8EMH8GTFRIVNUPY288VJH","GSON2116100003")</f>
        <v>#NAME?</v>
      </c>
      <c r="L2792" s="23" t="e">
        <f ca="1">[1]!BexGetData("DP_1","003N8EMH8GTFRIVNUPY2891V1","GSON2116100003")</f>
        <v>#NAME?</v>
      </c>
      <c r="M2792" s="23" t="e">
        <f ca="1">[1]!BexGetData("DP_1","003N8EMH8GTFRIVOG7KG9IQXA","GSON2116100003")</f>
        <v>#NAME?</v>
      </c>
      <c r="N2792" s="28" t="e">
        <f ca="1">[1]!BexGetData("DP_1","003N8EMH8GTFRIVOG7KG9IX8U","GSON2116100003")</f>
        <v>#NAME?</v>
      </c>
      <c r="O2792" s="23" t="e">
        <f ca="1">[1]!BexGetData("DP_1","003N8EMH8GTFRIVOG7KG9J3KE","GSON2116100003")</f>
        <v>#NAME?</v>
      </c>
      <c r="P2792" s="28" t="e">
        <f ca="1">[1]!BexGetData("DP_1","003N8EMH8GTFRIVOG7KG9J9VY","GSON2116100003")</f>
        <v>#NAME?</v>
      </c>
      <c r="Q2792" s="24" t="e">
        <f ca="1">[1]!BexGetData("DP_1","00O2TNJGODT0G5Z4TTKYMM5MT","GSON2116100003")</f>
        <v>#NAME?</v>
      </c>
      <c r="R2792" s="23" t="e">
        <f ca="1">[1]!BexGetData("DP_1","00O2TNJGODT0G5Z4TTKYMMBYD","GSON2116100003")</f>
        <v>#NAME?</v>
      </c>
      <c r="S2792" s="23" t="e">
        <f ca="1">[1]!BexGetData("DP_1","00O2TNJGODT0G5Z4TTKYMMI9X","GSON2116100003")</f>
        <v>#NAME?</v>
      </c>
      <c r="T2792" s="23" t="e">
        <f ca="1">[1]!BexGetData("DP_1","00O2TNJGODT0G5Z4TTKYMMOLH","GSON2116100003")</f>
        <v>#NAME?</v>
      </c>
      <c r="U2792" s="28" t="e">
        <f ca="1">[1]!BexGetData("DP_1","00O2TNJGODT0G5Z4TTKYMMUX1","GSON2116100003")</f>
        <v>#NAME?</v>
      </c>
      <c r="V2792" s="23" t="e">
        <f ca="1">[1]!BexGetData("DP_1","00O2TNJGODT0G5Z4TTKYMN18L","GSON2116100003")</f>
        <v>#NAME?</v>
      </c>
      <c r="W2792" s="28" t="e">
        <f ca="1">[1]!BexGetData("DP_1","00O2TNJGODT0G5Z4TTKYMN7K5","GSON2116100003")</f>
        <v>#NAME?</v>
      </c>
    </row>
    <row r="2793" spans="1:23" x14ac:dyDescent="0.2">
      <c r="A2793" s="36" t="s">
        <v>98</v>
      </c>
      <c r="B2793" s="27" t="s">
        <v>99</v>
      </c>
      <c r="C2793" s="23" t="e">
        <f ca="1">[1]!BexGetData("DP_1","003N8EMH8GTFRCSWKMPXRR8GU","GSON2117")</f>
        <v>#NAME?</v>
      </c>
      <c r="D2793" s="23" t="e">
        <f ca="1">[1]!BexGetData("DP_1","003N8EMH8GTFRCSWKMPXRRESE","GSON2117")</f>
        <v>#NAME?</v>
      </c>
      <c r="E2793" s="23" t="e">
        <f ca="1">[1]!BexGetData("DP_1","003N8EMH8GTFRCSWKMPXRRL3Y","GSON2117")</f>
        <v>#NAME?</v>
      </c>
      <c r="F2793" s="23" t="e">
        <f ca="1">[1]!BexGetData("DP_1","003N8EMH8GTFRCSWKMPXRRRFI","GSON2117")</f>
        <v>#NAME?</v>
      </c>
      <c r="G2793" s="23" t="e">
        <f ca="1">[1]!BexGetData("DP_1","003N8EMH8GTFRCSWKMPXRRXR2","GSON2117")</f>
        <v>#NAME?</v>
      </c>
      <c r="H2793" s="23" t="e">
        <f ca="1">[1]!BexGetData("DP_1","003N8EMH8GTFRCSWKMPXRS42M","GSON2117")</f>
        <v>#NAME?</v>
      </c>
      <c r="I2793" s="23" t="e">
        <f ca="1">[1]!BexGetData("DP_1","003N8EMH8GTFRCSWKMPXRSAE6","GSON2117")</f>
        <v>#NAME?</v>
      </c>
      <c r="J2793" s="23" t="e">
        <f ca="1">[1]!BexGetData("DP_1","003N8EMH8GTFRCSWKMPXRSGPQ","GSON2117")</f>
        <v>#NAME?</v>
      </c>
      <c r="K2793" s="23" t="e">
        <f ca="1">[1]!BexGetData("DP_1","003N8EMH8GTFRIVNUPY288VJH","GSON2117")</f>
        <v>#NAME?</v>
      </c>
      <c r="L2793" s="23" t="e">
        <f ca="1">[1]!BexGetData("DP_1","003N8EMH8GTFRIVNUPY2891V1","GSON2117")</f>
        <v>#NAME?</v>
      </c>
      <c r="M2793" s="28" t="e">
        <f ca="1">[1]!BexGetData("DP_1","003N8EMH8GTFRIVOG7KG9IQXA","GSON2117")</f>
        <v>#NAME?</v>
      </c>
      <c r="N2793" s="23" t="e">
        <f ca="1">[1]!BexGetData("DP_1","003N8EMH8GTFRIVOG7KG9IX8U","GSON2117")</f>
        <v>#NAME?</v>
      </c>
      <c r="O2793" s="28" t="e">
        <f ca="1">[1]!BexGetData("DP_1","003N8EMH8GTFRIVOG7KG9J3KE","GSON2117")</f>
        <v>#NAME?</v>
      </c>
      <c r="P2793" s="23" t="e">
        <f ca="1">[1]!BexGetData("DP_1","003N8EMH8GTFRIVOG7KG9J9VY","GSON2117")</f>
        <v>#NAME?</v>
      </c>
      <c r="Q2793" s="23" t="e">
        <f ca="1">[1]!BexGetData("DP_1","00O2TNJGODT0G5Z4TTKYMM5MT","GSON2117")</f>
        <v>#NAME?</v>
      </c>
      <c r="R2793" s="23" t="e">
        <f ca="1">[1]!BexGetData("DP_1","00O2TNJGODT0G5Z4TTKYMMBYD","GSON2117")</f>
        <v>#NAME?</v>
      </c>
      <c r="S2793" s="23" t="e">
        <f ca="1">[1]!BexGetData("DP_1","00O2TNJGODT0G5Z4TTKYMMI9X","GSON2117")</f>
        <v>#NAME?</v>
      </c>
      <c r="T2793" s="23" t="e">
        <f ca="1">[1]!BexGetData("DP_1","00O2TNJGODT0G5Z4TTKYMMOLH","GSON2117")</f>
        <v>#NAME?</v>
      </c>
      <c r="U2793" s="28" t="e">
        <f ca="1">[1]!BexGetData("DP_1","00O2TNJGODT0G5Z4TTKYMMUX1","GSON2117")</f>
        <v>#NAME?</v>
      </c>
      <c r="V2793" s="23" t="e">
        <f ca="1">[1]!BexGetData("DP_1","00O2TNJGODT0G5Z4TTKYMN18L","GSON2117")</f>
        <v>#NAME?</v>
      </c>
      <c r="W2793" s="28" t="e">
        <f ca="1">[1]!BexGetData("DP_1","00O2TNJGODT0G5Z4TTKYMN7K5","GSON2117")</f>
        <v>#NAME?</v>
      </c>
    </row>
    <row r="2794" spans="1:23" x14ac:dyDescent="0.2">
      <c r="A2794" s="37" t="s">
        <v>350</v>
      </c>
      <c r="B2794" s="27" t="s">
        <v>351</v>
      </c>
      <c r="C2794" s="23" t="e">
        <f ca="1">[1]!BexGetData("DP_1","003N8EMH8GTFRCSWKMPXRR8GU","GSON2117110001")</f>
        <v>#NAME?</v>
      </c>
      <c r="D2794" s="23" t="e">
        <f ca="1">[1]!BexGetData("DP_1","003N8EMH8GTFRCSWKMPXRRESE","GSON2117110001")</f>
        <v>#NAME?</v>
      </c>
      <c r="E2794" s="23" t="e">
        <f ca="1">[1]!BexGetData("DP_1","003N8EMH8GTFRCSWKMPXRRL3Y","GSON2117110001")</f>
        <v>#NAME?</v>
      </c>
      <c r="F2794" s="23" t="e">
        <f ca="1">[1]!BexGetData("DP_1","003N8EMH8GTFRCSWKMPXRRRFI","GSON2117110001")</f>
        <v>#NAME?</v>
      </c>
      <c r="G2794" s="23" t="e">
        <f ca="1">[1]!BexGetData("DP_1","003N8EMH8GTFRCSWKMPXRRXR2","GSON2117110001")</f>
        <v>#NAME?</v>
      </c>
      <c r="H2794" s="23" t="e">
        <f ca="1">[1]!BexGetData("DP_1","003N8EMH8GTFRCSWKMPXRS42M","GSON2117110001")</f>
        <v>#NAME?</v>
      </c>
      <c r="I2794" s="23" t="e">
        <f ca="1">[1]!BexGetData("DP_1","003N8EMH8GTFRCSWKMPXRSAE6","GSON2117110001")</f>
        <v>#NAME?</v>
      </c>
      <c r="J2794" s="24" t="e">
        <f ca="1">[1]!BexGetData("DP_1","003N8EMH8GTFRCSWKMPXRSGPQ","GSON2117110001")</f>
        <v>#NAME?</v>
      </c>
      <c r="K2794" s="23" t="e">
        <f ca="1">[1]!BexGetData("DP_1","003N8EMH8GTFRIVNUPY288VJH","GSON2117110001")</f>
        <v>#NAME?</v>
      </c>
      <c r="L2794" s="23" t="e">
        <f ca="1">[1]!BexGetData("DP_1","003N8EMH8GTFRIVNUPY2891V1","GSON2117110001")</f>
        <v>#NAME?</v>
      </c>
      <c r="M2794" s="23" t="e">
        <f ca="1">[1]!BexGetData("DP_1","003N8EMH8GTFRIVOG7KG9IQXA","GSON2117110001")</f>
        <v>#NAME?</v>
      </c>
      <c r="N2794" s="28" t="e">
        <f ca="1">[1]!BexGetData("DP_1","003N8EMH8GTFRIVOG7KG9IX8U","GSON2117110001")</f>
        <v>#NAME?</v>
      </c>
      <c r="O2794" s="23" t="e">
        <f ca="1">[1]!BexGetData("DP_1","003N8EMH8GTFRIVOG7KG9J3KE","GSON2117110001")</f>
        <v>#NAME?</v>
      </c>
      <c r="P2794" s="28" t="e">
        <f ca="1">[1]!BexGetData("DP_1","003N8EMH8GTFRIVOG7KG9J9VY","GSON2117110001")</f>
        <v>#NAME?</v>
      </c>
      <c r="Q2794" s="24" t="e">
        <f ca="1">[1]!BexGetData("DP_1","00O2TNJGODT0G5Z4TTKYMM5MT","GSON2117110001")</f>
        <v>#NAME?</v>
      </c>
      <c r="R2794" s="23" t="e">
        <f ca="1">[1]!BexGetData("DP_1","00O2TNJGODT0G5Z4TTKYMMBYD","GSON2117110001")</f>
        <v>#NAME?</v>
      </c>
      <c r="S2794" s="23" t="e">
        <f ca="1">[1]!BexGetData("DP_1","00O2TNJGODT0G5Z4TTKYMMI9X","GSON2117110001")</f>
        <v>#NAME?</v>
      </c>
      <c r="T2794" s="23" t="e">
        <f ca="1">[1]!BexGetData("DP_1","00O2TNJGODT0G5Z4TTKYMMOLH","GSON2117110001")</f>
        <v>#NAME?</v>
      </c>
      <c r="U2794" s="28" t="e">
        <f ca="1">[1]!BexGetData("DP_1","00O2TNJGODT0G5Z4TTKYMMUX1","GSON2117110001")</f>
        <v>#NAME?</v>
      </c>
      <c r="V2794" s="23" t="e">
        <f ca="1">[1]!BexGetData("DP_1","00O2TNJGODT0G5Z4TTKYMN18L","GSON2117110001")</f>
        <v>#NAME?</v>
      </c>
      <c r="W2794" s="28" t="e">
        <f ca="1">[1]!BexGetData("DP_1","00O2TNJGODT0G5Z4TTKYMN7K5","GSON2117110001")</f>
        <v>#NAME?</v>
      </c>
    </row>
    <row r="2795" spans="1:23" x14ac:dyDescent="0.2">
      <c r="A2795" s="37" t="s">
        <v>1414</v>
      </c>
      <c r="B2795" s="27" t="s">
        <v>352</v>
      </c>
      <c r="C2795" s="23" t="e">
        <f ca="1">[1]!BexGetData("DP_1","003N8EMH8GTFRCSWKMPXRR8GU","GSON2117110002")</f>
        <v>#NAME?</v>
      </c>
      <c r="D2795" s="23" t="e">
        <f ca="1">[1]!BexGetData("DP_1","003N8EMH8GTFRCSWKMPXRRESE","GSON2117110002")</f>
        <v>#NAME?</v>
      </c>
      <c r="E2795" s="23" t="e">
        <f ca="1">[1]!BexGetData("DP_1","003N8EMH8GTFRCSWKMPXRRL3Y","GSON2117110002")</f>
        <v>#NAME?</v>
      </c>
      <c r="F2795" s="23" t="e">
        <f ca="1">[1]!BexGetData("DP_1","003N8EMH8GTFRCSWKMPXRRRFI","GSON2117110002")</f>
        <v>#NAME?</v>
      </c>
      <c r="G2795" s="23" t="e">
        <f ca="1">[1]!BexGetData("DP_1","003N8EMH8GTFRCSWKMPXRRXR2","GSON2117110002")</f>
        <v>#NAME?</v>
      </c>
      <c r="H2795" s="23" t="e">
        <f ca="1">[1]!BexGetData("DP_1","003N8EMH8GTFRCSWKMPXRS42M","GSON2117110002")</f>
        <v>#NAME?</v>
      </c>
      <c r="I2795" s="23" t="e">
        <f ca="1">[1]!BexGetData("DP_1","003N8EMH8GTFRCSWKMPXRSAE6","GSON2117110002")</f>
        <v>#NAME?</v>
      </c>
      <c r="J2795" s="24" t="e">
        <f ca="1">[1]!BexGetData("DP_1","003N8EMH8GTFRCSWKMPXRSGPQ","GSON2117110002")</f>
        <v>#NAME?</v>
      </c>
      <c r="K2795" s="28" t="e">
        <f ca="1">[1]!BexGetData("DP_1","003N8EMH8GTFRIVNUPY288VJH","GSON2117110002")</f>
        <v>#NAME?</v>
      </c>
      <c r="L2795" s="28" t="e">
        <f ca="1">[1]!BexGetData("DP_1","003N8EMH8GTFRIVNUPY2891V1","GSON2117110002")</f>
        <v>#NAME?</v>
      </c>
      <c r="M2795" s="28" t="e">
        <f ca="1">[1]!BexGetData("DP_1","003N8EMH8GTFRIVOG7KG9IQXA","GSON2117110002")</f>
        <v>#NAME?</v>
      </c>
      <c r="N2795" s="28" t="e">
        <f ca="1">[1]!BexGetData("DP_1","003N8EMH8GTFRIVOG7KG9IX8U","GSON2117110002")</f>
        <v>#NAME?</v>
      </c>
      <c r="O2795" s="28" t="e">
        <f ca="1">[1]!BexGetData("DP_1","003N8EMH8GTFRIVOG7KG9J3KE","GSON2117110002")</f>
        <v>#NAME?</v>
      </c>
      <c r="P2795" s="28" t="e">
        <f ca="1">[1]!BexGetData("DP_1","003N8EMH8GTFRIVOG7KG9J9VY","GSON2117110002")</f>
        <v>#NAME?</v>
      </c>
      <c r="Q2795" s="24" t="e">
        <f ca="1">[1]!BexGetData("DP_1","00O2TNJGODT0G5Z4TTKYMM5MT","GSON2117110002")</f>
        <v>#NAME?</v>
      </c>
      <c r="R2795" s="23" t="e">
        <f ca="1">[1]!BexGetData("DP_1","00O2TNJGODT0G5Z4TTKYMMBYD","GSON2117110002")</f>
        <v>#NAME?</v>
      </c>
      <c r="S2795" s="23" t="e">
        <f ca="1">[1]!BexGetData("DP_1","00O2TNJGODT0G5Z4TTKYMMI9X","GSON2117110002")</f>
        <v>#NAME?</v>
      </c>
      <c r="T2795" s="23" t="e">
        <f ca="1">[1]!BexGetData("DP_1","00O2TNJGODT0G5Z4TTKYMMOLH","GSON2117110002")</f>
        <v>#NAME?</v>
      </c>
      <c r="U2795" s="28" t="e">
        <f ca="1">[1]!BexGetData("DP_1","00O2TNJGODT0G5Z4TTKYMMUX1","GSON2117110002")</f>
        <v>#NAME?</v>
      </c>
      <c r="V2795" s="23" t="e">
        <f ca="1">[1]!BexGetData("DP_1","00O2TNJGODT0G5Z4TTKYMN18L","GSON2117110002")</f>
        <v>#NAME?</v>
      </c>
      <c r="W2795" s="28" t="e">
        <f ca="1">[1]!BexGetData("DP_1","00O2TNJGODT0G5Z4TTKYMN7K5","GSON2117110002")</f>
        <v>#NAME?</v>
      </c>
    </row>
    <row r="2796" spans="1:23" x14ac:dyDescent="0.2">
      <c r="A2796" s="37" t="s">
        <v>6165</v>
      </c>
      <c r="B2796" s="27" t="s">
        <v>6166</v>
      </c>
      <c r="C2796" s="24" t="e">
        <f ca="1">[1]!BexGetData("DP_1","003N8EMH8GTFRCSWKMPXRR8GU","GSON2117110003")</f>
        <v>#NAME?</v>
      </c>
      <c r="D2796" s="24" t="e">
        <f ca="1">[1]!BexGetData("DP_1","003N8EMH8GTFRCSWKMPXRRESE","GSON2117110003")</f>
        <v>#NAME?</v>
      </c>
      <c r="E2796" s="24" t="e">
        <f ca="1">[1]!BexGetData("DP_1","003N8EMH8GTFRCSWKMPXRRL3Y","GSON2117110003")</f>
        <v>#NAME?</v>
      </c>
      <c r="F2796" s="28" t="e">
        <f ca="1">[1]!BexGetData("DP_1","003N8EMH8GTFRCSWKMPXRRRFI","GSON2117110003")</f>
        <v>#NAME?</v>
      </c>
      <c r="G2796" s="23" t="e">
        <f ca="1">[1]!BexGetData("DP_1","003N8EMH8GTFRCSWKMPXRRXR2","GSON2117110003")</f>
        <v>#NAME?</v>
      </c>
      <c r="H2796" s="23" t="e">
        <f ca="1">[1]!BexGetData("DP_1","003N8EMH8GTFRCSWKMPXRS42M","GSON2117110003")</f>
        <v>#NAME?</v>
      </c>
      <c r="I2796" s="28" t="e">
        <f ca="1">[1]!BexGetData("DP_1","003N8EMH8GTFRCSWKMPXRSAE6","GSON2117110003")</f>
        <v>#NAME?</v>
      </c>
      <c r="J2796" s="24" t="e">
        <f ca="1">[1]!BexGetData("DP_1","003N8EMH8GTFRCSWKMPXRSGPQ","GSON2117110003")</f>
        <v>#NAME?</v>
      </c>
      <c r="K2796" s="28" t="e">
        <f ca="1">[1]!BexGetData("DP_1","003N8EMH8GTFRIVNUPY288VJH","GSON2117110003")</f>
        <v>#NAME?</v>
      </c>
      <c r="L2796" s="28" t="e">
        <f ca="1">[1]!BexGetData("DP_1","003N8EMH8GTFRIVNUPY2891V1","GSON2117110003")</f>
        <v>#NAME?</v>
      </c>
      <c r="M2796" s="28" t="e">
        <f ca="1">[1]!BexGetData("DP_1","003N8EMH8GTFRIVOG7KG9IQXA","GSON2117110003")</f>
        <v>#NAME?</v>
      </c>
      <c r="N2796" s="28" t="e">
        <f ca="1">[1]!BexGetData("DP_1","003N8EMH8GTFRIVOG7KG9IX8U","GSON2117110003")</f>
        <v>#NAME?</v>
      </c>
      <c r="O2796" s="28" t="e">
        <f ca="1">[1]!BexGetData("DP_1","003N8EMH8GTFRIVOG7KG9J3KE","GSON2117110003")</f>
        <v>#NAME?</v>
      </c>
      <c r="P2796" s="28" t="e">
        <f ca="1">[1]!BexGetData("DP_1","003N8EMH8GTFRIVOG7KG9J9VY","GSON2117110003")</f>
        <v>#NAME?</v>
      </c>
      <c r="Q2796" s="24" t="e">
        <f ca="1">[1]!BexGetData("DP_1","00O2TNJGODT0G5Z4TTKYMM5MT","GSON2117110003")</f>
        <v>#NAME?</v>
      </c>
      <c r="R2796" s="28" t="e">
        <f ca="1">[1]!BexGetData("DP_1","00O2TNJGODT0G5Z4TTKYMMBYD","GSON2117110003")</f>
        <v>#NAME?</v>
      </c>
      <c r="S2796" s="28" t="e">
        <f ca="1">[1]!BexGetData("DP_1","00O2TNJGODT0G5Z4TTKYMMI9X","GSON2117110003")</f>
        <v>#NAME?</v>
      </c>
      <c r="T2796" s="28" t="e">
        <f ca="1">[1]!BexGetData("DP_1","00O2TNJGODT0G5Z4TTKYMMOLH","GSON2117110003")</f>
        <v>#NAME?</v>
      </c>
      <c r="U2796" s="28" t="e">
        <f ca="1">[1]!BexGetData("DP_1","00O2TNJGODT0G5Z4TTKYMMUX1","GSON2117110003")</f>
        <v>#NAME?</v>
      </c>
      <c r="V2796" s="28" t="e">
        <f ca="1">[1]!BexGetData("DP_1","00O2TNJGODT0G5Z4TTKYMN18L","GSON2117110003")</f>
        <v>#NAME?</v>
      </c>
      <c r="W2796" s="28" t="e">
        <f ca="1">[1]!BexGetData("DP_1","00O2TNJGODT0G5Z4TTKYMN7K5","GSON2117110003")</f>
        <v>#NAME?</v>
      </c>
    </row>
    <row r="2797" spans="1:23" x14ac:dyDescent="0.2">
      <c r="A2797" s="37" t="s">
        <v>353</v>
      </c>
      <c r="B2797" s="27" t="s">
        <v>354</v>
      </c>
      <c r="C2797" s="23" t="e">
        <f ca="1">[1]!BexGetData("DP_1","003N8EMH8GTFRCSWKMPXRR8GU","GSON2117110004")</f>
        <v>#NAME?</v>
      </c>
      <c r="D2797" s="23" t="e">
        <f ca="1">[1]!BexGetData("DP_1","003N8EMH8GTFRCSWKMPXRRESE","GSON2117110004")</f>
        <v>#NAME?</v>
      </c>
      <c r="E2797" s="28" t="e">
        <f ca="1">[1]!BexGetData("DP_1","003N8EMH8GTFRCSWKMPXRRL3Y","GSON2117110004")</f>
        <v>#NAME?</v>
      </c>
      <c r="F2797" s="28" t="e">
        <f ca="1">[1]!BexGetData("DP_1","003N8EMH8GTFRCSWKMPXRRRFI","GSON2117110004")</f>
        <v>#NAME?</v>
      </c>
      <c r="G2797" s="23" t="e">
        <f ca="1">[1]!BexGetData("DP_1","003N8EMH8GTFRCSWKMPXRRXR2","GSON2117110004")</f>
        <v>#NAME?</v>
      </c>
      <c r="H2797" s="23" t="e">
        <f ca="1">[1]!BexGetData("DP_1","003N8EMH8GTFRCSWKMPXRS42M","GSON2117110004")</f>
        <v>#NAME?</v>
      </c>
      <c r="I2797" s="28" t="e">
        <f ca="1">[1]!BexGetData("DP_1","003N8EMH8GTFRCSWKMPXRSAE6","GSON2117110004")</f>
        <v>#NAME?</v>
      </c>
      <c r="J2797" s="24" t="e">
        <f ca="1">[1]!BexGetData("DP_1","003N8EMH8GTFRCSWKMPXRSGPQ","GSON2117110004")</f>
        <v>#NAME?</v>
      </c>
      <c r="K2797" s="28" t="e">
        <f ca="1">[1]!BexGetData("DP_1","003N8EMH8GTFRIVNUPY288VJH","GSON2117110004")</f>
        <v>#NAME?</v>
      </c>
      <c r="L2797" s="28" t="e">
        <f ca="1">[1]!BexGetData("DP_1","003N8EMH8GTFRIVNUPY2891V1","GSON2117110004")</f>
        <v>#NAME?</v>
      </c>
      <c r="M2797" s="28" t="e">
        <f ca="1">[1]!BexGetData("DP_1","003N8EMH8GTFRIVOG7KG9IQXA","GSON2117110004")</f>
        <v>#NAME?</v>
      </c>
      <c r="N2797" s="28" t="e">
        <f ca="1">[1]!BexGetData("DP_1","003N8EMH8GTFRIVOG7KG9IX8U","GSON2117110004")</f>
        <v>#NAME?</v>
      </c>
      <c r="O2797" s="28" t="e">
        <f ca="1">[1]!BexGetData("DP_1","003N8EMH8GTFRIVOG7KG9J3KE","GSON2117110004")</f>
        <v>#NAME?</v>
      </c>
      <c r="P2797" s="28" t="e">
        <f ca="1">[1]!BexGetData("DP_1","003N8EMH8GTFRIVOG7KG9J9VY","GSON2117110004")</f>
        <v>#NAME?</v>
      </c>
      <c r="Q2797" s="24" t="e">
        <f ca="1">[1]!BexGetData("DP_1","00O2TNJGODT0G5Z4TTKYMM5MT","GSON2117110004")</f>
        <v>#NAME?</v>
      </c>
      <c r="R2797" s="28" t="e">
        <f ca="1">[1]!BexGetData("DP_1","00O2TNJGODT0G5Z4TTKYMMBYD","GSON2117110004")</f>
        <v>#NAME?</v>
      </c>
      <c r="S2797" s="28" t="e">
        <f ca="1">[1]!BexGetData("DP_1","00O2TNJGODT0G5Z4TTKYMMI9X","GSON2117110004")</f>
        <v>#NAME?</v>
      </c>
      <c r="T2797" s="28" t="e">
        <f ca="1">[1]!BexGetData("DP_1","00O2TNJGODT0G5Z4TTKYMMOLH","GSON2117110004")</f>
        <v>#NAME?</v>
      </c>
      <c r="U2797" s="28" t="e">
        <f ca="1">[1]!BexGetData("DP_1","00O2TNJGODT0G5Z4TTKYMMUX1","GSON2117110004")</f>
        <v>#NAME?</v>
      </c>
      <c r="V2797" s="28" t="e">
        <f ca="1">[1]!BexGetData("DP_1","00O2TNJGODT0G5Z4TTKYMN18L","GSON2117110004")</f>
        <v>#NAME?</v>
      </c>
      <c r="W2797" s="28" t="e">
        <f ca="1">[1]!BexGetData("DP_1","00O2TNJGODT0G5Z4TTKYMN7K5","GSON2117110004")</f>
        <v>#NAME?</v>
      </c>
    </row>
    <row r="2798" spans="1:23" x14ac:dyDescent="0.2">
      <c r="A2798" s="37" t="s">
        <v>482</v>
      </c>
      <c r="B2798" s="27" t="s">
        <v>483</v>
      </c>
      <c r="C2798" s="23" t="e">
        <f ca="1">[1]!BexGetData("DP_1","003N8EMH8GTFRCSWKMPXRR8GU","GSON2117110005")</f>
        <v>#NAME?</v>
      </c>
      <c r="D2798" s="23" t="e">
        <f ca="1">[1]!BexGetData("DP_1","003N8EMH8GTFRCSWKMPXRRESE","GSON2117110005")</f>
        <v>#NAME?</v>
      </c>
      <c r="E2798" s="23" t="e">
        <f ca="1">[1]!BexGetData("DP_1","003N8EMH8GTFRCSWKMPXRRL3Y","GSON2117110005")</f>
        <v>#NAME?</v>
      </c>
      <c r="F2798" s="23" t="e">
        <f ca="1">[1]!BexGetData("DP_1","003N8EMH8GTFRCSWKMPXRRRFI","GSON2117110005")</f>
        <v>#NAME?</v>
      </c>
      <c r="G2798" s="23" t="e">
        <f ca="1">[1]!BexGetData("DP_1","003N8EMH8GTFRCSWKMPXRRXR2","GSON2117110005")</f>
        <v>#NAME?</v>
      </c>
      <c r="H2798" s="23" t="e">
        <f ca="1">[1]!BexGetData("DP_1","003N8EMH8GTFRCSWKMPXRS42M","GSON2117110005")</f>
        <v>#NAME?</v>
      </c>
      <c r="I2798" s="23" t="e">
        <f ca="1">[1]!BexGetData("DP_1","003N8EMH8GTFRCSWKMPXRSAE6","GSON2117110005")</f>
        <v>#NAME?</v>
      </c>
      <c r="J2798" s="24" t="e">
        <f ca="1">[1]!BexGetData("DP_1","003N8EMH8GTFRCSWKMPXRSGPQ","GSON2117110005")</f>
        <v>#NAME?</v>
      </c>
      <c r="K2798" s="23" t="e">
        <f ca="1">[1]!BexGetData("DP_1","003N8EMH8GTFRIVNUPY288VJH","GSON2117110005")</f>
        <v>#NAME?</v>
      </c>
      <c r="L2798" s="23" t="e">
        <f ca="1">[1]!BexGetData("DP_1","003N8EMH8GTFRIVNUPY2891V1","GSON2117110005")</f>
        <v>#NAME?</v>
      </c>
      <c r="M2798" s="28" t="e">
        <f ca="1">[1]!BexGetData("DP_1","003N8EMH8GTFRIVOG7KG9IQXA","GSON2117110005")</f>
        <v>#NAME?</v>
      </c>
      <c r="N2798" s="23" t="e">
        <f ca="1">[1]!BexGetData("DP_1","003N8EMH8GTFRIVOG7KG9IX8U","GSON2117110005")</f>
        <v>#NAME?</v>
      </c>
      <c r="O2798" s="28" t="e">
        <f ca="1">[1]!BexGetData("DP_1","003N8EMH8GTFRIVOG7KG9J3KE","GSON2117110005")</f>
        <v>#NAME?</v>
      </c>
      <c r="P2798" s="23" t="e">
        <f ca="1">[1]!BexGetData("DP_1","003N8EMH8GTFRIVOG7KG9J9VY","GSON2117110005")</f>
        <v>#NAME?</v>
      </c>
      <c r="Q2798" s="24" t="e">
        <f ca="1">[1]!BexGetData("DP_1","00O2TNJGODT0G5Z4TTKYMM5MT","GSON2117110005")</f>
        <v>#NAME?</v>
      </c>
      <c r="R2798" s="23" t="e">
        <f ca="1">[1]!BexGetData("DP_1","00O2TNJGODT0G5Z4TTKYMMBYD","GSON2117110005")</f>
        <v>#NAME?</v>
      </c>
      <c r="S2798" s="23" t="e">
        <f ca="1">[1]!BexGetData("DP_1","00O2TNJGODT0G5Z4TTKYMMI9X","GSON2117110005")</f>
        <v>#NAME?</v>
      </c>
      <c r="T2798" s="23" t="e">
        <f ca="1">[1]!BexGetData("DP_1","00O2TNJGODT0G5Z4TTKYMMOLH","GSON2117110005")</f>
        <v>#NAME?</v>
      </c>
      <c r="U2798" s="28" t="e">
        <f ca="1">[1]!BexGetData("DP_1","00O2TNJGODT0G5Z4TTKYMMUX1","GSON2117110005")</f>
        <v>#NAME?</v>
      </c>
      <c r="V2798" s="23" t="e">
        <f ca="1">[1]!BexGetData("DP_1","00O2TNJGODT0G5Z4TTKYMN18L","GSON2117110005")</f>
        <v>#NAME?</v>
      </c>
      <c r="W2798" s="28" t="e">
        <f ca="1">[1]!BexGetData("DP_1","00O2TNJGODT0G5Z4TTKYMN7K5","GSON2117110005")</f>
        <v>#NAME?</v>
      </c>
    </row>
    <row r="2799" spans="1:23" x14ac:dyDescent="0.2">
      <c r="A2799" s="37" t="s">
        <v>6167</v>
      </c>
      <c r="B2799" s="27" t="s">
        <v>6168</v>
      </c>
      <c r="C2799" s="23" t="e">
        <f ca="1">[1]!BexGetData("DP_1","003N8EMH8GTFRCSWKMPXRR8GU","GSON2117110006")</f>
        <v>#NAME?</v>
      </c>
      <c r="D2799" s="23" t="e">
        <f ca="1">[1]!BexGetData("DP_1","003N8EMH8GTFRCSWKMPXRRESE","GSON2117110006")</f>
        <v>#NAME?</v>
      </c>
      <c r="E2799" s="23" t="e">
        <f ca="1">[1]!BexGetData("DP_1","003N8EMH8GTFRCSWKMPXRRL3Y","GSON2117110006")</f>
        <v>#NAME?</v>
      </c>
      <c r="F2799" s="23" t="e">
        <f ca="1">[1]!BexGetData("DP_1","003N8EMH8GTFRCSWKMPXRRRFI","GSON2117110006")</f>
        <v>#NAME?</v>
      </c>
      <c r="G2799" s="23" t="e">
        <f ca="1">[1]!BexGetData("DP_1","003N8EMH8GTFRCSWKMPXRRXR2","GSON2117110006")</f>
        <v>#NAME?</v>
      </c>
      <c r="H2799" s="23" t="e">
        <f ca="1">[1]!BexGetData("DP_1","003N8EMH8GTFRCSWKMPXRS42M","GSON2117110006")</f>
        <v>#NAME?</v>
      </c>
      <c r="I2799" s="23" t="e">
        <f ca="1">[1]!BexGetData("DP_1","003N8EMH8GTFRCSWKMPXRSAE6","GSON2117110006")</f>
        <v>#NAME?</v>
      </c>
      <c r="J2799" s="24" t="e">
        <f ca="1">[1]!BexGetData("DP_1","003N8EMH8GTFRCSWKMPXRSGPQ","GSON2117110006")</f>
        <v>#NAME?</v>
      </c>
      <c r="K2799" s="23" t="e">
        <f ca="1">[1]!BexGetData("DP_1","003N8EMH8GTFRIVNUPY288VJH","GSON2117110006")</f>
        <v>#NAME?</v>
      </c>
      <c r="L2799" s="23" t="e">
        <f ca="1">[1]!BexGetData("DP_1","003N8EMH8GTFRIVNUPY2891V1","GSON2117110006")</f>
        <v>#NAME?</v>
      </c>
      <c r="M2799" s="28" t="e">
        <f ca="1">[1]!BexGetData("DP_1","003N8EMH8GTFRIVOG7KG9IQXA","GSON2117110006")</f>
        <v>#NAME?</v>
      </c>
      <c r="N2799" s="23" t="e">
        <f ca="1">[1]!BexGetData("DP_1","003N8EMH8GTFRIVOG7KG9IX8U","GSON2117110006")</f>
        <v>#NAME?</v>
      </c>
      <c r="O2799" s="28" t="e">
        <f ca="1">[1]!BexGetData("DP_1","003N8EMH8GTFRIVOG7KG9J3KE","GSON2117110006")</f>
        <v>#NAME?</v>
      </c>
      <c r="P2799" s="23" t="e">
        <f ca="1">[1]!BexGetData("DP_1","003N8EMH8GTFRIVOG7KG9J9VY","GSON2117110006")</f>
        <v>#NAME?</v>
      </c>
      <c r="Q2799" s="24" t="e">
        <f ca="1">[1]!BexGetData("DP_1","00O2TNJGODT0G5Z4TTKYMM5MT","GSON2117110006")</f>
        <v>#NAME?</v>
      </c>
      <c r="R2799" s="23" t="e">
        <f ca="1">[1]!BexGetData("DP_1","00O2TNJGODT0G5Z4TTKYMMBYD","GSON2117110006")</f>
        <v>#NAME?</v>
      </c>
      <c r="S2799" s="23" t="e">
        <f ca="1">[1]!BexGetData("DP_1","00O2TNJGODT0G5Z4TTKYMMI9X","GSON2117110006")</f>
        <v>#NAME?</v>
      </c>
      <c r="T2799" s="23" t="e">
        <f ca="1">[1]!BexGetData("DP_1","00O2TNJGODT0G5Z4TTKYMMOLH","GSON2117110006")</f>
        <v>#NAME?</v>
      </c>
      <c r="U2799" s="28" t="e">
        <f ca="1">[1]!BexGetData("DP_1","00O2TNJGODT0G5Z4TTKYMMUX1","GSON2117110006")</f>
        <v>#NAME?</v>
      </c>
      <c r="V2799" s="23" t="e">
        <f ca="1">[1]!BexGetData("DP_1","00O2TNJGODT0G5Z4TTKYMN18L","GSON2117110006")</f>
        <v>#NAME?</v>
      </c>
      <c r="W2799" s="28" t="e">
        <f ca="1">[1]!BexGetData("DP_1","00O2TNJGODT0G5Z4TTKYMN7K5","GSON2117110006")</f>
        <v>#NAME?</v>
      </c>
    </row>
    <row r="2800" spans="1:23" x14ac:dyDescent="0.2">
      <c r="A2800" s="37" t="s">
        <v>6169</v>
      </c>
      <c r="B2800" s="27" t="s">
        <v>6170</v>
      </c>
      <c r="C2800" s="28" t="e">
        <f ca="1">[1]!BexGetData("DP_1","003N8EMH8GTFRCSWKMPXRR8GU","GSON2117110007")</f>
        <v>#NAME?</v>
      </c>
      <c r="D2800" s="28" t="e">
        <f ca="1">[1]!BexGetData("DP_1","003N8EMH8GTFRCSWKMPXRRESE","GSON2117110007")</f>
        <v>#NAME?</v>
      </c>
      <c r="E2800" s="23" t="e">
        <f ca="1">[1]!BexGetData("DP_1","003N8EMH8GTFRCSWKMPXRRL3Y","GSON2117110007")</f>
        <v>#NAME?</v>
      </c>
      <c r="F2800" s="23" t="e">
        <f ca="1">[1]!BexGetData("DP_1","003N8EMH8GTFRCSWKMPXRRRFI","GSON2117110007")</f>
        <v>#NAME?</v>
      </c>
      <c r="G2800" s="23" t="e">
        <f ca="1">[1]!BexGetData("DP_1","003N8EMH8GTFRCSWKMPXRRXR2","GSON2117110007")</f>
        <v>#NAME?</v>
      </c>
      <c r="H2800" s="23" t="e">
        <f ca="1">[1]!BexGetData("DP_1","003N8EMH8GTFRCSWKMPXRS42M","GSON2117110007")</f>
        <v>#NAME?</v>
      </c>
      <c r="I2800" s="23" t="e">
        <f ca="1">[1]!BexGetData("DP_1","003N8EMH8GTFRCSWKMPXRSAE6","GSON2117110007")</f>
        <v>#NAME?</v>
      </c>
      <c r="J2800" s="23" t="e">
        <f ca="1">[1]!BexGetData("DP_1","003N8EMH8GTFRCSWKMPXRSGPQ","GSON2117110007")</f>
        <v>#NAME?</v>
      </c>
      <c r="K2800" s="28" t="e">
        <f ca="1">[1]!BexGetData("DP_1","003N8EMH8GTFRIVNUPY288VJH","GSON2117110007")</f>
        <v>#NAME?</v>
      </c>
      <c r="L2800" s="28" t="e">
        <f ca="1">[1]!BexGetData("DP_1","003N8EMH8GTFRIVNUPY2891V1","GSON2117110007")</f>
        <v>#NAME?</v>
      </c>
      <c r="M2800" s="28" t="e">
        <f ca="1">[1]!BexGetData("DP_1","003N8EMH8GTFRIVOG7KG9IQXA","GSON2117110007")</f>
        <v>#NAME?</v>
      </c>
      <c r="N2800" s="28" t="e">
        <f ca="1">[1]!BexGetData("DP_1","003N8EMH8GTFRIVOG7KG9IX8U","GSON2117110007")</f>
        <v>#NAME?</v>
      </c>
      <c r="O2800" s="28" t="e">
        <f ca="1">[1]!BexGetData("DP_1","003N8EMH8GTFRIVOG7KG9J3KE","GSON2117110007")</f>
        <v>#NAME?</v>
      </c>
      <c r="P2800" s="28" t="e">
        <f ca="1">[1]!BexGetData("DP_1","003N8EMH8GTFRIVOG7KG9J9VY","GSON2117110007")</f>
        <v>#NAME?</v>
      </c>
      <c r="Q2800" s="23" t="e">
        <f ca="1">[1]!BexGetData("DP_1","00O2TNJGODT0G5Z4TTKYMM5MT","GSON2117110007")</f>
        <v>#NAME?</v>
      </c>
      <c r="R2800" s="23" t="e">
        <f ca="1">[1]!BexGetData("DP_1","00O2TNJGODT0G5Z4TTKYMMBYD","GSON2117110007")</f>
        <v>#NAME?</v>
      </c>
      <c r="S2800" s="23" t="e">
        <f ca="1">[1]!BexGetData("DP_1","00O2TNJGODT0G5Z4TTKYMMI9X","GSON2117110007")</f>
        <v>#NAME?</v>
      </c>
      <c r="T2800" s="28" t="e">
        <f ca="1">[1]!BexGetData("DP_1","00O2TNJGODT0G5Z4TTKYMMOLH","GSON2117110007")</f>
        <v>#NAME?</v>
      </c>
      <c r="U2800" s="23" t="e">
        <f ca="1">[1]!BexGetData("DP_1","00O2TNJGODT0G5Z4TTKYMMUX1","GSON2117110007")</f>
        <v>#NAME?</v>
      </c>
      <c r="V2800" s="28" t="e">
        <f ca="1">[1]!BexGetData("DP_1","00O2TNJGODT0G5Z4TTKYMN18L","GSON2117110007")</f>
        <v>#NAME?</v>
      </c>
      <c r="W2800" s="23" t="e">
        <f ca="1">[1]!BexGetData("DP_1","00O2TNJGODT0G5Z4TTKYMN7K5","GSON2117110007")</f>
        <v>#NAME?</v>
      </c>
    </row>
    <row r="2801" spans="1:23" x14ac:dyDescent="0.2">
      <c r="A2801" s="37" t="s">
        <v>6171</v>
      </c>
      <c r="B2801" s="27" t="s">
        <v>6172</v>
      </c>
      <c r="C2801" s="23" t="e">
        <f ca="1">[1]!BexGetData("DP_1","003N8EMH8GTFRCSWKMPXRR8GU","GSON2117110008")</f>
        <v>#NAME?</v>
      </c>
      <c r="D2801" s="23" t="e">
        <f ca="1">[1]!BexGetData("DP_1","003N8EMH8GTFRCSWKMPXRRESE","GSON2117110008")</f>
        <v>#NAME?</v>
      </c>
      <c r="E2801" s="23" t="e">
        <f ca="1">[1]!BexGetData("DP_1","003N8EMH8GTFRCSWKMPXRRL3Y","GSON2117110008")</f>
        <v>#NAME?</v>
      </c>
      <c r="F2801" s="24" t="e">
        <f ca="1">[1]!BexGetData("DP_1","003N8EMH8GTFRCSWKMPXRRRFI","GSON2117110008")</f>
        <v>#NAME?</v>
      </c>
      <c r="G2801" s="24" t="e">
        <f ca="1">[1]!BexGetData("DP_1","003N8EMH8GTFRCSWKMPXRRXR2","GSON2117110008")</f>
        <v>#NAME?</v>
      </c>
      <c r="H2801" s="24" t="e">
        <f ca="1">[1]!BexGetData("DP_1","003N8EMH8GTFRCSWKMPXRS42M","GSON2117110008")</f>
        <v>#NAME?</v>
      </c>
      <c r="I2801" s="24" t="e">
        <f ca="1">[1]!BexGetData("DP_1","003N8EMH8GTFRCSWKMPXRSAE6","GSON2117110008")</f>
        <v>#NAME?</v>
      </c>
      <c r="J2801" s="24" t="e">
        <f ca="1">[1]!BexGetData("DP_1","003N8EMH8GTFRCSWKMPXRSGPQ","GSON2117110008")</f>
        <v>#NAME?</v>
      </c>
      <c r="K2801" s="23" t="e">
        <f ca="1">[1]!BexGetData("DP_1","003N8EMH8GTFRIVNUPY288VJH","GSON2117110008")</f>
        <v>#NAME?</v>
      </c>
      <c r="L2801" s="23" t="e">
        <f ca="1">[1]!BexGetData("DP_1","003N8EMH8GTFRIVNUPY2891V1","GSON2117110008")</f>
        <v>#NAME?</v>
      </c>
      <c r="M2801" s="23" t="e">
        <f ca="1">[1]!BexGetData("DP_1","003N8EMH8GTFRIVOG7KG9IQXA","GSON2117110008")</f>
        <v>#NAME?</v>
      </c>
      <c r="N2801" s="28" t="e">
        <f ca="1">[1]!BexGetData("DP_1","003N8EMH8GTFRIVOG7KG9IX8U","GSON2117110008")</f>
        <v>#NAME?</v>
      </c>
      <c r="O2801" s="23" t="e">
        <f ca="1">[1]!BexGetData("DP_1","003N8EMH8GTFRIVOG7KG9J3KE","GSON2117110008")</f>
        <v>#NAME?</v>
      </c>
      <c r="P2801" s="28" t="e">
        <f ca="1">[1]!BexGetData("DP_1","003N8EMH8GTFRIVOG7KG9J9VY","GSON2117110008")</f>
        <v>#NAME?</v>
      </c>
      <c r="Q2801" s="24" t="e">
        <f ca="1">[1]!BexGetData("DP_1","00O2TNJGODT0G5Z4TTKYMM5MT","GSON2117110008")</f>
        <v>#NAME?</v>
      </c>
      <c r="R2801" s="24" t="e">
        <f ca="1">[1]!BexGetData("DP_1","00O2TNJGODT0G5Z4TTKYMMBYD","GSON2117110008")</f>
        <v>#NAME?</v>
      </c>
      <c r="S2801" s="24" t="e">
        <f ca="1">[1]!BexGetData("DP_1","00O2TNJGODT0G5Z4TTKYMMI9X","GSON2117110008")</f>
        <v>#NAME?</v>
      </c>
      <c r="T2801" s="24" t="e">
        <f ca="1">[1]!BexGetData("DP_1","00O2TNJGODT0G5Z4TTKYMMOLH","GSON2117110008")</f>
        <v>#NAME?</v>
      </c>
      <c r="U2801" s="24" t="e">
        <f ca="1">[1]!BexGetData("DP_1","00O2TNJGODT0G5Z4TTKYMMUX1","GSON2117110008")</f>
        <v>#NAME?</v>
      </c>
      <c r="V2801" s="24" t="e">
        <f ca="1">[1]!BexGetData("DP_1","00O2TNJGODT0G5Z4TTKYMN18L","GSON2117110008")</f>
        <v>#NAME?</v>
      </c>
      <c r="W2801" s="24" t="e">
        <f ca="1">[1]!BexGetData("DP_1","00O2TNJGODT0G5Z4TTKYMN7K5","GSON2117110008")</f>
        <v>#NAME?</v>
      </c>
    </row>
    <row r="2802" spans="1:23" x14ac:dyDescent="0.2">
      <c r="A2802" s="37" t="s">
        <v>350</v>
      </c>
      <c r="B2802" s="27" t="s">
        <v>6173</v>
      </c>
      <c r="C2802" s="23" t="e">
        <f ca="1">[1]!BexGetData("DP_1","003N8EMH8GTFRCSWKMPXRR8GU","GSON2117110009")</f>
        <v>#NAME?</v>
      </c>
      <c r="D2802" s="23" t="e">
        <f ca="1">[1]!BexGetData("DP_1","003N8EMH8GTFRCSWKMPXRRESE","GSON2117110009")</f>
        <v>#NAME?</v>
      </c>
      <c r="E2802" s="23" t="e">
        <f ca="1">[1]!BexGetData("DP_1","003N8EMH8GTFRCSWKMPXRRL3Y","GSON2117110009")</f>
        <v>#NAME?</v>
      </c>
      <c r="F2802" s="24" t="e">
        <f ca="1">[1]!BexGetData("DP_1","003N8EMH8GTFRCSWKMPXRRRFI","GSON2117110009")</f>
        <v>#NAME?</v>
      </c>
      <c r="G2802" s="24" t="e">
        <f ca="1">[1]!BexGetData("DP_1","003N8EMH8GTFRCSWKMPXRRXR2","GSON2117110009")</f>
        <v>#NAME?</v>
      </c>
      <c r="H2802" s="24" t="e">
        <f ca="1">[1]!BexGetData("DP_1","003N8EMH8GTFRCSWKMPXRS42M","GSON2117110009")</f>
        <v>#NAME?</v>
      </c>
      <c r="I2802" s="24" t="e">
        <f ca="1">[1]!BexGetData("DP_1","003N8EMH8GTFRCSWKMPXRSAE6","GSON2117110009")</f>
        <v>#NAME?</v>
      </c>
      <c r="J2802" s="24" t="e">
        <f ca="1">[1]!BexGetData("DP_1","003N8EMH8GTFRCSWKMPXRSGPQ","GSON2117110009")</f>
        <v>#NAME?</v>
      </c>
      <c r="K2802" s="23" t="e">
        <f ca="1">[1]!BexGetData("DP_1","003N8EMH8GTFRIVNUPY288VJH","GSON2117110009")</f>
        <v>#NAME?</v>
      </c>
      <c r="L2802" s="23" t="e">
        <f ca="1">[1]!BexGetData("DP_1","003N8EMH8GTFRIVNUPY2891V1","GSON2117110009")</f>
        <v>#NAME?</v>
      </c>
      <c r="M2802" s="23" t="e">
        <f ca="1">[1]!BexGetData("DP_1","003N8EMH8GTFRIVOG7KG9IQXA","GSON2117110009")</f>
        <v>#NAME?</v>
      </c>
      <c r="N2802" s="28" t="e">
        <f ca="1">[1]!BexGetData("DP_1","003N8EMH8GTFRIVOG7KG9IX8U","GSON2117110009")</f>
        <v>#NAME?</v>
      </c>
      <c r="O2802" s="23" t="e">
        <f ca="1">[1]!BexGetData("DP_1","003N8EMH8GTFRIVOG7KG9J3KE","GSON2117110009")</f>
        <v>#NAME?</v>
      </c>
      <c r="P2802" s="28" t="e">
        <f ca="1">[1]!BexGetData("DP_1","003N8EMH8GTFRIVOG7KG9J9VY","GSON2117110009")</f>
        <v>#NAME?</v>
      </c>
      <c r="Q2802" s="24" t="e">
        <f ca="1">[1]!BexGetData("DP_1","00O2TNJGODT0G5Z4TTKYMM5MT","GSON2117110009")</f>
        <v>#NAME?</v>
      </c>
      <c r="R2802" s="24" t="e">
        <f ca="1">[1]!BexGetData("DP_1","00O2TNJGODT0G5Z4TTKYMMBYD","GSON2117110009")</f>
        <v>#NAME?</v>
      </c>
      <c r="S2802" s="24" t="e">
        <f ca="1">[1]!BexGetData("DP_1","00O2TNJGODT0G5Z4TTKYMMI9X","GSON2117110009")</f>
        <v>#NAME?</v>
      </c>
      <c r="T2802" s="24" t="e">
        <f ca="1">[1]!BexGetData("DP_1","00O2TNJGODT0G5Z4TTKYMMOLH","GSON2117110009")</f>
        <v>#NAME?</v>
      </c>
      <c r="U2802" s="24" t="e">
        <f ca="1">[1]!BexGetData("DP_1","00O2TNJGODT0G5Z4TTKYMMUX1","GSON2117110009")</f>
        <v>#NAME?</v>
      </c>
      <c r="V2802" s="24" t="e">
        <f ca="1">[1]!BexGetData("DP_1","00O2TNJGODT0G5Z4TTKYMN18L","GSON2117110009")</f>
        <v>#NAME?</v>
      </c>
      <c r="W2802" s="24" t="e">
        <f ca="1">[1]!BexGetData("DP_1","00O2TNJGODT0G5Z4TTKYMN7K5","GSON2117110009")</f>
        <v>#NAME?</v>
      </c>
    </row>
    <row r="2803" spans="1:23" x14ac:dyDescent="0.2">
      <c r="A2803" s="37" t="s">
        <v>1414</v>
      </c>
      <c r="B2803" s="27" t="s">
        <v>6174</v>
      </c>
      <c r="C2803" s="23" t="e">
        <f ca="1">[1]!BexGetData("DP_1","003N8EMH8GTFRCSWKMPXRR8GU","GSON2117110010")</f>
        <v>#NAME?</v>
      </c>
      <c r="D2803" s="23" t="e">
        <f ca="1">[1]!BexGetData("DP_1","003N8EMH8GTFRCSWKMPXRRESE","GSON2117110010")</f>
        <v>#NAME?</v>
      </c>
      <c r="E2803" s="23" t="e">
        <f ca="1">[1]!BexGetData("DP_1","003N8EMH8GTFRCSWKMPXRRL3Y","GSON2117110010")</f>
        <v>#NAME?</v>
      </c>
      <c r="F2803" s="24" t="e">
        <f ca="1">[1]!BexGetData("DP_1","003N8EMH8GTFRCSWKMPXRRRFI","GSON2117110010")</f>
        <v>#NAME?</v>
      </c>
      <c r="G2803" s="24" t="e">
        <f ca="1">[1]!BexGetData("DP_1","003N8EMH8GTFRCSWKMPXRRXR2","GSON2117110010")</f>
        <v>#NAME?</v>
      </c>
      <c r="H2803" s="24" t="e">
        <f ca="1">[1]!BexGetData("DP_1","003N8EMH8GTFRCSWKMPXRS42M","GSON2117110010")</f>
        <v>#NAME?</v>
      </c>
      <c r="I2803" s="24" t="e">
        <f ca="1">[1]!BexGetData("DP_1","003N8EMH8GTFRCSWKMPXRSAE6","GSON2117110010")</f>
        <v>#NAME?</v>
      </c>
      <c r="J2803" s="24" t="e">
        <f ca="1">[1]!BexGetData("DP_1","003N8EMH8GTFRCSWKMPXRSGPQ","GSON2117110010")</f>
        <v>#NAME?</v>
      </c>
      <c r="K2803" s="23" t="e">
        <f ca="1">[1]!BexGetData("DP_1","003N8EMH8GTFRIVNUPY288VJH","GSON2117110010")</f>
        <v>#NAME?</v>
      </c>
      <c r="L2803" s="23" t="e">
        <f ca="1">[1]!BexGetData("DP_1","003N8EMH8GTFRIVNUPY2891V1","GSON2117110010")</f>
        <v>#NAME?</v>
      </c>
      <c r="M2803" s="23" t="e">
        <f ca="1">[1]!BexGetData("DP_1","003N8EMH8GTFRIVOG7KG9IQXA","GSON2117110010")</f>
        <v>#NAME?</v>
      </c>
      <c r="N2803" s="28" t="e">
        <f ca="1">[1]!BexGetData("DP_1","003N8EMH8GTFRIVOG7KG9IX8U","GSON2117110010")</f>
        <v>#NAME?</v>
      </c>
      <c r="O2803" s="23" t="e">
        <f ca="1">[1]!BexGetData("DP_1","003N8EMH8GTFRIVOG7KG9J3KE","GSON2117110010")</f>
        <v>#NAME?</v>
      </c>
      <c r="P2803" s="28" t="e">
        <f ca="1">[1]!BexGetData("DP_1","003N8EMH8GTFRIVOG7KG9J9VY","GSON2117110010")</f>
        <v>#NAME?</v>
      </c>
      <c r="Q2803" s="24" t="e">
        <f ca="1">[1]!BexGetData("DP_1","00O2TNJGODT0G5Z4TTKYMM5MT","GSON2117110010")</f>
        <v>#NAME?</v>
      </c>
      <c r="R2803" s="24" t="e">
        <f ca="1">[1]!BexGetData("DP_1","00O2TNJGODT0G5Z4TTKYMMBYD","GSON2117110010")</f>
        <v>#NAME?</v>
      </c>
      <c r="S2803" s="24" t="e">
        <f ca="1">[1]!BexGetData("DP_1","00O2TNJGODT0G5Z4TTKYMMI9X","GSON2117110010")</f>
        <v>#NAME?</v>
      </c>
      <c r="T2803" s="24" t="e">
        <f ca="1">[1]!BexGetData("DP_1","00O2TNJGODT0G5Z4TTKYMMOLH","GSON2117110010")</f>
        <v>#NAME?</v>
      </c>
      <c r="U2803" s="24" t="e">
        <f ca="1">[1]!BexGetData("DP_1","00O2TNJGODT0G5Z4TTKYMMUX1","GSON2117110010")</f>
        <v>#NAME?</v>
      </c>
      <c r="V2803" s="24" t="e">
        <f ca="1">[1]!BexGetData("DP_1","00O2TNJGODT0G5Z4TTKYMN18L","GSON2117110010")</f>
        <v>#NAME?</v>
      </c>
      <c r="W2803" s="24" t="e">
        <f ca="1">[1]!BexGetData("DP_1","00O2TNJGODT0G5Z4TTKYMN7K5","GSON2117110010")</f>
        <v>#NAME?</v>
      </c>
    </row>
    <row r="2804" spans="1:23" x14ac:dyDescent="0.2">
      <c r="A2804" s="37" t="s">
        <v>353</v>
      </c>
      <c r="B2804" s="27" t="s">
        <v>6175</v>
      </c>
      <c r="C2804" s="23" t="e">
        <f ca="1">[1]!BexGetData("DP_1","003N8EMH8GTFRCSWKMPXRR8GU","GSON2117110011")</f>
        <v>#NAME?</v>
      </c>
      <c r="D2804" s="23" t="e">
        <f ca="1">[1]!BexGetData("DP_1","003N8EMH8GTFRCSWKMPXRRESE","GSON2117110011")</f>
        <v>#NAME?</v>
      </c>
      <c r="E2804" s="23" t="e">
        <f ca="1">[1]!BexGetData("DP_1","003N8EMH8GTFRCSWKMPXRRL3Y","GSON2117110011")</f>
        <v>#NAME?</v>
      </c>
      <c r="F2804" s="24" t="e">
        <f ca="1">[1]!BexGetData("DP_1","003N8EMH8GTFRCSWKMPXRRRFI","GSON2117110011")</f>
        <v>#NAME?</v>
      </c>
      <c r="G2804" s="24" t="e">
        <f ca="1">[1]!BexGetData("DP_1","003N8EMH8GTFRCSWKMPXRRXR2","GSON2117110011")</f>
        <v>#NAME?</v>
      </c>
      <c r="H2804" s="24" t="e">
        <f ca="1">[1]!BexGetData("DP_1","003N8EMH8GTFRCSWKMPXRS42M","GSON2117110011")</f>
        <v>#NAME?</v>
      </c>
      <c r="I2804" s="24" t="e">
        <f ca="1">[1]!BexGetData("DP_1","003N8EMH8GTFRCSWKMPXRSAE6","GSON2117110011")</f>
        <v>#NAME?</v>
      </c>
      <c r="J2804" s="24" t="e">
        <f ca="1">[1]!BexGetData("DP_1","003N8EMH8GTFRCSWKMPXRSGPQ","GSON2117110011")</f>
        <v>#NAME?</v>
      </c>
      <c r="K2804" s="23" t="e">
        <f ca="1">[1]!BexGetData("DP_1","003N8EMH8GTFRIVNUPY288VJH","GSON2117110011")</f>
        <v>#NAME?</v>
      </c>
      <c r="L2804" s="23" t="e">
        <f ca="1">[1]!BexGetData("DP_1","003N8EMH8GTFRIVNUPY2891V1","GSON2117110011")</f>
        <v>#NAME?</v>
      </c>
      <c r="M2804" s="23" t="e">
        <f ca="1">[1]!BexGetData("DP_1","003N8EMH8GTFRIVOG7KG9IQXA","GSON2117110011")</f>
        <v>#NAME?</v>
      </c>
      <c r="N2804" s="28" t="e">
        <f ca="1">[1]!BexGetData("DP_1","003N8EMH8GTFRIVOG7KG9IX8U","GSON2117110011")</f>
        <v>#NAME?</v>
      </c>
      <c r="O2804" s="23" t="e">
        <f ca="1">[1]!BexGetData("DP_1","003N8EMH8GTFRIVOG7KG9J3KE","GSON2117110011")</f>
        <v>#NAME?</v>
      </c>
      <c r="P2804" s="28" t="e">
        <f ca="1">[1]!BexGetData("DP_1","003N8EMH8GTFRIVOG7KG9J9VY","GSON2117110011")</f>
        <v>#NAME?</v>
      </c>
      <c r="Q2804" s="24" t="e">
        <f ca="1">[1]!BexGetData("DP_1","00O2TNJGODT0G5Z4TTKYMM5MT","GSON2117110011")</f>
        <v>#NAME?</v>
      </c>
      <c r="R2804" s="24" t="e">
        <f ca="1">[1]!BexGetData("DP_1","00O2TNJGODT0G5Z4TTKYMMBYD","GSON2117110011")</f>
        <v>#NAME?</v>
      </c>
      <c r="S2804" s="24" t="e">
        <f ca="1">[1]!BexGetData("DP_1","00O2TNJGODT0G5Z4TTKYMMI9X","GSON2117110011")</f>
        <v>#NAME?</v>
      </c>
      <c r="T2804" s="24" t="e">
        <f ca="1">[1]!BexGetData("DP_1","00O2TNJGODT0G5Z4TTKYMMOLH","GSON2117110011")</f>
        <v>#NAME?</v>
      </c>
      <c r="U2804" s="24" t="e">
        <f ca="1">[1]!BexGetData("DP_1","00O2TNJGODT0G5Z4TTKYMMUX1","GSON2117110011")</f>
        <v>#NAME?</v>
      </c>
      <c r="V2804" s="24" t="e">
        <f ca="1">[1]!BexGetData("DP_1","00O2TNJGODT0G5Z4TTKYMN18L","GSON2117110011")</f>
        <v>#NAME?</v>
      </c>
      <c r="W2804" s="24" t="e">
        <f ca="1">[1]!BexGetData("DP_1","00O2TNJGODT0G5Z4TTKYMN7K5","GSON2117110011")</f>
        <v>#NAME?</v>
      </c>
    </row>
    <row r="2805" spans="1:23" x14ac:dyDescent="0.2">
      <c r="A2805" s="37" t="s">
        <v>1415</v>
      </c>
      <c r="B2805" s="27" t="s">
        <v>484</v>
      </c>
      <c r="C2805" s="23" t="e">
        <f ca="1">[1]!BexGetData("DP_1","003N8EMH8GTFRCSWKMPXRR8GU","GSON2117310001")</f>
        <v>#NAME?</v>
      </c>
      <c r="D2805" s="23" t="e">
        <f ca="1">[1]!BexGetData("DP_1","003N8EMH8GTFRCSWKMPXRRESE","GSON2117310001")</f>
        <v>#NAME?</v>
      </c>
      <c r="E2805" s="23" t="e">
        <f ca="1">[1]!BexGetData("DP_1","003N8EMH8GTFRCSWKMPXRRL3Y","GSON2117310001")</f>
        <v>#NAME?</v>
      </c>
      <c r="F2805" s="23" t="e">
        <f ca="1">[1]!BexGetData("DP_1","003N8EMH8GTFRCSWKMPXRRRFI","GSON2117310001")</f>
        <v>#NAME?</v>
      </c>
      <c r="G2805" s="23" t="e">
        <f ca="1">[1]!BexGetData("DP_1","003N8EMH8GTFRCSWKMPXRRXR2","GSON2117310001")</f>
        <v>#NAME?</v>
      </c>
      <c r="H2805" s="23" t="e">
        <f ca="1">[1]!BexGetData("DP_1","003N8EMH8GTFRCSWKMPXRS42M","GSON2117310001")</f>
        <v>#NAME?</v>
      </c>
      <c r="I2805" s="23" t="e">
        <f ca="1">[1]!BexGetData("DP_1","003N8EMH8GTFRCSWKMPXRSAE6","GSON2117310001")</f>
        <v>#NAME?</v>
      </c>
      <c r="J2805" s="24" t="e">
        <f ca="1">[1]!BexGetData("DP_1","003N8EMH8GTFRCSWKMPXRSGPQ","GSON2117310001")</f>
        <v>#NAME?</v>
      </c>
      <c r="K2805" s="23" t="e">
        <f ca="1">[1]!BexGetData("DP_1","003N8EMH8GTFRIVNUPY288VJH","GSON2117310001")</f>
        <v>#NAME?</v>
      </c>
      <c r="L2805" s="23" t="e">
        <f ca="1">[1]!BexGetData("DP_1","003N8EMH8GTFRIVNUPY2891V1","GSON2117310001")</f>
        <v>#NAME?</v>
      </c>
      <c r="M2805" s="28" t="e">
        <f ca="1">[1]!BexGetData("DP_1","003N8EMH8GTFRIVOG7KG9IQXA","GSON2117310001")</f>
        <v>#NAME?</v>
      </c>
      <c r="N2805" s="23" t="e">
        <f ca="1">[1]!BexGetData("DP_1","003N8EMH8GTFRIVOG7KG9IX8U","GSON2117310001")</f>
        <v>#NAME?</v>
      </c>
      <c r="O2805" s="28" t="e">
        <f ca="1">[1]!BexGetData("DP_1","003N8EMH8GTFRIVOG7KG9J3KE","GSON2117310001")</f>
        <v>#NAME?</v>
      </c>
      <c r="P2805" s="23" t="e">
        <f ca="1">[1]!BexGetData("DP_1","003N8EMH8GTFRIVOG7KG9J9VY","GSON2117310001")</f>
        <v>#NAME?</v>
      </c>
      <c r="Q2805" s="24" t="e">
        <f ca="1">[1]!BexGetData("DP_1","00O2TNJGODT0G5Z4TTKYMM5MT","GSON2117310001")</f>
        <v>#NAME?</v>
      </c>
      <c r="R2805" s="23" t="e">
        <f ca="1">[1]!BexGetData("DP_1","00O2TNJGODT0G5Z4TTKYMMBYD","GSON2117310001")</f>
        <v>#NAME?</v>
      </c>
      <c r="S2805" s="23" t="e">
        <f ca="1">[1]!BexGetData("DP_1","00O2TNJGODT0G5Z4TTKYMMI9X","GSON2117310001")</f>
        <v>#NAME?</v>
      </c>
      <c r="T2805" s="28" t="e">
        <f ca="1">[1]!BexGetData("DP_1","00O2TNJGODT0G5Z4TTKYMMOLH","GSON2117310001")</f>
        <v>#NAME?</v>
      </c>
      <c r="U2805" s="23" t="e">
        <f ca="1">[1]!BexGetData("DP_1","00O2TNJGODT0G5Z4TTKYMMUX1","GSON2117310001")</f>
        <v>#NAME?</v>
      </c>
      <c r="V2805" s="28" t="e">
        <f ca="1">[1]!BexGetData("DP_1","00O2TNJGODT0G5Z4TTKYMN18L","GSON2117310001")</f>
        <v>#NAME?</v>
      </c>
      <c r="W2805" s="23" t="e">
        <f ca="1">[1]!BexGetData("DP_1","00O2TNJGODT0G5Z4TTKYMN7K5","GSON2117310001")</f>
        <v>#NAME?</v>
      </c>
    </row>
    <row r="2806" spans="1:23" x14ac:dyDescent="0.2">
      <c r="A2806" s="37" t="s">
        <v>485</v>
      </c>
      <c r="B2806" s="27" t="s">
        <v>486</v>
      </c>
      <c r="C2806" s="23" t="e">
        <f ca="1">[1]!BexGetData("DP_1","003N8EMH8GTFRCSWKMPXRR8GU","GSON2117310002")</f>
        <v>#NAME?</v>
      </c>
      <c r="D2806" s="23" t="e">
        <f ca="1">[1]!BexGetData("DP_1","003N8EMH8GTFRCSWKMPXRRESE","GSON2117310002")</f>
        <v>#NAME?</v>
      </c>
      <c r="E2806" s="23" t="e">
        <f ca="1">[1]!BexGetData("DP_1","003N8EMH8GTFRCSWKMPXRRL3Y","GSON2117310002")</f>
        <v>#NAME?</v>
      </c>
      <c r="F2806" s="23" t="e">
        <f ca="1">[1]!BexGetData("DP_1","003N8EMH8GTFRCSWKMPXRRRFI","GSON2117310002")</f>
        <v>#NAME?</v>
      </c>
      <c r="G2806" s="23" t="e">
        <f ca="1">[1]!BexGetData("DP_1","003N8EMH8GTFRCSWKMPXRRXR2","GSON2117310002")</f>
        <v>#NAME?</v>
      </c>
      <c r="H2806" s="23" t="e">
        <f ca="1">[1]!BexGetData("DP_1","003N8EMH8GTFRCSWKMPXRS42M","GSON2117310002")</f>
        <v>#NAME?</v>
      </c>
      <c r="I2806" s="23" t="e">
        <f ca="1">[1]!BexGetData("DP_1","003N8EMH8GTFRCSWKMPXRSAE6","GSON2117310002")</f>
        <v>#NAME?</v>
      </c>
      <c r="J2806" s="24" t="e">
        <f ca="1">[1]!BexGetData("DP_1","003N8EMH8GTFRCSWKMPXRSGPQ","GSON2117310002")</f>
        <v>#NAME?</v>
      </c>
      <c r="K2806" s="23" t="e">
        <f ca="1">[1]!BexGetData("DP_1","003N8EMH8GTFRIVNUPY288VJH","GSON2117310002")</f>
        <v>#NAME?</v>
      </c>
      <c r="L2806" s="23" t="e">
        <f ca="1">[1]!BexGetData("DP_1","003N8EMH8GTFRIVNUPY2891V1","GSON2117310002")</f>
        <v>#NAME?</v>
      </c>
      <c r="M2806" s="28" t="e">
        <f ca="1">[1]!BexGetData("DP_1","003N8EMH8GTFRIVOG7KG9IQXA","GSON2117310002")</f>
        <v>#NAME?</v>
      </c>
      <c r="N2806" s="23" t="e">
        <f ca="1">[1]!BexGetData("DP_1","003N8EMH8GTFRIVOG7KG9IX8U","GSON2117310002")</f>
        <v>#NAME?</v>
      </c>
      <c r="O2806" s="28" t="e">
        <f ca="1">[1]!BexGetData("DP_1","003N8EMH8GTFRIVOG7KG9J3KE","GSON2117310002")</f>
        <v>#NAME?</v>
      </c>
      <c r="P2806" s="23" t="e">
        <f ca="1">[1]!BexGetData("DP_1","003N8EMH8GTFRIVOG7KG9J9VY","GSON2117310002")</f>
        <v>#NAME?</v>
      </c>
      <c r="Q2806" s="24" t="e">
        <f ca="1">[1]!BexGetData("DP_1","00O2TNJGODT0G5Z4TTKYMM5MT","GSON2117310002")</f>
        <v>#NAME?</v>
      </c>
      <c r="R2806" s="23" t="e">
        <f ca="1">[1]!BexGetData("DP_1","00O2TNJGODT0G5Z4TTKYMMBYD","GSON2117310002")</f>
        <v>#NAME?</v>
      </c>
      <c r="S2806" s="23" t="e">
        <f ca="1">[1]!BexGetData("DP_1","00O2TNJGODT0G5Z4TTKYMMI9X","GSON2117310002")</f>
        <v>#NAME?</v>
      </c>
      <c r="T2806" s="23" t="e">
        <f ca="1">[1]!BexGetData("DP_1","00O2TNJGODT0G5Z4TTKYMMOLH","GSON2117310002")</f>
        <v>#NAME?</v>
      </c>
      <c r="U2806" s="28" t="e">
        <f ca="1">[1]!BexGetData("DP_1","00O2TNJGODT0G5Z4TTKYMMUX1","GSON2117310002")</f>
        <v>#NAME?</v>
      </c>
      <c r="V2806" s="23" t="e">
        <f ca="1">[1]!BexGetData("DP_1","00O2TNJGODT0G5Z4TTKYMN18L","GSON2117310002")</f>
        <v>#NAME?</v>
      </c>
      <c r="W2806" s="28" t="e">
        <f ca="1">[1]!BexGetData("DP_1","00O2TNJGODT0G5Z4TTKYMN7K5","GSON2117310002")</f>
        <v>#NAME?</v>
      </c>
    </row>
    <row r="2807" spans="1:23" x14ac:dyDescent="0.2">
      <c r="A2807" s="37" t="s">
        <v>1416</v>
      </c>
      <c r="B2807" s="27" t="s">
        <v>1417</v>
      </c>
      <c r="C2807" s="23" t="e">
        <f ca="1">[1]!BexGetData("DP_1","003N8EMH8GTFRCSWKMPXRR8GU","GSON2117310003")</f>
        <v>#NAME?</v>
      </c>
      <c r="D2807" s="23" t="e">
        <f ca="1">[1]!BexGetData("DP_1","003N8EMH8GTFRCSWKMPXRRESE","GSON2117310003")</f>
        <v>#NAME?</v>
      </c>
      <c r="E2807" s="23" t="e">
        <f ca="1">[1]!BexGetData("DP_1","003N8EMH8GTFRCSWKMPXRRL3Y","GSON2117310003")</f>
        <v>#NAME?</v>
      </c>
      <c r="F2807" s="23" t="e">
        <f ca="1">[1]!BexGetData("DP_1","003N8EMH8GTFRCSWKMPXRRRFI","GSON2117310003")</f>
        <v>#NAME?</v>
      </c>
      <c r="G2807" s="23" t="e">
        <f ca="1">[1]!BexGetData("DP_1","003N8EMH8GTFRCSWKMPXRRXR2","GSON2117310003")</f>
        <v>#NAME?</v>
      </c>
      <c r="H2807" s="23" t="e">
        <f ca="1">[1]!BexGetData("DP_1","003N8EMH8GTFRCSWKMPXRS42M","GSON2117310003")</f>
        <v>#NAME?</v>
      </c>
      <c r="I2807" s="23" t="e">
        <f ca="1">[1]!BexGetData("DP_1","003N8EMH8GTFRCSWKMPXRSAE6","GSON2117310003")</f>
        <v>#NAME?</v>
      </c>
      <c r="J2807" s="24" t="e">
        <f ca="1">[1]!BexGetData("DP_1","003N8EMH8GTFRCSWKMPXRSGPQ","GSON2117310003")</f>
        <v>#NAME?</v>
      </c>
      <c r="K2807" s="23" t="e">
        <f ca="1">[1]!BexGetData("DP_1","003N8EMH8GTFRIVNUPY288VJH","GSON2117310003")</f>
        <v>#NAME?</v>
      </c>
      <c r="L2807" s="23" t="e">
        <f ca="1">[1]!BexGetData("DP_1","003N8EMH8GTFRIVNUPY2891V1","GSON2117310003")</f>
        <v>#NAME?</v>
      </c>
      <c r="M2807" s="28" t="e">
        <f ca="1">[1]!BexGetData("DP_1","003N8EMH8GTFRIVOG7KG9IQXA","GSON2117310003")</f>
        <v>#NAME?</v>
      </c>
      <c r="N2807" s="23" t="e">
        <f ca="1">[1]!BexGetData("DP_1","003N8EMH8GTFRIVOG7KG9IX8U","GSON2117310003")</f>
        <v>#NAME?</v>
      </c>
      <c r="O2807" s="28" t="e">
        <f ca="1">[1]!BexGetData("DP_1","003N8EMH8GTFRIVOG7KG9J3KE","GSON2117310003")</f>
        <v>#NAME?</v>
      </c>
      <c r="P2807" s="23" t="e">
        <f ca="1">[1]!BexGetData("DP_1","003N8EMH8GTFRIVOG7KG9J9VY","GSON2117310003")</f>
        <v>#NAME?</v>
      </c>
      <c r="Q2807" s="24" t="e">
        <f ca="1">[1]!BexGetData("DP_1","00O2TNJGODT0G5Z4TTKYMM5MT","GSON2117310003")</f>
        <v>#NAME?</v>
      </c>
      <c r="R2807" s="23" t="e">
        <f ca="1">[1]!BexGetData("DP_1","00O2TNJGODT0G5Z4TTKYMMBYD","GSON2117310003")</f>
        <v>#NAME?</v>
      </c>
      <c r="S2807" s="23" t="e">
        <f ca="1">[1]!BexGetData("DP_1","00O2TNJGODT0G5Z4TTKYMMI9X","GSON2117310003")</f>
        <v>#NAME?</v>
      </c>
      <c r="T2807" s="23" t="e">
        <f ca="1">[1]!BexGetData("DP_1","00O2TNJGODT0G5Z4TTKYMMOLH","GSON2117310003")</f>
        <v>#NAME?</v>
      </c>
      <c r="U2807" s="28" t="e">
        <f ca="1">[1]!BexGetData("DP_1","00O2TNJGODT0G5Z4TTKYMMUX1","GSON2117310003")</f>
        <v>#NAME?</v>
      </c>
      <c r="V2807" s="23" t="e">
        <f ca="1">[1]!BexGetData("DP_1","00O2TNJGODT0G5Z4TTKYMN18L","GSON2117310003")</f>
        <v>#NAME?</v>
      </c>
      <c r="W2807" s="28" t="e">
        <f ca="1">[1]!BexGetData("DP_1","00O2TNJGODT0G5Z4TTKYMN7K5","GSON2117310003")</f>
        <v>#NAME?</v>
      </c>
    </row>
    <row r="2808" spans="1:23" x14ac:dyDescent="0.2">
      <c r="A2808" s="37" t="s">
        <v>6176</v>
      </c>
      <c r="B2808" s="27" t="s">
        <v>6177</v>
      </c>
      <c r="C2808" s="23" t="e">
        <f ca="1">[1]!BexGetData("DP_1","003N8EMH8GTFRCSWKMPXRR8GU","GSON2117310004")</f>
        <v>#NAME?</v>
      </c>
      <c r="D2808" s="23" t="e">
        <f ca="1">[1]!BexGetData("DP_1","003N8EMH8GTFRCSWKMPXRRESE","GSON2117310004")</f>
        <v>#NAME?</v>
      </c>
      <c r="E2808" s="23" t="e">
        <f ca="1">[1]!BexGetData("DP_1","003N8EMH8GTFRCSWKMPXRRL3Y","GSON2117310004")</f>
        <v>#NAME?</v>
      </c>
      <c r="F2808" s="23" t="e">
        <f ca="1">[1]!BexGetData("DP_1","003N8EMH8GTFRCSWKMPXRRRFI","GSON2117310004")</f>
        <v>#NAME?</v>
      </c>
      <c r="G2808" s="23" t="e">
        <f ca="1">[1]!BexGetData("DP_1","003N8EMH8GTFRCSWKMPXRRXR2","GSON2117310004")</f>
        <v>#NAME?</v>
      </c>
      <c r="H2808" s="23" t="e">
        <f ca="1">[1]!BexGetData("DP_1","003N8EMH8GTFRCSWKMPXRS42M","GSON2117310004")</f>
        <v>#NAME?</v>
      </c>
      <c r="I2808" s="23" t="e">
        <f ca="1">[1]!BexGetData("DP_1","003N8EMH8GTFRCSWKMPXRSAE6","GSON2117310004")</f>
        <v>#NAME?</v>
      </c>
      <c r="J2808" s="24" t="e">
        <f ca="1">[1]!BexGetData("DP_1","003N8EMH8GTFRCSWKMPXRSGPQ","GSON2117310004")</f>
        <v>#NAME?</v>
      </c>
      <c r="K2808" s="23" t="e">
        <f ca="1">[1]!BexGetData("DP_1","003N8EMH8GTFRIVNUPY288VJH","GSON2117310004")</f>
        <v>#NAME?</v>
      </c>
      <c r="L2808" s="23" t="e">
        <f ca="1">[1]!BexGetData("DP_1","003N8EMH8GTFRIVNUPY2891V1","GSON2117310004")</f>
        <v>#NAME?</v>
      </c>
      <c r="M2808" s="28" t="e">
        <f ca="1">[1]!BexGetData("DP_1","003N8EMH8GTFRIVOG7KG9IQXA","GSON2117310004")</f>
        <v>#NAME?</v>
      </c>
      <c r="N2808" s="23" t="e">
        <f ca="1">[1]!BexGetData("DP_1","003N8EMH8GTFRIVOG7KG9IX8U","GSON2117310004")</f>
        <v>#NAME?</v>
      </c>
      <c r="O2808" s="28" t="e">
        <f ca="1">[1]!BexGetData("DP_1","003N8EMH8GTFRIVOG7KG9J3KE","GSON2117310004")</f>
        <v>#NAME?</v>
      </c>
      <c r="P2808" s="23" t="e">
        <f ca="1">[1]!BexGetData("DP_1","003N8EMH8GTFRIVOG7KG9J9VY","GSON2117310004")</f>
        <v>#NAME?</v>
      </c>
      <c r="Q2808" s="24" t="e">
        <f ca="1">[1]!BexGetData("DP_1","00O2TNJGODT0G5Z4TTKYMM5MT","GSON2117310004")</f>
        <v>#NAME?</v>
      </c>
      <c r="R2808" s="23" t="e">
        <f ca="1">[1]!BexGetData("DP_1","00O2TNJGODT0G5Z4TTKYMMBYD","GSON2117310004")</f>
        <v>#NAME?</v>
      </c>
      <c r="S2808" s="23" t="e">
        <f ca="1">[1]!BexGetData("DP_1","00O2TNJGODT0G5Z4TTKYMMI9X","GSON2117310004")</f>
        <v>#NAME?</v>
      </c>
      <c r="T2808" s="23" t="e">
        <f ca="1">[1]!BexGetData("DP_1","00O2TNJGODT0G5Z4TTKYMMOLH","GSON2117310004")</f>
        <v>#NAME?</v>
      </c>
      <c r="U2808" s="28" t="e">
        <f ca="1">[1]!BexGetData("DP_1","00O2TNJGODT0G5Z4TTKYMMUX1","GSON2117310004")</f>
        <v>#NAME?</v>
      </c>
      <c r="V2808" s="23" t="e">
        <f ca="1">[1]!BexGetData("DP_1","00O2TNJGODT0G5Z4TTKYMN18L","GSON2117310004")</f>
        <v>#NAME?</v>
      </c>
      <c r="W2808" s="28" t="e">
        <f ca="1">[1]!BexGetData("DP_1","00O2TNJGODT0G5Z4TTKYMN7K5","GSON2117310004")</f>
        <v>#NAME?</v>
      </c>
    </row>
    <row r="2809" spans="1:23" x14ac:dyDescent="0.2">
      <c r="A2809" s="37" t="s">
        <v>6178</v>
      </c>
      <c r="B2809" s="27" t="s">
        <v>6179</v>
      </c>
      <c r="C2809" s="23" t="e">
        <f ca="1">[1]!BexGetData("DP_1","003N8EMH8GTFRCSWKMPXRR8GU","GSON2117310005")</f>
        <v>#NAME?</v>
      </c>
      <c r="D2809" s="23" t="e">
        <f ca="1">[1]!BexGetData("DP_1","003N8EMH8GTFRCSWKMPXRRESE","GSON2117310005")</f>
        <v>#NAME?</v>
      </c>
      <c r="E2809" s="23" t="e">
        <f ca="1">[1]!BexGetData("DP_1","003N8EMH8GTFRCSWKMPXRRL3Y","GSON2117310005")</f>
        <v>#NAME?</v>
      </c>
      <c r="F2809" s="23" t="e">
        <f ca="1">[1]!BexGetData("DP_1","003N8EMH8GTFRCSWKMPXRRRFI","GSON2117310005")</f>
        <v>#NAME?</v>
      </c>
      <c r="G2809" s="23" t="e">
        <f ca="1">[1]!BexGetData("DP_1","003N8EMH8GTFRCSWKMPXRRXR2","GSON2117310005")</f>
        <v>#NAME?</v>
      </c>
      <c r="H2809" s="23" t="e">
        <f ca="1">[1]!BexGetData("DP_1","003N8EMH8GTFRCSWKMPXRS42M","GSON2117310005")</f>
        <v>#NAME?</v>
      </c>
      <c r="I2809" s="23" t="e">
        <f ca="1">[1]!BexGetData("DP_1","003N8EMH8GTFRCSWKMPXRSAE6","GSON2117310005")</f>
        <v>#NAME?</v>
      </c>
      <c r="J2809" s="23" t="e">
        <f ca="1">[1]!BexGetData("DP_1","003N8EMH8GTFRCSWKMPXRSGPQ","GSON2117310005")</f>
        <v>#NAME?</v>
      </c>
      <c r="K2809" s="23" t="e">
        <f ca="1">[1]!BexGetData("DP_1","003N8EMH8GTFRIVNUPY288VJH","GSON2117310005")</f>
        <v>#NAME?</v>
      </c>
      <c r="L2809" s="23" t="e">
        <f ca="1">[1]!BexGetData("DP_1","003N8EMH8GTFRIVNUPY2891V1","GSON2117310005")</f>
        <v>#NAME?</v>
      </c>
      <c r="M2809" s="28" t="e">
        <f ca="1">[1]!BexGetData("DP_1","003N8EMH8GTFRIVOG7KG9IQXA","GSON2117310005")</f>
        <v>#NAME?</v>
      </c>
      <c r="N2809" s="23" t="e">
        <f ca="1">[1]!BexGetData("DP_1","003N8EMH8GTFRIVOG7KG9IX8U","GSON2117310005")</f>
        <v>#NAME?</v>
      </c>
      <c r="O2809" s="28" t="e">
        <f ca="1">[1]!BexGetData("DP_1","003N8EMH8GTFRIVOG7KG9J3KE","GSON2117310005")</f>
        <v>#NAME?</v>
      </c>
      <c r="P2809" s="23" t="e">
        <f ca="1">[1]!BexGetData("DP_1","003N8EMH8GTFRIVOG7KG9J9VY","GSON2117310005")</f>
        <v>#NAME?</v>
      </c>
      <c r="Q2809" s="23" t="e">
        <f ca="1">[1]!BexGetData("DP_1","00O2TNJGODT0G5Z4TTKYMM5MT","GSON2117310005")</f>
        <v>#NAME?</v>
      </c>
      <c r="R2809" s="23" t="e">
        <f ca="1">[1]!BexGetData("DP_1","00O2TNJGODT0G5Z4TTKYMMBYD","GSON2117310005")</f>
        <v>#NAME?</v>
      </c>
      <c r="S2809" s="23" t="e">
        <f ca="1">[1]!BexGetData("DP_1","00O2TNJGODT0G5Z4TTKYMMI9X","GSON2117310005")</f>
        <v>#NAME?</v>
      </c>
      <c r="T2809" s="23" t="e">
        <f ca="1">[1]!BexGetData("DP_1","00O2TNJGODT0G5Z4TTKYMMOLH","GSON2117310005")</f>
        <v>#NAME?</v>
      </c>
      <c r="U2809" s="28" t="e">
        <f ca="1">[1]!BexGetData("DP_1","00O2TNJGODT0G5Z4TTKYMMUX1","GSON2117310005")</f>
        <v>#NAME?</v>
      </c>
      <c r="V2809" s="23" t="e">
        <f ca="1">[1]!BexGetData("DP_1","00O2TNJGODT0G5Z4TTKYMN18L","GSON2117310005")</f>
        <v>#NAME?</v>
      </c>
      <c r="W2809" s="28" t="e">
        <f ca="1">[1]!BexGetData("DP_1","00O2TNJGODT0G5Z4TTKYMN7K5","GSON2117310005")</f>
        <v>#NAME?</v>
      </c>
    </row>
    <row r="2810" spans="1:23" x14ac:dyDescent="0.2">
      <c r="A2810" s="37" t="s">
        <v>1418</v>
      </c>
      <c r="B2810" s="27" t="s">
        <v>1419</v>
      </c>
      <c r="C2810" s="23" t="e">
        <f ca="1">[1]!BexGetData("DP_1","003N8EMH8GTFRCSWKMPXRR8GU","GSON2117320001")</f>
        <v>#NAME?</v>
      </c>
      <c r="D2810" s="23" t="e">
        <f ca="1">[1]!BexGetData("DP_1","003N8EMH8GTFRCSWKMPXRRESE","GSON2117320001")</f>
        <v>#NAME?</v>
      </c>
      <c r="E2810" s="23" t="e">
        <f ca="1">[1]!BexGetData("DP_1","003N8EMH8GTFRCSWKMPXRRL3Y","GSON2117320001")</f>
        <v>#NAME?</v>
      </c>
      <c r="F2810" s="23" t="e">
        <f ca="1">[1]!BexGetData("DP_1","003N8EMH8GTFRCSWKMPXRRRFI","GSON2117320001")</f>
        <v>#NAME?</v>
      </c>
      <c r="G2810" s="23" t="e">
        <f ca="1">[1]!BexGetData("DP_1","003N8EMH8GTFRCSWKMPXRRXR2","GSON2117320001")</f>
        <v>#NAME?</v>
      </c>
      <c r="H2810" s="23" t="e">
        <f ca="1">[1]!BexGetData("DP_1","003N8EMH8GTFRCSWKMPXRS42M","GSON2117320001")</f>
        <v>#NAME?</v>
      </c>
      <c r="I2810" s="23" t="e">
        <f ca="1">[1]!BexGetData("DP_1","003N8EMH8GTFRCSWKMPXRSAE6","GSON2117320001")</f>
        <v>#NAME?</v>
      </c>
      <c r="J2810" s="24" t="e">
        <f ca="1">[1]!BexGetData("DP_1","003N8EMH8GTFRCSWKMPXRSGPQ","GSON2117320001")</f>
        <v>#NAME?</v>
      </c>
      <c r="K2810" s="23" t="e">
        <f ca="1">[1]!BexGetData("DP_1","003N8EMH8GTFRIVNUPY288VJH","GSON2117320001")</f>
        <v>#NAME?</v>
      </c>
      <c r="L2810" s="23" t="e">
        <f ca="1">[1]!BexGetData("DP_1","003N8EMH8GTFRIVNUPY2891V1","GSON2117320001")</f>
        <v>#NAME?</v>
      </c>
      <c r="M2810" s="23" t="e">
        <f ca="1">[1]!BexGetData("DP_1","003N8EMH8GTFRIVOG7KG9IQXA","GSON2117320001")</f>
        <v>#NAME?</v>
      </c>
      <c r="N2810" s="28" t="e">
        <f ca="1">[1]!BexGetData("DP_1","003N8EMH8GTFRIVOG7KG9IX8U","GSON2117320001")</f>
        <v>#NAME?</v>
      </c>
      <c r="O2810" s="23" t="e">
        <f ca="1">[1]!BexGetData("DP_1","003N8EMH8GTFRIVOG7KG9J3KE","GSON2117320001")</f>
        <v>#NAME?</v>
      </c>
      <c r="P2810" s="28" t="e">
        <f ca="1">[1]!BexGetData("DP_1","003N8EMH8GTFRIVOG7KG9J9VY","GSON2117320001")</f>
        <v>#NAME?</v>
      </c>
      <c r="Q2810" s="24" t="e">
        <f ca="1">[1]!BexGetData("DP_1","00O2TNJGODT0G5Z4TTKYMM5MT","GSON2117320001")</f>
        <v>#NAME?</v>
      </c>
      <c r="R2810" s="23" t="e">
        <f ca="1">[1]!BexGetData("DP_1","00O2TNJGODT0G5Z4TTKYMMBYD","GSON2117320001")</f>
        <v>#NAME?</v>
      </c>
      <c r="S2810" s="23" t="e">
        <f ca="1">[1]!BexGetData("DP_1","00O2TNJGODT0G5Z4TTKYMMI9X","GSON2117320001")</f>
        <v>#NAME?</v>
      </c>
      <c r="T2810" s="23" t="e">
        <f ca="1">[1]!BexGetData("DP_1","00O2TNJGODT0G5Z4TTKYMMOLH","GSON2117320001")</f>
        <v>#NAME?</v>
      </c>
      <c r="U2810" s="28" t="e">
        <f ca="1">[1]!BexGetData("DP_1","00O2TNJGODT0G5Z4TTKYMMUX1","GSON2117320001")</f>
        <v>#NAME?</v>
      </c>
      <c r="V2810" s="23" t="e">
        <f ca="1">[1]!BexGetData("DP_1","00O2TNJGODT0G5Z4TTKYMN18L","GSON2117320001")</f>
        <v>#NAME?</v>
      </c>
      <c r="W2810" s="28" t="e">
        <f ca="1">[1]!BexGetData("DP_1","00O2TNJGODT0G5Z4TTKYMN7K5","GSON2117320001")</f>
        <v>#NAME?</v>
      </c>
    </row>
    <row r="2811" spans="1:23" x14ac:dyDescent="0.2">
      <c r="A2811" s="37" t="s">
        <v>1420</v>
      </c>
      <c r="B2811" s="27" t="s">
        <v>1421</v>
      </c>
      <c r="C2811" s="23" t="e">
        <f ca="1">[1]!BexGetData("DP_1","003N8EMH8GTFRCSWKMPXRR8GU","GSON2117320002")</f>
        <v>#NAME?</v>
      </c>
      <c r="D2811" s="23" t="e">
        <f ca="1">[1]!BexGetData("DP_1","003N8EMH8GTFRCSWKMPXRRESE","GSON2117320002")</f>
        <v>#NAME?</v>
      </c>
      <c r="E2811" s="23" t="e">
        <f ca="1">[1]!BexGetData("DP_1","003N8EMH8GTFRCSWKMPXRRL3Y","GSON2117320002")</f>
        <v>#NAME?</v>
      </c>
      <c r="F2811" s="23" t="e">
        <f ca="1">[1]!BexGetData("DP_1","003N8EMH8GTFRCSWKMPXRRRFI","GSON2117320002")</f>
        <v>#NAME?</v>
      </c>
      <c r="G2811" s="23" t="e">
        <f ca="1">[1]!BexGetData("DP_1","003N8EMH8GTFRCSWKMPXRRXR2","GSON2117320002")</f>
        <v>#NAME?</v>
      </c>
      <c r="H2811" s="23" t="e">
        <f ca="1">[1]!BexGetData("DP_1","003N8EMH8GTFRCSWKMPXRS42M","GSON2117320002")</f>
        <v>#NAME?</v>
      </c>
      <c r="I2811" s="23" t="e">
        <f ca="1">[1]!BexGetData("DP_1","003N8EMH8GTFRCSWKMPXRSAE6","GSON2117320002")</f>
        <v>#NAME?</v>
      </c>
      <c r="J2811" s="24" t="e">
        <f ca="1">[1]!BexGetData("DP_1","003N8EMH8GTFRCSWKMPXRSGPQ","GSON2117320002")</f>
        <v>#NAME?</v>
      </c>
      <c r="K2811" s="23" t="e">
        <f ca="1">[1]!BexGetData("DP_1","003N8EMH8GTFRIVNUPY288VJH","GSON2117320002")</f>
        <v>#NAME?</v>
      </c>
      <c r="L2811" s="23" t="e">
        <f ca="1">[1]!BexGetData("DP_1","003N8EMH8GTFRIVNUPY2891V1","GSON2117320002")</f>
        <v>#NAME?</v>
      </c>
      <c r="M2811" s="28" t="e">
        <f ca="1">[1]!BexGetData("DP_1","003N8EMH8GTFRIVOG7KG9IQXA","GSON2117320002")</f>
        <v>#NAME?</v>
      </c>
      <c r="N2811" s="23" t="e">
        <f ca="1">[1]!BexGetData("DP_1","003N8EMH8GTFRIVOG7KG9IX8U","GSON2117320002")</f>
        <v>#NAME?</v>
      </c>
      <c r="O2811" s="28" t="e">
        <f ca="1">[1]!BexGetData("DP_1","003N8EMH8GTFRIVOG7KG9J3KE","GSON2117320002")</f>
        <v>#NAME?</v>
      </c>
      <c r="P2811" s="23" t="e">
        <f ca="1">[1]!BexGetData("DP_1","003N8EMH8GTFRIVOG7KG9J9VY","GSON2117320002")</f>
        <v>#NAME?</v>
      </c>
      <c r="Q2811" s="24" t="e">
        <f ca="1">[1]!BexGetData("DP_1","00O2TNJGODT0G5Z4TTKYMM5MT","GSON2117320002")</f>
        <v>#NAME?</v>
      </c>
      <c r="R2811" s="23" t="e">
        <f ca="1">[1]!BexGetData("DP_1","00O2TNJGODT0G5Z4TTKYMMBYD","GSON2117320002")</f>
        <v>#NAME?</v>
      </c>
      <c r="S2811" s="23" t="e">
        <f ca="1">[1]!BexGetData("DP_1","00O2TNJGODT0G5Z4TTKYMMI9X","GSON2117320002")</f>
        <v>#NAME?</v>
      </c>
      <c r="T2811" s="23" t="e">
        <f ca="1">[1]!BexGetData("DP_1","00O2TNJGODT0G5Z4TTKYMMOLH","GSON2117320002")</f>
        <v>#NAME?</v>
      </c>
      <c r="U2811" s="28" t="e">
        <f ca="1">[1]!BexGetData("DP_1","00O2TNJGODT0G5Z4TTKYMMUX1","GSON2117320002")</f>
        <v>#NAME?</v>
      </c>
      <c r="V2811" s="23" t="e">
        <f ca="1">[1]!BexGetData("DP_1","00O2TNJGODT0G5Z4TTKYMN18L","GSON2117320002")</f>
        <v>#NAME?</v>
      </c>
      <c r="W2811" s="28" t="e">
        <f ca="1">[1]!BexGetData("DP_1","00O2TNJGODT0G5Z4TTKYMN7K5","GSON2117320002")</f>
        <v>#NAME?</v>
      </c>
    </row>
    <row r="2812" spans="1:23" x14ac:dyDescent="0.2">
      <c r="A2812" s="37" t="s">
        <v>6180</v>
      </c>
      <c r="B2812" s="27" t="s">
        <v>6181</v>
      </c>
      <c r="C2812" s="23" t="e">
        <f ca="1">[1]!BexGetData("DP_1","003N8EMH8GTFRCSWKMPXRR8GU","GSON2117320003")</f>
        <v>#NAME?</v>
      </c>
      <c r="D2812" s="23" t="e">
        <f ca="1">[1]!BexGetData("DP_1","003N8EMH8GTFRCSWKMPXRRESE","GSON2117320003")</f>
        <v>#NAME?</v>
      </c>
      <c r="E2812" s="28" t="e">
        <f ca="1">[1]!BexGetData("DP_1","003N8EMH8GTFRCSWKMPXRRL3Y","GSON2117320003")</f>
        <v>#NAME?</v>
      </c>
      <c r="F2812" s="23" t="e">
        <f ca="1">[1]!BexGetData("DP_1","003N8EMH8GTFRCSWKMPXRRRFI","GSON2117320003")</f>
        <v>#NAME?</v>
      </c>
      <c r="G2812" s="23" t="e">
        <f ca="1">[1]!BexGetData("DP_1","003N8EMH8GTFRCSWKMPXRRXR2","GSON2117320003")</f>
        <v>#NAME?</v>
      </c>
      <c r="H2812" s="23" t="e">
        <f ca="1">[1]!BexGetData("DP_1","003N8EMH8GTFRCSWKMPXRS42M","GSON2117320003")</f>
        <v>#NAME?</v>
      </c>
      <c r="I2812" s="23" t="e">
        <f ca="1">[1]!BexGetData("DP_1","003N8EMH8GTFRCSWKMPXRSAE6","GSON2117320003")</f>
        <v>#NAME?</v>
      </c>
      <c r="J2812" s="24" t="e">
        <f ca="1">[1]!BexGetData("DP_1","003N8EMH8GTFRCSWKMPXRSGPQ","GSON2117320003")</f>
        <v>#NAME?</v>
      </c>
      <c r="K2812" s="23" t="e">
        <f ca="1">[1]!BexGetData("DP_1","003N8EMH8GTFRIVNUPY288VJH","GSON2117320003")</f>
        <v>#NAME?</v>
      </c>
      <c r="L2812" s="23" t="e">
        <f ca="1">[1]!BexGetData("DP_1","003N8EMH8GTFRIVNUPY2891V1","GSON2117320003")</f>
        <v>#NAME?</v>
      </c>
      <c r="M2812" s="28" t="e">
        <f ca="1">[1]!BexGetData("DP_1","003N8EMH8GTFRIVOG7KG9IQXA","GSON2117320003")</f>
        <v>#NAME?</v>
      </c>
      <c r="N2812" s="23" t="e">
        <f ca="1">[1]!BexGetData("DP_1","003N8EMH8GTFRIVOG7KG9IX8U","GSON2117320003")</f>
        <v>#NAME?</v>
      </c>
      <c r="O2812" s="28" t="e">
        <f ca="1">[1]!BexGetData("DP_1","003N8EMH8GTFRIVOG7KG9J3KE","GSON2117320003")</f>
        <v>#NAME?</v>
      </c>
      <c r="P2812" s="23" t="e">
        <f ca="1">[1]!BexGetData("DP_1","003N8EMH8GTFRIVOG7KG9J9VY","GSON2117320003")</f>
        <v>#NAME?</v>
      </c>
      <c r="Q2812" s="24" t="e">
        <f ca="1">[1]!BexGetData("DP_1","00O2TNJGODT0G5Z4TTKYMM5MT","GSON2117320003")</f>
        <v>#NAME?</v>
      </c>
      <c r="R2812" s="23" t="e">
        <f ca="1">[1]!BexGetData("DP_1","00O2TNJGODT0G5Z4TTKYMMBYD","GSON2117320003")</f>
        <v>#NAME?</v>
      </c>
      <c r="S2812" s="23" t="e">
        <f ca="1">[1]!BexGetData("DP_1","00O2TNJGODT0G5Z4TTKYMMI9X","GSON2117320003")</f>
        <v>#NAME?</v>
      </c>
      <c r="T2812" s="23" t="e">
        <f ca="1">[1]!BexGetData("DP_1","00O2TNJGODT0G5Z4TTKYMMOLH","GSON2117320003")</f>
        <v>#NAME?</v>
      </c>
      <c r="U2812" s="28" t="e">
        <f ca="1">[1]!BexGetData("DP_1","00O2TNJGODT0G5Z4TTKYMMUX1","GSON2117320003")</f>
        <v>#NAME?</v>
      </c>
      <c r="V2812" s="23" t="e">
        <f ca="1">[1]!BexGetData("DP_1","00O2TNJGODT0G5Z4TTKYMN18L","GSON2117320003")</f>
        <v>#NAME?</v>
      </c>
      <c r="W2812" s="28" t="e">
        <f ca="1">[1]!BexGetData("DP_1","00O2TNJGODT0G5Z4TTKYMN7K5","GSON2117320003")</f>
        <v>#NAME?</v>
      </c>
    </row>
    <row r="2813" spans="1:23" x14ac:dyDescent="0.2">
      <c r="A2813" s="37" t="s">
        <v>1422</v>
      </c>
      <c r="B2813" s="27" t="s">
        <v>1423</v>
      </c>
      <c r="C2813" s="23" t="e">
        <f ca="1">[1]!BexGetData("DP_1","003N8EMH8GTFRCSWKMPXRR8GU","GSON2117320004")</f>
        <v>#NAME?</v>
      </c>
      <c r="D2813" s="23" t="e">
        <f ca="1">[1]!BexGetData("DP_1","003N8EMH8GTFRCSWKMPXRRESE","GSON2117320004")</f>
        <v>#NAME?</v>
      </c>
      <c r="E2813" s="28" t="e">
        <f ca="1">[1]!BexGetData("DP_1","003N8EMH8GTFRCSWKMPXRRL3Y","GSON2117320004")</f>
        <v>#NAME?</v>
      </c>
      <c r="F2813" s="23" t="e">
        <f ca="1">[1]!BexGetData("DP_1","003N8EMH8GTFRCSWKMPXRRRFI","GSON2117320004")</f>
        <v>#NAME?</v>
      </c>
      <c r="G2813" s="23" t="e">
        <f ca="1">[1]!BexGetData("DP_1","003N8EMH8GTFRCSWKMPXRRXR2","GSON2117320004")</f>
        <v>#NAME?</v>
      </c>
      <c r="H2813" s="23" t="e">
        <f ca="1">[1]!BexGetData("DP_1","003N8EMH8GTFRCSWKMPXRS42M","GSON2117320004")</f>
        <v>#NAME?</v>
      </c>
      <c r="I2813" s="23" t="e">
        <f ca="1">[1]!BexGetData("DP_1","003N8EMH8GTFRCSWKMPXRSAE6","GSON2117320004")</f>
        <v>#NAME?</v>
      </c>
      <c r="J2813" s="24" t="e">
        <f ca="1">[1]!BexGetData("DP_1","003N8EMH8GTFRCSWKMPXRSGPQ","GSON2117320004")</f>
        <v>#NAME?</v>
      </c>
      <c r="K2813" s="23" t="e">
        <f ca="1">[1]!BexGetData("DP_1","003N8EMH8GTFRIVNUPY288VJH","GSON2117320004")</f>
        <v>#NAME?</v>
      </c>
      <c r="L2813" s="23" t="e">
        <f ca="1">[1]!BexGetData("DP_1","003N8EMH8GTFRIVNUPY2891V1","GSON2117320004")</f>
        <v>#NAME?</v>
      </c>
      <c r="M2813" s="28" t="e">
        <f ca="1">[1]!BexGetData("DP_1","003N8EMH8GTFRIVOG7KG9IQXA","GSON2117320004")</f>
        <v>#NAME?</v>
      </c>
      <c r="N2813" s="23" t="e">
        <f ca="1">[1]!BexGetData("DP_1","003N8EMH8GTFRIVOG7KG9IX8U","GSON2117320004")</f>
        <v>#NAME?</v>
      </c>
      <c r="O2813" s="28" t="e">
        <f ca="1">[1]!BexGetData("DP_1","003N8EMH8GTFRIVOG7KG9J3KE","GSON2117320004")</f>
        <v>#NAME?</v>
      </c>
      <c r="P2813" s="23" t="e">
        <f ca="1">[1]!BexGetData("DP_1","003N8EMH8GTFRIVOG7KG9J9VY","GSON2117320004")</f>
        <v>#NAME?</v>
      </c>
      <c r="Q2813" s="24" t="e">
        <f ca="1">[1]!BexGetData("DP_1","00O2TNJGODT0G5Z4TTKYMM5MT","GSON2117320004")</f>
        <v>#NAME?</v>
      </c>
      <c r="R2813" s="23" t="e">
        <f ca="1">[1]!BexGetData("DP_1","00O2TNJGODT0G5Z4TTKYMMBYD","GSON2117320004")</f>
        <v>#NAME?</v>
      </c>
      <c r="S2813" s="23" t="e">
        <f ca="1">[1]!BexGetData("DP_1","00O2TNJGODT0G5Z4TTKYMMI9X","GSON2117320004")</f>
        <v>#NAME?</v>
      </c>
      <c r="T2813" s="23" t="e">
        <f ca="1">[1]!BexGetData("DP_1","00O2TNJGODT0G5Z4TTKYMMOLH","GSON2117320004")</f>
        <v>#NAME?</v>
      </c>
      <c r="U2813" s="28" t="e">
        <f ca="1">[1]!BexGetData("DP_1","00O2TNJGODT0G5Z4TTKYMMUX1","GSON2117320004")</f>
        <v>#NAME?</v>
      </c>
      <c r="V2813" s="23" t="e">
        <f ca="1">[1]!BexGetData("DP_1","00O2TNJGODT0G5Z4TTKYMN18L","GSON2117320004")</f>
        <v>#NAME?</v>
      </c>
      <c r="W2813" s="28" t="e">
        <f ca="1">[1]!BexGetData("DP_1","00O2TNJGODT0G5Z4TTKYMN7K5","GSON2117320004")</f>
        <v>#NAME?</v>
      </c>
    </row>
    <row r="2814" spans="1:23" x14ac:dyDescent="0.2">
      <c r="A2814" s="37" t="s">
        <v>6182</v>
      </c>
      <c r="B2814" s="27" t="s">
        <v>6183</v>
      </c>
      <c r="C2814" s="23" t="e">
        <f ca="1">[1]!BexGetData("DP_1","003N8EMH8GTFRCSWKMPXRR8GU","GSON2117320005")</f>
        <v>#NAME?</v>
      </c>
      <c r="D2814" s="23" t="e">
        <f ca="1">[1]!BexGetData("DP_1","003N8EMH8GTFRCSWKMPXRRESE","GSON2117320005")</f>
        <v>#NAME?</v>
      </c>
      <c r="E2814" s="28" t="e">
        <f ca="1">[1]!BexGetData("DP_1","003N8EMH8GTFRCSWKMPXRRL3Y","GSON2117320005")</f>
        <v>#NAME?</v>
      </c>
      <c r="F2814" s="23" t="e">
        <f ca="1">[1]!BexGetData("DP_1","003N8EMH8GTFRCSWKMPXRRRFI","GSON2117320005")</f>
        <v>#NAME?</v>
      </c>
      <c r="G2814" s="23" t="e">
        <f ca="1">[1]!BexGetData("DP_1","003N8EMH8GTFRCSWKMPXRRXR2","GSON2117320005")</f>
        <v>#NAME?</v>
      </c>
      <c r="H2814" s="23" t="e">
        <f ca="1">[1]!BexGetData("DP_1","003N8EMH8GTFRCSWKMPXRS42M","GSON2117320005")</f>
        <v>#NAME?</v>
      </c>
      <c r="I2814" s="23" t="e">
        <f ca="1">[1]!BexGetData("DP_1","003N8EMH8GTFRCSWKMPXRSAE6","GSON2117320005")</f>
        <v>#NAME?</v>
      </c>
      <c r="J2814" s="24" t="e">
        <f ca="1">[1]!BexGetData("DP_1","003N8EMH8GTFRCSWKMPXRSGPQ","GSON2117320005")</f>
        <v>#NAME?</v>
      </c>
      <c r="K2814" s="23" t="e">
        <f ca="1">[1]!BexGetData("DP_1","003N8EMH8GTFRIVNUPY288VJH","GSON2117320005")</f>
        <v>#NAME?</v>
      </c>
      <c r="L2814" s="23" t="e">
        <f ca="1">[1]!BexGetData("DP_1","003N8EMH8GTFRIVNUPY2891V1","GSON2117320005")</f>
        <v>#NAME?</v>
      </c>
      <c r="M2814" s="28" t="e">
        <f ca="1">[1]!BexGetData("DP_1","003N8EMH8GTFRIVOG7KG9IQXA","GSON2117320005")</f>
        <v>#NAME?</v>
      </c>
      <c r="N2814" s="23" t="e">
        <f ca="1">[1]!BexGetData("DP_1","003N8EMH8GTFRIVOG7KG9IX8U","GSON2117320005")</f>
        <v>#NAME?</v>
      </c>
      <c r="O2814" s="28" t="e">
        <f ca="1">[1]!BexGetData("DP_1","003N8EMH8GTFRIVOG7KG9J3KE","GSON2117320005")</f>
        <v>#NAME?</v>
      </c>
      <c r="P2814" s="23" t="e">
        <f ca="1">[1]!BexGetData("DP_1","003N8EMH8GTFRIVOG7KG9J9VY","GSON2117320005")</f>
        <v>#NAME?</v>
      </c>
      <c r="Q2814" s="24" t="e">
        <f ca="1">[1]!BexGetData("DP_1","00O2TNJGODT0G5Z4TTKYMM5MT","GSON2117320005")</f>
        <v>#NAME?</v>
      </c>
      <c r="R2814" s="23" t="e">
        <f ca="1">[1]!BexGetData("DP_1","00O2TNJGODT0G5Z4TTKYMMBYD","GSON2117320005")</f>
        <v>#NAME?</v>
      </c>
      <c r="S2814" s="23" t="e">
        <f ca="1">[1]!BexGetData("DP_1","00O2TNJGODT0G5Z4TTKYMMI9X","GSON2117320005")</f>
        <v>#NAME?</v>
      </c>
      <c r="T2814" s="23" t="e">
        <f ca="1">[1]!BexGetData("DP_1","00O2TNJGODT0G5Z4TTKYMMOLH","GSON2117320005")</f>
        <v>#NAME?</v>
      </c>
      <c r="U2814" s="28" t="e">
        <f ca="1">[1]!BexGetData("DP_1","00O2TNJGODT0G5Z4TTKYMMUX1","GSON2117320005")</f>
        <v>#NAME?</v>
      </c>
      <c r="V2814" s="23" t="e">
        <f ca="1">[1]!BexGetData("DP_1","00O2TNJGODT0G5Z4TTKYMN18L","GSON2117320005")</f>
        <v>#NAME?</v>
      </c>
      <c r="W2814" s="28" t="e">
        <f ca="1">[1]!BexGetData("DP_1","00O2TNJGODT0G5Z4TTKYMN7K5","GSON2117320005")</f>
        <v>#NAME?</v>
      </c>
    </row>
    <row r="2815" spans="1:23" x14ac:dyDescent="0.2">
      <c r="A2815" s="37" t="s">
        <v>6184</v>
      </c>
      <c r="B2815" s="27" t="s">
        <v>6185</v>
      </c>
      <c r="C2815" s="23" t="e">
        <f ca="1">[1]!BexGetData("DP_1","003N8EMH8GTFRCSWKMPXRR8GU","GSON2117320006")</f>
        <v>#NAME?</v>
      </c>
      <c r="D2815" s="23" t="e">
        <f ca="1">[1]!BexGetData("DP_1","003N8EMH8GTFRCSWKMPXRRESE","GSON2117320006")</f>
        <v>#NAME?</v>
      </c>
      <c r="E2815" s="28" t="e">
        <f ca="1">[1]!BexGetData("DP_1","003N8EMH8GTFRCSWKMPXRRL3Y","GSON2117320006")</f>
        <v>#NAME?</v>
      </c>
      <c r="F2815" s="23" t="e">
        <f ca="1">[1]!BexGetData("DP_1","003N8EMH8GTFRCSWKMPXRRRFI","GSON2117320006")</f>
        <v>#NAME?</v>
      </c>
      <c r="G2815" s="23" t="e">
        <f ca="1">[1]!BexGetData("DP_1","003N8EMH8GTFRCSWKMPXRRXR2","GSON2117320006")</f>
        <v>#NAME?</v>
      </c>
      <c r="H2815" s="23" t="e">
        <f ca="1">[1]!BexGetData("DP_1","003N8EMH8GTFRCSWKMPXRS42M","GSON2117320006")</f>
        <v>#NAME?</v>
      </c>
      <c r="I2815" s="23" t="e">
        <f ca="1">[1]!BexGetData("DP_1","003N8EMH8GTFRCSWKMPXRSAE6","GSON2117320006")</f>
        <v>#NAME?</v>
      </c>
      <c r="J2815" s="24" t="e">
        <f ca="1">[1]!BexGetData("DP_1","003N8EMH8GTFRCSWKMPXRSGPQ","GSON2117320006")</f>
        <v>#NAME?</v>
      </c>
      <c r="K2815" s="23" t="e">
        <f ca="1">[1]!BexGetData("DP_1","003N8EMH8GTFRIVNUPY288VJH","GSON2117320006")</f>
        <v>#NAME?</v>
      </c>
      <c r="L2815" s="23" t="e">
        <f ca="1">[1]!BexGetData("DP_1","003N8EMH8GTFRIVNUPY2891V1","GSON2117320006")</f>
        <v>#NAME?</v>
      </c>
      <c r="M2815" s="28" t="e">
        <f ca="1">[1]!BexGetData("DP_1","003N8EMH8GTFRIVOG7KG9IQXA","GSON2117320006")</f>
        <v>#NAME?</v>
      </c>
      <c r="N2815" s="23" t="e">
        <f ca="1">[1]!BexGetData("DP_1","003N8EMH8GTFRIVOG7KG9IX8U","GSON2117320006")</f>
        <v>#NAME?</v>
      </c>
      <c r="O2815" s="28" t="e">
        <f ca="1">[1]!BexGetData("DP_1","003N8EMH8GTFRIVOG7KG9J3KE","GSON2117320006")</f>
        <v>#NAME?</v>
      </c>
      <c r="P2815" s="23" t="e">
        <f ca="1">[1]!BexGetData("DP_1","003N8EMH8GTFRIVOG7KG9J9VY","GSON2117320006")</f>
        <v>#NAME?</v>
      </c>
      <c r="Q2815" s="24" t="e">
        <f ca="1">[1]!BexGetData("DP_1","00O2TNJGODT0G5Z4TTKYMM5MT","GSON2117320006")</f>
        <v>#NAME?</v>
      </c>
      <c r="R2815" s="23" t="e">
        <f ca="1">[1]!BexGetData("DP_1","00O2TNJGODT0G5Z4TTKYMMBYD","GSON2117320006")</f>
        <v>#NAME?</v>
      </c>
      <c r="S2815" s="23" t="e">
        <f ca="1">[1]!BexGetData("DP_1","00O2TNJGODT0G5Z4TTKYMMI9X","GSON2117320006")</f>
        <v>#NAME?</v>
      </c>
      <c r="T2815" s="23" t="e">
        <f ca="1">[1]!BexGetData("DP_1","00O2TNJGODT0G5Z4TTKYMMOLH","GSON2117320006")</f>
        <v>#NAME?</v>
      </c>
      <c r="U2815" s="28" t="e">
        <f ca="1">[1]!BexGetData("DP_1","00O2TNJGODT0G5Z4TTKYMMUX1","GSON2117320006")</f>
        <v>#NAME?</v>
      </c>
      <c r="V2815" s="23" t="e">
        <f ca="1">[1]!BexGetData("DP_1","00O2TNJGODT0G5Z4TTKYMN18L","GSON2117320006")</f>
        <v>#NAME?</v>
      </c>
      <c r="W2815" s="28" t="e">
        <f ca="1">[1]!BexGetData("DP_1","00O2TNJGODT0G5Z4TTKYMN7K5","GSON2117320006")</f>
        <v>#NAME?</v>
      </c>
    </row>
    <row r="2816" spans="1:23" x14ac:dyDescent="0.2">
      <c r="A2816" s="37" t="s">
        <v>487</v>
      </c>
      <c r="B2816" s="27" t="s">
        <v>1424</v>
      </c>
      <c r="C2816" s="23" t="e">
        <f ca="1">[1]!BexGetData("DP_1","003N8EMH8GTFRCSWKMPXRR8GU","GSON2117320007")</f>
        <v>#NAME?</v>
      </c>
      <c r="D2816" s="23" t="e">
        <f ca="1">[1]!BexGetData("DP_1","003N8EMH8GTFRCSWKMPXRRESE","GSON2117320007")</f>
        <v>#NAME?</v>
      </c>
      <c r="E2816" s="23" t="e">
        <f ca="1">[1]!BexGetData("DP_1","003N8EMH8GTFRCSWKMPXRRL3Y","GSON2117320007")</f>
        <v>#NAME?</v>
      </c>
      <c r="F2816" s="23" t="e">
        <f ca="1">[1]!BexGetData("DP_1","003N8EMH8GTFRCSWKMPXRRRFI","GSON2117320007")</f>
        <v>#NAME?</v>
      </c>
      <c r="G2816" s="23" t="e">
        <f ca="1">[1]!BexGetData("DP_1","003N8EMH8GTFRCSWKMPXRRXR2","GSON2117320007")</f>
        <v>#NAME?</v>
      </c>
      <c r="H2816" s="23" t="e">
        <f ca="1">[1]!BexGetData("DP_1","003N8EMH8GTFRCSWKMPXRS42M","GSON2117320007")</f>
        <v>#NAME?</v>
      </c>
      <c r="I2816" s="23" t="e">
        <f ca="1">[1]!BexGetData("DP_1","003N8EMH8GTFRCSWKMPXRSAE6","GSON2117320007")</f>
        <v>#NAME?</v>
      </c>
      <c r="J2816" s="24" t="e">
        <f ca="1">[1]!BexGetData("DP_1","003N8EMH8GTFRCSWKMPXRSGPQ","GSON2117320007")</f>
        <v>#NAME?</v>
      </c>
      <c r="K2816" s="28" t="e">
        <f ca="1">[1]!BexGetData("DP_1","003N8EMH8GTFRIVNUPY288VJH","GSON2117320007")</f>
        <v>#NAME?</v>
      </c>
      <c r="L2816" s="28" t="e">
        <f ca="1">[1]!BexGetData("DP_1","003N8EMH8GTFRIVNUPY2891V1","GSON2117320007")</f>
        <v>#NAME?</v>
      </c>
      <c r="M2816" s="28" t="e">
        <f ca="1">[1]!BexGetData("DP_1","003N8EMH8GTFRIVOG7KG9IQXA","GSON2117320007")</f>
        <v>#NAME?</v>
      </c>
      <c r="N2816" s="28" t="e">
        <f ca="1">[1]!BexGetData("DP_1","003N8EMH8GTFRIVOG7KG9IX8U","GSON2117320007")</f>
        <v>#NAME?</v>
      </c>
      <c r="O2816" s="28" t="e">
        <f ca="1">[1]!BexGetData("DP_1","003N8EMH8GTFRIVOG7KG9J3KE","GSON2117320007")</f>
        <v>#NAME?</v>
      </c>
      <c r="P2816" s="28" t="e">
        <f ca="1">[1]!BexGetData("DP_1","003N8EMH8GTFRIVOG7KG9J9VY","GSON2117320007")</f>
        <v>#NAME?</v>
      </c>
      <c r="Q2816" s="24" t="e">
        <f ca="1">[1]!BexGetData("DP_1","00O2TNJGODT0G5Z4TTKYMM5MT","GSON2117320007")</f>
        <v>#NAME?</v>
      </c>
      <c r="R2816" s="23" t="e">
        <f ca="1">[1]!BexGetData("DP_1","00O2TNJGODT0G5Z4TTKYMMBYD","GSON2117320007")</f>
        <v>#NAME?</v>
      </c>
      <c r="S2816" s="23" t="e">
        <f ca="1">[1]!BexGetData("DP_1","00O2TNJGODT0G5Z4TTKYMMI9X","GSON2117320007")</f>
        <v>#NAME?</v>
      </c>
      <c r="T2816" s="23" t="e">
        <f ca="1">[1]!BexGetData("DP_1","00O2TNJGODT0G5Z4TTKYMMOLH","GSON2117320007")</f>
        <v>#NAME?</v>
      </c>
      <c r="U2816" s="28" t="e">
        <f ca="1">[1]!BexGetData("DP_1","00O2TNJGODT0G5Z4TTKYMMUX1","GSON2117320007")</f>
        <v>#NAME?</v>
      </c>
      <c r="V2816" s="23" t="e">
        <f ca="1">[1]!BexGetData("DP_1","00O2TNJGODT0G5Z4TTKYMN18L","GSON2117320007")</f>
        <v>#NAME?</v>
      </c>
      <c r="W2816" s="28" t="e">
        <f ca="1">[1]!BexGetData("DP_1","00O2TNJGODT0G5Z4TTKYMN7K5","GSON2117320007")</f>
        <v>#NAME?</v>
      </c>
    </row>
    <row r="2817" spans="1:23" x14ac:dyDescent="0.2">
      <c r="A2817" s="37" t="s">
        <v>6186</v>
      </c>
      <c r="B2817" s="27" t="s">
        <v>6187</v>
      </c>
      <c r="C2817" s="28" t="e">
        <f ca="1">[1]!BexGetData("DP_1","003N8EMH8GTFRCSWKMPXRR8GU","GSON2117320008")</f>
        <v>#NAME?</v>
      </c>
      <c r="D2817" s="23" t="e">
        <f ca="1">[1]!BexGetData("DP_1","003N8EMH8GTFRCSWKMPXRRESE","GSON2117320008")</f>
        <v>#NAME?</v>
      </c>
      <c r="E2817" s="23" t="e">
        <f ca="1">[1]!BexGetData("DP_1","003N8EMH8GTFRCSWKMPXRRL3Y","GSON2117320008")</f>
        <v>#NAME?</v>
      </c>
      <c r="F2817" s="23" t="e">
        <f ca="1">[1]!BexGetData("DP_1","003N8EMH8GTFRCSWKMPXRRRFI","GSON2117320008")</f>
        <v>#NAME?</v>
      </c>
      <c r="G2817" s="23" t="e">
        <f ca="1">[1]!BexGetData("DP_1","003N8EMH8GTFRCSWKMPXRRXR2","GSON2117320008")</f>
        <v>#NAME?</v>
      </c>
      <c r="H2817" s="23" t="e">
        <f ca="1">[1]!BexGetData("DP_1","003N8EMH8GTFRCSWKMPXRS42M","GSON2117320008")</f>
        <v>#NAME?</v>
      </c>
      <c r="I2817" s="23" t="e">
        <f ca="1">[1]!BexGetData("DP_1","003N8EMH8GTFRCSWKMPXRSAE6","GSON2117320008")</f>
        <v>#NAME?</v>
      </c>
      <c r="J2817" s="23" t="e">
        <f ca="1">[1]!BexGetData("DP_1","003N8EMH8GTFRCSWKMPXRSGPQ","GSON2117320008")</f>
        <v>#NAME?</v>
      </c>
      <c r="K2817" s="23" t="e">
        <f ca="1">[1]!BexGetData("DP_1","003N8EMH8GTFRIVNUPY288VJH","GSON2117320008")</f>
        <v>#NAME?</v>
      </c>
      <c r="L2817" s="23" t="e">
        <f ca="1">[1]!BexGetData("DP_1","003N8EMH8GTFRIVNUPY2891V1","GSON2117320008")</f>
        <v>#NAME?</v>
      </c>
      <c r="M2817" s="23" t="e">
        <f ca="1">[1]!BexGetData("DP_1","003N8EMH8GTFRIVOG7KG9IQXA","GSON2117320008")</f>
        <v>#NAME?</v>
      </c>
      <c r="N2817" s="28" t="e">
        <f ca="1">[1]!BexGetData("DP_1","003N8EMH8GTFRIVOG7KG9IX8U","GSON2117320008")</f>
        <v>#NAME?</v>
      </c>
      <c r="O2817" s="23" t="e">
        <f ca="1">[1]!BexGetData("DP_1","003N8EMH8GTFRIVOG7KG9J3KE","GSON2117320008")</f>
        <v>#NAME?</v>
      </c>
      <c r="P2817" s="28" t="e">
        <f ca="1">[1]!BexGetData("DP_1","003N8EMH8GTFRIVOG7KG9J9VY","GSON2117320008")</f>
        <v>#NAME?</v>
      </c>
      <c r="Q2817" s="23" t="e">
        <f ca="1">[1]!BexGetData("DP_1","00O2TNJGODT0G5Z4TTKYMM5MT","GSON2117320008")</f>
        <v>#NAME?</v>
      </c>
      <c r="R2817" s="23" t="e">
        <f ca="1">[1]!BexGetData("DP_1","00O2TNJGODT0G5Z4TTKYMMBYD","GSON2117320008")</f>
        <v>#NAME?</v>
      </c>
      <c r="S2817" s="23" t="e">
        <f ca="1">[1]!BexGetData("DP_1","00O2TNJGODT0G5Z4TTKYMMI9X","GSON2117320008")</f>
        <v>#NAME?</v>
      </c>
      <c r="T2817" s="28" t="e">
        <f ca="1">[1]!BexGetData("DP_1","00O2TNJGODT0G5Z4TTKYMMOLH","GSON2117320008")</f>
        <v>#NAME?</v>
      </c>
      <c r="U2817" s="23" t="e">
        <f ca="1">[1]!BexGetData("DP_1","00O2TNJGODT0G5Z4TTKYMMUX1","GSON2117320008")</f>
        <v>#NAME?</v>
      </c>
      <c r="V2817" s="28" t="e">
        <f ca="1">[1]!BexGetData("DP_1","00O2TNJGODT0G5Z4TTKYMN18L","GSON2117320008")</f>
        <v>#NAME?</v>
      </c>
      <c r="W2817" s="23" t="e">
        <f ca="1">[1]!BexGetData("DP_1","00O2TNJGODT0G5Z4TTKYMN7K5","GSON2117320008")</f>
        <v>#NAME?</v>
      </c>
    </row>
    <row r="2818" spans="1:23" x14ac:dyDescent="0.2">
      <c r="A2818" s="37" t="s">
        <v>6188</v>
      </c>
      <c r="B2818" s="27" t="s">
        <v>6189</v>
      </c>
      <c r="C2818" s="23" t="e">
        <f ca="1">[1]!BexGetData("DP_1","003N8EMH8GTFRCSWKMPXRR8GU","GSON2117320009")</f>
        <v>#NAME?</v>
      </c>
      <c r="D2818" s="23" t="e">
        <f ca="1">[1]!BexGetData("DP_1","003N8EMH8GTFRCSWKMPXRRESE","GSON2117320009")</f>
        <v>#NAME?</v>
      </c>
      <c r="E2818" s="23" t="e">
        <f ca="1">[1]!BexGetData("DP_1","003N8EMH8GTFRCSWKMPXRRL3Y","GSON2117320009")</f>
        <v>#NAME?</v>
      </c>
      <c r="F2818" s="23" t="e">
        <f ca="1">[1]!BexGetData("DP_1","003N8EMH8GTFRCSWKMPXRRRFI","GSON2117320009")</f>
        <v>#NAME?</v>
      </c>
      <c r="G2818" s="23" t="e">
        <f ca="1">[1]!BexGetData("DP_1","003N8EMH8GTFRCSWKMPXRRXR2","GSON2117320009")</f>
        <v>#NAME?</v>
      </c>
      <c r="H2818" s="23" t="e">
        <f ca="1">[1]!BexGetData("DP_1","003N8EMH8GTFRCSWKMPXRS42M","GSON2117320009")</f>
        <v>#NAME?</v>
      </c>
      <c r="I2818" s="23" t="e">
        <f ca="1">[1]!BexGetData("DP_1","003N8EMH8GTFRCSWKMPXRSAE6","GSON2117320009")</f>
        <v>#NAME?</v>
      </c>
      <c r="J2818" s="23" t="e">
        <f ca="1">[1]!BexGetData("DP_1","003N8EMH8GTFRCSWKMPXRSGPQ","GSON2117320009")</f>
        <v>#NAME?</v>
      </c>
      <c r="K2818" s="23" t="e">
        <f ca="1">[1]!BexGetData("DP_1","003N8EMH8GTFRIVNUPY288VJH","GSON2117320009")</f>
        <v>#NAME?</v>
      </c>
      <c r="L2818" s="23" t="e">
        <f ca="1">[1]!BexGetData("DP_1","003N8EMH8GTFRIVNUPY2891V1","GSON2117320009")</f>
        <v>#NAME?</v>
      </c>
      <c r="M2818" s="28" t="e">
        <f ca="1">[1]!BexGetData("DP_1","003N8EMH8GTFRIVOG7KG9IQXA","GSON2117320009")</f>
        <v>#NAME?</v>
      </c>
      <c r="N2818" s="23" t="e">
        <f ca="1">[1]!BexGetData("DP_1","003N8EMH8GTFRIVOG7KG9IX8U","GSON2117320009")</f>
        <v>#NAME?</v>
      </c>
      <c r="O2818" s="28" t="e">
        <f ca="1">[1]!BexGetData("DP_1","003N8EMH8GTFRIVOG7KG9J3KE","GSON2117320009")</f>
        <v>#NAME?</v>
      </c>
      <c r="P2818" s="23" t="e">
        <f ca="1">[1]!BexGetData("DP_1","003N8EMH8GTFRIVOG7KG9J9VY","GSON2117320009")</f>
        <v>#NAME?</v>
      </c>
      <c r="Q2818" s="23" t="e">
        <f ca="1">[1]!BexGetData("DP_1","00O2TNJGODT0G5Z4TTKYMM5MT","GSON2117320009")</f>
        <v>#NAME?</v>
      </c>
      <c r="R2818" s="23" t="e">
        <f ca="1">[1]!BexGetData("DP_1","00O2TNJGODT0G5Z4TTKYMMBYD","GSON2117320009")</f>
        <v>#NAME?</v>
      </c>
      <c r="S2818" s="23" t="e">
        <f ca="1">[1]!BexGetData("DP_1","00O2TNJGODT0G5Z4TTKYMMI9X","GSON2117320009")</f>
        <v>#NAME?</v>
      </c>
      <c r="T2818" s="28" t="e">
        <f ca="1">[1]!BexGetData("DP_1","00O2TNJGODT0G5Z4TTKYMMOLH","GSON2117320009")</f>
        <v>#NAME?</v>
      </c>
      <c r="U2818" s="23" t="e">
        <f ca="1">[1]!BexGetData("DP_1","00O2TNJGODT0G5Z4TTKYMMUX1","GSON2117320009")</f>
        <v>#NAME?</v>
      </c>
      <c r="V2818" s="28" t="e">
        <f ca="1">[1]!BexGetData("DP_1","00O2TNJGODT0G5Z4TTKYMN18L","GSON2117320009")</f>
        <v>#NAME?</v>
      </c>
      <c r="W2818" s="23" t="e">
        <f ca="1">[1]!BexGetData("DP_1","00O2TNJGODT0G5Z4TTKYMN7K5","GSON2117320009")</f>
        <v>#NAME?</v>
      </c>
    </row>
    <row r="2819" spans="1:23" x14ac:dyDescent="0.2">
      <c r="A2819" s="37" t="s">
        <v>6190</v>
      </c>
      <c r="B2819" s="27" t="s">
        <v>6191</v>
      </c>
      <c r="C2819" s="28" t="e">
        <f ca="1">[1]!BexGetData("DP_1","003N8EMH8GTFRCSWKMPXRR8GU","GSON2117320010")</f>
        <v>#NAME?</v>
      </c>
      <c r="D2819" s="28" t="e">
        <f ca="1">[1]!BexGetData("DP_1","003N8EMH8GTFRCSWKMPXRRESE","GSON2117320010")</f>
        <v>#NAME?</v>
      </c>
      <c r="E2819" s="28" t="e">
        <f ca="1">[1]!BexGetData("DP_1","003N8EMH8GTFRCSWKMPXRRL3Y","GSON2117320010")</f>
        <v>#NAME?</v>
      </c>
      <c r="F2819" s="28" t="e">
        <f ca="1">[1]!BexGetData("DP_1","003N8EMH8GTFRCSWKMPXRRRFI","GSON2117320010")</f>
        <v>#NAME?</v>
      </c>
      <c r="G2819" s="23" t="e">
        <f ca="1">[1]!BexGetData("DP_1","003N8EMH8GTFRCSWKMPXRRXR2","GSON2117320010")</f>
        <v>#NAME?</v>
      </c>
      <c r="H2819" s="23" t="e">
        <f ca="1">[1]!BexGetData("DP_1","003N8EMH8GTFRCSWKMPXRS42M","GSON2117320010")</f>
        <v>#NAME?</v>
      </c>
      <c r="I2819" s="28" t="e">
        <f ca="1">[1]!BexGetData("DP_1","003N8EMH8GTFRCSWKMPXRSAE6","GSON2117320010")</f>
        <v>#NAME?</v>
      </c>
      <c r="J2819" s="23" t="e">
        <f ca="1">[1]!BexGetData("DP_1","003N8EMH8GTFRCSWKMPXRSGPQ","GSON2117320010")</f>
        <v>#NAME?</v>
      </c>
      <c r="K2819" s="28" t="e">
        <f ca="1">[1]!BexGetData("DP_1","003N8EMH8GTFRIVNUPY288VJH","GSON2117320010")</f>
        <v>#NAME?</v>
      </c>
      <c r="L2819" s="28" t="e">
        <f ca="1">[1]!BexGetData("DP_1","003N8EMH8GTFRIVNUPY2891V1","GSON2117320010")</f>
        <v>#NAME?</v>
      </c>
      <c r="M2819" s="28" t="e">
        <f ca="1">[1]!BexGetData("DP_1","003N8EMH8GTFRIVOG7KG9IQXA","GSON2117320010")</f>
        <v>#NAME?</v>
      </c>
      <c r="N2819" s="28" t="e">
        <f ca="1">[1]!BexGetData("DP_1","003N8EMH8GTFRIVOG7KG9IX8U","GSON2117320010")</f>
        <v>#NAME?</v>
      </c>
      <c r="O2819" s="28" t="e">
        <f ca="1">[1]!BexGetData("DP_1","003N8EMH8GTFRIVOG7KG9J3KE","GSON2117320010")</f>
        <v>#NAME?</v>
      </c>
      <c r="P2819" s="28" t="e">
        <f ca="1">[1]!BexGetData("DP_1","003N8EMH8GTFRIVOG7KG9J9VY","GSON2117320010")</f>
        <v>#NAME?</v>
      </c>
      <c r="Q2819" s="23" t="e">
        <f ca="1">[1]!BexGetData("DP_1","00O2TNJGODT0G5Z4TTKYMM5MT","GSON2117320010")</f>
        <v>#NAME?</v>
      </c>
      <c r="R2819" s="23" t="e">
        <f ca="1">[1]!BexGetData("DP_1","00O2TNJGODT0G5Z4TTKYMMBYD","GSON2117320010")</f>
        <v>#NAME?</v>
      </c>
      <c r="S2819" s="23" t="e">
        <f ca="1">[1]!BexGetData("DP_1","00O2TNJGODT0G5Z4TTKYMMI9X","GSON2117320010")</f>
        <v>#NAME?</v>
      </c>
      <c r="T2819" s="28" t="e">
        <f ca="1">[1]!BexGetData("DP_1","00O2TNJGODT0G5Z4TTKYMMOLH","GSON2117320010")</f>
        <v>#NAME?</v>
      </c>
      <c r="U2819" s="23" t="e">
        <f ca="1">[1]!BexGetData("DP_1","00O2TNJGODT0G5Z4TTKYMMUX1","GSON2117320010")</f>
        <v>#NAME?</v>
      </c>
      <c r="V2819" s="28" t="e">
        <f ca="1">[1]!BexGetData("DP_1","00O2TNJGODT0G5Z4TTKYMN18L","GSON2117320010")</f>
        <v>#NAME?</v>
      </c>
      <c r="W2819" s="23" t="e">
        <f ca="1">[1]!BexGetData("DP_1","00O2TNJGODT0G5Z4TTKYMN7K5","GSON2117320010")</f>
        <v>#NAME?</v>
      </c>
    </row>
    <row r="2820" spans="1:23" x14ac:dyDescent="0.2">
      <c r="A2820" s="37" t="s">
        <v>6192</v>
      </c>
      <c r="B2820" s="27" t="s">
        <v>6193</v>
      </c>
      <c r="C2820" s="23" t="e">
        <f ca="1">[1]!BexGetData("DP_1","003N8EMH8GTFRCSWKMPXRR8GU","GSON2117320011")</f>
        <v>#NAME?</v>
      </c>
      <c r="D2820" s="23" t="e">
        <f ca="1">[1]!BexGetData("DP_1","003N8EMH8GTFRCSWKMPXRRESE","GSON2117320011")</f>
        <v>#NAME?</v>
      </c>
      <c r="E2820" s="28" t="e">
        <f ca="1">[1]!BexGetData("DP_1","003N8EMH8GTFRCSWKMPXRRL3Y","GSON2117320011")</f>
        <v>#NAME?</v>
      </c>
      <c r="F2820" s="24" t="e">
        <f ca="1">[1]!BexGetData("DP_1","003N8EMH8GTFRCSWKMPXRRRFI","GSON2117320011")</f>
        <v>#NAME?</v>
      </c>
      <c r="G2820" s="24" t="e">
        <f ca="1">[1]!BexGetData("DP_1","003N8EMH8GTFRCSWKMPXRRXR2","GSON2117320011")</f>
        <v>#NAME?</v>
      </c>
      <c r="H2820" s="24" t="e">
        <f ca="1">[1]!BexGetData("DP_1","003N8EMH8GTFRCSWKMPXRS42M","GSON2117320011")</f>
        <v>#NAME?</v>
      </c>
      <c r="I2820" s="24" t="e">
        <f ca="1">[1]!BexGetData("DP_1","003N8EMH8GTFRCSWKMPXRSAE6","GSON2117320011")</f>
        <v>#NAME?</v>
      </c>
      <c r="J2820" s="24" t="e">
        <f ca="1">[1]!BexGetData("DP_1","003N8EMH8GTFRCSWKMPXRSGPQ","GSON2117320011")</f>
        <v>#NAME?</v>
      </c>
      <c r="K2820" s="28" t="e">
        <f ca="1">[1]!BexGetData("DP_1","003N8EMH8GTFRIVNUPY288VJH","GSON2117320011")</f>
        <v>#NAME?</v>
      </c>
      <c r="L2820" s="28" t="e">
        <f ca="1">[1]!BexGetData("DP_1","003N8EMH8GTFRIVNUPY2891V1","GSON2117320011")</f>
        <v>#NAME?</v>
      </c>
      <c r="M2820" s="28" t="e">
        <f ca="1">[1]!BexGetData("DP_1","003N8EMH8GTFRIVOG7KG9IQXA","GSON2117320011")</f>
        <v>#NAME?</v>
      </c>
      <c r="N2820" s="28" t="e">
        <f ca="1">[1]!BexGetData("DP_1","003N8EMH8GTFRIVOG7KG9IX8U","GSON2117320011")</f>
        <v>#NAME?</v>
      </c>
      <c r="O2820" s="28" t="e">
        <f ca="1">[1]!BexGetData("DP_1","003N8EMH8GTFRIVOG7KG9J3KE","GSON2117320011")</f>
        <v>#NAME?</v>
      </c>
      <c r="P2820" s="28" t="e">
        <f ca="1">[1]!BexGetData("DP_1","003N8EMH8GTFRIVOG7KG9J9VY","GSON2117320011")</f>
        <v>#NAME?</v>
      </c>
      <c r="Q2820" s="24" t="e">
        <f ca="1">[1]!BexGetData("DP_1","00O2TNJGODT0G5Z4TTKYMM5MT","GSON2117320011")</f>
        <v>#NAME?</v>
      </c>
      <c r="R2820" s="24" t="e">
        <f ca="1">[1]!BexGetData("DP_1","00O2TNJGODT0G5Z4TTKYMMBYD","GSON2117320011")</f>
        <v>#NAME?</v>
      </c>
      <c r="S2820" s="24" t="e">
        <f ca="1">[1]!BexGetData("DP_1","00O2TNJGODT0G5Z4TTKYMMI9X","GSON2117320011")</f>
        <v>#NAME?</v>
      </c>
      <c r="T2820" s="24" t="e">
        <f ca="1">[1]!BexGetData("DP_1","00O2TNJGODT0G5Z4TTKYMMOLH","GSON2117320011")</f>
        <v>#NAME?</v>
      </c>
      <c r="U2820" s="24" t="e">
        <f ca="1">[1]!BexGetData("DP_1","00O2TNJGODT0G5Z4TTKYMMUX1","GSON2117320011")</f>
        <v>#NAME?</v>
      </c>
      <c r="V2820" s="24" t="e">
        <f ca="1">[1]!BexGetData("DP_1","00O2TNJGODT0G5Z4TTKYMN18L","GSON2117320011")</f>
        <v>#NAME?</v>
      </c>
      <c r="W2820" s="24" t="e">
        <f ca="1">[1]!BexGetData("DP_1","00O2TNJGODT0G5Z4TTKYMN7K5","GSON2117320011")</f>
        <v>#NAME?</v>
      </c>
    </row>
    <row r="2821" spans="1:23" x14ac:dyDescent="0.2">
      <c r="A2821" s="37" t="s">
        <v>6194</v>
      </c>
      <c r="B2821" s="27" t="s">
        <v>6195</v>
      </c>
      <c r="C2821" s="23" t="e">
        <f ca="1">[1]!BexGetData("DP_1","003N8EMH8GTFRCSWKMPXRR8GU","GSON2117320012")</f>
        <v>#NAME?</v>
      </c>
      <c r="D2821" s="23" t="e">
        <f ca="1">[1]!BexGetData("DP_1","003N8EMH8GTFRCSWKMPXRRESE","GSON2117320012")</f>
        <v>#NAME?</v>
      </c>
      <c r="E2821" s="23" t="e">
        <f ca="1">[1]!BexGetData("DP_1","003N8EMH8GTFRCSWKMPXRRL3Y","GSON2117320012")</f>
        <v>#NAME?</v>
      </c>
      <c r="F2821" s="24" t="e">
        <f ca="1">[1]!BexGetData("DP_1","003N8EMH8GTFRCSWKMPXRRRFI","GSON2117320012")</f>
        <v>#NAME?</v>
      </c>
      <c r="G2821" s="24" t="e">
        <f ca="1">[1]!BexGetData("DP_1","003N8EMH8GTFRCSWKMPXRRXR2","GSON2117320012")</f>
        <v>#NAME?</v>
      </c>
      <c r="H2821" s="24" t="e">
        <f ca="1">[1]!BexGetData("DP_1","003N8EMH8GTFRCSWKMPXRS42M","GSON2117320012")</f>
        <v>#NAME?</v>
      </c>
      <c r="I2821" s="24" t="e">
        <f ca="1">[1]!BexGetData("DP_1","003N8EMH8GTFRCSWKMPXRSAE6","GSON2117320012")</f>
        <v>#NAME?</v>
      </c>
      <c r="J2821" s="24" t="e">
        <f ca="1">[1]!BexGetData("DP_1","003N8EMH8GTFRCSWKMPXRSGPQ","GSON2117320012")</f>
        <v>#NAME?</v>
      </c>
      <c r="K2821" s="23" t="e">
        <f ca="1">[1]!BexGetData("DP_1","003N8EMH8GTFRIVNUPY288VJH","GSON2117320012")</f>
        <v>#NAME?</v>
      </c>
      <c r="L2821" s="23" t="e">
        <f ca="1">[1]!BexGetData("DP_1","003N8EMH8GTFRIVNUPY2891V1","GSON2117320012")</f>
        <v>#NAME?</v>
      </c>
      <c r="M2821" s="23" t="e">
        <f ca="1">[1]!BexGetData("DP_1","003N8EMH8GTFRIVOG7KG9IQXA","GSON2117320012")</f>
        <v>#NAME?</v>
      </c>
      <c r="N2821" s="28" t="e">
        <f ca="1">[1]!BexGetData("DP_1","003N8EMH8GTFRIVOG7KG9IX8U","GSON2117320012")</f>
        <v>#NAME?</v>
      </c>
      <c r="O2821" s="23" t="e">
        <f ca="1">[1]!BexGetData("DP_1","003N8EMH8GTFRIVOG7KG9J3KE","GSON2117320012")</f>
        <v>#NAME?</v>
      </c>
      <c r="P2821" s="28" t="e">
        <f ca="1">[1]!BexGetData("DP_1","003N8EMH8GTFRIVOG7KG9J9VY","GSON2117320012")</f>
        <v>#NAME?</v>
      </c>
      <c r="Q2821" s="24" t="e">
        <f ca="1">[1]!BexGetData("DP_1","00O2TNJGODT0G5Z4TTKYMM5MT","GSON2117320012")</f>
        <v>#NAME?</v>
      </c>
      <c r="R2821" s="24" t="e">
        <f ca="1">[1]!BexGetData("DP_1","00O2TNJGODT0G5Z4TTKYMMBYD","GSON2117320012")</f>
        <v>#NAME?</v>
      </c>
      <c r="S2821" s="24" t="e">
        <f ca="1">[1]!BexGetData("DP_1","00O2TNJGODT0G5Z4TTKYMMI9X","GSON2117320012")</f>
        <v>#NAME?</v>
      </c>
      <c r="T2821" s="24" t="e">
        <f ca="1">[1]!BexGetData("DP_1","00O2TNJGODT0G5Z4TTKYMMOLH","GSON2117320012")</f>
        <v>#NAME?</v>
      </c>
      <c r="U2821" s="24" t="e">
        <f ca="1">[1]!BexGetData("DP_1","00O2TNJGODT0G5Z4TTKYMMUX1","GSON2117320012")</f>
        <v>#NAME?</v>
      </c>
      <c r="V2821" s="24" t="e">
        <f ca="1">[1]!BexGetData("DP_1","00O2TNJGODT0G5Z4TTKYMN18L","GSON2117320012")</f>
        <v>#NAME?</v>
      </c>
      <c r="W2821" s="24" t="e">
        <f ca="1">[1]!BexGetData("DP_1","00O2TNJGODT0G5Z4TTKYMN7K5","GSON2117320012")</f>
        <v>#NAME?</v>
      </c>
    </row>
    <row r="2822" spans="1:23" x14ac:dyDescent="0.2">
      <c r="A2822" s="37" t="s">
        <v>6196</v>
      </c>
      <c r="B2822" s="27" t="s">
        <v>6197</v>
      </c>
      <c r="C2822" s="28" t="e">
        <f ca="1">[1]!BexGetData("DP_1","003N8EMH8GTFRCSWKMPXRR8GU","GSON2117320013")</f>
        <v>#NAME?</v>
      </c>
      <c r="D2822" s="23" t="e">
        <f ca="1">[1]!BexGetData("DP_1","003N8EMH8GTFRCSWKMPXRRESE","GSON2117320013")</f>
        <v>#NAME?</v>
      </c>
      <c r="E2822" s="23" t="e">
        <f ca="1">[1]!BexGetData("DP_1","003N8EMH8GTFRCSWKMPXRRL3Y","GSON2117320013")</f>
        <v>#NAME?</v>
      </c>
      <c r="F2822" s="24" t="e">
        <f ca="1">[1]!BexGetData("DP_1","003N8EMH8GTFRCSWKMPXRRRFI","GSON2117320013")</f>
        <v>#NAME?</v>
      </c>
      <c r="G2822" s="24" t="e">
        <f ca="1">[1]!BexGetData("DP_1","003N8EMH8GTFRCSWKMPXRRXR2","GSON2117320013")</f>
        <v>#NAME?</v>
      </c>
      <c r="H2822" s="24" t="e">
        <f ca="1">[1]!BexGetData("DP_1","003N8EMH8GTFRCSWKMPXRS42M","GSON2117320013")</f>
        <v>#NAME?</v>
      </c>
      <c r="I2822" s="24" t="e">
        <f ca="1">[1]!BexGetData("DP_1","003N8EMH8GTFRCSWKMPXRSAE6","GSON2117320013")</f>
        <v>#NAME?</v>
      </c>
      <c r="J2822" s="24" t="e">
        <f ca="1">[1]!BexGetData("DP_1","003N8EMH8GTFRCSWKMPXRSGPQ","GSON2117320013")</f>
        <v>#NAME?</v>
      </c>
      <c r="K2822" s="23" t="e">
        <f ca="1">[1]!BexGetData("DP_1","003N8EMH8GTFRIVNUPY288VJH","GSON2117320013")</f>
        <v>#NAME?</v>
      </c>
      <c r="L2822" s="23" t="e">
        <f ca="1">[1]!BexGetData("DP_1","003N8EMH8GTFRIVNUPY2891V1","GSON2117320013")</f>
        <v>#NAME?</v>
      </c>
      <c r="M2822" s="23" t="e">
        <f ca="1">[1]!BexGetData("DP_1","003N8EMH8GTFRIVOG7KG9IQXA","GSON2117320013")</f>
        <v>#NAME?</v>
      </c>
      <c r="N2822" s="28" t="e">
        <f ca="1">[1]!BexGetData("DP_1","003N8EMH8GTFRIVOG7KG9IX8U","GSON2117320013")</f>
        <v>#NAME?</v>
      </c>
      <c r="O2822" s="23" t="e">
        <f ca="1">[1]!BexGetData("DP_1","003N8EMH8GTFRIVOG7KG9J3KE","GSON2117320013")</f>
        <v>#NAME?</v>
      </c>
      <c r="P2822" s="28" t="e">
        <f ca="1">[1]!BexGetData("DP_1","003N8EMH8GTFRIVOG7KG9J9VY","GSON2117320013")</f>
        <v>#NAME?</v>
      </c>
      <c r="Q2822" s="24" t="e">
        <f ca="1">[1]!BexGetData("DP_1","00O2TNJGODT0G5Z4TTKYMM5MT","GSON2117320013")</f>
        <v>#NAME?</v>
      </c>
      <c r="R2822" s="24" t="e">
        <f ca="1">[1]!BexGetData("DP_1","00O2TNJGODT0G5Z4TTKYMMBYD","GSON2117320013")</f>
        <v>#NAME?</v>
      </c>
      <c r="S2822" s="24" t="e">
        <f ca="1">[1]!BexGetData("DP_1","00O2TNJGODT0G5Z4TTKYMMI9X","GSON2117320013")</f>
        <v>#NAME?</v>
      </c>
      <c r="T2822" s="24" t="e">
        <f ca="1">[1]!BexGetData("DP_1","00O2TNJGODT0G5Z4TTKYMMOLH","GSON2117320013")</f>
        <v>#NAME?</v>
      </c>
      <c r="U2822" s="24" t="e">
        <f ca="1">[1]!BexGetData("DP_1","00O2TNJGODT0G5Z4TTKYMMUX1","GSON2117320013")</f>
        <v>#NAME?</v>
      </c>
      <c r="V2822" s="24" t="e">
        <f ca="1">[1]!BexGetData("DP_1","00O2TNJGODT0G5Z4TTKYMN18L","GSON2117320013")</f>
        <v>#NAME?</v>
      </c>
      <c r="W2822" s="24" t="e">
        <f ca="1">[1]!BexGetData("DP_1","00O2TNJGODT0G5Z4TTKYMN7K5","GSON2117320013")</f>
        <v>#NAME?</v>
      </c>
    </row>
    <row r="2823" spans="1:23" x14ac:dyDescent="0.2">
      <c r="A2823" s="37" t="s">
        <v>6198</v>
      </c>
      <c r="B2823" s="27" t="s">
        <v>6199</v>
      </c>
      <c r="C2823" s="28" t="e">
        <f ca="1">[1]!BexGetData("DP_1","003N8EMH8GTFRCSWKMPXRR8GU","GSON2117320014")</f>
        <v>#NAME?</v>
      </c>
      <c r="D2823" s="23" t="e">
        <f ca="1">[1]!BexGetData("DP_1","003N8EMH8GTFRCSWKMPXRRESE","GSON2117320014")</f>
        <v>#NAME?</v>
      </c>
      <c r="E2823" s="23" t="e">
        <f ca="1">[1]!BexGetData("DP_1","003N8EMH8GTFRCSWKMPXRRL3Y","GSON2117320014")</f>
        <v>#NAME?</v>
      </c>
      <c r="F2823" s="24" t="e">
        <f ca="1">[1]!BexGetData("DP_1","003N8EMH8GTFRCSWKMPXRRRFI","GSON2117320014")</f>
        <v>#NAME?</v>
      </c>
      <c r="G2823" s="24" t="e">
        <f ca="1">[1]!BexGetData("DP_1","003N8EMH8GTFRCSWKMPXRRXR2","GSON2117320014")</f>
        <v>#NAME?</v>
      </c>
      <c r="H2823" s="24" t="e">
        <f ca="1">[1]!BexGetData("DP_1","003N8EMH8GTFRCSWKMPXRS42M","GSON2117320014")</f>
        <v>#NAME?</v>
      </c>
      <c r="I2823" s="24" t="e">
        <f ca="1">[1]!BexGetData("DP_1","003N8EMH8GTFRCSWKMPXRSAE6","GSON2117320014")</f>
        <v>#NAME?</v>
      </c>
      <c r="J2823" s="24" t="e">
        <f ca="1">[1]!BexGetData("DP_1","003N8EMH8GTFRCSWKMPXRSGPQ","GSON2117320014")</f>
        <v>#NAME?</v>
      </c>
      <c r="K2823" s="23" t="e">
        <f ca="1">[1]!BexGetData("DP_1","003N8EMH8GTFRIVNUPY288VJH","GSON2117320014")</f>
        <v>#NAME?</v>
      </c>
      <c r="L2823" s="23" t="e">
        <f ca="1">[1]!BexGetData("DP_1","003N8EMH8GTFRIVNUPY2891V1","GSON2117320014")</f>
        <v>#NAME?</v>
      </c>
      <c r="M2823" s="23" t="e">
        <f ca="1">[1]!BexGetData("DP_1","003N8EMH8GTFRIVOG7KG9IQXA","GSON2117320014")</f>
        <v>#NAME?</v>
      </c>
      <c r="N2823" s="28" t="e">
        <f ca="1">[1]!BexGetData("DP_1","003N8EMH8GTFRIVOG7KG9IX8U","GSON2117320014")</f>
        <v>#NAME?</v>
      </c>
      <c r="O2823" s="23" t="e">
        <f ca="1">[1]!BexGetData("DP_1","003N8EMH8GTFRIVOG7KG9J3KE","GSON2117320014")</f>
        <v>#NAME?</v>
      </c>
      <c r="P2823" s="28" t="e">
        <f ca="1">[1]!BexGetData("DP_1","003N8EMH8GTFRIVOG7KG9J9VY","GSON2117320014")</f>
        <v>#NAME?</v>
      </c>
      <c r="Q2823" s="24" t="e">
        <f ca="1">[1]!BexGetData("DP_1","00O2TNJGODT0G5Z4TTKYMM5MT","GSON2117320014")</f>
        <v>#NAME?</v>
      </c>
      <c r="R2823" s="24" t="e">
        <f ca="1">[1]!BexGetData("DP_1","00O2TNJGODT0G5Z4TTKYMMBYD","GSON2117320014")</f>
        <v>#NAME?</v>
      </c>
      <c r="S2823" s="24" t="e">
        <f ca="1">[1]!BexGetData("DP_1","00O2TNJGODT0G5Z4TTKYMMI9X","GSON2117320014")</f>
        <v>#NAME?</v>
      </c>
      <c r="T2823" s="24" t="e">
        <f ca="1">[1]!BexGetData("DP_1","00O2TNJGODT0G5Z4TTKYMMOLH","GSON2117320014")</f>
        <v>#NAME?</v>
      </c>
      <c r="U2823" s="24" t="e">
        <f ca="1">[1]!BexGetData("DP_1","00O2TNJGODT0G5Z4TTKYMMUX1","GSON2117320014")</f>
        <v>#NAME?</v>
      </c>
      <c r="V2823" s="24" t="e">
        <f ca="1">[1]!BexGetData("DP_1","00O2TNJGODT0G5Z4TTKYMN18L","GSON2117320014")</f>
        <v>#NAME?</v>
      </c>
      <c r="W2823" s="24" t="e">
        <f ca="1">[1]!BexGetData("DP_1","00O2TNJGODT0G5Z4TTKYMN7K5","GSON2117320014")</f>
        <v>#NAME?</v>
      </c>
    </row>
    <row r="2824" spans="1:23" x14ac:dyDescent="0.2">
      <c r="A2824" s="37" t="s">
        <v>6200</v>
      </c>
      <c r="B2824" s="27" t="s">
        <v>6201</v>
      </c>
      <c r="C2824" s="28" t="e">
        <f ca="1">[1]!BexGetData("DP_1","003N8EMH8GTFRCSWKMPXRR8GU","GSON2117320015")</f>
        <v>#NAME?</v>
      </c>
      <c r="D2824" s="23" t="e">
        <f ca="1">[1]!BexGetData("DP_1","003N8EMH8GTFRCSWKMPXRRESE","GSON2117320015")</f>
        <v>#NAME?</v>
      </c>
      <c r="E2824" s="23" t="e">
        <f ca="1">[1]!BexGetData("DP_1","003N8EMH8GTFRCSWKMPXRRL3Y","GSON2117320015")</f>
        <v>#NAME?</v>
      </c>
      <c r="F2824" s="24" t="e">
        <f ca="1">[1]!BexGetData("DP_1","003N8EMH8GTFRCSWKMPXRRRFI","GSON2117320015")</f>
        <v>#NAME?</v>
      </c>
      <c r="G2824" s="24" t="e">
        <f ca="1">[1]!BexGetData("DP_1","003N8EMH8GTFRCSWKMPXRRXR2","GSON2117320015")</f>
        <v>#NAME?</v>
      </c>
      <c r="H2824" s="24" t="e">
        <f ca="1">[1]!BexGetData("DP_1","003N8EMH8GTFRCSWKMPXRS42M","GSON2117320015")</f>
        <v>#NAME?</v>
      </c>
      <c r="I2824" s="24" t="e">
        <f ca="1">[1]!BexGetData("DP_1","003N8EMH8GTFRCSWKMPXRSAE6","GSON2117320015")</f>
        <v>#NAME?</v>
      </c>
      <c r="J2824" s="24" t="e">
        <f ca="1">[1]!BexGetData("DP_1","003N8EMH8GTFRCSWKMPXRSGPQ","GSON2117320015")</f>
        <v>#NAME?</v>
      </c>
      <c r="K2824" s="23" t="e">
        <f ca="1">[1]!BexGetData("DP_1","003N8EMH8GTFRIVNUPY288VJH","GSON2117320015")</f>
        <v>#NAME?</v>
      </c>
      <c r="L2824" s="23" t="e">
        <f ca="1">[1]!BexGetData("DP_1","003N8EMH8GTFRIVNUPY2891V1","GSON2117320015")</f>
        <v>#NAME?</v>
      </c>
      <c r="M2824" s="23" t="e">
        <f ca="1">[1]!BexGetData("DP_1","003N8EMH8GTFRIVOG7KG9IQXA","GSON2117320015")</f>
        <v>#NAME?</v>
      </c>
      <c r="N2824" s="28" t="e">
        <f ca="1">[1]!BexGetData("DP_1","003N8EMH8GTFRIVOG7KG9IX8U","GSON2117320015")</f>
        <v>#NAME?</v>
      </c>
      <c r="O2824" s="23" t="e">
        <f ca="1">[1]!BexGetData("DP_1","003N8EMH8GTFRIVOG7KG9J3KE","GSON2117320015")</f>
        <v>#NAME?</v>
      </c>
      <c r="P2824" s="28" t="e">
        <f ca="1">[1]!BexGetData("DP_1","003N8EMH8GTFRIVOG7KG9J9VY","GSON2117320015")</f>
        <v>#NAME?</v>
      </c>
      <c r="Q2824" s="24" t="e">
        <f ca="1">[1]!BexGetData("DP_1","00O2TNJGODT0G5Z4TTKYMM5MT","GSON2117320015")</f>
        <v>#NAME?</v>
      </c>
      <c r="R2824" s="24" t="e">
        <f ca="1">[1]!BexGetData("DP_1","00O2TNJGODT0G5Z4TTKYMMBYD","GSON2117320015")</f>
        <v>#NAME?</v>
      </c>
      <c r="S2824" s="24" t="e">
        <f ca="1">[1]!BexGetData("DP_1","00O2TNJGODT0G5Z4TTKYMMI9X","GSON2117320015")</f>
        <v>#NAME?</v>
      </c>
      <c r="T2824" s="24" t="e">
        <f ca="1">[1]!BexGetData("DP_1","00O2TNJGODT0G5Z4TTKYMMOLH","GSON2117320015")</f>
        <v>#NAME?</v>
      </c>
      <c r="U2824" s="24" t="e">
        <f ca="1">[1]!BexGetData("DP_1","00O2TNJGODT0G5Z4TTKYMMUX1","GSON2117320015")</f>
        <v>#NAME?</v>
      </c>
      <c r="V2824" s="24" t="e">
        <f ca="1">[1]!BexGetData("DP_1","00O2TNJGODT0G5Z4TTKYMN18L","GSON2117320015")</f>
        <v>#NAME?</v>
      </c>
      <c r="W2824" s="24" t="e">
        <f ca="1">[1]!BexGetData("DP_1","00O2TNJGODT0G5Z4TTKYMN7K5","GSON2117320015")</f>
        <v>#NAME?</v>
      </c>
    </row>
    <row r="2825" spans="1:23" x14ac:dyDescent="0.2">
      <c r="A2825" s="37" t="s">
        <v>6202</v>
      </c>
      <c r="B2825" s="27" t="s">
        <v>6203</v>
      </c>
      <c r="C2825" s="23" t="e">
        <f ca="1">[1]!BexGetData("DP_1","003N8EMH8GTFRCSWKMPXRR8GU","GSON2117320016")</f>
        <v>#NAME?</v>
      </c>
      <c r="D2825" s="23" t="e">
        <f ca="1">[1]!BexGetData("DP_1","003N8EMH8GTFRCSWKMPXRRESE","GSON2117320016")</f>
        <v>#NAME?</v>
      </c>
      <c r="E2825" s="23" t="e">
        <f ca="1">[1]!BexGetData("DP_1","003N8EMH8GTFRCSWKMPXRRL3Y","GSON2117320016")</f>
        <v>#NAME?</v>
      </c>
      <c r="F2825" s="24" t="e">
        <f ca="1">[1]!BexGetData("DP_1","003N8EMH8GTFRCSWKMPXRRRFI","GSON2117320016")</f>
        <v>#NAME?</v>
      </c>
      <c r="G2825" s="24" t="e">
        <f ca="1">[1]!BexGetData("DP_1","003N8EMH8GTFRCSWKMPXRRXR2","GSON2117320016")</f>
        <v>#NAME?</v>
      </c>
      <c r="H2825" s="24" t="e">
        <f ca="1">[1]!BexGetData("DP_1","003N8EMH8GTFRCSWKMPXRS42M","GSON2117320016")</f>
        <v>#NAME?</v>
      </c>
      <c r="I2825" s="24" t="e">
        <f ca="1">[1]!BexGetData("DP_1","003N8EMH8GTFRCSWKMPXRSAE6","GSON2117320016")</f>
        <v>#NAME?</v>
      </c>
      <c r="J2825" s="24" t="e">
        <f ca="1">[1]!BexGetData("DP_1","003N8EMH8GTFRCSWKMPXRSGPQ","GSON2117320016")</f>
        <v>#NAME?</v>
      </c>
      <c r="K2825" s="23" t="e">
        <f ca="1">[1]!BexGetData("DP_1","003N8EMH8GTFRIVNUPY288VJH","GSON2117320016")</f>
        <v>#NAME?</v>
      </c>
      <c r="L2825" s="23" t="e">
        <f ca="1">[1]!BexGetData("DP_1","003N8EMH8GTFRIVNUPY2891V1","GSON2117320016")</f>
        <v>#NAME?</v>
      </c>
      <c r="M2825" s="28" t="e">
        <f ca="1">[1]!BexGetData("DP_1","003N8EMH8GTFRIVOG7KG9IQXA","GSON2117320016")</f>
        <v>#NAME?</v>
      </c>
      <c r="N2825" s="23" t="e">
        <f ca="1">[1]!BexGetData("DP_1","003N8EMH8GTFRIVOG7KG9IX8U","GSON2117320016")</f>
        <v>#NAME?</v>
      </c>
      <c r="O2825" s="28" t="e">
        <f ca="1">[1]!BexGetData("DP_1","003N8EMH8GTFRIVOG7KG9J3KE","GSON2117320016")</f>
        <v>#NAME?</v>
      </c>
      <c r="P2825" s="23" t="e">
        <f ca="1">[1]!BexGetData("DP_1","003N8EMH8GTFRIVOG7KG9J9VY","GSON2117320016")</f>
        <v>#NAME?</v>
      </c>
      <c r="Q2825" s="24" t="e">
        <f ca="1">[1]!BexGetData("DP_1","00O2TNJGODT0G5Z4TTKYMM5MT","GSON2117320016")</f>
        <v>#NAME?</v>
      </c>
      <c r="R2825" s="24" t="e">
        <f ca="1">[1]!BexGetData("DP_1","00O2TNJGODT0G5Z4TTKYMMBYD","GSON2117320016")</f>
        <v>#NAME?</v>
      </c>
      <c r="S2825" s="24" t="e">
        <f ca="1">[1]!BexGetData("DP_1","00O2TNJGODT0G5Z4TTKYMMI9X","GSON2117320016")</f>
        <v>#NAME?</v>
      </c>
      <c r="T2825" s="24" t="e">
        <f ca="1">[1]!BexGetData("DP_1","00O2TNJGODT0G5Z4TTKYMMOLH","GSON2117320016")</f>
        <v>#NAME?</v>
      </c>
      <c r="U2825" s="24" t="e">
        <f ca="1">[1]!BexGetData("DP_1","00O2TNJGODT0G5Z4TTKYMMUX1","GSON2117320016")</f>
        <v>#NAME?</v>
      </c>
      <c r="V2825" s="24" t="e">
        <f ca="1">[1]!BexGetData("DP_1","00O2TNJGODT0G5Z4TTKYMN18L","GSON2117320016")</f>
        <v>#NAME?</v>
      </c>
      <c r="W2825" s="24" t="e">
        <f ca="1">[1]!BexGetData("DP_1","00O2TNJGODT0G5Z4TTKYMN7K5","GSON2117320016")</f>
        <v>#NAME?</v>
      </c>
    </row>
    <row r="2826" spans="1:23" x14ac:dyDescent="0.2">
      <c r="A2826" s="37" t="s">
        <v>6204</v>
      </c>
      <c r="B2826" s="27" t="s">
        <v>6205</v>
      </c>
      <c r="C2826" s="28" t="e">
        <f ca="1">[1]!BexGetData("DP_1","003N8EMH8GTFRCSWKMPXRR8GU","GSON2117320017")</f>
        <v>#NAME?</v>
      </c>
      <c r="D2826" s="23" t="e">
        <f ca="1">[1]!BexGetData("DP_1","003N8EMH8GTFRCSWKMPXRRESE","GSON2117320017")</f>
        <v>#NAME?</v>
      </c>
      <c r="E2826" s="23" t="e">
        <f ca="1">[1]!BexGetData("DP_1","003N8EMH8GTFRCSWKMPXRRL3Y","GSON2117320017")</f>
        <v>#NAME?</v>
      </c>
      <c r="F2826" s="24" t="e">
        <f ca="1">[1]!BexGetData("DP_1","003N8EMH8GTFRCSWKMPXRRRFI","GSON2117320017")</f>
        <v>#NAME?</v>
      </c>
      <c r="G2826" s="24" t="e">
        <f ca="1">[1]!BexGetData("DP_1","003N8EMH8GTFRCSWKMPXRRXR2","GSON2117320017")</f>
        <v>#NAME?</v>
      </c>
      <c r="H2826" s="24" t="e">
        <f ca="1">[1]!BexGetData("DP_1","003N8EMH8GTFRCSWKMPXRS42M","GSON2117320017")</f>
        <v>#NAME?</v>
      </c>
      <c r="I2826" s="24" t="e">
        <f ca="1">[1]!BexGetData("DP_1","003N8EMH8GTFRCSWKMPXRSAE6","GSON2117320017")</f>
        <v>#NAME?</v>
      </c>
      <c r="J2826" s="24" t="e">
        <f ca="1">[1]!BexGetData("DP_1","003N8EMH8GTFRCSWKMPXRSGPQ","GSON2117320017")</f>
        <v>#NAME?</v>
      </c>
      <c r="K2826" s="23" t="e">
        <f ca="1">[1]!BexGetData("DP_1","003N8EMH8GTFRIVNUPY288VJH","GSON2117320017")</f>
        <v>#NAME?</v>
      </c>
      <c r="L2826" s="23" t="e">
        <f ca="1">[1]!BexGetData("DP_1","003N8EMH8GTFRIVNUPY2891V1","GSON2117320017")</f>
        <v>#NAME?</v>
      </c>
      <c r="M2826" s="23" t="e">
        <f ca="1">[1]!BexGetData("DP_1","003N8EMH8GTFRIVOG7KG9IQXA","GSON2117320017")</f>
        <v>#NAME?</v>
      </c>
      <c r="N2826" s="28" t="e">
        <f ca="1">[1]!BexGetData("DP_1","003N8EMH8GTFRIVOG7KG9IX8U","GSON2117320017")</f>
        <v>#NAME?</v>
      </c>
      <c r="O2826" s="23" t="e">
        <f ca="1">[1]!BexGetData("DP_1","003N8EMH8GTFRIVOG7KG9J3KE","GSON2117320017")</f>
        <v>#NAME?</v>
      </c>
      <c r="P2826" s="28" t="e">
        <f ca="1">[1]!BexGetData("DP_1","003N8EMH8GTFRIVOG7KG9J9VY","GSON2117320017")</f>
        <v>#NAME?</v>
      </c>
      <c r="Q2826" s="24" t="e">
        <f ca="1">[1]!BexGetData("DP_1","00O2TNJGODT0G5Z4TTKYMM5MT","GSON2117320017")</f>
        <v>#NAME?</v>
      </c>
      <c r="R2826" s="24" t="e">
        <f ca="1">[1]!BexGetData("DP_1","00O2TNJGODT0G5Z4TTKYMMBYD","GSON2117320017")</f>
        <v>#NAME?</v>
      </c>
      <c r="S2826" s="24" t="e">
        <f ca="1">[1]!BexGetData("DP_1","00O2TNJGODT0G5Z4TTKYMMI9X","GSON2117320017")</f>
        <v>#NAME?</v>
      </c>
      <c r="T2826" s="24" t="e">
        <f ca="1">[1]!BexGetData("DP_1","00O2TNJGODT0G5Z4TTKYMMOLH","GSON2117320017")</f>
        <v>#NAME?</v>
      </c>
      <c r="U2826" s="24" t="e">
        <f ca="1">[1]!BexGetData("DP_1","00O2TNJGODT0G5Z4TTKYMMUX1","GSON2117320017")</f>
        <v>#NAME?</v>
      </c>
      <c r="V2826" s="24" t="e">
        <f ca="1">[1]!BexGetData("DP_1","00O2TNJGODT0G5Z4TTKYMN18L","GSON2117320017")</f>
        <v>#NAME?</v>
      </c>
      <c r="W2826" s="24" t="e">
        <f ca="1">[1]!BexGetData("DP_1","00O2TNJGODT0G5Z4TTKYMN7K5","GSON2117320017")</f>
        <v>#NAME?</v>
      </c>
    </row>
    <row r="2827" spans="1:23" x14ac:dyDescent="0.2">
      <c r="A2827" s="37" t="s">
        <v>6206</v>
      </c>
      <c r="B2827" s="27" t="s">
        <v>6207</v>
      </c>
      <c r="C2827" s="28" t="e">
        <f ca="1">[1]!BexGetData("DP_1","003N8EMH8GTFRCSWKMPXRR8GU","GSON2117320018")</f>
        <v>#NAME?</v>
      </c>
      <c r="D2827" s="23" t="e">
        <f ca="1">[1]!BexGetData("DP_1","003N8EMH8GTFRCSWKMPXRRESE","GSON2117320018")</f>
        <v>#NAME?</v>
      </c>
      <c r="E2827" s="23" t="e">
        <f ca="1">[1]!BexGetData("DP_1","003N8EMH8GTFRCSWKMPXRRL3Y","GSON2117320018")</f>
        <v>#NAME?</v>
      </c>
      <c r="F2827" s="24" t="e">
        <f ca="1">[1]!BexGetData("DP_1","003N8EMH8GTFRCSWKMPXRRRFI","GSON2117320018")</f>
        <v>#NAME?</v>
      </c>
      <c r="G2827" s="24" t="e">
        <f ca="1">[1]!BexGetData("DP_1","003N8EMH8GTFRCSWKMPXRRXR2","GSON2117320018")</f>
        <v>#NAME?</v>
      </c>
      <c r="H2827" s="24" t="e">
        <f ca="1">[1]!BexGetData("DP_1","003N8EMH8GTFRCSWKMPXRS42M","GSON2117320018")</f>
        <v>#NAME?</v>
      </c>
      <c r="I2827" s="24" t="e">
        <f ca="1">[1]!BexGetData("DP_1","003N8EMH8GTFRCSWKMPXRSAE6","GSON2117320018")</f>
        <v>#NAME?</v>
      </c>
      <c r="J2827" s="24" t="e">
        <f ca="1">[1]!BexGetData("DP_1","003N8EMH8GTFRCSWKMPXRSGPQ","GSON2117320018")</f>
        <v>#NAME?</v>
      </c>
      <c r="K2827" s="23" t="e">
        <f ca="1">[1]!BexGetData("DP_1","003N8EMH8GTFRIVNUPY288VJH","GSON2117320018")</f>
        <v>#NAME?</v>
      </c>
      <c r="L2827" s="23" t="e">
        <f ca="1">[1]!BexGetData("DP_1","003N8EMH8GTFRIVNUPY2891V1","GSON2117320018")</f>
        <v>#NAME?</v>
      </c>
      <c r="M2827" s="23" t="e">
        <f ca="1">[1]!BexGetData("DP_1","003N8EMH8GTFRIVOG7KG9IQXA","GSON2117320018")</f>
        <v>#NAME?</v>
      </c>
      <c r="N2827" s="28" t="e">
        <f ca="1">[1]!BexGetData("DP_1","003N8EMH8GTFRIVOG7KG9IX8U","GSON2117320018")</f>
        <v>#NAME?</v>
      </c>
      <c r="O2827" s="23" t="e">
        <f ca="1">[1]!BexGetData("DP_1","003N8EMH8GTFRIVOG7KG9J3KE","GSON2117320018")</f>
        <v>#NAME?</v>
      </c>
      <c r="P2827" s="28" t="e">
        <f ca="1">[1]!BexGetData("DP_1","003N8EMH8GTFRIVOG7KG9J9VY","GSON2117320018")</f>
        <v>#NAME?</v>
      </c>
      <c r="Q2827" s="24" t="e">
        <f ca="1">[1]!BexGetData("DP_1","00O2TNJGODT0G5Z4TTKYMM5MT","GSON2117320018")</f>
        <v>#NAME?</v>
      </c>
      <c r="R2827" s="24" t="e">
        <f ca="1">[1]!BexGetData("DP_1","00O2TNJGODT0G5Z4TTKYMMBYD","GSON2117320018")</f>
        <v>#NAME?</v>
      </c>
      <c r="S2827" s="24" t="e">
        <f ca="1">[1]!BexGetData("DP_1","00O2TNJGODT0G5Z4TTKYMMI9X","GSON2117320018")</f>
        <v>#NAME?</v>
      </c>
      <c r="T2827" s="24" t="e">
        <f ca="1">[1]!BexGetData("DP_1","00O2TNJGODT0G5Z4TTKYMMOLH","GSON2117320018")</f>
        <v>#NAME?</v>
      </c>
      <c r="U2827" s="24" t="e">
        <f ca="1">[1]!BexGetData("DP_1","00O2TNJGODT0G5Z4TTKYMMUX1","GSON2117320018")</f>
        <v>#NAME?</v>
      </c>
      <c r="V2827" s="24" t="e">
        <f ca="1">[1]!BexGetData("DP_1","00O2TNJGODT0G5Z4TTKYMN18L","GSON2117320018")</f>
        <v>#NAME?</v>
      </c>
      <c r="W2827" s="24" t="e">
        <f ca="1">[1]!BexGetData("DP_1","00O2TNJGODT0G5Z4TTKYMN7K5","GSON2117320018")</f>
        <v>#NAME?</v>
      </c>
    </row>
    <row r="2828" spans="1:23" x14ac:dyDescent="0.2">
      <c r="A2828" s="37" t="s">
        <v>6208</v>
      </c>
      <c r="B2828" s="27" t="s">
        <v>6209</v>
      </c>
      <c r="C2828" s="28" t="e">
        <f ca="1">[1]!BexGetData("DP_1","003N8EMH8GTFRCSWKMPXRR8GU","GSON2117320019")</f>
        <v>#NAME?</v>
      </c>
      <c r="D2828" s="23" t="e">
        <f ca="1">[1]!BexGetData("DP_1","003N8EMH8GTFRCSWKMPXRRESE","GSON2117320019")</f>
        <v>#NAME?</v>
      </c>
      <c r="E2828" s="23" t="e">
        <f ca="1">[1]!BexGetData("DP_1","003N8EMH8GTFRCSWKMPXRRL3Y","GSON2117320019")</f>
        <v>#NAME?</v>
      </c>
      <c r="F2828" s="24" t="e">
        <f ca="1">[1]!BexGetData("DP_1","003N8EMH8GTFRCSWKMPXRRRFI","GSON2117320019")</f>
        <v>#NAME?</v>
      </c>
      <c r="G2828" s="24" t="e">
        <f ca="1">[1]!BexGetData("DP_1","003N8EMH8GTFRCSWKMPXRRXR2","GSON2117320019")</f>
        <v>#NAME?</v>
      </c>
      <c r="H2828" s="24" t="e">
        <f ca="1">[1]!BexGetData("DP_1","003N8EMH8GTFRCSWKMPXRS42M","GSON2117320019")</f>
        <v>#NAME?</v>
      </c>
      <c r="I2828" s="24" t="e">
        <f ca="1">[1]!BexGetData("DP_1","003N8EMH8GTFRCSWKMPXRSAE6","GSON2117320019")</f>
        <v>#NAME?</v>
      </c>
      <c r="J2828" s="24" t="e">
        <f ca="1">[1]!BexGetData("DP_1","003N8EMH8GTFRCSWKMPXRSGPQ","GSON2117320019")</f>
        <v>#NAME?</v>
      </c>
      <c r="K2828" s="23" t="e">
        <f ca="1">[1]!BexGetData("DP_1","003N8EMH8GTFRIVNUPY288VJH","GSON2117320019")</f>
        <v>#NAME?</v>
      </c>
      <c r="L2828" s="23" t="e">
        <f ca="1">[1]!BexGetData("DP_1","003N8EMH8GTFRIVNUPY2891V1","GSON2117320019")</f>
        <v>#NAME?</v>
      </c>
      <c r="M2828" s="23" t="e">
        <f ca="1">[1]!BexGetData("DP_1","003N8EMH8GTFRIVOG7KG9IQXA","GSON2117320019")</f>
        <v>#NAME?</v>
      </c>
      <c r="N2828" s="28" t="e">
        <f ca="1">[1]!BexGetData("DP_1","003N8EMH8GTFRIVOG7KG9IX8U","GSON2117320019")</f>
        <v>#NAME?</v>
      </c>
      <c r="O2828" s="23" t="e">
        <f ca="1">[1]!BexGetData("DP_1","003N8EMH8GTFRIVOG7KG9J3KE","GSON2117320019")</f>
        <v>#NAME?</v>
      </c>
      <c r="P2828" s="28" t="e">
        <f ca="1">[1]!BexGetData("DP_1","003N8EMH8GTFRIVOG7KG9J9VY","GSON2117320019")</f>
        <v>#NAME?</v>
      </c>
      <c r="Q2828" s="24" t="e">
        <f ca="1">[1]!BexGetData("DP_1","00O2TNJGODT0G5Z4TTKYMM5MT","GSON2117320019")</f>
        <v>#NAME?</v>
      </c>
      <c r="R2828" s="24" t="e">
        <f ca="1">[1]!BexGetData("DP_1","00O2TNJGODT0G5Z4TTKYMMBYD","GSON2117320019")</f>
        <v>#NAME?</v>
      </c>
      <c r="S2828" s="24" t="e">
        <f ca="1">[1]!BexGetData("DP_1","00O2TNJGODT0G5Z4TTKYMMI9X","GSON2117320019")</f>
        <v>#NAME?</v>
      </c>
      <c r="T2828" s="24" t="e">
        <f ca="1">[1]!BexGetData("DP_1","00O2TNJGODT0G5Z4TTKYMMOLH","GSON2117320019")</f>
        <v>#NAME?</v>
      </c>
      <c r="U2828" s="24" t="e">
        <f ca="1">[1]!BexGetData("DP_1","00O2TNJGODT0G5Z4TTKYMMUX1","GSON2117320019")</f>
        <v>#NAME?</v>
      </c>
      <c r="V2828" s="24" t="e">
        <f ca="1">[1]!BexGetData("DP_1","00O2TNJGODT0G5Z4TTKYMN18L","GSON2117320019")</f>
        <v>#NAME?</v>
      </c>
      <c r="W2828" s="24" t="e">
        <f ca="1">[1]!BexGetData("DP_1","00O2TNJGODT0G5Z4TTKYMN7K5","GSON2117320019")</f>
        <v>#NAME?</v>
      </c>
    </row>
    <row r="2829" spans="1:23" x14ac:dyDescent="0.2">
      <c r="A2829" s="37" t="s">
        <v>355</v>
      </c>
      <c r="B2829" s="27" t="s">
        <v>356</v>
      </c>
      <c r="C2829" s="23" t="e">
        <f ca="1">[1]!BexGetData("DP_1","003N8EMH8GTFRCSWKMPXRR8GU","GSON2117410001")</f>
        <v>#NAME?</v>
      </c>
      <c r="D2829" s="23" t="e">
        <f ca="1">[1]!BexGetData("DP_1","003N8EMH8GTFRCSWKMPXRRESE","GSON2117410001")</f>
        <v>#NAME?</v>
      </c>
      <c r="E2829" s="23" t="e">
        <f ca="1">[1]!BexGetData("DP_1","003N8EMH8GTFRCSWKMPXRRL3Y","GSON2117410001")</f>
        <v>#NAME?</v>
      </c>
      <c r="F2829" s="28" t="e">
        <f ca="1">[1]!BexGetData("DP_1","003N8EMH8GTFRCSWKMPXRRRFI","GSON2117410001")</f>
        <v>#NAME?</v>
      </c>
      <c r="G2829" s="23" t="e">
        <f ca="1">[1]!BexGetData("DP_1","003N8EMH8GTFRCSWKMPXRRXR2","GSON2117410001")</f>
        <v>#NAME?</v>
      </c>
      <c r="H2829" s="23" t="e">
        <f ca="1">[1]!BexGetData("DP_1","003N8EMH8GTFRCSWKMPXRS42M","GSON2117410001")</f>
        <v>#NAME?</v>
      </c>
      <c r="I2829" s="28" t="e">
        <f ca="1">[1]!BexGetData("DP_1","003N8EMH8GTFRCSWKMPXRSAE6","GSON2117410001")</f>
        <v>#NAME?</v>
      </c>
      <c r="J2829" s="24" t="e">
        <f ca="1">[1]!BexGetData("DP_1","003N8EMH8GTFRCSWKMPXRSGPQ","GSON2117410001")</f>
        <v>#NAME?</v>
      </c>
      <c r="K2829" s="23" t="e">
        <f ca="1">[1]!BexGetData("DP_1","003N8EMH8GTFRIVNUPY288VJH","GSON2117410001")</f>
        <v>#NAME?</v>
      </c>
      <c r="L2829" s="23" t="e">
        <f ca="1">[1]!BexGetData("DP_1","003N8EMH8GTFRIVNUPY2891V1","GSON2117410001")</f>
        <v>#NAME?</v>
      </c>
      <c r="M2829" s="23" t="e">
        <f ca="1">[1]!BexGetData("DP_1","003N8EMH8GTFRIVOG7KG9IQXA","GSON2117410001")</f>
        <v>#NAME?</v>
      </c>
      <c r="N2829" s="28" t="e">
        <f ca="1">[1]!BexGetData("DP_1","003N8EMH8GTFRIVOG7KG9IX8U","GSON2117410001")</f>
        <v>#NAME?</v>
      </c>
      <c r="O2829" s="23" t="e">
        <f ca="1">[1]!BexGetData("DP_1","003N8EMH8GTFRIVOG7KG9J3KE","GSON2117410001")</f>
        <v>#NAME?</v>
      </c>
      <c r="P2829" s="28" t="e">
        <f ca="1">[1]!BexGetData("DP_1","003N8EMH8GTFRIVOG7KG9J9VY","GSON2117410001")</f>
        <v>#NAME?</v>
      </c>
      <c r="Q2829" s="24" t="e">
        <f ca="1">[1]!BexGetData("DP_1","00O2TNJGODT0G5Z4TTKYMM5MT","GSON2117410001")</f>
        <v>#NAME?</v>
      </c>
      <c r="R2829" s="28" t="e">
        <f ca="1">[1]!BexGetData("DP_1","00O2TNJGODT0G5Z4TTKYMMBYD","GSON2117410001")</f>
        <v>#NAME?</v>
      </c>
      <c r="S2829" s="28" t="e">
        <f ca="1">[1]!BexGetData("DP_1","00O2TNJGODT0G5Z4TTKYMMI9X","GSON2117410001")</f>
        <v>#NAME?</v>
      </c>
      <c r="T2829" s="28" t="e">
        <f ca="1">[1]!BexGetData("DP_1","00O2TNJGODT0G5Z4TTKYMMOLH","GSON2117410001")</f>
        <v>#NAME?</v>
      </c>
      <c r="U2829" s="28" t="e">
        <f ca="1">[1]!BexGetData("DP_1","00O2TNJGODT0G5Z4TTKYMMUX1","GSON2117410001")</f>
        <v>#NAME?</v>
      </c>
      <c r="V2829" s="28" t="e">
        <f ca="1">[1]!BexGetData("DP_1","00O2TNJGODT0G5Z4TTKYMN18L","GSON2117410001")</f>
        <v>#NAME?</v>
      </c>
      <c r="W2829" s="28" t="e">
        <f ca="1">[1]!BexGetData("DP_1","00O2TNJGODT0G5Z4TTKYMN7K5","GSON2117410001")</f>
        <v>#NAME?</v>
      </c>
    </row>
    <row r="2830" spans="1:23" x14ac:dyDescent="0.2">
      <c r="A2830" s="37" t="s">
        <v>357</v>
      </c>
      <c r="B2830" s="27" t="s">
        <v>358</v>
      </c>
      <c r="C2830" s="23" t="e">
        <f ca="1">[1]!BexGetData("DP_1","003N8EMH8GTFRCSWKMPXRR8GU","GSON2117410002")</f>
        <v>#NAME?</v>
      </c>
      <c r="D2830" s="23" t="e">
        <f ca="1">[1]!BexGetData("DP_1","003N8EMH8GTFRCSWKMPXRRESE","GSON2117410002")</f>
        <v>#NAME?</v>
      </c>
      <c r="E2830" s="23" t="e">
        <f ca="1">[1]!BexGetData("DP_1","003N8EMH8GTFRCSWKMPXRRL3Y","GSON2117410002")</f>
        <v>#NAME?</v>
      </c>
      <c r="F2830" s="28" t="e">
        <f ca="1">[1]!BexGetData("DP_1","003N8EMH8GTFRCSWKMPXRRRFI","GSON2117410002")</f>
        <v>#NAME?</v>
      </c>
      <c r="G2830" s="23" t="e">
        <f ca="1">[1]!BexGetData("DP_1","003N8EMH8GTFRCSWKMPXRRXR2","GSON2117410002")</f>
        <v>#NAME?</v>
      </c>
      <c r="H2830" s="23" t="e">
        <f ca="1">[1]!BexGetData("DP_1","003N8EMH8GTFRCSWKMPXRS42M","GSON2117410002")</f>
        <v>#NAME?</v>
      </c>
      <c r="I2830" s="28" t="e">
        <f ca="1">[1]!BexGetData("DP_1","003N8EMH8GTFRCSWKMPXRSAE6","GSON2117410002")</f>
        <v>#NAME?</v>
      </c>
      <c r="J2830" s="24" t="e">
        <f ca="1">[1]!BexGetData("DP_1","003N8EMH8GTFRCSWKMPXRSGPQ","GSON2117410002")</f>
        <v>#NAME?</v>
      </c>
      <c r="K2830" s="23" t="e">
        <f ca="1">[1]!BexGetData("DP_1","003N8EMH8GTFRIVNUPY288VJH","GSON2117410002")</f>
        <v>#NAME?</v>
      </c>
      <c r="L2830" s="23" t="e">
        <f ca="1">[1]!BexGetData("DP_1","003N8EMH8GTFRIVNUPY2891V1","GSON2117410002")</f>
        <v>#NAME?</v>
      </c>
      <c r="M2830" s="23" t="e">
        <f ca="1">[1]!BexGetData("DP_1","003N8EMH8GTFRIVOG7KG9IQXA","GSON2117410002")</f>
        <v>#NAME?</v>
      </c>
      <c r="N2830" s="28" t="e">
        <f ca="1">[1]!BexGetData("DP_1","003N8EMH8GTFRIVOG7KG9IX8U","GSON2117410002")</f>
        <v>#NAME?</v>
      </c>
      <c r="O2830" s="23" t="e">
        <f ca="1">[1]!BexGetData("DP_1","003N8EMH8GTFRIVOG7KG9J3KE","GSON2117410002")</f>
        <v>#NAME?</v>
      </c>
      <c r="P2830" s="28" t="e">
        <f ca="1">[1]!BexGetData("DP_1","003N8EMH8GTFRIVOG7KG9J9VY","GSON2117410002")</f>
        <v>#NAME?</v>
      </c>
      <c r="Q2830" s="24" t="e">
        <f ca="1">[1]!BexGetData("DP_1","00O2TNJGODT0G5Z4TTKYMM5MT","GSON2117410002")</f>
        <v>#NAME?</v>
      </c>
      <c r="R2830" s="28" t="e">
        <f ca="1">[1]!BexGetData("DP_1","00O2TNJGODT0G5Z4TTKYMMBYD","GSON2117410002")</f>
        <v>#NAME?</v>
      </c>
      <c r="S2830" s="28" t="e">
        <f ca="1">[1]!BexGetData("DP_1","00O2TNJGODT0G5Z4TTKYMMI9X","GSON2117410002")</f>
        <v>#NAME?</v>
      </c>
      <c r="T2830" s="28" t="e">
        <f ca="1">[1]!BexGetData("DP_1","00O2TNJGODT0G5Z4TTKYMMOLH","GSON2117410002")</f>
        <v>#NAME?</v>
      </c>
      <c r="U2830" s="28" t="e">
        <f ca="1">[1]!BexGetData("DP_1","00O2TNJGODT0G5Z4TTKYMMUX1","GSON2117410002")</f>
        <v>#NAME?</v>
      </c>
      <c r="V2830" s="28" t="e">
        <f ca="1">[1]!BexGetData("DP_1","00O2TNJGODT0G5Z4TTKYMN18L","GSON2117410002")</f>
        <v>#NAME?</v>
      </c>
      <c r="W2830" s="28" t="e">
        <f ca="1">[1]!BexGetData("DP_1","00O2TNJGODT0G5Z4TTKYMN7K5","GSON2117410002")</f>
        <v>#NAME?</v>
      </c>
    </row>
    <row r="2831" spans="1:23" x14ac:dyDescent="0.2">
      <c r="A2831" s="37" t="s">
        <v>6210</v>
      </c>
      <c r="B2831" s="27" t="s">
        <v>6211</v>
      </c>
      <c r="C2831" s="23" t="e">
        <f ca="1">[1]!BexGetData("DP_1","003N8EMH8GTFRCSWKMPXRR8GU","GSON2117410004")</f>
        <v>#NAME?</v>
      </c>
      <c r="D2831" s="23" t="e">
        <f ca="1">[1]!BexGetData("DP_1","003N8EMH8GTFRCSWKMPXRRESE","GSON2117410004")</f>
        <v>#NAME?</v>
      </c>
      <c r="E2831" s="23" t="e">
        <f ca="1">[1]!BexGetData("DP_1","003N8EMH8GTFRCSWKMPXRRL3Y","GSON2117410004")</f>
        <v>#NAME?</v>
      </c>
      <c r="F2831" s="23" t="e">
        <f ca="1">[1]!BexGetData("DP_1","003N8EMH8GTFRCSWKMPXRRRFI","GSON2117410004")</f>
        <v>#NAME?</v>
      </c>
      <c r="G2831" s="23" t="e">
        <f ca="1">[1]!BexGetData("DP_1","003N8EMH8GTFRCSWKMPXRRXR2","GSON2117410004")</f>
        <v>#NAME?</v>
      </c>
      <c r="H2831" s="23" t="e">
        <f ca="1">[1]!BexGetData("DP_1","003N8EMH8GTFRCSWKMPXRS42M","GSON2117410004")</f>
        <v>#NAME?</v>
      </c>
      <c r="I2831" s="23" t="e">
        <f ca="1">[1]!BexGetData("DP_1","003N8EMH8GTFRCSWKMPXRSAE6","GSON2117410004")</f>
        <v>#NAME?</v>
      </c>
      <c r="J2831" s="24" t="e">
        <f ca="1">[1]!BexGetData("DP_1","003N8EMH8GTFRCSWKMPXRSGPQ","GSON2117410004")</f>
        <v>#NAME?</v>
      </c>
      <c r="K2831" s="23" t="e">
        <f ca="1">[1]!BexGetData("DP_1","003N8EMH8GTFRIVNUPY288VJH","GSON2117410004")</f>
        <v>#NAME?</v>
      </c>
      <c r="L2831" s="23" t="e">
        <f ca="1">[1]!BexGetData("DP_1","003N8EMH8GTFRIVNUPY2891V1","GSON2117410004")</f>
        <v>#NAME?</v>
      </c>
      <c r="M2831" s="28" t="e">
        <f ca="1">[1]!BexGetData("DP_1","003N8EMH8GTFRIVOG7KG9IQXA","GSON2117410004")</f>
        <v>#NAME?</v>
      </c>
      <c r="N2831" s="23" t="e">
        <f ca="1">[1]!BexGetData("DP_1","003N8EMH8GTFRIVOG7KG9IX8U","GSON2117410004")</f>
        <v>#NAME?</v>
      </c>
      <c r="O2831" s="28" t="e">
        <f ca="1">[1]!BexGetData("DP_1","003N8EMH8GTFRIVOG7KG9J3KE","GSON2117410004")</f>
        <v>#NAME?</v>
      </c>
      <c r="P2831" s="23" t="e">
        <f ca="1">[1]!BexGetData("DP_1","003N8EMH8GTFRIVOG7KG9J9VY","GSON2117410004")</f>
        <v>#NAME?</v>
      </c>
      <c r="Q2831" s="24" t="e">
        <f ca="1">[1]!BexGetData("DP_1","00O2TNJGODT0G5Z4TTKYMM5MT","GSON2117410004")</f>
        <v>#NAME?</v>
      </c>
      <c r="R2831" s="23" t="e">
        <f ca="1">[1]!BexGetData("DP_1","00O2TNJGODT0G5Z4TTKYMMBYD","GSON2117410004")</f>
        <v>#NAME?</v>
      </c>
      <c r="S2831" s="23" t="e">
        <f ca="1">[1]!BexGetData("DP_1","00O2TNJGODT0G5Z4TTKYMMI9X","GSON2117410004")</f>
        <v>#NAME?</v>
      </c>
      <c r="T2831" s="23" t="e">
        <f ca="1">[1]!BexGetData("DP_1","00O2TNJGODT0G5Z4TTKYMMOLH","GSON2117410004")</f>
        <v>#NAME?</v>
      </c>
      <c r="U2831" s="28" t="e">
        <f ca="1">[1]!BexGetData("DP_1","00O2TNJGODT0G5Z4TTKYMMUX1","GSON2117410004")</f>
        <v>#NAME?</v>
      </c>
      <c r="V2831" s="23" t="e">
        <f ca="1">[1]!BexGetData("DP_1","00O2TNJGODT0G5Z4TTKYMN18L","GSON2117410004")</f>
        <v>#NAME?</v>
      </c>
      <c r="W2831" s="28" t="e">
        <f ca="1">[1]!BexGetData("DP_1","00O2TNJGODT0G5Z4TTKYMN7K5","GSON2117410004")</f>
        <v>#NAME?</v>
      </c>
    </row>
    <row r="2832" spans="1:23" x14ac:dyDescent="0.2">
      <c r="A2832" s="37" t="s">
        <v>355</v>
      </c>
      <c r="B2832" s="27" t="s">
        <v>6212</v>
      </c>
      <c r="C2832" s="23" t="e">
        <f ca="1">[1]!BexGetData("DP_1","003N8EMH8GTFRCSWKMPXRR8GU","GSON2117410005")</f>
        <v>#NAME?</v>
      </c>
      <c r="D2832" s="23" t="e">
        <f ca="1">[1]!BexGetData("DP_1","003N8EMH8GTFRCSWKMPXRRESE","GSON2117410005")</f>
        <v>#NAME?</v>
      </c>
      <c r="E2832" s="28" t="e">
        <f ca="1">[1]!BexGetData("DP_1","003N8EMH8GTFRCSWKMPXRRL3Y","GSON2117410005")</f>
        <v>#NAME?</v>
      </c>
      <c r="F2832" s="24" t="e">
        <f ca="1">[1]!BexGetData("DP_1","003N8EMH8GTFRCSWKMPXRRRFI","GSON2117410005")</f>
        <v>#NAME?</v>
      </c>
      <c r="G2832" s="24" t="e">
        <f ca="1">[1]!BexGetData("DP_1","003N8EMH8GTFRCSWKMPXRRXR2","GSON2117410005")</f>
        <v>#NAME?</v>
      </c>
      <c r="H2832" s="24" t="e">
        <f ca="1">[1]!BexGetData("DP_1","003N8EMH8GTFRCSWKMPXRS42M","GSON2117410005")</f>
        <v>#NAME?</v>
      </c>
      <c r="I2832" s="24" t="e">
        <f ca="1">[1]!BexGetData("DP_1","003N8EMH8GTFRCSWKMPXRSAE6","GSON2117410005")</f>
        <v>#NAME?</v>
      </c>
      <c r="J2832" s="24" t="e">
        <f ca="1">[1]!BexGetData("DP_1","003N8EMH8GTFRCSWKMPXRSGPQ","GSON2117410005")</f>
        <v>#NAME?</v>
      </c>
      <c r="K2832" s="28" t="e">
        <f ca="1">[1]!BexGetData("DP_1","003N8EMH8GTFRIVNUPY288VJH","GSON2117410005")</f>
        <v>#NAME?</v>
      </c>
      <c r="L2832" s="28" t="e">
        <f ca="1">[1]!BexGetData("DP_1","003N8EMH8GTFRIVNUPY2891V1","GSON2117410005")</f>
        <v>#NAME?</v>
      </c>
      <c r="M2832" s="28" t="e">
        <f ca="1">[1]!BexGetData("DP_1","003N8EMH8GTFRIVOG7KG9IQXA","GSON2117410005")</f>
        <v>#NAME?</v>
      </c>
      <c r="N2832" s="28" t="e">
        <f ca="1">[1]!BexGetData("DP_1","003N8EMH8GTFRIVOG7KG9IX8U","GSON2117410005")</f>
        <v>#NAME?</v>
      </c>
      <c r="O2832" s="28" t="e">
        <f ca="1">[1]!BexGetData("DP_1","003N8EMH8GTFRIVOG7KG9J3KE","GSON2117410005")</f>
        <v>#NAME?</v>
      </c>
      <c r="P2832" s="28" t="e">
        <f ca="1">[1]!BexGetData("DP_1","003N8EMH8GTFRIVOG7KG9J9VY","GSON2117410005")</f>
        <v>#NAME?</v>
      </c>
      <c r="Q2832" s="24" t="e">
        <f ca="1">[1]!BexGetData("DP_1","00O2TNJGODT0G5Z4TTKYMM5MT","GSON2117410005")</f>
        <v>#NAME?</v>
      </c>
      <c r="R2832" s="24" t="e">
        <f ca="1">[1]!BexGetData("DP_1","00O2TNJGODT0G5Z4TTKYMMBYD","GSON2117410005")</f>
        <v>#NAME?</v>
      </c>
      <c r="S2832" s="24" t="e">
        <f ca="1">[1]!BexGetData("DP_1","00O2TNJGODT0G5Z4TTKYMMI9X","GSON2117410005")</f>
        <v>#NAME?</v>
      </c>
      <c r="T2832" s="24" t="e">
        <f ca="1">[1]!BexGetData("DP_1","00O2TNJGODT0G5Z4TTKYMMOLH","GSON2117410005")</f>
        <v>#NAME?</v>
      </c>
      <c r="U2832" s="24" t="e">
        <f ca="1">[1]!BexGetData("DP_1","00O2TNJGODT0G5Z4TTKYMMUX1","GSON2117410005")</f>
        <v>#NAME?</v>
      </c>
      <c r="V2832" s="24" t="e">
        <f ca="1">[1]!BexGetData("DP_1","00O2TNJGODT0G5Z4TTKYMN18L","GSON2117410005")</f>
        <v>#NAME?</v>
      </c>
      <c r="W2832" s="24" t="e">
        <f ca="1">[1]!BexGetData("DP_1","00O2TNJGODT0G5Z4TTKYMN7K5","GSON2117410005")</f>
        <v>#NAME?</v>
      </c>
    </row>
    <row r="2833" spans="1:23" x14ac:dyDescent="0.2">
      <c r="A2833" s="37" t="s">
        <v>357</v>
      </c>
      <c r="B2833" s="27" t="s">
        <v>6213</v>
      </c>
      <c r="C2833" s="23" t="e">
        <f ca="1">[1]!BexGetData("DP_1","003N8EMH8GTFRCSWKMPXRR8GU","GSON2117410006")</f>
        <v>#NAME?</v>
      </c>
      <c r="D2833" s="23" t="e">
        <f ca="1">[1]!BexGetData("DP_1","003N8EMH8GTFRCSWKMPXRRESE","GSON2117410006")</f>
        <v>#NAME?</v>
      </c>
      <c r="E2833" s="28" t="e">
        <f ca="1">[1]!BexGetData("DP_1","003N8EMH8GTFRCSWKMPXRRL3Y","GSON2117410006")</f>
        <v>#NAME?</v>
      </c>
      <c r="F2833" s="24" t="e">
        <f ca="1">[1]!BexGetData("DP_1","003N8EMH8GTFRCSWKMPXRRRFI","GSON2117410006")</f>
        <v>#NAME?</v>
      </c>
      <c r="G2833" s="24" t="e">
        <f ca="1">[1]!BexGetData("DP_1","003N8EMH8GTFRCSWKMPXRRXR2","GSON2117410006")</f>
        <v>#NAME?</v>
      </c>
      <c r="H2833" s="24" t="e">
        <f ca="1">[1]!BexGetData("DP_1","003N8EMH8GTFRCSWKMPXRS42M","GSON2117410006")</f>
        <v>#NAME?</v>
      </c>
      <c r="I2833" s="24" t="e">
        <f ca="1">[1]!BexGetData("DP_1","003N8EMH8GTFRCSWKMPXRSAE6","GSON2117410006")</f>
        <v>#NAME?</v>
      </c>
      <c r="J2833" s="24" t="e">
        <f ca="1">[1]!BexGetData("DP_1","003N8EMH8GTFRCSWKMPXRSGPQ","GSON2117410006")</f>
        <v>#NAME?</v>
      </c>
      <c r="K2833" s="28" t="e">
        <f ca="1">[1]!BexGetData("DP_1","003N8EMH8GTFRIVNUPY288VJH","GSON2117410006")</f>
        <v>#NAME?</v>
      </c>
      <c r="L2833" s="28" t="e">
        <f ca="1">[1]!BexGetData("DP_1","003N8EMH8GTFRIVNUPY2891V1","GSON2117410006")</f>
        <v>#NAME?</v>
      </c>
      <c r="M2833" s="28" t="e">
        <f ca="1">[1]!BexGetData("DP_1","003N8EMH8GTFRIVOG7KG9IQXA","GSON2117410006")</f>
        <v>#NAME?</v>
      </c>
      <c r="N2833" s="28" t="e">
        <f ca="1">[1]!BexGetData("DP_1","003N8EMH8GTFRIVOG7KG9IX8U","GSON2117410006")</f>
        <v>#NAME?</v>
      </c>
      <c r="O2833" s="28" t="e">
        <f ca="1">[1]!BexGetData("DP_1","003N8EMH8GTFRIVOG7KG9J3KE","GSON2117410006")</f>
        <v>#NAME?</v>
      </c>
      <c r="P2833" s="28" t="e">
        <f ca="1">[1]!BexGetData("DP_1","003N8EMH8GTFRIVOG7KG9J9VY","GSON2117410006")</f>
        <v>#NAME?</v>
      </c>
      <c r="Q2833" s="24" t="e">
        <f ca="1">[1]!BexGetData("DP_1","00O2TNJGODT0G5Z4TTKYMM5MT","GSON2117410006")</f>
        <v>#NAME?</v>
      </c>
      <c r="R2833" s="24" t="e">
        <f ca="1">[1]!BexGetData("DP_1","00O2TNJGODT0G5Z4TTKYMMBYD","GSON2117410006")</f>
        <v>#NAME?</v>
      </c>
      <c r="S2833" s="24" t="e">
        <f ca="1">[1]!BexGetData("DP_1","00O2TNJGODT0G5Z4TTKYMMI9X","GSON2117410006")</f>
        <v>#NAME?</v>
      </c>
      <c r="T2833" s="24" t="e">
        <f ca="1">[1]!BexGetData("DP_1","00O2TNJGODT0G5Z4TTKYMMOLH","GSON2117410006")</f>
        <v>#NAME?</v>
      </c>
      <c r="U2833" s="24" t="e">
        <f ca="1">[1]!BexGetData("DP_1","00O2TNJGODT0G5Z4TTKYMMUX1","GSON2117410006")</f>
        <v>#NAME?</v>
      </c>
      <c r="V2833" s="24" t="e">
        <f ca="1">[1]!BexGetData("DP_1","00O2TNJGODT0G5Z4TTKYMN18L","GSON2117410006")</f>
        <v>#NAME?</v>
      </c>
      <c r="W2833" s="24" t="e">
        <f ca="1">[1]!BexGetData("DP_1","00O2TNJGODT0G5Z4TTKYMN7K5","GSON2117410006")</f>
        <v>#NAME?</v>
      </c>
    </row>
    <row r="2834" spans="1:23" x14ac:dyDescent="0.2">
      <c r="A2834" s="37" t="s">
        <v>359</v>
      </c>
      <c r="B2834" s="27" t="s">
        <v>360</v>
      </c>
      <c r="C2834" s="23" t="e">
        <f ca="1">[1]!BexGetData("DP_1","003N8EMH8GTFRCSWKMPXRR8GU","GSON2117420001")</f>
        <v>#NAME?</v>
      </c>
      <c r="D2834" s="23" t="e">
        <f ca="1">[1]!BexGetData("DP_1","003N8EMH8GTFRCSWKMPXRRESE","GSON2117420001")</f>
        <v>#NAME?</v>
      </c>
      <c r="E2834" s="23" t="e">
        <f ca="1">[1]!BexGetData("DP_1","003N8EMH8GTFRCSWKMPXRRL3Y","GSON2117420001")</f>
        <v>#NAME?</v>
      </c>
      <c r="F2834" s="28" t="e">
        <f ca="1">[1]!BexGetData("DP_1","003N8EMH8GTFRCSWKMPXRRRFI","GSON2117420001")</f>
        <v>#NAME?</v>
      </c>
      <c r="G2834" s="23" t="e">
        <f ca="1">[1]!BexGetData("DP_1","003N8EMH8GTFRCSWKMPXRRXR2","GSON2117420001")</f>
        <v>#NAME?</v>
      </c>
      <c r="H2834" s="23" t="e">
        <f ca="1">[1]!BexGetData("DP_1","003N8EMH8GTFRCSWKMPXRS42M","GSON2117420001")</f>
        <v>#NAME?</v>
      </c>
      <c r="I2834" s="28" t="e">
        <f ca="1">[1]!BexGetData("DP_1","003N8EMH8GTFRCSWKMPXRSAE6","GSON2117420001")</f>
        <v>#NAME?</v>
      </c>
      <c r="J2834" s="24" t="e">
        <f ca="1">[1]!BexGetData("DP_1","003N8EMH8GTFRCSWKMPXRSGPQ","GSON2117420001")</f>
        <v>#NAME?</v>
      </c>
      <c r="K2834" s="23" t="e">
        <f ca="1">[1]!BexGetData("DP_1","003N8EMH8GTFRIVNUPY288VJH","GSON2117420001")</f>
        <v>#NAME?</v>
      </c>
      <c r="L2834" s="23" t="e">
        <f ca="1">[1]!BexGetData("DP_1","003N8EMH8GTFRIVNUPY2891V1","GSON2117420001")</f>
        <v>#NAME?</v>
      </c>
      <c r="M2834" s="23" t="e">
        <f ca="1">[1]!BexGetData("DP_1","003N8EMH8GTFRIVOG7KG9IQXA","GSON2117420001")</f>
        <v>#NAME?</v>
      </c>
      <c r="N2834" s="28" t="e">
        <f ca="1">[1]!BexGetData("DP_1","003N8EMH8GTFRIVOG7KG9IX8U","GSON2117420001")</f>
        <v>#NAME?</v>
      </c>
      <c r="O2834" s="23" t="e">
        <f ca="1">[1]!BexGetData("DP_1","003N8EMH8GTFRIVOG7KG9J3KE","GSON2117420001")</f>
        <v>#NAME?</v>
      </c>
      <c r="P2834" s="28" t="e">
        <f ca="1">[1]!BexGetData("DP_1","003N8EMH8GTFRIVOG7KG9J9VY","GSON2117420001")</f>
        <v>#NAME?</v>
      </c>
      <c r="Q2834" s="24" t="e">
        <f ca="1">[1]!BexGetData("DP_1","00O2TNJGODT0G5Z4TTKYMM5MT","GSON2117420001")</f>
        <v>#NAME?</v>
      </c>
      <c r="R2834" s="28" t="e">
        <f ca="1">[1]!BexGetData("DP_1","00O2TNJGODT0G5Z4TTKYMMBYD","GSON2117420001")</f>
        <v>#NAME?</v>
      </c>
      <c r="S2834" s="28" t="e">
        <f ca="1">[1]!BexGetData("DP_1","00O2TNJGODT0G5Z4TTKYMMI9X","GSON2117420001")</f>
        <v>#NAME?</v>
      </c>
      <c r="T2834" s="28" t="e">
        <f ca="1">[1]!BexGetData("DP_1","00O2TNJGODT0G5Z4TTKYMMOLH","GSON2117420001")</f>
        <v>#NAME?</v>
      </c>
      <c r="U2834" s="28" t="e">
        <f ca="1">[1]!BexGetData("DP_1","00O2TNJGODT0G5Z4TTKYMMUX1","GSON2117420001")</f>
        <v>#NAME?</v>
      </c>
      <c r="V2834" s="28" t="e">
        <f ca="1">[1]!BexGetData("DP_1","00O2TNJGODT0G5Z4TTKYMN18L","GSON2117420001")</f>
        <v>#NAME?</v>
      </c>
      <c r="W2834" s="28" t="e">
        <f ca="1">[1]!BexGetData("DP_1","00O2TNJGODT0G5Z4TTKYMN7K5","GSON2117420001")</f>
        <v>#NAME?</v>
      </c>
    </row>
    <row r="2835" spans="1:23" x14ac:dyDescent="0.2">
      <c r="A2835" s="37" t="s">
        <v>1425</v>
      </c>
      <c r="B2835" s="27" t="s">
        <v>361</v>
      </c>
      <c r="C2835" s="23" t="e">
        <f ca="1">[1]!BexGetData("DP_1","003N8EMH8GTFRCSWKMPXRR8GU","GSON2117420002")</f>
        <v>#NAME?</v>
      </c>
      <c r="D2835" s="23" t="e">
        <f ca="1">[1]!BexGetData("DP_1","003N8EMH8GTFRCSWKMPXRRESE","GSON2117420002")</f>
        <v>#NAME?</v>
      </c>
      <c r="E2835" s="23" t="e">
        <f ca="1">[1]!BexGetData("DP_1","003N8EMH8GTFRCSWKMPXRRL3Y","GSON2117420002")</f>
        <v>#NAME?</v>
      </c>
      <c r="F2835" s="23" t="e">
        <f ca="1">[1]!BexGetData("DP_1","003N8EMH8GTFRCSWKMPXRRRFI","GSON2117420002")</f>
        <v>#NAME?</v>
      </c>
      <c r="G2835" s="23" t="e">
        <f ca="1">[1]!BexGetData("DP_1","003N8EMH8GTFRCSWKMPXRRXR2","GSON2117420002")</f>
        <v>#NAME?</v>
      </c>
      <c r="H2835" s="23" t="e">
        <f ca="1">[1]!BexGetData("DP_1","003N8EMH8GTFRCSWKMPXRS42M","GSON2117420002")</f>
        <v>#NAME?</v>
      </c>
      <c r="I2835" s="23" t="e">
        <f ca="1">[1]!BexGetData("DP_1","003N8EMH8GTFRCSWKMPXRSAE6","GSON2117420002")</f>
        <v>#NAME?</v>
      </c>
      <c r="J2835" s="24" t="e">
        <f ca="1">[1]!BexGetData("DP_1","003N8EMH8GTFRCSWKMPXRSGPQ","GSON2117420002")</f>
        <v>#NAME?</v>
      </c>
      <c r="K2835" s="23" t="e">
        <f ca="1">[1]!BexGetData("DP_1","003N8EMH8GTFRIVNUPY288VJH","GSON2117420002")</f>
        <v>#NAME?</v>
      </c>
      <c r="L2835" s="23" t="e">
        <f ca="1">[1]!BexGetData("DP_1","003N8EMH8GTFRIVNUPY2891V1","GSON2117420002")</f>
        <v>#NAME?</v>
      </c>
      <c r="M2835" s="23" t="e">
        <f ca="1">[1]!BexGetData("DP_1","003N8EMH8GTFRIVOG7KG9IQXA","GSON2117420002")</f>
        <v>#NAME?</v>
      </c>
      <c r="N2835" s="28" t="e">
        <f ca="1">[1]!BexGetData("DP_1","003N8EMH8GTFRIVOG7KG9IX8U","GSON2117420002")</f>
        <v>#NAME?</v>
      </c>
      <c r="O2835" s="23" t="e">
        <f ca="1">[1]!BexGetData("DP_1","003N8EMH8GTFRIVOG7KG9J3KE","GSON2117420002")</f>
        <v>#NAME?</v>
      </c>
      <c r="P2835" s="28" t="e">
        <f ca="1">[1]!BexGetData("DP_1","003N8EMH8GTFRIVOG7KG9J9VY","GSON2117420002")</f>
        <v>#NAME?</v>
      </c>
      <c r="Q2835" s="24" t="e">
        <f ca="1">[1]!BexGetData("DP_1","00O2TNJGODT0G5Z4TTKYMM5MT","GSON2117420002")</f>
        <v>#NAME?</v>
      </c>
      <c r="R2835" s="23" t="e">
        <f ca="1">[1]!BexGetData("DP_1","00O2TNJGODT0G5Z4TTKYMMBYD","GSON2117420002")</f>
        <v>#NAME?</v>
      </c>
      <c r="S2835" s="23" t="e">
        <f ca="1">[1]!BexGetData("DP_1","00O2TNJGODT0G5Z4TTKYMMI9X","GSON2117420002")</f>
        <v>#NAME?</v>
      </c>
      <c r="T2835" s="23" t="e">
        <f ca="1">[1]!BexGetData("DP_1","00O2TNJGODT0G5Z4TTKYMMOLH","GSON2117420002")</f>
        <v>#NAME?</v>
      </c>
      <c r="U2835" s="28" t="e">
        <f ca="1">[1]!BexGetData("DP_1","00O2TNJGODT0G5Z4TTKYMMUX1","GSON2117420002")</f>
        <v>#NAME?</v>
      </c>
      <c r="V2835" s="23" t="e">
        <f ca="1">[1]!BexGetData("DP_1","00O2TNJGODT0G5Z4TTKYMN18L","GSON2117420002")</f>
        <v>#NAME?</v>
      </c>
      <c r="W2835" s="28" t="e">
        <f ca="1">[1]!BexGetData("DP_1","00O2TNJGODT0G5Z4TTKYMN7K5","GSON2117420002")</f>
        <v>#NAME?</v>
      </c>
    </row>
    <row r="2836" spans="1:23" x14ac:dyDescent="0.2">
      <c r="A2836" s="37" t="s">
        <v>362</v>
      </c>
      <c r="B2836" s="27" t="s">
        <v>363</v>
      </c>
      <c r="C2836" s="23" t="e">
        <f ca="1">[1]!BexGetData("DP_1","003N8EMH8GTFRCSWKMPXRR8GU","GSON2117420003")</f>
        <v>#NAME?</v>
      </c>
      <c r="D2836" s="23" t="e">
        <f ca="1">[1]!BexGetData("DP_1","003N8EMH8GTFRCSWKMPXRRESE","GSON2117420003")</f>
        <v>#NAME?</v>
      </c>
      <c r="E2836" s="23" t="e">
        <f ca="1">[1]!BexGetData("DP_1","003N8EMH8GTFRCSWKMPXRRL3Y","GSON2117420003")</f>
        <v>#NAME?</v>
      </c>
      <c r="F2836" s="23" t="e">
        <f ca="1">[1]!BexGetData("DP_1","003N8EMH8GTFRCSWKMPXRRRFI","GSON2117420003")</f>
        <v>#NAME?</v>
      </c>
      <c r="G2836" s="23" t="e">
        <f ca="1">[1]!BexGetData("DP_1","003N8EMH8GTFRCSWKMPXRRXR2","GSON2117420003")</f>
        <v>#NAME?</v>
      </c>
      <c r="H2836" s="23" t="e">
        <f ca="1">[1]!BexGetData("DP_1","003N8EMH8GTFRCSWKMPXRS42M","GSON2117420003")</f>
        <v>#NAME?</v>
      </c>
      <c r="I2836" s="23" t="e">
        <f ca="1">[1]!BexGetData("DP_1","003N8EMH8GTFRCSWKMPXRSAE6","GSON2117420003")</f>
        <v>#NAME?</v>
      </c>
      <c r="J2836" s="24" t="e">
        <f ca="1">[1]!BexGetData("DP_1","003N8EMH8GTFRCSWKMPXRSGPQ","GSON2117420003")</f>
        <v>#NAME?</v>
      </c>
      <c r="K2836" s="23" t="e">
        <f ca="1">[1]!BexGetData("DP_1","003N8EMH8GTFRIVNUPY288VJH","GSON2117420003")</f>
        <v>#NAME?</v>
      </c>
      <c r="L2836" s="23" t="e">
        <f ca="1">[1]!BexGetData("DP_1","003N8EMH8GTFRIVNUPY2891V1","GSON2117420003")</f>
        <v>#NAME?</v>
      </c>
      <c r="M2836" s="23" t="e">
        <f ca="1">[1]!BexGetData("DP_1","003N8EMH8GTFRIVOG7KG9IQXA","GSON2117420003")</f>
        <v>#NAME?</v>
      </c>
      <c r="N2836" s="28" t="e">
        <f ca="1">[1]!BexGetData("DP_1","003N8EMH8GTFRIVOG7KG9IX8U","GSON2117420003")</f>
        <v>#NAME?</v>
      </c>
      <c r="O2836" s="23" t="e">
        <f ca="1">[1]!BexGetData("DP_1","003N8EMH8GTFRIVOG7KG9J3KE","GSON2117420003")</f>
        <v>#NAME?</v>
      </c>
      <c r="P2836" s="28" t="e">
        <f ca="1">[1]!BexGetData("DP_1","003N8EMH8GTFRIVOG7KG9J9VY","GSON2117420003")</f>
        <v>#NAME?</v>
      </c>
      <c r="Q2836" s="24" t="e">
        <f ca="1">[1]!BexGetData("DP_1","00O2TNJGODT0G5Z4TTKYMM5MT","GSON2117420003")</f>
        <v>#NAME?</v>
      </c>
      <c r="R2836" s="23" t="e">
        <f ca="1">[1]!BexGetData("DP_1","00O2TNJGODT0G5Z4TTKYMMBYD","GSON2117420003")</f>
        <v>#NAME?</v>
      </c>
      <c r="S2836" s="23" t="e">
        <f ca="1">[1]!BexGetData("DP_1","00O2TNJGODT0G5Z4TTKYMMI9X","GSON2117420003")</f>
        <v>#NAME?</v>
      </c>
      <c r="T2836" s="23" t="e">
        <f ca="1">[1]!BexGetData("DP_1","00O2TNJGODT0G5Z4TTKYMMOLH","GSON2117420003")</f>
        <v>#NAME?</v>
      </c>
      <c r="U2836" s="28" t="e">
        <f ca="1">[1]!BexGetData("DP_1","00O2TNJGODT0G5Z4TTKYMMUX1","GSON2117420003")</f>
        <v>#NAME?</v>
      </c>
      <c r="V2836" s="23" t="e">
        <f ca="1">[1]!BexGetData("DP_1","00O2TNJGODT0G5Z4TTKYMN18L","GSON2117420003")</f>
        <v>#NAME?</v>
      </c>
      <c r="W2836" s="28" t="e">
        <f ca="1">[1]!BexGetData("DP_1","00O2TNJGODT0G5Z4TTKYMN7K5","GSON2117420003")</f>
        <v>#NAME?</v>
      </c>
    </row>
    <row r="2837" spans="1:23" x14ac:dyDescent="0.2">
      <c r="A2837" s="37" t="s">
        <v>364</v>
      </c>
      <c r="B2837" s="27" t="s">
        <v>365</v>
      </c>
      <c r="C2837" s="23" t="e">
        <f ca="1">[1]!BexGetData("DP_1","003N8EMH8GTFRCSWKMPXRR8GU","GSON2117420004")</f>
        <v>#NAME?</v>
      </c>
      <c r="D2837" s="23" t="e">
        <f ca="1">[1]!BexGetData("DP_1","003N8EMH8GTFRCSWKMPXRRESE","GSON2117420004")</f>
        <v>#NAME?</v>
      </c>
      <c r="E2837" s="23" t="e">
        <f ca="1">[1]!BexGetData("DP_1","003N8EMH8GTFRCSWKMPXRRL3Y","GSON2117420004")</f>
        <v>#NAME?</v>
      </c>
      <c r="F2837" s="23" t="e">
        <f ca="1">[1]!BexGetData("DP_1","003N8EMH8GTFRCSWKMPXRRRFI","GSON2117420004")</f>
        <v>#NAME?</v>
      </c>
      <c r="G2837" s="23" t="e">
        <f ca="1">[1]!BexGetData("DP_1","003N8EMH8GTFRCSWKMPXRRXR2","GSON2117420004")</f>
        <v>#NAME?</v>
      </c>
      <c r="H2837" s="23" t="e">
        <f ca="1">[1]!BexGetData("DP_1","003N8EMH8GTFRCSWKMPXRS42M","GSON2117420004")</f>
        <v>#NAME?</v>
      </c>
      <c r="I2837" s="23" t="e">
        <f ca="1">[1]!BexGetData("DP_1","003N8EMH8GTFRCSWKMPXRSAE6","GSON2117420004")</f>
        <v>#NAME?</v>
      </c>
      <c r="J2837" s="24" t="e">
        <f ca="1">[1]!BexGetData("DP_1","003N8EMH8GTFRCSWKMPXRSGPQ","GSON2117420004")</f>
        <v>#NAME?</v>
      </c>
      <c r="K2837" s="23" t="e">
        <f ca="1">[1]!BexGetData("DP_1","003N8EMH8GTFRIVNUPY288VJH","GSON2117420004")</f>
        <v>#NAME?</v>
      </c>
      <c r="L2837" s="23" t="e">
        <f ca="1">[1]!BexGetData("DP_1","003N8EMH8GTFRIVNUPY2891V1","GSON2117420004")</f>
        <v>#NAME?</v>
      </c>
      <c r="M2837" s="23" t="e">
        <f ca="1">[1]!BexGetData("DP_1","003N8EMH8GTFRIVOG7KG9IQXA","GSON2117420004")</f>
        <v>#NAME?</v>
      </c>
      <c r="N2837" s="28" t="e">
        <f ca="1">[1]!BexGetData("DP_1","003N8EMH8GTFRIVOG7KG9IX8U","GSON2117420004")</f>
        <v>#NAME?</v>
      </c>
      <c r="O2837" s="23" t="e">
        <f ca="1">[1]!BexGetData("DP_1","003N8EMH8GTFRIVOG7KG9J3KE","GSON2117420004")</f>
        <v>#NAME?</v>
      </c>
      <c r="P2837" s="28" t="e">
        <f ca="1">[1]!BexGetData("DP_1","003N8EMH8GTFRIVOG7KG9J9VY","GSON2117420004")</f>
        <v>#NAME?</v>
      </c>
      <c r="Q2837" s="24" t="e">
        <f ca="1">[1]!BexGetData("DP_1","00O2TNJGODT0G5Z4TTKYMM5MT","GSON2117420004")</f>
        <v>#NAME?</v>
      </c>
      <c r="R2837" s="23" t="e">
        <f ca="1">[1]!BexGetData("DP_1","00O2TNJGODT0G5Z4TTKYMMBYD","GSON2117420004")</f>
        <v>#NAME?</v>
      </c>
      <c r="S2837" s="23" t="e">
        <f ca="1">[1]!BexGetData("DP_1","00O2TNJGODT0G5Z4TTKYMMI9X","GSON2117420004")</f>
        <v>#NAME?</v>
      </c>
      <c r="T2837" s="23" t="e">
        <f ca="1">[1]!BexGetData("DP_1","00O2TNJGODT0G5Z4TTKYMMOLH","GSON2117420004")</f>
        <v>#NAME?</v>
      </c>
      <c r="U2837" s="28" t="e">
        <f ca="1">[1]!BexGetData("DP_1","00O2TNJGODT0G5Z4TTKYMMUX1","GSON2117420004")</f>
        <v>#NAME?</v>
      </c>
      <c r="V2837" s="23" t="e">
        <f ca="1">[1]!BexGetData("DP_1","00O2TNJGODT0G5Z4TTKYMN18L","GSON2117420004")</f>
        <v>#NAME?</v>
      </c>
      <c r="W2837" s="28" t="e">
        <f ca="1">[1]!BexGetData("DP_1","00O2TNJGODT0G5Z4TTKYMN7K5","GSON2117420004")</f>
        <v>#NAME?</v>
      </c>
    </row>
    <row r="2838" spans="1:23" x14ac:dyDescent="0.2">
      <c r="A2838" s="37" t="s">
        <v>6214</v>
      </c>
      <c r="B2838" s="27" t="s">
        <v>6215</v>
      </c>
      <c r="C2838" s="23" t="e">
        <f ca="1">[1]!BexGetData("DP_1","003N8EMH8GTFRCSWKMPXRR8GU","GSON2117420006")</f>
        <v>#NAME?</v>
      </c>
      <c r="D2838" s="23" t="e">
        <f ca="1">[1]!BexGetData("DP_1","003N8EMH8GTFRCSWKMPXRRESE","GSON2117420006")</f>
        <v>#NAME?</v>
      </c>
      <c r="E2838" s="23" t="e">
        <f ca="1">[1]!BexGetData("DP_1","003N8EMH8GTFRCSWKMPXRRL3Y","GSON2117420006")</f>
        <v>#NAME?</v>
      </c>
      <c r="F2838" s="23" t="e">
        <f ca="1">[1]!BexGetData("DP_1","003N8EMH8GTFRCSWKMPXRRRFI","GSON2117420006")</f>
        <v>#NAME?</v>
      </c>
      <c r="G2838" s="23" t="e">
        <f ca="1">[1]!BexGetData("DP_1","003N8EMH8GTFRCSWKMPXRRXR2","GSON2117420006")</f>
        <v>#NAME?</v>
      </c>
      <c r="H2838" s="23" t="e">
        <f ca="1">[1]!BexGetData("DP_1","003N8EMH8GTFRCSWKMPXRS42M","GSON2117420006")</f>
        <v>#NAME?</v>
      </c>
      <c r="I2838" s="23" t="e">
        <f ca="1">[1]!BexGetData("DP_1","003N8EMH8GTFRCSWKMPXRSAE6","GSON2117420006")</f>
        <v>#NAME?</v>
      </c>
      <c r="J2838" s="24" t="e">
        <f ca="1">[1]!BexGetData("DP_1","003N8EMH8GTFRCSWKMPXRSGPQ","GSON2117420006")</f>
        <v>#NAME?</v>
      </c>
      <c r="K2838" s="23" t="e">
        <f ca="1">[1]!BexGetData("DP_1","003N8EMH8GTFRIVNUPY288VJH","GSON2117420006")</f>
        <v>#NAME?</v>
      </c>
      <c r="L2838" s="23" t="e">
        <f ca="1">[1]!BexGetData("DP_1","003N8EMH8GTFRIVNUPY2891V1","GSON2117420006")</f>
        <v>#NAME?</v>
      </c>
      <c r="M2838" s="23" t="e">
        <f ca="1">[1]!BexGetData("DP_1","003N8EMH8GTFRIVOG7KG9IQXA","GSON2117420006")</f>
        <v>#NAME?</v>
      </c>
      <c r="N2838" s="28" t="e">
        <f ca="1">[1]!BexGetData("DP_1","003N8EMH8GTFRIVOG7KG9IX8U","GSON2117420006")</f>
        <v>#NAME?</v>
      </c>
      <c r="O2838" s="23" t="e">
        <f ca="1">[1]!BexGetData("DP_1","003N8EMH8GTFRIVOG7KG9J3KE","GSON2117420006")</f>
        <v>#NAME?</v>
      </c>
      <c r="P2838" s="28" t="e">
        <f ca="1">[1]!BexGetData("DP_1","003N8EMH8GTFRIVOG7KG9J9VY","GSON2117420006")</f>
        <v>#NAME?</v>
      </c>
      <c r="Q2838" s="24" t="e">
        <f ca="1">[1]!BexGetData("DP_1","00O2TNJGODT0G5Z4TTKYMM5MT","GSON2117420006")</f>
        <v>#NAME?</v>
      </c>
      <c r="R2838" s="23" t="e">
        <f ca="1">[1]!BexGetData("DP_1","00O2TNJGODT0G5Z4TTKYMMBYD","GSON2117420006")</f>
        <v>#NAME?</v>
      </c>
      <c r="S2838" s="23" t="e">
        <f ca="1">[1]!BexGetData("DP_1","00O2TNJGODT0G5Z4TTKYMMI9X","GSON2117420006")</f>
        <v>#NAME?</v>
      </c>
      <c r="T2838" s="23" t="e">
        <f ca="1">[1]!BexGetData("DP_1","00O2TNJGODT0G5Z4TTKYMMOLH","GSON2117420006")</f>
        <v>#NAME?</v>
      </c>
      <c r="U2838" s="28" t="e">
        <f ca="1">[1]!BexGetData("DP_1","00O2TNJGODT0G5Z4TTKYMMUX1","GSON2117420006")</f>
        <v>#NAME?</v>
      </c>
      <c r="V2838" s="23" t="e">
        <f ca="1">[1]!BexGetData("DP_1","00O2TNJGODT0G5Z4TTKYMN18L","GSON2117420006")</f>
        <v>#NAME?</v>
      </c>
      <c r="W2838" s="28" t="e">
        <f ca="1">[1]!BexGetData("DP_1","00O2TNJGODT0G5Z4TTKYMN7K5","GSON2117420006")</f>
        <v>#NAME?</v>
      </c>
    </row>
    <row r="2839" spans="1:23" x14ac:dyDescent="0.2">
      <c r="A2839" s="37" t="s">
        <v>6216</v>
      </c>
      <c r="B2839" s="27" t="s">
        <v>6217</v>
      </c>
      <c r="C2839" s="23" t="e">
        <f ca="1">[1]!BexGetData("DP_1","003N8EMH8GTFRCSWKMPXRR8GU","GSON2117420007")</f>
        <v>#NAME?</v>
      </c>
      <c r="D2839" s="28" t="e">
        <f ca="1">[1]!BexGetData("DP_1","003N8EMH8GTFRCSWKMPXRRESE","GSON2117420007")</f>
        <v>#NAME?</v>
      </c>
      <c r="E2839" s="23" t="e">
        <f ca="1">[1]!BexGetData("DP_1","003N8EMH8GTFRCSWKMPXRRL3Y","GSON2117420007")</f>
        <v>#NAME?</v>
      </c>
      <c r="F2839" s="23" t="e">
        <f ca="1">[1]!BexGetData("DP_1","003N8EMH8GTFRCSWKMPXRRRFI","GSON2117420007")</f>
        <v>#NAME?</v>
      </c>
      <c r="G2839" s="23" t="e">
        <f ca="1">[1]!BexGetData("DP_1","003N8EMH8GTFRCSWKMPXRRXR2","GSON2117420007")</f>
        <v>#NAME?</v>
      </c>
      <c r="H2839" s="23" t="e">
        <f ca="1">[1]!BexGetData("DP_1","003N8EMH8GTFRCSWKMPXRS42M","GSON2117420007")</f>
        <v>#NAME?</v>
      </c>
      <c r="I2839" s="23" t="e">
        <f ca="1">[1]!BexGetData("DP_1","003N8EMH8GTFRCSWKMPXRSAE6","GSON2117420007")</f>
        <v>#NAME?</v>
      </c>
      <c r="J2839" s="23" t="e">
        <f ca="1">[1]!BexGetData("DP_1","003N8EMH8GTFRCSWKMPXRSGPQ","GSON2117420007")</f>
        <v>#NAME?</v>
      </c>
      <c r="K2839" s="23" t="e">
        <f ca="1">[1]!BexGetData("DP_1","003N8EMH8GTFRIVNUPY288VJH","GSON2117420007")</f>
        <v>#NAME?</v>
      </c>
      <c r="L2839" s="23" t="e">
        <f ca="1">[1]!BexGetData("DP_1","003N8EMH8GTFRIVNUPY2891V1","GSON2117420007")</f>
        <v>#NAME?</v>
      </c>
      <c r="M2839" s="28" t="e">
        <f ca="1">[1]!BexGetData("DP_1","003N8EMH8GTFRIVOG7KG9IQXA","GSON2117420007")</f>
        <v>#NAME?</v>
      </c>
      <c r="N2839" s="23" t="e">
        <f ca="1">[1]!BexGetData("DP_1","003N8EMH8GTFRIVOG7KG9IX8U","GSON2117420007")</f>
        <v>#NAME?</v>
      </c>
      <c r="O2839" s="28" t="e">
        <f ca="1">[1]!BexGetData("DP_1","003N8EMH8GTFRIVOG7KG9J3KE","GSON2117420007")</f>
        <v>#NAME?</v>
      </c>
      <c r="P2839" s="23" t="e">
        <f ca="1">[1]!BexGetData("DP_1","003N8EMH8GTFRIVOG7KG9J9VY","GSON2117420007")</f>
        <v>#NAME?</v>
      </c>
      <c r="Q2839" s="23" t="e">
        <f ca="1">[1]!BexGetData("DP_1","00O2TNJGODT0G5Z4TTKYMM5MT","GSON2117420007")</f>
        <v>#NAME?</v>
      </c>
      <c r="R2839" s="23" t="e">
        <f ca="1">[1]!BexGetData("DP_1","00O2TNJGODT0G5Z4TTKYMMBYD","GSON2117420007")</f>
        <v>#NAME?</v>
      </c>
      <c r="S2839" s="23" t="e">
        <f ca="1">[1]!BexGetData("DP_1","00O2TNJGODT0G5Z4TTKYMMI9X","GSON2117420007")</f>
        <v>#NAME?</v>
      </c>
      <c r="T2839" s="28" t="e">
        <f ca="1">[1]!BexGetData("DP_1","00O2TNJGODT0G5Z4TTKYMMOLH","GSON2117420007")</f>
        <v>#NAME?</v>
      </c>
      <c r="U2839" s="23" t="e">
        <f ca="1">[1]!BexGetData("DP_1","00O2TNJGODT0G5Z4TTKYMMUX1","GSON2117420007")</f>
        <v>#NAME?</v>
      </c>
      <c r="V2839" s="28" t="e">
        <f ca="1">[1]!BexGetData("DP_1","00O2TNJGODT0G5Z4TTKYMN18L","GSON2117420007")</f>
        <v>#NAME?</v>
      </c>
      <c r="W2839" s="23" t="e">
        <f ca="1">[1]!BexGetData("DP_1","00O2TNJGODT0G5Z4TTKYMN7K5","GSON2117420007")</f>
        <v>#NAME?</v>
      </c>
    </row>
    <row r="2840" spans="1:23" x14ac:dyDescent="0.2">
      <c r="A2840" s="37" t="s">
        <v>1426</v>
      </c>
      <c r="B2840" s="27" t="s">
        <v>1427</v>
      </c>
      <c r="C2840" s="28" t="e">
        <f ca="1">[1]!BexGetData("DP_1","003N8EMH8GTFRCSWKMPXRR8GU","GSON2117420008")</f>
        <v>#NAME?</v>
      </c>
      <c r="D2840" s="28" t="e">
        <f ca="1">[1]!BexGetData("DP_1","003N8EMH8GTFRCSWKMPXRRESE","GSON2117420008")</f>
        <v>#NAME?</v>
      </c>
      <c r="E2840" s="23" t="e">
        <f ca="1">[1]!BexGetData("DP_1","003N8EMH8GTFRCSWKMPXRRL3Y","GSON2117420008")</f>
        <v>#NAME?</v>
      </c>
      <c r="F2840" s="23" t="e">
        <f ca="1">[1]!BexGetData("DP_1","003N8EMH8GTFRCSWKMPXRRRFI","GSON2117420008")</f>
        <v>#NAME?</v>
      </c>
      <c r="G2840" s="28" t="e">
        <f ca="1">[1]!BexGetData("DP_1","003N8EMH8GTFRCSWKMPXRRXR2","GSON2117420008")</f>
        <v>#NAME?</v>
      </c>
      <c r="H2840" s="23" t="e">
        <f ca="1">[1]!BexGetData("DP_1","003N8EMH8GTFRCSWKMPXRS42M","GSON2117420008")</f>
        <v>#NAME?</v>
      </c>
      <c r="I2840" s="23" t="e">
        <f ca="1">[1]!BexGetData("DP_1","003N8EMH8GTFRCSWKMPXRSAE6","GSON2117420008")</f>
        <v>#NAME?</v>
      </c>
      <c r="J2840" s="24" t="e">
        <f ca="1">[1]!BexGetData("DP_1","003N8EMH8GTFRCSWKMPXRSGPQ","GSON2117420008")</f>
        <v>#NAME?</v>
      </c>
      <c r="K2840" s="28" t="e">
        <f ca="1">[1]!BexGetData("DP_1","003N8EMH8GTFRIVNUPY288VJH","GSON2117420008")</f>
        <v>#NAME?</v>
      </c>
      <c r="L2840" s="28" t="e">
        <f ca="1">[1]!BexGetData("DP_1","003N8EMH8GTFRIVNUPY2891V1","GSON2117420008")</f>
        <v>#NAME?</v>
      </c>
      <c r="M2840" s="28" t="e">
        <f ca="1">[1]!BexGetData("DP_1","003N8EMH8GTFRIVOG7KG9IQXA","GSON2117420008")</f>
        <v>#NAME?</v>
      </c>
      <c r="N2840" s="28" t="e">
        <f ca="1">[1]!BexGetData("DP_1","003N8EMH8GTFRIVOG7KG9IX8U","GSON2117420008")</f>
        <v>#NAME?</v>
      </c>
      <c r="O2840" s="28" t="e">
        <f ca="1">[1]!BexGetData("DP_1","003N8EMH8GTFRIVOG7KG9J3KE","GSON2117420008")</f>
        <v>#NAME?</v>
      </c>
      <c r="P2840" s="28" t="e">
        <f ca="1">[1]!BexGetData("DP_1","003N8EMH8GTFRIVOG7KG9J9VY","GSON2117420008")</f>
        <v>#NAME?</v>
      </c>
      <c r="Q2840" s="24" t="e">
        <f ca="1">[1]!BexGetData("DP_1","00O2TNJGODT0G5Z4TTKYMM5MT","GSON2117420008")</f>
        <v>#NAME?</v>
      </c>
      <c r="R2840" s="23" t="e">
        <f ca="1">[1]!BexGetData("DP_1","00O2TNJGODT0G5Z4TTKYMMBYD","GSON2117420008")</f>
        <v>#NAME?</v>
      </c>
      <c r="S2840" s="23" t="e">
        <f ca="1">[1]!BexGetData("DP_1","00O2TNJGODT0G5Z4TTKYMMI9X","GSON2117420008")</f>
        <v>#NAME?</v>
      </c>
      <c r="T2840" s="23" t="e">
        <f ca="1">[1]!BexGetData("DP_1","00O2TNJGODT0G5Z4TTKYMMOLH","GSON2117420008")</f>
        <v>#NAME?</v>
      </c>
      <c r="U2840" s="28" t="e">
        <f ca="1">[1]!BexGetData("DP_1","00O2TNJGODT0G5Z4TTKYMMUX1","GSON2117420008")</f>
        <v>#NAME?</v>
      </c>
      <c r="V2840" s="23" t="e">
        <f ca="1">[1]!BexGetData("DP_1","00O2TNJGODT0G5Z4TTKYMN18L","GSON2117420008")</f>
        <v>#NAME?</v>
      </c>
      <c r="W2840" s="28" t="e">
        <f ca="1">[1]!BexGetData("DP_1","00O2TNJGODT0G5Z4TTKYMN7K5","GSON2117420008")</f>
        <v>#NAME?</v>
      </c>
    </row>
    <row r="2841" spans="1:23" x14ac:dyDescent="0.2">
      <c r="A2841" s="37" t="s">
        <v>359</v>
      </c>
      <c r="B2841" s="27" t="s">
        <v>1731</v>
      </c>
      <c r="C2841" s="23" t="e">
        <f ca="1">[1]!BexGetData("DP_1","003N8EMH8GTFRCSWKMPXRR8GU","GSON2117420009")</f>
        <v>#NAME?</v>
      </c>
      <c r="D2841" s="23" t="e">
        <f ca="1">[1]!BexGetData("DP_1","003N8EMH8GTFRCSWKMPXRRESE","GSON2117420009")</f>
        <v>#NAME?</v>
      </c>
      <c r="E2841" s="28" t="e">
        <f ca="1">[1]!BexGetData("DP_1","003N8EMH8GTFRCSWKMPXRRL3Y","GSON2117420009")</f>
        <v>#NAME?</v>
      </c>
      <c r="F2841" s="24" t="e">
        <f ca="1">[1]!BexGetData("DP_1","003N8EMH8GTFRCSWKMPXRRRFI","GSON2117420009")</f>
        <v>#NAME?</v>
      </c>
      <c r="G2841" s="24" t="e">
        <f ca="1">[1]!BexGetData("DP_1","003N8EMH8GTFRCSWKMPXRRXR2","GSON2117420009")</f>
        <v>#NAME?</v>
      </c>
      <c r="H2841" s="24" t="e">
        <f ca="1">[1]!BexGetData("DP_1","003N8EMH8GTFRCSWKMPXRS42M","GSON2117420009")</f>
        <v>#NAME?</v>
      </c>
      <c r="I2841" s="24" t="e">
        <f ca="1">[1]!BexGetData("DP_1","003N8EMH8GTFRCSWKMPXRSAE6","GSON2117420009")</f>
        <v>#NAME?</v>
      </c>
      <c r="J2841" s="24" t="e">
        <f ca="1">[1]!BexGetData("DP_1","003N8EMH8GTFRCSWKMPXRSGPQ","GSON2117420009")</f>
        <v>#NAME?</v>
      </c>
      <c r="K2841" s="28" t="e">
        <f ca="1">[1]!BexGetData("DP_1","003N8EMH8GTFRIVNUPY288VJH","GSON2117420009")</f>
        <v>#NAME?</v>
      </c>
      <c r="L2841" s="28" t="e">
        <f ca="1">[1]!BexGetData("DP_1","003N8EMH8GTFRIVNUPY2891V1","GSON2117420009")</f>
        <v>#NAME?</v>
      </c>
      <c r="M2841" s="28" t="e">
        <f ca="1">[1]!BexGetData("DP_1","003N8EMH8GTFRIVOG7KG9IQXA","GSON2117420009")</f>
        <v>#NAME?</v>
      </c>
      <c r="N2841" s="28" t="e">
        <f ca="1">[1]!BexGetData("DP_1","003N8EMH8GTFRIVOG7KG9IX8U","GSON2117420009")</f>
        <v>#NAME?</v>
      </c>
      <c r="O2841" s="28" t="e">
        <f ca="1">[1]!BexGetData("DP_1","003N8EMH8GTFRIVOG7KG9J3KE","GSON2117420009")</f>
        <v>#NAME?</v>
      </c>
      <c r="P2841" s="28" t="e">
        <f ca="1">[1]!BexGetData("DP_1","003N8EMH8GTFRIVOG7KG9J9VY","GSON2117420009")</f>
        <v>#NAME?</v>
      </c>
      <c r="Q2841" s="24" t="e">
        <f ca="1">[1]!BexGetData("DP_1","00O2TNJGODT0G5Z4TTKYMM5MT","GSON2117420009")</f>
        <v>#NAME?</v>
      </c>
      <c r="R2841" s="24" t="e">
        <f ca="1">[1]!BexGetData("DP_1","00O2TNJGODT0G5Z4TTKYMMBYD","GSON2117420009")</f>
        <v>#NAME?</v>
      </c>
      <c r="S2841" s="24" t="e">
        <f ca="1">[1]!BexGetData("DP_1","00O2TNJGODT0G5Z4TTKYMMI9X","GSON2117420009")</f>
        <v>#NAME?</v>
      </c>
      <c r="T2841" s="24" t="e">
        <f ca="1">[1]!BexGetData("DP_1","00O2TNJGODT0G5Z4TTKYMMOLH","GSON2117420009")</f>
        <v>#NAME?</v>
      </c>
      <c r="U2841" s="24" t="e">
        <f ca="1">[1]!BexGetData("DP_1","00O2TNJGODT0G5Z4TTKYMMUX1","GSON2117420009")</f>
        <v>#NAME?</v>
      </c>
      <c r="V2841" s="24" t="e">
        <f ca="1">[1]!BexGetData("DP_1","00O2TNJGODT0G5Z4TTKYMN18L","GSON2117420009")</f>
        <v>#NAME?</v>
      </c>
      <c r="W2841" s="24" t="e">
        <f ca="1">[1]!BexGetData("DP_1","00O2TNJGODT0G5Z4TTKYMN7K5","GSON2117420009")</f>
        <v>#NAME?</v>
      </c>
    </row>
    <row r="2842" spans="1:23" x14ac:dyDescent="0.2">
      <c r="A2842" s="37" t="s">
        <v>1425</v>
      </c>
      <c r="B2842" s="27" t="s">
        <v>6218</v>
      </c>
      <c r="C2842" s="23" t="e">
        <f ca="1">[1]!BexGetData("DP_1","003N8EMH8GTFRCSWKMPXRR8GU","GSON2117420010")</f>
        <v>#NAME?</v>
      </c>
      <c r="D2842" s="23" t="e">
        <f ca="1">[1]!BexGetData("DP_1","003N8EMH8GTFRCSWKMPXRRESE","GSON2117420010")</f>
        <v>#NAME?</v>
      </c>
      <c r="E2842" s="28" t="e">
        <f ca="1">[1]!BexGetData("DP_1","003N8EMH8GTFRCSWKMPXRRL3Y","GSON2117420010")</f>
        <v>#NAME?</v>
      </c>
      <c r="F2842" s="24" t="e">
        <f ca="1">[1]!BexGetData("DP_1","003N8EMH8GTFRCSWKMPXRRRFI","GSON2117420010")</f>
        <v>#NAME?</v>
      </c>
      <c r="G2842" s="24" t="e">
        <f ca="1">[1]!BexGetData("DP_1","003N8EMH8GTFRCSWKMPXRRXR2","GSON2117420010")</f>
        <v>#NAME?</v>
      </c>
      <c r="H2842" s="24" t="e">
        <f ca="1">[1]!BexGetData("DP_1","003N8EMH8GTFRCSWKMPXRS42M","GSON2117420010")</f>
        <v>#NAME?</v>
      </c>
      <c r="I2842" s="24" t="e">
        <f ca="1">[1]!BexGetData("DP_1","003N8EMH8GTFRCSWKMPXRSAE6","GSON2117420010")</f>
        <v>#NAME?</v>
      </c>
      <c r="J2842" s="24" t="e">
        <f ca="1">[1]!BexGetData("DP_1","003N8EMH8GTFRCSWKMPXRSGPQ","GSON2117420010")</f>
        <v>#NAME?</v>
      </c>
      <c r="K2842" s="28" t="e">
        <f ca="1">[1]!BexGetData("DP_1","003N8EMH8GTFRIVNUPY288VJH","GSON2117420010")</f>
        <v>#NAME?</v>
      </c>
      <c r="L2842" s="28" t="e">
        <f ca="1">[1]!BexGetData("DP_1","003N8EMH8GTFRIVNUPY2891V1","GSON2117420010")</f>
        <v>#NAME?</v>
      </c>
      <c r="M2842" s="28" t="e">
        <f ca="1">[1]!BexGetData("DP_1","003N8EMH8GTFRIVOG7KG9IQXA","GSON2117420010")</f>
        <v>#NAME?</v>
      </c>
      <c r="N2842" s="28" t="e">
        <f ca="1">[1]!BexGetData("DP_1","003N8EMH8GTFRIVOG7KG9IX8U","GSON2117420010")</f>
        <v>#NAME?</v>
      </c>
      <c r="O2842" s="28" t="e">
        <f ca="1">[1]!BexGetData("DP_1","003N8EMH8GTFRIVOG7KG9J3KE","GSON2117420010")</f>
        <v>#NAME?</v>
      </c>
      <c r="P2842" s="28" t="e">
        <f ca="1">[1]!BexGetData("DP_1","003N8EMH8GTFRIVOG7KG9J9VY","GSON2117420010")</f>
        <v>#NAME?</v>
      </c>
      <c r="Q2842" s="24" t="e">
        <f ca="1">[1]!BexGetData("DP_1","00O2TNJGODT0G5Z4TTKYMM5MT","GSON2117420010")</f>
        <v>#NAME?</v>
      </c>
      <c r="R2842" s="24" t="e">
        <f ca="1">[1]!BexGetData("DP_1","00O2TNJGODT0G5Z4TTKYMMBYD","GSON2117420010")</f>
        <v>#NAME?</v>
      </c>
      <c r="S2842" s="24" t="e">
        <f ca="1">[1]!BexGetData("DP_1","00O2TNJGODT0G5Z4TTKYMMI9X","GSON2117420010")</f>
        <v>#NAME?</v>
      </c>
      <c r="T2842" s="24" t="e">
        <f ca="1">[1]!BexGetData("DP_1","00O2TNJGODT0G5Z4TTKYMMOLH","GSON2117420010")</f>
        <v>#NAME?</v>
      </c>
      <c r="U2842" s="24" t="e">
        <f ca="1">[1]!BexGetData("DP_1","00O2TNJGODT0G5Z4TTKYMMUX1","GSON2117420010")</f>
        <v>#NAME?</v>
      </c>
      <c r="V2842" s="24" t="e">
        <f ca="1">[1]!BexGetData("DP_1","00O2TNJGODT0G5Z4TTKYMN18L","GSON2117420010")</f>
        <v>#NAME?</v>
      </c>
      <c r="W2842" s="24" t="e">
        <f ca="1">[1]!BexGetData("DP_1","00O2TNJGODT0G5Z4TTKYMN7K5","GSON2117420010")</f>
        <v>#NAME?</v>
      </c>
    </row>
    <row r="2843" spans="1:23" x14ac:dyDescent="0.2">
      <c r="A2843" s="37" t="s">
        <v>362</v>
      </c>
      <c r="B2843" s="27" t="s">
        <v>6219</v>
      </c>
      <c r="C2843" s="23" t="e">
        <f ca="1">[1]!BexGetData("DP_1","003N8EMH8GTFRCSWKMPXRR8GU","GSON2117420011")</f>
        <v>#NAME?</v>
      </c>
      <c r="D2843" s="23" t="e">
        <f ca="1">[1]!BexGetData("DP_1","003N8EMH8GTFRCSWKMPXRRESE","GSON2117420011")</f>
        <v>#NAME?</v>
      </c>
      <c r="E2843" s="28" t="e">
        <f ca="1">[1]!BexGetData("DP_1","003N8EMH8GTFRCSWKMPXRRL3Y","GSON2117420011")</f>
        <v>#NAME?</v>
      </c>
      <c r="F2843" s="24" t="e">
        <f ca="1">[1]!BexGetData("DP_1","003N8EMH8GTFRCSWKMPXRRRFI","GSON2117420011")</f>
        <v>#NAME?</v>
      </c>
      <c r="G2843" s="24" t="e">
        <f ca="1">[1]!BexGetData("DP_1","003N8EMH8GTFRCSWKMPXRRXR2","GSON2117420011")</f>
        <v>#NAME?</v>
      </c>
      <c r="H2843" s="24" t="e">
        <f ca="1">[1]!BexGetData("DP_1","003N8EMH8GTFRCSWKMPXRS42M","GSON2117420011")</f>
        <v>#NAME?</v>
      </c>
      <c r="I2843" s="24" t="e">
        <f ca="1">[1]!BexGetData("DP_1","003N8EMH8GTFRCSWKMPXRSAE6","GSON2117420011")</f>
        <v>#NAME?</v>
      </c>
      <c r="J2843" s="24" t="e">
        <f ca="1">[1]!BexGetData("DP_1","003N8EMH8GTFRCSWKMPXRSGPQ","GSON2117420011")</f>
        <v>#NAME?</v>
      </c>
      <c r="K2843" s="28" t="e">
        <f ca="1">[1]!BexGetData("DP_1","003N8EMH8GTFRIVNUPY288VJH","GSON2117420011")</f>
        <v>#NAME?</v>
      </c>
      <c r="L2843" s="28" t="e">
        <f ca="1">[1]!BexGetData("DP_1","003N8EMH8GTFRIVNUPY2891V1","GSON2117420011")</f>
        <v>#NAME?</v>
      </c>
      <c r="M2843" s="28" t="e">
        <f ca="1">[1]!BexGetData("DP_1","003N8EMH8GTFRIVOG7KG9IQXA","GSON2117420011")</f>
        <v>#NAME?</v>
      </c>
      <c r="N2843" s="28" t="e">
        <f ca="1">[1]!BexGetData("DP_1","003N8EMH8GTFRIVOG7KG9IX8U","GSON2117420011")</f>
        <v>#NAME?</v>
      </c>
      <c r="O2843" s="28" t="e">
        <f ca="1">[1]!BexGetData("DP_1","003N8EMH8GTFRIVOG7KG9J3KE","GSON2117420011")</f>
        <v>#NAME?</v>
      </c>
      <c r="P2843" s="28" t="e">
        <f ca="1">[1]!BexGetData("DP_1","003N8EMH8GTFRIVOG7KG9J9VY","GSON2117420011")</f>
        <v>#NAME?</v>
      </c>
      <c r="Q2843" s="24" t="e">
        <f ca="1">[1]!BexGetData("DP_1","00O2TNJGODT0G5Z4TTKYMM5MT","GSON2117420011")</f>
        <v>#NAME?</v>
      </c>
      <c r="R2843" s="24" t="e">
        <f ca="1">[1]!BexGetData("DP_1","00O2TNJGODT0G5Z4TTKYMMBYD","GSON2117420011")</f>
        <v>#NAME?</v>
      </c>
      <c r="S2843" s="24" t="e">
        <f ca="1">[1]!BexGetData("DP_1","00O2TNJGODT0G5Z4TTKYMMI9X","GSON2117420011")</f>
        <v>#NAME?</v>
      </c>
      <c r="T2843" s="24" t="e">
        <f ca="1">[1]!BexGetData("DP_1","00O2TNJGODT0G5Z4TTKYMMOLH","GSON2117420011")</f>
        <v>#NAME?</v>
      </c>
      <c r="U2843" s="24" t="e">
        <f ca="1">[1]!BexGetData("DP_1","00O2TNJGODT0G5Z4TTKYMMUX1","GSON2117420011")</f>
        <v>#NAME?</v>
      </c>
      <c r="V2843" s="24" t="e">
        <f ca="1">[1]!BexGetData("DP_1","00O2TNJGODT0G5Z4TTKYMN18L","GSON2117420011")</f>
        <v>#NAME?</v>
      </c>
      <c r="W2843" s="24" t="e">
        <f ca="1">[1]!BexGetData("DP_1","00O2TNJGODT0G5Z4TTKYMN7K5","GSON2117420011")</f>
        <v>#NAME?</v>
      </c>
    </row>
    <row r="2844" spans="1:23" x14ac:dyDescent="0.2">
      <c r="A2844" s="37" t="s">
        <v>364</v>
      </c>
      <c r="B2844" s="27" t="s">
        <v>6220</v>
      </c>
      <c r="C2844" s="23" t="e">
        <f ca="1">[1]!BexGetData("DP_1","003N8EMH8GTFRCSWKMPXRR8GU","GSON2117420012")</f>
        <v>#NAME?</v>
      </c>
      <c r="D2844" s="23" t="e">
        <f ca="1">[1]!BexGetData("DP_1","003N8EMH8GTFRCSWKMPXRRESE","GSON2117420012")</f>
        <v>#NAME?</v>
      </c>
      <c r="E2844" s="28" t="e">
        <f ca="1">[1]!BexGetData("DP_1","003N8EMH8GTFRCSWKMPXRRL3Y","GSON2117420012")</f>
        <v>#NAME?</v>
      </c>
      <c r="F2844" s="24" t="e">
        <f ca="1">[1]!BexGetData("DP_1","003N8EMH8GTFRCSWKMPXRRRFI","GSON2117420012")</f>
        <v>#NAME?</v>
      </c>
      <c r="G2844" s="24" t="e">
        <f ca="1">[1]!BexGetData("DP_1","003N8EMH8GTFRCSWKMPXRRXR2","GSON2117420012")</f>
        <v>#NAME?</v>
      </c>
      <c r="H2844" s="24" t="e">
        <f ca="1">[1]!BexGetData("DP_1","003N8EMH8GTFRCSWKMPXRS42M","GSON2117420012")</f>
        <v>#NAME?</v>
      </c>
      <c r="I2844" s="24" t="e">
        <f ca="1">[1]!BexGetData("DP_1","003N8EMH8GTFRCSWKMPXRSAE6","GSON2117420012")</f>
        <v>#NAME?</v>
      </c>
      <c r="J2844" s="24" t="e">
        <f ca="1">[1]!BexGetData("DP_1","003N8EMH8GTFRCSWKMPXRSGPQ","GSON2117420012")</f>
        <v>#NAME?</v>
      </c>
      <c r="K2844" s="28" t="e">
        <f ca="1">[1]!BexGetData("DP_1","003N8EMH8GTFRIVNUPY288VJH","GSON2117420012")</f>
        <v>#NAME?</v>
      </c>
      <c r="L2844" s="28" t="e">
        <f ca="1">[1]!BexGetData("DP_1","003N8EMH8GTFRIVNUPY2891V1","GSON2117420012")</f>
        <v>#NAME?</v>
      </c>
      <c r="M2844" s="28" t="e">
        <f ca="1">[1]!BexGetData("DP_1","003N8EMH8GTFRIVOG7KG9IQXA","GSON2117420012")</f>
        <v>#NAME?</v>
      </c>
      <c r="N2844" s="28" t="e">
        <f ca="1">[1]!BexGetData("DP_1","003N8EMH8GTFRIVOG7KG9IX8U","GSON2117420012")</f>
        <v>#NAME?</v>
      </c>
      <c r="O2844" s="28" t="e">
        <f ca="1">[1]!BexGetData("DP_1","003N8EMH8GTFRIVOG7KG9J3KE","GSON2117420012")</f>
        <v>#NAME?</v>
      </c>
      <c r="P2844" s="28" t="e">
        <f ca="1">[1]!BexGetData("DP_1","003N8EMH8GTFRIVOG7KG9J9VY","GSON2117420012")</f>
        <v>#NAME?</v>
      </c>
      <c r="Q2844" s="24" t="e">
        <f ca="1">[1]!BexGetData("DP_1","00O2TNJGODT0G5Z4TTKYMM5MT","GSON2117420012")</f>
        <v>#NAME?</v>
      </c>
      <c r="R2844" s="24" t="e">
        <f ca="1">[1]!BexGetData("DP_1","00O2TNJGODT0G5Z4TTKYMMBYD","GSON2117420012")</f>
        <v>#NAME?</v>
      </c>
      <c r="S2844" s="24" t="e">
        <f ca="1">[1]!BexGetData("DP_1","00O2TNJGODT0G5Z4TTKYMMI9X","GSON2117420012")</f>
        <v>#NAME?</v>
      </c>
      <c r="T2844" s="24" t="e">
        <f ca="1">[1]!BexGetData("DP_1","00O2TNJGODT0G5Z4TTKYMMOLH","GSON2117420012")</f>
        <v>#NAME?</v>
      </c>
      <c r="U2844" s="24" t="e">
        <f ca="1">[1]!BexGetData("DP_1","00O2TNJGODT0G5Z4TTKYMMUX1","GSON2117420012")</f>
        <v>#NAME?</v>
      </c>
      <c r="V2844" s="24" t="e">
        <f ca="1">[1]!BexGetData("DP_1","00O2TNJGODT0G5Z4TTKYMN18L","GSON2117420012")</f>
        <v>#NAME?</v>
      </c>
      <c r="W2844" s="24" t="e">
        <f ca="1">[1]!BexGetData("DP_1","00O2TNJGODT0G5Z4TTKYMN7K5","GSON2117420012")</f>
        <v>#NAME?</v>
      </c>
    </row>
    <row r="2845" spans="1:23" x14ac:dyDescent="0.2">
      <c r="A2845" s="37" t="s">
        <v>6221</v>
      </c>
      <c r="B2845" s="27" t="s">
        <v>6222</v>
      </c>
      <c r="C2845" s="28" t="e">
        <f ca="1">[1]!BexGetData("DP_1","003N8EMH8GTFRCSWKMPXRR8GU","GSON2117420013")</f>
        <v>#NAME?</v>
      </c>
      <c r="D2845" s="23" t="e">
        <f ca="1">[1]!BexGetData("DP_1","003N8EMH8GTFRCSWKMPXRRESE","GSON2117420013")</f>
        <v>#NAME?</v>
      </c>
      <c r="E2845" s="23" t="e">
        <f ca="1">[1]!BexGetData("DP_1","003N8EMH8GTFRCSWKMPXRRL3Y","GSON2117420013")</f>
        <v>#NAME?</v>
      </c>
      <c r="F2845" s="24" t="e">
        <f ca="1">[1]!BexGetData("DP_1","003N8EMH8GTFRCSWKMPXRRRFI","GSON2117420013")</f>
        <v>#NAME?</v>
      </c>
      <c r="G2845" s="24" t="e">
        <f ca="1">[1]!BexGetData("DP_1","003N8EMH8GTFRCSWKMPXRRXR2","GSON2117420013")</f>
        <v>#NAME?</v>
      </c>
      <c r="H2845" s="24" t="e">
        <f ca="1">[1]!BexGetData("DP_1","003N8EMH8GTFRCSWKMPXRS42M","GSON2117420013")</f>
        <v>#NAME?</v>
      </c>
      <c r="I2845" s="24" t="e">
        <f ca="1">[1]!BexGetData("DP_1","003N8EMH8GTFRCSWKMPXRSAE6","GSON2117420013")</f>
        <v>#NAME?</v>
      </c>
      <c r="J2845" s="24" t="e">
        <f ca="1">[1]!BexGetData("DP_1","003N8EMH8GTFRCSWKMPXRSGPQ","GSON2117420013")</f>
        <v>#NAME?</v>
      </c>
      <c r="K2845" s="23" t="e">
        <f ca="1">[1]!BexGetData("DP_1","003N8EMH8GTFRIVNUPY288VJH","GSON2117420013")</f>
        <v>#NAME?</v>
      </c>
      <c r="L2845" s="23" t="e">
        <f ca="1">[1]!BexGetData("DP_1","003N8EMH8GTFRIVNUPY2891V1","GSON2117420013")</f>
        <v>#NAME?</v>
      </c>
      <c r="M2845" s="23" t="e">
        <f ca="1">[1]!BexGetData("DP_1","003N8EMH8GTFRIVOG7KG9IQXA","GSON2117420013")</f>
        <v>#NAME?</v>
      </c>
      <c r="N2845" s="28" t="e">
        <f ca="1">[1]!BexGetData("DP_1","003N8EMH8GTFRIVOG7KG9IX8U","GSON2117420013")</f>
        <v>#NAME?</v>
      </c>
      <c r="O2845" s="23" t="e">
        <f ca="1">[1]!BexGetData("DP_1","003N8EMH8GTFRIVOG7KG9J3KE","GSON2117420013")</f>
        <v>#NAME?</v>
      </c>
      <c r="P2845" s="28" t="e">
        <f ca="1">[1]!BexGetData("DP_1","003N8EMH8GTFRIVOG7KG9J9VY","GSON2117420013")</f>
        <v>#NAME?</v>
      </c>
      <c r="Q2845" s="24" t="e">
        <f ca="1">[1]!BexGetData("DP_1","00O2TNJGODT0G5Z4TTKYMM5MT","GSON2117420013")</f>
        <v>#NAME?</v>
      </c>
      <c r="R2845" s="24" t="e">
        <f ca="1">[1]!BexGetData("DP_1","00O2TNJGODT0G5Z4TTKYMMBYD","GSON2117420013")</f>
        <v>#NAME?</v>
      </c>
      <c r="S2845" s="24" t="e">
        <f ca="1">[1]!BexGetData("DP_1","00O2TNJGODT0G5Z4TTKYMMI9X","GSON2117420013")</f>
        <v>#NAME?</v>
      </c>
      <c r="T2845" s="24" t="e">
        <f ca="1">[1]!BexGetData("DP_1","00O2TNJGODT0G5Z4TTKYMMOLH","GSON2117420013")</f>
        <v>#NAME?</v>
      </c>
      <c r="U2845" s="24" t="e">
        <f ca="1">[1]!BexGetData("DP_1","00O2TNJGODT0G5Z4TTKYMMUX1","GSON2117420013")</f>
        <v>#NAME?</v>
      </c>
      <c r="V2845" s="24" t="e">
        <f ca="1">[1]!BexGetData("DP_1","00O2TNJGODT0G5Z4TTKYMN18L","GSON2117420013")</f>
        <v>#NAME?</v>
      </c>
      <c r="W2845" s="24" t="e">
        <f ca="1">[1]!BexGetData("DP_1","00O2TNJGODT0G5Z4TTKYMN7K5","GSON2117420013")</f>
        <v>#NAME?</v>
      </c>
    </row>
    <row r="2846" spans="1:23" x14ac:dyDescent="0.2">
      <c r="A2846" s="36" t="s">
        <v>1428</v>
      </c>
      <c r="B2846" s="27" t="s">
        <v>1429</v>
      </c>
      <c r="C2846" s="23" t="e">
        <f ca="1">[1]!BexGetData("DP_1","003N8EMH8GTFRCSWKMPXRR8GU","GSON2118")</f>
        <v>#NAME?</v>
      </c>
      <c r="D2846" s="23" t="e">
        <f ca="1">[1]!BexGetData("DP_1","003N8EMH8GTFRCSWKMPXRRESE","GSON2118")</f>
        <v>#NAME?</v>
      </c>
      <c r="E2846" s="23" t="e">
        <f ca="1">[1]!BexGetData("DP_1","003N8EMH8GTFRCSWKMPXRRL3Y","GSON2118")</f>
        <v>#NAME?</v>
      </c>
      <c r="F2846" s="23" t="e">
        <f ca="1">[1]!BexGetData("DP_1","003N8EMH8GTFRCSWKMPXRRRFI","GSON2118")</f>
        <v>#NAME?</v>
      </c>
      <c r="G2846" s="23" t="e">
        <f ca="1">[1]!BexGetData("DP_1","003N8EMH8GTFRCSWKMPXRRXR2","GSON2118")</f>
        <v>#NAME?</v>
      </c>
      <c r="H2846" s="23" t="e">
        <f ca="1">[1]!BexGetData("DP_1","003N8EMH8GTFRCSWKMPXRS42M","GSON2118")</f>
        <v>#NAME?</v>
      </c>
      <c r="I2846" s="23" t="e">
        <f ca="1">[1]!BexGetData("DP_1","003N8EMH8GTFRCSWKMPXRSAE6","GSON2118")</f>
        <v>#NAME?</v>
      </c>
      <c r="J2846" s="23" t="e">
        <f ca="1">[1]!BexGetData("DP_1","003N8EMH8GTFRCSWKMPXRSGPQ","GSON2118")</f>
        <v>#NAME?</v>
      </c>
      <c r="K2846" s="23" t="e">
        <f ca="1">[1]!BexGetData("DP_1","003N8EMH8GTFRIVNUPY288VJH","GSON2118")</f>
        <v>#NAME?</v>
      </c>
      <c r="L2846" s="23" t="e">
        <f ca="1">[1]!BexGetData("DP_1","003N8EMH8GTFRIVNUPY2891V1","GSON2118")</f>
        <v>#NAME?</v>
      </c>
      <c r="M2846" s="23" t="e">
        <f ca="1">[1]!BexGetData("DP_1","003N8EMH8GTFRIVOG7KG9IQXA","GSON2118")</f>
        <v>#NAME?</v>
      </c>
      <c r="N2846" s="28" t="e">
        <f ca="1">[1]!BexGetData("DP_1","003N8EMH8GTFRIVOG7KG9IX8U","GSON2118")</f>
        <v>#NAME?</v>
      </c>
      <c r="O2846" s="23" t="e">
        <f ca="1">[1]!BexGetData("DP_1","003N8EMH8GTFRIVOG7KG9J3KE","GSON2118")</f>
        <v>#NAME?</v>
      </c>
      <c r="P2846" s="28" t="e">
        <f ca="1">[1]!BexGetData("DP_1","003N8EMH8GTFRIVOG7KG9J9VY","GSON2118")</f>
        <v>#NAME?</v>
      </c>
      <c r="Q2846" s="23" t="e">
        <f ca="1">[1]!BexGetData("DP_1","00O2TNJGODT0G5Z4TTKYMM5MT","GSON2118")</f>
        <v>#NAME?</v>
      </c>
      <c r="R2846" s="23" t="e">
        <f ca="1">[1]!BexGetData("DP_1","00O2TNJGODT0G5Z4TTKYMMBYD","GSON2118")</f>
        <v>#NAME?</v>
      </c>
      <c r="S2846" s="23" t="e">
        <f ca="1">[1]!BexGetData("DP_1","00O2TNJGODT0G5Z4TTKYMMI9X","GSON2118")</f>
        <v>#NAME?</v>
      </c>
      <c r="T2846" s="23" t="e">
        <f ca="1">[1]!BexGetData("DP_1","00O2TNJGODT0G5Z4TTKYMMOLH","GSON2118")</f>
        <v>#NAME?</v>
      </c>
      <c r="U2846" s="28" t="e">
        <f ca="1">[1]!BexGetData("DP_1","00O2TNJGODT0G5Z4TTKYMMUX1","GSON2118")</f>
        <v>#NAME?</v>
      </c>
      <c r="V2846" s="23" t="e">
        <f ca="1">[1]!BexGetData("DP_1","00O2TNJGODT0G5Z4TTKYMN18L","GSON2118")</f>
        <v>#NAME?</v>
      </c>
      <c r="W2846" s="28" t="e">
        <f ca="1">[1]!BexGetData("DP_1","00O2TNJGODT0G5Z4TTKYMN7K5","GSON2118")</f>
        <v>#NAME?</v>
      </c>
    </row>
    <row r="2847" spans="1:23" x14ac:dyDescent="0.2">
      <c r="A2847" s="37" t="s">
        <v>6223</v>
      </c>
      <c r="B2847" s="27" t="s">
        <v>6224</v>
      </c>
      <c r="C2847" s="23" t="e">
        <f ca="1">[1]!BexGetData("DP_1","003N8EMH8GTFRCSWKMPXRR8GU","GSON2118100001")</f>
        <v>#NAME?</v>
      </c>
      <c r="D2847" s="23" t="e">
        <f ca="1">[1]!BexGetData("DP_1","003N8EMH8GTFRCSWKMPXRRESE","GSON2118100001")</f>
        <v>#NAME?</v>
      </c>
      <c r="E2847" s="23" t="e">
        <f ca="1">[1]!BexGetData("DP_1","003N8EMH8GTFRCSWKMPXRRL3Y","GSON2118100001")</f>
        <v>#NAME?</v>
      </c>
      <c r="F2847" s="23" t="e">
        <f ca="1">[1]!BexGetData("DP_1","003N8EMH8GTFRCSWKMPXRRRFI","GSON2118100001")</f>
        <v>#NAME?</v>
      </c>
      <c r="G2847" s="23" t="e">
        <f ca="1">[1]!BexGetData("DP_1","003N8EMH8GTFRCSWKMPXRRXR2","GSON2118100001")</f>
        <v>#NAME?</v>
      </c>
      <c r="H2847" s="23" t="e">
        <f ca="1">[1]!BexGetData("DP_1","003N8EMH8GTFRCSWKMPXRS42M","GSON2118100001")</f>
        <v>#NAME?</v>
      </c>
      <c r="I2847" s="23" t="e">
        <f ca="1">[1]!BexGetData("DP_1","003N8EMH8GTFRCSWKMPXRSAE6","GSON2118100001")</f>
        <v>#NAME?</v>
      </c>
      <c r="J2847" s="24" t="e">
        <f ca="1">[1]!BexGetData("DP_1","003N8EMH8GTFRCSWKMPXRSGPQ","GSON2118100001")</f>
        <v>#NAME?</v>
      </c>
      <c r="K2847" s="23" t="e">
        <f ca="1">[1]!BexGetData("DP_1","003N8EMH8GTFRIVNUPY288VJH","GSON2118100001")</f>
        <v>#NAME?</v>
      </c>
      <c r="L2847" s="23" t="e">
        <f ca="1">[1]!BexGetData("DP_1","003N8EMH8GTFRIVNUPY2891V1","GSON2118100001")</f>
        <v>#NAME?</v>
      </c>
      <c r="M2847" s="23" t="e">
        <f ca="1">[1]!BexGetData("DP_1","003N8EMH8GTFRIVOG7KG9IQXA","GSON2118100001")</f>
        <v>#NAME?</v>
      </c>
      <c r="N2847" s="28" t="e">
        <f ca="1">[1]!BexGetData("DP_1","003N8EMH8GTFRIVOG7KG9IX8U","GSON2118100001")</f>
        <v>#NAME?</v>
      </c>
      <c r="O2847" s="23" t="e">
        <f ca="1">[1]!BexGetData("DP_1","003N8EMH8GTFRIVOG7KG9J3KE","GSON2118100001")</f>
        <v>#NAME?</v>
      </c>
      <c r="P2847" s="28" t="e">
        <f ca="1">[1]!BexGetData("DP_1","003N8EMH8GTFRIVOG7KG9J9VY","GSON2118100001")</f>
        <v>#NAME?</v>
      </c>
      <c r="Q2847" s="24" t="e">
        <f ca="1">[1]!BexGetData("DP_1","00O2TNJGODT0G5Z4TTKYMM5MT","GSON2118100001")</f>
        <v>#NAME?</v>
      </c>
      <c r="R2847" s="23" t="e">
        <f ca="1">[1]!BexGetData("DP_1","00O2TNJGODT0G5Z4TTKYMMBYD","GSON2118100001")</f>
        <v>#NAME?</v>
      </c>
      <c r="S2847" s="23" t="e">
        <f ca="1">[1]!BexGetData("DP_1","00O2TNJGODT0G5Z4TTKYMMI9X","GSON2118100001")</f>
        <v>#NAME?</v>
      </c>
      <c r="T2847" s="28" t="e">
        <f ca="1">[1]!BexGetData("DP_1","00O2TNJGODT0G5Z4TTKYMMOLH","GSON2118100001")</f>
        <v>#NAME?</v>
      </c>
      <c r="U2847" s="23" t="e">
        <f ca="1">[1]!BexGetData("DP_1","00O2TNJGODT0G5Z4TTKYMMUX1","GSON2118100001")</f>
        <v>#NAME?</v>
      </c>
      <c r="V2847" s="28" t="e">
        <f ca="1">[1]!BexGetData("DP_1","00O2TNJGODT0G5Z4TTKYMN18L","GSON2118100001")</f>
        <v>#NAME?</v>
      </c>
      <c r="W2847" s="23" t="e">
        <f ca="1">[1]!BexGetData("DP_1","00O2TNJGODT0G5Z4TTKYMN7K5","GSON2118100001")</f>
        <v>#NAME?</v>
      </c>
    </row>
    <row r="2848" spans="1:23" x14ac:dyDescent="0.2">
      <c r="A2848" s="37" t="s">
        <v>6225</v>
      </c>
      <c r="B2848" s="27" t="s">
        <v>6226</v>
      </c>
      <c r="C2848" s="28" t="e">
        <f ca="1">[1]!BexGetData("DP_1","003N8EMH8GTFRCSWKMPXRR8GU","GSON2118100002")</f>
        <v>#NAME?</v>
      </c>
      <c r="D2848" s="28" t="e">
        <f ca="1">[1]!BexGetData("DP_1","003N8EMH8GTFRCSWKMPXRRESE","GSON2118100002")</f>
        <v>#NAME?</v>
      </c>
      <c r="E2848" s="23" t="e">
        <f ca="1">[1]!BexGetData("DP_1","003N8EMH8GTFRCSWKMPXRRL3Y","GSON2118100002")</f>
        <v>#NAME?</v>
      </c>
      <c r="F2848" s="23" t="e">
        <f ca="1">[1]!BexGetData("DP_1","003N8EMH8GTFRCSWKMPXRRRFI","GSON2118100002")</f>
        <v>#NAME?</v>
      </c>
      <c r="G2848" s="28" t="e">
        <f ca="1">[1]!BexGetData("DP_1","003N8EMH8GTFRCSWKMPXRRXR2","GSON2118100002")</f>
        <v>#NAME?</v>
      </c>
      <c r="H2848" s="28" t="e">
        <f ca="1">[1]!BexGetData("DP_1","003N8EMH8GTFRCSWKMPXRS42M","GSON2118100002")</f>
        <v>#NAME?</v>
      </c>
      <c r="I2848" s="23" t="e">
        <f ca="1">[1]!BexGetData("DP_1","003N8EMH8GTFRCSWKMPXRSAE6","GSON2118100002")</f>
        <v>#NAME?</v>
      </c>
      <c r="J2848" s="23" t="e">
        <f ca="1">[1]!BexGetData("DP_1","003N8EMH8GTFRCSWKMPXRSGPQ","GSON2118100002")</f>
        <v>#NAME?</v>
      </c>
      <c r="K2848" s="28" t="e">
        <f ca="1">[1]!BexGetData("DP_1","003N8EMH8GTFRIVNUPY288VJH","GSON2118100002")</f>
        <v>#NAME?</v>
      </c>
      <c r="L2848" s="28" t="e">
        <f ca="1">[1]!BexGetData("DP_1","003N8EMH8GTFRIVNUPY2891V1","GSON2118100002")</f>
        <v>#NAME?</v>
      </c>
      <c r="M2848" s="28" t="e">
        <f ca="1">[1]!BexGetData("DP_1","003N8EMH8GTFRIVOG7KG9IQXA","GSON2118100002")</f>
        <v>#NAME?</v>
      </c>
      <c r="N2848" s="28" t="e">
        <f ca="1">[1]!BexGetData("DP_1","003N8EMH8GTFRIVOG7KG9IX8U","GSON2118100002")</f>
        <v>#NAME?</v>
      </c>
      <c r="O2848" s="28" t="e">
        <f ca="1">[1]!BexGetData("DP_1","003N8EMH8GTFRIVOG7KG9J3KE","GSON2118100002")</f>
        <v>#NAME?</v>
      </c>
      <c r="P2848" s="28" t="e">
        <f ca="1">[1]!BexGetData("DP_1","003N8EMH8GTFRIVOG7KG9J9VY","GSON2118100002")</f>
        <v>#NAME?</v>
      </c>
      <c r="Q2848" s="23" t="e">
        <f ca="1">[1]!BexGetData("DP_1","00O2TNJGODT0G5Z4TTKYMM5MT","GSON2118100002")</f>
        <v>#NAME?</v>
      </c>
      <c r="R2848" s="28" t="e">
        <f ca="1">[1]!BexGetData("DP_1","00O2TNJGODT0G5Z4TTKYMMBYD","GSON2118100002")</f>
        <v>#NAME?</v>
      </c>
      <c r="S2848" s="28" t="e">
        <f ca="1">[1]!BexGetData("DP_1","00O2TNJGODT0G5Z4TTKYMMI9X","GSON2118100002")</f>
        <v>#NAME?</v>
      </c>
      <c r="T2848" s="28" t="e">
        <f ca="1">[1]!BexGetData("DP_1","00O2TNJGODT0G5Z4TTKYMMOLH","GSON2118100002")</f>
        <v>#NAME?</v>
      </c>
      <c r="U2848" s="28" t="e">
        <f ca="1">[1]!BexGetData("DP_1","00O2TNJGODT0G5Z4TTKYMMUX1","GSON2118100002")</f>
        <v>#NAME?</v>
      </c>
      <c r="V2848" s="28" t="e">
        <f ca="1">[1]!BexGetData("DP_1","00O2TNJGODT0G5Z4TTKYMN18L","GSON2118100002")</f>
        <v>#NAME?</v>
      </c>
      <c r="W2848" s="28" t="e">
        <f ca="1">[1]!BexGetData("DP_1","00O2TNJGODT0G5Z4TTKYMN7K5","GSON2118100002")</f>
        <v>#NAME?</v>
      </c>
    </row>
    <row r="2849" spans="1:23" x14ac:dyDescent="0.2">
      <c r="A2849" s="37" t="s">
        <v>1430</v>
      </c>
      <c r="B2849" s="27" t="s">
        <v>1431</v>
      </c>
      <c r="C2849" s="23" t="e">
        <f ca="1">[1]!BexGetData("DP_1","003N8EMH8GTFRCSWKMPXRR8GU","GSON2118100003")</f>
        <v>#NAME?</v>
      </c>
      <c r="D2849" s="23" t="e">
        <f ca="1">[1]!BexGetData("DP_1","003N8EMH8GTFRCSWKMPXRRESE","GSON2118100003")</f>
        <v>#NAME?</v>
      </c>
      <c r="E2849" s="23" t="e">
        <f ca="1">[1]!BexGetData("DP_1","003N8EMH8GTFRCSWKMPXRRL3Y","GSON2118100003")</f>
        <v>#NAME?</v>
      </c>
      <c r="F2849" s="23" t="e">
        <f ca="1">[1]!BexGetData("DP_1","003N8EMH8GTFRCSWKMPXRRRFI","GSON2118100003")</f>
        <v>#NAME?</v>
      </c>
      <c r="G2849" s="23" t="e">
        <f ca="1">[1]!BexGetData("DP_1","003N8EMH8GTFRCSWKMPXRRXR2","GSON2118100003")</f>
        <v>#NAME?</v>
      </c>
      <c r="H2849" s="23" t="e">
        <f ca="1">[1]!BexGetData("DP_1","003N8EMH8GTFRCSWKMPXRS42M","GSON2118100003")</f>
        <v>#NAME?</v>
      </c>
      <c r="I2849" s="23" t="e">
        <f ca="1">[1]!BexGetData("DP_1","003N8EMH8GTFRCSWKMPXRSAE6","GSON2118100003")</f>
        <v>#NAME?</v>
      </c>
      <c r="J2849" s="24" t="e">
        <f ca="1">[1]!BexGetData("DP_1","003N8EMH8GTFRCSWKMPXRSGPQ","GSON2118100003")</f>
        <v>#NAME?</v>
      </c>
      <c r="K2849" s="23" t="e">
        <f ca="1">[1]!BexGetData("DP_1","003N8EMH8GTFRIVNUPY288VJH","GSON2118100003")</f>
        <v>#NAME?</v>
      </c>
      <c r="L2849" s="23" t="e">
        <f ca="1">[1]!BexGetData("DP_1","003N8EMH8GTFRIVNUPY2891V1","GSON2118100003")</f>
        <v>#NAME?</v>
      </c>
      <c r="M2849" s="28" t="e">
        <f ca="1">[1]!BexGetData("DP_1","003N8EMH8GTFRIVOG7KG9IQXA","GSON2118100003")</f>
        <v>#NAME?</v>
      </c>
      <c r="N2849" s="23" t="e">
        <f ca="1">[1]!BexGetData("DP_1","003N8EMH8GTFRIVOG7KG9IX8U","GSON2118100003")</f>
        <v>#NAME?</v>
      </c>
      <c r="O2849" s="28" t="e">
        <f ca="1">[1]!BexGetData("DP_1","003N8EMH8GTFRIVOG7KG9J3KE","GSON2118100003")</f>
        <v>#NAME?</v>
      </c>
      <c r="P2849" s="23" t="e">
        <f ca="1">[1]!BexGetData("DP_1","003N8EMH8GTFRIVOG7KG9J9VY","GSON2118100003")</f>
        <v>#NAME?</v>
      </c>
      <c r="Q2849" s="24" t="e">
        <f ca="1">[1]!BexGetData("DP_1","00O2TNJGODT0G5Z4TTKYMM5MT","GSON2118100003")</f>
        <v>#NAME?</v>
      </c>
      <c r="R2849" s="23" t="e">
        <f ca="1">[1]!BexGetData("DP_1","00O2TNJGODT0G5Z4TTKYMMBYD","GSON2118100003")</f>
        <v>#NAME?</v>
      </c>
      <c r="S2849" s="23" t="e">
        <f ca="1">[1]!BexGetData("DP_1","00O2TNJGODT0G5Z4TTKYMMI9X","GSON2118100003")</f>
        <v>#NAME?</v>
      </c>
      <c r="T2849" s="23" t="e">
        <f ca="1">[1]!BexGetData("DP_1","00O2TNJGODT0G5Z4TTKYMMOLH","GSON2118100003")</f>
        <v>#NAME?</v>
      </c>
      <c r="U2849" s="28" t="e">
        <f ca="1">[1]!BexGetData("DP_1","00O2TNJGODT0G5Z4TTKYMMUX1","GSON2118100003")</f>
        <v>#NAME?</v>
      </c>
      <c r="V2849" s="23" t="e">
        <f ca="1">[1]!BexGetData("DP_1","00O2TNJGODT0G5Z4TTKYMN18L","GSON2118100003")</f>
        <v>#NAME?</v>
      </c>
      <c r="W2849" s="28" t="e">
        <f ca="1">[1]!BexGetData("DP_1","00O2TNJGODT0G5Z4TTKYMN7K5","GSON2118100003")</f>
        <v>#NAME?</v>
      </c>
    </row>
    <row r="2850" spans="1:23" x14ac:dyDescent="0.2">
      <c r="A2850" s="37" t="s">
        <v>6227</v>
      </c>
      <c r="B2850" s="27" t="s">
        <v>1732</v>
      </c>
      <c r="C2850" s="23" t="e">
        <f ca="1">[1]!BexGetData("DP_1","003N8EMH8GTFRCSWKMPXRR8GU","GSON2118100004")</f>
        <v>#NAME?</v>
      </c>
      <c r="D2850" s="23" t="e">
        <f ca="1">[1]!BexGetData("DP_1","003N8EMH8GTFRCSWKMPXRRESE","GSON2118100004")</f>
        <v>#NAME?</v>
      </c>
      <c r="E2850" s="23" t="e">
        <f ca="1">[1]!BexGetData("DP_1","003N8EMH8GTFRCSWKMPXRRL3Y","GSON2118100004")</f>
        <v>#NAME?</v>
      </c>
      <c r="F2850" s="23" t="e">
        <f ca="1">[1]!BexGetData("DP_1","003N8EMH8GTFRCSWKMPXRRRFI","GSON2118100004")</f>
        <v>#NAME?</v>
      </c>
      <c r="G2850" s="23" t="e">
        <f ca="1">[1]!BexGetData("DP_1","003N8EMH8GTFRCSWKMPXRRXR2","GSON2118100004")</f>
        <v>#NAME?</v>
      </c>
      <c r="H2850" s="23" t="e">
        <f ca="1">[1]!BexGetData("DP_1","003N8EMH8GTFRCSWKMPXRS42M","GSON2118100004")</f>
        <v>#NAME?</v>
      </c>
      <c r="I2850" s="23" t="e">
        <f ca="1">[1]!BexGetData("DP_1","003N8EMH8GTFRCSWKMPXRSAE6","GSON2118100004")</f>
        <v>#NAME?</v>
      </c>
      <c r="J2850" s="24" t="e">
        <f ca="1">[1]!BexGetData("DP_1","003N8EMH8GTFRCSWKMPXRSGPQ","GSON2118100004")</f>
        <v>#NAME?</v>
      </c>
      <c r="K2850" s="23" t="e">
        <f ca="1">[1]!BexGetData("DP_1","003N8EMH8GTFRIVNUPY288VJH","GSON2118100004")</f>
        <v>#NAME?</v>
      </c>
      <c r="L2850" s="23" t="e">
        <f ca="1">[1]!BexGetData("DP_1","003N8EMH8GTFRIVNUPY2891V1","GSON2118100004")</f>
        <v>#NAME?</v>
      </c>
      <c r="M2850" s="23" t="e">
        <f ca="1">[1]!BexGetData("DP_1","003N8EMH8GTFRIVOG7KG9IQXA","GSON2118100004")</f>
        <v>#NAME?</v>
      </c>
      <c r="N2850" s="28" t="e">
        <f ca="1">[1]!BexGetData("DP_1","003N8EMH8GTFRIVOG7KG9IX8U","GSON2118100004")</f>
        <v>#NAME?</v>
      </c>
      <c r="O2850" s="23" t="e">
        <f ca="1">[1]!BexGetData("DP_1","003N8EMH8GTFRIVOG7KG9J3KE","GSON2118100004")</f>
        <v>#NAME?</v>
      </c>
      <c r="P2850" s="28" t="e">
        <f ca="1">[1]!BexGetData("DP_1","003N8EMH8GTFRIVOG7KG9J9VY","GSON2118100004")</f>
        <v>#NAME?</v>
      </c>
      <c r="Q2850" s="24" t="e">
        <f ca="1">[1]!BexGetData("DP_1","00O2TNJGODT0G5Z4TTKYMM5MT","GSON2118100004")</f>
        <v>#NAME?</v>
      </c>
      <c r="R2850" s="23" t="e">
        <f ca="1">[1]!BexGetData("DP_1","00O2TNJGODT0G5Z4TTKYMMBYD","GSON2118100004")</f>
        <v>#NAME?</v>
      </c>
      <c r="S2850" s="23" t="e">
        <f ca="1">[1]!BexGetData("DP_1","00O2TNJGODT0G5Z4TTKYMMI9X","GSON2118100004")</f>
        <v>#NAME?</v>
      </c>
      <c r="T2850" s="23" t="e">
        <f ca="1">[1]!BexGetData("DP_1","00O2TNJGODT0G5Z4TTKYMMOLH","GSON2118100004")</f>
        <v>#NAME?</v>
      </c>
      <c r="U2850" s="28" t="e">
        <f ca="1">[1]!BexGetData("DP_1","00O2TNJGODT0G5Z4TTKYMMUX1","GSON2118100004")</f>
        <v>#NAME?</v>
      </c>
      <c r="V2850" s="23" t="e">
        <f ca="1">[1]!BexGetData("DP_1","00O2TNJGODT0G5Z4TTKYMN18L","GSON2118100004")</f>
        <v>#NAME?</v>
      </c>
      <c r="W2850" s="28" t="e">
        <f ca="1">[1]!BexGetData("DP_1","00O2TNJGODT0G5Z4TTKYMN7K5","GSON2118100004")</f>
        <v>#NAME?</v>
      </c>
    </row>
    <row r="2851" spans="1:23" x14ac:dyDescent="0.2">
      <c r="A2851" s="36" t="s">
        <v>1432</v>
      </c>
      <c r="B2851" s="27" t="s">
        <v>1433</v>
      </c>
      <c r="C2851" s="23" t="e">
        <f ca="1">[1]!BexGetData("DP_1","003N8EMH8GTFRCSWKMPXRR8GU","GSON2119")</f>
        <v>#NAME?</v>
      </c>
      <c r="D2851" s="23" t="e">
        <f ca="1">[1]!BexGetData("DP_1","003N8EMH8GTFRCSWKMPXRRESE","GSON2119")</f>
        <v>#NAME?</v>
      </c>
      <c r="E2851" s="23" t="e">
        <f ca="1">[1]!BexGetData("DP_1","003N8EMH8GTFRCSWKMPXRRL3Y","GSON2119")</f>
        <v>#NAME?</v>
      </c>
      <c r="F2851" s="23" t="e">
        <f ca="1">[1]!BexGetData("DP_1","003N8EMH8GTFRCSWKMPXRRRFI","GSON2119")</f>
        <v>#NAME?</v>
      </c>
      <c r="G2851" s="23" t="e">
        <f ca="1">[1]!BexGetData("DP_1","003N8EMH8GTFRCSWKMPXRRXR2","GSON2119")</f>
        <v>#NAME?</v>
      </c>
      <c r="H2851" s="23" t="e">
        <f ca="1">[1]!BexGetData("DP_1","003N8EMH8GTFRCSWKMPXRS42M","GSON2119")</f>
        <v>#NAME?</v>
      </c>
      <c r="I2851" s="23" t="e">
        <f ca="1">[1]!BexGetData("DP_1","003N8EMH8GTFRCSWKMPXRSAE6","GSON2119")</f>
        <v>#NAME?</v>
      </c>
      <c r="J2851" s="23" t="e">
        <f ca="1">[1]!BexGetData("DP_1","003N8EMH8GTFRCSWKMPXRSGPQ","GSON2119")</f>
        <v>#NAME?</v>
      </c>
      <c r="K2851" s="23" t="e">
        <f ca="1">[1]!BexGetData("DP_1","003N8EMH8GTFRIVNUPY288VJH","GSON2119")</f>
        <v>#NAME?</v>
      </c>
      <c r="L2851" s="23" t="e">
        <f ca="1">[1]!BexGetData("DP_1","003N8EMH8GTFRIVNUPY2891V1","GSON2119")</f>
        <v>#NAME?</v>
      </c>
      <c r="M2851" s="28" t="e">
        <f ca="1">[1]!BexGetData("DP_1","003N8EMH8GTFRIVOG7KG9IQXA","GSON2119")</f>
        <v>#NAME?</v>
      </c>
      <c r="N2851" s="23" t="e">
        <f ca="1">[1]!BexGetData("DP_1","003N8EMH8GTFRIVOG7KG9IX8U","GSON2119")</f>
        <v>#NAME?</v>
      </c>
      <c r="O2851" s="28" t="e">
        <f ca="1">[1]!BexGetData("DP_1","003N8EMH8GTFRIVOG7KG9J3KE","GSON2119")</f>
        <v>#NAME?</v>
      </c>
      <c r="P2851" s="23" t="e">
        <f ca="1">[1]!BexGetData("DP_1","003N8EMH8GTFRIVOG7KG9J9VY","GSON2119")</f>
        <v>#NAME?</v>
      </c>
      <c r="Q2851" s="23" t="e">
        <f ca="1">[1]!BexGetData("DP_1","00O2TNJGODT0G5Z4TTKYMM5MT","GSON2119")</f>
        <v>#NAME?</v>
      </c>
      <c r="R2851" s="23" t="e">
        <f ca="1">[1]!BexGetData("DP_1","00O2TNJGODT0G5Z4TTKYMMBYD","GSON2119")</f>
        <v>#NAME?</v>
      </c>
      <c r="S2851" s="23" t="e">
        <f ca="1">[1]!BexGetData("DP_1","00O2TNJGODT0G5Z4TTKYMMI9X","GSON2119")</f>
        <v>#NAME?</v>
      </c>
      <c r="T2851" s="28" t="e">
        <f ca="1">[1]!BexGetData("DP_1","00O2TNJGODT0G5Z4TTKYMMOLH","GSON2119")</f>
        <v>#NAME?</v>
      </c>
      <c r="U2851" s="23" t="e">
        <f ca="1">[1]!BexGetData("DP_1","00O2TNJGODT0G5Z4TTKYMMUX1","GSON2119")</f>
        <v>#NAME?</v>
      </c>
      <c r="V2851" s="28" t="e">
        <f ca="1">[1]!BexGetData("DP_1","00O2TNJGODT0G5Z4TTKYMN18L","GSON2119")</f>
        <v>#NAME?</v>
      </c>
      <c r="W2851" s="23" t="e">
        <f ca="1">[1]!BexGetData("DP_1","00O2TNJGODT0G5Z4TTKYMN7K5","GSON2119")</f>
        <v>#NAME?</v>
      </c>
    </row>
    <row r="2852" spans="1:23" x14ac:dyDescent="0.2">
      <c r="A2852" s="37" t="s">
        <v>6228</v>
      </c>
      <c r="B2852" s="27" t="s">
        <v>6229</v>
      </c>
      <c r="C2852" s="23" t="e">
        <f ca="1">[1]!BexGetData("DP_1","003N8EMH8GTFRCSWKMPXRR8GU","GSON2119410001")</f>
        <v>#NAME?</v>
      </c>
      <c r="D2852" s="23" t="e">
        <f ca="1">[1]!BexGetData("DP_1","003N8EMH8GTFRCSWKMPXRRESE","GSON2119410001")</f>
        <v>#NAME?</v>
      </c>
      <c r="E2852" s="23" t="e">
        <f ca="1">[1]!BexGetData("DP_1","003N8EMH8GTFRCSWKMPXRRL3Y","GSON2119410001")</f>
        <v>#NAME?</v>
      </c>
      <c r="F2852" s="23" t="e">
        <f ca="1">[1]!BexGetData("DP_1","003N8EMH8GTFRCSWKMPXRRRFI","GSON2119410001")</f>
        <v>#NAME?</v>
      </c>
      <c r="G2852" s="23" t="e">
        <f ca="1">[1]!BexGetData("DP_1","003N8EMH8GTFRCSWKMPXRRXR2","GSON2119410001")</f>
        <v>#NAME?</v>
      </c>
      <c r="H2852" s="23" t="e">
        <f ca="1">[1]!BexGetData("DP_1","003N8EMH8GTFRCSWKMPXRS42M","GSON2119410001")</f>
        <v>#NAME?</v>
      </c>
      <c r="I2852" s="23" t="e">
        <f ca="1">[1]!BexGetData("DP_1","003N8EMH8GTFRCSWKMPXRSAE6","GSON2119410001")</f>
        <v>#NAME?</v>
      </c>
      <c r="J2852" s="24" t="e">
        <f ca="1">[1]!BexGetData("DP_1","003N8EMH8GTFRCSWKMPXRSGPQ","GSON2119410001")</f>
        <v>#NAME?</v>
      </c>
      <c r="K2852" s="23" t="e">
        <f ca="1">[1]!BexGetData("DP_1","003N8EMH8GTFRIVNUPY288VJH","GSON2119410001")</f>
        <v>#NAME?</v>
      </c>
      <c r="L2852" s="23" t="e">
        <f ca="1">[1]!BexGetData("DP_1","003N8EMH8GTFRIVNUPY2891V1","GSON2119410001")</f>
        <v>#NAME?</v>
      </c>
      <c r="M2852" s="23" t="e">
        <f ca="1">[1]!BexGetData("DP_1","003N8EMH8GTFRIVOG7KG9IQXA","GSON2119410001")</f>
        <v>#NAME?</v>
      </c>
      <c r="N2852" s="28" t="e">
        <f ca="1">[1]!BexGetData("DP_1","003N8EMH8GTFRIVOG7KG9IX8U","GSON2119410001")</f>
        <v>#NAME?</v>
      </c>
      <c r="O2852" s="23" t="e">
        <f ca="1">[1]!BexGetData("DP_1","003N8EMH8GTFRIVOG7KG9J3KE","GSON2119410001")</f>
        <v>#NAME?</v>
      </c>
      <c r="P2852" s="28" t="e">
        <f ca="1">[1]!BexGetData("DP_1","003N8EMH8GTFRIVOG7KG9J9VY","GSON2119410001")</f>
        <v>#NAME?</v>
      </c>
      <c r="Q2852" s="24" t="e">
        <f ca="1">[1]!BexGetData("DP_1","00O2TNJGODT0G5Z4TTKYMM5MT","GSON2119410001")</f>
        <v>#NAME?</v>
      </c>
      <c r="R2852" s="23" t="e">
        <f ca="1">[1]!BexGetData("DP_1","00O2TNJGODT0G5Z4TTKYMMBYD","GSON2119410001")</f>
        <v>#NAME?</v>
      </c>
      <c r="S2852" s="23" t="e">
        <f ca="1">[1]!BexGetData("DP_1","00O2TNJGODT0G5Z4TTKYMMI9X","GSON2119410001")</f>
        <v>#NAME?</v>
      </c>
      <c r="T2852" s="23" t="e">
        <f ca="1">[1]!BexGetData("DP_1","00O2TNJGODT0G5Z4TTKYMMOLH","GSON2119410001")</f>
        <v>#NAME?</v>
      </c>
      <c r="U2852" s="28" t="e">
        <f ca="1">[1]!BexGetData("DP_1","00O2TNJGODT0G5Z4TTKYMMUX1","GSON2119410001")</f>
        <v>#NAME?</v>
      </c>
      <c r="V2852" s="23" t="e">
        <f ca="1">[1]!BexGetData("DP_1","00O2TNJGODT0G5Z4TTKYMN18L","GSON2119410001")</f>
        <v>#NAME?</v>
      </c>
      <c r="W2852" s="28" t="e">
        <f ca="1">[1]!BexGetData("DP_1","00O2TNJGODT0G5Z4TTKYMN7K5","GSON2119410001")</f>
        <v>#NAME?</v>
      </c>
    </row>
    <row r="2853" spans="1:23" x14ac:dyDescent="0.2">
      <c r="A2853" s="37" t="s">
        <v>6230</v>
      </c>
      <c r="B2853" s="27" t="s">
        <v>6231</v>
      </c>
      <c r="C2853" s="23" t="e">
        <f ca="1">[1]!BexGetData("DP_1","003N8EMH8GTFRCSWKMPXRR8GU","GSON2119410002")</f>
        <v>#NAME?</v>
      </c>
      <c r="D2853" s="23" t="e">
        <f ca="1">[1]!BexGetData("DP_1","003N8EMH8GTFRCSWKMPXRRESE","GSON2119410002")</f>
        <v>#NAME?</v>
      </c>
      <c r="E2853" s="28" t="e">
        <f ca="1">[1]!BexGetData("DP_1","003N8EMH8GTFRCSWKMPXRRL3Y","GSON2119410002")</f>
        <v>#NAME?</v>
      </c>
      <c r="F2853" s="28" t="e">
        <f ca="1">[1]!BexGetData("DP_1","003N8EMH8GTFRCSWKMPXRRRFI","GSON2119410002")</f>
        <v>#NAME?</v>
      </c>
      <c r="G2853" s="23" t="e">
        <f ca="1">[1]!BexGetData("DP_1","003N8EMH8GTFRCSWKMPXRRXR2","GSON2119410002")</f>
        <v>#NAME?</v>
      </c>
      <c r="H2853" s="23" t="e">
        <f ca="1">[1]!BexGetData("DP_1","003N8EMH8GTFRCSWKMPXRS42M","GSON2119410002")</f>
        <v>#NAME?</v>
      </c>
      <c r="I2853" s="28" t="e">
        <f ca="1">[1]!BexGetData("DP_1","003N8EMH8GTFRCSWKMPXRSAE6","GSON2119410002")</f>
        <v>#NAME?</v>
      </c>
      <c r="J2853" s="24" t="e">
        <f ca="1">[1]!BexGetData("DP_1","003N8EMH8GTFRCSWKMPXRSGPQ","GSON2119410002")</f>
        <v>#NAME?</v>
      </c>
      <c r="K2853" s="28" t="e">
        <f ca="1">[1]!BexGetData("DP_1","003N8EMH8GTFRIVNUPY288VJH","GSON2119410002")</f>
        <v>#NAME?</v>
      </c>
      <c r="L2853" s="28" t="e">
        <f ca="1">[1]!BexGetData("DP_1","003N8EMH8GTFRIVNUPY2891V1","GSON2119410002")</f>
        <v>#NAME?</v>
      </c>
      <c r="M2853" s="28" t="e">
        <f ca="1">[1]!BexGetData("DP_1","003N8EMH8GTFRIVOG7KG9IQXA","GSON2119410002")</f>
        <v>#NAME?</v>
      </c>
      <c r="N2853" s="28" t="e">
        <f ca="1">[1]!BexGetData("DP_1","003N8EMH8GTFRIVOG7KG9IX8U","GSON2119410002")</f>
        <v>#NAME?</v>
      </c>
      <c r="O2853" s="28" t="e">
        <f ca="1">[1]!BexGetData("DP_1","003N8EMH8GTFRIVOG7KG9J3KE","GSON2119410002")</f>
        <v>#NAME?</v>
      </c>
      <c r="P2853" s="28" t="e">
        <f ca="1">[1]!BexGetData("DP_1","003N8EMH8GTFRIVOG7KG9J9VY","GSON2119410002")</f>
        <v>#NAME?</v>
      </c>
      <c r="Q2853" s="24" t="e">
        <f ca="1">[1]!BexGetData("DP_1","00O2TNJGODT0G5Z4TTKYMM5MT","GSON2119410002")</f>
        <v>#NAME?</v>
      </c>
      <c r="R2853" s="28" t="e">
        <f ca="1">[1]!BexGetData("DP_1","00O2TNJGODT0G5Z4TTKYMMBYD","GSON2119410002")</f>
        <v>#NAME?</v>
      </c>
      <c r="S2853" s="28" t="e">
        <f ca="1">[1]!BexGetData("DP_1","00O2TNJGODT0G5Z4TTKYMMI9X","GSON2119410002")</f>
        <v>#NAME?</v>
      </c>
      <c r="T2853" s="28" t="e">
        <f ca="1">[1]!BexGetData("DP_1","00O2TNJGODT0G5Z4TTKYMMOLH","GSON2119410002")</f>
        <v>#NAME?</v>
      </c>
      <c r="U2853" s="28" t="e">
        <f ca="1">[1]!BexGetData("DP_1","00O2TNJGODT0G5Z4TTKYMMUX1","GSON2119410002")</f>
        <v>#NAME?</v>
      </c>
      <c r="V2853" s="28" t="e">
        <f ca="1">[1]!BexGetData("DP_1","00O2TNJGODT0G5Z4TTKYMN18L","GSON2119410002")</f>
        <v>#NAME?</v>
      </c>
      <c r="W2853" s="28" t="e">
        <f ca="1">[1]!BexGetData("DP_1","00O2TNJGODT0G5Z4TTKYMN7K5","GSON2119410002")</f>
        <v>#NAME?</v>
      </c>
    </row>
    <row r="2854" spans="1:23" x14ac:dyDescent="0.2">
      <c r="A2854" s="37" t="s">
        <v>6232</v>
      </c>
      <c r="B2854" s="27" t="s">
        <v>6233</v>
      </c>
      <c r="C2854" s="23" t="e">
        <f ca="1">[1]!BexGetData("DP_1","003N8EMH8GTFRCSWKMPXRR8GU","GSON2119410004")</f>
        <v>#NAME?</v>
      </c>
      <c r="D2854" s="23" t="e">
        <f ca="1">[1]!BexGetData("DP_1","003N8EMH8GTFRCSWKMPXRRESE","GSON2119410004")</f>
        <v>#NAME?</v>
      </c>
      <c r="E2854" s="28" t="e">
        <f ca="1">[1]!BexGetData("DP_1","003N8EMH8GTFRCSWKMPXRRL3Y","GSON2119410004")</f>
        <v>#NAME?</v>
      </c>
      <c r="F2854" s="24" t="e">
        <f ca="1">[1]!BexGetData("DP_1","003N8EMH8GTFRCSWKMPXRRRFI","GSON2119410004")</f>
        <v>#NAME?</v>
      </c>
      <c r="G2854" s="24" t="e">
        <f ca="1">[1]!BexGetData("DP_1","003N8EMH8GTFRCSWKMPXRRXR2","GSON2119410004")</f>
        <v>#NAME?</v>
      </c>
      <c r="H2854" s="24" t="e">
        <f ca="1">[1]!BexGetData("DP_1","003N8EMH8GTFRCSWKMPXRS42M","GSON2119410004")</f>
        <v>#NAME?</v>
      </c>
      <c r="I2854" s="24" t="e">
        <f ca="1">[1]!BexGetData("DP_1","003N8EMH8GTFRCSWKMPXRSAE6","GSON2119410004")</f>
        <v>#NAME?</v>
      </c>
      <c r="J2854" s="24" t="e">
        <f ca="1">[1]!BexGetData("DP_1","003N8EMH8GTFRCSWKMPXRSGPQ","GSON2119410004")</f>
        <v>#NAME?</v>
      </c>
      <c r="K2854" s="28" t="e">
        <f ca="1">[1]!BexGetData("DP_1","003N8EMH8GTFRIVNUPY288VJH","GSON2119410004")</f>
        <v>#NAME?</v>
      </c>
      <c r="L2854" s="28" t="e">
        <f ca="1">[1]!BexGetData("DP_1","003N8EMH8GTFRIVNUPY2891V1","GSON2119410004")</f>
        <v>#NAME?</v>
      </c>
      <c r="M2854" s="28" t="e">
        <f ca="1">[1]!BexGetData("DP_1","003N8EMH8GTFRIVOG7KG9IQXA","GSON2119410004")</f>
        <v>#NAME?</v>
      </c>
      <c r="N2854" s="28" t="e">
        <f ca="1">[1]!BexGetData("DP_1","003N8EMH8GTFRIVOG7KG9IX8U","GSON2119410004")</f>
        <v>#NAME?</v>
      </c>
      <c r="O2854" s="28" t="e">
        <f ca="1">[1]!BexGetData("DP_1","003N8EMH8GTFRIVOG7KG9J3KE","GSON2119410004")</f>
        <v>#NAME?</v>
      </c>
      <c r="P2854" s="28" t="e">
        <f ca="1">[1]!BexGetData("DP_1","003N8EMH8GTFRIVOG7KG9J9VY","GSON2119410004")</f>
        <v>#NAME?</v>
      </c>
      <c r="Q2854" s="24" t="e">
        <f ca="1">[1]!BexGetData("DP_1","00O2TNJGODT0G5Z4TTKYMM5MT","GSON2119410004")</f>
        <v>#NAME?</v>
      </c>
      <c r="R2854" s="24" t="e">
        <f ca="1">[1]!BexGetData("DP_1","00O2TNJGODT0G5Z4TTKYMMBYD","GSON2119410004")</f>
        <v>#NAME?</v>
      </c>
      <c r="S2854" s="24" t="e">
        <f ca="1">[1]!BexGetData("DP_1","00O2TNJGODT0G5Z4TTKYMMI9X","GSON2119410004")</f>
        <v>#NAME?</v>
      </c>
      <c r="T2854" s="24" t="e">
        <f ca="1">[1]!BexGetData("DP_1","00O2TNJGODT0G5Z4TTKYMMOLH","GSON2119410004")</f>
        <v>#NAME?</v>
      </c>
      <c r="U2854" s="24" t="e">
        <f ca="1">[1]!BexGetData("DP_1","00O2TNJGODT0G5Z4TTKYMMUX1","GSON2119410004")</f>
        <v>#NAME?</v>
      </c>
      <c r="V2854" s="24" t="e">
        <f ca="1">[1]!BexGetData("DP_1","00O2TNJGODT0G5Z4TTKYMN18L","GSON2119410004")</f>
        <v>#NAME?</v>
      </c>
      <c r="W2854" s="24" t="e">
        <f ca="1">[1]!BexGetData("DP_1","00O2TNJGODT0G5Z4TTKYMN7K5","GSON2119410004")</f>
        <v>#NAME?</v>
      </c>
    </row>
    <row r="2855" spans="1:23" x14ac:dyDescent="0.2">
      <c r="A2855" s="37" t="s">
        <v>6234</v>
      </c>
      <c r="B2855" s="27" t="s">
        <v>6235</v>
      </c>
      <c r="C2855" s="23" t="e">
        <f ca="1">[1]!BexGetData("DP_1","003N8EMH8GTFRCSWKMPXRR8GU","GSON2119410017")</f>
        <v>#NAME?</v>
      </c>
      <c r="D2855" s="23" t="e">
        <f ca="1">[1]!BexGetData("DP_1","003N8EMH8GTFRCSWKMPXRRESE","GSON2119410017")</f>
        <v>#NAME?</v>
      </c>
      <c r="E2855" s="28" t="e">
        <f ca="1">[1]!BexGetData("DP_1","003N8EMH8GTFRCSWKMPXRRL3Y","GSON2119410017")</f>
        <v>#NAME?</v>
      </c>
      <c r="F2855" s="24" t="e">
        <f ca="1">[1]!BexGetData("DP_1","003N8EMH8GTFRCSWKMPXRRRFI","GSON2119410017")</f>
        <v>#NAME?</v>
      </c>
      <c r="G2855" s="24" t="e">
        <f ca="1">[1]!BexGetData("DP_1","003N8EMH8GTFRCSWKMPXRRXR2","GSON2119410017")</f>
        <v>#NAME?</v>
      </c>
      <c r="H2855" s="24" t="e">
        <f ca="1">[1]!BexGetData("DP_1","003N8EMH8GTFRCSWKMPXRS42M","GSON2119410017")</f>
        <v>#NAME?</v>
      </c>
      <c r="I2855" s="24" t="e">
        <f ca="1">[1]!BexGetData("DP_1","003N8EMH8GTFRCSWKMPXRSAE6","GSON2119410017")</f>
        <v>#NAME?</v>
      </c>
      <c r="J2855" s="24" t="e">
        <f ca="1">[1]!BexGetData("DP_1","003N8EMH8GTFRCSWKMPXRSGPQ","GSON2119410017")</f>
        <v>#NAME?</v>
      </c>
      <c r="K2855" s="28" t="e">
        <f ca="1">[1]!BexGetData("DP_1","003N8EMH8GTFRIVNUPY288VJH","GSON2119410017")</f>
        <v>#NAME?</v>
      </c>
      <c r="L2855" s="28" t="e">
        <f ca="1">[1]!BexGetData("DP_1","003N8EMH8GTFRIVNUPY2891V1","GSON2119410017")</f>
        <v>#NAME?</v>
      </c>
      <c r="M2855" s="28" t="e">
        <f ca="1">[1]!BexGetData("DP_1","003N8EMH8GTFRIVOG7KG9IQXA","GSON2119410017")</f>
        <v>#NAME?</v>
      </c>
      <c r="N2855" s="28" t="e">
        <f ca="1">[1]!BexGetData("DP_1","003N8EMH8GTFRIVOG7KG9IX8U","GSON2119410017")</f>
        <v>#NAME?</v>
      </c>
      <c r="O2855" s="28" t="e">
        <f ca="1">[1]!BexGetData("DP_1","003N8EMH8GTFRIVOG7KG9J3KE","GSON2119410017")</f>
        <v>#NAME?</v>
      </c>
      <c r="P2855" s="28" t="e">
        <f ca="1">[1]!BexGetData("DP_1","003N8EMH8GTFRIVOG7KG9J9VY","GSON2119410017")</f>
        <v>#NAME?</v>
      </c>
      <c r="Q2855" s="24" t="e">
        <f ca="1">[1]!BexGetData("DP_1","00O2TNJGODT0G5Z4TTKYMM5MT","GSON2119410017")</f>
        <v>#NAME?</v>
      </c>
      <c r="R2855" s="24" t="e">
        <f ca="1">[1]!BexGetData("DP_1","00O2TNJGODT0G5Z4TTKYMMBYD","GSON2119410017")</f>
        <v>#NAME?</v>
      </c>
      <c r="S2855" s="24" t="e">
        <f ca="1">[1]!BexGetData("DP_1","00O2TNJGODT0G5Z4TTKYMMI9X","GSON2119410017")</f>
        <v>#NAME?</v>
      </c>
      <c r="T2855" s="24" t="e">
        <f ca="1">[1]!BexGetData("DP_1","00O2TNJGODT0G5Z4TTKYMMOLH","GSON2119410017")</f>
        <v>#NAME?</v>
      </c>
      <c r="U2855" s="24" t="e">
        <f ca="1">[1]!BexGetData("DP_1","00O2TNJGODT0G5Z4TTKYMMUX1","GSON2119410017")</f>
        <v>#NAME?</v>
      </c>
      <c r="V2855" s="24" t="e">
        <f ca="1">[1]!BexGetData("DP_1","00O2TNJGODT0G5Z4TTKYMN18L","GSON2119410017")</f>
        <v>#NAME?</v>
      </c>
      <c r="W2855" s="24" t="e">
        <f ca="1">[1]!BexGetData("DP_1","00O2TNJGODT0G5Z4TTKYMN7K5","GSON2119410017")</f>
        <v>#NAME?</v>
      </c>
    </row>
    <row r="2856" spans="1:23" x14ac:dyDescent="0.2">
      <c r="A2856" s="37" t="s">
        <v>6236</v>
      </c>
      <c r="B2856" s="27" t="s">
        <v>6237</v>
      </c>
      <c r="C2856" s="23" t="e">
        <f ca="1">[1]!BexGetData("DP_1","003N8EMH8GTFRCSWKMPXRR8GU","GSON2119410018")</f>
        <v>#NAME?</v>
      </c>
      <c r="D2856" s="23" t="e">
        <f ca="1">[1]!BexGetData("DP_1","003N8EMH8GTFRCSWKMPXRRESE","GSON2119410018")</f>
        <v>#NAME?</v>
      </c>
      <c r="E2856" s="28" t="e">
        <f ca="1">[1]!BexGetData("DP_1","003N8EMH8GTFRCSWKMPXRRL3Y","GSON2119410018")</f>
        <v>#NAME?</v>
      </c>
      <c r="F2856" s="24" t="e">
        <f ca="1">[1]!BexGetData("DP_1","003N8EMH8GTFRCSWKMPXRRRFI","GSON2119410018")</f>
        <v>#NAME?</v>
      </c>
      <c r="G2856" s="24" t="e">
        <f ca="1">[1]!BexGetData("DP_1","003N8EMH8GTFRCSWKMPXRRXR2","GSON2119410018")</f>
        <v>#NAME?</v>
      </c>
      <c r="H2856" s="24" t="e">
        <f ca="1">[1]!BexGetData("DP_1","003N8EMH8GTFRCSWKMPXRS42M","GSON2119410018")</f>
        <v>#NAME?</v>
      </c>
      <c r="I2856" s="24" t="e">
        <f ca="1">[1]!BexGetData("DP_1","003N8EMH8GTFRCSWKMPXRSAE6","GSON2119410018")</f>
        <v>#NAME?</v>
      </c>
      <c r="J2856" s="24" t="e">
        <f ca="1">[1]!BexGetData("DP_1","003N8EMH8GTFRCSWKMPXRSGPQ","GSON2119410018")</f>
        <v>#NAME?</v>
      </c>
      <c r="K2856" s="28" t="e">
        <f ca="1">[1]!BexGetData("DP_1","003N8EMH8GTFRIVNUPY288VJH","GSON2119410018")</f>
        <v>#NAME?</v>
      </c>
      <c r="L2856" s="28" t="e">
        <f ca="1">[1]!BexGetData("DP_1","003N8EMH8GTFRIVNUPY2891V1","GSON2119410018")</f>
        <v>#NAME?</v>
      </c>
      <c r="M2856" s="28" t="e">
        <f ca="1">[1]!BexGetData("DP_1","003N8EMH8GTFRIVOG7KG9IQXA","GSON2119410018")</f>
        <v>#NAME?</v>
      </c>
      <c r="N2856" s="28" t="e">
        <f ca="1">[1]!BexGetData("DP_1","003N8EMH8GTFRIVOG7KG9IX8U","GSON2119410018")</f>
        <v>#NAME?</v>
      </c>
      <c r="O2856" s="28" t="e">
        <f ca="1">[1]!BexGetData("DP_1","003N8EMH8GTFRIVOG7KG9J3KE","GSON2119410018")</f>
        <v>#NAME?</v>
      </c>
      <c r="P2856" s="28" t="e">
        <f ca="1">[1]!BexGetData("DP_1","003N8EMH8GTFRIVOG7KG9J9VY","GSON2119410018")</f>
        <v>#NAME?</v>
      </c>
      <c r="Q2856" s="24" t="e">
        <f ca="1">[1]!BexGetData("DP_1","00O2TNJGODT0G5Z4TTKYMM5MT","GSON2119410018")</f>
        <v>#NAME?</v>
      </c>
      <c r="R2856" s="24" t="e">
        <f ca="1">[1]!BexGetData("DP_1","00O2TNJGODT0G5Z4TTKYMMBYD","GSON2119410018")</f>
        <v>#NAME?</v>
      </c>
      <c r="S2856" s="24" t="e">
        <f ca="1">[1]!BexGetData("DP_1","00O2TNJGODT0G5Z4TTKYMMI9X","GSON2119410018")</f>
        <v>#NAME?</v>
      </c>
      <c r="T2856" s="24" t="e">
        <f ca="1">[1]!BexGetData("DP_1","00O2TNJGODT0G5Z4TTKYMMOLH","GSON2119410018")</f>
        <v>#NAME?</v>
      </c>
      <c r="U2856" s="24" t="e">
        <f ca="1">[1]!BexGetData("DP_1","00O2TNJGODT0G5Z4TTKYMMUX1","GSON2119410018")</f>
        <v>#NAME?</v>
      </c>
      <c r="V2856" s="24" t="e">
        <f ca="1">[1]!BexGetData("DP_1","00O2TNJGODT0G5Z4TTKYMN18L","GSON2119410018")</f>
        <v>#NAME?</v>
      </c>
      <c r="W2856" s="24" t="e">
        <f ca="1">[1]!BexGetData("DP_1","00O2TNJGODT0G5Z4TTKYMN7K5","GSON2119410018")</f>
        <v>#NAME?</v>
      </c>
    </row>
    <row r="2857" spans="1:23" x14ac:dyDescent="0.2">
      <c r="A2857" s="37" t="s">
        <v>6238</v>
      </c>
      <c r="B2857" s="27" t="s">
        <v>6239</v>
      </c>
      <c r="C2857" s="28" t="e">
        <f ca="1">[1]!BexGetData("DP_1","003N8EMH8GTFRCSWKMPXRR8GU","GSON2119410020")</f>
        <v>#NAME?</v>
      </c>
      <c r="D2857" s="28" t="e">
        <f ca="1">[1]!BexGetData("DP_1","003N8EMH8GTFRCSWKMPXRRESE","GSON2119410020")</f>
        <v>#NAME?</v>
      </c>
      <c r="E2857" s="23" t="e">
        <f ca="1">[1]!BexGetData("DP_1","003N8EMH8GTFRCSWKMPXRRL3Y","GSON2119410020")</f>
        <v>#NAME?</v>
      </c>
      <c r="F2857" s="23" t="e">
        <f ca="1">[1]!BexGetData("DP_1","003N8EMH8GTFRCSWKMPXRRRFI","GSON2119410020")</f>
        <v>#NAME?</v>
      </c>
      <c r="G2857" s="23" t="e">
        <f ca="1">[1]!BexGetData("DP_1","003N8EMH8GTFRCSWKMPXRRXR2","GSON2119410020")</f>
        <v>#NAME?</v>
      </c>
      <c r="H2857" s="23" t="e">
        <f ca="1">[1]!BexGetData("DP_1","003N8EMH8GTFRCSWKMPXRS42M","GSON2119410020")</f>
        <v>#NAME?</v>
      </c>
      <c r="I2857" s="23" t="e">
        <f ca="1">[1]!BexGetData("DP_1","003N8EMH8GTFRCSWKMPXRSAE6","GSON2119410020")</f>
        <v>#NAME?</v>
      </c>
      <c r="J2857" s="23" t="e">
        <f ca="1">[1]!BexGetData("DP_1","003N8EMH8GTFRCSWKMPXRSGPQ","GSON2119410020")</f>
        <v>#NAME?</v>
      </c>
      <c r="K2857" s="28" t="e">
        <f ca="1">[1]!BexGetData("DP_1","003N8EMH8GTFRIVNUPY288VJH","GSON2119410020")</f>
        <v>#NAME?</v>
      </c>
      <c r="L2857" s="28" t="e">
        <f ca="1">[1]!BexGetData("DP_1","003N8EMH8GTFRIVNUPY2891V1","GSON2119410020")</f>
        <v>#NAME?</v>
      </c>
      <c r="M2857" s="28" t="e">
        <f ca="1">[1]!BexGetData("DP_1","003N8EMH8GTFRIVOG7KG9IQXA","GSON2119410020")</f>
        <v>#NAME?</v>
      </c>
      <c r="N2857" s="28" t="e">
        <f ca="1">[1]!BexGetData("DP_1","003N8EMH8GTFRIVOG7KG9IX8U","GSON2119410020")</f>
        <v>#NAME?</v>
      </c>
      <c r="O2857" s="28" t="e">
        <f ca="1">[1]!BexGetData("DP_1","003N8EMH8GTFRIVOG7KG9J3KE","GSON2119410020")</f>
        <v>#NAME?</v>
      </c>
      <c r="P2857" s="28" t="e">
        <f ca="1">[1]!BexGetData("DP_1","003N8EMH8GTFRIVOG7KG9J9VY","GSON2119410020")</f>
        <v>#NAME?</v>
      </c>
      <c r="Q2857" s="23" t="e">
        <f ca="1">[1]!BexGetData("DP_1","00O2TNJGODT0G5Z4TTKYMM5MT","GSON2119410020")</f>
        <v>#NAME?</v>
      </c>
      <c r="R2857" s="23" t="e">
        <f ca="1">[1]!BexGetData("DP_1","00O2TNJGODT0G5Z4TTKYMMBYD","GSON2119410020")</f>
        <v>#NAME?</v>
      </c>
      <c r="S2857" s="23" t="e">
        <f ca="1">[1]!BexGetData("DP_1","00O2TNJGODT0G5Z4TTKYMMI9X","GSON2119410020")</f>
        <v>#NAME?</v>
      </c>
      <c r="T2857" s="28" t="e">
        <f ca="1">[1]!BexGetData("DP_1","00O2TNJGODT0G5Z4TTKYMMOLH","GSON2119410020")</f>
        <v>#NAME?</v>
      </c>
      <c r="U2857" s="23" t="e">
        <f ca="1">[1]!BexGetData("DP_1","00O2TNJGODT0G5Z4TTKYMMUX1","GSON2119410020")</f>
        <v>#NAME?</v>
      </c>
      <c r="V2857" s="28" t="e">
        <f ca="1">[1]!BexGetData("DP_1","00O2TNJGODT0G5Z4TTKYMN18L","GSON2119410020")</f>
        <v>#NAME?</v>
      </c>
      <c r="W2857" s="23" t="e">
        <f ca="1">[1]!BexGetData("DP_1","00O2TNJGODT0G5Z4TTKYMN7K5","GSON2119410020")</f>
        <v>#NAME?</v>
      </c>
    </row>
    <row r="2858" spans="1:23" x14ac:dyDescent="0.2">
      <c r="A2858" s="37" t="s">
        <v>6240</v>
      </c>
      <c r="B2858" s="27" t="s">
        <v>6241</v>
      </c>
      <c r="C2858" s="23" t="e">
        <f ca="1">[1]!BexGetData("DP_1","003N8EMH8GTFRCSWKMPXRR8GU","GSON2119900001")</f>
        <v>#NAME?</v>
      </c>
      <c r="D2858" s="23" t="e">
        <f ca="1">[1]!BexGetData("DP_1","003N8EMH8GTFRCSWKMPXRRESE","GSON2119900001")</f>
        <v>#NAME?</v>
      </c>
      <c r="E2858" s="28" t="e">
        <f ca="1">[1]!BexGetData("DP_1","003N8EMH8GTFRCSWKMPXRRL3Y","GSON2119900001")</f>
        <v>#NAME?</v>
      </c>
      <c r="F2858" s="23" t="e">
        <f ca="1">[1]!BexGetData("DP_1","003N8EMH8GTFRCSWKMPXRRRFI","GSON2119900001")</f>
        <v>#NAME?</v>
      </c>
      <c r="G2858" s="23" t="e">
        <f ca="1">[1]!BexGetData("DP_1","003N8EMH8GTFRCSWKMPXRRXR2","GSON2119900001")</f>
        <v>#NAME?</v>
      </c>
      <c r="H2858" s="23" t="e">
        <f ca="1">[1]!BexGetData("DP_1","003N8EMH8GTFRCSWKMPXRS42M","GSON2119900001")</f>
        <v>#NAME?</v>
      </c>
      <c r="I2858" s="23" t="e">
        <f ca="1">[1]!BexGetData("DP_1","003N8EMH8GTFRCSWKMPXRSAE6","GSON2119900001")</f>
        <v>#NAME?</v>
      </c>
      <c r="J2858" s="24" t="e">
        <f ca="1">[1]!BexGetData("DP_1","003N8EMH8GTFRCSWKMPXRSGPQ","GSON2119900001")</f>
        <v>#NAME?</v>
      </c>
      <c r="K2858" s="23" t="e">
        <f ca="1">[1]!BexGetData("DP_1","003N8EMH8GTFRIVNUPY288VJH","GSON2119900001")</f>
        <v>#NAME?</v>
      </c>
      <c r="L2858" s="23" t="e">
        <f ca="1">[1]!BexGetData("DP_1","003N8EMH8GTFRIVNUPY2891V1","GSON2119900001")</f>
        <v>#NAME?</v>
      </c>
      <c r="M2858" s="28" t="e">
        <f ca="1">[1]!BexGetData("DP_1","003N8EMH8GTFRIVOG7KG9IQXA","GSON2119900001")</f>
        <v>#NAME?</v>
      </c>
      <c r="N2858" s="23" t="e">
        <f ca="1">[1]!BexGetData("DP_1","003N8EMH8GTFRIVOG7KG9IX8U","GSON2119900001")</f>
        <v>#NAME?</v>
      </c>
      <c r="O2858" s="28" t="e">
        <f ca="1">[1]!BexGetData("DP_1","003N8EMH8GTFRIVOG7KG9J3KE","GSON2119900001")</f>
        <v>#NAME?</v>
      </c>
      <c r="P2858" s="23" t="e">
        <f ca="1">[1]!BexGetData("DP_1","003N8EMH8GTFRIVOG7KG9J9VY","GSON2119900001")</f>
        <v>#NAME?</v>
      </c>
      <c r="Q2858" s="24" t="e">
        <f ca="1">[1]!BexGetData("DP_1","00O2TNJGODT0G5Z4TTKYMM5MT","GSON2119900001")</f>
        <v>#NAME?</v>
      </c>
      <c r="R2858" s="23" t="e">
        <f ca="1">[1]!BexGetData("DP_1","00O2TNJGODT0G5Z4TTKYMMBYD","GSON2119900001")</f>
        <v>#NAME?</v>
      </c>
      <c r="S2858" s="23" t="e">
        <f ca="1">[1]!BexGetData("DP_1","00O2TNJGODT0G5Z4TTKYMMI9X","GSON2119900001")</f>
        <v>#NAME?</v>
      </c>
      <c r="T2858" s="23" t="e">
        <f ca="1">[1]!BexGetData("DP_1","00O2TNJGODT0G5Z4TTKYMMOLH","GSON2119900001")</f>
        <v>#NAME?</v>
      </c>
      <c r="U2858" s="28" t="e">
        <f ca="1">[1]!BexGetData("DP_1","00O2TNJGODT0G5Z4TTKYMMUX1","GSON2119900001")</f>
        <v>#NAME?</v>
      </c>
      <c r="V2858" s="23" t="e">
        <f ca="1">[1]!BexGetData("DP_1","00O2TNJGODT0G5Z4TTKYMN18L","GSON2119900001")</f>
        <v>#NAME?</v>
      </c>
      <c r="W2858" s="28" t="e">
        <f ca="1">[1]!BexGetData("DP_1","00O2TNJGODT0G5Z4TTKYMN7K5","GSON2119900001")</f>
        <v>#NAME?</v>
      </c>
    </row>
    <row r="2859" spans="1:23" x14ac:dyDescent="0.2">
      <c r="A2859" s="37" t="s">
        <v>6242</v>
      </c>
      <c r="B2859" s="27" t="s">
        <v>6243</v>
      </c>
      <c r="C2859" s="23" t="e">
        <f ca="1">[1]!BexGetData("DP_1","003N8EMH8GTFRCSWKMPXRR8GU","GSON2119900005")</f>
        <v>#NAME?</v>
      </c>
      <c r="D2859" s="23" t="e">
        <f ca="1">[1]!BexGetData("DP_1","003N8EMH8GTFRCSWKMPXRRESE","GSON2119900005")</f>
        <v>#NAME?</v>
      </c>
      <c r="E2859" s="23" t="e">
        <f ca="1">[1]!BexGetData("DP_1","003N8EMH8GTFRCSWKMPXRRL3Y","GSON2119900005")</f>
        <v>#NAME?</v>
      </c>
      <c r="F2859" s="23" t="e">
        <f ca="1">[1]!BexGetData("DP_1","003N8EMH8GTFRCSWKMPXRRRFI","GSON2119900005")</f>
        <v>#NAME?</v>
      </c>
      <c r="G2859" s="23" t="e">
        <f ca="1">[1]!BexGetData("DP_1","003N8EMH8GTFRCSWKMPXRRXR2","GSON2119900005")</f>
        <v>#NAME?</v>
      </c>
      <c r="H2859" s="23" t="e">
        <f ca="1">[1]!BexGetData("DP_1","003N8EMH8GTFRCSWKMPXRS42M","GSON2119900005")</f>
        <v>#NAME?</v>
      </c>
      <c r="I2859" s="23" t="e">
        <f ca="1">[1]!BexGetData("DP_1","003N8EMH8GTFRCSWKMPXRSAE6","GSON2119900005")</f>
        <v>#NAME?</v>
      </c>
      <c r="J2859" s="23" t="e">
        <f ca="1">[1]!BexGetData("DP_1","003N8EMH8GTFRCSWKMPXRSGPQ","GSON2119900005")</f>
        <v>#NAME?</v>
      </c>
      <c r="K2859" s="23" t="e">
        <f ca="1">[1]!BexGetData("DP_1","003N8EMH8GTFRIVNUPY288VJH","GSON2119900005")</f>
        <v>#NAME?</v>
      </c>
      <c r="L2859" s="23" t="e">
        <f ca="1">[1]!BexGetData("DP_1","003N8EMH8GTFRIVNUPY2891V1","GSON2119900005")</f>
        <v>#NAME?</v>
      </c>
      <c r="M2859" s="28" t="e">
        <f ca="1">[1]!BexGetData("DP_1","003N8EMH8GTFRIVOG7KG9IQXA","GSON2119900005")</f>
        <v>#NAME?</v>
      </c>
      <c r="N2859" s="23" t="e">
        <f ca="1">[1]!BexGetData("DP_1","003N8EMH8GTFRIVOG7KG9IX8U","GSON2119900005")</f>
        <v>#NAME?</v>
      </c>
      <c r="O2859" s="28" t="e">
        <f ca="1">[1]!BexGetData("DP_1","003N8EMH8GTFRIVOG7KG9J3KE","GSON2119900005")</f>
        <v>#NAME?</v>
      </c>
      <c r="P2859" s="23" t="e">
        <f ca="1">[1]!BexGetData("DP_1","003N8EMH8GTFRIVOG7KG9J9VY","GSON2119900005")</f>
        <v>#NAME?</v>
      </c>
      <c r="Q2859" s="23" t="e">
        <f ca="1">[1]!BexGetData("DP_1","00O2TNJGODT0G5Z4TTKYMM5MT","GSON2119900005")</f>
        <v>#NAME?</v>
      </c>
      <c r="R2859" s="23" t="e">
        <f ca="1">[1]!BexGetData("DP_1","00O2TNJGODT0G5Z4TTKYMMBYD","GSON2119900005")</f>
        <v>#NAME?</v>
      </c>
      <c r="S2859" s="23" t="e">
        <f ca="1">[1]!BexGetData("DP_1","00O2TNJGODT0G5Z4TTKYMMI9X","GSON2119900005")</f>
        <v>#NAME?</v>
      </c>
      <c r="T2859" s="28" t="e">
        <f ca="1">[1]!BexGetData("DP_1","00O2TNJGODT0G5Z4TTKYMMOLH","GSON2119900005")</f>
        <v>#NAME?</v>
      </c>
      <c r="U2859" s="23" t="e">
        <f ca="1">[1]!BexGetData("DP_1","00O2TNJGODT0G5Z4TTKYMMUX1","GSON2119900005")</f>
        <v>#NAME?</v>
      </c>
      <c r="V2859" s="28" t="e">
        <f ca="1">[1]!BexGetData("DP_1","00O2TNJGODT0G5Z4TTKYMN18L","GSON2119900005")</f>
        <v>#NAME?</v>
      </c>
      <c r="W2859" s="23" t="e">
        <f ca="1">[1]!BexGetData("DP_1","00O2TNJGODT0G5Z4TTKYMN7K5","GSON2119900005")</f>
        <v>#NAME?</v>
      </c>
    </row>
    <row r="2860" spans="1:23" x14ac:dyDescent="0.2">
      <c r="A2860" s="37" t="s">
        <v>1434</v>
      </c>
      <c r="B2860" s="27" t="s">
        <v>1435</v>
      </c>
      <c r="C2860" s="23" t="e">
        <f ca="1">[1]!BexGetData("DP_1","003N8EMH8GTFRCSWKMPXRR8GU","GSON2119900008")</f>
        <v>#NAME?</v>
      </c>
      <c r="D2860" s="23" t="e">
        <f ca="1">[1]!BexGetData("DP_1","003N8EMH8GTFRCSWKMPXRRESE","GSON2119900008")</f>
        <v>#NAME?</v>
      </c>
      <c r="E2860" s="23" t="e">
        <f ca="1">[1]!BexGetData("DP_1","003N8EMH8GTFRCSWKMPXRRL3Y","GSON2119900008")</f>
        <v>#NAME?</v>
      </c>
      <c r="F2860" s="23" t="e">
        <f ca="1">[1]!BexGetData("DP_1","003N8EMH8GTFRCSWKMPXRRRFI","GSON2119900008")</f>
        <v>#NAME?</v>
      </c>
      <c r="G2860" s="23" t="e">
        <f ca="1">[1]!BexGetData("DP_1","003N8EMH8GTFRCSWKMPXRRXR2","GSON2119900008")</f>
        <v>#NAME?</v>
      </c>
      <c r="H2860" s="23" t="e">
        <f ca="1">[1]!BexGetData("DP_1","003N8EMH8GTFRCSWKMPXRS42M","GSON2119900008")</f>
        <v>#NAME?</v>
      </c>
      <c r="I2860" s="23" t="e">
        <f ca="1">[1]!BexGetData("DP_1","003N8EMH8GTFRCSWKMPXRSAE6","GSON2119900008")</f>
        <v>#NAME?</v>
      </c>
      <c r="J2860" s="24" t="e">
        <f ca="1">[1]!BexGetData("DP_1","003N8EMH8GTFRCSWKMPXRSGPQ","GSON2119900008")</f>
        <v>#NAME?</v>
      </c>
      <c r="K2860" s="23" t="e">
        <f ca="1">[1]!BexGetData("DP_1","003N8EMH8GTFRIVNUPY288VJH","GSON2119900008")</f>
        <v>#NAME?</v>
      </c>
      <c r="L2860" s="23" t="e">
        <f ca="1">[1]!BexGetData("DP_1","003N8EMH8GTFRIVNUPY2891V1","GSON2119900008")</f>
        <v>#NAME?</v>
      </c>
      <c r="M2860" s="28" t="e">
        <f ca="1">[1]!BexGetData("DP_1","003N8EMH8GTFRIVOG7KG9IQXA","GSON2119900008")</f>
        <v>#NAME?</v>
      </c>
      <c r="N2860" s="23" t="e">
        <f ca="1">[1]!BexGetData("DP_1","003N8EMH8GTFRIVOG7KG9IX8U","GSON2119900008")</f>
        <v>#NAME?</v>
      </c>
      <c r="O2860" s="28" t="e">
        <f ca="1">[1]!BexGetData("DP_1","003N8EMH8GTFRIVOG7KG9J3KE","GSON2119900008")</f>
        <v>#NAME?</v>
      </c>
      <c r="P2860" s="23" t="e">
        <f ca="1">[1]!BexGetData("DP_1","003N8EMH8GTFRIVOG7KG9J9VY","GSON2119900008")</f>
        <v>#NAME?</v>
      </c>
      <c r="Q2860" s="24" t="e">
        <f ca="1">[1]!BexGetData("DP_1","00O2TNJGODT0G5Z4TTKYMM5MT","GSON2119900008")</f>
        <v>#NAME?</v>
      </c>
      <c r="R2860" s="23" t="e">
        <f ca="1">[1]!BexGetData("DP_1","00O2TNJGODT0G5Z4TTKYMMBYD","GSON2119900008")</f>
        <v>#NAME?</v>
      </c>
      <c r="S2860" s="23" t="e">
        <f ca="1">[1]!BexGetData("DP_1","00O2TNJGODT0G5Z4TTKYMMI9X","GSON2119900008")</f>
        <v>#NAME?</v>
      </c>
      <c r="T2860" s="23" t="e">
        <f ca="1">[1]!BexGetData("DP_1","00O2TNJGODT0G5Z4TTKYMMOLH","GSON2119900008")</f>
        <v>#NAME?</v>
      </c>
      <c r="U2860" s="28" t="e">
        <f ca="1">[1]!BexGetData("DP_1","00O2TNJGODT0G5Z4TTKYMMUX1","GSON2119900008")</f>
        <v>#NAME?</v>
      </c>
      <c r="V2860" s="23" t="e">
        <f ca="1">[1]!BexGetData("DP_1","00O2TNJGODT0G5Z4TTKYMN18L","GSON2119900008")</f>
        <v>#NAME?</v>
      </c>
      <c r="W2860" s="28" t="e">
        <f ca="1">[1]!BexGetData("DP_1","00O2TNJGODT0G5Z4TTKYMN7K5","GSON2119900008")</f>
        <v>#NAME?</v>
      </c>
    </row>
    <row r="2861" spans="1:23" x14ac:dyDescent="0.2">
      <c r="A2861" s="37" t="s">
        <v>1436</v>
      </c>
      <c r="B2861" s="27" t="s">
        <v>1437</v>
      </c>
      <c r="C2861" s="23" t="e">
        <f ca="1">[1]!BexGetData("DP_1","003N8EMH8GTFRCSWKMPXRR8GU","GSON2119900009")</f>
        <v>#NAME?</v>
      </c>
      <c r="D2861" s="23" t="e">
        <f ca="1">[1]!BexGetData("DP_1","003N8EMH8GTFRCSWKMPXRRESE","GSON2119900009")</f>
        <v>#NAME?</v>
      </c>
      <c r="E2861" s="23" t="e">
        <f ca="1">[1]!BexGetData("DP_1","003N8EMH8GTFRCSWKMPXRRL3Y","GSON2119900009")</f>
        <v>#NAME?</v>
      </c>
      <c r="F2861" s="23" t="e">
        <f ca="1">[1]!BexGetData("DP_1","003N8EMH8GTFRCSWKMPXRRRFI","GSON2119900009")</f>
        <v>#NAME?</v>
      </c>
      <c r="G2861" s="23" t="e">
        <f ca="1">[1]!BexGetData("DP_1","003N8EMH8GTFRCSWKMPXRRXR2","GSON2119900009")</f>
        <v>#NAME?</v>
      </c>
      <c r="H2861" s="23" t="e">
        <f ca="1">[1]!BexGetData("DP_1","003N8EMH8GTFRCSWKMPXRS42M","GSON2119900009")</f>
        <v>#NAME?</v>
      </c>
      <c r="I2861" s="23" t="e">
        <f ca="1">[1]!BexGetData("DP_1","003N8EMH8GTFRCSWKMPXRSAE6","GSON2119900009")</f>
        <v>#NAME?</v>
      </c>
      <c r="J2861" s="24" t="e">
        <f ca="1">[1]!BexGetData("DP_1","003N8EMH8GTFRCSWKMPXRSGPQ","GSON2119900009")</f>
        <v>#NAME?</v>
      </c>
      <c r="K2861" s="23" t="e">
        <f ca="1">[1]!BexGetData("DP_1","003N8EMH8GTFRIVNUPY288VJH","GSON2119900009")</f>
        <v>#NAME?</v>
      </c>
      <c r="L2861" s="23" t="e">
        <f ca="1">[1]!BexGetData("DP_1","003N8EMH8GTFRIVNUPY2891V1","GSON2119900009")</f>
        <v>#NAME?</v>
      </c>
      <c r="M2861" s="28" t="e">
        <f ca="1">[1]!BexGetData("DP_1","003N8EMH8GTFRIVOG7KG9IQXA","GSON2119900009")</f>
        <v>#NAME?</v>
      </c>
      <c r="N2861" s="23" t="e">
        <f ca="1">[1]!BexGetData("DP_1","003N8EMH8GTFRIVOG7KG9IX8U","GSON2119900009")</f>
        <v>#NAME?</v>
      </c>
      <c r="O2861" s="28" t="e">
        <f ca="1">[1]!BexGetData("DP_1","003N8EMH8GTFRIVOG7KG9J3KE","GSON2119900009")</f>
        <v>#NAME?</v>
      </c>
      <c r="P2861" s="23" t="e">
        <f ca="1">[1]!BexGetData("DP_1","003N8EMH8GTFRIVOG7KG9J9VY","GSON2119900009")</f>
        <v>#NAME?</v>
      </c>
      <c r="Q2861" s="24" t="e">
        <f ca="1">[1]!BexGetData("DP_1","00O2TNJGODT0G5Z4TTKYMM5MT","GSON2119900009")</f>
        <v>#NAME?</v>
      </c>
      <c r="R2861" s="23" t="e">
        <f ca="1">[1]!BexGetData("DP_1","00O2TNJGODT0G5Z4TTKYMMBYD","GSON2119900009")</f>
        <v>#NAME?</v>
      </c>
      <c r="S2861" s="23" t="e">
        <f ca="1">[1]!BexGetData("DP_1","00O2TNJGODT0G5Z4TTKYMMI9X","GSON2119900009")</f>
        <v>#NAME?</v>
      </c>
      <c r="T2861" s="23" t="e">
        <f ca="1">[1]!BexGetData("DP_1","00O2TNJGODT0G5Z4TTKYMMOLH","GSON2119900009")</f>
        <v>#NAME?</v>
      </c>
      <c r="U2861" s="28" t="e">
        <f ca="1">[1]!BexGetData("DP_1","00O2TNJGODT0G5Z4TTKYMMUX1","GSON2119900009")</f>
        <v>#NAME?</v>
      </c>
      <c r="V2861" s="23" t="e">
        <f ca="1">[1]!BexGetData("DP_1","00O2TNJGODT0G5Z4TTKYMN18L","GSON2119900009")</f>
        <v>#NAME?</v>
      </c>
      <c r="W2861" s="28" t="e">
        <f ca="1">[1]!BexGetData("DP_1","00O2TNJGODT0G5Z4TTKYMN7K5","GSON2119900009")</f>
        <v>#NAME?</v>
      </c>
    </row>
    <row r="2862" spans="1:23" x14ac:dyDescent="0.2">
      <c r="A2862" s="37" t="s">
        <v>6244</v>
      </c>
      <c r="B2862" s="27" t="s">
        <v>6245</v>
      </c>
      <c r="C2862" s="23" t="e">
        <f ca="1">[1]!BexGetData("DP_1","003N8EMH8GTFRCSWKMPXRR8GU","GSON2119900010")</f>
        <v>#NAME?</v>
      </c>
      <c r="D2862" s="23" t="e">
        <f ca="1">[1]!BexGetData("DP_1","003N8EMH8GTFRCSWKMPXRRESE","GSON2119900010")</f>
        <v>#NAME?</v>
      </c>
      <c r="E2862" s="23" t="e">
        <f ca="1">[1]!BexGetData("DP_1","003N8EMH8GTFRCSWKMPXRRL3Y","GSON2119900010")</f>
        <v>#NAME?</v>
      </c>
      <c r="F2862" s="23" t="e">
        <f ca="1">[1]!BexGetData("DP_1","003N8EMH8GTFRCSWKMPXRRRFI","GSON2119900010")</f>
        <v>#NAME?</v>
      </c>
      <c r="G2862" s="23" t="e">
        <f ca="1">[1]!BexGetData("DP_1","003N8EMH8GTFRCSWKMPXRRXR2","GSON2119900010")</f>
        <v>#NAME?</v>
      </c>
      <c r="H2862" s="23" t="e">
        <f ca="1">[1]!BexGetData("DP_1","003N8EMH8GTFRCSWKMPXRS42M","GSON2119900010")</f>
        <v>#NAME?</v>
      </c>
      <c r="I2862" s="23" t="e">
        <f ca="1">[1]!BexGetData("DP_1","003N8EMH8GTFRCSWKMPXRSAE6","GSON2119900010")</f>
        <v>#NAME?</v>
      </c>
      <c r="J2862" s="24" t="e">
        <f ca="1">[1]!BexGetData("DP_1","003N8EMH8GTFRCSWKMPXRSGPQ","GSON2119900010")</f>
        <v>#NAME?</v>
      </c>
      <c r="K2862" s="23" t="e">
        <f ca="1">[1]!BexGetData("DP_1","003N8EMH8GTFRIVNUPY288VJH","GSON2119900010")</f>
        <v>#NAME?</v>
      </c>
      <c r="L2862" s="23" t="e">
        <f ca="1">[1]!BexGetData("DP_1","003N8EMH8GTFRIVNUPY2891V1","GSON2119900010")</f>
        <v>#NAME?</v>
      </c>
      <c r="M2862" s="28" t="e">
        <f ca="1">[1]!BexGetData("DP_1","003N8EMH8GTFRIVOG7KG9IQXA","GSON2119900010")</f>
        <v>#NAME?</v>
      </c>
      <c r="N2862" s="23" t="e">
        <f ca="1">[1]!BexGetData("DP_1","003N8EMH8GTFRIVOG7KG9IX8U","GSON2119900010")</f>
        <v>#NAME?</v>
      </c>
      <c r="O2862" s="28" t="e">
        <f ca="1">[1]!BexGetData("DP_1","003N8EMH8GTFRIVOG7KG9J3KE","GSON2119900010")</f>
        <v>#NAME?</v>
      </c>
      <c r="P2862" s="23" t="e">
        <f ca="1">[1]!BexGetData("DP_1","003N8EMH8GTFRIVOG7KG9J9VY","GSON2119900010")</f>
        <v>#NAME?</v>
      </c>
      <c r="Q2862" s="24" t="e">
        <f ca="1">[1]!BexGetData("DP_1","00O2TNJGODT0G5Z4TTKYMM5MT","GSON2119900010")</f>
        <v>#NAME?</v>
      </c>
      <c r="R2862" s="23" t="e">
        <f ca="1">[1]!BexGetData("DP_1","00O2TNJGODT0G5Z4TTKYMMBYD","GSON2119900010")</f>
        <v>#NAME?</v>
      </c>
      <c r="S2862" s="23" t="e">
        <f ca="1">[1]!BexGetData("DP_1","00O2TNJGODT0G5Z4TTKYMMI9X","GSON2119900010")</f>
        <v>#NAME?</v>
      </c>
      <c r="T2862" s="23" t="e">
        <f ca="1">[1]!BexGetData("DP_1","00O2TNJGODT0G5Z4TTKYMMOLH","GSON2119900010")</f>
        <v>#NAME?</v>
      </c>
      <c r="U2862" s="28" t="e">
        <f ca="1">[1]!BexGetData("DP_1","00O2TNJGODT0G5Z4TTKYMMUX1","GSON2119900010")</f>
        <v>#NAME?</v>
      </c>
      <c r="V2862" s="23" t="e">
        <f ca="1">[1]!BexGetData("DP_1","00O2TNJGODT0G5Z4TTKYMN18L","GSON2119900010")</f>
        <v>#NAME?</v>
      </c>
      <c r="W2862" s="28" t="e">
        <f ca="1">[1]!BexGetData("DP_1","00O2TNJGODT0G5Z4TTKYMN7K5","GSON2119900010")</f>
        <v>#NAME?</v>
      </c>
    </row>
    <row r="2863" spans="1:23" x14ac:dyDescent="0.2">
      <c r="A2863" s="37" t="s">
        <v>6246</v>
      </c>
      <c r="B2863" s="27" t="s">
        <v>6247</v>
      </c>
      <c r="C2863" s="23" t="e">
        <f ca="1">[1]!BexGetData("DP_1","003N8EMH8GTFRCSWKMPXRR8GU","GSON2119900011")</f>
        <v>#NAME?</v>
      </c>
      <c r="D2863" s="23" t="e">
        <f ca="1">[1]!BexGetData("DP_1","003N8EMH8GTFRCSWKMPXRRESE","GSON2119900011")</f>
        <v>#NAME?</v>
      </c>
      <c r="E2863" s="23" t="e">
        <f ca="1">[1]!BexGetData("DP_1","003N8EMH8GTFRCSWKMPXRRL3Y","GSON2119900011")</f>
        <v>#NAME?</v>
      </c>
      <c r="F2863" s="23" t="e">
        <f ca="1">[1]!BexGetData("DP_1","003N8EMH8GTFRCSWKMPXRRRFI","GSON2119900011")</f>
        <v>#NAME?</v>
      </c>
      <c r="G2863" s="23" t="e">
        <f ca="1">[1]!BexGetData("DP_1","003N8EMH8GTFRCSWKMPXRRXR2","GSON2119900011")</f>
        <v>#NAME?</v>
      </c>
      <c r="H2863" s="23" t="e">
        <f ca="1">[1]!BexGetData("DP_1","003N8EMH8GTFRCSWKMPXRS42M","GSON2119900011")</f>
        <v>#NAME?</v>
      </c>
      <c r="I2863" s="23" t="e">
        <f ca="1">[1]!BexGetData("DP_1","003N8EMH8GTFRCSWKMPXRSAE6","GSON2119900011")</f>
        <v>#NAME?</v>
      </c>
      <c r="J2863" s="24" t="e">
        <f ca="1">[1]!BexGetData("DP_1","003N8EMH8GTFRCSWKMPXRSGPQ","GSON2119900011")</f>
        <v>#NAME?</v>
      </c>
      <c r="K2863" s="23" t="e">
        <f ca="1">[1]!BexGetData("DP_1","003N8EMH8GTFRIVNUPY288VJH","GSON2119900011")</f>
        <v>#NAME?</v>
      </c>
      <c r="L2863" s="23" t="e">
        <f ca="1">[1]!BexGetData("DP_1","003N8EMH8GTFRIVNUPY2891V1","GSON2119900011")</f>
        <v>#NAME?</v>
      </c>
      <c r="M2863" s="28" t="e">
        <f ca="1">[1]!BexGetData("DP_1","003N8EMH8GTFRIVOG7KG9IQXA","GSON2119900011")</f>
        <v>#NAME?</v>
      </c>
      <c r="N2863" s="23" t="e">
        <f ca="1">[1]!BexGetData("DP_1","003N8EMH8GTFRIVOG7KG9IX8U","GSON2119900011")</f>
        <v>#NAME?</v>
      </c>
      <c r="O2863" s="28" t="e">
        <f ca="1">[1]!BexGetData("DP_1","003N8EMH8GTFRIVOG7KG9J3KE","GSON2119900011")</f>
        <v>#NAME?</v>
      </c>
      <c r="P2863" s="23" t="e">
        <f ca="1">[1]!BexGetData("DP_1","003N8EMH8GTFRIVOG7KG9J9VY","GSON2119900011")</f>
        <v>#NAME?</v>
      </c>
      <c r="Q2863" s="24" t="e">
        <f ca="1">[1]!BexGetData("DP_1","00O2TNJGODT0G5Z4TTKYMM5MT","GSON2119900011")</f>
        <v>#NAME?</v>
      </c>
      <c r="R2863" s="23" t="e">
        <f ca="1">[1]!BexGetData("DP_1","00O2TNJGODT0G5Z4TTKYMMBYD","GSON2119900011")</f>
        <v>#NAME?</v>
      </c>
      <c r="S2863" s="23" t="e">
        <f ca="1">[1]!BexGetData("DP_1","00O2TNJGODT0G5Z4TTKYMMI9X","GSON2119900011")</f>
        <v>#NAME?</v>
      </c>
      <c r="T2863" s="23" t="e">
        <f ca="1">[1]!BexGetData("DP_1","00O2TNJGODT0G5Z4TTKYMMOLH","GSON2119900011")</f>
        <v>#NAME?</v>
      </c>
      <c r="U2863" s="28" t="e">
        <f ca="1">[1]!BexGetData("DP_1","00O2TNJGODT0G5Z4TTKYMMUX1","GSON2119900011")</f>
        <v>#NAME?</v>
      </c>
      <c r="V2863" s="23" t="e">
        <f ca="1">[1]!BexGetData("DP_1","00O2TNJGODT0G5Z4TTKYMN18L","GSON2119900011")</f>
        <v>#NAME?</v>
      </c>
      <c r="W2863" s="28" t="e">
        <f ca="1">[1]!BexGetData("DP_1","00O2TNJGODT0G5Z4TTKYMN7K5","GSON2119900011")</f>
        <v>#NAME?</v>
      </c>
    </row>
    <row r="2864" spans="1:23" x14ac:dyDescent="0.2">
      <c r="A2864" s="37" t="s">
        <v>6248</v>
      </c>
      <c r="B2864" s="27" t="s">
        <v>6249</v>
      </c>
      <c r="C2864" s="23" t="e">
        <f ca="1">[1]!BexGetData("DP_1","003N8EMH8GTFRCSWKMPXRR8GU","GSON2119900012")</f>
        <v>#NAME?</v>
      </c>
      <c r="D2864" s="23" t="e">
        <f ca="1">[1]!BexGetData("DP_1","003N8EMH8GTFRCSWKMPXRRESE","GSON2119900012")</f>
        <v>#NAME?</v>
      </c>
      <c r="E2864" s="23" t="e">
        <f ca="1">[1]!BexGetData("DP_1","003N8EMH8GTFRCSWKMPXRRL3Y","GSON2119900012")</f>
        <v>#NAME?</v>
      </c>
      <c r="F2864" s="23" t="e">
        <f ca="1">[1]!BexGetData("DP_1","003N8EMH8GTFRCSWKMPXRRRFI","GSON2119900012")</f>
        <v>#NAME?</v>
      </c>
      <c r="G2864" s="23" t="e">
        <f ca="1">[1]!BexGetData("DP_1","003N8EMH8GTFRCSWKMPXRRXR2","GSON2119900012")</f>
        <v>#NAME?</v>
      </c>
      <c r="H2864" s="23" t="e">
        <f ca="1">[1]!BexGetData("DP_1","003N8EMH8GTFRCSWKMPXRS42M","GSON2119900012")</f>
        <v>#NAME?</v>
      </c>
      <c r="I2864" s="23" t="e">
        <f ca="1">[1]!BexGetData("DP_1","003N8EMH8GTFRCSWKMPXRSAE6","GSON2119900012")</f>
        <v>#NAME?</v>
      </c>
      <c r="J2864" s="24" t="e">
        <f ca="1">[1]!BexGetData("DP_1","003N8EMH8GTFRCSWKMPXRSGPQ","GSON2119900012")</f>
        <v>#NAME?</v>
      </c>
      <c r="K2864" s="23" t="e">
        <f ca="1">[1]!BexGetData("DP_1","003N8EMH8GTFRIVNUPY288VJH","GSON2119900012")</f>
        <v>#NAME?</v>
      </c>
      <c r="L2864" s="23" t="e">
        <f ca="1">[1]!BexGetData("DP_1","003N8EMH8GTFRIVNUPY2891V1","GSON2119900012")</f>
        <v>#NAME?</v>
      </c>
      <c r="M2864" s="23" t="e">
        <f ca="1">[1]!BexGetData("DP_1","003N8EMH8GTFRIVOG7KG9IQXA","GSON2119900012")</f>
        <v>#NAME?</v>
      </c>
      <c r="N2864" s="28" t="e">
        <f ca="1">[1]!BexGetData("DP_1","003N8EMH8GTFRIVOG7KG9IX8U","GSON2119900012")</f>
        <v>#NAME?</v>
      </c>
      <c r="O2864" s="23" t="e">
        <f ca="1">[1]!BexGetData("DP_1","003N8EMH8GTFRIVOG7KG9J3KE","GSON2119900012")</f>
        <v>#NAME?</v>
      </c>
      <c r="P2864" s="28" t="e">
        <f ca="1">[1]!BexGetData("DP_1","003N8EMH8GTFRIVOG7KG9J9VY","GSON2119900012")</f>
        <v>#NAME?</v>
      </c>
      <c r="Q2864" s="24" t="e">
        <f ca="1">[1]!BexGetData("DP_1","00O2TNJGODT0G5Z4TTKYMM5MT","GSON2119900012")</f>
        <v>#NAME?</v>
      </c>
      <c r="R2864" s="23" t="e">
        <f ca="1">[1]!BexGetData("DP_1","00O2TNJGODT0G5Z4TTKYMMBYD","GSON2119900012")</f>
        <v>#NAME?</v>
      </c>
      <c r="S2864" s="23" t="e">
        <f ca="1">[1]!BexGetData("DP_1","00O2TNJGODT0G5Z4TTKYMMI9X","GSON2119900012")</f>
        <v>#NAME?</v>
      </c>
      <c r="T2864" s="23" t="e">
        <f ca="1">[1]!BexGetData("DP_1","00O2TNJGODT0G5Z4TTKYMMOLH","GSON2119900012")</f>
        <v>#NAME?</v>
      </c>
      <c r="U2864" s="28" t="e">
        <f ca="1">[1]!BexGetData("DP_1","00O2TNJGODT0G5Z4TTKYMMUX1","GSON2119900012")</f>
        <v>#NAME?</v>
      </c>
      <c r="V2864" s="23" t="e">
        <f ca="1">[1]!BexGetData("DP_1","00O2TNJGODT0G5Z4TTKYMN18L","GSON2119900012")</f>
        <v>#NAME?</v>
      </c>
      <c r="W2864" s="28" t="e">
        <f ca="1">[1]!BexGetData("DP_1","00O2TNJGODT0G5Z4TTKYMN7K5","GSON2119900012")</f>
        <v>#NAME?</v>
      </c>
    </row>
    <row r="2865" spans="1:23" x14ac:dyDescent="0.2">
      <c r="A2865" s="37" t="s">
        <v>6250</v>
      </c>
      <c r="B2865" s="27" t="s">
        <v>6251</v>
      </c>
      <c r="C2865" s="23" t="e">
        <f ca="1">[1]!BexGetData("DP_1","003N8EMH8GTFRCSWKMPXRR8GU","GSON2119900014")</f>
        <v>#NAME?</v>
      </c>
      <c r="D2865" s="23" t="e">
        <f ca="1">[1]!BexGetData("DP_1","003N8EMH8GTFRCSWKMPXRRESE","GSON2119900014")</f>
        <v>#NAME?</v>
      </c>
      <c r="E2865" s="23" t="e">
        <f ca="1">[1]!BexGetData("DP_1","003N8EMH8GTFRCSWKMPXRRL3Y","GSON2119900014")</f>
        <v>#NAME?</v>
      </c>
      <c r="F2865" s="23" t="e">
        <f ca="1">[1]!BexGetData("DP_1","003N8EMH8GTFRCSWKMPXRRRFI","GSON2119900014")</f>
        <v>#NAME?</v>
      </c>
      <c r="G2865" s="23" t="e">
        <f ca="1">[1]!BexGetData("DP_1","003N8EMH8GTFRCSWKMPXRRXR2","GSON2119900014")</f>
        <v>#NAME?</v>
      </c>
      <c r="H2865" s="23" t="e">
        <f ca="1">[1]!BexGetData("DP_1","003N8EMH8GTFRCSWKMPXRS42M","GSON2119900014")</f>
        <v>#NAME?</v>
      </c>
      <c r="I2865" s="23" t="e">
        <f ca="1">[1]!BexGetData("DP_1","003N8EMH8GTFRCSWKMPXRSAE6","GSON2119900014")</f>
        <v>#NAME?</v>
      </c>
      <c r="J2865" s="24" t="e">
        <f ca="1">[1]!BexGetData("DP_1","003N8EMH8GTFRCSWKMPXRSGPQ","GSON2119900014")</f>
        <v>#NAME?</v>
      </c>
      <c r="K2865" s="23" t="e">
        <f ca="1">[1]!BexGetData("DP_1","003N8EMH8GTFRIVNUPY288VJH","GSON2119900014")</f>
        <v>#NAME?</v>
      </c>
      <c r="L2865" s="23" t="e">
        <f ca="1">[1]!BexGetData("DP_1","003N8EMH8GTFRIVNUPY2891V1","GSON2119900014")</f>
        <v>#NAME?</v>
      </c>
      <c r="M2865" s="23" t="e">
        <f ca="1">[1]!BexGetData("DP_1","003N8EMH8GTFRIVOG7KG9IQXA","GSON2119900014")</f>
        <v>#NAME?</v>
      </c>
      <c r="N2865" s="28" t="e">
        <f ca="1">[1]!BexGetData("DP_1","003N8EMH8GTFRIVOG7KG9IX8U","GSON2119900014")</f>
        <v>#NAME?</v>
      </c>
      <c r="O2865" s="23" t="e">
        <f ca="1">[1]!BexGetData("DP_1","003N8EMH8GTFRIVOG7KG9J3KE","GSON2119900014")</f>
        <v>#NAME?</v>
      </c>
      <c r="P2865" s="28" t="e">
        <f ca="1">[1]!BexGetData("DP_1","003N8EMH8GTFRIVOG7KG9J9VY","GSON2119900014")</f>
        <v>#NAME?</v>
      </c>
      <c r="Q2865" s="24" t="e">
        <f ca="1">[1]!BexGetData("DP_1","00O2TNJGODT0G5Z4TTKYMM5MT","GSON2119900014")</f>
        <v>#NAME?</v>
      </c>
      <c r="R2865" s="23" t="e">
        <f ca="1">[1]!BexGetData("DP_1","00O2TNJGODT0G5Z4TTKYMMBYD","GSON2119900014")</f>
        <v>#NAME?</v>
      </c>
      <c r="S2865" s="23" t="e">
        <f ca="1">[1]!BexGetData("DP_1","00O2TNJGODT0G5Z4TTKYMMI9X","GSON2119900014")</f>
        <v>#NAME?</v>
      </c>
      <c r="T2865" s="23" t="e">
        <f ca="1">[1]!BexGetData("DP_1","00O2TNJGODT0G5Z4TTKYMMOLH","GSON2119900014")</f>
        <v>#NAME?</v>
      </c>
      <c r="U2865" s="28" t="e">
        <f ca="1">[1]!BexGetData("DP_1","00O2TNJGODT0G5Z4TTKYMMUX1","GSON2119900014")</f>
        <v>#NAME?</v>
      </c>
      <c r="V2865" s="23" t="e">
        <f ca="1">[1]!BexGetData("DP_1","00O2TNJGODT0G5Z4TTKYMN18L","GSON2119900014")</f>
        <v>#NAME?</v>
      </c>
      <c r="W2865" s="28" t="e">
        <f ca="1">[1]!BexGetData("DP_1","00O2TNJGODT0G5Z4TTKYMN7K5","GSON2119900014")</f>
        <v>#NAME?</v>
      </c>
    </row>
    <row r="2866" spans="1:23" x14ac:dyDescent="0.2">
      <c r="A2866" s="37" t="s">
        <v>6252</v>
      </c>
      <c r="B2866" s="27" t="s">
        <v>6253</v>
      </c>
      <c r="C2866" s="23" t="e">
        <f ca="1">[1]!BexGetData("DP_1","003N8EMH8GTFRCSWKMPXRR8GU","GSON2119900015")</f>
        <v>#NAME?</v>
      </c>
      <c r="D2866" s="23" t="e">
        <f ca="1">[1]!BexGetData("DP_1","003N8EMH8GTFRCSWKMPXRRESE","GSON2119900015")</f>
        <v>#NAME?</v>
      </c>
      <c r="E2866" s="23" t="e">
        <f ca="1">[1]!BexGetData("DP_1","003N8EMH8GTFRCSWKMPXRRL3Y","GSON2119900015")</f>
        <v>#NAME?</v>
      </c>
      <c r="F2866" s="23" t="e">
        <f ca="1">[1]!BexGetData("DP_1","003N8EMH8GTFRCSWKMPXRRRFI","GSON2119900015")</f>
        <v>#NAME?</v>
      </c>
      <c r="G2866" s="23" t="e">
        <f ca="1">[1]!BexGetData("DP_1","003N8EMH8GTFRCSWKMPXRRXR2","GSON2119900015")</f>
        <v>#NAME?</v>
      </c>
      <c r="H2866" s="23" t="e">
        <f ca="1">[1]!BexGetData("DP_1","003N8EMH8GTFRCSWKMPXRS42M","GSON2119900015")</f>
        <v>#NAME?</v>
      </c>
      <c r="I2866" s="23" t="e">
        <f ca="1">[1]!BexGetData("DP_1","003N8EMH8GTFRCSWKMPXRSAE6","GSON2119900015")</f>
        <v>#NAME?</v>
      </c>
      <c r="J2866" s="24" t="e">
        <f ca="1">[1]!BexGetData("DP_1","003N8EMH8GTFRCSWKMPXRSGPQ","GSON2119900015")</f>
        <v>#NAME?</v>
      </c>
      <c r="K2866" s="28" t="e">
        <f ca="1">[1]!BexGetData("DP_1","003N8EMH8GTFRIVNUPY288VJH","GSON2119900015")</f>
        <v>#NAME?</v>
      </c>
      <c r="L2866" s="28" t="e">
        <f ca="1">[1]!BexGetData("DP_1","003N8EMH8GTFRIVNUPY2891V1","GSON2119900015")</f>
        <v>#NAME?</v>
      </c>
      <c r="M2866" s="28" t="e">
        <f ca="1">[1]!BexGetData("DP_1","003N8EMH8GTFRIVOG7KG9IQXA","GSON2119900015")</f>
        <v>#NAME?</v>
      </c>
      <c r="N2866" s="28" t="e">
        <f ca="1">[1]!BexGetData("DP_1","003N8EMH8GTFRIVOG7KG9IX8U","GSON2119900015")</f>
        <v>#NAME?</v>
      </c>
      <c r="O2866" s="28" t="e">
        <f ca="1">[1]!BexGetData("DP_1","003N8EMH8GTFRIVOG7KG9J3KE","GSON2119900015")</f>
        <v>#NAME?</v>
      </c>
      <c r="P2866" s="28" t="e">
        <f ca="1">[1]!BexGetData("DP_1","003N8EMH8GTFRIVOG7KG9J9VY","GSON2119900015")</f>
        <v>#NAME?</v>
      </c>
      <c r="Q2866" s="24" t="e">
        <f ca="1">[1]!BexGetData("DP_1","00O2TNJGODT0G5Z4TTKYMM5MT","GSON2119900015")</f>
        <v>#NAME?</v>
      </c>
      <c r="R2866" s="23" t="e">
        <f ca="1">[1]!BexGetData("DP_1","00O2TNJGODT0G5Z4TTKYMMBYD","GSON2119900015")</f>
        <v>#NAME?</v>
      </c>
      <c r="S2866" s="23" t="e">
        <f ca="1">[1]!BexGetData("DP_1","00O2TNJGODT0G5Z4TTKYMMI9X","GSON2119900015")</f>
        <v>#NAME?</v>
      </c>
      <c r="T2866" s="23" t="e">
        <f ca="1">[1]!BexGetData("DP_1","00O2TNJGODT0G5Z4TTKYMMOLH","GSON2119900015")</f>
        <v>#NAME?</v>
      </c>
      <c r="U2866" s="28" t="e">
        <f ca="1">[1]!BexGetData("DP_1","00O2TNJGODT0G5Z4TTKYMMUX1","GSON2119900015")</f>
        <v>#NAME?</v>
      </c>
      <c r="V2866" s="23" t="e">
        <f ca="1">[1]!BexGetData("DP_1","00O2TNJGODT0G5Z4TTKYMN18L","GSON2119900015")</f>
        <v>#NAME?</v>
      </c>
      <c r="W2866" s="28" t="e">
        <f ca="1">[1]!BexGetData("DP_1","00O2TNJGODT0G5Z4TTKYMN7K5","GSON2119900015")</f>
        <v>#NAME?</v>
      </c>
    </row>
    <row r="2867" spans="1:23" x14ac:dyDescent="0.2">
      <c r="A2867" s="37" t="s">
        <v>6254</v>
      </c>
      <c r="B2867" s="27" t="s">
        <v>6255</v>
      </c>
      <c r="C2867" s="24" t="e">
        <f ca="1">[1]!BexGetData("DP_1","003N8EMH8GTFRCSWKMPXRR8GU","GSON2119900016")</f>
        <v>#NAME?</v>
      </c>
      <c r="D2867" s="24" t="e">
        <f ca="1">[1]!BexGetData("DP_1","003N8EMH8GTFRCSWKMPXRRESE","GSON2119900016")</f>
        <v>#NAME?</v>
      </c>
      <c r="E2867" s="24" t="e">
        <f ca="1">[1]!BexGetData("DP_1","003N8EMH8GTFRCSWKMPXRRL3Y","GSON2119900016")</f>
        <v>#NAME?</v>
      </c>
      <c r="F2867" s="28" t="e">
        <f ca="1">[1]!BexGetData("DP_1","003N8EMH8GTFRCSWKMPXRRRFI","GSON2119900016")</f>
        <v>#NAME?</v>
      </c>
      <c r="G2867" s="23" t="e">
        <f ca="1">[1]!BexGetData("DP_1","003N8EMH8GTFRCSWKMPXRRXR2","GSON2119900016")</f>
        <v>#NAME?</v>
      </c>
      <c r="H2867" s="23" t="e">
        <f ca="1">[1]!BexGetData("DP_1","003N8EMH8GTFRCSWKMPXRS42M","GSON2119900016")</f>
        <v>#NAME?</v>
      </c>
      <c r="I2867" s="28" t="e">
        <f ca="1">[1]!BexGetData("DP_1","003N8EMH8GTFRCSWKMPXRSAE6","GSON2119900016")</f>
        <v>#NAME?</v>
      </c>
      <c r="J2867" s="24" t="e">
        <f ca="1">[1]!BexGetData("DP_1","003N8EMH8GTFRCSWKMPXRSGPQ","GSON2119900016")</f>
        <v>#NAME?</v>
      </c>
      <c r="K2867" s="28" t="e">
        <f ca="1">[1]!BexGetData("DP_1","003N8EMH8GTFRIVNUPY288VJH","GSON2119900016")</f>
        <v>#NAME?</v>
      </c>
      <c r="L2867" s="28" t="e">
        <f ca="1">[1]!BexGetData("DP_1","003N8EMH8GTFRIVNUPY2891V1","GSON2119900016")</f>
        <v>#NAME?</v>
      </c>
      <c r="M2867" s="28" t="e">
        <f ca="1">[1]!BexGetData("DP_1","003N8EMH8GTFRIVOG7KG9IQXA","GSON2119900016")</f>
        <v>#NAME?</v>
      </c>
      <c r="N2867" s="28" t="e">
        <f ca="1">[1]!BexGetData("DP_1","003N8EMH8GTFRIVOG7KG9IX8U","GSON2119900016")</f>
        <v>#NAME?</v>
      </c>
      <c r="O2867" s="28" t="e">
        <f ca="1">[1]!BexGetData("DP_1","003N8EMH8GTFRIVOG7KG9J3KE","GSON2119900016")</f>
        <v>#NAME?</v>
      </c>
      <c r="P2867" s="28" t="e">
        <f ca="1">[1]!BexGetData("DP_1","003N8EMH8GTFRIVOG7KG9J9VY","GSON2119900016")</f>
        <v>#NAME?</v>
      </c>
      <c r="Q2867" s="24" t="e">
        <f ca="1">[1]!BexGetData("DP_1","00O2TNJGODT0G5Z4TTKYMM5MT","GSON2119900016")</f>
        <v>#NAME?</v>
      </c>
      <c r="R2867" s="28" t="e">
        <f ca="1">[1]!BexGetData("DP_1","00O2TNJGODT0G5Z4TTKYMMBYD","GSON2119900016")</f>
        <v>#NAME?</v>
      </c>
      <c r="S2867" s="28" t="e">
        <f ca="1">[1]!BexGetData("DP_1","00O2TNJGODT0G5Z4TTKYMMI9X","GSON2119900016")</f>
        <v>#NAME?</v>
      </c>
      <c r="T2867" s="28" t="e">
        <f ca="1">[1]!BexGetData("DP_1","00O2TNJGODT0G5Z4TTKYMMOLH","GSON2119900016")</f>
        <v>#NAME?</v>
      </c>
      <c r="U2867" s="28" t="e">
        <f ca="1">[1]!BexGetData("DP_1","00O2TNJGODT0G5Z4TTKYMMUX1","GSON2119900016")</f>
        <v>#NAME?</v>
      </c>
      <c r="V2867" s="28" t="e">
        <f ca="1">[1]!BexGetData("DP_1","00O2TNJGODT0G5Z4TTKYMN18L","GSON2119900016")</f>
        <v>#NAME?</v>
      </c>
      <c r="W2867" s="28" t="e">
        <f ca="1">[1]!BexGetData("DP_1","00O2TNJGODT0G5Z4TTKYMN7K5","GSON2119900016")</f>
        <v>#NAME?</v>
      </c>
    </row>
    <row r="2868" spans="1:23" x14ac:dyDescent="0.2">
      <c r="A2868" s="37" t="s">
        <v>6256</v>
      </c>
      <c r="B2868" s="27" t="s">
        <v>6257</v>
      </c>
      <c r="C2868" s="23" t="e">
        <f ca="1">[1]!BexGetData("DP_1","003N8EMH8GTFRCSWKMPXRR8GU","GSON2119900017")</f>
        <v>#NAME?</v>
      </c>
      <c r="D2868" s="23" t="e">
        <f ca="1">[1]!BexGetData("DP_1","003N8EMH8GTFRCSWKMPXRRESE","GSON2119900017")</f>
        <v>#NAME?</v>
      </c>
      <c r="E2868" s="23" t="e">
        <f ca="1">[1]!BexGetData("DP_1","003N8EMH8GTFRCSWKMPXRRL3Y","GSON2119900017")</f>
        <v>#NAME?</v>
      </c>
      <c r="F2868" s="23" t="e">
        <f ca="1">[1]!BexGetData("DP_1","003N8EMH8GTFRCSWKMPXRRRFI","GSON2119900017")</f>
        <v>#NAME?</v>
      </c>
      <c r="G2868" s="23" t="e">
        <f ca="1">[1]!BexGetData("DP_1","003N8EMH8GTFRCSWKMPXRRXR2","GSON2119900017")</f>
        <v>#NAME?</v>
      </c>
      <c r="H2868" s="23" t="e">
        <f ca="1">[1]!BexGetData("DP_1","003N8EMH8GTFRCSWKMPXRS42M","GSON2119900017")</f>
        <v>#NAME?</v>
      </c>
      <c r="I2868" s="23" t="e">
        <f ca="1">[1]!BexGetData("DP_1","003N8EMH8GTFRCSWKMPXRSAE6","GSON2119900017")</f>
        <v>#NAME?</v>
      </c>
      <c r="J2868" s="23" t="e">
        <f ca="1">[1]!BexGetData("DP_1","003N8EMH8GTFRCSWKMPXRSGPQ","GSON2119900017")</f>
        <v>#NAME?</v>
      </c>
      <c r="K2868" s="23" t="e">
        <f ca="1">[1]!BexGetData("DP_1","003N8EMH8GTFRIVNUPY288VJH","GSON2119900017")</f>
        <v>#NAME?</v>
      </c>
      <c r="L2868" s="23" t="e">
        <f ca="1">[1]!BexGetData("DP_1","003N8EMH8GTFRIVNUPY2891V1","GSON2119900017")</f>
        <v>#NAME?</v>
      </c>
      <c r="M2868" s="23" t="e">
        <f ca="1">[1]!BexGetData("DP_1","003N8EMH8GTFRIVOG7KG9IQXA","GSON2119900017")</f>
        <v>#NAME?</v>
      </c>
      <c r="N2868" s="28" t="e">
        <f ca="1">[1]!BexGetData("DP_1","003N8EMH8GTFRIVOG7KG9IX8U","GSON2119900017")</f>
        <v>#NAME?</v>
      </c>
      <c r="O2868" s="23" t="e">
        <f ca="1">[1]!BexGetData("DP_1","003N8EMH8GTFRIVOG7KG9J3KE","GSON2119900017")</f>
        <v>#NAME?</v>
      </c>
      <c r="P2868" s="28" t="e">
        <f ca="1">[1]!BexGetData("DP_1","003N8EMH8GTFRIVOG7KG9J9VY","GSON2119900017")</f>
        <v>#NAME?</v>
      </c>
      <c r="Q2868" s="23" t="e">
        <f ca="1">[1]!BexGetData("DP_1","00O2TNJGODT0G5Z4TTKYMM5MT","GSON2119900017")</f>
        <v>#NAME?</v>
      </c>
      <c r="R2868" s="23" t="e">
        <f ca="1">[1]!BexGetData("DP_1","00O2TNJGODT0G5Z4TTKYMMBYD","GSON2119900017")</f>
        <v>#NAME?</v>
      </c>
      <c r="S2868" s="23" t="e">
        <f ca="1">[1]!BexGetData("DP_1","00O2TNJGODT0G5Z4TTKYMMI9X","GSON2119900017")</f>
        <v>#NAME?</v>
      </c>
      <c r="T2868" s="28" t="e">
        <f ca="1">[1]!BexGetData("DP_1","00O2TNJGODT0G5Z4TTKYMMOLH","GSON2119900017")</f>
        <v>#NAME?</v>
      </c>
      <c r="U2868" s="23" t="e">
        <f ca="1">[1]!BexGetData("DP_1","00O2TNJGODT0G5Z4TTKYMMUX1","GSON2119900017")</f>
        <v>#NAME?</v>
      </c>
      <c r="V2868" s="28" t="e">
        <f ca="1">[1]!BexGetData("DP_1","00O2TNJGODT0G5Z4TTKYMN18L","GSON2119900017")</f>
        <v>#NAME?</v>
      </c>
      <c r="W2868" s="23" t="e">
        <f ca="1">[1]!BexGetData("DP_1","00O2TNJGODT0G5Z4TTKYMN7K5","GSON2119900017")</f>
        <v>#NAME?</v>
      </c>
    </row>
    <row r="2869" spans="1:23" x14ac:dyDescent="0.2">
      <c r="A2869" s="37" t="s">
        <v>6258</v>
      </c>
      <c r="B2869" s="27" t="s">
        <v>6259</v>
      </c>
      <c r="C2869" s="28" t="e">
        <f ca="1">[1]!BexGetData("DP_1","003N8EMH8GTFRCSWKMPXRR8GU","GSON2119900018")</f>
        <v>#NAME?</v>
      </c>
      <c r="D2869" s="28" t="e">
        <f ca="1">[1]!BexGetData("DP_1","003N8EMH8GTFRCSWKMPXRRESE","GSON2119900018")</f>
        <v>#NAME?</v>
      </c>
      <c r="E2869" s="23" t="e">
        <f ca="1">[1]!BexGetData("DP_1","003N8EMH8GTFRCSWKMPXRRL3Y","GSON2119900018")</f>
        <v>#NAME?</v>
      </c>
      <c r="F2869" s="23" t="e">
        <f ca="1">[1]!BexGetData("DP_1","003N8EMH8GTFRCSWKMPXRRRFI","GSON2119900018")</f>
        <v>#NAME?</v>
      </c>
      <c r="G2869" s="28" t="e">
        <f ca="1">[1]!BexGetData("DP_1","003N8EMH8GTFRCSWKMPXRRXR2","GSON2119900018")</f>
        <v>#NAME?</v>
      </c>
      <c r="H2869" s="28" t="e">
        <f ca="1">[1]!BexGetData("DP_1","003N8EMH8GTFRCSWKMPXRS42M","GSON2119900018")</f>
        <v>#NAME?</v>
      </c>
      <c r="I2869" s="23" t="e">
        <f ca="1">[1]!BexGetData("DP_1","003N8EMH8GTFRCSWKMPXRSAE6","GSON2119900018")</f>
        <v>#NAME?</v>
      </c>
      <c r="J2869" s="23" t="e">
        <f ca="1">[1]!BexGetData("DP_1","003N8EMH8GTFRCSWKMPXRSGPQ","GSON2119900018")</f>
        <v>#NAME?</v>
      </c>
      <c r="K2869" s="28" t="e">
        <f ca="1">[1]!BexGetData("DP_1","003N8EMH8GTFRIVNUPY288VJH","GSON2119900018")</f>
        <v>#NAME?</v>
      </c>
      <c r="L2869" s="28" t="e">
        <f ca="1">[1]!BexGetData("DP_1","003N8EMH8GTFRIVNUPY2891V1","GSON2119900018")</f>
        <v>#NAME?</v>
      </c>
      <c r="M2869" s="28" t="e">
        <f ca="1">[1]!BexGetData("DP_1","003N8EMH8GTFRIVOG7KG9IQXA","GSON2119900018")</f>
        <v>#NAME?</v>
      </c>
      <c r="N2869" s="28" t="e">
        <f ca="1">[1]!BexGetData("DP_1","003N8EMH8GTFRIVOG7KG9IX8U","GSON2119900018")</f>
        <v>#NAME?</v>
      </c>
      <c r="O2869" s="28" t="e">
        <f ca="1">[1]!BexGetData("DP_1","003N8EMH8GTFRIVOG7KG9J3KE","GSON2119900018")</f>
        <v>#NAME?</v>
      </c>
      <c r="P2869" s="28" t="e">
        <f ca="1">[1]!BexGetData("DP_1","003N8EMH8GTFRIVOG7KG9J9VY","GSON2119900018")</f>
        <v>#NAME?</v>
      </c>
      <c r="Q2869" s="23" t="e">
        <f ca="1">[1]!BexGetData("DP_1","00O2TNJGODT0G5Z4TTKYMM5MT","GSON2119900018")</f>
        <v>#NAME?</v>
      </c>
      <c r="R2869" s="28" t="e">
        <f ca="1">[1]!BexGetData("DP_1","00O2TNJGODT0G5Z4TTKYMMBYD","GSON2119900018")</f>
        <v>#NAME?</v>
      </c>
      <c r="S2869" s="28" t="e">
        <f ca="1">[1]!BexGetData("DP_1","00O2TNJGODT0G5Z4TTKYMMI9X","GSON2119900018")</f>
        <v>#NAME?</v>
      </c>
      <c r="T2869" s="28" t="e">
        <f ca="1">[1]!BexGetData("DP_1","00O2TNJGODT0G5Z4TTKYMMOLH","GSON2119900018")</f>
        <v>#NAME?</v>
      </c>
      <c r="U2869" s="28" t="e">
        <f ca="1">[1]!BexGetData("DP_1","00O2TNJGODT0G5Z4TTKYMMUX1","GSON2119900018")</f>
        <v>#NAME?</v>
      </c>
      <c r="V2869" s="28" t="e">
        <f ca="1">[1]!BexGetData("DP_1","00O2TNJGODT0G5Z4TTKYMN18L","GSON2119900018")</f>
        <v>#NAME?</v>
      </c>
      <c r="W2869" s="28" t="e">
        <f ca="1">[1]!BexGetData("DP_1","00O2TNJGODT0G5Z4TTKYMN7K5","GSON2119900018")</f>
        <v>#NAME?</v>
      </c>
    </row>
    <row r="2870" spans="1:23" x14ac:dyDescent="0.2">
      <c r="A2870" s="37" t="s">
        <v>6260</v>
      </c>
      <c r="B2870" s="27" t="s">
        <v>6261</v>
      </c>
      <c r="C2870" s="23" t="e">
        <f ca="1">[1]!BexGetData("DP_1","003N8EMH8GTFRCSWKMPXRR8GU","GSON2119900020")</f>
        <v>#NAME?</v>
      </c>
      <c r="D2870" s="23" t="e">
        <f ca="1">[1]!BexGetData("DP_1","003N8EMH8GTFRCSWKMPXRRESE","GSON2119900020")</f>
        <v>#NAME?</v>
      </c>
      <c r="E2870" s="23" t="e">
        <f ca="1">[1]!BexGetData("DP_1","003N8EMH8GTFRCSWKMPXRRL3Y","GSON2119900020")</f>
        <v>#NAME?</v>
      </c>
      <c r="F2870" s="23" t="e">
        <f ca="1">[1]!BexGetData("DP_1","003N8EMH8GTFRCSWKMPXRRRFI","GSON2119900020")</f>
        <v>#NAME?</v>
      </c>
      <c r="G2870" s="23" t="e">
        <f ca="1">[1]!BexGetData("DP_1","003N8EMH8GTFRCSWKMPXRRXR2","GSON2119900020")</f>
        <v>#NAME?</v>
      </c>
      <c r="H2870" s="23" t="e">
        <f ca="1">[1]!BexGetData("DP_1","003N8EMH8GTFRCSWKMPXRS42M","GSON2119900020")</f>
        <v>#NAME?</v>
      </c>
      <c r="I2870" s="23" t="e">
        <f ca="1">[1]!BexGetData("DP_1","003N8EMH8GTFRCSWKMPXRSAE6","GSON2119900020")</f>
        <v>#NAME?</v>
      </c>
      <c r="J2870" s="24" t="e">
        <f ca="1">[1]!BexGetData("DP_1","003N8EMH8GTFRCSWKMPXRSGPQ","GSON2119900020")</f>
        <v>#NAME?</v>
      </c>
      <c r="K2870" s="23" t="e">
        <f ca="1">[1]!BexGetData("DP_1","003N8EMH8GTFRIVNUPY288VJH","GSON2119900020")</f>
        <v>#NAME?</v>
      </c>
      <c r="L2870" s="23" t="e">
        <f ca="1">[1]!BexGetData("DP_1","003N8EMH8GTFRIVNUPY2891V1","GSON2119900020")</f>
        <v>#NAME?</v>
      </c>
      <c r="M2870" s="28" t="e">
        <f ca="1">[1]!BexGetData("DP_1","003N8EMH8GTFRIVOG7KG9IQXA","GSON2119900020")</f>
        <v>#NAME?</v>
      </c>
      <c r="N2870" s="23" t="e">
        <f ca="1">[1]!BexGetData("DP_1","003N8EMH8GTFRIVOG7KG9IX8U","GSON2119900020")</f>
        <v>#NAME?</v>
      </c>
      <c r="O2870" s="28" t="e">
        <f ca="1">[1]!BexGetData("DP_1","003N8EMH8GTFRIVOG7KG9J3KE","GSON2119900020")</f>
        <v>#NAME?</v>
      </c>
      <c r="P2870" s="23" t="e">
        <f ca="1">[1]!BexGetData("DP_1","003N8EMH8GTFRIVOG7KG9J9VY","GSON2119900020")</f>
        <v>#NAME?</v>
      </c>
      <c r="Q2870" s="24" t="e">
        <f ca="1">[1]!BexGetData("DP_1","00O2TNJGODT0G5Z4TTKYMM5MT","GSON2119900020")</f>
        <v>#NAME?</v>
      </c>
      <c r="R2870" s="23" t="e">
        <f ca="1">[1]!BexGetData("DP_1","00O2TNJGODT0G5Z4TTKYMMBYD","GSON2119900020")</f>
        <v>#NAME?</v>
      </c>
      <c r="S2870" s="23" t="e">
        <f ca="1">[1]!BexGetData("DP_1","00O2TNJGODT0G5Z4TTKYMMI9X","GSON2119900020")</f>
        <v>#NAME?</v>
      </c>
      <c r="T2870" s="23" t="e">
        <f ca="1">[1]!BexGetData("DP_1","00O2TNJGODT0G5Z4TTKYMMOLH","GSON2119900020")</f>
        <v>#NAME?</v>
      </c>
      <c r="U2870" s="28" t="e">
        <f ca="1">[1]!BexGetData("DP_1","00O2TNJGODT0G5Z4TTKYMMUX1","GSON2119900020")</f>
        <v>#NAME?</v>
      </c>
      <c r="V2870" s="23" t="e">
        <f ca="1">[1]!BexGetData("DP_1","00O2TNJGODT0G5Z4TTKYMN18L","GSON2119900020")</f>
        <v>#NAME?</v>
      </c>
      <c r="W2870" s="28" t="e">
        <f ca="1">[1]!BexGetData("DP_1","00O2TNJGODT0G5Z4TTKYMN7K5","GSON2119900020")</f>
        <v>#NAME?</v>
      </c>
    </row>
    <row r="2871" spans="1:23" x14ac:dyDescent="0.2">
      <c r="A2871" s="37" t="s">
        <v>6262</v>
      </c>
      <c r="B2871" s="27" t="s">
        <v>6263</v>
      </c>
      <c r="C2871" s="23" t="e">
        <f ca="1">[1]!BexGetData("DP_1","003N8EMH8GTFRCSWKMPXRR8GU","GSON2119900021")</f>
        <v>#NAME?</v>
      </c>
      <c r="D2871" s="23" t="e">
        <f ca="1">[1]!BexGetData("DP_1","003N8EMH8GTFRCSWKMPXRRESE","GSON2119900021")</f>
        <v>#NAME?</v>
      </c>
      <c r="E2871" s="28" t="e">
        <f ca="1">[1]!BexGetData("DP_1","003N8EMH8GTFRCSWKMPXRRL3Y","GSON2119900021")</f>
        <v>#NAME?</v>
      </c>
      <c r="F2871" s="23" t="e">
        <f ca="1">[1]!BexGetData("DP_1","003N8EMH8GTFRCSWKMPXRRRFI","GSON2119900021")</f>
        <v>#NAME?</v>
      </c>
      <c r="G2871" s="23" t="e">
        <f ca="1">[1]!BexGetData("DP_1","003N8EMH8GTFRCSWKMPXRRXR2","GSON2119900021")</f>
        <v>#NAME?</v>
      </c>
      <c r="H2871" s="23" t="e">
        <f ca="1">[1]!BexGetData("DP_1","003N8EMH8GTFRCSWKMPXRS42M","GSON2119900021")</f>
        <v>#NAME?</v>
      </c>
      <c r="I2871" s="23" t="e">
        <f ca="1">[1]!BexGetData("DP_1","003N8EMH8GTFRCSWKMPXRSAE6","GSON2119900021")</f>
        <v>#NAME?</v>
      </c>
      <c r="J2871" s="24" t="e">
        <f ca="1">[1]!BexGetData("DP_1","003N8EMH8GTFRCSWKMPXRSGPQ","GSON2119900021")</f>
        <v>#NAME?</v>
      </c>
      <c r="K2871" s="23" t="e">
        <f ca="1">[1]!BexGetData("DP_1","003N8EMH8GTFRIVNUPY288VJH","GSON2119900021")</f>
        <v>#NAME?</v>
      </c>
      <c r="L2871" s="23" t="e">
        <f ca="1">[1]!BexGetData("DP_1","003N8EMH8GTFRIVNUPY2891V1","GSON2119900021")</f>
        <v>#NAME?</v>
      </c>
      <c r="M2871" s="28" t="e">
        <f ca="1">[1]!BexGetData("DP_1","003N8EMH8GTFRIVOG7KG9IQXA","GSON2119900021")</f>
        <v>#NAME?</v>
      </c>
      <c r="N2871" s="23" t="e">
        <f ca="1">[1]!BexGetData("DP_1","003N8EMH8GTFRIVOG7KG9IX8U","GSON2119900021")</f>
        <v>#NAME?</v>
      </c>
      <c r="O2871" s="28" t="e">
        <f ca="1">[1]!BexGetData("DP_1","003N8EMH8GTFRIVOG7KG9J3KE","GSON2119900021")</f>
        <v>#NAME?</v>
      </c>
      <c r="P2871" s="23" t="e">
        <f ca="1">[1]!BexGetData("DP_1","003N8EMH8GTFRIVOG7KG9J9VY","GSON2119900021")</f>
        <v>#NAME?</v>
      </c>
      <c r="Q2871" s="24" t="e">
        <f ca="1">[1]!BexGetData("DP_1","00O2TNJGODT0G5Z4TTKYMM5MT","GSON2119900021")</f>
        <v>#NAME?</v>
      </c>
      <c r="R2871" s="23" t="e">
        <f ca="1">[1]!BexGetData("DP_1","00O2TNJGODT0G5Z4TTKYMMBYD","GSON2119900021")</f>
        <v>#NAME?</v>
      </c>
      <c r="S2871" s="23" t="e">
        <f ca="1">[1]!BexGetData("DP_1","00O2TNJGODT0G5Z4TTKYMMI9X","GSON2119900021")</f>
        <v>#NAME?</v>
      </c>
      <c r="T2871" s="23" t="e">
        <f ca="1">[1]!BexGetData("DP_1","00O2TNJGODT0G5Z4TTKYMMOLH","GSON2119900021")</f>
        <v>#NAME?</v>
      </c>
      <c r="U2871" s="28" t="e">
        <f ca="1">[1]!BexGetData("DP_1","00O2TNJGODT0G5Z4TTKYMMUX1","GSON2119900021")</f>
        <v>#NAME?</v>
      </c>
      <c r="V2871" s="23" t="e">
        <f ca="1">[1]!BexGetData("DP_1","00O2TNJGODT0G5Z4TTKYMN18L","GSON2119900021")</f>
        <v>#NAME?</v>
      </c>
      <c r="W2871" s="28" t="e">
        <f ca="1">[1]!BexGetData("DP_1","00O2TNJGODT0G5Z4TTKYMN7K5","GSON2119900021")</f>
        <v>#NAME?</v>
      </c>
    </row>
    <row r="2872" spans="1:23" x14ac:dyDescent="0.2">
      <c r="A2872" s="37" t="s">
        <v>1438</v>
      </c>
      <c r="B2872" s="27" t="s">
        <v>1439</v>
      </c>
      <c r="C2872" s="23" t="e">
        <f ca="1">[1]!BexGetData("DP_1","003N8EMH8GTFRCSWKMPXRR8GU","GSON2119900022")</f>
        <v>#NAME?</v>
      </c>
      <c r="D2872" s="28" t="e">
        <f ca="1">[1]!BexGetData("DP_1","003N8EMH8GTFRCSWKMPXRRESE","GSON2119900022")</f>
        <v>#NAME?</v>
      </c>
      <c r="E2872" s="23" t="e">
        <f ca="1">[1]!BexGetData("DP_1","003N8EMH8GTFRCSWKMPXRRL3Y","GSON2119900022")</f>
        <v>#NAME?</v>
      </c>
      <c r="F2872" s="23" t="e">
        <f ca="1">[1]!BexGetData("DP_1","003N8EMH8GTFRCSWKMPXRRRFI","GSON2119900022")</f>
        <v>#NAME?</v>
      </c>
      <c r="G2872" s="23" t="e">
        <f ca="1">[1]!BexGetData("DP_1","003N8EMH8GTFRCSWKMPXRRXR2","GSON2119900022")</f>
        <v>#NAME?</v>
      </c>
      <c r="H2872" s="23" t="e">
        <f ca="1">[1]!BexGetData("DP_1","003N8EMH8GTFRCSWKMPXRS42M","GSON2119900022")</f>
        <v>#NAME?</v>
      </c>
      <c r="I2872" s="23" t="e">
        <f ca="1">[1]!BexGetData("DP_1","003N8EMH8GTFRCSWKMPXRSAE6","GSON2119900022")</f>
        <v>#NAME?</v>
      </c>
      <c r="J2872" s="24" t="e">
        <f ca="1">[1]!BexGetData("DP_1","003N8EMH8GTFRCSWKMPXRSGPQ","GSON2119900022")</f>
        <v>#NAME?</v>
      </c>
      <c r="K2872" s="23" t="e">
        <f ca="1">[1]!BexGetData("DP_1","003N8EMH8GTFRIVNUPY288VJH","GSON2119900022")</f>
        <v>#NAME?</v>
      </c>
      <c r="L2872" s="23" t="e">
        <f ca="1">[1]!BexGetData("DP_1","003N8EMH8GTFRIVNUPY2891V1","GSON2119900022")</f>
        <v>#NAME?</v>
      </c>
      <c r="M2872" s="28" t="e">
        <f ca="1">[1]!BexGetData("DP_1","003N8EMH8GTFRIVOG7KG9IQXA","GSON2119900022")</f>
        <v>#NAME?</v>
      </c>
      <c r="N2872" s="23" t="e">
        <f ca="1">[1]!BexGetData("DP_1","003N8EMH8GTFRIVOG7KG9IX8U","GSON2119900022")</f>
        <v>#NAME?</v>
      </c>
      <c r="O2872" s="28" t="e">
        <f ca="1">[1]!BexGetData("DP_1","003N8EMH8GTFRIVOG7KG9J3KE","GSON2119900022")</f>
        <v>#NAME?</v>
      </c>
      <c r="P2872" s="23" t="e">
        <f ca="1">[1]!BexGetData("DP_1","003N8EMH8GTFRIVOG7KG9J9VY","GSON2119900022")</f>
        <v>#NAME?</v>
      </c>
      <c r="Q2872" s="24" t="e">
        <f ca="1">[1]!BexGetData("DP_1","00O2TNJGODT0G5Z4TTKYMM5MT","GSON2119900022")</f>
        <v>#NAME?</v>
      </c>
      <c r="R2872" s="23" t="e">
        <f ca="1">[1]!BexGetData("DP_1","00O2TNJGODT0G5Z4TTKYMMBYD","GSON2119900022")</f>
        <v>#NAME?</v>
      </c>
      <c r="S2872" s="23" t="e">
        <f ca="1">[1]!BexGetData("DP_1","00O2TNJGODT0G5Z4TTKYMMI9X","GSON2119900022")</f>
        <v>#NAME?</v>
      </c>
      <c r="T2872" s="23" t="e">
        <f ca="1">[1]!BexGetData("DP_1","00O2TNJGODT0G5Z4TTKYMMOLH","GSON2119900022")</f>
        <v>#NAME?</v>
      </c>
      <c r="U2872" s="28" t="e">
        <f ca="1">[1]!BexGetData("DP_1","00O2TNJGODT0G5Z4TTKYMMUX1","GSON2119900022")</f>
        <v>#NAME?</v>
      </c>
      <c r="V2872" s="23" t="e">
        <f ca="1">[1]!BexGetData("DP_1","00O2TNJGODT0G5Z4TTKYMN18L","GSON2119900022")</f>
        <v>#NAME?</v>
      </c>
      <c r="W2872" s="28" t="e">
        <f ca="1">[1]!BexGetData("DP_1","00O2TNJGODT0G5Z4TTKYMN7K5","GSON2119900022")</f>
        <v>#NAME?</v>
      </c>
    </row>
    <row r="2873" spans="1:23" x14ac:dyDescent="0.2">
      <c r="A2873" s="37" t="s">
        <v>6264</v>
      </c>
      <c r="B2873" s="27" t="s">
        <v>6265</v>
      </c>
      <c r="C2873" s="23" t="e">
        <f ca="1">[1]!BexGetData("DP_1","003N8EMH8GTFRCSWKMPXRR8GU","GSON2119900023")</f>
        <v>#NAME?</v>
      </c>
      <c r="D2873" s="28" t="e">
        <f ca="1">[1]!BexGetData("DP_1","003N8EMH8GTFRCSWKMPXRRESE","GSON2119900023")</f>
        <v>#NAME?</v>
      </c>
      <c r="E2873" s="23" t="e">
        <f ca="1">[1]!BexGetData("DP_1","003N8EMH8GTFRCSWKMPXRRL3Y","GSON2119900023")</f>
        <v>#NAME?</v>
      </c>
      <c r="F2873" s="23" t="e">
        <f ca="1">[1]!BexGetData("DP_1","003N8EMH8GTFRCSWKMPXRRRFI","GSON2119900023")</f>
        <v>#NAME?</v>
      </c>
      <c r="G2873" s="23" t="e">
        <f ca="1">[1]!BexGetData("DP_1","003N8EMH8GTFRCSWKMPXRRXR2","GSON2119900023")</f>
        <v>#NAME?</v>
      </c>
      <c r="H2873" s="23" t="e">
        <f ca="1">[1]!BexGetData("DP_1","003N8EMH8GTFRCSWKMPXRS42M","GSON2119900023")</f>
        <v>#NAME?</v>
      </c>
      <c r="I2873" s="23" t="e">
        <f ca="1">[1]!BexGetData("DP_1","003N8EMH8GTFRCSWKMPXRSAE6","GSON2119900023")</f>
        <v>#NAME?</v>
      </c>
      <c r="J2873" s="24" t="e">
        <f ca="1">[1]!BexGetData("DP_1","003N8EMH8GTFRCSWKMPXRSGPQ","GSON2119900023")</f>
        <v>#NAME?</v>
      </c>
      <c r="K2873" s="23" t="e">
        <f ca="1">[1]!BexGetData("DP_1","003N8EMH8GTFRIVNUPY288VJH","GSON2119900023")</f>
        <v>#NAME?</v>
      </c>
      <c r="L2873" s="23" t="e">
        <f ca="1">[1]!BexGetData("DP_1","003N8EMH8GTFRIVNUPY2891V1","GSON2119900023")</f>
        <v>#NAME?</v>
      </c>
      <c r="M2873" s="28" t="e">
        <f ca="1">[1]!BexGetData("DP_1","003N8EMH8GTFRIVOG7KG9IQXA","GSON2119900023")</f>
        <v>#NAME?</v>
      </c>
      <c r="N2873" s="23" t="e">
        <f ca="1">[1]!BexGetData("DP_1","003N8EMH8GTFRIVOG7KG9IX8U","GSON2119900023")</f>
        <v>#NAME?</v>
      </c>
      <c r="O2873" s="28" t="e">
        <f ca="1">[1]!BexGetData("DP_1","003N8EMH8GTFRIVOG7KG9J3KE","GSON2119900023")</f>
        <v>#NAME?</v>
      </c>
      <c r="P2873" s="23" t="e">
        <f ca="1">[1]!BexGetData("DP_1","003N8EMH8GTFRIVOG7KG9J9VY","GSON2119900023")</f>
        <v>#NAME?</v>
      </c>
      <c r="Q2873" s="24" t="e">
        <f ca="1">[1]!BexGetData("DP_1","00O2TNJGODT0G5Z4TTKYMM5MT","GSON2119900023")</f>
        <v>#NAME?</v>
      </c>
      <c r="R2873" s="23" t="e">
        <f ca="1">[1]!BexGetData("DP_1","00O2TNJGODT0G5Z4TTKYMMBYD","GSON2119900023")</f>
        <v>#NAME?</v>
      </c>
      <c r="S2873" s="23" t="e">
        <f ca="1">[1]!BexGetData("DP_1","00O2TNJGODT0G5Z4TTKYMMI9X","GSON2119900023")</f>
        <v>#NAME?</v>
      </c>
      <c r="T2873" s="23" t="e">
        <f ca="1">[1]!BexGetData("DP_1","00O2TNJGODT0G5Z4TTKYMMOLH","GSON2119900023")</f>
        <v>#NAME?</v>
      </c>
      <c r="U2873" s="28" t="e">
        <f ca="1">[1]!BexGetData("DP_1","00O2TNJGODT0G5Z4TTKYMMUX1","GSON2119900023")</f>
        <v>#NAME?</v>
      </c>
      <c r="V2873" s="23" t="e">
        <f ca="1">[1]!BexGetData("DP_1","00O2TNJGODT0G5Z4TTKYMN18L","GSON2119900023")</f>
        <v>#NAME?</v>
      </c>
      <c r="W2873" s="28" t="e">
        <f ca="1">[1]!BexGetData("DP_1","00O2TNJGODT0G5Z4TTKYMN7K5","GSON2119900023")</f>
        <v>#NAME?</v>
      </c>
    </row>
    <row r="2874" spans="1:23" x14ac:dyDescent="0.2">
      <c r="A2874" s="37" t="s">
        <v>6266</v>
      </c>
      <c r="B2874" s="27" t="s">
        <v>6267</v>
      </c>
      <c r="C2874" s="23" t="e">
        <f ca="1">[1]!BexGetData("DP_1","003N8EMH8GTFRCSWKMPXRR8GU","GSON2119900024")</f>
        <v>#NAME?</v>
      </c>
      <c r="D2874" s="23" t="e">
        <f ca="1">[1]!BexGetData("DP_1","003N8EMH8GTFRCSWKMPXRRESE","GSON2119900024")</f>
        <v>#NAME?</v>
      </c>
      <c r="E2874" s="23" t="e">
        <f ca="1">[1]!BexGetData("DP_1","003N8EMH8GTFRCSWKMPXRRL3Y","GSON2119900024")</f>
        <v>#NAME?</v>
      </c>
      <c r="F2874" s="23" t="e">
        <f ca="1">[1]!BexGetData("DP_1","003N8EMH8GTFRCSWKMPXRRRFI","GSON2119900024")</f>
        <v>#NAME?</v>
      </c>
      <c r="G2874" s="23" t="e">
        <f ca="1">[1]!BexGetData("DP_1","003N8EMH8GTFRCSWKMPXRRXR2","GSON2119900024")</f>
        <v>#NAME?</v>
      </c>
      <c r="H2874" s="28" t="e">
        <f ca="1">[1]!BexGetData("DP_1","003N8EMH8GTFRCSWKMPXRS42M","GSON2119900024")</f>
        <v>#NAME?</v>
      </c>
      <c r="I2874" s="23" t="e">
        <f ca="1">[1]!BexGetData("DP_1","003N8EMH8GTFRCSWKMPXRSAE6","GSON2119900024")</f>
        <v>#NAME?</v>
      </c>
      <c r="J2874" s="23" t="e">
        <f ca="1">[1]!BexGetData("DP_1","003N8EMH8GTFRCSWKMPXRSGPQ","GSON2119900024")</f>
        <v>#NAME?</v>
      </c>
      <c r="K2874" s="28" t="e">
        <f ca="1">[1]!BexGetData("DP_1","003N8EMH8GTFRIVNUPY288VJH","GSON2119900024")</f>
        <v>#NAME?</v>
      </c>
      <c r="L2874" s="28" t="e">
        <f ca="1">[1]!BexGetData("DP_1","003N8EMH8GTFRIVNUPY2891V1","GSON2119900024")</f>
        <v>#NAME?</v>
      </c>
      <c r="M2874" s="28" t="e">
        <f ca="1">[1]!BexGetData("DP_1","003N8EMH8GTFRIVOG7KG9IQXA","GSON2119900024")</f>
        <v>#NAME?</v>
      </c>
      <c r="N2874" s="28" t="e">
        <f ca="1">[1]!BexGetData("DP_1","003N8EMH8GTFRIVOG7KG9IX8U","GSON2119900024")</f>
        <v>#NAME?</v>
      </c>
      <c r="O2874" s="28" t="e">
        <f ca="1">[1]!BexGetData("DP_1","003N8EMH8GTFRIVOG7KG9J3KE","GSON2119900024")</f>
        <v>#NAME?</v>
      </c>
      <c r="P2874" s="28" t="e">
        <f ca="1">[1]!BexGetData("DP_1","003N8EMH8GTFRIVOG7KG9J9VY","GSON2119900024")</f>
        <v>#NAME?</v>
      </c>
      <c r="Q2874" s="23" t="e">
        <f ca="1">[1]!BexGetData("DP_1","00O2TNJGODT0G5Z4TTKYMM5MT","GSON2119900024")</f>
        <v>#NAME?</v>
      </c>
      <c r="R2874" s="23" t="e">
        <f ca="1">[1]!BexGetData("DP_1","00O2TNJGODT0G5Z4TTKYMMBYD","GSON2119900024")</f>
        <v>#NAME?</v>
      </c>
      <c r="S2874" s="23" t="e">
        <f ca="1">[1]!BexGetData("DP_1","00O2TNJGODT0G5Z4TTKYMMI9X","GSON2119900024")</f>
        <v>#NAME?</v>
      </c>
      <c r="T2874" s="28" t="e">
        <f ca="1">[1]!BexGetData("DP_1","00O2TNJGODT0G5Z4TTKYMMOLH","GSON2119900024")</f>
        <v>#NAME?</v>
      </c>
      <c r="U2874" s="23" t="e">
        <f ca="1">[1]!BexGetData("DP_1","00O2TNJGODT0G5Z4TTKYMMUX1","GSON2119900024")</f>
        <v>#NAME?</v>
      </c>
      <c r="V2874" s="28" t="e">
        <f ca="1">[1]!BexGetData("DP_1","00O2TNJGODT0G5Z4TTKYMN18L","GSON2119900024")</f>
        <v>#NAME?</v>
      </c>
      <c r="W2874" s="23" t="e">
        <f ca="1">[1]!BexGetData("DP_1","00O2TNJGODT0G5Z4TTKYMN7K5","GSON2119900024")</f>
        <v>#NAME?</v>
      </c>
    </row>
    <row r="2875" spans="1:23" x14ac:dyDescent="0.2">
      <c r="A2875" s="37" t="s">
        <v>6268</v>
      </c>
      <c r="B2875" s="27" t="s">
        <v>6269</v>
      </c>
      <c r="C2875" s="23" t="e">
        <f ca="1">[1]!BexGetData("DP_1","003N8EMH8GTFRCSWKMPXRR8GU","GSON2119900025")</f>
        <v>#NAME?</v>
      </c>
      <c r="D2875" s="28" t="e">
        <f ca="1">[1]!BexGetData("DP_1","003N8EMH8GTFRCSWKMPXRRESE","GSON2119900025")</f>
        <v>#NAME?</v>
      </c>
      <c r="E2875" s="23" t="e">
        <f ca="1">[1]!BexGetData("DP_1","003N8EMH8GTFRCSWKMPXRRL3Y","GSON2119900025")</f>
        <v>#NAME?</v>
      </c>
      <c r="F2875" s="23" t="e">
        <f ca="1">[1]!BexGetData("DP_1","003N8EMH8GTFRCSWKMPXRRRFI","GSON2119900025")</f>
        <v>#NAME?</v>
      </c>
      <c r="G2875" s="23" t="e">
        <f ca="1">[1]!BexGetData("DP_1","003N8EMH8GTFRCSWKMPXRRXR2","GSON2119900025")</f>
        <v>#NAME?</v>
      </c>
      <c r="H2875" s="23" t="e">
        <f ca="1">[1]!BexGetData("DP_1","003N8EMH8GTFRCSWKMPXRS42M","GSON2119900025")</f>
        <v>#NAME?</v>
      </c>
      <c r="I2875" s="23" t="e">
        <f ca="1">[1]!BexGetData("DP_1","003N8EMH8GTFRCSWKMPXRSAE6","GSON2119900025")</f>
        <v>#NAME?</v>
      </c>
      <c r="J2875" s="23" t="e">
        <f ca="1">[1]!BexGetData("DP_1","003N8EMH8GTFRCSWKMPXRSGPQ","GSON2119900025")</f>
        <v>#NAME?</v>
      </c>
      <c r="K2875" s="23" t="e">
        <f ca="1">[1]!BexGetData("DP_1","003N8EMH8GTFRIVNUPY288VJH","GSON2119900025")</f>
        <v>#NAME?</v>
      </c>
      <c r="L2875" s="23" t="e">
        <f ca="1">[1]!BexGetData("DP_1","003N8EMH8GTFRIVNUPY2891V1","GSON2119900025")</f>
        <v>#NAME?</v>
      </c>
      <c r="M2875" s="28" t="e">
        <f ca="1">[1]!BexGetData("DP_1","003N8EMH8GTFRIVOG7KG9IQXA","GSON2119900025")</f>
        <v>#NAME?</v>
      </c>
      <c r="N2875" s="23" t="e">
        <f ca="1">[1]!BexGetData("DP_1","003N8EMH8GTFRIVOG7KG9IX8U","GSON2119900025")</f>
        <v>#NAME?</v>
      </c>
      <c r="O2875" s="28" t="e">
        <f ca="1">[1]!BexGetData("DP_1","003N8EMH8GTFRIVOG7KG9J3KE","GSON2119900025")</f>
        <v>#NAME?</v>
      </c>
      <c r="P2875" s="23" t="e">
        <f ca="1">[1]!BexGetData("DP_1","003N8EMH8GTFRIVOG7KG9J9VY","GSON2119900025")</f>
        <v>#NAME?</v>
      </c>
      <c r="Q2875" s="23" t="e">
        <f ca="1">[1]!BexGetData("DP_1","00O2TNJGODT0G5Z4TTKYMM5MT","GSON2119900025")</f>
        <v>#NAME?</v>
      </c>
      <c r="R2875" s="23" t="e">
        <f ca="1">[1]!BexGetData("DP_1","00O2TNJGODT0G5Z4TTKYMMBYD","GSON2119900025")</f>
        <v>#NAME?</v>
      </c>
      <c r="S2875" s="23" t="e">
        <f ca="1">[1]!BexGetData("DP_1","00O2TNJGODT0G5Z4TTKYMMI9X","GSON2119900025")</f>
        <v>#NAME?</v>
      </c>
      <c r="T2875" s="28" t="e">
        <f ca="1">[1]!BexGetData("DP_1","00O2TNJGODT0G5Z4TTKYMMOLH","GSON2119900025")</f>
        <v>#NAME?</v>
      </c>
      <c r="U2875" s="23" t="e">
        <f ca="1">[1]!BexGetData("DP_1","00O2TNJGODT0G5Z4TTKYMMUX1","GSON2119900025")</f>
        <v>#NAME?</v>
      </c>
      <c r="V2875" s="28" t="e">
        <f ca="1">[1]!BexGetData("DP_1","00O2TNJGODT0G5Z4TTKYMN18L","GSON2119900025")</f>
        <v>#NAME?</v>
      </c>
      <c r="W2875" s="23" t="e">
        <f ca="1">[1]!BexGetData("DP_1","00O2TNJGODT0G5Z4TTKYMN7K5","GSON2119900025")</f>
        <v>#NAME?</v>
      </c>
    </row>
    <row r="2876" spans="1:23" x14ac:dyDescent="0.2">
      <c r="A2876" s="37" t="s">
        <v>6270</v>
      </c>
      <c r="B2876" s="27" t="s">
        <v>6271</v>
      </c>
      <c r="C2876" s="23" t="e">
        <f ca="1">[1]!BexGetData("DP_1","003N8EMH8GTFRCSWKMPXRR8GU","GSON2119900026")</f>
        <v>#NAME?</v>
      </c>
      <c r="D2876" s="23" t="e">
        <f ca="1">[1]!BexGetData("DP_1","003N8EMH8GTFRCSWKMPXRRESE","GSON2119900026")</f>
        <v>#NAME?</v>
      </c>
      <c r="E2876" s="28" t="e">
        <f ca="1">[1]!BexGetData("DP_1","003N8EMH8GTFRCSWKMPXRRL3Y","GSON2119900026")</f>
        <v>#NAME?</v>
      </c>
      <c r="F2876" s="23" t="e">
        <f ca="1">[1]!BexGetData("DP_1","003N8EMH8GTFRCSWKMPXRRRFI","GSON2119900026")</f>
        <v>#NAME?</v>
      </c>
      <c r="G2876" s="23" t="e">
        <f ca="1">[1]!BexGetData("DP_1","003N8EMH8GTFRCSWKMPXRRXR2","GSON2119900026")</f>
        <v>#NAME?</v>
      </c>
      <c r="H2876" s="23" t="e">
        <f ca="1">[1]!BexGetData("DP_1","003N8EMH8GTFRCSWKMPXRS42M","GSON2119900026")</f>
        <v>#NAME?</v>
      </c>
      <c r="I2876" s="23" t="e">
        <f ca="1">[1]!BexGetData("DP_1","003N8EMH8GTFRCSWKMPXRSAE6","GSON2119900026")</f>
        <v>#NAME?</v>
      </c>
      <c r="J2876" s="24" t="e">
        <f ca="1">[1]!BexGetData("DP_1","003N8EMH8GTFRCSWKMPXRSGPQ","GSON2119900026")</f>
        <v>#NAME?</v>
      </c>
      <c r="K2876" s="23" t="e">
        <f ca="1">[1]!BexGetData("DP_1","003N8EMH8GTFRIVNUPY288VJH","GSON2119900026")</f>
        <v>#NAME?</v>
      </c>
      <c r="L2876" s="23" t="e">
        <f ca="1">[1]!BexGetData("DP_1","003N8EMH8GTFRIVNUPY2891V1","GSON2119900026")</f>
        <v>#NAME?</v>
      </c>
      <c r="M2876" s="28" t="e">
        <f ca="1">[1]!BexGetData("DP_1","003N8EMH8GTFRIVOG7KG9IQXA","GSON2119900026")</f>
        <v>#NAME?</v>
      </c>
      <c r="N2876" s="23" t="e">
        <f ca="1">[1]!BexGetData("DP_1","003N8EMH8GTFRIVOG7KG9IX8U","GSON2119900026")</f>
        <v>#NAME?</v>
      </c>
      <c r="O2876" s="28" t="e">
        <f ca="1">[1]!BexGetData("DP_1","003N8EMH8GTFRIVOG7KG9J3KE","GSON2119900026")</f>
        <v>#NAME?</v>
      </c>
      <c r="P2876" s="23" t="e">
        <f ca="1">[1]!BexGetData("DP_1","003N8EMH8GTFRIVOG7KG9J9VY","GSON2119900026")</f>
        <v>#NAME?</v>
      </c>
      <c r="Q2876" s="24" t="e">
        <f ca="1">[1]!BexGetData("DP_1","00O2TNJGODT0G5Z4TTKYMM5MT","GSON2119900026")</f>
        <v>#NAME?</v>
      </c>
      <c r="R2876" s="23" t="e">
        <f ca="1">[1]!BexGetData("DP_1","00O2TNJGODT0G5Z4TTKYMMBYD","GSON2119900026")</f>
        <v>#NAME?</v>
      </c>
      <c r="S2876" s="23" t="e">
        <f ca="1">[1]!BexGetData("DP_1","00O2TNJGODT0G5Z4TTKYMMI9X","GSON2119900026")</f>
        <v>#NAME?</v>
      </c>
      <c r="T2876" s="23" t="e">
        <f ca="1">[1]!BexGetData("DP_1","00O2TNJGODT0G5Z4TTKYMMOLH","GSON2119900026")</f>
        <v>#NAME?</v>
      </c>
      <c r="U2876" s="28" t="e">
        <f ca="1">[1]!BexGetData("DP_1","00O2TNJGODT0G5Z4TTKYMMUX1","GSON2119900026")</f>
        <v>#NAME?</v>
      </c>
      <c r="V2876" s="23" t="e">
        <f ca="1">[1]!BexGetData("DP_1","00O2TNJGODT0G5Z4TTKYMN18L","GSON2119900026")</f>
        <v>#NAME?</v>
      </c>
      <c r="W2876" s="28" t="e">
        <f ca="1">[1]!BexGetData("DP_1","00O2TNJGODT0G5Z4TTKYMN7K5","GSON2119900026")</f>
        <v>#NAME?</v>
      </c>
    </row>
    <row r="2877" spans="1:23" x14ac:dyDescent="0.2">
      <c r="A2877" s="37" t="s">
        <v>6272</v>
      </c>
      <c r="B2877" s="27" t="s">
        <v>6273</v>
      </c>
      <c r="C2877" s="23" t="e">
        <f ca="1">[1]!BexGetData("DP_1","003N8EMH8GTFRCSWKMPXRR8GU","GSON2119900027")</f>
        <v>#NAME?</v>
      </c>
      <c r="D2877" s="23" t="e">
        <f ca="1">[1]!BexGetData("DP_1","003N8EMH8GTFRCSWKMPXRRESE","GSON2119900027")</f>
        <v>#NAME?</v>
      </c>
      <c r="E2877" s="28" t="e">
        <f ca="1">[1]!BexGetData("DP_1","003N8EMH8GTFRCSWKMPXRRL3Y","GSON2119900027")</f>
        <v>#NAME?</v>
      </c>
      <c r="F2877" s="24" t="e">
        <f ca="1">[1]!BexGetData("DP_1","003N8EMH8GTFRCSWKMPXRRRFI","GSON2119900027")</f>
        <v>#NAME?</v>
      </c>
      <c r="G2877" s="24" t="e">
        <f ca="1">[1]!BexGetData("DP_1","003N8EMH8GTFRCSWKMPXRRXR2","GSON2119900027")</f>
        <v>#NAME?</v>
      </c>
      <c r="H2877" s="24" t="e">
        <f ca="1">[1]!BexGetData("DP_1","003N8EMH8GTFRCSWKMPXRS42M","GSON2119900027")</f>
        <v>#NAME?</v>
      </c>
      <c r="I2877" s="24" t="e">
        <f ca="1">[1]!BexGetData("DP_1","003N8EMH8GTFRCSWKMPXRSAE6","GSON2119900027")</f>
        <v>#NAME?</v>
      </c>
      <c r="J2877" s="24" t="e">
        <f ca="1">[1]!BexGetData("DP_1","003N8EMH8GTFRCSWKMPXRSGPQ","GSON2119900027")</f>
        <v>#NAME?</v>
      </c>
      <c r="K2877" s="28" t="e">
        <f ca="1">[1]!BexGetData("DP_1","003N8EMH8GTFRIVNUPY288VJH","GSON2119900027")</f>
        <v>#NAME?</v>
      </c>
      <c r="L2877" s="28" t="e">
        <f ca="1">[1]!BexGetData("DP_1","003N8EMH8GTFRIVNUPY2891V1","GSON2119900027")</f>
        <v>#NAME?</v>
      </c>
      <c r="M2877" s="28" t="e">
        <f ca="1">[1]!BexGetData("DP_1","003N8EMH8GTFRIVOG7KG9IQXA","GSON2119900027")</f>
        <v>#NAME?</v>
      </c>
      <c r="N2877" s="28" t="e">
        <f ca="1">[1]!BexGetData("DP_1","003N8EMH8GTFRIVOG7KG9IX8U","GSON2119900027")</f>
        <v>#NAME?</v>
      </c>
      <c r="O2877" s="28" t="e">
        <f ca="1">[1]!BexGetData("DP_1","003N8EMH8GTFRIVOG7KG9J3KE","GSON2119900027")</f>
        <v>#NAME?</v>
      </c>
      <c r="P2877" s="28" t="e">
        <f ca="1">[1]!BexGetData("DP_1","003N8EMH8GTFRIVOG7KG9J9VY","GSON2119900027")</f>
        <v>#NAME?</v>
      </c>
      <c r="Q2877" s="24" t="e">
        <f ca="1">[1]!BexGetData("DP_1","00O2TNJGODT0G5Z4TTKYMM5MT","GSON2119900027")</f>
        <v>#NAME?</v>
      </c>
      <c r="R2877" s="24" t="e">
        <f ca="1">[1]!BexGetData("DP_1","00O2TNJGODT0G5Z4TTKYMMBYD","GSON2119900027")</f>
        <v>#NAME?</v>
      </c>
      <c r="S2877" s="24" t="e">
        <f ca="1">[1]!BexGetData("DP_1","00O2TNJGODT0G5Z4TTKYMMI9X","GSON2119900027")</f>
        <v>#NAME?</v>
      </c>
      <c r="T2877" s="24" t="e">
        <f ca="1">[1]!BexGetData("DP_1","00O2TNJGODT0G5Z4TTKYMMOLH","GSON2119900027")</f>
        <v>#NAME?</v>
      </c>
      <c r="U2877" s="24" t="e">
        <f ca="1">[1]!BexGetData("DP_1","00O2TNJGODT0G5Z4TTKYMMUX1","GSON2119900027")</f>
        <v>#NAME?</v>
      </c>
      <c r="V2877" s="24" t="e">
        <f ca="1">[1]!BexGetData("DP_1","00O2TNJGODT0G5Z4TTKYMN18L","GSON2119900027")</f>
        <v>#NAME?</v>
      </c>
      <c r="W2877" s="24" t="e">
        <f ca="1">[1]!BexGetData("DP_1","00O2TNJGODT0G5Z4TTKYMN7K5","GSON2119900027")</f>
        <v>#NAME?</v>
      </c>
    </row>
    <row r="2878" spans="1:23" x14ac:dyDescent="0.2">
      <c r="A2878" s="37" t="s">
        <v>6274</v>
      </c>
      <c r="B2878" s="27" t="s">
        <v>6275</v>
      </c>
      <c r="C2878" s="23" t="e">
        <f ca="1">[1]!BexGetData("DP_1","003N8EMH8GTFRCSWKMPXRR8GU","GSON2119900028")</f>
        <v>#NAME?</v>
      </c>
      <c r="D2878" s="23" t="e">
        <f ca="1">[1]!BexGetData("DP_1","003N8EMH8GTFRCSWKMPXRRESE","GSON2119900028")</f>
        <v>#NAME?</v>
      </c>
      <c r="E2878" s="23" t="e">
        <f ca="1">[1]!BexGetData("DP_1","003N8EMH8GTFRCSWKMPXRRL3Y","GSON2119900028")</f>
        <v>#NAME?</v>
      </c>
      <c r="F2878" s="24" t="e">
        <f ca="1">[1]!BexGetData("DP_1","003N8EMH8GTFRCSWKMPXRRRFI","GSON2119900028")</f>
        <v>#NAME?</v>
      </c>
      <c r="G2878" s="24" t="e">
        <f ca="1">[1]!BexGetData("DP_1","003N8EMH8GTFRCSWKMPXRRXR2","GSON2119900028")</f>
        <v>#NAME?</v>
      </c>
      <c r="H2878" s="24" t="e">
        <f ca="1">[1]!BexGetData("DP_1","003N8EMH8GTFRCSWKMPXRS42M","GSON2119900028")</f>
        <v>#NAME?</v>
      </c>
      <c r="I2878" s="24" t="e">
        <f ca="1">[1]!BexGetData("DP_1","003N8EMH8GTFRCSWKMPXRSAE6","GSON2119900028")</f>
        <v>#NAME?</v>
      </c>
      <c r="J2878" s="24" t="e">
        <f ca="1">[1]!BexGetData("DP_1","003N8EMH8GTFRCSWKMPXRSGPQ","GSON2119900028")</f>
        <v>#NAME?</v>
      </c>
      <c r="K2878" s="23" t="e">
        <f ca="1">[1]!BexGetData("DP_1","003N8EMH8GTFRIVNUPY288VJH","GSON2119900028")</f>
        <v>#NAME?</v>
      </c>
      <c r="L2878" s="23" t="e">
        <f ca="1">[1]!BexGetData("DP_1","003N8EMH8GTFRIVNUPY2891V1","GSON2119900028")</f>
        <v>#NAME?</v>
      </c>
      <c r="M2878" s="23" t="e">
        <f ca="1">[1]!BexGetData("DP_1","003N8EMH8GTFRIVOG7KG9IQXA","GSON2119900028")</f>
        <v>#NAME?</v>
      </c>
      <c r="N2878" s="28" t="e">
        <f ca="1">[1]!BexGetData("DP_1","003N8EMH8GTFRIVOG7KG9IX8U","GSON2119900028")</f>
        <v>#NAME?</v>
      </c>
      <c r="O2878" s="23" t="e">
        <f ca="1">[1]!BexGetData("DP_1","003N8EMH8GTFRIVOG7KG9J3KE","GSON2119900028")</f>
        <v>#NAME?</v>
      </c>
      <c r="P2878" s="28" t="e">
        <f ca="1">[1]!BexGetData("DP_1","003N8EMH8GTFRIVOG7KG9J9VY","GSON2119900028")</f>
        <v>#NAME?</v>
      </c>
      <c r="Q2878" s="24" t="e">
        <f ca="1">[1]!BexGetData("DP_1","00O2TNJGODT0G5Z4TTKYMM5MT","GSON2119900028")</f>
        <v>#NAME?</v>
      </c>
      <c r="R2878" s="24" t="e">
        <f ca="1">[1]!BexGetData("DP_1","00O2TNJGODT0G5Z4TTKYMMBYD","GSON2119900028")</f>
        <v>#NAME?</v>
      </c>
      <c r="S2878" s="24" t="e">
        <f ca="1">[1]!BexGetData("DP_1","00O2TNJGODT0G5Z4TTKYMMI9X","GSON2119900028")</f>
        <v>#NAME?</v>
      </c>
      <c r="T2878" s="24" t="e">
        <f ca="1">[1]!BexGetData("DP_1","00O2TNJGODT0G5Z4TTKYMMOLH","GSON2119900028")</f>
        <v>#NAME?</v>
      </c>
      <c r="U2878" s="24" t="e">
        <f ca="1">[1]!BexGetData("DP_1","00O2TNJGODT0G5Z4TTKYMMUX1","GSON2119900028")</f>
        <v>#NAME?</v>
      </c>
      <c r="V2878" s="24" t="e">
        <f ca="1">[1]!BexGetData("DP_1","00O2TNJGODT0G5Z4TTKYMN18L","GSON2119900028")</f>
        <v>#NAME?</v>
      </c>
      <c r="W2878" s="24" t="e">
        <f ca="1">[1]!BexGetData("DP_1","00O2TNJGODT0G5Z4TTKYMN7K5","GSON2119900028")</f>
        <v>#NAME?</v>
      </c>
    </row>
    <row r="2879" spans="1:23" x14ac:dyDescent="0.2">
      <c r="A2879" s="37" t="s">
        <v>6276</v>
      </c>
      <c r="B2879" s="27" t="s">
        <v>6277</v>
      </c>
      <c r="C2879" s="23" t="e">
        <f ca="1">[1]!BexGetData("DP_1","003N8EMH8GTFRCSWKMPXRR8GU","GSON2119900029")</f>
        <v>#NAME?</v>
      </c>
      <c r="D2879" s="23" t="e">
        <f ca="1">[1]!BexGetData("DP_1","003N8EMH8GTFRCSWKMPXRRESE","GSON2119900029")</f>
        <v>#NAME?</v>
      </c>
      <c r="E2879" s="23" t="e">
        <f ca="1">[1]!BexGetData("DP_1","003N8EMH8GTFRCSWKMPXRRL3Y","GSON2119900029")</f>
        <v>#NAME?</v>
      </c>
      <c r="F2879" s="24" t="e">
        <f ca="1">[1]!BexGetData("DP_1","003N8EMH8GTFRCSWKMPXRRRFI","GSON2119900029")</f>
        <v>#NAME?</v>
      </c>
      <c r="G2879" s="24" t="e">
        <f ca="1">[1]!BexGetData("DP_1","003N8EMH8GTFRCSWKMPXRRXR2","GSON2119900029")</f>
        <v>#NAME?</v>
      </c>
      <c r="H2879" s="24" t="e">
        <f ca="1">[1]!BexGetData("DP_1","003N8EMH8GTFRCSWKMPXRS42M","GSON2119900029")</f>
        <v>#NAME?</v>
      </c>
      <c r="I2879" s="24" t="e">
        <f ca="1">[1]!BexGetData("DP_1","003N8EMH8GTFRCSWKMPXRSAE6","GSON2119900029")</f>
        <v>#NAME?</v>
      </c>
      <c r="J2879" s="24" t="e">
        <f ca="1">[1]!BexGetData("DP_1","003N8EMH8GTFRCSWKMPXRSGPQ","GSON2119900029")</f>
        <v>#NAME?</v>
      </c>
      <c r="K2879" s="23" t="e">
        <f ca="1">[1]!BexGetData("DP_1","003N8EMH8GTFRIVNUPY288VJH","GSON2119900029")</f>
        <v>#NAME?</v>
      </c>
      <c r="L2879" s="23" t="e">
        <f ca="1">[1]!BexGetData("DP_1","003N8EMH8GTFRIVNUPY2891V1","GSON2119900029")</f>
        <v>#NAME?</v>
      </c>
      <c r="M2879" s="23" t="e">
        <f ca="1">[1]!BexGetData("DP_1","003N8EMH8GTFRIVOG7KG9IQXA","GSON2119900029")</f>
        <v>#NAME?</v>
      </c>
      <c r="N2879" s="28" t="e">
        <f ca="1">[1]!BexGetData("DP_1","003N8EMH8GTFRIVOG7KG9IX8U","GSON2119900029")</f>
        <v>#NAME?</v>
      </c>
      <c r="O2879" s="23" t="e">
        <f ca="1">[1]!BexGetData("DP_1","003N8EMH8GTFRIVOG7KG9J3KE","GSON2119900029")</f>
        <v>#NAME?</v>
      </c>
      <c r="P2879" s="28" t="e">
        <f ca="1">[1]!BexGetData("DP_1","003N8EMH8GTFRIVOG7KG9J9VY","GSON2119900029")</f>
        <v>#NAME?</v>
      </c>
      <c r="Q2879" s="24" t="e">
        <f ca="1">[1]!BexGetData("DP_1","00O2TNJGODT0G5Z4TTKYMM5MT","GSON2119900029")</f>
        <v>#NAME?</v>
      </c>
      <c r="R2879" s="24" t="e">
        <f ca="1">[1]!BexGetData("DP_1","00O2TNJGODT0G5Z4TTKYMMBYD","GSON2119900029")</f>
        <v>#NAME?</v>
      </c>
      <c r="S2879" s="24" t="e">
        <f ca="1">[1]!BexGetData("DP_1","00O2TNJGODT0G5Z4TTKYMMI9X","GSON2119900029")</f>
        <v>#NAME?</v>
      </c>
      <c r="T2879" s="24" t="e">
        <f ca="1">[1]!BexGetData("DP_1","00O2TNJGODT0G5Z4TTKYMMOLH","GSON2119900029")</f>
        <v>#NAME?</v>
      </c>
      <c r="U2879" s="24" t="e">
        <f ca="1">[1]!BexGetData("DP_1","00O2TNJGODT0G5Z4TTKYMMUX1","GSON2119900029")</f>
        <v>#NAME?</v>
      </c>
      <c r="V2879" s="24" t="e">
        <f ca="1">[1]!BexGetData("DP_1","00O2TNJGODT0G5Z4TTKYMN18L","GSON2119900029")</f>
        <v>#NAME?</v>
      </c>
      <c r="W2879" s="24" t="e">
        <f ca="1">[1]!BexGetData("DP_1","00O2TNJGODT0G5Z4TTKYMN7K5","GSON2119900029")</f>
        <v>#NAME?</v>
      </c>
    </row>
    <row r="2880" spans="1:23" x14ac:dyDescent="0.2">
      <c r="A2880" s="37" t="s">
        <v>6278</v>
      </c>
      <c r="B2880" s="27" t="s">
        <v>6279</v>
      </c>
      <c r="C2880" s="23" t="e">
        <f ca="1">[1]!BexGetData("DP_1","003N8EMH8GTFRCSWKMPXRR8GU","GSON2119900030")</f>
        <v>#NAME?</v>
      </c>
      <c r="D2880" s="23" t="e">
        <f ca="1">[1]!BexGetData("DP_1","003N8EMH8GTFRCSWKMPXRRESE","GSON2119900030")</f>
        <v>#NAME?</v>
      </c>
      <c r="E2880" s="23" t="e">
        <f ca="1">[1]!BexGetData("DP_1","003N8EMH8GTFRCSWKMPXRRL3Y","GSON2119900030")</f>
        <v>#NAME?</v>
      </c>
      <c r="F2880" s="24" t="e">
        <f ca="1">[1]!BexGetData("DP_1","003N8EMH8GTFRCSWKMPXRRRFI","GSON2119900030")</f>
        <v>#NAME?</v>
      </c>
      <c r="G2880" s="24" t="e">
        <f ca="1">[1]!BexGetData("DP_1","003N8EMH8GTFRCSWKMPXRRXR2","GSON2119900030")</f>
        <v>#NAME?</v>
      </c>
      <c r="H2880" s="24" t="e">
        <f ca="1">[1]!BexGetData("DP_1","003N8EMH8GTFRCSWKMPXRS42M","GSON2119900030")</f>
        <v>#NAME?</v>
      </c>
      <c r="I2880" s="24" t="e">
        <f ca="1">[1]!BexGetData("DP_1","003N8EMH8GTFRCSWKMPXRSAE6","GSON2119900030")</f>
        <v>#NAME?</v>
      </c>
      <c r="J2880" s="24" t="e">
        <f ca="1">[1]!BexGetData("DP_1","003N8EMH8GTFRCSWKMPXRSGPQ","GSON2119900030")</f>
        <v>#NAME?</v>
      </c>
      <c r="K2880" s="23" t="e">
        <f ca="1">[1]!BexGetData("DP_1","003N8EMH8GTFRIVNUPY288VJH","GSON2119900030")</f>
        <v>#NAME?</v>
      </c>
      <c r="L2880" s="23" t="e">
        <f ca="1">[1]!BexGetData("DP_1","003N8EMH8GTFRIVNUPY2891V1","GSON2119900030")</f>
        <v>#NAME?</v>
      </c>
      <c r="M2880" s="23" t="e">
        <f ca="1">[1]!BexGetData("DP_1","003N8EMH8GTFRIVOG7KG9IQXA","GSON2119900030")</f>
        <v>#NAME?</v>
      </c>
      <c r="N2880" s="28" t="e">
        <f ca="1">[1]!BexGetData("DP_1","003N8EMH8GTFRIVOG7KG9IX8U","GSON2119900030")</f>
        <v>#NAME?</v>
      </c>
      <c r="O2880" s="23" t="e">
        <f ca="1">[1]!BexGetData("DP_1","003N8EMH8GTFRIVOG7KG9J3KE","GSON2119900030")</f>
        <v>#NAME?</v>
      </c>
      <c r="P2880" s="28" t="e">
        <f ca="1">[1]!BexGetData("DP_1","003N8EMH8GTFRIVOG7KG9J9VY","GSON2119900030")</f>
        <v>#NAME?</v>
      </c>
      <c r="Q2880" s="24" t="e">
        <f ca="1">[1]!BexGetData("DP_1","00O2TNJGODT0G5Z4TTKYMM5MT","GSON2119900030")</f>
        <v>#NAME?</v>
      </c>
      <c r="R2880" s="24" t="e">
        <f ca="1">[1]!BexGetData("DP_1","00O2TNJGODT0G5Z4TTKYMMBYD","GSON2119900030")</f>
        <v>#NAME?</v>
      </c>
      <c r="S2880" s="24" t="e">
        <f ca="1">[1]!BexGetData("DP_1","00O2TNJGODT0G5Z4TTKYMMI9X","GSON2119900030")</f>
        <v>#NAME?</v>
      </c>
      <c r="T2880" s="24" t="e">
        <f ca="1">[1]!BexGetData("DP_1","00O2TNJGODT0G5Z4TTKYMMOLH","GSON2119900030")</f>
        <v>#NAME?</v>
      </c>
      <c r="U2880" s="24" t="e">
        <f ca="1">[1]!BexGetData("DP_1","00O2TNJGODT0G5Z4TTKYMMUX1","GSON2119900030")</f>
        <v>#NAME?</v>
      </c>
      <c r="V2880" s="24" t="e">
        <f ca="1">[1]!BexGetData("DP_1","00O2TNJGODT0G5Z4TTKYMN18L","GSON2119900030")</f>
        <v>#NAME?</v>
      </c>
      <c r="W2880" s="24" t="e">
        <f ca="1">[1]!BexGetData("DP_1","00O2TNJGODT0G5Z4TTKYMN7K5","GSON2119900030")</f>
        <v>#NAME?</v>
      </c>
    </row>
    <row r="2881" spans="1:23" x14ac:dyDescent="0.2">
      <c r="A2881" s="37" t="s">
        <v>6280</v>
      </c>
      <c r="B2881" s="27" t="s">
        <v>6281</v>
      </c>
      <c r="C2881" s="28" t="e">
        <f ca="1">[1]!BexGetData("DP_1","003N8EMH8GTFRCSWKMPXRR8GU","GSON2119900031")</f>
        <v>#NAME?</v>
      </c>
      <c r="D2881" s="23" t="e">
        <f ca="1">[1]!BexGetData("DP_1","003N8EMH8GTFRCSWKMPXRRESE","GSON2119900031")</f>
        <v>#NAME?</v>
      </c>
      <c r="E2881" s="23" t="e">
        <f ca="1">[1]!BexGetData("DP_1","003N8EMH8GTFRCSWKMPXRRL3Y","GSON2119900031")</f>
        <v>#NAME?</v>
      </c>
      <c r="F2881" s="24" t="e">
        <f ca="1">[1]!BexGetData("DP_1","003N8EMH8GTFRCSWKMPXRRRFI","GSON2119900031")</f>
        <v>#NAME?</v>
      </c>
      <c r="G2881" s="24" t="e">
        <f ca="1">[1]!BexGetData("DP_1","003N8EMH8GTFRCSWKMPXRRXR2","GSON2119900031")</f>
        <v>#NAME?</v>
      </c>
      <c r="H2881" s="24" t="e">
        <f ca="1">[1]!BexGetData("DP_1","003N8EMH8GTFRCSWKMPXRS42M","GSON2119900031")</f>
        <v>#NAME?</v>
      </c>
      <c r="I2881" s="24" t="e">
        <f ca="1">[1]!BexGetData("DP_1","003N8EMH8GTFRCSWKMPXRSAE6","GSON2119900031")</f>
        <v>#NAME?</v>
      </c>
      <c r="J2881" s="24" t="e">
        <f ca="1">[1]!BexGetData("DP_1","003N8EMH8GTFRCSWKMPXRSGPQ","GSON2119900031")</f>
        <v>#NAME?</v>
      </c>
      <c r="K2881" s="23" t="e">
        <f ca="1">[1]!BexGetData("DP_1","003N8EMH8GTFRIVNUPY288VJH","GSON2119900031")</f>
        <v>#NAME?</v>
      </c>
      <c r="L2881" s="23" t="e">
        <f ca="1">[1]!BexGetData("DP_1","003N8EMH8GTFRIVNUPY2891V1","GSON2119900031")</f>
        <v>#NAME?</v>
      </c>
      <c r="M2881" s="23" t="e">
        <f ca="1">[1]!BexGetData("DP_1","003N8EMH8GTFRIVOG7KG9IQXA","GSON2119900031")</f>
        <v>#NAME?</v>
      </c>
      <c r="N2881" s="28" t="e">
        <f ca="1">[1]!BexGetData("DP_1","003N8EMH8GTFRIVOG7KG9IX8U","GSON2119900031")</f>
        <v>#NAME?</v>
      </c>
      <c r="O2881" s="23" t="e">
        <f ca="1">[1]!BexGetData("DP_1","003N8EMH8GTFRIVOG7KG9J3KE","GSON2119900031")</f>
        <v>#NAME?</v>
      </c>
      <c r="P2881" s="28" t="e">
        <f ca="1">[1]!BexGetData("DP_1","003N8EMH8GTFRIVOG7KG9J9VY","GSON2119900031")</f>
        <v>#NAME?</v>
      </c>
      <c r="Q2881" s="24" t="e">
        <f ca="1">[1]!BexGetData("DP_1","00O2TNJGODT0G5Z4TTKYMM5MT","GSON2119900031")</f>
        <v>#NAME?</v>
      </c>
      <c r="R2881" s="24" t="e">
        <f ca="1">[1]!BexGetData("DP_1","00O2TNJGODT0G5Z4TTKYMMBYD","GSON2119900031")</f>
        <v>#NAME?</v>
      </c>
      <c r="S2881" s="24" t="e">
        <f ca="1">[1]!BexGetData("DP_1","00O2TNJGODT0G5Z4TTKYMMI9X","GSON2119900031")</f>
        <v>#NAME?</v>
      </c>
      <c r="T2881" s="24" t="e">
        <f ca="1">[1]!BexGetData("DP_1","00O2TNJGODT0G5Z4TTKYMMOLH","GSON2119900031")</f>
        <v>#NAME?</v>
      </c>
      <c r="U2881" s="24" t="e">
        <f ca="1">[1]!BexGetData("DP_1","00O2TNJGODT0G5Z4TTKYMMUX1","GSON2119900031")</f>
        <v>#NAME?</v>
      </c>
      <c r="V2881" s="24" t="e">
        <f ca="1">[1]!BexGetData("DP_1","00O2TNJGODT0G5Z4TTKYMN18L","GSON2119900031")</f>
        <v>#NAME?</v>
      </c>
      <c r="W2881" s="24" t="e">
        <f ca="1">[1]!BexGetData("DP_1","00O2TNJGODT0G5Z4TTKYMN7K5","GSON2119900031")</f>
        <v>#NAME?</v>
      </c>
    </row>
    <row r="2882" spans="1:23" x14ac:dyDescent="0.2">
      <c r="A2882" s="37" t="s">
        <v>6282</v>
      </c>
      <c r="B2882" s="27" t="s">
        <v>6283</v>
      </c>
      <c r="C2882" s="28" t="e">
        <f ca="1">[1]!BexGetData("DP_1","003N8EMH8GTFRCSWKMPXRR8GU","GSON2119900032")</f>
        <v>#NAME?</v>
      </c>
      <c r="D2882" s="23" t="e">
        <f ca="1">[1]!BexGetData("DP_1","003N8EMH8GTFRCSWKMPXRRESE","GSON2119900032")</f>
        <v>#NAME?</v>
      </c>
      <c r="E2882" s="23" t="e">
        <f ca="1">[1]!BexGetData("DP_1","003N8EMH8GTFRCSWKMPXRRL3Y","GSON2119900032")</f>
        <v>#NAME?</v>
      </c>
      <c r="F2882" s="24" t="e">
        <f ca="1">[1]!BexGetData("DP_1","003N8EMH8GTFRCSWKMPXRRRFI","GSON2119900032")</f>
        <v>#NAME?</v>
      </c>
      <c r="G2882" s="24" t="e">
        <f ca="1">[1]!BexGetData("DP_1","003N8EMH8GTFRCSWKMPXRRXR2","GSON2119900032")</f>
        <v>#NAME?</v>
      </c>
      <c r="H2882" s="24" t="e">
        <f ca="1">[1]!BexGetData("DP_1","003N8EMH8GTFRCSWKMPXRS42M","GSON2119900032")</f>
        <v>#NAME?</v>
      </c>
      <c r="I2882" s="24" t="e">
        <f ca="1">[1]!BexGetData("DP_1","003N8EMH8GTFRCSWKMPXRSAE6","GSON2119900032")</f>
        <v>#NAME?</v>
      </c>
      <c r="J2882" s="24" t="e">
        <f ca="1">[1]!BexGetData("DP_1","003N8EMH8GTFRCSWKMPXRSGPQ","GSON2119900032")</f>
        <v>#NAME?</v>
      </c>
      <c r="K2882" s="23" t="e">
        <f ca="1">[1]!BexGetData("DP_1","003N8EMH8GTFRIVNUPY288VJH","GSON2119900032")</f>
        <v>#NAME?</v>
      </c>
      <c r="L2882" s="23" t="e">
        <f ca="1">[1]!BexGetData("DP_1","003N8EMH8GTFRIVNUPY2891V1","GSON2119900032")</f>
        <v>#NAME?</v>
      </c>
      <c r="M2882" s="23" t="e">
        <f ca="1">[1]!BexGetData("DP_1","003N8EMH8GTFRIVOG7KG9IQXA","GSON2119900032")</f>
        <v>#NAME?</v>
      </c>
      <c r="N2882" s="28" t="e">
        <f ca="1">[1]!BexGetData("DP_1","003N8EMH8GTFRIVOG7KG9IX8U","GSON2119900032")</f>
        <v>#NAME?</v>
      </c>
      <c r="O2882" s="23" t="e">
        <f ca="1">[1]!BexGetData("DP_1","003N8EMH8GTFRIVOG7KG9J3KE","GSON2119900032")</f>
        <v>#NAME?</v>
      </c>
      <c r="P2882" s="28" t="e">
        <f ca="1">[1]!BexGetData("DP_1","003N8EMH8GTFRIVOG7KG9J9VY","GSON2119900032")</f>
        <v>#NAME?</v>
      </c>
      <c r="Q2882" s="24" t="e">
        <f ca="1">[1]!BexGetData("DP_1","00O2TNJGODT0G5Z4TTKYMM5MT","GSON2119900032")</f>
        <v>#NAME?</v>
      </c>
      <c r="R2882" s="24" t="e">
        <f ca="1">[1]!BexGetData("DP_1","00O2TNJGODT0G5Z4TTKYMMBYD","GSON2119900032")</f>
        <v>#NAME?</v>
      </c>
      <c r="S2882" s="24" t="e">
        <f ca="1">[1]!BexGetData("DP_1","00O2TNJGODT0G5Z4TTKYMMI9X","GSON2119900032")</f>
        <v>#NAME?</v>
      </c>
      <c r="T2882" s="24" t="e">
        <f ca="1">[1]!BexGetData("DP_1","00O2TNJGODT0G5Z4TTKYMMOLH","GSON2119900032")</f>
        <v>#NAME?</v>
      </c>
      <c r="U2882" s="24" t="e">
        <f ca="1">[1]!BexGetData("DP_1","00O2TNJGODT0G5Z4TTKYMMUX1","GSON2119900032")</f>
        <v>#NAME?</v>
      </c>
      <c r="V2882" s="24" t="e">
        <f ca="1">[1]!BexGetData("DP_1","00O2TNJGODT0G5Z4TTKYMN18L","GSON2119900032")</f>
        <v>#NAME?</v>
      </c>
      <c r="W2882" s="24" t="e">
        <f ca="1">[1]!BexGetData("DP_1","00O2TNJGODT0G5Z4TTKYMN7K5","GSON2119900032")</f>
        <v>#NAME?</v>
      </c>
    </row>
    <row r="2883" spans="1:23" x14ac:dyDescent="0.2">
      <c r="A2883" s="37" t="s">
        <v>6284</v>
      </c>
      <c r="B2883" s="27" t="s">
        <v>6285</v>
      </c>
      <c r="C2883" s="28" t="e">
        <f ca="1">[1]!BexGetData("DP_1","003N8EMH8GTFRCSWKMPXRR8GU","GSON2119900033")</f>
        <v>#NAME?</v>
      </c>
      <c r="D2883" s="23" t="e">
        <f ca="1">[1]!BexGetData("DP_1","003N8EMH8GTFRCSWKMPXRRESE","GSON2119900033")</f>
        <v>#NAME?</v>
      </c>
      <c r="E2883" s="23" t="e">
        <f ca="1">[1]!BexGetData("DP_1","003N8EMH8GTFRCSWKMPXRRL3Y","GSON2119900033")</f>
        <v>#NAME?</v>
      </c>
      <c r="F2883" s="24" t="e">
        <f ca="1">[1]!BexGetData("DP_1","003N8EMH8GTFRCSWKMPXRRRFI","GSON2119900033")</f>
        <v>#NAME?</v>
      </c>
      <c r="G2883" s="24" t="e">
        <f ca="1">[1]!BexGetData("DP_1","003N8EMH8GTFRCSWKMPXRRXR2","GSON2119900033")</f>
        <v>#NAME?</v>
      </c>
      <c r="H2883" s="24" t="e">
        <f ca="1">[1]!BexGetData("DP_1","003N8EMH8GTFRCSWKMPXRS42M","GSON2119900033")</f>
        <v>#NAME?</v>
      </c>
      <c r="I2883" s="24" t="e">
        <f ca="1">[1]!BexGetData("DP_1","003N8EMH8GTFRCSWKMPXRSAE6","GSON2119900033")</f>
        <v>#NAME?</v>
      </c>
      <c r="J2883" s="24" t="e">
        <f ca="1">[1]!BexGetData("DP_1","003N8EMH8GTFRCSWKMPXRSGPQ","GSON2119900033")</f>
        <v>#NAME?</v>
      </c>
      <c r="K2883" s="23" t="e">
        <f ca="1">[1]!BexGetData("DP_1","003N8EMH8GTFRIVNUPY288VJH","GSON2119900033")</f>
        <v>#NAME?</v>
      </c>
      <c r="L2883" s="23" t="e">
        <f ca="1">[1]!BexGetData("DP_1","003N8EMH8GTFRIVNUPY2891V1","GSON2119900033")</f>
        <v>#NAME?</v>
      </c>
      <c r="M2883" s="23" t="e">
        <f ca="1">[1]!BexGetData("DP_1","003N8EMH8GTFRIVOG7KG9IQXA","GSON2119900033")</f>
        <v>#NAME?</v>
      </c>
      <c r="N2883" s="28" t="e">
        <f ca="1">[1]!BexGetData("DP_1","003N8EMH8GTFRIVOG7KG9IX8U","GSON2119900033")</f>
        <v>#NAME?</v>
      </c>
      <c r="O2883" s="23" t="e">
        <f ca="1">[1]!BexGetData("DP_1","003N8EMH8GTFRIVOG7KG9J3KE","GSON2119900033")</f>
        <v>#NAME?</v>
      </c>
      <c r="P2883" s="28" t="e">
        <f ca="1">[1]!BexGetData("DP_1","003N8EMH8GTFRIVOG7KG9J9VY","GSON2119900033")</f>
        <v>#NAME?</v>
      </c>
      <c r="Q2883" s="24" t="e">
        <f ca="1">[1]!BexGetData("DP_1","00O2TNJGODT0G5Z4TTKYMM5MT","GSON2119900033")</f>
        <v>#NAME?</v>
      </c>
      <c r="R2883" s="24" t="e">
        <f ca="1">[1]!BexGetData("DP_1","00O2TNJGODT0G5Z4TTKYMMBYD","GSON2119900033")</f>
        <v>#NAME?</v>
      </c>
      <c r="S2883" s="24" t="e">
        <f ca="1">[1]!BexGetData("DP_1","00O2TNJGODT0G5Z4TTKYMMI9X","GSON2119900033")</f>
        <v>#NAME?</v>
      </c>
      <c r="T2883" s="24" t="e">
        <f ca="1">[1]!BexGetData("DP_1","00O2TNJGODT0G5Z4TTKYMMOLH","GSON2119900033")</f>
        <v>#NAME?</v>
      </c>
      <c r="U2883" s="24" t="e">
        <f ca="1">[1]!BexGetData("DP_1","00O2TNJGODT0G5Z4TTKYMMUX1","GSON2119900033")</f>
        <v>#NAME?</v>
      </c>
      <c r="V2883" s="24" t="e">
        <f ca="1">[1]!BexGetData("DP_1","00O2TNJGODT0G5Z4TTKYMN18L","GSON2119900033")</f>
        <v>#NAME?</v>
      </c>
      <c r="W2883" s="24" t="e">
        <f ca="1">[1]!BexGetData("DP_1","00O2TNJGODT0G5Z4TTKYMN7K5","GSON2119900033")</f>
        <v>#NAME?</v>
      </c>
    </row>
    <row r="2884" spans="1:23" x14ac:dyDescent="0.2">
      <c r="A2884" s="37" t="s">
        <v>6286</v>
      </c>
      <c r="B2884" s="27" t="s">
        <v>6287</v>
      </c>
      <c r="C2884" s="28" t="e">
        <f ca="1">[1]!BexGetData("DP_1","003N8EMH8GTFRCSWKMPXRR8GU","GSON2119900034")</f>
        <v>#NAME?</v>
      </c>
      <c r="D2884" s="23" t="e">
        <f ca="1">[1]!BexGetData("DP_1","003N8EMH8GTFRCSWKMPXRRESE","GSON2119900034")</f>
        <v>#NAME?</v>
      </c>
      <c r="E2884" s="23" t="e">
        <f ca="1">[1]!BexGetData("DP_1","003N8EMH8GTFRCSWKMPXRRL3Y","GSON2119900034")</f>
        <v>#NAME?</v>
      </c>
      <c r="F2884" s="24" t="e">
        <f ca="1">[1]!BexGetData("DP_1","003N8EMH8GTFRCSWKMPXRRRFI","GSON2119900034")</f>
        <v>#NAME?</v>
      </c>
      <c r="G2884" s="24" t="e">
        <f ca="1">[1]!BexGetData("DP_1","003N8EMH8GTFRCSWKMPXRRXR2","GSON2119900034")</f>
        <v>#NAME?</v>
      </c>
      <c r="H2884" s="24" t="e">
        <f ca="1">[1]!BexGetData("DP_1","003N8EMH8GTFRCSWKMPXRS42M","GSON2119900034")</f>
        <v>#NAME?</v>
      </c>
      <c r="I2884" s="24" t="e">
        <f ca="1">[1]!BexGetData("DP_1","003N8EMH8GTFRCSWKMPXRSAE6","GSON2119900034")</f>
        <v>#NAME?</v>
      </c>
      <c r="J2884" s="24" t="e">
        <f ca="1">[1]!BexGetData("DP_1","003N8EMH8GTFRCSWKMPXRSGPQ","GSON2119900034")</f>
        <v>#NAME?</v>
      </c>
      <c r="K2884" s="23" t="e">
        <f ca="1">[1]!BexGetData("DP_1","003N8EMH8GTFRIVNUPY288VJH","GSON2119900034")</f>
        <v>#NAME?</v>
      </c>
      <c r="L2884" s="23" t="e">
        <f ca="1">[1]!BexGetData("DP_1","003N8EMH8GTFRIVNUPY2891V1","GSON2119900034")</f>
        <v>#NAME?</v>
      </c>
      <c r="M2884" s="23" t="e">
        <f ca="1">[1]!BexGetData("DP_1","003N8EMH8GTFRIVOG7KG9IQXA","GSON2119900034")</f>
        <v>#NAME?</v>
      </c>
      <c r="N2884" s="28" t="e">
        <f ca="1">[1]!BexGetData("DP_1","003N8EMH8GTFRIVOG7KG9IX8U","GSON2119900034")</f>
        <v>#NAME?</v>
      </c>
      <c r="O2884" s="23" t="e">
        <f ca="1">[1]!BexGetData("DP_1","003N8EMH8GTFRIVOG7KG9J3KE","GSON2119900034")</f>
        <v>#NAME?</v>
      </c>
      <c r="P2884" s="28" t="e">
        <f ca="1">[1]!BexGetData("DP_1","003N8EMH8GTFRIVOG7KG9J9VY","GSON2119900034")</f>
        <v>#NAME?</v>
      </c>
      <c r="Q2884" s="24" t="e">
        <f ca="1">[1]!BexGetData("DP_1","00O2TNJGODT0G5Z4TTKYMM5MT","GSON2119900034")</f>
        <v>#NAME?</v>
      </c>
      <c r="R2884" s="24" t="e">
        <f ca="1">[1]!BexGetData("DP_1","00O2TNJGODT0G5Z4TTKYMMBYD","GSON2119900034")</f>
        <v>#NAME?</v>
      </c>
      <c r="S2884" s="24" t="e">
        <f ca="1">[1]!BexGetData("DP_1","00O2TNJGODT0G5Z4TTKYMMI9X","GSON2119900034")</f>
        <v>#NAME?</v>
      </c>
      <c r="T2884" s="24" t="e">
        <f ca="1">[1]!BexGetData("DP_1","00O2TNJGODT0G5Z4TTKYMMOLH","GSON2119900034")</f>
        <v>#NAME?</v>
      </c>
      <c r="U2884" s="24" t="e">
        <f ca="1">[1]!BexGetData("DP_1","00O2TNJGODT0G5Z4TTKYMMUX1","GSON2119900034")</f>
        <v>#NAME?</v>
      </c>
      <c r="V2884" s="24" t="e">
        <f ca="1">[1]!BexGetData("DP_1","00O2TNJGODT0G5Z4TTKYMN18L","GSON2119900034")</f>
        <v>#NAME?</v>
      </c>
      <c r="W2884" s="24" t="e">
        <f ca="1">[1]!BexGetData("DP_1","00O2TNJGODT0G5Z4TTKYMN7K5","GSON2119900034")</f>
        <v>#NAME?</v>
      </c>
    </row>
    <row r="2885" spans="1:23" x14ac:dyDescent="0.2">
      <c r="A2885" s="37" t="s">
        <v>6288</v>
      </c>
      <c r="B2885" s="27" t="s">
        <v>6289</v>
      </c>
      <c r="C2885" s="28" t="e">
        <f ca="1">[1]!BexGetData("DP_1","003N8EMH8GTFRCSWKMPXRR8GU","GSON2119900035")</f>
        <v>#NAME?</v>
      </c>
      <c r="D2885" s="23" t="e">
        <f ca="1">[1]!BexGetData("DP_1","003N8EMH8GTFRCSWKMPXRRESE","GSON2119900035")</f>
        <v>#NAME?</v>
      </c>
      <c r="E2885" s="23" t="e">
        <f ca="1">[1]!BexGetData("DP_1","003N8EMH8GTFRCSWKMPXRRL3Y","GSON2119900035")</f>
        <v>#NAME?</v>
      </c>
      <c r="F2885" s="24" t="e">
        <f ca="1">[1]!BexGetData("DP_1","003N8EMH8GTFRCSWKMPXRRRFI","GSON2119900035")</f>
        <v>#NAME?</v>
      </c>
      <c r="G2885" s="24" t="e">
        <f ca="1">[1]!BexGetData("DP_1","003N8EMH8GTFRCSWKMPXRRXR2","GSON2119900035")</f>
        <v>#NAME?</v>
      </c>
      <c r="H2885" s="24" t="e">
        <f ca="1">[1]!BexGetData("DP_1","003N8EMH8GTFRCSWKMPXRS42M","GSON2119900035")</f>
        <v>#NAME?</v>
      </c>
      <c r="I2885" s="24" t="e">
        <f ca="1">[1]!BexGetData("DP_1","003N8EMH8GTFRCSWKMPXRSAE6","GSON2119900035")</f>
        <v>#NAME?</v>
      </c>
      <c r="J2885" s="24" t="e">
        <f ca="1">[1]!BexGetData("DP_1","003N8EMH8GTFRCSWKMPXRSGPQ","GSON2119900035")</f>
        <v>#NAME?</v>
      </c>
      <c r="K2885" s="23" t="e">
        <f ca="1">[1]!BexGetData("DP_1","003N8EMH8GTFRIVNUPY288VJH","GSON2119900035")</f>
        <v>#NAME?</v>
      </c>
      <c r="L2885" s="23" t="e">
        <f ca="1">[1]!BexGetData("DP_1","003N8EMH8GTFRIVNUPY2891V1","GSON2119900035")</f>
        <v>#NAME?</v>
      </c>
      <c r="M2885" s="23" t="e">
        <f ca="1">[1]!BexGetData("DP_1","003N8EMH8GTFRIVOG7KG9IQXA","GSON2119900035")</f>
        <v>#NAME?</v>
      </c>
      <c r="N2885" s="28" t="e">
        <f ca="1">[1]!BexGetData("DP_1","003N8EMH8GTFRIVOG7KG9IX8U","GSON2119900035")</f>
        <v>#NAME?</v>
      </c>
      <c r="O2885" s="23" t="e">
        <f ca="1">[1]!BexGetData("DP_1","003N8EMH8GTFRIVOG7KG9J3KE","GSON2119900035")</f>
        <v>#NAME?</v>
      </c>
      <c r="P2885" s="28" t="e">
        <f ca="1">[1]!BexGetData("DP_1","003N8EMH8GTFRIVOG7KG9J9VY","GSON2119900035")</f>
        <v>#NAME?</v>
      </c>
      <c r="Q2885" s="24" t="e">
        <f ca="1">[1]!BexGetData("DP_1","00O2TNJGODT0G5Z4TTKYMM5MT","GSON2119900035")</f>
        <v>#NAME?</v>
      </c>
      <c r="R2885" s="24" t="e">
        <f ca="1">[1]!BexGetData("DP_1","00O2TNJGODT0G5Z4TTKYMMBYD","GSON2119900035")</f>
        <v>#NAME?</v>
      </c>
      <c r="S2885" s="24" t="e">
        <f ca="1">[1]!BexGetData("DP_1","00O2TNJGODT0G5Z4TTKYMMI9X","GSON2119900035")</f>
        <v>#NAME?</v>
      </c>
      <c r="T2885" s="24" t="e">
        <f ca="1">[1]!BexGetData("DP_1","00O2TNJGODT0G5Z4TTKYMMOLH","GSON2119900035")</f>
        <v>#NAME?</v>
      </c>
      <c r="U2885" s="24" t="e">
        <f ca="1">[1]!BexGetData("DP_1","00O2TNJGODT0G5Z4TTKYMMUX1","GSON2119900035")</f>
        <v>#NAME?</v>
      </c>
      <c r="V2885" s="24" t="e">
        <f ca="1">[1]!BexGetData("DP_1","00O2TNJGODT0G5Z4TTKYMN18L","GSON2119900035")</f>
        <v>#NAME?</v>
      </c>
      <c r="W2885" s="24" t="e">
        <f ca="1">[1]!BexGetData("DP_1","00O2TNJGODT0G5Z4TTKYMN7K5","GSON2119900035")</f>
        <v>#NAME?</v>
      </c>
    </row>
    <row r="2886" spans="1:23" x14ac:dyDescent="0.2">
      <c r="A2886" s="37" t="s">
        <v>6290</v>
      </c>
      <c r="B2886" s="27" t="s">
        <v>6291</v>
      </c>
      <c r="C2886" s="28" t="e">
        <f ca="1">[1]!BexGetData("DP_1","003N8EMH8GTFRCSWKMPXRR8GU","GSON2119900036")</f>
        <v>#NAME?</v>
      </c>
      <c r="D2886" s="23" t="e">
        <f ca="1">[1]!BexGetData("DP_1","003N8EMH8GTFRCSWKMPXRRESE","GSON2119900036")</f>
        <v>#NAME?</v>
      </c>
      <c r="E2886" s="23" t="e">
        <f ca="1">[1]!BexGetData("DP_1","003N8EMH8GTFRCSWKMPXRRL3Y","GSON2119900036")</f>
        <v>#NAME?</v>
      </c>
      <c r="F2886" s="24" t="e">
        <f ca="1">[1]!BexGetData("DP_1","003N8EMH8GTFRCSWKMPXRRRFI","GSON2119900036")</f>
        <v>#NAME?</v>
      </c>
      <c r="G2886" s="24" t="e">
        <f ca="1">[1]!BexGetData("DP_1","003N8EMH8GTFRCSWKMPXRRXR2","GSON2119900036")</f>
        <v>#NAME?</v>
      </c>
      <c r="H2886" s="24" t="e">
        <f ca="1">[1]!BexGetData("DP_1","003N8EMH8GTFRCSWKMPXRS42M","GSON2119900036")</f>
        <v>#NAME?</v>
      </c>
      <c r="I2886" s="24" t="e">
        <f ca="1">[1]!BexGetData("DP_1","003N8EMH8GTFRCSWKMPXRSAE6","GSON2119900036")</f>
        <v>#NAME?</v>
      </c>
      <c r="J2886" s="24" t="e">
        <f ca="1">[1]!BexGetData("DP_1","003N8EMH8GTFRCSWKMPXRSGPQ","GSON2119900036")</f>
        <v>#NAME?</v>
      </c>
      <c r="K2886" s="23" t="e">
        <f ca="1">[1]!BexGetData("DP_1","003N8EMH8GTFRIVNUPY288VJH","GSON2119900036")</f>
        <v>#NAME?</v>
      </c>
      <c r="L2886" s="23" t="e">
        <f ca="1">[1]!BexGetData("DP_1","003N8EMH8GTFRIVNUPY2891V1","GSON2119900036")</f>
        <v>#NAME?</v>
      </c>
      <c r="M2886" s="23" t="e">
        <f ca="1">[1]!BexGetData("DP_1","003N8EMH8GTFRIVOG7KG9IQXA","GSON2119900036")</f>
        <v>#NAME?</v>
      </c>
      <c r="N2886" s="28" t="e">
        <f ca="1">[1]!BexGetData("DP_1","003N8EMH8GTFRIVOG7KG9IX8U","GSON2119900036")</f>
        <v>#NAME?</v>
      </c>
      <c r="O2886" s="23" t="e">
        <f ca="1">[1]!BexGetData("DP_1","003N8EMH8GTFRIVOG7KG9J3KE","GSON2119900036")</f>
        <v>#NAME?</v>
      </c>
      <c r="P2886" s="28" t="e">
        <f ca="1">[1]!BexGetData("DP_1","003N8EMH8GTFRIVOG7KG9J9VY","GSON2119900036")</f>
        <v>#NAME?</v>
      </c>
      <c r="Q2886" s="24" t="e">
        <f ca="1">[1]!BexGetData("DP_1","00O2TNJGODT0G5Z4TTKYMM5MT","GSON2119900036")</f>
        <v>#NAME?</v>
      </c>
      <c r="R2886" s="24" t="e">
        <f ca="1">[1]!BexGetData("DP_1","00O2TNJGODT0G5Z4TTKYMMBYD","GSON2119900036")</f>
        <v>#NAME?</v>
      </c>
      <c r="S2886" s="24" t="e">
        <f ca="1">[1]!BexGetData("DP_1","00O2TNJGODT0G5Z4TTKYMMI9X","GSON2119900036")</f>
        <v>#NAME?</v>
      </c>
      <c r="T2886" s="24" t="e">
        <f ca="1">[1]!BexGetData("DP_1","00O2TNJGODT0G5Z4TTKYMMOLH","GSON2119900036")</f>
        <v>#NAME?</v>
      </c>
      <c r="U2886" s="24" t="e">
        <f ca="1">[1]!BexGetData("DP_1","00O2TNJGODT0G5Z4TTKYMMUX1","GSON2119900036")</f>
        <v>#NAME?</v>
      </c>
      <c r="V2886" s="24" t="e">
        <f ca="1">[1]!BexGetData("DP_1","00O2TNJGODT0G5Z4TTKYMN18L","GSON2119900036")</f>
        <v>#NAME?</v>
      </c>
      <c r="W2886" s="24" t="e">
        <f ca="1">[1]!BexGetData("DP_1","00O2TNJGODT0G5Z4TTKYMN7K5","GSON2119900036")</f>
        <v>#NAME?</v>
      </c>
    </row>
    <row r="2887" spans="1:23" x14ac:dyDescent="0.2">
      <c r="A2887" s="35" t="s">
        <v>366</v>
      </c>
      <c r="B2887" s="27" t="s">
        <v>367</v>
      </c>
      <c r="C2887" s="23" t="e">
        <f ca="1">[1]!BexGetData("DP_1","003N8EMH8GTFRCSWKMPXRR8GU","GSON212")</f>
        <v>#NAME?</v>
      </c>
      <c r="D2887" s="23" t="e">
        <f ca="1">[1]!BexGetData("DP_1","003N8EMH8GTFRCSWKMPXRRESE","GSON212")</f>
        <v>#NAME?</v>
      </c>
      <c r="E2887" s="23" t="e">
        <f ca="1">[1]!BexGetData("DP_1","003N8EMH8GTFRCSWKMPXRRL3Y","GSON212")</f>
        <v>#NAME?</v>
      </c>
      <c r="F2887" s="23" t="e">
        <f ca="1">[1]!BexGetData("DP_1","003N8EMH8GTFRCSWKMPXRRRFI","GSON212")</f>
        <v>#NAME?</v>
      </c>
      <c r="G2887" s="23" t="e">
        <f ca="1">[1]!BexGetData("DP_1","003N8EMH8GTFRCSWKMPXRRXR2","GSON212")</f>
        <v>#NAME?</v>
      </c>
      <c r="H2887" s="23" t="e">
        <f ca="1">[1]!BexGetData("DP_1","003N8EMH8GTFRCSWKMPXRS42M","GSON212")</f>
        <v>#NAME?</v>
      </c>
      <c r="I2887" s="23" t="e">
        <f ca="1">[1]!BexGetData("DP_1","003N8EMH8GTFRCSWKMPXRSAE6","GSON212")</f>
        <v>#NAME?</v>
      </c>
      <c r="J2887" s="23" t="e">
        <f ca="1">[1]!BexGetData("DP_1","003N8EMH8GTFRCSWKMPXRSGPQ","GSON212")</f>
        <v>#NAME?</v>
      </c>
      <c r="K2887" s="23" t="e">
        <f ca="1">[1]!BexGetData("DP_1","003N8EMH8GTFRIVNUPY288VJH","GSON212")</f>
        <v>#NAME?</v>
      </c>
      <c r="L2887" s="23" t="e">
        <f ca="1">[1]!BexGetData("DP_1","003N8EMH8GTFRIVNUPY2891V1","GSON212")</f>
        <v>#NAME?</v>
      </c>
      <c r="M2887" s="23" t="e">
        <f ca="1">[1]!BexGetData("DP_1","003N8EMH8GTFRIVOG7KG9IQXA","GSON212")</f>
        <v>#NAME?</v>
      </c>
      <c r="N2887" s="28" t="e">
        <f ca="1">[1]!BexGetData("DP_1","003N8EMH8GTFRIVOG7KG9IX8U","GSON212")</f>
        <v>#NAME?</v>
      </c>
      <c r="O2887" s="23" t="e">
        <f ca="1">[1]!BexGetData("DP_1","003N8EMH8GTFRIVOG7KG9J3KE","GSON212")</f>
        <v>#NAME?</v>
      </c>
      <c r="P2887" s="28" t="e">
        <f ca="1">[1]!BexGetData("DP_1","003N8EMH8GTFRIVOG7KG9J9VY","GSON212")</f>
        <v>#NAME?</v>
      </c>
      <c r="Q2887" s="23" t="e">
        <f ca="1">[1]!BexGetData("DP_1","00O2TNJGODT0G5Z4TTKYMM5MT","GSON212")</f>
        <v>#NAME?</v>
      </c>
      <c r="R2887" s="23" t="e">
        <f ca="1">[1]!BexGetData("DP_1","00O2TNJGODT0G5Z4TTKYMMBYD","GSON212")</f>
        <v>#NAME?</v>
      </c>
      <c r="S2887" s="23" t="e">
        <f ca="1">[1]!BexGetData("DP_1","00O2TNJGODT0G5Z4TTKYMMI9X","GSON212")</f>
        <v>#NAME?</v>
      </c>
      <c r="T2887" s="23" t="e">
        <f ca="1">[1]!BexGetData("DP_1","00O2TNJGODT0G5Z4TTKYMMOLH","GSON212")</f>
        <v>#NAME?</v>
      </c>
      <c r="U2887" s="28" t="e">
        <f ca="1">[1]!BexGetData("DP_1","00O2TNJGODT0G5Z4TTKYMMUX1","GSON212")</f>
        <v>#NAME?</v>
      </c>
      <c r="V2887" s="23" t="e">
        <f ca="1">[1]!BexGetData("DP_1","00O2TNJGODT0G5Z4TTKYMN18L","GSON212")</f>
        <v>#NAME?</v>
      </c>
      <c r="W2887" s="28" t="e">
        <f ca="1">[1]!BexGetData("DP_1","00O2TNJGODT0G5Z4TTKYMN7K5","GSON212")</f>
        <v>#NAME?</v>
      </c>
    </row>
    <row r="2888" spans="1:23" x14ac:dyDescent="0.2">
      <c r="A2888" s="36" t="s">
        <v>368</v>
      </c>
      <c r="B2888" s="27" t="s">
        <v>369</v>
      </c>
      <c r="C2888" s="23" t="e">
        <f ca="1">[1]!BexGetData("DP_1","003N8EMH8GTFRCSWKMPXRR8GU","GSON2121")</f>
        <v>#NAME?</v>
      </c>
      <c r="D2888" s="23" t="e">
        <f ca="1">[1]!BexGetData("DP_1","003N8EMH8GTFRCSWKMPXRRESE","GSON2121")</f>
        <v>#NAME?</v>
      </c>
      <c r="E2888" s="23" t="e">
        <f ca="1">[1]!BexGetData("DP_1","003N8EMH8GTFRCSWKMPXRRL3Y","GSON2121")</f>
        <v>#NAME?</v>
      </c>
      <c r="F2888" s="23" t="e">
        <f ca="1">[1]!BexGetData("DP_1","003N8EMH8GTFRCSWKMPXRRRFI","GSON2121")</f>
        <v>#NAME?</v>
      </c>
      <c r="G2888" s="23" t="e">
        <f ca="1">[1]!BexGetData("DP_1","003N8EMH8GTFRCSWKMPXRRXR2","GSON2121")</f>
        <v>#NAME?</v>
      </c>
      <c r="H2888" s="23" t="e">
        <f ca="1">[1]!BexGetData("DP_1","003N8EMH8GTFRCSWKMPXRS42M","GSON2121")</f>
        <v>#NAME?</v>
      </c>
      <c r="I2888" s="23" t="e">
        <f ca="1">[1]!BexGetData("DP_1","003N8EMH8GTFRCSWKMPXRSAE6","GSON2121")</f>
        <v>#NAME?</v>
      </c>
      <c r="J2888" s="23" t="e">
        <f ca="1">[1]!BexGetData("DP_1","003N8EMH8GTFRCSWKMPXRSGPQ","GSON2121")</f>
        <v>#NAME?</v>
      </c>
      <c r="K2888" s="23" t="e">
        <f ca="1">[1]!BexGetData("DP_1","003N8EMH8GTFRIVNUPY288VJH","GSON2121")</f>
        <v>#NAME?</v>
      </c>
      <c r="L2888" s="23" t="e">
        <f ca="1">[1]!BexGetData("DP_1","003N8EMH8GTFRIVNUPY2891V1","GSON2121")</f>
        <v>#NAME?</v>
      </c>
      <c r="M2888" s="23" t="e">
        <f ca="1">[1]!BexGetData("DP_1","003N8EMH8GTFRIVOG7KG9IQXA","GSON2121")</f>
        <v>#NAME?</v>
      </c>
      <c r="N2888" s="28" t="e">
        <f ca="1">[1]!BexGetData("DP_1","003N8EMH8GTFRIVOG7KG9IX8U","GSON2121")</f>
        <v>#NAME?</v>
      </c>
      <c r="O2888" s="23" t="e">
        <f ca="1">[1]!BexGetData("DP_1","003N8EMH8GTFRIVOG7KG9J3KE","GSON2121")</f>
        <v>#NAME?</v>
      </c>
      <c r="P2888" s="28" t="e">
        <f ca="1">[1]!BexGetData("DP_1","003N8EMH8GTFRIVOG7KG9J9VY","GSON2121")</f>
        <v>#NAME?</v>
      </c>
      <c r="Q2888" s="23" t="e">
        <f ca="1">[1]!BexGetData("DP_1","00O2TNJGODT0G5Z4TTKYMM5MT","GSON2121")</f>
        <v>#NAME?</v>
      </c>
      <c r="R2888" s="23" t="e">
        <f ca="1">[1]!BexGetData("DP_1","00O2TNJGODT0G5Z4TTKYMMBYD","GSON2121")</f>
        <v>#NAME?</v>
      </c>
      <c r="S2888" s="23" t="e">
        <f ca="1">[1]!BexGetData("DP_1","00O2TNJGODT0G5Z4TTKYMMI9X","GSON2121")</f>
        <v>#NAME?</v>
      </c>
      <c r="T2888" s="23" t="e">
        <f ca="1">[1]!BexGetData("DP_1","00O2TNJGODT0G5Z4TTKYMMOLH","GSON2121")</f>
        <v>#NAME?</v>
      </c>
      <c r="U2888" s="28" t="e">
        <f ca="1">[1]!BexGetData("DP_1","00O2TNJGODT0G5Z4TTKYMMUX1","GSON2121")</f>
        <v>#NAME?</v>
      </c>
      <c r="V2888" s="23" t="e">
        <f ca="1">[1]!BexGetData("DP_1","00O2TNJGODT0G5Z4TTKYMN18L","GSON2121")</f>
        <v>#NAME?</v>
      </c>
      <c r="W2888" s="28" t="e">
        <f ca="1">[1]!BexGetData("DP_1","00O2TNJGODT0G5Z4TTKYMN7K5","GSON2121")</f>
        <v>#NAME?</v>
      </c>
    </row>
    <row r="2889" spans="1:23" x14ac:dyDescent="0.2">
      <c r="A2889" s="37" t="s">
        <v>1440</v>
      </c>
      <c r="B2889" s="27" t="s">
        <v>370</v>
      </c>
      <c r="C2889" s="23" t="e">
        <f ca="1">[1]!BexGetData("DP_1","003N8EMH8GTFRCSWKMPXRR8GU","GSON2121100001")</f>
        <v>#NAME?</v>
      </c>
      <c r="D2889" s="23" t="e">
        <f ca="1">[1]!BexGetData("DP_1","003N8EMH8GTFRCSWKMPXRRESE","GSON2121100001")</f>
        <v>#NAME?</v>
      </c>
      <c r="E2889" s="28" t="e">
        <f ca="1">[1]!BexGetData("DP_1","003N8EMH8GTFRCSWKMPXRRL3Y","GSON2121100001")</f>
        <v>#NAME?</v>
      </c>
      <c r="F2889" s="28" t="e">
        <f ca="1">[1]!BexGetData("DP_1","003N8EMH8GTFRCSWKMPXRRRFI","GSON2121100001")</f>
        <v>#NAME?</v>
      </c>
      <c r="G2889" s="23" t="e">
        <f ca="1">[1]!BexGetData("DP_1","003N8EMH8GTFRCSWKMPXRRXR2","GSON2121100001")</f>
        <v>#NAME?</v>
      </c>
      <c r="H2889" s="23" t="e">
        <f ca="1">[1]!BexGetData("DP_1","003N8EMH8GTFRCSWKMPXRS42M","GSON2121100001")</f>
        <v>#NAME?</v>
      </c>
      <c r="I2889" s="28" t="e">
        <f ca="1">[1]!BexGetData("DP_1","003N8EMH8GTFRCSWKMPXRSAE6","GSON2121100001")</f>
        <v>#NAME?</v>
      </c>
      <c r="J2889" s="24" t="e">
        <f ca="1">[1]!BexGetData("DP_1","003N8EMH8GTFRCSWKMPXRSGPQ","GSON2121100001")</f>
        <v>#NAME?</v>
      </c>
      <c r="K2889" s="28" t="e">
        <f ca="1">[1]!BexGetData("DP_1","003N8EMH8GTFRIVNUPY288VJH","GSON2121100001")</f>
        <v>#NAME?</v>
      </c>
      <c r="L2889" s="28" t="e">
        <f ca="1">[1]!BexGetData("DP_1","003N8EMH8GTFRIVNUPY2891V1","GSON2121100001")</f>
        <v>#NAME?</v>
      </c>
      <c r="M2889" s="28" t="e">
        <f ca="1">[1]!BexGetData("DP_1","003N8EMH8GTFRIVOG7KG9IQXA","GSON2121100001")</f>
        <v>#NAME?</v>
      </c>
      <c r="N2889" s="28" t="e">
        <f ca="1">[1]!BexGetData("DP_1","003N8EMH8GTFRIVOG7KG9IX8U","GSON2121100001")</f>
        <v>#NAME?</v>
      </c>
      <c r="O2889" s="28" t="e">
        <f ca="1">[1]!BexGetData("DP_1","003N8EMH8GTFRIVOG7KG9J3KE","GSON2121100001")</f>
        <v>#NAME?</v>
      </c>
      <c r="P2889" s="28" t="e">
        <f ca="1">[1]!BexGetData("DP_1","003N8EMH8GTFRIVOG7KG9J9VY","GSON2121100001")</f>
        <v>#NAME?</v>
      </c>
      <c r="Q2889" s="24" t="e">
        <f ca="1">[1]!BexGetData("DP_1","00O2TNJGODT0G5Z4TTKYMM5MT","GSON2121100001")</f>
        <v>#NAME?</v>
      </c>
      <c r="R2889" s="28" t="e">
        <f ca="1">[1]!BexGetData("DP_1","00O2TNJGODT0G5Z4TTKYMMBYD","GSON2121100001")</f>
        <v>#NAME?</v>
      </c>
      <c r="S2889" s="28" t="e">
        <f ca="1">[1]!BexGetData("DP_1","00O2TNJGODT0G5Z4TTKYMMI9X","GSON2121100001")</f>
        <v>#NAME?</v>
      </c>
      <c r="T2889" s="28" t="e">
        <f ca="1">[1]!BexGetData("DP_1","00O2TNJGODT0G5Z4TTKYMMOLH","GSON2121100001")</f>
        <v>#NAME?</v>
      </c>
      <c r="U2889" s="28" t="e">
        <f ca="1">[1]!BexGetData("DP_1","00O2TNJGODT0G5Z4TTKYMMUX1","GSON2121100001")</f>
        <v>#NAME?</v>
      </c>
      <c r="V2889" s="28" t="e">
        <f ca="1">[1]!BexGetData("DP_1","00O2TNJGODT0G5Z4TTKYMN18L","GSON2121100001")</f>
        <v>#NAME?</v>
      </c>
      <c r="W2889" s="28" t="e">
        <f ca="1">[1]!BexGetData("DP_1","00O2TNJGODT0G5Z4TTKYMN7K5","GSON2121100001")</f>
        <v>#NAME?</v>
      </c>
    </row>
    <row r="2890" spans="1:23" x14ac:dyDescent="0.2">
      <c r="A2890" s="37" t="s">
        <v>1440</v>
      </c>
      <c r="B2890" s="27" t="s">
        <v>488</v>
      </c>
      <c r="C2890" s="23" t="e">
        <f ca="1">[1]!BexGetData("DP_1","003N8EMH8GTFRCSWKMPXRR8GU","GSON2121100002")</f>
        <v>#NAME?</v>
      </c>
      <c r="D2890" s="23" t="e">
        <f ca="1">[1]!BexGetData("DP_1","003N8EMH8GTFRCSWKMPXRRESE","GSON2121100002")</f>
        <v>#NAME?</v>
      </c>
      <c r="E2890" s="23" t="e">
        <f ca="1">[1]!BexGetData("DP_1","003N8EMH8GTFRCSWKMPXRRL3Y","GSON2121100002")</f>
        <v>#NAME?</v>
      </c>
      <c r="F2890" s="23" t="e">
        <f ca="1">[1]!BexGetData("DP_1","003N8EMH8GTFRCSWKMPXRRRFI","GSON2121100002")</f>
        <v>#NAME?</v>
      </c>
      <c r="G2890" s="23" t="e">
        <f ca="1">[1]!BexGetData("DP_1","003N8EMH8GTFRCSWKMPXRRXR2","GSON2121100002")</f>
        <v>#NAME?</v>
      </c>
      <c r="H2890" s="23" t="e">
        <f ca="1">[1]!BexGetData("DP_1","003N8EMH8GTFRCSWKMPXRS42M","GSON2121100002")</f>
        <v>#NAME?</v>
      </c>
      <c r="I2890" s="23" t="e">
        <f ca="1">[1]!BexGetData("DP_1","003N8EMH8GTFRCSWKMPXRSAE6","GSON2121100002")</f>
        <v>#NAME?</v>
      </c>
      <c r="J2890" s="23" t="e">
        <f ca="1">[1]!BexGetData("DP_1","003N8EMH8GTFRCSWKMPXRSGPQ","GSON2121100002")</f>
        <v>#NAME?</v>
      </c>
      <c r="K2890" s="23" t="e">
        <f ca="1">[1]!BexGetData("DP_1","003N8EMH8GTFRIVNUPY288VJH","GSON2121100002")</f>
        <v>#NAME?</v>
      </c>
      <c r="L2890" s="23" t="e">
        <f ca="1">[1]!BexGetData("DP_1","003N8EMH8GTFRIVNUPY2891V1","GSON2121100002")</f>
        <v>#NAME?</v>
      </c>
      <c r="M2890" s="23" t="e">
        <f ca="1">[1]!BexGetData("DP_1","003N8EMH8GTFRIVOG7KG9IQXA","GSON2121100002")</f>
        <v>#NAME?</v>
      </c>
      <c r="N2890" s="28" t="e">
        <f ca="1">[1]!BexGetData("DP_1","003N8EMH8GTFRIVOG7KG9IX8U","GSON2121100002")</f>
        <v>#NAME?</v>
      </c>
      <c r="O2890" s="23" t="e">
        <f ca="1">[1]!BexGetData("DP_1","003N8EMH8GTFRIVOG7KG9J3KE","GSON2121100002")</f>
        <v>#NAME?</v>
      </c>
      <c r="P2890" s="28" t="e">
        <f ca="1">[1]!BexGetData("DP_1","003N8EMH8GTFRIVOG7KG9J9VY","GSON2121100002")</f>
        <v>#NAME?</v>
      </c>
      <c r="Q2890" s="23" t="e">
        <f ca="1">[1]!BexGetData("DP_1","00O2TNJGODT0G5Z4TTKYMM5MT","GSON2121100002")</f>
        <v>#NAME?</v>
      </c>
      <c r="R2890" s="23" t="e">
        <f ca="1">[1]!BexGetData("DP_1","00O2TNJGODT0G5Z4TTKYMMBYD","GSON2121100002")</f>
        <v>#NAME?</v>
      </c>
      <c r="S2890" s="23" t="e">
        <f ca="1">[1]!BexGetData("DP_1","00O2TNJGODT0G5Z4TTKYMMI9X","GSON2121100002")</f>
        <v>#NAME?</v>
      </c>
      <c r="T2890" s="23" t="e">
        <f ca="1">[1]!BexGetData("DP_1","00O2TNJGODT0G5Z4TTKYMMOLH","GSON2121100002")</f>
        <v>#NAME?</v>
      </c>
      <c r="U2890" s="28" t="e">
        <f ca="1">[1]!BexGetData("DP_1","00O2TNJGODT0G5Z4TTKYMMUX1","GSON2121100002")</f>
        <v>#NAME?</v>
      </c>
      <c r="V2890" s="23" t="e">
        <f ca="1">[1]!BexGetData("DP_1","00O2TNJGODT0G5Z4TTKYMN18L","GSON2121100002")</f>
        <v>#NAME?</v>
      </c>
      <c r="W2890" s="28" t="e">
        <f ca="1">[1]!BexGetData("DP_1","00O2TNJGODT0G5Z4TTKYMN7K5","GSON2121100002")</f>
        <v>#NAME?</v>
      </c>
    </row>
    <row r="2891" spans="1:23" x14ac:dyDescent="0.2">
      <c r="A2891" s="37" t="s">
        <v>491</v>
      </c>
      <c r="B2891" s="27" t="s">
        <v>1441</v>
      </c>
      <c r="C2891" s="23" t="e">
        <f ca="1">[1]!BexGetData("DP_1","003N8EMH8GTFRCSWKMPXRR8GU","GSON2121100004")</f>
        <v>#NAME?</v>
      </c>
      <c r="D2891" s="23" t="e">
        <f ca="1">[1]!BexGetData("DP_1","003N8EMH8GTFRCSWKMPXRRESE","GSON2121100004")</f>
        <v>#NAME?</v>
      </c>
      <c r="E2891" s="23" t="e">
        <f ca="1">[1]!BexGetData("DP_1","003N8EMH8GTFRCSWKMPXRRL3Y","GSON2121100004")</f>
        <v>#NAME?</v>
      </c>
      <c r="F2891" s="28" t="e">
        <f ca="1">[1]!BexGetData("DP_1","003N8EMH8GTFRCSWKMPXRRRFI","GSON2121100004")</f>
        <v>#NAME?</v>
      </c>
      <c r="G2891" s="23" t="e">
        <f ca="1">[1]!BexGetData("DP_1","003N8EMH8GTFRCSWKMPXRRXR2","GSON2121100004")</f>
        <v>#NAME?</v>
      </c>
      <c r="H2891" s="23" t="e">
        <f ca="1">[1]!BexGetData("DP_1","003N8EMH8GTFRCSWKMPXRS42M","GSON2121100004")</f>
        <v>#NAME?</v>
      </c>
      <c r="I2891" s="28" t="e">
        <f ca="1">[1]!BexGetData("DP_1","003N8EMH8GTFRCSWKMPXRSAE6","GSON2121100004")</f>
        <v>#NAME?</v>
      </c>
      <c r="J2891" s="24" t="e">
        <f ca="1">[1]!BexGetData("DP_1","003N8EMH8GTFRCSWKMPXRSGPQ","GSON2121100004")</f>
        <v>#NAME?</v>
      </c>
      <c r="K2891" s="23" t="e">
        <f ca="1">[1]!BexGetData("DP_1","003N8EMH8GTFRIVNUPY288VJH","GSON2121100004")</f>
        <v>#NAME?</v>
      </c>
      <c r="L2891" s="23" t="e">
        <f ca="1">[1]!BexGetData("DP_1","003N8EMH8GTFRIVNUPY2891V1","GSON2121100004")</f>
        <v>#NAME?</v>
      </c>
      <c r="M2891" s="23" t="e">
        <f ca="1">[1]!BexGetData("DP_1","003N8EMH8GTFRIVOG7KG9IQXA","GSON2121100004")</f>
        <v>#NAME?</v>
      </c>
      <c r="N2891" s="28" t="e">
        <f ca="1">[1]!BexGetData("DP_1","003N8EMH8GTFRIVOG7KG9IX8U","GSON2121100004")</f>
        <v>#NAME?</v>
      </c>
      <c r="O2891" s="23" t="e">
        <f ca="1">[1]!BexGetData("DP_1","003N8EMH8GTFRIVOG7KG9J3KE","GSON2121100004")</f>
        <v>#NAME?</v>
      </c>
      <c r="P2891" s="28" t="e">
        <f ca="1">[1]!BexGetData("DP_1","003N8EMH8GTFRIVOG7KG9J9VY","GSON2121100004")</f>
        <v>#NAME?</v>
      </c>
      <c r="Q2891" s="24" t="e">
        <f ca="1">[1]!BexGetData("DP_1","00O2TNJGODT0G5Z4TTKYMM5MT","GSON2121100004")</f>
        <v>#NAME?</v>
      </c>
      <c r="R2891" s="28" t="e">
        <f ca="1">[1]!BexGetData("DP_1","00O2TNJGODT0G5Z4TTKYMMBYD","GSON2121100004")</f>
        <v>#NAME?</v>
      </c>
      <c r="S2891" s="28" t="e">
        <f ca="1">[1]!BexGetData("DP_1","00O2TNJGODT0G5Z4TTKYMMI9X","GSON2121100004")</f>
        <v>#NAME?</v>
      </c>
      <c r="T2891" s="28" t="e">
        <f ca="1">[1]!BexGetData("DP_1","00O2TNJGODT0G5Z4TTKYMMOLH","GSON2121100004")</f>
        <v>#NAME?</v>
      </c>
      <c r="U2891" s="28" t="e">
        <f ca="1">[1]!BexGetData("DP_1","00O2TNJGODT0G5Z4TTKYMMUX1","GSON2121100004")</f>
        <v>#NAME?</v>
      </c>
      <c r="V2891" s="28" t="e">
        <f ca="1">[1]!BexGetData("DP_1","00O2TNJGODT0G5Z4TTKYMN18L","GSON2121100004")</f>
        <v>#NAME?</v>
      </c>
      <c r="W2891" s="28" t="e">
        <f ca="1">[1]!BexGetData("DP_1","00O2TNJGODT0G5Z4TTKYMN7K5","GSON2121100004")</f>
        <v>#NAME?</v>
      </c>
    </row>
    <row r="2892" spans="1:23" x14ac:dyDescent="0.2">
      <c r="A2892" s="36" t="s">
        <v>489</v>
      </c>
      <c r="B2892" s="27" t="s">
        <v>490</v>
      </c>
      <c r="C2892" s="23" t="e">
        <f ca="1">[1]!BexGetData("DP_1","003N8EMH8GTFRCSWKMPXRR8GU","GSON2129")</f>
        <v>#NAME?</v>
      </c>
      <c r="D2892" s="28" t="e">
        <f ca="1">[1]!BexGetData("DP_1","003N8EMH8GTFRCSWKMPXRRESE","GSON2129")</f>
        <v>#NAME?</v>
      </c>
      <c r="E2892" s="28" t="e">
        <f ca="1">[1]!BexGetData("DP_1","003N8EMH8GTFRCSWKMPXRRL3Y","GSON2129")</f>
        <v>#NAME?</v>
      </c>
      <c r="F2892" s="23" t="e">
        <f ca="1">[1]!BexGetData("DP_1","003N8EMH8GTFRCSWKMPXRRRFI","GSON2129")</f>
        <v>#NAME?</v>
      </c>
      <c r="G2892" s="23" t="e">
        <f ca="1">[1]!BexGetData("DP_1","003N8EMH8GTFRCSWKMPXRRXR2","GSON2129")</f>
        <v>#NAME?</v>
      </c>
      <c r="H2892" s="23" t="e">
        <f ca="1">[1]!BexGetData("DP_1","003N8EMH8GTFRCSWKMPXRS42M","GSON2129")</f>
        <v>#NAME?</v>
      </c>
      <c r="I2892" s="23" t="e">
        <f ca="1">[1]!BexGetData("DP_1","003N8EMH8GTFRCSWKMPXRSAE6","GSON2129")</f>
        <v>#NAME?</v>
      </c>
      <c r="J2892" s="23" t="e">
        <f ca="1">[1]!BexGetData("DP_1","003N8EMH8GTFRCSWKMPXRSGPQ","GSON2129")</f>
        <v>#NAME?</v>
      </c>
      <c r="K2892" s="23" t="e">
        <f ca="1">[1]!BexGetData("DP_1","003N8EMH8GTFRIVNUPY288VJH","GSON2129")</f>
        <v>#NAME?</v>
      </c>
      <c r="L2892" s="23" t="e">
        <f ca="1">[1]!BexGetData("DP_1","003N8EMH8GTFRIVNUPY2891V1","GSON2129")</f>
        <v>#NAME?</v>
      </c>
      <c r="M2892" s="28" t="e">
        <f ca="1">[1]!BexGetData("DP_1","003N8EMH8GTFRIVOG7KG9IQXA","GSON2129")</f>
        <v>#NAME?</v>
      </c>
      <c r="N2892" s="23" t="e">
        <f ca="1">[1]!BexGetData("DP_1","003N8EMH8GTFRIVOG7KG9IX8U","GSON2129")</f>
        <v>#NAME?</v>
      </c>
      <c r="O2892" s="28" t="e">
        <f ca="1">[1]!BexGetData("DP_1","003N8EMH8GTFRIVOG7KG9J3KE","GSON2129")</f>
        <v>#NAME?</v>
      </c>
      <c r="P2892" s="23" t="e">
        <f ca="1">[1]!BexGetData("DP_1","003N8EMH8GTFRIVOG7KG9J9VY","GSON2129")</f>
        <v>#NAME?</v>
      </c>
      <c r="Q2892" s="23" t="e">
        <f ca="1">[1]!BexGetData("DP_1","00O2TNJGODT0G5Z4TTKYMM5MT","GSON2129")</f>
        <v>#NAME?</v>
      </c>
      <c r="R2892" s="28" t="e">
        <f ca="1">[1]!BexGetData("DP_1","00O2TNJGODT0G5Z4TTKYMMBYD","GSON2129")</f>
        <v>#NAME?</v>
      </c>
      <c r="S2892" s="28" t="e">
        <f ca="1">[1]!BexGetData("DP_1","00O2TNJGODT0G5Z4TTKYMMI9X","GSON2129")</f>
        <v>#NAME?</v>
      </c>
      <c r="T2892" s="28" t="e">
        <f ca="1">[1]!BexGetData("DP_1","00O2TNJGODT0G5Z4TTKYMMOLH","GSON2129")</f>
        <v>#NAME?</v>
      </c>
      <c r="U2892" s="28" t="e">
        <f ca="1">[1]!BexGetData("DP_1","00O2TNJGODT0G5Z4TTKYMMUX1","GSON2129")</f>
        <v>#NAME?</v>
      </c>
      <c r="V2892" s="28" t="e">
        <f ca="1">[1]!BexGetData("DP_1","00O2TNJGODT0G5Z4TTKYMN18L","GSON2129")</f>
        <v>#NAME?</v>
      </c>
      <c r="W2892" s="28" t="e">
        <f ca="1">[1]!BexGetData("DP_1","00O2TNJGODT0G5Z4TTKYMN7K5","GSON2129")</f>
        <v>#NAME?</v>
      </c>
    </row>
    <row r="2893" spans="1:23" x14ac:dyDescent="0.2">
      <c r="A2893" s="37" t="s">
        <v>6292</v>
      </c>
      <c r="B2893" s="27" t="s">
        <v>6293</v>
      </c>
      <c r="C2893" s="23" t="e">
        <f ca="1">[1]!BexGetData("DP_1","003N8EMH8GTFRCSWKMPXRR8GU","GSON2129100001")</f>
        <v>#NAME?</v>
      </c>
      <c r="D2893" s="28" t="e">
        <f ca="1">[1]!BexGetData("DP_1","003N8EMH8GTFRCSWKMPXRRESE","GSON2129100001")</f>
        <v>#NAME?</v>
      </c>
      <c r="E2893" s="28" t="e">
        <f ca="1">[1]!BexGetData("DP_1","003N8EMH8GTFRCSWKMPXRRL3Y","GSON2129100001")</f>
        <v>#NAME?</v>
      </c>
      <c r="F2893" s="23" t="e">
        <f ca="1">[1]!BexGetData("DP_1","003N8EMH8GTFRCSWKMPXRRRFI","GSON2129100001")</f>
        <v>#NAME?</v>
      </c>
      <c r="G2893" s="23" t="e">
        <f ca="1">[1]!BexGetData("DP_1","003N8EMH8GTFRCSWKMPXRRXR2","GSON2129100001")</f>
        <v>#NAME?</v>
      </c>
      <c r="H2893" s="23" t="e">
        <f ca="1">[1]!BexGetData("DP_1","003N8EMH8GTFRCSWKMPXRS42M","GSON2129100001")</f>
        <v>#NAME?</v>
      </c>
      <c r="I2893" s="23" t="e">
        <f ca="1">[1]!BexGetData("DP_1","003N8EMH8GTFRCSWKMPXRSAE6","GSON2129100001")</f>
        <v>#NAME?</v>
      </c>
      <c r="J2893" s="23" t="e">
        <f ca="1">[1]!BexGetData("DP_1","003N8EMH8GTFRCSWKMPXRSGPQ","GSON2129100001")</f>
        <v>#NAME?</v>
      </c>
      <c r="K2893" s="23" t="e">
        <f ca="1">[1]!BexGetData("DP_1","003N8EMH8GTFRIVNUPY288VJH","GSON2129100001")</f>
        <v>#NAME?</v>
      </c>
      <c r="L2893" s="23" t="e">
        <f ca="1">[1]!BexGetData("DP_1","003N8EMH8GTFRIVNUPY2891V1","GSON2129100001")</f>
        <v>#NAME?</v>
      </c>
      <c r="M2893" s="28" t="e">
        <f ca="1">[1]!BexGetData("DP_1","003N8EMH8GTFRIVOG7KG9IQXA","GSON2129100001")</f>
        <v>#NAME?</v>
      </c>
      <c r="N2893" s="23" t="e">
        <f ca="1">[1]!BexGetData("DP_1","003N8EMH8GTFRIVOG7KG9IX8U","GSON2129100001")</f>
        <v>#NAME?</v>
      </c>
      <c r="O2893" s="28" t="e">
        <f ca="1">[1]!BexGetData("DP_1","003N8EMH8GTFRIVOG7KG9J3KE","GSON2129100001")</f>
        <v>#NAME?</v>
      </c>
      <c r="P2893" s="23" t="e">
        <f ca="1">[1]!BexGetData("DP_1","003N8EMH8GTFRIVOG7KG9J9VY","GSON2129100001")</f>
        <v>#NAME?</v>
      </c>
      <c r="Q2893" s="23" t="e">
        <f ca="1">[1]!BexGetData("DP_1","00O2TNJGODT0G5Z4TTKYMM5MT","GSON2129100001")</f>
        <v>#NAME?</v>
      </c>
      <c r="R2893" s="28" t="e">
        <f ca="1">[1]!BexGetData("DP_1","00O2TNJGODT0G5Z4TTKYMMBYD","GSON2129100001")</f>
        <v>#NAME?</v>
      </c>
      <c r="S2893" s="28" t="e">
        <f ca="1">[1]!BexGetData("DP_1","00O2TNJGODT0G5Z4TTKYMMI9X","GSON2129100001")</f>
        <v>#NAME?</v>
      </c>
      <c r="T2893" s="28" t="e">
        <f ca="1">[1]!BexGetData("DP_1","00O2TNJGODT0G5Z4TTKYMMOLH","GSON2129100001")</f>
        <v>#NAME?</v>
      </c>
      <c r="U2893" s="28" t="e">
        <f ca="1">[1]!BexGetData("DP_1","00O2TNJGODT0G5Z4TTKYMMUX1","GSON2129100001")</f>
        <v>#NAME?</v>
      </c>
      <c r="V2893" s="28" t="e">
        <f ca="1">[1]!BexGetData("DP_1","00O2TNJGODT0G5Z4TTKYMN18L","GSON2129100001")</f>
        <v>#NAME?</v>
      </c>
      <c r="W2893" s="28" t="e">
        <f ca="1">[1]!BexGetData("DP_1","00O2TNJGODT0G5Z4TTKYMN7K5","GSON2129100001")</f>
        <v>#NAME?</v>
      </c>
    </row>
    <row r="2894" spans="1:23" x14ac:dyDescent="0.2">
      <c r="A2894" s="35" t="s">
        <v>492</v>
      </c>
      <c r="B2894" s="27" t="s">
        <v>493</v>
      </c>
      <c r="C2894" s="23" t="e">
        <f ca="1">[1]!BexGetData("DP_1","003N8EMH8GTFRCSWKMPXRR8GU","GSON213")</f>
        <v>#NAME?</v>
      </c>
      <c r="D2894" s="23" t="e">
        <f ca="1">[1]!BexGetData("DP_1","003N8EMH8GTFRCSWKMPXRRESE","GSON213")</f>
        <v>#NAME?</v>
      </c>
      <c r="E2894" s="23" t="e">
        <f ca="1">[1]!BexGetData("DP_1","003N8EMH8GTFRCSWKMPXRRL3Y","GSON213")</f>
        <v>#NAME?</v>
      </c>
      <c r="F2894" s="23" t="e">
        <f ca="1">[1]!BexGetData("DP_1","003N8EMH8GTFRCSWKMPXRRRFI","GSON213")</f>
        <v>#NAME?</v>
      </c>
      <c r="G2894" s="23" t="e">
        <f ca="1">[1]!BexGetData("DP_1","003N8EMH8GTFRCSWKMPXRRXR2","GSON213")</f>
        <v>#NAME?</v>
      </c>
      <c r="H2894" s="23" t="e">
        <f ca="1">[1]!BexGetData("DP_1","003N8EMH8GTFRCSWKMPXRS42M","GSON213")</f>
        <v>#NAME?</v>
      </c>
      <c r="I2894" s="23" t="e">
        <f ca="1">[1]!BexGetData("DP_1","003N8EMH8GTFRCSWKMPXRSAE6","GSON213")</f>
        <v>#NAME?</v>
      </c>
      <c r="J2894" s="23" t="e">
        <f ca="1">[1]!BexGetData("DP_1","003N8EMH8GTFRCSWKMPXRSGPQ","GSON213")</f>
        <v>#NAME?</v>
      </c>
      <c r="K2894" s="23" t="e">
        <f ca="1">[1]!BexGetData("DP_1","003N8EMH8GTFRIVNUPY288VJH","GSON213")</f>
        <v>#NAME?</v>
      </c>
      <c r="L2894" s="23" t="e">
        <f ca="1">[1]!BexGetData("DP_1","003N8EMH8GTFRIVNUPY2891V1","GSON213")</f>
        <v>#NAME?</v>
      </c>
      <c r="M2894" s="23" t="e">
        <f ca="1">[1]!BexGetData("DP_1","003N8EMH8GTFRIVOG7KG9IQXA","GSON213")</f>
        <v>#NAME?</v>
      </c>
      <c r="N2894" s="28" t="e">
        <f ca="1">[1]!BexGetData("DP_1","003N8EMH8GTFRIVOG7KG9IX8U","GSON213")</f>
        <v>#NAME?</v>
      </c>
      <c r="O2894" s="23" t="e">
        <f ca="1">[1]!BexGetData("DP_1","003N8EMH8GTFRIVOG7KG9J3KE","GSON213")</f>
        <v>#NAME?</v>
      </c>
      <c r="P2894" s="28" t="e">
        <f ca="1">[1]!BexGetData("DP_1","003N8EMH8GTFRIVOG7KG9J9VY","GSON213")</f>
        <v>#NAME?</v>
      </c>
      <c r="Q2894" s="23" t="e">
        <f ca="1">[1]!BexGetData("DP_1","00O2TNJGODT0G5Z4TTKYMM5MT","GSON213")</f>
        <v>#NAME?</v>
      </c>
      <c r="R2894" s="23" t="e">
        <f ca="1">[1]!BexGetData("DP_1","00O2TNJGODT0G5Z4TTKYMMBYD","GSON213")</f>
        <v>#NAME?</v>
      </c>
      <c r="S2894" s="23" t="e">
        <f ca="1">[1]!BexGetData("DP_1","00O2TNJGODT0G5Z4TTKYMMI9X","GSON213")</f>
        <v>#NAME?</v>
      </c>
      <c r="T2894" s="23" t="e">
        <f ca="1">[1]!BexGetData("DP_1","00O2TNJGODT0G5Z4TTKYMMOLH","GSON213")</f>
        <v>#NAME?</v>
      </c>
      <c r="U2894" s="28" t="e">
        <f ca="1">[1]!BexGetData("DP_1","00O2TNJGODT0G5Z4TTKYMMUX1","GSON213")</f>
        <v>#NAME?</v>
      </c>
      <c r="V2894" s="23" t="e">
        <f ca="1">[1]!BexGetData("DP_1","00O2TNJGODT0G5Z4TTKYMN18L","GSON213")</f>
        <v>#NAME?</v>
      </c>
      <c r="W2894" s="28" t="e">
        <f ca="1">[1]!BexGetData("DP_1","00O2TNJGODT0G5Z4TTKYMN7K5","GSON213")</f>
        <v>#NAME?</v>
      </c>
    </row>
    <row r="2895" spans="1:23" x14ac:dyDescent="0.2">
      <c r="A2895" s="36" t="s">
        <v>494</v>
      </c>
      <c r="B2895" s="27" t="s">
        <v>495</v>
      </c>
      <c r="C2895" s="23" t="e">
        <f ca="1">[1]!BexGetData("DP_1","003N8EMH8GTFRCSWKMPXRR8GU","GSON2131")</f>
        <v>#NAME?</v>
      </c>
      <c r="D2895" s="23" t="e">
        <f ca="1">[1]!BexGetData("DP_1","003N8EMH8GTFRCSWKMPXRRESE","GSON2131")</f>
        <v>#NAME?</v>
      </c>
      <c r="E2895" s="23" t="e">
        <f ca="1">[1]!BexGetData("DP_1","003N8EMH8GTFRCSWKMPXRRL3Y","GSON2131")</f>
        <v>#NAME?</v>
      </c>
      <c r="F2895" s="23" t="e">
        <f ca="1">[1]!BexGetData("DP_1","003N8EMH8GTFRCSWKMPXRRRFI","GSON2131")</f>
        <v>#NAME?</v>
      </c>
      <c r="G2895" s="23" t="e">
        <f ca="1">[1]!BexGetData("DP_1","003N8EMH8GTFRCSWKMPXRRXR2","GSON2131")</f>
        <v>#NAME?</v>
      </c>
      <c r="H2895" s="23" t="e">
        <f ca="1">[1]!BexGetData("DP_1","003N8EMH8GTFRCSWKMPXRS42M","GSON2131")</f>
        <v>#NAME?</v>
      </c>
      <c r="I2895" s="23" t="e">
        <f ca="1">[1]!BexGetData("DP_1","003N8EMH8GTFRCSWKMPXRSAE6","GSON2131")</f>
        <v>#NAME?</v>
      </c>
      <c r="J2895" s="23" t="e">
        <f ca="1">[1]!BexGetData("DP_1","003N8EMH8GTFRCSWKMPXRSGPQ","GSON2131")</f>
        <v>#NAME?</v>
      </c>
      <c r="K2895" s="23" t="e">
        <f ca="1">[1]!BexGetData("DP_1","003N8EMH8GTFRIVNUPY288VJH","GSON2131")</f>
        <v>#NAME?</v>
      </c>
      <c r="L2895" s="23" t="e">
        <f ca="1">[1]!BexGetData("DP_1","003N8EMH8GTFRIVNUPY2891V1","GSON2131")</f>
        <v>#NAME?</v>
      </c>
      <c r="M2895" s="23" t="e">
        <f ca="1">[1]!BexGetData("DP_1","003N8EMH8GTFRIVOG7KG9IQXA","GSON2131")</f>
        <v>#NAME?</v>
      </c>
      <c r="N2895" s="28" t="e">
        <f ca="1">[1]!BexGetData("DP_1","003N8EMH8GTFRIVOG7KG9IX8U","GSON2131")</f>
        <v>#NAME?</v>
      </c>
      <c r="O2895" s="23" t="e">
        <f ca="1">[1]!BexGetData("DP_1","003N8EMH8GTFRIVOG7KG9J3KE","GSON2131")</f>
        <v>#NAME?</v>
      </c>
      <c r="P2895" s="28" t="e">
        <f ca="1">[1]!BexGetData("DP_1","003N8EMH8GTFRIVOG7KG9J9VY","GSON2131")</f>
        <v>#NAME?</v>
      </c>
      <c r="Q2895" s="23" t="e">
        <f ca="1">[1]!BexGetData("DP_1","00O2TNJGODT0G5Z4TTKYMM5MT","GSON2131")</f>
        <v>#NAME?</v>
      </c>
      <c r="R2895" s="23" t="e">
        <f ca="1">[1]!BexGetData("DP_1","00O2TNJGODT0G5Z4TTKYMMBYD","GSON2131")</f>
        <v>#NAME?</v>
      </c>
      <c r="S2895" s="23" t="e">
        <f ca="1">[1]!BexGetData("DP_1","00O2TNJGODT0G5Z4TTKYMMI9X","GSON2131")</f>
        <v>#NAME?</v>
      </c>
      <c r="T2895" s="23" t="e">
        <f ca="1">[1]!BexGetData("DP_1","00O2TNJGODT0G5Z4TTKYMMOLH","GSON2131")</f>
        <v>#NAME?</v>
      </c>
      <c r="U2895" s="28" t="e">
        <f ca="1">[1]!BexGetData("DP_1","00O2TNJGODT0G5Z4TTKYMMUX1","GSON2131")</f>
        <v>#NAME?</v>
      </c>
      <c r="V2895" s="23" t="e">
        <f ca="1">[1]!BexGetData("DP_1","00O2TNJGODT0G5Z4TTKYMN18L","GSON2131")</f>
        <v>#NAME?</v>
      </c>
      <c r="W2895" s="28" t="e">
        <f ca="1">[1]!BexGetData("DP_1","00O2TNJGODT0G5Z4TTKYMN7K5","GSON2131")</f>
        <v>#NAME?</v>
      </c>
    </row>
    <row r="2896" spans="1:23" x14ac:dyDescent="0.2">
      <c r="A2896" s="37" t="s">
        <v>496</v>
      </c>
      <c r="B2896" s="27" t="s">
        <v>497</v>
      </c>
      <c r="C2896" s="23" t="e">
        <f ca="1">[1]!BexGetData("DP_1","003N8EMH8GTFRCSWKMPXRR8GU","GSON21311")</f>
        <v>#NAME?</v>
      </c>
      <c r="D2896" s="23" t="e">
        <f ca="1">[1]!BexGetData("DP_1","003N8EMH8GTFRCSWKMPXRRESE","GSON21311")</f>
        <v>#NAME?</v>
      </c>
      <c r="E2896" s="23" t="e">
        <f ca="1">[1]!BexGetData("DP_1","003N8EMH8GTFRCSWKMPXRRL3Y","GSON21311")</f>
        <v>#NAME?</v>
      </c>
      <c r="F2896" s="23" t="e">
        <f ca="1">[1]!BexGetData("DP_1","003N8EMH8GTFRCSWKMPXRRRFI","GSON21311")</f>
        <v>#NAME?</v>
      </c>
      <c r="G2896" s="23" t="e">
        <f ca="1">[1]!BexGetData("DP_1","003N8EMH8GTFRCSWKMPXRRXR2","GSON21311")</f>
        <v>#NAME?</v>
      </c>
      <c r="H2896" s="23" t="e">
        <f ca="1">[1]!BexGetData("DP_1","003N8EMH8GTFRCSWKMPXRS42M","GSON21311")</f>
        <v>#NAME?</v>
      </c>
      <c r="I2896" s="23" t="e">
        <f ca="1">[1]!BexGetData("DP_1","003N8EMH8GTFRCSWKMPXRSAE6","GSON21311")</f>
        <v>#NAME?</v>
      </c>
      <c r="J2896" s="23" t="e">
        <f ca="1">[1]!BexGetData("DP_1","003N8EMH8GTFRCSWKMPXRSGPQ","GSON21311")</f>
        <v>#NAME?</v>
      </c>
      <c r="K2896" s="23" t="e">
        <f ca="1">[1]!BexGetData("DP_1","003N8EMH8GTFRIVNUPY288VJH","GSON21311")</f>
        <v>#NAME?</v>
      </c>
      <c r="L2896" s="23" t="e">
        <f ca="1">[1]!BexGetData("DP_1","003N8EMH8GTFRIVNUPY2891V1","GSON21311")</f>
        <v>#NAME?</v>
      </c>
      <c r="M2896" s="23" t="e">
        <f ca="1">[1]!BexGetData("DP_1","003N8EMH8GTFRIVOG7KG9IQXA","GSON21311")</f>
        <v>#NAME?</v>
      </c>
      <c r="N2896" s="28" t="e">
        <f ca="1">[1]!BexGetData("DP_1","003N8EMH8GTFRIVOG7KG9IX8U","GSON21311")</f>
        <v>#NAME?</v>
      </c>
      <c r="O2896" s="23" t="e">
        <f ca="1">[1]!BexGetData("DP_1","003N8EMH8GTFRIVOG7KG9J3KE","GSON21311")</f>
        <v>#NAME?</v>
      </c>
      <c r="P2896" s="28" t="e">
        <f ca="1">[1]!BexGetData("DP_1","003N8EMH8GTFRIVOG7KG9J9VY","GSON21311")</f>
        <v>#NAME?</v>
      </c>
      <c r="Q2896" s="23" t="e">
        <f ca="1">[1]!BexGetData("DP_1","00O2TNJGODT0G5Z4TTKYMM5MT","GSON21311")</f>
        <v>#NAME?</v>
      </c>
      <c r="R2896" s="23" t="e">
        <f ca="1">[1]!BexGetData("DP_1","00O2TNJGODT0G5Z4TTKYMMBYD","GSON21311")</f>
        <v>#NAME?</v>
      </c>
      <c r="S2896" s="23" t="e">
        <f ca="1">[1]!BexGetData("DP_1","00O2TNJGODT0G5Z4TTKYMMI9X","GSON21311")</f>
        <v>#NAME?</v>
      </c>
      <c r="T2896" s="23" t="e">
        <f ca="1">[1]!BexGetData("DP_1","00O2TNJGODT0G5Z4TTKYMMOLH","GSON21311")</f>
        <v>#NAME?</v>
      </c>
      <c r="U2896" s="28" t="e">
        <f ca="1">[1]!BexGetData("DP_1","00O2TNJGODT0G5Z4TTKYMMUX1","GSON21311")</f>
        <v>#NAME?</v>
      </c>
      <c r="V2896" s="23" t="e">
        <f ca="1">[1]!BexGetData("DP_1","00O2TNJGODT0G5Z4TTKYMN18L","GSON21311")</f>
        <v>#NAME?</v>
      </c>
      <c r="W2896" s="28" t="e">
        <f ca="1">[1]!BexGetData("DP_1","00O2TNJGODT0G5Z4TTKYMN7K5","GSON21311")</f>
        <v>#NAME?</v>
      </c>
    </row>
    <row r="2897" spans="1:23" x14ac:dyDescent="0.2">
      <c r="A2897" s="48" t="s">
        <v>1442</v>
      </c>
      <c r="B2897" s="27" t="s">
        <v>498</v>
      </c>
      <c r="C2897" s="23" t="e">
        <f ca="1">[1]!BexGetData("DP_1","003N8EMH8GTFRCSWKMPXRR8GU","GSON2131100001")</f>
        <v>#NAME?</v>
      </c>
      <c r="D2897" s="23" t="e">
        <f ca="1">[1]!BexGetData("DP_1","003N8EMH8GTFRCSWKMPXRRESE","GSON2131100001")</f>
        <v>#NAME?</v>
      </c>
      <c r="E2897" s="23" t="e">
        <f ca="1">[1]!BexGetData("DP_1","003N8EMH8GTFRCSWKMPXRRL3Y","GSON2131100001")</f>
        <v>#NAME?</v>
      </c>
      <c r="F2897" s="23" t="e">
        <f ca="1">[1]!BexGetData("DP_1","003N8EMH8GTFRCSWKMPXRRRFI","GSON2131100001")</f>
        <v>#NAME?</v>
      </c>
      <c r="G2897" s="23" t="e">
        <f ca="1">[1]!BexGetData("DP_1","003N8EMH8GTFRCSWKMPXRRXR2","GSON2131100001")</f>
        <v>#NAME?</v>
      </c>
      <c r="H2897" s="23" t="e">
        <f ca="1">[1]!BexGetData("DP_1","003N8EMH8GTFRCSWKMPXRS42M","GSON2131100001")</f>
        <v>#NAME?</v>
      </c>
      <c r="I2897" s="23" t="e">
        <f ca="1">[1]!BexGetData("DP_1","003N8EMH8GTFRCSWKMPXRSAE6","GSON2131100001")</f>
        <v>#NAME?</v>
      </c>
      <c r="J2897" s="23" t="e">
        <f ca="1">[1]!BexGetData("DP_1","003N8EMH8GTFRCSWKMPXRSGPQ","GSON2131100001")</f>
        <v>#NAME?</v>
      </c>
      <c r="K2897" s="23" t="e">
        <f ca="1">[1]!BexGetData("DP_1","003N8EMH8GTFRIVNUPY288VJH","GSON2131100001")</f>
        <v>#NAME?</v>
      </c>
      <c r="L2897" s="23" t="e">
        <f ca="1">[1]!BexGetData("DP_1","003N8EMH8GTFRIVNUPY2891V1","GSON2131100001")</f>
        <v>#NAME?</v>
      </c>
      <c r="M2897" s="23" t="e">
        <f ca="1">[1]!BexGetData("DP_1","003N8EMH8GTFRIVOG7KG9IQXA","GSON2131100001")</f>
        <v>#NAME?</v>
      </c>
      <c r="N2897" s="28" t="e">
        <f ca="1">[1]!BexGetData("DP_1","003N8EMH8GTFRIVOG7KG9IX8U","GSON2131100001")</f>
        <v>#NAME?</v>
      </c>
      <c r="O2897" s="23" t="e">
        <f ca="1">[1]!BexGetData("DP_1","003N8EMH8GTFRIVOG7KG9J3KE","GSON2131100001")</f>
        <v>#NAME?</v>
      </c>
      <c r="P2897" s="28" t="e">
        <f ca="1">[1]!BexGetData("DP_1","003N8EMH8GTFRIVOG7KG9J9VY","GSON2131100001")</f>
        <v>#NAME?</v>
      </c>
      <c r="Q2897" s="23" t="e">
        <f ca="1">[1]!BexGetData("DP_1","00O2TNJGODT0G5Z4TTKYMM5MT","GSON2131100001")</f>
        <v>#NAME?</v>
      </c>
      <c r="R2897" s="23" t="e">
        <f ca="1">[1]!BexGetData("DP_1","00O2TNJGODT0G5Z4TTKYMMBYD","GSON2131100001")</f>
        <v>#NAME?</v>
      </c>
      <c r="S2897" s="23" t="e">
        <f ca="1">[1]!BexGetData("DP_1","00O2TNJGODT0G5Z4TTKYMMI9X","GSON2131100001")</f>
        <v>#NAME?</v>
      </c>
      <c r="T2897" s="23" t="e">
        <f ca="1">[1]!BexGetData("DP_1","00O2TNJGODT0G5Z4TTKYMMOLH","GSON2131100001")</f>
        <v>#NAME?</v>
      </c>
      <c r="U2897" s="28" t="e">
        <f ca="1">[1]!BexGetData("DP_1","00O2TNJGODT0G5Z4TTKYMMUX1","GSON2131100001")</f>
        <v>#NAME?</v>
      </c>
      <c r="V2897" s="23" t="e">
        <f ca="1">[1]!BexGetData("DP_1","00O2TNJGODT0G5Z4TTKYMN18L","GSON2131100001")</f>
        <v>#NAME?</v>
      </c>
      <c r="W2897" s="28" t="e">
        <f ca="1">[1]!BexGetData("DP_1","00O2TNJGODT0G5Z4TTKYMN7K5","GSON2131100001")</f>
        <v>#NAME?</v>
      </c>
    </row>
    <row r="2898" spans="1:23" x14ac:dyDescent="0.2">
      <c r="A2898" s="48" t="s">
        <v>1443</v>
      </c>
      <c r="B2898" s="27" t="s">
        <v>499</v>
      </c>
      <c r="C2898" s="23" t="e">
        <f ca="1">[1]!BexGetData("DP_1","003N8EMH8GTFRCSWKMPXRR8GU","GSON2131100002")</f>
        <v>#NAME?</v>
      </c>
      <c r="D2898" s="23" t="e">
        <f ca="1">[1]!BexGetData("DP_1","003N8EMH8GTFRCSWKMPXRRESE","GSON2131100002")</f>
        <v>#NAME?</v>
      </c>
      <c r="E2898" s="23" t="e">
        <f ca="1">[1]!BexGetData("DP_1","003N8EMH8GTFRCSWKMPXRRL3Y","GSON2131100002")</f>
        <v>#NAME?</v>
      </c>
      <c r="F2898" s="23" t="e">
        <f ca="1">[1]!BexGetData("DP_1","003N8EMH8GTFRCSWKMPXRRRFI","GSON2131100002")</f>
        <v>#NAME?</v>
      </c>
      <c r="G2898" s="23" t="e">
        <f ca="1">[1]!BexGetData("DP_1","003N8EMH8GTFRCSWKMPXRRXR2","GSON2131100002")</f>
        <v>#NAME?</v>
      </c>
      <c r="H2898" s="23" t="e">
        <f ca="1">[1]!BexGetData("DP_1","003N8EMH8GTFRCSWKMPXRS42M","GSON2131100002")</f>
        <v>#NAME?</v>
      </c>
      <c r="I2898" s="23" t="e">
        <f ca="1">[1]!BexGetData("DP_1","003N8EMH8GTFRCSWKMPXRSAE6","GSON2131100002")</f>
        <v>#NAME?</v>
      </c>
      <c r="J2898" s="24" t="e">
        <f ca="1">[1]!BexGetData("DP_1","003N8EMH8GTFRCSWKMPXRSGPQ","GSON2131100002")</f>
        <v>#NAME?</v>
      </c>
      <c r="K2898" s="23" t="e">
        <f ca="1">[1]!BexGetData("DP_1","003N8EMH8GTFRIVNUPY288VJH","GSON2131100002")</f>
        <v>#NAME?</v>
      </c>
      <c r="L2898" s="23" t="e">
        <f ca="1">[1]!BexGetData("DP_1","003N8EMH8GTFRIVNUPY2891V1","GSON2131100002")</f>
        <v>#NAME?</v>
      </c>
      <c r="M2898" s="23" t="e">
        <f ca="1">[1]!BexGetData("DP_1","003N8EMH8GTFRIVOG7KG9IQXA","GSON2131100002")</f>
        <v>#NAME?</v>
      </c>
      <c r="N2898" s="28" t="e">
        <f ca="1">[1]!BexGetData("DP_1","003N8EMH8GTFRIVOG7KG9IX8U","GSON2131100002")</f>
        <v>#NAME?</v>
      </c>
      <c r="O2898" s="23" t="e">
        <f ca="1">[1]!BexGetData("DP_1","003N8EMH8GTFRIVOG7KG9J3KE","GSON2131100002")</f>
        <v>#NAME?</v>
      </c>
      <c r="P2898" s="28" t="e">
        <f ca="1">[1]!BexGetData("DP_1","003N8EMH8GTFRIVOG7KG9J9VY","GSON2131100002")</f>
        <v>#NAME?</v>
      </c>
      <c r="Q2898" s="24" t="e">
        <f ca="1">[1]!BexGetData("DP_1","00O2TNJGODT0G5Z4TTKYMM5MT","GSON2131100002")</f>
        <v>#NAME?</v>
      </c>
      <c r="R2898" s="23" t="e">
        <f ca="1">[1]!BexGetData("DP_1","00O2TNJGODT0G5Z4TTKYMMBYD","GSON2131100002")</f>
        <v>#NAME?</v>
      </c>
      <c r="S2898" s="23" t="e">
        <f ca="1">[1]!BexGetData("DP_1","00O2TNJGODT0G5Z4TTKYMMI9X","GSON2131100002")</f>
        <v>#NAME?</v>
      </c>
      <c r="T2898" s="23" t="e">
        <f ca="1">[1]!BexGetData("DP_1","00O2TNJGODT0G5Z4TTKYMMOLH","GSON2131100002")</f>
        <v>#NAME?</v>
      </c>
      <c r="U2898" s="28" t="e">
        <f ca="1">[1]!BexGetData("DP_1","00O2TNJGODT0G5Z4TTKYMMUX1","GSON2131100002")</f>
        <v>#NAME?</v>
      </c>
      <c r="V2898" s="23" t="e">
        <f ca="1">[1]!BexGetData("DP_1","00O2TNJGODT0G5Z4TTKYMN18L","GSON2131100002")</f>
        <v>#NAME?</v>
      </c>
      <c r="W2898" s="28" t="e">
        <f ca="1">[1]!BexGetData("DP_1","00O2TNJGODT0G5Z4TTKYMN7K5","GSON2131100002")</f>
        <v>#NAME?</v>
      </c>
    </row>
    <row r="2899" spans="1:23" x14ac:dyDescent="0.2">
      <c r="A2899" s="35" t="s">
        <v>1766</v>
      </c>
      <c r="B2899" s="27" t="s">
        <v>1767</v>
      </c>
      <c r="C2899" s="23" t="e">
        <f ca="1">[1]!BexGetData("DP_1","003N8EMH8GTFRCSWKMPXRR8GU","GSON215")</f>
        <v>#NAME?</v>
      </c>
      <c r="D2899" s="23" t="e">
        <f ca="1">[1]!BexGetData("DP_1","003N8EMH8GTFRCSWKMPXRRESE","GSON215")</f>
        <v>#NAME?</v>
      </c>
      <c r="E2899" s="23" t="e">
        <f ca="1">[1]!BexGetData("DP_1","003N8EMH8GTFRCSWKMPXRRL3Y","GSON215")</f>
        <v>#NAME?</v>
      </c>
      <c r="F2899" s="23" t="e">
        <f ca="1">[1]!BexGetData("DP_1","003N8EMH8GTFRCSWKMPXRRRFI","GSON215")</f>
        <v>#NAME?</v>
      </c>
      <c r="G2899" s="23" t="e">
        <f ca="1">[1]!BexGetData("DP_1","003N8EMH8GTFRCSWKMPXRRXR2","GSON215")</f>
        <v>#NAME?</v>
      </c>
      <c r="H2899" s="23" t="e">
        <f ca="1">[1]!BexGetData("DP_1","003N8EMH8GTFRCSWKMPXRS42M","GSON215")</f>
        <v>#NAME?</v>
      </c>
      <c r="I2899" s="23" t="e">
        <f ca="1">[1]!BexGetData("DP_1","003N8EMH8GTFRCSWKMPXRSAE6","GSON215")</f>
        <v>#NAME?</v>
      </c>
      <c r="J2899" s="23" t="e">
        <f ca="1">[1]!BexGetData("DP_1","003N8EMH8GTFRCSWKMPXRSGPQ","GSON215")</f>
        <v>#NAME?</v>
      </c>
      <c r="K2899" s="23" t="e">
        <f ca="1">[1]!BexGetData("DP_1","003N8EMH8GTFRIVNUPY288VJH","GSON215")</f>
        <v>#NAME?</v>
      </c>
      <c r="L2899" s="23" t="e">
        <f ca="1">[1]!BexGetData("DP_1","003N8EMH8GTFRIVNUPY2891V1","GSON215")</f>
        <v>#NAME?</v>
      </c>
      <c r="M2899" s="23" t="e">
        <f ca="1">[1]!BexGetData("DP_1","003N8EMH8GTFRIVOG7KG9IQXA","GSON215")</f>
        <v>#NAME?</v>
      </c>
      <c r="N2899" s="28" t="e">
        <f ca="1">[1]!BexGetData("DP_1","003N8EMH8GTFRIVOG7KG9IX8U","GSON215")</f>
        <v>#NAME?</v>
      </c>
      <c r="O2899" s="23" t="e">
        <f ca="1">[1]!BexGetData("DP_1","003N8EMH8GTFRIVOG7KG9J3KE","GSON215")</f>
        <v>#NAME?</v>
      </c>
      <c r="P2899" s="28" t="e">
        <f ca="1">[1]!BexGetData("DP_1","003N8EMH8GTFRIVOG7KG9J9VY","GSON215")</f>
        <v>#NAME?</v>
      </c>
      <c r="Q2899" s="23" t="e">
        <f ca="1">[1]!BexGetData("DP_1","00O2TNJGODT0G5Z4TTKYMM5MT","GSON215")</f>
        <v>#NAME?</v>
      </c>
      <c r="R2899" s="23" t="e">
        <f ca="1">[1]!BexGetData("DP_1","00O2TNJGODT0G5Z4TTKYMMBYD","GSON215")</f>
        <v>#NAME?</v>
      </c>
      <c r="S2899" s="23" t="e">
        <f ca="1">[1]!BexGetData("DP_1","00O2TNJGODT0G5Z4TTKYMMI9X","GSON215")</f>
        <v>#NAME?</v>
      </c>
      <c r="T2899" s="23" t="e">
        <f ca="1">[1]!BexGetData("DP_1","00O2TNJGODT0G5Z4TTKYMMOLH","GSON215")</f>
        <v>#NAME?</v>
      </c>
      <c r="U2899" s="28" t="e">
        <f ca="1">[1]!BexGetData("DP_1","00O2TNJGODT0G5Z4TTKYMMUX1","GSON215")</f>
        <v>#NAME?</v>
      </c>
      <c r="V2899" s="23" t="e">
        <f ca="1">[1]!BexGetData("DP_1","00O2TNJGODT0G5Z4TTKYMN18L","GSON215")</f>
        <v>#NAME?</v>
      </c>
      <c r="W2899" s="28" t="e">
        <f ca="1">[1]!BexGetData("DP_1","00O2TNJGODT0G5Z4TTKYMN7K5","GSON215")</f>
        <v>#NAME?</v>
      </c>
    </row>
    <row r="2900" spans="1:23" x14ac:dyDescent="0.2">
      <c r="A2900" s="36" t="s">
        <v>1768</v>
      </c>
      <c r="B2900" s="27" t="s">
        <v>1769</v>
      </c>
      <c r="C2900" s="23" t="e">
        <f ca="1">[1]!BexGetData("DP_1","003N8EMH8GTFRCSWKMPXRR8GU","GSON2159")</f>
        <v>#NAME?</v>
      </c>
      <c r="D2900" s="23" t="e">
        <f ca="1">[1]!BexGetData("DP_1","003N8EMH8GTFRCSWKMPXRRESE","GSON2159")</f>
        <v>#NAME?</v>
      </c>
      <c r="E2900" s="23" t="e">
        <f ca="1">[1]!BexGetData("DP_1","003N8EMH8GTFRCSWKMPXRRL3Y","GSON2159")</f>
        <v>#NAME?</v>
      </c>
      <c r="F2900" s="23" t="e">
        <f ca="1">[1]!BexGetData("DP_1","003N8EMH8GTFRCSWKMPXRRRFI","GSON2159")</f>
        <v>#NAME?</v>
      </c>
      <c r="G2900" s="23" t="e">
        <f ca="1">[1]!BexGetData("DP_1","003N8EMH8GTFRCSWKMPXRRXR2","GSON2159")</f>
        <v>#NAME?</v>
      </c>
      <c r="H2900" s="23" t="e">
        <f ca="1">[1]!BexGetData("DP_1","003N8EMH8GTFRCSWKMPXRS42M","GSON2159")</f>
        <v>#NAME?</v>
      </c>
      <c r="I2900" s="23" t="e">
        <f ca="1">[1]!BexGetData("DP_1","003N8EMH8GTFRCSWKMPXRSAE6","GSON2159")</f>
        <v>#NAME?</v>
      </c>
      <c r="J2900" s="23" t="e">
        <f ca="1">[1]!BexGetData("DP_1","003N8EMH8GTFRCSWKMPXRSGPQ","GSON2159")</f>
        <v>#NAME?</v>
      </c>
      <c r="K2900" s="23" t="e">
        <f ca="1">[1]!BexGetData("DP_1","003N8EMH8GTFRIVNUPY288VJH","GSON2159")</f>
        <v>#NAME?</v>
      </c>
      <c r="L2900" s="23" t="e">
        <f ca="1">[1]!BexGetData("DP_1","003N8EMH8GTFRIVNUPY2891V1","GSON2159")</f>
        <v>#NAME?</v>
      </c>
      <c r="M2900" s="23" t="e">
        <f ca="1">[1]!BexGetData("DP_1","003N8EMH8GTFRIVOG7KG9IQXA","GSON2159")</f>
        <v>#NAME?</v>
      </c>
      <c r="N2900" s="28" t="e">
        <f ca="1">[1]!BexGetData("DP_1","003N8EMH8GTFRIVOG7KG9IX8U","GSON2159")</f>
        <v>#NAME?</v>
      </c>
      <c r="O2900" s="23" t="e">
        <f ca="1">[1]!BexGetData("DP_1","003N8EMH8GTFRIVOG7KG9J3KE","GSON2159")</f>
        <v>#NAME?</v>
      </c>
      <c r="P2900" s="28" t="e">
        <f ca="1">[1]!BexGetData("DP_1","003N8EMH8GTFRIVOG7KG9J9VY","GSON2159")</f>
        <v>#NAME?</v>
      </c>
      <c r="Q2900" s="23" t="e">
        <f ca="1">[1]!BexGetData("DP_1","00O2TNJGODT0G5Z4TTKYMM5MT","GSON2159")</f>
        <v>#NAME?</v>
      </c>
      <c r="R2900" s="23" t="e">
        <f ca="1">[1]!BexGetData("DP_1","00O2TNJGODT0G5Z4TTKYMMBYD","GSON2159")</f>
        <v>#NAME?</v>
      </c>
      <c r="S2900" s="23" t="e">
        <f ca="1">[1]!BexGetData("DP_1","00O2TNJGODT0G5Z4TTKYMMI9X","GSON2159")</f>
        <v>#NAME?</v>
      </c>
      <c r="T2900" s="23" t="e">
        <f ca="1">[1]!BexGetData("DP_1","00O2TNJGODT0G5Z4TTKYMMOLH","GSON2159")</f>
        <v>#NAME?</v>
      </c>
      <c r="U2900" s="28" t="e">
        <f ca="1">[1]!BexGetData("DP_1","00O2TNJGODT0G5Z4TTKYMMUX1","GSON2159")</f>
        <v>#NAME?</v>
      </c>
      <c r="V2900" s="23" t="e">
        <f ca="1">[1]!BexGetData("DP_1","00O2TNJGODT0G5Z4TTKYMN18L","GSON2159")</f>
        <v>#NAME?</v>
      </c>
      <c r="W2900" s="28" t="e">
        <f ca="1">[1]!BexGetData("DP_1","00O2TNJGODT0G5Z4TTKYMN7K5","GSON2159")</f>
        <v>#NAME?</v>
      </c>
    </row>
    <row r="2901" spans="1:23" x14ac:dyDescent="0.2">
      <c r="A2901" s="37" t="s">
        <v>1770</v>
      </c>
      <c r="B2901" s="27" t="s">
        <v>1771</v>
      </c>
      <c r="C2901" s="23" t="e">
        <f ca="1">[1]!BexGetData("DP_1","003N8EMH8GTFRCSWKMPXRR8GU","GSON2159100001")</f>
        <v>#NAME?</v>
      </c>
      <c r="D2901" s="23" t="e">
        <f ca="1">[1]!BexGetData("DP_1","003N8EMH8GTFRCSWKMPXRRESE","GSON2159100001")</f>
        <v>#NAME?</v>
      </c>
      <c r="E2901" s="23" t="e">
        <f ca="1">[1]!BexGetData("DP_1","003N8EMH8GTFRCSWKMPXRRL3Y","GSON2159100001")</f>
        <v>#NAME?</v>
      </c>
      <c r="F2901" s="23" t="e">
        <f ca="1">[1]!BexGetData("DP_1","003N8EMH8GTFRCSWKMPXRRRFI","GSON2159100001")</f>
        <v>#NAME?</v>
      </c>
      <c r="G2901" s="23" t="e">
        <f ca="1">[1]!BexGetData("DP_1","003N8EMH8GTFRCSWKMPXRRXR2","GSON2159100001")</f>
        <v>#NAME?</v>
      </c>
      <c r="H2901" s="23" t="e">
        <f ca="1">[1]!BexGetData("DP_1","003N8EMH8GTFRCSWKMPXRS42M","GSON2159100001")</f>
        <v>#NAME?</v>
      </c>
      <c r="I2901" s="23" t="e">
        <f ca="1">[1]!BexGetData("DP_1","003N8EMH8GTFRCSWKMPXRSAE6","GSON2159100001")</f>
        <v>#NAME?</v>
      </c>
      <c r="J2901" s="23" t="e">
        <f ca="1">[1]!BexGetData("DP_1","003N8EMH8GTFRCSWKMPXRSGPQ","GSON2159100001")</f>
        <v>#NAME?</v>
      </c>
      <c r="K2901" s="23" t="e">
        <f ca="1">[1]!BexGetData("DP_1","003N8EMH8GTFRIVNUPY288VJH","GSON2159100001")</f>
        <v>#NAME?</v>
      </c>
      <c r="L2901" s="23" t="e">
        <f ca="1">[1]!BexGetData("DP_1","003N8EMH8GTFRIVNUPY2891V1","GSON2159100001")</f>
        <v>#NAME?</v>
      </c>
      <c r="M2901" s="23" t="e">
        <f ca="1">[1]!BexGetData("DP_1","003N8EMH8GTFRIVOG7KG9IQXA","GSON2159100001")</f>
        <v>#NAME?</v>
      </c>
      <c r="N2901" s="28" t="e">
        <f ca="1">[1]!BexGetData("DP_1","003N8EMH8GTFRIVOG7KG9IX8U","GSON2159100001")</f>
        <v>#NAME?</v>
      </c>
      <c r="O2901" s="23" t="e">
        <f ca="1">[1]!BexGetData("DP_1","003N8EMH8GTFRIVOG7KG9J3KE","GSON2159100001")</f>
        <v>#NAME?</v>
      </c>
      <c r="P2901" s="28" t="e">
        <f ca="1">[1]!BexGetData("DP_1","003N8EMH8GTFRIVOG7KG9J9VY","GSON2159100001")</f>
        <v>#NAME?</v>
      </c>
      <c r="Q2901" s="23" t="e">
        <f ca="1">[1]!BexGetData("DP_1","00O2TNJGODT0G5Z4TTKYMM5MT","GSON2159100001")</f>
        <v>#NAME?</v>
      </c>
      <c r="R2901" s="23" t="e">
        <f ca="1">[1]!BexGetData("DP_1","00O2TNJGODT0G5Z4TTKYMMBYD","GSON2159100001")</f>
        <v>#NAME?</v>
      </c>
      <c r="S2901" s="23" t="e">
        <f ca="1">[1]!BexGetData("DP_1","00O2TNJGODT0G5Z4TTKYMMI9X","GSON2159100001")</f>
        <v>#NAME?</v>
      </c>
      <c r="T2901" s="23" t="e">
        <f ca="1">[1]!BexGetData("DP_1","00O2TNJGODT0G5Z4TTKYMMOLH","GSON2159100001")</f>
        <v>#NAME?</v>
      </c>
      <c r="U2901" s="28" t="e">
        <f ca="1">[1]!BexGetData("DP_1","00O2TNJGODT0G5Z4TTKYMMUX1","GSON2159100001")</f>
        <v>#NAME?</v>
      </c>
      <c r="V2901" s="23" t="e">
        <f ca="1">[1]!BexGetData("DP_1","00O2TNJGODT0G5Z4TTKYMN18L","GSON2159100001")</f>
        <v>#NAME?</v>
      </c>
      <c r="W2901" s="28" t="e">
        <f ca="1">[1]!BexGetData("DP_1","00O2TNJGODT0G5Z4TTKYMN7K5","GSON2159100001")</f>
        <v>#NAME?</v>
      </c>
    </row>
    <row r="2902" spans="1:23" x14ac:dyDescent="0.2">
      <c r="A2902" s="37" t="s">
        <v>6294</v>
      </c>
      <c r="B2902" s="27" t="s">
        <v>6295</v>
      </c>
      <c r="C2902" s="23" t="e">
        <f ca="1">[1]!BexGetData("DP_1","003N8EMH8GTFRCSWKMPXRR8GU","GSON2159100002")</f>
        <v>#NAME?</v>
      </c>
      <c r="D2902" s="23" t="e">
        <f ca="1">[1]!BexGetData("DP_1","003N8EMH8GTFRCSWKMPXRRESE","GSON2159100002")</f>
        <v>#NAME?</v>
      </c>
      <c r="E2902" s="23" t="e">
        <f ca="1">[1]!BexGetData("DP_1","003N8EMH8GTFRCSWKMPXRRL3Y","GSON2159100002")</f>
        <v>#NAME?</v>
      </c>
      <c r="F2902" s="23" t="e">
        <f ca="1">[1]!BexGetData("DP_1","003N8EMH8GTFRCSWKMPXRRRFI","GSON2159100002")</f>
        <v>#NAME?</v>
      </c>
      <c r="G2902" s="23" t="e">
        <f ca="1">[1]!BexGetData("DP_1","003N8EMH8GTFRCSWKMPXRRXR2","GSON2159100002")</f>
        <v>#NAME?</v>
      </c>
      <c r="H2902" s="23" t="e">
        <f ca="1">[1]!BexGetData("DP_1","003N8EMH8GTFRCSWKMPXRS42M","GSON2159100002")</f>
        <v>#NAME?</v>
      </c>
      <c r="I2902" s="23" t="e">
        <f ca="1">[1]!BexGetData("DP_1","003N8EMH8GTFRCSWKMPXRSAE6","GSON2159100002")</f>
        <v>#NAME?</v>
      </c>
      <c r="J2902" s="23" t="e">
        <f ca="1">[1]!BexGetData("DP_1","003N8EMH8GTFRCSWKMPXRSGPQ","GSON2159100002")</f>
        <v>#NAME?</v>
      </c>
      <c r="K2902" s="23" t="e">
        <f ca="1">[1]!BexGetData("DP_1","003N8EMH8GTFRIVNUPY288VJH","GSON2159100002")</f>
        <v>#NAME?</v>
      </c>
      <c r="L2902" s="23" t="e">
        <f ca="1">[1]!BexGetData("DP_1","003N8EMH8GTFRIVNUPY2891V1","GSON2159100002")</f>
        <v>#NAME?</v>
      </c>
      <c r="M2902" s="28" t="e">
        <f ca="1">[1]!BexGetData("DP_1","003N8EMH8GTFRIVOG7KG9IQXA","GSON2159100002")</f>
        <v>#NAME?</v>
      </c>
      <c r="N2902" s="23" t="e">
        <f ca="1">[1]!BexGetData("DP_1","003N8EMH8GTFRIVOG7KG9IX8U","GSON2159100002")</f>
        <v>#NAME?</v>
      </c>
      <c r="O2902" s="28" t="e">
        <f ca="1">[1]!BexGetData("DP_1","003N8EMH8GTFRIVOG7KG9J3KE","GSON2159100002")</f>
        <v>#NAME?</v>
      </c>
      <c r="P2902" s="23" t="e">
        <f ca="1">[1]!BexGetData("DP_1","003N8EMH8GTFRIVOG7KG9J9VY","GSON2159100002")</f>
        <v>#NAME?</v>
      </c>
      <c r="Q2902" s="23" t="e">
        <f ca="1">[1]!BexGetData("DP_1","00O2TNJGODT0G5Z4TTKYMM5MT","GSON2159100002")</f>
        <v>#NAME?</v>
      </c>
      <c r="R2902" s="23" t="e">
        <f ca="1">[1]!BexGetData("DP_1","00O2TNJGODT0G5Z4TTKYMMBYD","GSON2159100002")</f>
        <v>#NAME?</v>
      </c>
      <c r="S2902" s="23" t="e">
        <f ca="1">[1]!BexGetData("DP_1","00O2TNJGODT0G5Z4TTKYMMI9X","GSON2159100002")</f>
        <v>#NAME?</v>
      </c>
      <c r="T2902" s="28" t="e">
        <f ca="1">[1]!BexGetData("DP_1","00O2TNJGODT0G5Z4TTKYMMOLH","GSON2159100002")</f>
        <v>#NAME?</v>
      </c>
      <c r="U2902" s="23" t="e">
        <f ca="1">[1]!BexGetData("DP_1","00O2TNJGODT0G5Z4TTKYMMUX1","GSON2159100002")</f>
        <v>#NAME?</v>
      </c>
      <c r="V2902" s="28" t="e">
        <f ca="1">[1]!BexGetData("DP_1","00O2TNJGODT0G5Z4TTKYMN18L","GSON2159100002")</f>
        <v>#NAME?</v>
      </c>
      <c r="W2902" s="23" t="e">
        <f ca="1">[1]!BexGetData("DP_1","00O2TNJGODT0G5Z4TTKYMN7K5","GSON2159100002")</f>
        <v>#NAME?</v>
      </c>
    </row>
    <row r="2903" spans="1:23" x14ac:dyDescent="0.2">
      <c r="A2903" s="35" t="s">
        <v>371</v>
      </c>
      <c r="B2903" s="27" t="s">
        <v>372</v>
      </c>
      <c r="C2903" s="23" t="e">
        <f ca="1">[1]!BexGetData("DP_1","003N8EMH8GTFRCSWKMPXRR8GU","GSON216")</f>
        <v>#NAME?</v>
      </c>
      <c r="D2903" s="23" t="e">
        <f ca="1">[1]!BexGetData("DP_1","003N8EMH8GTFRCSWKMPXRRESE","GSON216")</f>
        <v>#NAME?</v>
      </c>
      <c r="E2903" s="23" t="e">
        <f ca="1">[1]!BexGetData("DP_1","003N8EMH8GTFRCSWKMPXRRL3Y","GSON216")</f>
        <v>#NAME?</v>
      </c>
      <c r="F2903" s="23" t="e">
        <f ca="1">[1]!BexGetData("DP_1","003N8EMH8GTFRCSWKMPXRRRFI","GSON216")</f>
        <v>#NAME?</v>
      </c>
      <c r="G2903" s="23" t="e">
        <f ca="1">[1]!BexGetData("DP_1","003N8EMH8GTFRCSWKMPXRRXR2","GSON216")</f>
        <v>#NAME?</v>
      </c>
      <c r="H2903" s="23" t="e">
        <f ca="1">[1]!BexGetData("DP_1","003N8EMH8GTFRCSWKMPXRS42M","GSON216")</f>
        <v>#NAME?</v>
      </c>
      <c r="I2903" s="23" t="e">
        <f ca="1">[1]!BexGetData("DP_1","003N8EMH8GTFRCSWKMPXRSAE6","GSON216")</f>
        <v>#NAME?</v>
      </c>
      <c r="J2903" s="23" t="e">
        <f ca="1">[1]!BexGetData("DP_1","003N8EMH8GTFRCSWKMPXRSGPQ","GSON216")</f>
        <v>#NAME?</v>
      </c>
      <c r="K2903" s="23" t="e">
        <f ca="1">[1]!BexGetData("DP_1","003N8EMH8GTFRIVNUPY288VJH","GSON216")</f>
        <v>#NAME?</v>
      </c>
      <c r="L2903" s="23" t="e">
        <f ca="1">[1]!BexGetData("DP_1","003N8EMH8GTFRIVNUPY2891V1","GSON216")</f>
        <v>#NAME?</v>
      </c>
      <c r="M2903" s="23" t="e">
        <f ca="1">[1]!BexGetData("DP_1","003N8EMH8GTFRIVOG7KG9IQXA","GSON216")</f>
        <v>#NAME?</v>
      </c>
      <c r="N2903" s="28" t="e">
        <f ca="1">[1]!BexGetData("DP_1","003N8EMH8GTFRIVOG7KG9IX8U","GSON216")</f>
        <v>#NAME?</v>
      </c>
      <c r="O2903" s="23" t="e">
        <f ca="1">[1]!BexGetData("DP_1","003N8EMH8GTFRIVOG7KG9J3KE","GSON216")</f>
        <v>#NAME?</v>
      </c>
      <c r="P2903" s="28" t="e">
        <f ca="1">[1]!BexGetData("DP_1","003N8EMH8GTFRIVOG7KG9J9VY","GSON216")</f>
        <v>#NAME?</v>
      </c>
      <c r="Q2903" s="23" t="e">
        <f ca="1">[1]!BexGetData("DP_1","00O2TNJGODT0G5Z4TTKYMM5MT","GSON216")</f>
        <v>#NAME?</v>
      </c>
      <c r="R2903" s="23" t="e">
        <f ca="1">[1]!BexGetData("DP_1","00O2TNJGODT0G5Z4TTKYMMBYD","GSON216")</f>
        <v>#NAME?</v>
      </c>
      <c r="S2903" s="23" t="e">
        <f ca="1">[1]!BexGetData("DP_1","00O2TNJGODT0G5Z4TTKYMMI9X","GSON216")</f>
        <v>#NAME?</v>
      </c>
      <c r="T2903" s="23" t="e">
        <f ca="1">[1]!BexGetData("DP_1","00O2TNJGODT0G5Z4TTKYMMOLH","GSON216")</f>
        <v>#NAME?</v>
      </c>
      <c r="U2903" s="28" t="e">
        <f ca="1">[1]!BexGetData("DP_1","00O2TNJGODT0G5Z4TTKYMMUX1","GSON216")</f>
        <v>#NAME?</v>
      </c>
      <c r="V2903" s="23" t="e">
        <f ca="1">[1]!BexGetData("DP_1","00O2TNJGODT0G5Z4TTKYMN18L","GSON216")</f>
        <v>#NAME?</v>
      </c>
      <c r="W2903" s="28" t="e">
        <f ca="1">[1]!BexGetData("DP_1","00O2TNJGODT0G5Z4TTKYMN7K5","GSON216")</f>
        <v>#NAME?</v>
      </c>
    </row>
    <row r="2904" spans="1:23" x14ac:dyDescent="0.2">
      <c r="A2904" s="36" t="s">
        <v>6296</v>
      </c>
      <c r="B2904" s="27" t="s">
        <v>6297</v>
      </c>
      <c r="C2904" s="28" t="e">
        <f ca="1">[1]!BexGetData("DP_1","003N8EMH8GTFRCSWKMPXRR8GU","GSON2161")</f>
        <v>#NAME?</v>
      </c>
      <c r="D2904" s="28" t="e">
        <f ca="1">[1]!BexGetData("DP_1","003N8EMH8GTFRCSWKMPXRRESE","GSON2161")</f>
        <v>#NAME?</v>
      </c>
      <c r="E2904" s="28" t="e">
        <f ca="1">[1]!BexGetData("DP_1","003N8EMH8GTFRCSWKMPXRRL3Y","GSON2161")</f>
        <v>#NAME?</v>
      </c>
      <c r="F2904" s="28" t="e">
        <f ca="1">[1]!BexGetData("DP_1","003N8EMH8GTFRCSWKMPXRRRFI","GSON2161")</f>
        <v>#NAME?</v>
      </c>
      <c r="G2904" s="23" t="e">
        <f ca="1">[1]!BexGetData("DP_1","003N8EMH8GTFRCSWKMPXRRXR2","GSON2161")</f>
        <v>#NAME?</v>
      </c>
      <c r="H2904" s="23" t="e">
        <f ca="1">[1]!BexGetData("DP_1","003N8EMH8GTFRCSWKMPXRS42M","GSON2161")</f>
        <v>#NAME?</v>
      </c>
      <c r="I2904" s="28" t="e">
        <f ca="1">[1]!BexGetData("DP_1","003N8EMH8GTFRCSWKMPXRSAE6","GSON2161")</f>
        <v>#NAME?</v>
      </c>
      <c r="J2904" s="24" t="e">
        <f ca="1">[1]!BexGetData("DP_1","003N8EMH8GTFRCSWKMPXRSGPQ","GSON2161")</f>
        <v>#NAME?</v>
      </c>
      <c r="K2904" s="28" t="e">
        <f ca="1">[1]!BexGetData("DP_1","003N8EMH8GTFRIVNUPY288VJH","GSON2161")</f>
        <v>#NAME?</v>
      </c>
      <c r="L2904" s="28" t="e">
        <f ca="1">[1]!BexGetData("DP_1","003N8EMH8GTFRIVNUPY2891V1","GSON2161")</f>
        <v>#NAME?</v>
      </c>
      <c r="M2904" s="28" t="e">
        <f ca="1">[1]!BexGetData("DP_1","003N8EMH8GTFRIVOG7KG9IQXA","GSON2161")</f>
        <v>#NAME?</v>
      </c>
      <c r="N2904" s="28" t="e">
        <f ca="1">[1]!BexGetData("DP_1","003N8EMH8GTFRIVOG7KG9IX8U","GSON2161")</f>
        <v>#NAME?</v>
      </c>
      <c r="O2904" s="28" t="e">
        <f ca="1">[1]!BexGetData("DP_1","003N8EMH8GTFRIVOG7KG9J3KE","GSON2161")</f>
        <v>#NAME?</v>
      </c>
      <c r="P2904" s="28" t="e">
        <f ca="1">[1]!BexGetData("DP_1","003N8EMH8GTFRIVOG7KG9J9VY","GSON2161")</f>
        <v>#NAME?</v>
      </c>
      <c r="Q2904" s="24" t="e">
        <f ca="1">[1]!BexGetData("DP_1","00O2TNJGODT0G5Z4TTKYMM5MT","GSON2161")</f>
        <v>#NAME?</v>
      </c>
      <c r="R2904" s="28" t="e">
        <f ca="1">[1]!BexGetData("DP_1","00O2TNJGODT0G5Z4TTKYMMBYD","GSON2161")</f>
        <v>#NAME?</v>
      </c>
      <c r="S2904" s="28" t="e">
        <f ca="1">[1]!BexGetData("DP_1","00O2TNJGODT0G5Z4TTKYMMI9X","GSON2161")</f>
        <v>#NAME?</v>
      </c>
      <c r="T2904" s="28" t="e">
        <f ca="1">[1]!BexGetData("DP_1","00O2TNJGODT0G5Z4TTKYMMOLH","GSON2161")</f>
        <v>#NAME?</v>
      </c>
      <c r="U2904" s="28" t="e">
        <f ca="1">[1]!BexGetData("DP_1","00O2TNJGODT0G5Z4TTKYMMUX1","GSON2161")</f>
        <v>#NAME?</v>
      </c>
      <c r="V2904" s="28" t="e">
        <f ca="1">[1]!BexGetData("DP_1","00O2TNJGODT0G5Z4TTKYMN18L","GSON2161")</f>
        <v>#NAME?</v>
      </c>
      <c r="W2904" s="28" t="e">
        <f ca="1">[1]!BexGetData("DP_1","00O2TNJGODT0G5Z4TTKYMN7K5","GSON2161")</f>
        <v>#NAME?</v>
      </c>
    </row>
    <row r="2905" spans="1:23" x14ac:dyDescent="0.2">
      <c r="A2905" s="37" t="s">
        <v>6298</v>
      </c>
      <c r="B2905" s="27" t="s">
        <v>6299</v>
      </c>
      <c r="C2905" s="28" t="e">
        <f ca="1">[1]!BexGetData("DP_1","003N8EMH8GTFRCSWKMPXRR8GU","GSON2161100001")</f>
        <v>#NAME?</v>
      </c>
      <c r="D2905" s="28" t="e">
        <f ca="1">[1]!BexGetData("DP_1","003N8EMH8GTFRCSWKMPXRRESE","GSON2161100001")</f>
        <v>#NAME?</v>
      </c>
      <c r="E2905" s="28" t="e">
        <f ca="1">[1]!BexGetData("DP_1","003N8EMH8GTFRCSWKMPXRRL3Y","GSON2161100001")</f>
        <v>#NAME?</v>
      </c>
      <c r="F2905" s="28" t="e">
        <f ca="1">[1]!BexGetData("DP_1","003N8EMH8GTFRCSWKMPXRRRFI","GSON2161100001")</f>
        <v>#NAME?</v>
      </c>
      <c r="G2905" s="23" t="e">
        <f ca="1">[1]!BexGetData("DP_1","003N8EMH8GTFRCSWKMPXRRXR2","GSON2161100001")</f>
        <v>#NAME?</v>
      </c>
      <c r="H2905" s="23" t="e">
        <f ca="1">[1]!BexGetData("DP_1","003N8EMH8GTFRCSWKMPXRS42M","GSON2161100001")</f>
        <v>#NAME?</v>
      </c>
      <c r="I2905" s="28" t="e">
        <f ca="1">[1]!BexGetData("DP_1","003N8EMH8GTFRCSWKMPXRSAE6","GSON2161100001")</f>
        <v>#NAME?</v>
      </c>
      <c r="J2905" s="24" t="e">
        <f ca="1">[1]!BexGetData("DP_1","003N8EMH8GTFRCSWKMPXRSGPQ","GSON2161100001")</f>
        <v>#NAME?</v>
      </c>
      <c r="K2905" s="28" t="e">
        <f ca="1">[1]!BexGetData("DP_1","003N8EMH8GTFRIVNUPY288VJH","GSON2161100001")</f>
        <v>#NAME?</v>
      </c>
      <c r="L2905" s="28" t="e">
        <f ca="1">[1]!BexGetData("DP_1","003N8EMH8GTFRIVNUPY2891V1","GSON2161100001")</f>
        <v>#NAME?</v>
      </c>
      <c r="M2905" s="28" t="e">
        <f ca="1">[1]!BexGetData("DP_1","003N8EMH8GTFRIVOG7KG9IQXA","GSON2161100001")</f>
        <v>#NAME?</v>
      </c>
      <c r="N2905" s="28" t="e">
        <f ca="1">[1]!BexGetData("DP_1","003N8EMH8GTFRIVOG7KG9IX8U","GSON2161100001")</f>
        <v>#NAME?</v>
      </c>
      <c r="O2905" s="28" t="e">
        <f ca="1">[1]!BexGetData("DP_1","003N8EMH8GTFRIVOG7KG9J3KE","GSON2161100001")</f>
        <v>#NAME?</v>
      </c>
      <c r="P2905" s="28" t="e">
        <f ca="1">[1]!BexGetData("DP_1","003N8EMH8GTFRIVOG7KG9J9VY","GSON2161100001")</f>
        <v>#NAME?</v>
      </c>
      <c r="Q2905" s="24" t="e">
        <f ca="1">[1]!BexGetData("DP_1","00O2TNJGODT0G5Z4TTKYMM5MT","GSON2161100001")</f>
        <v>#NAME?</v>
      </c>
      <c r="R2905" s="28" t="e">
        <f ca="1">[1]!BexGetData("DP_1","00O2TNJGODT0G5Z4TTKYMMBYD","GSON2161100001")</f>
        <v>#NAME?</v>
      </c>
      <c r="S2905" s="28" t="e">
        <f ca="1">[1]!BexGetData("DP_1","00O2TNJGODT0G5Z4TTKYMMI9X","GSON2161100001")</f>
        <v>#NAME?</v>
      </c>
      <c r="T2905" s="28" t="e">
        <f ca="1">[1]!BexGetData("DP_1","00O2TNJGODT0G5Z4TTKYMMOLH","GSON2161100001")</f>
        <v>#NAME?</v>
      </c>
      <c r="U2905" s="28" t="e">
        <f ca="1">[1]!BexGetData("DP_1","00O2TNJGODT0G5Z4TTKYMMUX1","GSON2161100001")</f>
        <v>#NAME?</v>
      </c>
      <c r="V2905" s="28" t="e">
        <f ca="1">[1]!BexGetData("DP_1","00O2TNJGODT0G5Z4TTKYMN18L","GSON2161100001")</f>
        <v>#NAME?</v>
      </c>
      <c r="W2905" s="28" t="e">
        <f ca="1">[1]!BexGetData("DP_1","00O2TNJGODT0G5Z4TTKYMN7K5","GSON2161100001")</f>
        <v>#NAME?</v>
      </c>
    </row>
    <row r="2906" spans="1:23" x14ac:dyDescent="0.2">
      <c r="A2906" s="36" t="s">
        <v>373</v>
      </c>
      <c r="B2906" s="27" t="s">
        <v>374</v>
      </c>
      <c r="C2906" s="23" t="e">
        <f ca="1">[1]!BexGetData("DP_1","003N8EMH8GTFRCSWKMPXRR8GU","GSON2162")</f>
        <v>#NAME?</v>
      </c>
      <c r="D2906" s="23" t="e">
        <f ca="1">[1]!BexGetData("DP_1","003N8EMH8GTFRCSWKMPXRRESE","GSON2162")</f>
        <v>#NAME?</v>
      </c>
      <c r="E2906" s="23" t="e">
        <f ca="1">[1]!BexGetData("DP_1","003N8EMH8GTFRCSWKMPXRRL3Y","GSON2162")</f>
        <v>#NAME?</v>
      </c>
      <c r="F2906" s="23" t="e">
        <f ca="1">[1]!BexGetData("DP_1","003N8EMH8GTFRCSWKMPXRRRFI","GSON2162")</f>
        <v>#NAME?</v>
      </c>
      <c r="G2906" s="23" t="e">
        <f ca="1">[1]!BexGetData("DP_1","003N8EMH8GTFRCSWKMPXRRXR2","GSON2162")</f>
        <v>#NAME?</v>
      </c>
      <c r="H2906" s="23" t="e">
        <f ca="1">[1]!BexGetData("DP_1","003N8EMH8GTFRCSWKMPXRS42M","GSON2162")</f>
        <v>#NAME?</v>
      </c>
      <c r="I2906" s="23" t="e">
        <f ca="1">[1]!BexGetData("DP_1","003N8EMH8GTFRCSWKMPXRSAE6","GSON2162")</f>
        <v>#NAME?</v>
      </c>
      <c r="J2906" s="23" t="e">
        <f ca="1">[1]!BexGetData("DP_1","003N8EMH8GTFRCSWKMPXRSGPQ","GSON2162")</f>
        <v>#NAME?</v>
      </c>
      <c r="K2906" s="23" t="e">
        <f ca="1">[1]!BexGetData("DP_1","003N8EMH8GTFRIVNUPY288VJH","GSON2162")</f>
        <v>#NAME?</v>
      </c>
      <c r="L2906" s="23" t="e">
        <f ca="1">[1]!BexGetData("DP_1","003N8EMH8GTFRIVNUPY2891V1","GSON2162")</f>
        <v>#NAME?</v>
      </c>
      <c r="M2906" s="28" t="e">
        <f ca="1">[1]!BexGetData("DP_1","003N8EMH8GTFRIVOG7KG9IQXA","GSON2162")</f>
        <v>#NAME?</v>
      </c>
      <c r="N2906" s="23" t="e">
        <f ca="1">[1]!BexGetData("DP_1","003N8EMH8GTFRIVOG7KG9IX8U","GSON2162")</f>
        <v>#NAME?</v>
      </c>
      <c r="O2906" s="28" t="e">
        <f ca="1">[1]!BexGetData("DP_1","003N8EMH8GTFRIVOG7KG9J3KE","GSON2162")</f>
        <v>#NAME?</v>
      </c>
      <c r="P2906" s="23" t="e">
        <f ca="1">[1]!BexGetData("DP_1","003N8EMH8GTFRIVOG7KG9J9VY","GSON2162")</f>
        <v>#NAME?</v>
      </c>
      <c r="Q2906" s="23" t="e">
        <f ca="1">[1]!BexGetData("DP_1","00O2TNJGODT0G5Z4TTKYMM5MT","GSON2162")</f>
        <v>#NAME?</v>
      </c>
      <c r="R2906" s="23" t="e">
        <f ca="1">[1]!BexGetData("DP_1","00O2TNJGODT0G5Z4TTKYMMBYD","GSON2162")</f>
        <v>#NAME?</v>
      </c>
      <c r="S2906" s="23" t="e">
        <f ca="1">[1]!BexGetData("DP_1","00O2TNJGODT0G5Z4TTKYMMI9X","GSON2162")</f>
        <v>#NAME?</v>
      </c>
      <c r="T2906" s="28" t="e">
        <f ca="1">[1]!BexGetData("DP_1","00O2TNJGODT0G5Z4TTKYMMOLH","GSON2162")</f>
        <v>#NAME?</v>
      </c>
      <c r="U2906" s="23" t="e">
        <f ca="1">[1]!BexGetData("DP_1","00O2TNJGODT0G5Z4TTKYMMUX1","GSON2162")</f>
        <v>#NAME?</v>
      </c>
      <c r="V2906" s="28" t="e">
        <f ca="1">[1]!BexGetData("DP_1","00O2TNJGODT0G5Z4TTKYMN18L","GSON2162")</f>
        <v>#NAME?</v>
      </c>
      <c r="W2906" s="23" t="e">
        <f ca="1">[1]!BexGetData("DP_1","00O2TNJGODT0G5Z4TTKYMN7K5","GSON2162")</f>
        <v>#NAME?</v>
      </c>
    </row>
    <row r="2907" spans="1:23" x14ac:dyDescent="0.2">
      <c r="A2907" s="37" t="s">
        <v>6300</v>
      </c>
      <c r="B2907" s="27" t="s">
        <v>6301</v>
      </c>
      <c r="C2907" s="23" t="e">
        <f ca="1">[1]!BexGetData("DP_1","003N8EMH8GTFRCSWKMPXRR8GU","GSON2162100002")</f>
        <v>#NAME?</v>
      </c>
      <c r="D2907" s="23" t="e">
        <f ca="1">[1]!BexGetData("DP_1","003N8EMH8GTFRCSWKMPXRRESE","GSON2162100002")</f>
        <v>#NAME?</v>
      </c>
      <c r="E2907" s="28" t="e">
        <f ca="1">[1]!BexGetData("DP_1","003N8EMH8GTFRCSWKMPXRRL3Y","GSON2162100002")</f>
        <v>#NAME?</v>
      </c>
      <c r="F2907" s="23" t="e">
        <f ca="1">[1]!BexGetData("DP_1","003N8EMH8GTFRCSWKMPXRRRFI","GSON2162100002")</f>
        <v>#NAME?</v>
      </c>
      <c r="G2907" s="23" t="e">
        <f ca="1">[1]!BexGetData("DP_1","003N8EMH8GTFRCSWKMPXRRXR2","GSON2162100002")</f>
        <v>#NAME?</v>
      </c>
      <c r="H2907" s="23" t="e">
        <f ca="1">[1]!BexGetData("DP_1","003N8EMH8GTFRCSWKMPXRS42M","GSON2162100002")</f>
        <v>#NAME?</v>
      </c>
      <c r="I2907" s="23" t="e">
        <f ca="1">[1]!BexGetData("DP_1","003N8EMH8GTFRCSWKMPXRSAE6","GSON2162100002")</f>
        <v>#NAME?</v>
      </c>
      <c r="J2907" s="24" t="e">
        <f ca="1">[1]!BexGetData("DP_1","003N8EMH8GTFRCSWKMPXRSGPQ","GSON2162100002")</f>
        <v>#NAME?</v>
      </c>
      <c r="K2907" s="23" t="e">
        <f ca="1">[1]!BexGetData("DP_1","003N8EMH8GTFRIVNUPY288VJH","GSON2162100002")</f>
        <v>#NAME?</v>
      </c>
      <c r="L2907" s="23" t="e">
        <f ca="1">[1]!BexGetData("DP_1","003N8EMH8GTFRIVNUPY2891V1","GSON2162100002")</f>
        <v>#NAME?</v>
      </c>
      <c r="M2907" s="28" t="e">
        <f ca="1">[1]!BexGetData("DP_1","003N8EMH8GTFRIVOG7KG9IQXA","GSON2162100002")</f>
        <v>#NAME?</v>
      </c>
      <c r="N2907" s="23" t="e">
        <f ca="1">[1]!BexGetData("DP_1","003N8EMH8GTFRIVOG7KG9IX8U","GSON2162100002")</f>
        <v>#NAME?</v>
      </c>
      <c r="O2907" s="28" t="e">
        <f ca="1">[1]!BexGetData("DP_1","003N8EMH8GTFRIVOG7KG9J3KE","GSON2162100002")</f>
        <v>#NAME?</v>
      </c>
      <c r="P2907" s="23" t="e">
        <f ca="1">[1]!BexGetData("DP_1","003N8EMH8GTFRIVOG7KG9J9VY","GSON2162100002")</f>
        <v>#NAME?</v>
      </c>
      <c r="Q2907" s="24" t="e">
        <f ca="1">[1]!BexGetData("DP_1","00O2TNJGODT0G5Z4TTKYMM5MT","GSON2162100002")</f>
        <v>#NAME?</v>
      </c>
      <c r="R2907" s="23" t="e">
        <f ca="1">[1]!BexGetData("DP_1","00O2TNJGODT0G5Z4TTKYMMBYD","GSON2162100002")</f>
        <v>#NAME?</v>
      </c>
      <c r="S2907" s="23" t="e">
        <f ca="1">[1]!BexGetData("DP_1","00O2TNJGODT0G5Z4TTKYMMI9X","GSON2162100002")</f>
        <v>#NAME?</v>
      </c>
      <c r="T2907" s="23" t="e">
        <f ca="1">[1]!BexGetData("DP_1","00O2TNJGODT0G5Z4TTKYMMOLH","GSON2162100002")</f>
        <v>#NAME?</v>
      </c>
      <c r="U2907" s="28" t="e">
        <f ca="1">[1]!BexGetData("DP_1","00O2TNJGODT0G5Z4TTKYMMUX1","GSON2162100002")</f>
        <v>#NAME?</v>
      </c>
      <c r="V2907" s="23" t="e">
        <f ca="1">[1]!BexGetData("DP_1","00O2TNJGODT0G5Z4TTKYMN18L","GSON2162100002")</f>
        <v>#NAME?</v>
      </c>
      <c r="W2907" s="28" t="e">
        <f ca="1">[1]!BexGetData("DP_1","00O2TNJGODT0G5Z4TTKYMN7K5","GSON2162100002")</f>
        <v>#NAME?</v>
      </c>
    </row>
    <row r="2908" spans="1:23" x14ac:dyDescent="0.2">
      <c r="A2908" s="37" t="s">
        <v>6302</v>
      </c>
      <c r="B2908" s="27" t="s">
        <v>6303</v>
      </c>
      <c r="C2908" s="23" t="e">
        <f ca="1">[1]!BexGetData("DP_1","003N8EMH8GTFRCSWKMPXRR8GU","GSON2162100005")</f>
        <v>#NAME?</v>
      </c>
      <c r="D2908" s="23" t="e">
        <f ca="1">[1]!BexGetData("DP_1","003N8EMH8GTFRCSWKMPXRRESE","GSON2162100005")</f>
        <v>#NAME?</v>
      </c>
      <c r="E2908" s="23" t="e">
        <f ca="1">[1]!BexGetData("DP_1","003N8EMH8GTFRCSWKMPXRRL3Y","GSON2162100005")</f>
        <v>#NAME?</v>
      </c>
      <c r="F2908" s="23" t="e">
        <f ca="1">[1]!BexGetData("DP_1","003N8EMH8GTFRCSWKMPXRRRFI","GSON2162100005")</f>
        <v>#NAME?</v>
      </c>
      <c r="G2908" s="23" t="e">
        <f ca="1">[1]!BexGetData("DP_1","003N8EMH8GTFRCSWKMPXRRXR2","GSON2162100005")</f>
        <v>#NAME?</v>
      </c>
      <c r="H2908" s="23" t="e">
        <f ca="1">[1]!BexGetData("DP_1","003N8EMH8GTFRCSWKMPXRS42M","GSON2162100005")</f>
        <v>#NAME?</v>
      </c>
      <c r="I2908" s="23" t="e">
        <f ca="1">[1]!BexGetData("DP_1","003N8EMH8GTFRCSWKMPXRSAE6","GSON2162100005")</f>
        <v>#NAME?</v>
      </c>
      <c r="J2908" s="24" t="e">
        <f ca="1">[1]!BexGetData("DP_1","003N8EMH8GTFRCSWKMPXRSGPQ","GSON2162100005")</f>
        <v>#NAME?</v>
      </c>
      <c r="K2908" s="23" t="e">
        <f ca="1">[1]!BexGetData("DP_1","003N8EMH8GTFRIVNUPY288VJH","GSON2162100005")</f>
        <v>#NAME?</v>
      </c>
      <c r="L2908" s="23" t="e">
        <f ca="1">[1]!BexGetData("DP_1","003N8EMH8GTFRIVNUPY2891V1","GSON2162100005")</f>
        <v>#NAME?</v>
      </c>
      <c r="M2908" s="28" t="e">
        <f ca="1">[1]!BexGetData("DP_1","003N8EMH8GTFRIVOG7KG9IQXA","GSON2162100005")</f>
        <v>#NAME?</v>
      </c>
      <c r="N2908" s="23" t="e">
        <f ca="1">[1]!BexGetData("DP_1","003N8EMH8GTFRIVOG7KG9IX8U","GSON2162100005")</f>
        <v>#NAME?</v>
      </c>
      <c r="O2908" s="28" t="e">
        <f ca="1">[1]!BexGetData("DP_1","003N8EMH8GTFRIVOG7KG9J3KE","GSON2162100005")</f>
        <v>#NAME?</v>
      </c>
      <c r="P2908" s="23" t="e">
        <f ca="1">[1]!BexGetData("DP_1","003N8EMH8GTFRIVOG7KG9J9VY","GSON2162100005")</f>
        <v>#NAME?</v>
      </c>
      <c r="Q2908" s="24" t="e">
        <f ca="1">[1]!BexGetData("DP_1","00O2TNJGODT0G5Z4TTKYMM5MT","GSON2162100005")</f>
        <v>#NAME?</v>
      </c>
      <c r="R2908" s="23" t="e">
        <f ca="1">[1]!BexGetData("DP_1","00O2TNJGODT0G5Z4TTKYMMBYD","GSON2162100005")</f>
        <v>#NAME?</v>
      </c>
      <c r="S2908" s="23" t="e">
        <f ca="1">[1]!BexGetData("DP_1","00O2TNJGODT0G5Z4TTKYMMI9X","GSON2162100005")</f>
        <v>#NAME?</v>
      </c>
      <c r="T2908" s="23" t="e">
        <f ca="1">[1]!BexGetData("DP_1","00O2TNJGODT0G5Z4TTKYMMOLH","GSON2162100005")</f>
        <v>#NAME?</v>
      </c>
      <c r="U2908" s="28" t="e">
        <f ca="1">[1]!BexGetData("DP_1","00O2TNJGODT0G5Z4TTKYMMUX1","GSON2162100005")</f>
        <v>#NAME?</v>
      </c>
      <c r="V2908" s="23" t="e">
        <f ca="1">[1]!BexGetData("DP_1","00O2TNJGODT0G5Z4TTKYMN18L","GSON2162100005")</f>
        <v>#NAME?</v>
      </c>
      <c r="W2908" s="28" t="e">
        <f ca="1">[1]!BexGetData("DP_1","00O2TNJGODT0G5Z4TTKYMN7K5","GSON2162100005")</f>
        <v>#NAME?</v>
      </c>
    </row>
    <row r="2909" spans="1:23" x14ac:dyDescent="0.2">
      <c r="A2909" s="37" t="s">
        <v>6304</v>
      </c>
      <c r="B2909" s="27" t="s">
        <v>6305</v>
      </c>
      <c r="C2909" s="23" t="e">
        <f ca="1">[1]!BexGetData("DP_1","003N8EMH8GTFRCSWKMPXRR8GU","GSON2162100006")</f>
        <v>#NAME?</v>
      </c>
      <c r="D2909" s="23" t="e">
        <f ca="1">[1]!BexGetData("DP_1","003N8EMH8GTFRCSWKMPXRRESE","GSON2162100006")</f>
        <v>#NAME?</v>
      </c>
      <c r="E2909" s="23" t="e">
        <f ca="1">[1]!BexGetData("DP_1","003N8EMH8GTFRCSWKMPXRRL3Y","GSON2162100006")</f>
        <v>#NAME?</v>
      </c>
      <c r="F2909" s="23" t="e">
        <f ca="1">[1]!BexGetData("DP_1","003N8EMH8GTFRCSWKMPXRRRFI","GSON2162100006")</f>
        <v>#NAME?</v>
      </c>
      <c r="G2909" s="23" t="e">
        <f ca="1">[1]!BexGetData("DP_1","003N8EMH8GTFRCSWKMPXRRXR2","GSON2162100006")</f>
        <v>#NAME?</v>
      </c>
      <c r="H2909" s="23" t="e">
        <f ca="1">[1]!BexGetData("DP_1","003N8EMH8GTFRCSWKMPXRS42M","GSON2162100006")</f>
        <v>#NAME?</v>
      </c>
      <c r="I2909" s="23" t="e">
        <f ca="1">[1]!BexGetData("DP_1","003N8EMH8GTFRCSWKMPXRSAE6","GSON2162100006")</f>
        <v>#NAME?</v>
      </c>
      <c r="J2909" s="24" t="e">
        <f ca="1">[1]!BexGetData("DP_1","003N8EMH8GTFRCSWKMPXRSGPQ","GSON2162100006")</f>
        <v>#NAME?</v>
      </c>
      <c r="K2909" s="28" t="e">
        <f ca="1">[1]!BexGetData("DP_1","003N8EMH8GTFRIVNUPY288VJH","GSON2162100006")</f>
        <v>#NAME?</v>
      </c>
      <c r="L2909" s="28" t="e">
        <f ca="1">[1]!BexGetData("DP_1","003N8EMH8GTFRIVNUPY2891V1","GSON2162100006")</f>
        <v>#NAME?</v>
      </c>
      <c r="M2909" s="28" t="e">
        <f ca="1">[1]!BexGetData("DP_1","003N8EMH8GTFRIVOG7KG9IQXA","GSON2162100006")</f>
        <v>#NAME?</v>
      </c>
      <c r="N2909" s="28" t="e">
        <f ca="1">[1]!BexGetData("DP_1","003N8EMH8GTFRIVOG7KG9IX8U","GSON2162100006")</f>
        <v>#NAME?</v>
      </c>
      <c r="O2909" s="28" t="e">
        <f ca="1">[1]!BexGetData("DP_1","003N8EMH8GTFRIVOG7KG9J3KE","GSON2162100006")</f>
        <v>#NAME?</v>
      </c>
      <c r="P2909" s="28" t="e">
        <f ca="1">[1]!BexGetData("DP_1","003N8EMH8GTFRIVOG7KG9J9VY","GSON2162100006")</f>
        <v>#NAME?</v>
      </c>
      <c r="Q2909" s="24" t="e">
        <f ca="1">[1]!BexGetData("DP_1","00O2TNJGODT0G5Z4TTKYMM5MT","GSON2162100006")</f>
        <v>#NAME?</v>
      </c>
      <c r="R2909" s="23" t="e">
        <f ca="1">[1]!BexGetData("DP_1","00O2TNJGODT0G5Z4TTKYMMBYD","GSON2162100006")</f>
        <v>#NAME?</v>
      </c>
      <c r="S2909" s="23" t="e">
        <f ca="1">[1]!BexGetData("DP_1","00O2TNJGODT0G5Z4TTKYMMI9X","GSON2162100006")</f>
        <v>#NAME?</v>
      </c>
      <c r="T2909" s="23" t="e">
        <f ca="1">[1]!BexGetData("DP_1","00O2TNJGODT0G5Z4TTKYMMOLH","GSON2162100006")</f>
        <v>#NAME?</v>
      </c>
      <c r="U2909" s="28" t="e">
        <f ca="1">[1]!BexGetData("DP_1","00O2TNJGODT0G5Z4TTKYMMUX1","GSON2162100006")</f>
        <v>#NAME?</v>
      </c>
      <c r="V2909" s="23" t="e">
        <f ca="1">[1]!BexGetData("DP_1","00O2TNJGODT0G5Z4TTKYMN18L","GSON2162100006")</f>
        <v>#NAME?</v>
      </c>
      <c r="W2909" s="28" t="e">
        <f ca="1">[1]!BexGetData("DP_1","00O2TNJGODT0G5Z4TTKYMN7K5","GSON2162100006")</f>
        <v>#NAME?</v>
      </c>
    </row>
    <row r="2910" spans="1:23" x14ac:dyDescent="0.2">
      <c r="A2910" s="37" t="s">
        <v>6306</v>
      </c>
      <c r="B2910" s="27" t="s">
        <v>6307</v>
      </c>
      <c r="C2910" s="23" t="e">
        <f ca="1">[1]!BexGetData("DP_1","003N8EMH8GTFRCSWKMPXRR8GU","GSON2162100007")</f>
        <v>#NAME?</v>
      </c>
      <c r="D2910" s="23" t="e">
        <f ca="1">[1]!BexGetData("DP_1","003N8EMH8GTFRCSWKMPXRRESE","GSON2162100007")</f>
        <v>#NAME?</v>
      </c>
      <c r="E2910" s="28" t="e">
        <f ca="1">[1]!BexGetData("DP_1","003N8EMH8GTFRCSWKMPXRRL3Y","GSON2162100007")</f>
        <v>#NAME?</v>
      </c>
      <c r="F2910" s="24" t="e">
        <f ca="1">[1]!BexGetData("DP_1","003N8EMH8GTFRCSWKMPXRRRFI","GSON2162100007")</f>
        <v>#NAME?</v>
      </c>
      <c r="G2910" s="24" t="e">
        <f ca="1">[1]!BexGetData("DP_1","003N8EMH8GTFRCSWKMPXRRXR2","GSON2162100007")</f>
        <v>#NAME?</v>
      </c>
      <c r="H2910" s="24" t="e">
        <f ca="1">[1]!BexGetData("DP_1","003N8EMH8GTFRCSWKMPXRS42M","GSON2162100007")</f>
        <v>#NAME?</v>
      </c>
      <c r="I2910" s="24" t="e">
        <f ca="1">[1]!BexGetData("DP_1","003N8EMH8GTFRCSWKMPXRSAE6","GSON2162100007")</f>
        <v>#NAME?</v>
      </c>
      <c r="J2910" s="24" t="e">
        <f ca="1">[1]!BexGetData("DP_1","003N8EMH8GTFRCSWKMPXRSGPQ","GSON2162100007")</f>
        <v>#NAME?</v>
      </c>
      <c r="K2910" s="28" t="e">
        <f ca="1">[1]!BexGetData("DP_1","003N8EMH8GTFRIVNUPY288VJH","GSON2162100007")</f>
        <v>#NAME?</v>
      </c>
      <c r="L2910" s="28" t="e">
        <f ca="1">[1]!BexGetData("DP_1","003N8EMH8GTFRIVNUPY2891V1","GSON2162100007")</f>
        <v>#NAME?</v>
      </c>
      <c r="M2910" s="28" t="e">
        <f ca="1">[1]!BexGetData("DP_1","003N8EMH8GTFRIVOG7KG9IQXA","GSON2162100007")</f>
        <v>#NAME?</v>
      </c>
      <c r="N2910" s="28" t="e">
        <f ca="1">[1]!BexGetData("DP_1","003N8EMH8GTFRIVOG7KG9IX8U","GSON2162100007")</f>
        <v>#NAME?</v>
      </c>
      <c r="O2910" s="28" t="e">
        <f ca="1">[1]!BexGetData("DP_1","003N8EMH8GTFRIVOG7KG9J3KE","GSON2162100007")</f>
        <v>#NAME?</v>
      </c>
      <c r="P2910" s="28" t="e">
        <f ca="1">[1]!BexGetData("DP_1","003N8EMH8GTFRIVOG7KG9J9VY","GSON2162100007")</f>
        <v>#NAME?</v>
      </c>
      <c r="Q2910" s="24" t="e">
        <f ca="1">[1]!BexGetData("DP_1","00O2TNJGODT0G5Z4TTKYMM5MT","GSON2162100007")</f>
        <v>#NAME?</v>
      </c>
      <c r="R2910" s="24" t="e">
        <f ca="1">[1]!BexGetData("DP_1","00O2TNJGODT0G5Z4TTKYMMBYD","GSON2162100007")</f>
        <v>#NAME?</v>
      </c>
      <c r="S2910" s="24" t="e">
        <f ca="1">[1]!BexGetData("DP_1","00O2TNJGODT0G5Z4TTKYMMI9X","GSON2162100007")</f>
        <v>#NAME?</v>
      </c>
      <c r="T2910" s="24" t="e">
        <f ca="1">[1]!BexGetData("DP_1","00O2TNJGODT0G5Z4TTKYMMOLH","GSON2162100007")</f>
        <v>#NAME?</v>
      </c>
      <c r="U2910" s="24" t="e">
        <f ca="1">[1]!BexGetData("DP_1","00O2TNJGODT0G5Z4TTKYMMUX1","GSON2162100007")</f>
        <v>#NAME?</v>
      </c>
      <c r="V2910" s="24" t="e">
        <f ca="1">[1]!BexGetData("DP_1","00O2TNJGODT0G5Z4TTKYMN18L","GSON2162100007")</f>
        <v>#NAME?</v>
      </c>
      <c r="W2910" s="24" t="e">
        <f ca="1">[1]!BexGetData("DP_1","00O2TNJGODT0G5Z4TTKYMN7K5","GSON2162100007")</f>
        <v>#NAME?</v>
      </c>
    </row>
    <row r="2911" spans="1:23" x14ac:dyDescent="0.2">
      <c r="A2911" s="37" t="s">
        <v>1444</v>
      </c>
      <c r="B2911" s="27" t="s">
        <v>375</v>
      </c>
      <c r="C2911" s="23" t="e">
        <f ca="1">[1]!BexGetData("DP_1","003N8EMH8GTFRCSWKMPXRR8GU","GSON2162100008")</f>
        <v>#NAME?</v>
      </c>
      <c r="D2911" s="23" t="e">
        <f ca="1">[1]!BexGetData("DP_1","003N8EMH8GTFRCSWKMPXRRESE","GSON2162100008")</f>
        <v>#NAME?</v>
      </c>
      <c r="E2911" s="23" t="e">
        <f ca="1">[1]!BexGetData("DP_1","003N8EMH8GTFRCSWKMPXRRL3Y","GSON2162100008")</f>
        <v>#NAME?</v>
      </c>
      <c r="F2911" s="23" t="e">
        <f ca="1">[1]!BexGetData("DP_1","003N8EMH8GTFRCSWKMPXRRRFI","GSON2162100008")</f>
        <v>#NAME?</v>
      </c>
      <c r="G2911" s="23" t="e">
        <f ca="1">[1]!BexGetData("DP_1","003N8EMH8GTFRCSWKMPXRRXR2","GSON2162100008")</f>
        <v>#NAME?</v>
      </c>
      <c r="H2911" s="23" t="e">
        <f ca="1">[1]!BexGetData("DP_1","003N8EMH8GTFRCSWKMPXRS42M","GSON2162100008")</f>
        <v>#NAME?</v>
      </c>
      <c r="I2911" s="23" t="e">
        <f ca="1">[1]!BexGetData("DP_1","003N8EMH8GTFRCSWKMPXRSAE6","GSON2162100008")</f>
        <v>#NAME?</v>
      </c>
      <c r="J2911" s="24" t="e">
        <f ca="1">[1]!BexGetData("DP_1","003N8EMH8GTFRCSWKMPXRSGPQ","GSON2162100008")</f>
        <v>#NAME?</v>
      </c>
      <c r="K2911" s="23" t="e">
        <f ca="1">[1]!BexGetData("DP_1","003N8EMH8GTFRIVNUPY288VJH","GSON2162100008")</f>
        <v>#NAME?</v>
      </c>
      <c r="L2911" s="23" t="e">
        <f ca="1">[1]!BexGetData("DP_1","003N8EMH8GTFRIVNUPY2891V1","GSON2162100008")</f>
        <v>#NAME?</v>
      </c>
      <c r="M2911" s="28" t="e">
        <f ca="1">[1]!BexGetData("DP_1","003N8EMH8GTFRIVOG7KG9IQXA","GSON2162100008")</f>
        <v>#NAME?</v>
      </c>
      <c r="N2911" s="23" t="e">
        <f ca="1">[1]!BexGetData("DP_1","003N8EMH8GTFRIVOG7KG9IX8U","GSON2162100008")</f>
        <v>#NAME?</v>
      </c>
      <c r="O2911" s="28" t="e">
        <f ca="1">[1]!BexGetData("DP_1","003N8EMH8GTFRIVOG7KG9J3KE","GSON2162100008")</f>
        <v>#NAME?</v>
      </c>
      <c r="P2911" s="23" t="e">
        <f ca="1">[1]!BexGetData("DP_1","003N8EMH8GTFRIVOG7KG9J9VY","GSON2162100008")</f>
        <v>#NAME?</v>
      </c>
      <c r="Q2911" s="24" t="e">
        <f ca="1">[1]!BexGetData("DP_1","00O2TNJGODT0G5Z4TTKYMM5MT","GSON2162100008")</f>
        <v>#NAME?</v>
      </c>
      <c r="R2911" s="23" t="e">
        <f ca="1">[1]!BexGetData("DP_1","00O2TNJGODT0G5Z4TTKYMMBYD","GSON2162100008")</f>
        <v>#NAME?</v>
      </c>
      <c r="S2911" s="23" t="e">
        <f ca="1">[1]!BexGetData("DP_1","00O2TNJGODT0G5Z4TTKYMMI9X","GSON2162100008")</f>
        <v>#NAME?</v>
      </c>
      <c r="T2911" s="23" t="e">
        <f ca="1">[1]!BexGetData("DP_1","00O2TNJGODT0G5Z4TTKYMMOLH","GSON2162100008")</f>
        <v>#NAME?</v>
      </c>
      <c r="U2911" s="28" t="e">
        <f ca="1">[1]!BexGetData("DP_1","00O2TNJGODT0G5Z4TTKYMMUX1","GSON2162100008")</f>
        <v>#NAME?</v>
      </c>
      <c r="V2911" s="23" t="e">
        <f ca="1">[1]!BexGetData("DP_1","00O2TNJGODT0G5Z4TTKYMN18L","GSON2162100008")</f>
        <v>#NAME?</v>
      </c>
      <c r="W2911" s="28" t="e">
        <f ca="1">[1]!BexGetData("DP_1","00O2TNJGODT0G5Z4TTKYMN7K5","GSON2162100008")</f>
        <v>#NAME?</v>
      </c>
    </row>
    <row r="2912" spans="1:23" x14ac:dyDescent="0.2">
      <c r="A2912" s="37" t="s">
        <v>6308</v>
      </c>
      <c r="B2912" s="27" t="s">
        <v>6309</v>
      </c>
      <c r="C2912" s="23" t="e">
        <f ca="1">[1]!BexGetData("DP_1","003N8EMH8GTFRCSWKMPXRR8GU","GSON2162100010")</f>
        <v>#NAME?</v>
      </c>
      <c r="D2912" s="23" t="e">
        <f ca="1">[1]!BexGetData("DP_1","003N8EMH8GTFRCSWKMPXRRESE","GSON2162100010")</f>
        <v>#NAME?</v>
      </c>
      <c r="E2912" s="28" t="e">
        <f ca="1">[1]!BexGetData("DP_1","003N8EMH8GTFRCSWKMPXRRL3Y","GSON2162100010")</f>
        <v>#NAME?</v>
      </c>
      <c r="F2912" s="28" t="e">
        <f ca="1">[1]!BexGetData("DP_1","003N8EMH8GTFRCSWKMPXRRRFI","GSON2162100010")</f>
        <v>#NAME?</v>
      </c>
      <c r="G2912" s="23" t="e">
        <f ca="1">[1]!BexGetData("DP_1","003N8EMH8GTFRCSWKMPXRRXR2","GSON2162100010")</f>
        <v>#NAME?</v>
      </c>
      <c r="H2912" s="23" t="e">
        <f ca="1">[1]!BexGetData("DP_1","003N8EMH8GTFRCSWKMPXRS42M","GSON2162100010")</f>
        <v>#NAME?</v>
      </c>
      <c r="I2912" s="28" t="e">
        <f ca="1">[1]!BexGetData("DP_1","003N8EMH8GTFRCSWKMPXRSAE6","GSON2162100010")</f>
        <v>#NAME?</v>
      </c>
      <c r="J2912" s="24" t="e">
        <f ca="1">[1]!BexGetData("DP_1","003N8EMH8GTFRCSWKMPXRSGPQ","GSON2162100010")</f>
        <v>#NAME?</v>
      </c>
      <c r="K2912" s="28" t="e">
        <f ca="1">[1]!BexGetData("DP_1","003N8EMH8GTFRIVNUPY288VJH","GSON2162100010")</f>
        <v>#NAME?</v>
      </c>
      <c r="L2912" s="28" t="e">
        <f ca="1">[1]!BexGetData("DP_1","003N8EMH8GTFRIVNUPY2891V1","GSON2162100010")</f>
        <v>#NAME?</v>
      </c>
      <c r="M2912" s="28" t="e">
        <f ca="1">[1]!BexGetData("DP_1","003N8EMH8GTFRIVOG7KG9IQXA","GSON2162100010")</f>
        <v>#NAME?</v>
      </c>
      <c r="N2912" s="28" t="e">
        <f ca="1">[1]!BexGetData("DP_1","003N8EMH8GTFRIVOG7KG9IX8U","GSON2162100010")</f>
        <v>#NAME?</v>
      </c>
      <c r="O2912" s="28" t="e">
        <f ca="1">[1]!BexGetData("DP_1","003N8EMH8GTFRIVOG7KG9J3KE","GSON2162100010")</f>
        <v>#NAME?</v>
      </c>
      <c r="P2912" s="28" t="e">
        <f ca="1">[1]!BexGetData("DP_1","003N8EMH8GTFRIVOG7KG9J9VY","GSON2162100010")</f>
        <v>#NAME?</v>
      </c>
      <c r="Q2912" s="24" t="e">
        <f ca="1">[1]!BexGetData("DP_1","00O2TNJGODT0G5Z4TTKYMM5MT","GSON2162100010")</f>
        <v>#NAME?</v>
      </c>
      <c r="R2912" s="28" t="e">
        <f ca="1">[1]!BexGetData("DP_1","00O2TNJGODT0G5Z4TTKYMMBYD","GSON2162100010")</f>
        <v>#NAME?</v>
      </c>
      <c r="S2912" s="28" t="e">
        <f ca="1">[1]!BexGetData("DP_1","00O2TNJGODT0G5Z4TTKYMMI9X","GSON2162100010")</f>
        <v>#NAME?</v>
      </c>
      <c r="T2912" s="28" t="e">
        <f ca="1">[1]!BexGetData("DP_1","00O2TNJGODT0G5Z4TTKYMMOLH","GSON2162100010")</f>
        <v>#NAME?</v>
      </c>
      <c r="U2912" s="28" t="e">
        <f ca="1">[1]!BexGetData("DP_1","00O2TNJGODT0G5Z4TTKYMMUX1","GSON2162100010")</f>
        <v>#NAME?</v>
      </c>
      <c r="V2912" s="28" t="e">
        <f ca="1">[1]!BexGetData("DP_1","00O2TNJGODT0G5Z4TTKYMN18L","GSON2162100010")</f>
        <v>#NAME?</v>
      </c>
      <c r="W2912" s="28" t="e">
        <f ca="1">[1]!BexGetData("DP_1","00O2TNJGODT0G5Z4TTKYMN7K5","GSON2162100010")</f>
        <v>#NAME?</v>
      </c>
    </row>
    <row r="2913" spans="1:23" x14ac:dyDescent="0.2">
      <c r="A2913" s="37" t="s">
        <v>6310</v>
      </c>
      <c r="B2913" s="27" t="s">
        <v>6311</v>
      </c>
      <c r="C2913" s="24" t="e">
        <f ca="1">[1]!BexGetData("DP_1","003N8EMH8GTFRCSWKMPXRR8GU","GSON2162100012")</f>
        <v>#NAME?</v>
      </c>
      <c r="D2913" s="24" t="e">
        <f ca="1">[1]!BexGetData("DP_1","003N8EMH8GTFRCSWKMPXRRESE","GSON2162100012")</f>
        <v>#NAME?</v>
      </c>
      <c r="E2913" s="24" t="e">
        <f ca="1">[1]!BexGetData("DP_1","003N8EMH8GTFRCSWKMPXRRL3Y","GSON2162100012")</f>
        <v>#NAME?</v>
      </c>
      <c r="F2913" s="28" t="e">
        <f ca="1">[1]!BexGetData("DP_1","003N8EMH8GTFRCSWKMPXRRRFI","GSON2162100012")</f>
        <v>#NAME?</v>
      </c>
      <c r="G2913" s="23" t="e">
        <f ca="1">[1]!BexGetData("DP_1","003N8EMH8GTFRCSWKMPXRRXR2","GSON2162100012")</f>
        <v>#NAME?</v>
      </c>
      <c r="H2913" s="23" t="e">
        <f ca="1">[1]!BexGetData("DP_1","003N8EMH8GTFRCSWKMPXRS42M","GSON2162100012")</f>
        <v>#NAME?</v>
      </c>
      <c r="I2913" s="28" t="e">
        <f ca="1">[1]!BexGetData("DP_1","003N8EMH8GTFRCSWKMPXRSAE6","GSON2162100012")</f>
        <v>#NAME?</v>
      </c>
      <c r="J2913" s="24" t="e">
        <f ca="1">[1]!BexGetData("DP_1","003N8EMH8GTFRCSWKMPXRSGPQ","GSON2162100012")</f>
        <v>#NAME?</v>
      </c>
      <c r="K2913" s="28" t="e">
        <f ca="1">[1]!BexGetData("DP_1","003N8EMH8GTFRIVNUPY288VJH","GSON2162100012")</f>
        <v>#NAME?</v>
      </c>
      <c r="L2913" s="28" t="e">
        <f ca="1">[1]!BexGetData("DP_1","003N8EMH8GTFRIVNUPY2891V1","GSON2162100012")</f>
        <v>#NAME?</v>
      </c>
      <c r="M2913" s="28" t="e">
        <f ca="1">[1]!BexGetData("DP_1","003N8EMH8GTFRIVOG7KG9IQXA","GSON2162100012")</f>
        <v>#NAME?</v>
      </c>
      <c r="N2913" s="28" t="e">
        <f ca="1">[1]!BexGetData("DP_1","003N8EMH8GTFRIVOG7KG9IX8U","GSON2162100012")</f>
        <v>#NAME?</v>
      </c>
      <c r="O2913" s="28" t="e">
        <f ca="1">[1]!BexGetData("DP_1","003N8EMH8GTFRIVOG7KG9J3KE","GSON2162100012")</f>
        <v>#NAME?</v>
      </c>
      <c r="P2913" s="28" t="e">
        <f ca="1">[1]!BexGetData("DP_1","003N8EMH8GTFRIVOG7KG9J9VY","GSON2162100012")</f>
        <v>#NAME?</v>
      </c>
      <c r="Q2913" s="24" t="e">
        <f ca="1">[1]!BexGetData("DP_1","00O2TNJGODT0G5Z4TTKYMM5MT","GSON2162100012")</f>
        <v>#NAME?</v>
      </c>
      <c r="R2913" s="28" t="e">
        <f ca="1">[1]!BexGetData("DP_1","00O2TNJGODT0G5Z4TTKYMMBYD","GSON2162100012")</f>
        <v>#NAME?</v>
      </c>
      <c r="S2913" s="28" t="e">
        <f ca="1">[1]!BexGetData("DP_1","00O2TNJGODT0G5Z4TTKYMMI9X","GSON2162100012")</f>
        <v>#NAME?</v>
      </c>
      <c r="T2913" s="28" t="e">
        <f ca="1">[1]!BexGetData("DP_1","00O2TNJGODT0G5Z4TTKYMMOLH","GSON2162100012")</f>
        <v>#NAME?</v>
      </c>
      <c r="U2913" s="28" t="e">
        <f ca="1">[1]!BexGetData("DP_1","00O2TNJGODT0G5Z4TTKYMMUX1","GSON2162100012")</f>
        <v>#NAME?</v>
      </c>
      <c r="V2913" s="28" t="e">
        <f ca="1">[1]!BexGetData("DP_1","00O2TNJGODT0G5Z4TTKYMN18L","GSON2162100012")</f>
        <v>#NAME?</v>
      </c>
      <c r="W2913" s="28" t="e">
        <f ca="1">[1]!BexGetData("DP_1","00O2TNJGODT0G5Z4TTKYMN7K5","GSON2162100012")</f>
        <v>#NAME?</v>
      </c>
    </row>
    <row r="2914" spans="1:23" x14ac:dyDescent="0.2">
      <c r="A2914" s="37" t="s">
        <v>6312</v>
      </c>
      <c r="B2914" s="27" t="s">
        <v>6313</v>
      </c>
      <c r="C2914" s="23" t="e">
        <f ca="1">[1]!BexGetData("DP_1","003N8EMH8GTFRCSWKMPXRR8GU","GSON2162200002")</f>
        <v>#NAME?</v>
      </c>
      <c r="D2914" s="23" t="e">
        <f ca="1">[1]!BexGetData("DP_1","003N8EMH8GTFRCSWKMPXRRESE","GSON2162200002")</f>
        <v>#NAME?</v>
      </c>
      <c r="E2914" s="23" t="e">
        <f ca="1">[1]!BexGetData("DP_1","003N8EMH8GTFRCSWKMPXRRL3Y","GSON2162200002")</f>
        <v>#NAME?</v>
      </c>
      <c r="F2914" s="23" t="e">
        <f ca="1">[1]!BexGetData("DP_1","003N8EMH8GTFRCSWKMPXRRRFI","GSON2162200002")</f>
        <v>#NAME?</v>
      </c>
      <c r="G2914" s="23" t="e">
        <f ca="1">[1]!BexGetData("DP_1","003N8EMH8GTFRCSWKMPXRRXR2","GSON2162200002")</f>
        <v>#NAME?</v>
      </c>
      <c r="H2914" s="23" t="e">
        <f ca="1">[1]!BexGetData("DP_1","003N8EMH8GTFRCSWKMPXRS42M","GSON2162200002")</f>
        <v>#NAME?</v>
      </c>
      <c r="I2914" s="23" t="e">
        <f ca="1">[1]!BexGetData("DP_1","003N8EMH8GTFRCSWKMPXRSAE6","GSON2162200002")</f>
        <v>#NAME?</v>
      </c>
      <c r="J2914" s="24" t="e">
        <f ca="1">[1]!BexGetData("DP_1","003N8EMH8GTFRCSWKMPXRSGPQ","GSON2162200002")</f>
        <v>#NAME?</v>
      </c>
      <c r="K2914" s="23" t="e">
        <f ca="1">[1]!BexGetData("DP_1","003N8EMH8GTFRIVNUPY288VJH","GSON2162200002")</f>
        <v>#NAME?</v>
      </c>
      <c r="L2914" s="23" t="e">
        <f ca="1">[1]!BexGetData("DP_1","003N8EMH8GTFRIVNUPY2891V1","GSON2162200002")</f>
        <v>#NAME?</v>
      </c>
      <c r="M2914" s="23" t="e">
        <f ca="1">[1]!BexGetData("DP_1","003N8EMH8GTFRIVOG7KG9IQXA","GSON2162200002")</f>
        <v>#NAME?</v>
      </c>
      <c r="N2914" s="28" t="e">
        <f ca="1">[1]!BexGetData("DP_1","003N8EMH8GTFRIVOG7KG9IX8U","GSON2162200002")</f>
        <v>#NAME?</v>
      </c>
      <c r="O2914" s="23" t="e">
        <f ca="1">[1]!BexGetData("DP_1","003N8EMH8GTFRIVOG7KG9J3KE","GSON2162200002")</f>
        <v>#NAME?</v>
      </c>
      <c r="P2914" s="28" t="e">
        <f ca="1">[1]!BexGetData("DP_1","003N8EMH8GTFRIVOG7KG9J9VY","GSON2162200002")</f>
        <v>#NAME?</v>
      </c>
      <c r="Q2914" s="24" t="e">
        <f ca="1">[1]!BexGetData("DP_1","00O2TNJGODT0G5Z4TTKYMM5MT","GSON2162200002")</f>
        <v>#NAME?</v>
      </c>
      <c r="R2914" s="23" t="e">
        <f ca="1">[1]!BexGetData("DP_1","00O2TNJGODT0G5Z4TTKYMMBYD","GSON2162200002")</f>
        <v>#NAME?</v>
      </c>
      <c r="S2914" s="23" t="e">
        <f ca="1">[1]!BexGetData("DP_1","00O2TNJGODT0G5Z4TTKYMMI9X","GSON2162200002")</f>
        <v>#NAME?</v>
      </c>
      <c r="T2914" s="23" t="e">
        <f ca="1">[1]!BexGetData("DP_1","00O2TNJGODT0G5Z4TTKYMMOLH","GSON2162200002")</f>
        <v>#NAME?</v>
      </c>
      <c r="U2914" s="28" t="e">
        <f ca="1">[1]!BexGetData("DP_1","00O2TNJGODT0G5Z4TTKYMMUX1","GSON2162200002")</f>
        <v>#NAME?</v>
      </c>
      <c r="V2914" s="23" t="e">
        <f ca="1">[1]!BexGetData("DP_1","00O2TNJGODT0G5Z4TTKYMN18L","GSON2162200002")</f>
        <v>#NAME?</v>
      </c>
      <c r="W2914" s="28" t="e">
        <f ca="1">[1]!BexGetData("DP_1","00O2TNJGODT0G5Z4TTKYMN7K5","GSON2162200002")</f>
        <v>#NAME?</v>
      </c>
    </row>
    <row r="2915" spans="1:23" x14ac:dyDescent="0.2">
      <c r="A2915" s="37" t="s">
        <v>6314</v>
      </c>
      <c r="B2915" s="27" t="s">
        <v>6315</v>
      </c>
      <c r="C2915" s="23" t="e">
        <f ca="1">[1]!BexGetData("DP_1","003N8EMH8GTFRCSWKMPXRR8GU","GSON2162200003")</f>
        <v>#NAME?</v>
      </c>
      <c r="D2915" s="23" t="e">
        <f ca="1">[1]!BexGetData("DP_1","003N8EMH8GTFRCSWKMPXRRESE","GSON2162200003")</f>
        <v>#NAME?</v>
      </c>
      <c r="E2915" s="23" t="e">
        <f ca="1">[1]!BexGetData("DP_1","003N8EMH8GTFRCSWKMPXRRL3Y","GSON2162200003")</f>
        <v>#NAME?</v>
      </c>
      <c r="F2915" s="23" t="e">
        <f ca="1">[1]!BexGetData("DP_1","003N8EMH8GTFRCSWKMPXRRRFI","GSON2162200003")</f>
        <v>#NAME?</v>
      </c>
      <c r="G2915" s="23" t="e">
        <f ca="1">[1]!BexGetData("DP_1","003N8EMH8GTFRCSWKMPXRRXR2","GSON2162200003")</f>
        <v>#NAME?</v>
      </c>
      <c r="H2915" s="23" t="e">
        <f ca="1">[1]!BexGetData("DP_1","003N8EMH8GTFRCSWKMPXRS42M","GSON2162200003")</f>
        <v>#NAME?</v>
      </c>
      <c r="I2915" s="23" t="e">
        <f ca="1">[1]!BexGetData("DP_1","003N8EMH8GTFRCSWKMPXRSAE6","GSON2162200003")</f>
        <v>#NAME?</v>
      </c>
      <c r="J2915" s="24" t="e">
        <f ca="1">[1]!BexGetData("DP_1","003N8EMH8GTFRCSWKMPXRSGPQ","GSON2162200003")</f>
        <v>#NAME?</v>
      </c>
      <c r="K2915" s="23" t="e">
        <f ca="1">[1]!BexGetData("DP_1","003N8EMH8GTFRIVNUPY288VJH","GSON2162200003")</f>
        <v>#NAME?</v>
      </c>
      <c r="L2915" s="23" t="e">
        <f ca="1">[1]!BexGetData("DP_1","003N8EMH8GTFRIVNUPY2891V1","GSON2162200003")</f>
        <v>#NAME?</v>
      </c>
      <c r="M2915" s="28" t="e">
        <f ca="1">[1]!BexGetData("DP_1","003N8EMH8GTFRIVOG7KG9IQXA","GSON2162200003")</f>
        <v>#NAME?</v>
      </c>
      <c r="N2915" s="23" t="e">
        <f ca="1">[1]!BexGetData("DP_1","003N8EMH8GTFRIVOG7KG9IX8U","GSON2162200003")</f>
        <v>#NAME?</v>
      </c>
      <c r="O2915" s="28" t="e">
        <f ca="1">[1]!BexGetData("DP_1","003N8EMH8GTFRIVOG7KG9J3KE","GSON2162200003")</f>
        <v>#NAME?</v>
      </c>
      <c r="P2915" s="23" t="e">
        <f ca="1">[1]!BexGetData("DP_1","003N8EMH8GTFRIVOG7KG9J9VY","GSON2162200003")</f>
        <v>#NAME?</v>
      </c>
      <c r="Q2915" s="24" t="e">
        <f ca="1">[1]!BexGetData("DP_1","00O2TNJGODT0G5Z4TTKYMM5MT","GSON2162200003")</f>
        <v>#NAME?</v>
      </c>
      <c r="R2915" s="23" t="e">
        <f ca="1">[1]!BexGetData("DP_1","00O2TNJGODT0G5Z4TTKYMMBYD","GSON2162200003")</f>
        <v>#NAME?</v>
      </c>
      <c r="S2915" s="23" t="e">
        <f ca="1">[1]!BexGetData("DP_1","00O2TNJGODT0G5Z4TTKYMMI9X","GSON2162200003")</f>
        <v>#NAME?</v>
      </c>
      <c r="T2915" s="23" t="e">
        <f ca="1">[1]!BexGetData("DP_1","00O2TNJGODT0G5Z4TTKYMMOLH","GSON2162200003")</f>
        <v>#NAME?</v>
      </c>
      <c r="U2915" s="28" t="e">
        <f ca="1">[1]!BexGetData("DP_1","00O2TNJGODT0G5Z4TTKYMMUX1","GSON2162200003")</f>
        <v>#NAME?</v>
      </c>
      <c r="V2915" s="23" t="e">
        <f ca="1">[1]!BexGetData("DP_1","00O2TNJGODT0G5Z4TTKYMN18L","GSON2162200003")</f>
        <v>#NAME?</v>
      </c>
      <c r="W2915" s="28" t="e">
        <f ca="1">[1]!BexGetData("DP_1","00O2TNJGODT0G5Z4TTKYMN7K5","GSON2162200003")</f>
        <v>#NAME?</v>
      </c>
    </row>
    <row r="2916" spans="1:23" x14ac:dyDescent="0.2">
      <c r="A2916" s="37" t="s">
        <v>6316</v>
      </c>
      <c r="B2916" s="27" t="s">
        <v>6317</v>
      </c>
      <c r="C2916" s="23" t="e">
        <f ca="1">[1]!BexGetData("DP_1","003N8EMH8GTFRCSWKMPXRR8GU","GSON2162200004")</f>
        <v>#NAME?</v>
      </c>
      <c r="D2916" s="23" t="e">
        <f ca="1">[1]!BexGetData("DP_1","003N8EMH8GTFRCSWKMPXRRESE","GSON2162200004")</f>
        <v>#NAME?</v>
      </c>
      <c r="E2916" s="23" t="e">
        <f ca="1">[1]!BexGetData("DP_1","003N8EMH8GTFRCSWKMPXRRL3Y","GSON2162200004")</f>
        <v>#NAME?</v>
      </c>
      <c r="F2916" s="23" t="e">
        <f ca="1">[1]!BexGetData("DP_1","003N8EMH8GTFRCSWKMPXRRRFI","GSON2162200004")</f>
        <v>#NAME?</v>
      </c>
      <c r="G2916" s="23" t="e">
        <f ca="1">[1]!BexGetData("DP_1","003N8EMH8GTFRCSWKMPXRRXR2","GSON2162200004")</f>
        <v>#NAME?</v>
      </c>
      <c r="H2916" s="23" t="e">
        <f ca="1">[1]!BexGetData("DP_1","003N8EMH8GTFRCSWKMPXRS42M","GSON2162200004")</f>
        <v>#NAME?</v>
      </c>
      <c r="I2916" s="23" t="e">
        <f ca="1">[1]!BexGetData("DP_1","003N8EMH8GTFRCSWKMPXRSAE6","GSON2162200004")</f>
        <v>#NAME?</v>
      </c>
      <c r="J2916" s="24" t="e">
        <f ca="1">[1]!BexGetData("DP_1","003N8EMH8GTFRCSWKMPXRSGPQ","GSON2162200004")</f>
        <v>#NAME?</v>
      </c>
      <c r="K2916" s="23" t="e">
        <f ca="1">[1]!BexGetData("DP_1","003N8EMH8GTFRIVNUPY288VJH","GSON2162200004")</f>
        <v>#NAME?</v>
      </c>
      <c r="L2916" s="23" t="e">
        <f ca="1">[1]!BexGetData("DP_1","003N8EMH8GTFRIVNUPY2891V1","GSON2162200004")</f>
        <v>#NAME?</v>
      </c>
      <c r="M2916" s="28" t="e">
        <f ca="1">[1]!BexGetData("DP_1","003N8EMH8GTFRIVOG7KG9IQXA","GSON2162200004")</f>
        <v>#NAME?</v>
      </c>
      <c r="N2916" s="23" t="e">
        <f ca="1">[1]!BexGetData("DP_1","003N8EMH8GTFRIVOG7KG9IX8U","GSON2162200004")</f>
        <v>#NAME?</v>
      </c>
      <c r="O2916" s="28" t="e">
        <f ca="1">[1]!BexGetData("DP_1","003N8EMH8GTFRIVOG7KG9J3KE","GSON2162200004")</f>
        <v>#NAME?</v>
      </c>
      <c r="P2916" s="23" t="e">
        <f ca="1">[1]!BexGetData("DP_1","003N8EMH8GTFRIVOG7KG9J9VY","GSON2162200004")</f>
        <v>#NAME?</v>
      </c>
      <c r="Q2916" s="24" t="e">
        <f ca="1">[1]!BexGetData("DP_1","00O2TNJGODT0G5Z4TTKYMM5MT","GSON2162200004")</f>
        <v>#NAME?</v>
      </c>
      <c r="R2916" s="23" t="e">
        <f ca="1">[1]!BexGetData("DP_1","00O2TNJGODT0G5Z4TTKYMMBYD","GSON2162200004")</f>
        <v>#NAME?</v>
      </c>
      <c r="S2916" s="23" t="e">
        <f ca="1">[1]!BexGetData("DP_1","00O2TNJGODT0G5Z4TTKYMMI9X","GSON2162200004")</f>
        <v>#NAME?</v>
      </c>
      <c r="T2916" s="23" t="e">
        <f ca="1">[1]!BexGetData("DP_1","00O2TNJGODT0G5Z4TTKYMMOLH","GSON2162200004")</f>
        <v>#NAME?</v>
      </c>
      <c r="U2916" s="28" t="e">
        <f ca="1">[1]!BexGetData("DP_1","00O2TNJGODT0G5Z4TTKYMMUX1","GSON2162200004")</f>
        <v>#NAME?</v>
      </c>
      <c r="V2916" s="23" t="e">
        <f ca="1">[1]!BexGetData("DP_1","00O2TNJGODT0G5Z4TTKYMN18L","GSON2162200004")</f>
        <v>#NAME?</v>
      </c>
      <c r="W2916" s="28" t="e">
        <f ca="1">[1]!BexGetData("DP_1","00O2TNJGODT0G5Z4TTKYMN7K5","GSON2162200004")</f>
        <v>#NAME?</v>
      </c>
    </row>
    <row r="2917" spans="1:23" x14ac:dyDescent="0.2">
      <c r="A2917" s="37" t="s">
        <v>6318</v>
      </c>
      <c r="B2917" s="27" t="s">
        <v>6319</v>
      </c>
      <c r="C2917" s="23" t="e">
        <f ca="1">[1]!BexGetData("DP_1","003N8EMH8GTFRCSWKMPXRR8GU","GSON2162200005")</f>
        <v>#NAME?</v>
      </c>
      <c r="D2917" s="23" t="e">
        <f ca="1">[1]!BexGetData("DP_1","003N8EMH8GTFRCSWKMPXRRESE","GSON2162200005")</f>
        <v>#NAME?</v>
      </c>
      <c r="E2917" s="23" t="e">
        <f ca="1">[1]!BexGetData("DP_1","003N8EMH8GTFRCSWKMPXRRL3Y","GSON2162200005")</f>
        <v>#NAME?</v>
      </c>
      <c r="F2917" s="23" t="e">
        <f ca="1">[1]!BexGetData("DP_1","003N8EMH8GTFRCSWKMPXRRRFI","GSON2162200005")</f>
        <v>#NAME?</v>
      </c>
      <c r="G2917" s="23" t="e">
        <f ca="1">[1]!BexGetData("DP_1","003N8EMH8GTFRCSWKMPXRRXR2","GSON2162200005")</f>
        <v>#NAME?</v>
      </c>
      <c r="H2917" s="23" t="e">
        <f ca="1">[1]!BexGetData("DP_1","003N8EMH8GTFRCSWKMPXRS42M","GSON2162200005")</f>
        <v>#NAME?</v>
      </c>
      <c r="I2917" s="23" t="e">
        <f ca="1">[1]!BexGetData("DP_1","003N8EMH8GTFRCSWKMPXRSAE6","GSON2162200005")</f>
        <v>#NAME?</v>
      </c>
      <c r="J2917" s="24" t="e">
        <f ca="1">[1]!BexGetData("DP_1","003N8EMH8GTFRCSWKMPXRSGPQ","GSON2162200005")</f>
        <v>#NAME?</v>
      </c>
      <c r="K2917" s="23" t="e">
        <f ca="1">[1]!BexGetData("DP_1","003N8EMH8GTFRIVNUPY288VJH","GSON2162200005")</f>
        <v>#NAME?</v>
      </c>
      <c r="L2917" s="23" t="e">
        <f ca="1">[1]!BexGetData("DP_1","003N8EMH8GTFRIVNUPY2891V1","GSON2162200005")</f>
        <v>#NAME?</v>
      </c>
      <c r="M2917" s="28" t="e">
        <f ca="1">[1]!BexGetData("DP_1","003N8EMH8GTFRIVOG7KG9IQXA","GSON2162200005")</f>
        <v>#NAME?</v>
      </c>
      <c r="N2917" s="23" t="e">
        <f ca="1">[1]!BexGetData("DP_1","003N8EMH8GTFRIVOG7KG9IX8U","GSON2162200005")</f>
        <v>#NAME?</v>
      </c>
      <c r="O2917" s="28" t="e">
        <f ca="1">[1]!BexGetData("DP_1","003N8EMH8GTFRIVOG7KG9J3KE","GSON2162200005")</f>
        <v>#NAME?</v>
      </c>
      <c r="P2917" s="23" t="e">
        <f ca="1">[1]!BexGetData("DP_1","003N8EMH8GTFRIVOG7KG9J9VY","GSON2162200005")</f>
        <v>#NAME?</v>
      </c>
      <c r="Q2917" s="24" t="e">
        <f ca="1">[1]!BexGetData("DP_1","00O2TNJGODT0G5Z4TTKYMM5MT","GSON2162200005")</f>
        <v>#NAME?</v>
      </c>
      <c r="R2917" s="23" t="e">
        <f ca="1">[1]!BexGetData("DP_1","00O2TNJGODT0G5Z4TTKYMMBYD","GSON2162200005")</f>
        <v>#NAME?</v>
      </c>
      <c r="S2917" s="23" t="e">
        <f ca="1">[1]!BexGetData("DP_1","00O2TNJGODT0G5Z4TTKYMMI9X","GSON2162200005")</f>
        <v>#NAME?</v>
      </c>
      <c r="T2917" s="28" t="e">
        <f ca="1">[1]!BexGetData("DP_1","00O2TNJGODT0G5Z4TTKYMMOLH","GSON2162200005")</f>
        <v>#NAME?</v>
      </c>
      <c r="U2917" s="23" t="e">
        <f ca="1">[1]!BexGetData("DP_1","00O2TNJGODT0G5Z4TTKYMMUX1","GSON2162200005")</f>
        <v>#NAME?</v>
      </c>
      <c r="V2917" s="28" t="e">
        <f ca="1">[1]!BexGetData("DP_1","00O2TNJGODT0G5Z4TTKYMN18L","GSON2162200005")</f>
        <v>#NAME?</v>
      </c>
      <c r="W2917" s="23" t="e">
        <f ca="1">[1]!BexGetData("DP_1","00O2TNJGODT0G5Z4TTKYMN7K5","GSON2162200005")</f>
        <v>#NAME?</v>
      </c>
    </row>
    <row r="2918" spans="1:23" x14ac:dyDescent="0.2">
      <c r="A2918" s="37" t="s">
        <v>1445</v>
      </c>
      <c r="B2918" s="27" t="s">
        <v>681</v>
      </c>
      <c r="C2918" s="23" t="e">
        <f ca="1">[1]!BexGetData("DP_1","003N8EMH8GTFRCSWKMPXRR8GU","GSON2162200006")</f>
        <v>#NAME?</v>
      </c>
      <c r="D2918" s="23" t="e">
        <f ca="1">[1]!BexGetData("DP_1","003N8EMH8GTFRCSWKMPXRRESE","GSON2162200006")</f>
        <v>#NAME?</v>
      </c>
      <c r="E2918" s="23" t="e">
        <f ca="1">[1]!BexGetData("DP_1","003N8EMH8GTFRCSWKMPXRRL3Y","GSON2162200006")</f>
        <v>#NAME?</v>
      </c>
      <c r="F2918" s="23" t="e">
        <f ca="1">[1]!BexGetData("DP_1","003N8EMH8GTFRCSWKMPXRRRFI","GSON2162200006")</f>
        <v>#NAME?</v>
      </c>
      <c r="G2918" s="23" t="e">
        <f ca="1">[1]!BexGetData("DP_1","003N8EMH8GTFRCSWKMPXRRXR2","GSON2162200006")</f>
        <v>#NAME?</v>
      </c>
      <c r="H2918" s="23" t="e">
        <f ca="1">[1]!BexGetData("DP_1","003N8EMH8GTFRCSWKMPXRS42M","GSON2162200006")</f>
        <v>#NAME?</v>
      </c>
      <c r="I2918" s="23" t="e">
        <f ca="1">[1]!BexGetData("DP_1","003N8EMH8GTFRCSWKMPXRSAE6","GSON2162200006")</f>
        <v>#NAME?</v>
      </c>
      <c r="J2918" s="24" t="e">
        <f ca="1">[1]!BexGetData("DP_1","003N8EMH8GTFRCSWKMPXRSGPQ","GSON2162200006")</f>
        <v>#NAME?</v>
      </c>
      <c r="K2918" s="23" t="e">
        <f ca="1">[1]!BexGetData("DP_1","003N8EMH8GTFRIVNUPY288VJH","GSON2162200006")</f>
        <v>#NAME?</v>
      </c>
      <c r="L2918" s="23" t="e">
        <f ca="1">[1]!BexGetData("DP_1","003N8EMH8GTFRIVNUPY2891V1","GSON2162200006")</f>
        <v>#NAME?</v>
      </c>
      <c r="M2918" s="23" t="e">
        <f ca="1">[1]!BexGetData("DP_1","003N8EMH8GTFRIVOG7KG9IQXA","GSON2162200006")</f>
        <v>#NAME?</v>
      </c>
      <c r="N2918" s="28" t="e">
        <f ca="1">[1]!BexGetData("DP_1","003N8EMH8GTFRIVOG7KG9IX8U","GSON2162200006")</f>
        <v>#NAME?</v>
      </c>
      <c r="O2918" s="23" t="e">
        <f ca="1">[1]!BexGetData("DP_1","003N8EMH8GTFRIVOG7KG9J3KE","GSON2162200006")</f>
        <v>#NAME?</v>
      </c>
      <c r="P2918" s="28" t="e">
        <f ca="1">[1]!BexGetData("DP_1","003N8EMH8GTFRIVOG7KG9J9VY","GSON2162200006")</f>
        <v>#NAME?</v>
      </c>
      <c r="Q2918" s="24" t="e">
        <f ca="1">[1]!BexGetData("DP_1","00O2TNJGODT0G5Z4TTKYMM5MT","GSON2162200006")</f>
        <v>#NAME?</v>
      </c>
      <c r="R2918" s="23" t="e">
        <f ca="1">[1]!BexGetData("DP_1","00O2TNJGODT0G5Z4TTKYMMBYD","GSON2162200006")</f>
        <v>#NAME?</v>
      </c>
      <c r="S2918" s="23" t="e">
        <f ca="1">[1]!BexGetData("DP_1","00O2TNJGODT0G5Z4TTKYMMI9X","GSON2162200006")</f>
        <v>#NAME?</v>
      </c>
      <c r="T2918" s="23" t="e">
        <f ca="1">[1]!BexGetData("DP_1","00O2TNJGODT0G5Z4TTKYMMOLH","GSON2162200006")</f>
        <v>#NAME?</v>
      </c>
      <c r="U2918" s="28" t="e">
        <f ca="1">[1]!BexGetData("DP_1","00O2TNJGODT0G5Z4TTKYMMUX1","GSON2162200006")</f>
        <v>#NAME?</v>
      </c>
      <c r="V2918" s="23" t="e">
        <f ca="1">[1]!BexGetData("DP_1","00O2TNJGODT0G5Z4TTKYMN18L","GSON2162200006")</f>
        <v>#NAME?</v>
      </c>
      <c r="W2918" s="28" t="e">
        <f ca="1">[1]!BexGetData("DP_1","00O2TNJGODT0G5Z4TTKYMN7K5","GSON2162200006")</f>
        <v>#NAME?</v>
      </c>
    </row>
    <row r="2919" spans="1:23" x14ac:dyDescent="0.2">
      <c r="A2919" s="37" t="s">
        <v>1446</v>
      </c>
      <c r="B2919" s="27" t="s">
        <v>682</v>
      </c>
      <c r="C2919" s="23" t="e">
        <f ca="1">[1]!BexGetData("DP_1","003N8EMH8GTFRCSWKMPXRR8GU","GSON2162200007")</f>
        <v>#NAME?</v>
      </c>
      <c r="D2919" s="23" t="e">
        <f ca="1">[1]!BexGetData("DP_1","003N8EMH8GTFRCSWKMPXRRESE","GSON2162200007")</f>
        <v>#NAME?</v>
      </c>
      <c r="E2919" s="23" t="e">
        <f ca="1">[1]!BexGetData("DP_1","003N8EMH8GTFRCSWKMPXRRL3Y","GSON2162200007")</f>
        <v>#NAME?</v>
      </c>
      <c r="F2919" s="23" t="e">
        <f ca="1">[1]!BexGetData("DP_1","003N8EMH8GTFRCSWKMPXRRRFI","GSON2162200007")</f>
        <v>#NAME?</v>
      </c>
      <c r="G2919" s="23" t="e">
        <f ca="1">[1]!BexGetData("DP_1","003N8EMH8GTFRCSWKMPXRRXR2","GSON2162200007")</f>
        <v>#NAME?</v>
      </c>
      <c r="H2919" s="23" t="e">
        <f ca="1">[1]!BexGetData("DP_1","003N8EMH8GTFRCSWKMPXRS42M","GSON2162200007")</f>
        <v>#NAME?</v>
      </c>
      <c r="I2919" s="23" t="e">
        <f ca="1">[1]!BexGetData("DP_1","003N8EMH8GTFRCSWKMPXRSAE6","GSON2162200007")</f>
        <v>#NAME?</v>
      </c>
      <c r="J2919" s="24" t="e">
        <f ca="1">[1]!BexGetData("DP_1","003N8EMH8GTFRCSWKMPXRSGPQ","GSON2162200007")</f>
        <v>#NAME?</v>
      </c>
      <c r="K2919" s="23" t="e">
        <f ca="1">[1]!BexGetData("DP_1","003N8EMH8GTFRIVNUPY288VJH","GSON2162200007")</f>
        <v>#NAME?</v>
      </c>
      <c r="L2919" s="23" t="e">
        <f ca="1">[1]!BexGetData("DP_1","003N8EMH8GTFRIVNUPY2891V1","GSON2162200007")</f>
        <v>#NAME?</v>
      </c>
      <c r="M2919" s="23" t="e">
        <f ca="1">[1]!BexGetData("DP_1","003N8EMH8GTFRIVOG7KG9IQXA","GSON2162200007")</f>
        <v>#NAME?</v>
      </c>
      <c r="N2919" s="28" t="e">
        <f ca="1">[1]!BexGetData("DP_1","003N8EMH8GTFRIVOG7KG9IX8U","GSON2162200007")</f>
        <v>#NAME?</v>
      </c>
      <c r="O2919" s="23" t="e">
        <f ca="1">[1]!BexGetData("DP_1","003N8EMH8GTFRIVOG7KG9J3KE","GSON2162200007")</f>
        <v>#NAME?</v>
      </c>
      <c r="P2919" s="28" t="e">
        <f ca="1">[1]!BexGetData("DP_1","003N8EMH8GTFRIVOG7KG9J9VY","GSON2162200007")</f>
        <v>#NAME?</v>
      </c>
      <c r="Q2919" s="24" t="e">
        <f ca="1">[1]!BexGetData("DP_1","00O2TNJGODT0G5Z4TTKYMM5MT","GSON2162200007")</f>
        <v>#NAME?</v>
      </c>
      <c r="R2919" s="23" t="e">
        <f ca="1">[1]!BexGetData("DP_1","00O2TNJGODT0G5Z4TTKYMMBYD","GSON2162200007")</f>
        <v>#NAME?</v>
      </c>
      <c r="S2919" s="23" t="e">
        <f ca="1">[1]!BexGetData("DP_1","00O2TNJGODT0G5Z4TTKYMMI9X","GSON2162200007")</f>
        <v>#NAME?</v>
      </c>
      <c r="T2919" s="23" t="e">
        <f ca="1">[1]!BexGetData("DP_1","00O2TNJGODT0G5Z4TTKYMMOLH","GSON2162200007")</f>
        <v>#NAME?</v>
      </c>
      <c r="U2919" s="28" t="e">
        <f ca="1">[1]!BexGetData("DP_1","00O2TNJGODT0G5Z4TTKYMMUX1","GSON2162200007")</f>
        <v>#NAME?</v>
      </c>
      <c r="V2919" s="23" t="e">
        <f ca="1">[1]!BexGetData("DP_1","00O2TNJGODT0G5Z4TTKYMN18L","GSON2162200007")</f>
        <v>#NAME?</v>
      </c>
      <c r="W2919" s="28" t="e">
        <f ca="1">[1]!BexGetData("DP_1","00O2TNJGODT0G5Z4TTKYMN7K5","GSON2162200007")</f>
        <v>#NAME?</v>
      </c>
    </row>
    <row r="2920" spans="1:23" x14ac:dyDescent="0.2">
      <c r="A2920" s="37" t="s">
        <v>1447</v>
      </c>
      <c r="B2920" s="27" t="s">
        <v>683</v>
      </c>
      <c r="C2920" s="23" t="e">
        <f ca="1">[1]!BexGetData("DP_1","003N8EMH8GTFRCSWKMPXRR8GU","GSON2162200008")</f>
        <v>#NAME?</v>
      </c>
      <c r="D2920" s="23" t="e">
        <f ca="1">[1]!BexGetData("DP_1","003N8EMH8GTFRCSWKMPXRRESE","GSON2162200008")</f>
        <v>#NAME?</v>
      </c>
      <c r="E2920" s="23" t="e">
        <f ca="1">[1]!BexGetData("DP_1","003N8EMH8GTFRCSWKMPXRRL3Y","GSON2162200008")</f>
        <v>#NAME?</v>
      </c>
      <c r="F2920" s="23" t="e">
        <f ca="1">[1]!BexGetData("DP_1","003N8EMH8GTFRCSWKMPXRRRFI","GSON2162200008")</f>
        <v>#NAME?</v>
      </c>
      <c r="G2920" s="23" t="e">
        <f ca="1">[1]!BexGetData("DP_1","003N8EMH8GTFRCSWKMPXRRXR2","GSON2162200008")</f>
        <v>#NAME?</v>
      </c>
      <c r="H2920" s="23" t="e">
        <f ca="1">[1]!BexGetData("DP_1","003N8EMH8GTFRCSWKMPXRS42M","GSON2162200008")</f>
        <v>#NAME?</v>
      </c>
      <c r="I2920" s="23" t="e">
        <f ca="1">[1]!BexGetData("DP_1","003N8EMH8GTFRCSWKMPXRSAE6","GSON2162200008")</f>
        <v>#NAME?</v>
      </c>
      <c r="J2920" s="24" t="e">
        <f ca="1">[1]!BexGetData("DP_1","003N8EMH8GTFRCSWKMPXRSGPQ","GSON2162200008")</f>
        <v>#NAME?</v>
      </c>
      <c r="K2920" s="23" t="e">
        <f ca="1">[1]!BexGetData("DP_1","003N8EMH8GTFRIVNUPY288VJH","GSON2162200008")</f>
        <v>#NAME?</v>
      </c>
      <c r="L2920" s="23" t="e">
        <f ca="1">[1]!BexGetData("DP_1","003N8EMH8GTFRIVNUPY2891V1","GSON2162200008")</f>
        <v>#NAME?</v>
      </c>
      <c r="M2920" s="28" t="e">
        <f ca="1">[1]!BexGetData("DP_1","003N8EMH8GTFRIVOG7KG9IQXA","GSON2162200008")</f>
        <v>#NAME?</v>
      </c>
      <c r="N2920" s="23" t="e">
        <f ca="1">[1]!BexGetData("DP_1","003N8EMH8GTFRIVOG7KG9IX8U","GSON2162200008")</f>
        <v>#NAME?</v>
      </c>
      <c r="O2920" s="28" t="e">
        <f ca="1">[1]!BexGetData("DP_1","003N8EMH8GTFRIVOG7KG9J3KE","GSON2162200008")</f>
        <v>#NAME?</v>
      </c>
      <c r="P2920" s="23" t="e">
        <f ca="1">[1]!BexGetData("DP_1","003N8EMH8GTFRIVOG7KG9J9VY","GSON2162200008")</f>
        <v>#NAME?</v>
      </c>
      <c r="Q2920" s="24" t="e">
        <f ca="1">[1]!BexGetData("DP_1","00O2TNJGODT0G5Z4TTKYMM5MT","GSON2162200008")</f>
        <v>#NAME?</v>
      </c>
      <c r="R2920" s="23" t="e">
        <f ca="1">[1]!BexGetData("DP_1","00O2TNJGODT0G5Z4TTKYMMBYD","GSON2162200008")</f>
        <v>#NAME?</v>
      </c>
      <c r="S2920" s="23" t="e">
        <f ca="1">[1]!BexGetData("DP_1","00O2TNJGODT0G5Z4TTKYMMI9X","GSON2162200008")</f>
        <v>#NAME?</v>
      </c>
      <c r="T2920" s="23" t="e">
        <f ca="1">[1]!BexGetData("DP_1","00O2TNJGODT0G5Z4TTKYMMOLH","GSON2162200008")</f>
        <v>#NAME?</v>
      </c>
      <c r="U2920" s="28" t="e">
        <f ca="1">[1]!BexGetData("DP_1","00O2TNJGODT0G5Z4TTKYMMUX1","GSON2162200008")</f>
        <v>#NAME?</v>
      </c>
      <c r="V2920" s="23" t="e">
        <f ca="1">[1]!BexGetData("DP_1","00O2TNJGODT0G5Z4TTKYMN18L","GSON2162200008")</f>
        <v>#NAME?</v>
      </c>
      <c r="W2920" s="28" t="e">
        <f ca="1">[1]!BexGetData("DP_1","00O2TNJGODT0G5Z4TTKYMN7K5","GSON2162200008")</f>
        <v>#NAME?</v>
      </c>
    </row>
    <row r="2921" spans="1:23" x14ac:dyDescent="0.2">
      <c r="A2921" s="37" t="s">
        <v>1448</v>
      </c>
      <c r="B2921" s="27" t="s">
        <v>684</v>
      </c>
      <c r="C2921" s="23" t="e">
        <f ca="1">[1]!BexGetData("DP_1","003N8EMH8GTFRCSWKMPXRR8GU","GSON2162200009")</f>
        <v>#NAME?</v>
      </c>
      <c r="D2921" s="23" t="e">
        <f ca="1">[1]!BexGetData("DP_1","003N8EMH8GTFRCSWKMPXRRESE","GSON2162200009")</f>
        <v>#NAME?</v>
      </c>
      <c r="E2921" s="23" t="e">
        <f ca="1">[1]!BexGetData("DP_1","003N8EMH8GTFRCSWKMPXRRL3Y","GSON2162200009")</f>
        <v>#NAME?</v>
      </c>
      <c r="F2921" s="23" t="e">
        <f ca="1">[1]!BexGetData("DP_1","003N8EMH8GTFRCSWKMPXRRRFI","GSON2162200009")</f>
        <v>#NAME?</v>
      </c>
      <c r="G2921" s="23" t="e">
        <f ca="1">[1]!BexGetData("DP_1","003N8EMH8GTFRCSWKMPXRRXR2","GSON2162200009")</f>
        <v>#NAME?</v>
      </c>
      <c r="H2921" s="23" t="e">
        <f ca="1">[1]!BexGetData("DP_1","003N8EMH8GTFRCSWKMPXRS42M","GSON2162200009")</f>
        <v>#NAME?</v>
      </c>
      <c r="I2921" s="23" t="e">
        <f ca="1">[1]!BexGetData("DP_1","003N8EMH8GTFRCSWKMPXRSAE6","GSON2162200009")</f>
        <v>#NAME?</v>
      </c>
      <c r="J2921" s="24" t="e">
        <f ca="1">[1]!BexGetData("DP_1","003N8EMH8GTFRCSWKMPXRSGPQ","GSON2162200009")</f>
        <v>#NAME?</v>
      </c>
      <c r="K2921" s="23" t="e">
        <f ca="1">[1]!BexGetData("DP_1","003N8EMH8GTFRIVNUPY288VJH","GSON2162200009")</f>
        <v>#NAME?</v>
      </c>
      <c r="L2921" s="23" t="e">
        <f ca="1">[1]!BexGetData("DP_1","003N8EMH8GTFRIVNUPY2891V1","GSON2162200009")</f>
        <v>#NAME?</v>
      </c>
      <c r="M2921" s="28" t="e">
        <f ca="1">[1]!BexGetData("DP_1","003N8EMH8GTFRIVOG7KG9IQXA","GSON2162200009")</f>
        <v>#NAME?</v>
      </c>
      <c r="N2921" s="23" t="e">
        <f ca="1">[1]!BexGetData("DP_1","003N8EMH8GTFRIVOG7KG9IX8U","GSON2162200009")</f>
        <v>#NAME?</v>
      </c>
      <c r="O2921" s="28" t="e">
        <f ca="1">[1]!BexGetData("DP_1","003N8EMH8GTFRIVOG7KG9J3KE","GSON2162200009")</f>
        <v>#NAME?</v>
      </c>
      <c r="P2921" s="23" t="e">
        <f ca="1">[1]!BexGetData("DP_1","003N8EMH8GTFRIVOG7KG9J9VY","GSON2162200009")</f>
        <v>#NAME?</v>
      </c>
      <c r="Q2921" s="24" t="e">
        <f ca="1">[1]!BexGetData("DP_1","00O2TNJGODT0G5Z4TTKYMM5MT","GSON2162200009")</f>
        <v>#NAME?</v>
      </c>
      <c r="R2921" s="23" t="e">
        <f ca="1">[1]!BexGetData("DP_1","00O2TNJGODT0G5Z4TTKYMMBYD","GSON2162200009")</f>
        <v>#NAME?</v>
      </c>
      <c r="S2921" s="23" t="e">
        <f ca="1">[1]!BexGetData("DP_1","00O2TNJGODT0G5Z4TTKYMMI9X","GSON2162200009")</f>
        <v>#NAME?</v>
      </c>
      <c r="T2921" s="23" t="e">
        <f ca="1">[1]!BexGetData("DP_1","00O2TNJGODT0G5Z4TTKYMMOLH","GSON2162200009")</f>
        <v>#NAME?</v>
      </c>
      <c r="U2921" s="28" t="e">
        <f ca="1">[1]!BexGetData("DP_1","00O2TNJGODT0G5Z4TTKYMMUX1","GSON2162200009")</f>
        <v>#NAME?</v>
      </c>
      <c r="V2921" s="23" t="e">
        <f ca="1">[1]!BexGetData("DP_1","00O2TNJGODT0G5Z4TTKYMN18L","GSON2162200009")</f>
        <v>#NAME?</v>
      </c>
      <c r="W2921" s="28" t="e">
        <f ca="1">[1]!BexGetData("DP_1","00O2TNJGODT0G5Z4TTKYMN7K5","GSON2162200009")</f>
        <v>#NAME?</v>
      </c>
    </row>
    <row r="2922" spans="1:23" x14ac:dyDescent="0.2">
      <c r="A2922" s="37" t="s">
        <v>6320</v>
      </c>
      <c r="B2922" s="27" t="s">
        <v>6321</v>
      </c>
      <c r="C2922" s="23" t="e">
        <f ca="1">[1]!BexGetData("DP_1","003N8EMH8GTFRCSWKMPXRR8GU","GSON2162200010")</f>
        <v>#NAME?</v>
      </c>
      <c r="D2922" s="23" t="e">
        <f ca="1">[1]!BexGetData("DP_1","003N8EMH8GTFRCSWKMPXRRESE","GSON2162200010")</f>
        <v>#NAME?</v>
      </c>
      <c r="E2922" s="23" t="e">
        <f ca="1">[1]!BexGetData("DP_1","003N8EMH8GTFRCSWKMPXRRL3Y","GSON2162200010")</f>
        <v>#NAME?</v>
      </c>
      <c r="F2922" s="23" t="e">
        <f ca="1">[1]!BexGetData("DP_1","003N8EMH8GTFRCSWKMPXRRRFI","GSON2162200010")</f>
        <v>#NAME?</v>
      </c>
      <c r="G2922" s="23" t="e">
        <f ca="1">[1]!BexGetData("DP_1","003N8EMH8GTFRCSWKMPXRRXR2","GSON2162200010")</f>
        <v>#NAME?</v>
      </c>
      <c r="H2922" s="23" t="e">
        <f ca="1">[1]!BexGetData("DP_1","003N8EMH8GTFRCSWKMPXRS42M","GSON2162200010")</f>
        <v>#NAME?</v>
      </c>
      <c r="I2922" s="23" t="e">
        <f ca="1">[1]!BexGetData("DP_1","003N8EMH8GTFRCSWKMPXRSAE6","GSON2162200010")</f>
        <v>#NAME?</v>
      </c>
      <c r="J2922" s="24" t="e">
        <f ca="1">[1]!BexGetData("DP_1","003N8EMH8GTFRCSWKMPXRSGPQ","GSON2162200010")</f>
        <v>#NAME?</v>
      </c>
      <c r="K2922" s="23" t="e">
        <f ca="1">[1]!BexGetData("DP_1","003N8EMH8GTFRIVNUPY288VJH","GSON2162200010")</f>
        <v>#NAME?</v>
      </c>
      <c r="L2922" s="23" t="e">
        <f ca="1">[1]!BexGetData("DP_1","003N8EMH8GTFRIVNUPY2891V1","GSON2162200010")</f>
        <v>#NAME?</v>
      </c>
      <c r="M2922" s="23" t="e">
        <f ca="1">[1]!BexGetData("DP_1","003N8EMH8GTFRIVOG7KG9IQXA","GSON2162200010")</f>
        <v>#NAME?</v>
      </c>
      <c r="N2922" s="28" t="e">
        <f ca="1">[1]!BexGetData("DP_1","003N8EMH8GTFRIVOG7KG9IX8U","GSON2162200010")</f>
        <v>#NAME?</v>
      </c>
      <c r="O2922" s="23" t="e">
        <f ca="1">[1]!BexGetData("DP_1","003N8EMH8GTFRIVOG7KG9J3KE","GSON2162200010")</f>
        <v>#NAME?</v>
      </c>
      <c r="P2922" s="28" t="e">
        <f ca="1">[1]!BexGetData("DP_1","003N8EMH8GTFRIVOG7KG9J9VY","GSON2162200010")</f>
        <v>#NAME?</v>
      </c>
      <c r="Q2922" s="24" t="e">
        <f ca="1">[1]!BexGetData("DP_1","00O2TNJGODT0G5Z4TTKYMM5MT","GSON2162200010")</f>
        <v>#NAME?</v>
      </c>
      <c r="R2922" s="23" t="e">
        <f ca="1">[1]!BexGetData("DP_1","00O2TNJGODT0G5Z4TTKYMMBYD","GSON2162200010")</f>
        <v>#NAME?</v>
      </c>
      <c r="S2922" s="23" t="e">
        <f ca="1">[1]!BexGetData("DP_1","00O2TNJGODT0G5Z4TTKYMMI9X","GSON2162200010")</f>
        <v>#NAME?</v>
      </c>
      <c r="T2922" s="23" t="e">
        <f ca="1">[1]!BexGetData("DP_1","00O2TNJGODT0G5Z4TTKYMMOLH","GSON2162200010")</f>
        <v>#NAME?</v>
      </c>
      <c r="U2922" s="28" t="e">
        <f ca="1">[1]!BexGetData("DP_1","00O2TNJGODT0G5Z4TTKYMMUX1","GSON2162200010")</f>
        <v>#NAME?</v>
      </c>
      <c r="V2922" s="23" t="e">
        <f ca="1">[1]!BexGetData("DP_1","00O2TNJGODT0G5Z4TTKYMN18L","GSON2162200010")</f>
        <v>#NAME?</v>
      </c>
      <c r="W2922" s="28" t="e">
        <f ca="1">[1]!BexGetData("DP_1","00O2TNJGODT0G5Z4TTKYMN7K5","GSON2162200010")</f>
        <v>#NAME?</v>
      </c>
    </row>
    <row r="2923" spans="1:23" x14ac:dyDescent="0.2">
      <c r="A2923" s="37" t="s">
        <v>6322</v>
      </c>
      <c r="B2923" s="27" t="s">
        <v>6323</v>
      </c>
      <c r="C2923" s="23" t="e">
        <f ca="1">[1]!BexGetData("DP_1","003N8EMH8GTFRCSWKMPXRR8GU","GSON2162200011")</f>
        <v>#NAME?</v>
      </c>
      <c r="D2923" s="23" t="e">
        <f ca="1">[1]!BexGetData("DP_1","003N8EMH8GTFRCSWKMPXRRESE","GSON2162200011")</f>
        <v>#NAME?</v>
      </c>
      <c r="E2923" s="23" t="e">
        <f ca="1">[1]!BexGetData("DP_1","003N8EMH8GTFRCSWKMPXRRL3Y","GSON2162200011")</f>
        <v>#NAME?</v>
      </c>
      <c r="F2923" s="23" t="e">
        <f ca="1">[1]!BexGetData("DP_1","003N8EMH8GTFRCSWKMPXRRRFI","GSON2162200011")</f>
        <v>#NAME?</v>
      </c>
      <c r="G2923" s="23" t="e">
        <f ca="1">[1]!BexGetData("DP_1","003N8EMH8GTFRCSWKMPXRRXR2","GSON2162200011")</f>
        <v>#NAME?</v>
      </c>
      <c r="H2923" s="23" t="e">
        <f ca="1">[1]!BexGetData("DP_1","003N8EMH8GTFRCSWKMPXRS42M","GSON2162200011")</f>
        <v>#NAME?</v>
      </c>
      <c r="I2923" s="23" t="e">
        <f ca="1">[1]!BexGetData("DP_1","003N8EMH8GTFRCSWKMPXRSAE6","GSON2162200011")</f>
        <v>#NAME?</v>
      </c>
      <c r="J2923" s="24" t="e">
        <f ca="1">[1]!BexGetData("DP_1","003N8EMH8GTFRCSWKMPXRSGPQ","GSON2162200011")</f>
        <v>#NAME?</v>
      </c>
      <c r="K2923" s="23" t="e">
        <f ca="1">[1]!BexGetData("DP_1","003N8EMH8GTFRIVNUPY288VJH","GSON2162200011")</f>
        <v>#NAME?</v>
      </c>
      <c r="L2923" s="23" t="e">
        <f ca="1">[1]!BexGetData("DP_1","003N8EMH8GTFRIVNUPY2891V1","GSON2162200011")</f>
        <v>#NAME?</v>
      </c>
      <c r="M2923" s="28" t="e">
        <f ca="1">[1]!BexGetData("DP_1","003N8EMH8GTFRIVOG7KG9IQXA","GSON2162200011")</f>
        <v>#NAME?</v>
      </c>
      <c r="N2923" s="23" t="e">
        <f ca="1">[1]!BexGetData("DP_1","003N8EMH8GTFRIVOG7KG9IX8U","GSON2162200011")</f>
        <v>#NAME?</v>
      </c>
      <c r="O2923" s="28" t="e">
        <f ca="1">[1]!BexGetData("DP_1","003N8EMH8GTFRIVOG7KG9J3KE","GSON2162200011")</f>
        <v>#NAME?</v>
      </c>
      <c r="P2923" s="23" t="e">
        <f ca="1">[1]!BexGetData("DP_1","003N8EMH8GTFRIVOG7KG9J9VY","GSON2162200011")</f>
        <v>#NAME?</v>
      </c>
      <c r="Q2923" s="24" t="e">
        <f ca="1">[1]!BexGetData("DP_1","00O2TNJGODT0G5Z4TTKYMM5MT","GSON2162200011")</f>
        <v>#NAME?</v>
      </c>
      <c r="R2923" s="23" t="e">
        <f ca="1">[1]!BexGetData("DP_1","00O2TNJGODT0G5Z4TTKYMMBYD","GSON2162200011")</f>
        <v>#NAME?</v>
      </c>
      <c r="S2923" s="23" t="e">
        <f ca="1">[1]!BexGetData("DP_1","00O2TNJGODT0G5Z4TTKYMMI9X","GSON2162200011")</f>
        <v>#NAME?</v>
      </c>
      <c r="T2923" s="23" t="e">
        <f ca="1">[1]!BexGetData("DP_1","00O2TNJGODT0G5Z4TTKYMMOLH","GSON2162200011")</f>
        <v>#NAME?</v>
      </c>
      <c r="U2923" s="28" t="e">
        <f ca="1">[1]!BexGetData("DP_1","00O2TNJGODT0G5Z4TTKYMMUX1","GSON2162200011")</f>
        <v>#NAME?</v>
      </c>
      <c r="V2923" s="23" t="e">
        <f ca="1">[1]!BexGetData("DP_1","00O2TNJGODT0G5Z4TTKYMN18L","GSON2162200011")</f>
        <v>#NAME?</v>
      </c>
      <c r="W2923" s="28" t="e">
        <f ca="1">[1]!BexGetData("DP_1","00O2TNJGODT0G5Z4TTKYMN7K5","GSON2162200011")</f>
        <v>#NAME?</v>
      </c>
    </row>
    <row r="2924" spans="1:23" x14ac:dyDescent="0.2">
      <c r="A2924" s="37" t="s">
        <v>6324</v>
      </c>
      <c r="B2924" s="27" t="s">
        <v>6325</v>
      </c>
      <c r="C2924" s="23" t="e">
        <f ca="1">[1]!BexGetData("DP_1","003N8EMH8GTFRCSWKMPXRR8GU","GSON2162200012")</f>
        <v>#NAME?</v>
      </c>
      <c r="D2924" s="23" t="e">
        <f ca="1">[1]!BexGetData("DP_1","003N8EMH8GTFRCSWKMPXRRESE","GSON2162200012")</f>
        <v>#NAME?</v>
      </c>
      <c r="E2924" s="23" t="e">
        <f ca="1">[1]!BexGetData("DP_1","003N8EMH8GTFRCSWKMPXRRL3Y","GSON2162200012")</f>
        <v>#NAME?</v>
      </c>
      <c r="F2924" s="23" t="e">
        <f ca="1">[1]!BexGetData("DP_1","003N8EMH8GTFRCSWKMPXRRRFI","GSON2162200012")</f>
        <v>#NAME?</v>
      </c>
      <c r="G2924" s="23" t="e">
        <f ca="1">[1]!BexGetData("DP_1","003N8EMH8GTFRCSWKMPXRRXR2","GSON2162200012")</f>
        <v>#NAME?</v>
      </c>
      <c r="H2924" s="23" t="e">
        <f ca="1">[1]!BexGetData("DP_1","003N8EMH8GTFRCSWKMPXRS42M","GSON2162200012")</f>
        <v>#NAME?</v>
      </c>
      <c r="I2924" s="23" t="e">
        <f ca="1">[1]!BexGetData("DP_1","003N8EMH8GTFRCSWKMPXRSAE6","GSON2162200012")</f>
        <v>#NAME?</v>
      </c>
      <c r="J2924" s="24" t="e">
        <f ca="1">[1]!BexGetData("DP_1","003N8EMH8GTFRCSWKMPXRSGPQ","GSON2162200012")</f>
        <v>#NAME?</v>
      </c>
      <c r="K2924" s="23" t="e">
        <f ca="1">[1]!BexGetData("DP_1","003N8EMH8GTFRIVNUPY288VJH","GSON2162200012")</f>
        <v>#NAME?</v>
      </c>
      <c r="L2924" s="23" t="e">
        <f ca="1">[1]!BexGetData("DP_1","003N8EMH8GTFRIVNUPY2891V1","GSON2162200012")</f>
        <v>#NAME?</v>
      </c>
      <c r="M2924" s="23" t="e">
        <f ca="1">[1]!BexGetData("DP_1","003N8EMH8GTFRIVOG7KG9IQXA","GSON2162200012")</f>
        <v>#NAME?</v>
      </c>
      <c r="N2924" s="28" t="e">
        <f ca="1">[1]!BexGetData("DP_1","003N8EMH8GTFRIVOG7KG9IX8U","GSON2162200012")</f>
        <v>#NAME?</v>
      </c>
      <c r="O2924" s="23" t="e">
        <f ca="1">[1]!BexGetData("DP_1","003N8EMH8GTFRIVOG7KG9J3KE","GSON2162200012")</f>
        <v>#NAME?</v>
      </c>
      <c r="P2924" s="28" t="e">
        <f ca="1">[1]!BexGetData("DP_1","003N8EMH8GTFRIVOG7KG9J9VY","GSON2162200012")</f>
        <v>#NAME?</v>
      </c>
      <c r="Q2924" s="24" t="e">
        <f ca="1">[1]!BexGetData("DP_1","00O2TNJGODT0G5Z4TTKYMM5MT","GSON2162200012")</f>
        <v>#NAME?</v>
      </c>
      <c r="R2924" s="23" t="e">
        <f ca="1">[1]!BexGetData("DP_1","00O2TNJGODT0G5Z4TTKYMMBYD","GSON2162200012")</f>
        <v>#NAME?</v>
      </c>
      <c r="S2924" s="23" t="e">
        <f ca="1">[1]!BexGetData("DP_1","00O2TNJGODT0G5Z4TTKYMMI9X","GSON2162200012")</f>
        <v>#NAME?</v>
      </c>
      <c r="T2924" s="23" t="e">
        <f ca="1">[1]!BexGetData("DP_1","00O2TNJGODT0G5Z4TTKYMMOLH","GSON2162200012")</f>
        <v>#NAME?</v>
      </c>
      <c r="U2924" s="28" t="e">
        <f ca="1">[1]!BexGetData("DP_1","00O2TNJGODT0G5Z4TTKYMMUX1","GSON2162200012")</f>
        <v>#NAME?</v>
      </c>
      <c r="V2924" s="23" t="e">
        <f ca="1">[1]!BexGetData("DP_1","00O2TNJGODT0G5Z4TTKYMN18L","GSON2162200012")</f>
        <v>#NAME?</v>
      </c>
      <c r="W2924" s="28" t="e">
        <f ca="1">[1]!BexGetData("DP_1","00O2TNJGODT0G5Z4TTKYMN7K5","GSON2162200012")</f>
        <v>#NAME?</v>
      </c>
    </row>
    <row r="2925" spans="1:23" x14ac:dyDescent="0.2">
      <c r="A2925" s="37" t="s">
        <v>1449</v>
      </c>
      <c r="B2925" s="27" t="s">
        <v>685</v>
      </c>
      <c r="C2925" s="23" t="e">
        <f ca="1">[1]!BexGetData("DP_1","003N8EMH8GTFRCSWKMPXRR8GU","GSON2162200013")</f>
        <v>#NAME?</v>
      </c>
      <c r="D2925" s="23" t="e">
        <f ca="1">[1]!BexGetData("DP_1","003N8EMH8GTFRCSWKMPXRRESE","GSON2162200013")</f>
        <v>#NAME?</v>
      </c>
      <c r="E2925" s="23" t="e">
        <f ca="1">[1]!BexGetData("DP_1","003N8EMH8GTFRCSWKMPXRRL3Y","GSON2162200013")</f>
        <v>#NAME?</v>
      </c>
      <c r="F2925" s="23" t="e">
        <f ca="1">[1]!BexGetData("DP_1","003N8EMH8GTFRCSWKMPXRRRFI","GSON2162200013")</f>
        <v>#NAME?</v>
      </c>
      <c r="G2925" s="23" t="e">
        <f ca="1">[1]!BexGetData("DP_1","003N8EMH8GTFRCSWKMPXRRXR2","GSON2162200013")</f>
        <v>#NAME?</v>
      </c>
      <c r="H2925" s="23" t="e">
        <f ca="1">[1]!BexGetData("DP_1","003N8EMH8GTFRCSWKMPXRS42M","GSON2162200013")</f>
        <v>#NAME?</v>
      </c>
      <c r="I2925" s="23" t="e">
        <f ca="1">[1]!BexGetData("DP_1","003N8EMH8GTFRCSWKMPXRSAE6","GSON2162200013")</f>
        <v>#NAME?</v>
      </c>
      <c r="J2925" s="24" t="e">
        <f ca="1">[1]!BexGetData("DP_1","003N8EMH8GTFRCSWKMPXRSGPQ","GSON2162200013")</f>
        <v>#NAME?</v>
      </c>
      <c r="K2925" s="23" t="e">
        <f ca="1">[1]!BexGetData("DP_1","003N8EMH8GTFRIVNUPY288VJH","GSON2162200013")</f>
        <v>#NAME?</v>
      </c>
      <c r="L2925" s="23" t="e">
        <f ca="1">[1]!BexGetData("DP_1","003N8EMH8GTFRIVNUPY2891V1","GSON2162200013")</f>
        <v>#NAME?</v>
      </c>
      <c r="M2925" s="28" t="e">
        <f ca="1">[1]!BexGetData("DP_1","003N8EMH8GTFRIVOG7KG9IQXA","GSON2162200013")</f>
        <v>#NAME?</v>
      </c>
      <c r="N2925" s="23" t="e">
        <f ca="1">[1]!BexGetData("DP_1","003N8EMH8GTFRIVOG7KG9IX8U","GSON2162200013")</f>
        <v>#NAME?</v>
      </c>
      <c r="O2925" s="28" t="e">
        <f ca="1">[1]!BexGetData("DP_1","003N8EMH8GTFRIVOG7KG9J3KE","GSON2162200013")</f>
        <v>#NAME?</v>
      </c>
      <c r="P2925" s="23" t="e">
        <f ca="1">[1]!BexGetData("DP_1","003N8EMH8GTFRIVOG7KG9J9VY","GSON2162200013")</f>
        <v>#NAME?</v>
      </c>
      <c r="Q2925" s="24" t="e">
        <f ca="1">[1]!BexGetData("DP_1","00O2TNJGODT0G5Z4TTKYMM5MT","GSON2162200013")</f>
        <v>#NAME?</v>
      </c>
      <c r="R2925" s="23" t="e">
        <f ca="1">[1]!BexGetData("DP_1","00O2TNJGODT0G5Z4TTKYMMBYD","GSON2162200013")</f>
        <v>#NAME?</v>
      </c>
      <c r="S2925" s="23" t="e">
        <f ca="1">[1]!BexGetData("DP_1","00O2TNJGODT0G5Z4TTKYMMI9X","GSON2162200013")</f>
        <v>#NAME?</v>
      </c>
      <c r="T2925" s="23" t="e">
        <f ca="1">[1]!BexGetData("DP_1","00O2TNJGODT0G5Z4TTKYMMOLH","GSON2162200013")</f>
        <v>#NAME?</v>
      </c>
      <c r="U2925" s="28" t="e">
        <f ca="1">[1]!BexGetData("DP_1","00O2TNJGODT0G5Z4TTKYMMUX1","GSON2162200013")</f>
        <v>#NAME?</v>
      </c>
      <c r="V2925" s="23" t="e">
        <f ca="1">[1]!BexGetData("DP_1","00O2TNJGODT0G5Z4TTKYMN18L","GSON2162200013")</f>
        <v>#NAME?</v>
      </c>
      <c r="W2925" s="28" t="e">
        <f ca="1">[1]!BexGetData("DP_1","00O2TNJGODT0G5Z4TTKYMN7K5","GSON2162200013")</f>
        <v>#NAME?</v>
      </c>
    </row>
    <row r="2926" spans="1:23" x14ac:dyDescent="0.2">
      <c r="A2926" s="37" t="s">
        <v>6326</v>
      </c>
      <c r="B2926" s="27" t="s">
        <v>6327</v>
      </c>
      <c r="C2926" s="23" t="e">
        <f ca="1">[1]!BexGetData("DP_1","003N8EMH8GTFRCSWKMPXRR8GU","GSON2162200014")</f>
        <v>#NAME?</v>
      </c>
      <c r="D2926" s="23" t="e">
        <f ca="1">[1]!BexGetData("DP_1","003N8EMH8GTFRCSWKMPXRRESE","GSON2162200014")</f>
        <v>#NAME?</v>
      </c>
      <c r="E2926" s="23" t="e">
        <f ca="1">[1]!BexGetData("DP_1","003N8EMH8GTFRCSWKMPXRRL3Y","GSON2162200014")</f>
        <v>#NAME?</v>
      </c>
      <c r="F2926" s="23" t="e">
        <f ca="1">[1]!BexGetData("DP_1","003N8EMH8GTFRCSWKMPXRRRFI","GSON2162200014")</f>
        <v>#NAME?</v>
      </c>
      <c r="G2926" s="23" t="e">
        <f ca="1">[1]!BexGetData("DP_1","003N8EMH8GTFRCSWKMPXRRXR2","GSON2162200014")</f>
        <v>#NAME?</v>
      </c>
      <c r="H2926" s="23" t="e">
        <f ca="1">[1]!BexGetData("DP_1","003N8EMH8GTFRCSWKMPXRS42M","GSON2162200014")</f>
        <v>#NAME?</v>
      </c>
      <c r="I2926" s="23" t="e">
        <f ca="1">[1]!BexGetData("DP_1","003N8EMH8GTFRCSWKMPXRSAE6","GSON2162200014")</f>
        <v>#NAME?</v>
      </c>
      <c r="J2926" s="24" t="e">
        <f ca="1">[1]!BexGetData("DP_1","003N8EMH8GTFRCSWKMPXRSGPQ","GSON2162200014")</f>
        <v>#NAME?</v>
      </c>
      <c r="K2926" s="23" t="e">
        <f ca="1">[1]!BexGetData("DP_1","003N8EMH8GTFRIVNUPY288VJH","GSON2162200014")</f>
        <v>#NAME?</v>
      </c>
      <c r="L2926" s="23" t="e">
        <f ca="1">[1]!BexGetData("DP_1","003N8EMH8GTFRIVNUPY2891V1","GSON2162200014")</f>
        <v>#NAME?</v>
      </c>
      <c r="M2926" s="28" t="e">
        <f ca="1">[1]!BexGetData("DP_1","003N8EMH8GTFRIVOG7KG9IQXA","GSON2162200014")</f>
        <v>#NAME?</v>
      </c>
      <c r="N2926" s="23" t="e">
        <f ca="1">[1]!BexGetData("DP_1","003N8EMH8GTFRIVOG7KG9IX8U","GSON2162200014")</f>
        <v>#NAME?</v>
      </c>
      <c r="O2926" s="28" t="e">
        <f ca="1">[1]!BexGetData("DP_1","003N8EMH8GTFRIVOG7KG9J3KE","GSON2162200014")</f>
        <v>#NAME?</v>
      </c>
      <c r="P2926" s="23" t="e">
        <f ca="1">[1]!BexGetData("DP_1","003N8EMH8GTFRIVOG7KG9J9VY","GSON2162200014")</f>
        <v>#NAME?</v>
      </c>
      <c r="Q2926" s="24" t="e">
        <f ca="1">[1]!BexGetData("DP_1","00O2TNJGODT0G5Z4TTKYMM5MT","GSON2162200014")</f>
        <v>#NAME?</v>
      </c>
      <c r="R2926" s="23" t="e">
        <f ca="1">[1]!BexGetData("DP_1","00O2TNJGODT0G5Z4TTKYMMBYD","GSON2162200014")</f>
        <v>#NAME?</v>
      </c>
      <c r="S2926" s="23" t="e">
        <f ca="1">[1]!BexGetData("DP_1","00O2TNJGODT0G5Z4TTKYMMI9X","GSON2162200014")</f>
        <v>#NAME?</v>
      </c>
      <c r="T2926" s="23" t="e">
        <f ca="1">[1]!BexGetData("DP_1","00O2TNJGODT0G5Z4TTKYMMOLH","GSON2162200014")</f>
        <v>#NAME?</v>
      </c>
      <c r="U2926" s="28" t="e">
        <f ca="1">[1]!BexGetData("DP_1","00O2TNJGODT0G5Z4TTKYMMUX1","GSON2162200014")</f>
        <v>#NAME?</v>
      </c>
      <c r="V2926" s="23" t="e">
        <f ca="1">[1]!BexGetData("DP_1","00O2TNJGODT0G5Z4TTKYMN18L","GSON2162200014")</f>
        <v>#NAME?</v>
      </c>
      <c r="W2926" s="28" t="e">
        <f ca="1">[1]!BexGetData("DP_1","00O2TNJGODT0G5Z4TTKYMN7K5","GSON2162200014")</f>
        <v>#NAME?</v>
      </c>
    </row>
    <row r="2927" spans="1:23" x14ac:dyDescent="0.2">
      <c r="A2927" s="37" t="s">
        <v>6328</v>
      </c>
      <c r="B2927" s="27" t="s">
        <v>6329</v>
      </c>
      <c r="C2927" s="23" t="e">
        <f ca="1">[1]!BexGetData("DP_1","003N8EMH8GTFRCSWKMPXRR8GU","GSON2162200015")</f>
        <v>#NAME?</v>
      </c>
      <c r="D2927" s="23" t="e">
        <f ca="1">[1]!BexGetData("DP_1","003N8EMH8GTFRCSWKMPXRRESE","GSON2162200015")</f>
        <v>#NAME?</v>
      </c>
      <c r="E2927" s="23" t="e">
        <f ca="1">[1]!BexGetData("DP_1","003N8EMH8GTFRCSWKMPXRRL3Y","GSON2162200015")</f>
        <v>#NAME?</v>
      </c>
      <c r="F2927" s="23" t="e">
        <f ca="1">[1]!BexGetData("DP_1","003N8EMH8GTFRCSWKMPXRRRFI","GSON2162200015")</f>
        <v>#NAME?</v>
      </c>
      <c r="G2927" s="23" t="e">
        <f ca="1">[1]!BexGetData("DP_1","003N8EMH8GTFRCSWKMPXRRXR2","GSON2162200015")</f>
        <v>#NAME?</v>
      </c>
      <c r="H2927" s="23" t="e">
        <f ca="1">[1]!BexGetData("DP_1","003N8EMH8GTFRCSWKMPXRS42M","GSON2162200015")</f>
        <v>#NAME?</v>
      </c>
      <c r="I2927" s="23" t="e">
        <f ca="1">[1]!BexGetData("DP_1","003N8EMH8GTFRCSWKMPXRSAE6","GSON2162200015")</f>
        <v>#NAME?</v>
      </c>
      <c r="J2927" s="24" t="e">
        <f ca="1">[1]!BexGetData("DP_1","003N8EMH8GTFRCSWKMPXRSGPQ","GSON2162200015")</f>
        <v>#NAME?</v>
      </c>
      <c r="K2927" s="23" t="e">
        <f ca="1">[1]!BexGetData("DP_1","003N8EMH8GTFRIVNUPY288VJH","GSON2162200015")</f>
        <v>#NAME?</v>
      </c>
      <c r="L2927" s="23" t="e">
        <f ca="1">[1]!BexGetData("DP_1","003N8EMH8GTFRIVNUPY2891V1","GSON2162200015")</f>
        <v>#NAME?</v>
      </c>
      <c r="M2927" s="23" t="e">
        <f ca="1">[1]!BexGetData("DP_1","003N8EMH8GTFRIVOG7KG9IQXA","GSON2162200015")</f>
        <v>#NAME?</v>
      </c>
      <c r="N2927" s="28" t="e">
        <f ca="1">[1]!BexGetData("DP_1","003N8EMH8GTFRIVOG7KG9IX8U","GSON2162200015")</f>
        <v>#NAME?</v>
      </c>
      <c r="O2927" s="23" t="e">
        <f ca="1">[1]!BexGetData("DP_1","003N8EMH8GTFRIVOG7KG9J3KE","GSON2162200015")</f>
        <v>#NAME?</v>
      </c>
      <c r="P2927" s="28" t="e">
        <f ca="1">[1]!BexGetData("DP_1","003N8EMH8GTFRIVOG7KG9J9VY","GSON2162200015")</f>
        <v>#NAME?</v>
      </c>
      <c r="Q2927" s="24" t="e">
        <f ca="1">[1]!BexGetData("DP_1","00O2TNJGODT0G5Z4TTKYMM5MT","GSON2162200015")</f>
        <v>#NAME?</v>
      </c>
      <c r="R2927" s="23" t="e">
        <f ca="1">[1]!BexGetData("DP_1","00O2TNJGODT0G5Z4TTKYMMBYD","GSON2162200015")</f>
        <v>#NAME?</v>
      </c>
      <c r="S2927" s="23" t="e">
        <f ca="1">[1]!BexGetData("DP_1","00O2TNJGODT0G5Z4TTKYMMI9X","GSON2162200015")</f>
        <v>#NAME?</v>
      </c>
      <c r="T2927" s="23" t="e">
        <f ca="1">[1]!BexGetData("DP_1","00O2TNJGODT0G5Z4TTKYMMOLH","GSON2162200015")</f>
        <v>#NAME?</v>
      </c>
      <c r="U2927" s="28" t="e">
        <f ca="1">[1]!BexGetData("DP_1","00O2TNJGODT0G5Z4TTKYMMUX1","GSON2162200015")</f>
        <v>#NAME?</v>
      </c>
      <c r="V2927" s="23" t="e">
        <f ca="1">[1]!BexGetData("DP_1","00O2TNJGODT0G5Z4TTKYMN18L","GSON2162200015")</f>
        <v>#NAME?</v>
      </c>
      <c r="W2927" s="28" t="e">
        <f ca="1">[1]!BexGetData("DP_1","00O2TNJGODT0G5Z4TTKYMN7K5","GSON2162200015")</f>
        <v>#NAME?</v>
      </c>
    </row>
    <row r="2928" spans="1:23" x14ac:dyDescent="0.2">
      <c r="A2928" s="37" t="s">
        <v>6330</v>
      </c>
      <c r="B2928" s="27" t="s">
        <v>6331</v>
      </c>
      <c r="C2928" s="28" t="e">
        <f ca="1">[1]!BexGetData("DP_1","003N8EMH8GTFRCSWKMPXRR8GU","GSON2162200016")</f>
        <v>#NAME?</v>
      </c>
      <c r="D2928" s="23" t="e">
        <f ca="1">[1]!BexGetData("DP_1","003N8EMH8GTFRCSWKMPXRRESE","GSON2162200016")</f>
        <v>#NAME?</v>
      </c>
      <c r="E2928" s="23" t="e">
        <f ca="1">[1]!BexGetData("DP_1","003N8EMH8GTFRCSWKMPXRRL3Y","GSON2162200016")</f>
        <v>#NAME?</v>
      </c>
      <c r="F2928" s="24" t="e">
        <f ca="1">[1]!BexGetData("DP_1","003N8EMH8GTFRCSWKMPXRRRFI","GSON2162200016")</f>
        <v>#NAME?</v>
      </c>
      <c r="G2928" s="24" t="e">
        <f ca="1">[1]!BexGetData("DP_1","003N8EMH8GTFRCSWKMPXRRXR2","GSON2162200016")</f>
        <v>#NAME?</v>
      </c>
      <c r="H2928" s="24" t="e">
        <f ca="1">[1]!BexGetData("DP_1","003N8EMH8GTFRCSWKMPXRS42M","GSON2162200016")</f>
        <v>#NAME?</v>
      </c>
      <c r="I2928" s="24" t="e">
        <f ca="1">[1]!BexGetData("DP_1","003N8EMH8GTFRCSWKMPXRSAE6","GSON2162200016")</f>
        <v>#NAME?</v>
      </c>
      <c r="J2928" s="24" t="e">
        <f ca="1">[1]!BexGetData("DP_1","003N8EMH8GTFRCSWKMPXRSGPQ","GSON2162200016")</f>
        <v>#NAME?</v>
      </c>
      <c r="K2928" s="23" t="e">
        <f ca="1">[1]!BexGetData("DP_1","003N8EMH8GTFRIVNUPY288VJH","GSON2162200016")</f>
        <v>#NAME?</v>
      </c>
      <c r="L2928" s="23" t="e">
        <f ca="1">[1]!BexGetData("DP_1","003N8EMH8GTFRIVNUPY2891V1","GSON2162200016")</f>
        <v>#NAME?</v>
      </c>
      <c r="M2928" s="23" t="e">
        <f ca="1">[1]!BexGetData("DP_1","003N8EMH8GTFRIVOG7KG9IQXA","GSON2162200016")</f>
        <v>#NAME?</v>
      </c>
      <c r="N2928" s="28" t="e">
        <f ca="1">[1]!BexGetData("DP_1","003N8EMH8GTFRIVOG7KG9IX8U","GSON2162200016")</f>
        <v>#NAME?</v>
      </c>
      <c r="O2928" s="23" t="e">
        <f ca="1">[1]!BexGetData("DP_1","003N8EMH8GTFRIVOG7KG9J3KE","GSON2162200016")</f>
        <v>#NAME?</v>
      </c>
      <c r="P2928" s="28" t="e">
        <f ca="1">[1]!BexGetData("DP_1","003N8EMH8GTFRIVOG7KG9J9VY","GSON2162200016")</f>
        <v>#NAME?</v>
      </c>
      <c r="Q2928" s="24" t="e">
        <f ca="1">[1]!BexGetData("DP_1","00O2TNJGODT0G5Z4TTKYMM5MT","GSON2162200016")</f>
        <v>#NAME?</v>
      </c>
      <c r="R2928" s="24" t="e">
        <f ca="1">[1]!BexGetData("DP_1","00O2TNJGODT0G5Z4TTKYMMBYD","GSON2162200016")</f>
        <v>#NAME?</v>
      </c>
      <c r="S2928" s="24" t="e">
        <f ca="1">[1]!BexGetData("DP_1","00O2TNJGODT0G5Z4TTKYMMI9X","GSON2162200016")</f>
        <v>#NAME?</v>
      </c>
      <c r="T2928" s="24" t="e">
        <f ca="1">[1]!BexGetData("DP_1","00O2TNJGODT0G5Z4TTKYMMOLH","GSON2162200016")</f>
        <v>#NAME?</v>
      </c>
      <c r="U2928" s="24" t="e">
        <f ca="1">[1]!BexGetData("DP_1","00O2TNJGODT0G5Z4TTKYMMUX1","GSON2162200016")</f>
        <v>#NAME?</v>
      </c>
      <c r="V2928" s="24" t="e">
        <f ca="1">[1]!BexGetData("DP_1","00O2TNJGODT0G5Z4TTKYMN18L","GSON2162200016")</f>
        <v>#NAME?</v>
      </c>
      <c r="W2928" s="24" t="e">
        <f ca="1">[1]!BexGetData("DP_1","00O2TNJGODT0G5Z4TTKYMN7K5","GSON2162200016")</f>
        <v>#NAME?</v>
      </c>
    </row>
    <row r="2929" spans="1:23" x14ac:dyDescent="0.2">
      <c r="A2929" s="37" t="s">
        <v>6332</v>
      </c>
      <c r="B2929" s="27" t="s">
        <v>6333</v>
      </c>
      <c r="C2929" s="23" t="e">
        <f ca="1">[1]!BexGetData("DP_1","003N8EMH8GTFRCSWKMPXRR8GU","GSON2162200017")</f>
        <v>#NAME?</v>
      </c>
      <c r="D2929" s="23" t="e">
        <f ca="1">[1]!BexGetData("DP_1","003N8EMH8GTFRCSWKMPXRRESE","GSON2162200017")</f>
        <v>#NAME?</v>
      </c>
      <c r="E2929" s="23" t="e">
        <f ca="1">[1]!BexGetData("DP_1","003N8EMH8GTFRCSWKMPXRRL3Y","GSON2162200017")</f>
        <v>#NAME?</v>
      </c>
      <c r="F2929" s="23" t="e">
        <f ca="1">[1]!BexGetData("DP_1","003N8EMH8GTFRCSWKMPXRRRFI","GSON2162200017")</f>
        <v>#NAME?</v>
      </c>
      <c r="G2929" s="28" t="e">
        <f ca="1">[1]!BexGetData("DP_1","003N8EMH8GTFRCSWKMPXRRXR2","GSON2162200017")</f>
        <v>#NAME?</v>
      </c>
      <c r="H2929" s="23" t="e">
        <f ca="1">[1]!BexGetData("DP_1","003N8EMH8GTFRCSWKMPXRS42M","GSON2162200017")</f>
        <v>#NAME?</v>
      </c>
      <c r="I2929" s="23" t="e">
        <f ca="1">[1]!BexGetData("DP_1","003N8EMH8GTFRCSWKMPXRSAE6","GSON2162200017")</f>
        <v>#NAME?</v>
      </c>
      <c r="J2929" s="24" t="e">
        <f ca="1">[1]!BexGetData("DP_1","003N8EMH8GTFRCSWKMPXRSGPQ","GSON2162200017")</f>
        <v>#NAME?</v>
      </c>
      <c r="K2929" s="23" t="e">
        <f ca="1">[1]!BexGetData("DP_1","003N8EMH8GTFRIVNUPY288VJH","GSON2162200017")</f>
        <v>#NAME?</v>
      </c>
      <c r="L2929" s="23" t="e">
        <f ca="1">[1]!BexGetData("DP_1","003N8EMH8GTFRIVNUPY2891V1","GSON2162200017")</f>
        <v>#NAME?</v>
      </c>
      <c r="M2929" s="23" t="e">
        <f ca="1">[1]!BexGetData("DP_1","003N8EMH8GTFRIVOG7KG9IQXA","GSON2162200017")</f>
        <v>#NAME?</v>
      </c>
      <c r="N2929" s="28" t="e">
        <f ca="1">[1]!BexGetData("DP_1","003N8EMH8GTFRIVOG7KG9IX8U","GSON2162200017")</f>
        <v>#NAME?</v>
      </c>
      <c r="O2929" s="23" t="e">
        <f ca="1">[1]!BexGetData("DP_1","003N8EMH8GTFRIVOG7KG9J3KE","GSON2162200017")</f>
        <v>#NAME?</v>
      </c>
      <c r="P2929" s="28" t="e">
        <f ca="1">[1]!BexGetData("DP_1","003N8EMH8GTFRIVOG7KG9J9VY","GSON2162200017")</f>
        <v>#NAME?</v>
      </c>
      <c r="Q2929" s="24" t="e">
        <f ca="1">[1]!BexGetData("DP_1","00O2TNJGODT0G5Z4TTKYMM5MT","GSON2162200017")</f>
        <v>#NAME?</v>
      </c>
      <c r="R2929" s="23" t="e">
        <f ca="1">[1]!BexGetData("DP_1","00O2TNJGODT0G5Z4TTKYMMBYD","GSON2162200017")</f>
        <v>#NAME?</v>
      </c>
      <c r="S2929" s="23" t="e">
        <f ca="1">[1]!BexGetData("DP_1","00O2TNJGODT0G5Z4TTKYMMI9X","GSON2162200017")</f>
        <v>#NAME?</v>
      </c>
      <c r="T2929" s="23" t="e">
        <f ca="1">[1]!BexGetData("DP_1","00O2TNJGODT0G5Z4TTKYMMOLH","GSON2162200017")</f>
        <v>#NAME?</v>
      </c>
      <c r="U2929" s="28" t="e">
        <f ca="1">[1]!BexGetData("DP_1","00O2TNJGODT0G5Z4TTKYMMUX1","GSON2162200017")</f>
        <v>#NAME?</v>
      </c>
      <c r="V2929" s="23" t="e">
        <f ca="1">[1]!BexGetData("DP_1","00O2TNJGODT0G5Z4TTKYMN18L","GSON2162200017")</f>
        <v>#NAME?</v>
      </c>
      <c r="W2929" s="28" t="e">
        <f ca="1">[1]!BexGetData("DP_1","00O2TNJGODT0G5Z4TTKYMN7K5","GSON2162200017")</f>
        <v>#NAME?</v>
      </c>
    </row>
    <row r="2930" spans="1:23" x14ac:dyDescent="0.2">
      <c r="A2930" s="37" t="s">
        <v>1450</v>
      </c>
      <c r="B2930" s="27" t="s">
        <v>1451</v>
      </c>
      <c r="C2930" s="23" t="e">
        <f ca="1">[1]!BexGetData("DP_1","003N8EMH8GTFRCSWKMPXRR8GU","GSON2162200018")</f>
        <v>#NAME?</v>
      </c>
      <c r="D2930" s="23" t="e">
        <f ca="1">[1]!BexGetData("DP_1","003N8EMH8GTFRCSWKMPXRRESE","GSON2162200018")</f>
        <v>#NAME?</v>
      </c>
      <c r="E2930" s="23" t="e">
        <f ca="1">[1]!BexGetData("DP_1","003N8EMH8GTFRCSWKMPXRRL3Y","GSON2162200018")</f>
        <v>#NAME?</v>
      </c>
      <c r="F2930" s="23" t="e">
        <f ca="1">[1]!BexGetData("DP_1","003N8EMH8GTFRCSWKMPXRRRFI","GSON2162200018")</f>
        <v>#NAME?</v>
      </c>
      <c r="G2930" s="23" t="e">
        <f ca="1">[1]!BexGetData("DP_1","003N8EMH8GTFRCSWKMPXRRXR2","GSON2162200018")</f>
        <v>#NAME?</v>
      </c>
      <c r="H2930" s="23" t="e">
        <f ca="1">[1]!BexGetData("DP_1","003N8EMH8GTFRCSWKMPXRS42M","GSON2162200018")</f>
        <v>#NAME?</v>
      </c>
      <c r="I2930" s="23" t="e">
        <f ca="1">[1]!BexGetData("DP_1","003N8EMH8GTFRCSWKMPXRSAE6","GSON2162200018")</f>
        <v>#NAME?</v>
      </c>
      <c r="J2930" s="24" t="e">
        <f ca="1">[1]!BexGetData("DP_1","003N8EMH8GTFRCSWKMPXRSGPQ","GSON2162200018")</f>
        <v>#NAME?</v>
      </c>
      <c r="K2930" s="23" t="e">
        <f ca="1">[1]!BexGetData("DP_1","003N8EMH8GTFRIVNUPY288VJH","GSON2162200018")</f>
        <v>#NAME?</v>
      </c>
      <c r="L2930" s="23" t="e">
        <f ca="1">[1]!BexGetData("DP_1","003N8EMH8GTFRIVNUPY2891V1","GSON2162200018")</f>
        <v>#NAME?</v>
      </c>
      <c r="M2930" s="23" t="e">
        <f ca="1">[1]!BexGetData("DP_1","003N8EMH8GTFRIVOG7KG9IQXA","GSON2162200018")</f>
        <v>#NAME?</v>
      </c>
      <c r="N2930" s="28" t="e">
        <f ca="1">[1]!BexGetData("DP_1","003N8EMH8GTFRIVOG7KG9IX8U","GSON2162200018")</f>
        <v>#NAME?</v>
      </c>
      <c r="O2930" s="23" t="e">
        <f ca="1">[1]!BexGetData("DP_1","003N8EMH8GTFRIVOG7KG9J3KE","GSON2162200018")</f>
        <v>#NAME?</v>
      </c>
      <c r="P2930" s="28" t="e">
        <f ca="1">[1]!BexGetData("DP_1","003N8EMH8GTFRIVOG7KG9J9VY","GSON2162200018")</f>
        <v>#NAME?</v>
      </c>
      <c r="Q2930" s="24" t="e">
        <f ca="1">[1]!BexGetData("DP_1","00O2TNJGODT0G5Z4TTKYMM5MT","GSON2162200018")</f>
        <v>#NAME?</v>
      </c>
      <c r="R2930" s="23" t="e">
        <f ca="1">[1]!BexGetData("DP_1","00O2TNJGODT0G5Z4TTKYMMBYD","GSON2162200018")</f>
        <v>#NAME?</v>
      </c>
      <c r="S2930" s="23" t="e">
        <f ca="1">[1]!BexGetData("DP_1","00O2TNJGODT0G5Z4TTKYMMI9X","GSON2162200018")</f>
        <v>#NAME?</v>
      </c>
      <c r="T2930" s="23" t="e">
        <f ca="1">[1]!BexGetData("DP_1","00O2TNJGODT0G5Z4TTKYMMOLH","GSON2162200018")</f>
        <v>#NAME?</v>
      </c>
      <c r="U2930" s="28" t="e">
        <f ca="1">[1]!BexGetData("DP_1","00O2TNJGODT0G5Z4TTKYMMUX1","GSON2162200018")</f>
        <v>#NAME?</v>
      </c>
      <c r="V2930" s="23" t="e">
        <f ca="1">[1]!BexGetData("DP_1","00O2TNJGODT0G5Z4TTKYMN18L","GSON2162200018")</f>
        <v>#NAME?</v>
      </c>
      <c r="W2930" s="28" t="e">
        <f ca="1">[1]!BexGetData("DP_1","00O2TNJGODT0G5Z4TTKYMN7K5","GSON2162200018")</f>
        <v>#NAME?</v>
      </c>
    </row>
    <row r="2931" spans="1:23" x14ac:dyDescent="0.2">
      <c r="A2931" s="37" t="s">
        <v>6334</v>
      </c>
      <c r="B2931" s="27" t="s">
        <v>6335</v>
      </c>
      <c r="C2931" s="23" t="e">
        <f ca="1">[1]!BexGetData("DP_1","003N8EMH8GTFRCSWKMPXRR8GU","GSON2162200019")</f>
        <v>#NAME?</v>
      </c>
      <c r="D2931" s="23" t="e">
        <f ca="1">[1]!BexGetData("DP_1","003N8EMH8GTFRCSWKMPXRRESE","GSON2162200019")</f>
        <v>#NAME?</v>
      </c>
      <c r="E2931" s="23" t="e">
        <f ca="1">[1]!BexGetData("DP_1","003N8EMH8GTFRCSWKMPXRRL3Y","GSON2162200019")</f>
        <v>#NAME?</v>
      </c>
      <c r="F2931" s="23" t="e">
        <f ca="1">[1]!BexGetData("DP_1","003N8EMH8GTFRCSWKMPXRRRFI","GSON2162200019")</f>
        <v>#NAME?</v>
      </c>
      <c r="G2931" s="23" t="e">
        <f ca="1">[1]!BexGetData("DP_1","003N8EMH8GTFRCSWKMPXRRXR2","GSON2162200019")</f>
        <v>#NAME?</v>
      </c>
      <c r="H2931" s="23" t="e">
        <f ca="1">[1]!BexGetData("DP_1","003N8EMH8GTFRCSWKMPXRS42M","GSON2162200019")</f>
        <v>#NAME?</v>
      </c>
      <c r="I2931" s="23" t="e">
        <f ca="1">[1]!BexGetData("DP_1","003N8EMH8GTFRCSWKMPXRSAE6","GSON2162200019")</f>
        <v>#NAME?</v>
      </c>
      <c r="J2931" s="23" t="e">
        <f ca="1">[1]!BexGetData("DP_1","003N8EMH8GTFRCSWKMPXRSGPQ","GSON2162200019")</f>
        <v>#NAME?</v>
      </c>
      <c r="K2931" s="23" t="e">
        <f ca="1">[1]!BexGetData("DP_1","003N8EMH8GTFRIVNUPY288VJH","GSON2162200019")</f>
        <v>#NAME?</v>
      </c>
      <c r="L2931" s="23" t="e">
        <f ca="1">[1]!BexGetData("DP_1","003N8EMH8GTFRIVNUPY2891V1","GSON2162200019")</f>
        <v>#NAME?</v>
      </c>
      <c r="M2931" s="23" t="e">
        <f ca="1">[1]!BexGetData("DP_1","003N8EMH8GTFRIVOG7KG9IQXA","GSON2162200019")</f>
        <v>#NAME?</v>
      </c>
      <c r="N2931" s="28" t="e">
        <f ca="1">[1]!BexGetData("DP_1","003N8EMH8GTFRIVOG7KG9IX8U","GSON2162200019")</f>
        <v>#NAME?</v>
      </c>
      <c r="O2931" s="23" t="e">
        <f ca="1">[1]!BexGetData("DP_1","003N8EMH8GTFRIVOG7KG9J3KE","GSON2162200019")</f>
        <v>#NAME?</v>
      </c>
      <c r="P2931" s="28" t="e">
        <f ca="1">[1]!BexGetData("DP_1","003N8EMH8GTFRIVOG7KG9J9VY","GSON2162200019")</f>
        <v>#NAME?</v>
      </c>
      <c r="Q2931" s="23" t="e">
        <f ca="1">[1]!BexGetData("DP_1","00O2TNJGODT0G5Z4TTKYMM5MT","GSON2162200019")</f>
        <v>#NAME?</v>
      </c>
      <c r="R2931" s="23" t="e">
        <f ca="1">[1]!BexGetData("DP_1","00O2TNJGODT0G5Z4TTKYMMBYD","GSON2162200019")</f>
        <v>#NAME?</v>
      </c>
      <c r="S2931" s="23" t="e">
        <f ca="1">[1]!BexGetData("DP_1","00O2TNJGODT0G5Z4TTKYMMI9X","GSON2162200019")</f>
        <v>#NAME?</v>
      </c>
      <c r="T2931" s="28" t="e">
        <f ca="1">[1]!BexGetData("DP_1","00O2TNJGODT0G5Z4TTKYMMOLH","GSON2162200019")</f>
        <v>#NAME?</v>
      </c>
      <c r="U2931" s="23" t="e">
        <f ca="1">[1]!BexGetData("DP_1","00O2TNJGODT0G5Z4TTKYMMUX1","GSON2162200019")</f>
        <v>#NAME?</v>
      </c>
      <c r="V2931" s="28" t="e">
        <f ca="1">[1]!BexGetData("DP_1","00O2TNJGODT0G5Z4TTKYMN18L","GSON2162200019")</f>
        <v>#NAME?</v>
      </c>
      <c r="W2931" s="23" t="e">
        <f ca="1">[1]!BexGetData("DP_1","00O2TNJGODT0G5Z4TTKYMN7K5","GSON2162200019")</f>
        <v>#NAME?</v>
      </c>
    </row>
    <row r="2932" spans="1:23" x14ac:dyDescent="0.2">
      <c r="A2932" s="37" t="s">
        <v>6336</v>
      </c>
      <c r="B2932" s="27" t="s">
        <v>1733</v>
      </c>
      <c r="C2932" s="23" t="e">
        <f ca="1">[1]!BexGetData("DP_1","003N8EMH8GTFRCSWKMPXRR8GU","GSON2162200020")</f>
        <v>#NAME?</v>
      </c>
      <c r="D2932" s="23" t="e">
        <f ca="1">[1]!BexGetData("DP_1","003N8EMH8GTFRCSWKMPXRRESE","GSON2162200020")</f>
        <v>#NAME?</v>
      </c>
      <c r="E2932" s="23" t="e">
        <f ca="1">[1]!BexGetData("DP_1","003N8EMH8GTFRCSWKMPXRRL3Y","GSON2162200020")</f>
        <v>#NAME?</v>
      </c>
      <c r="F2932" s="23" t="e">
        <f ca="1">[1]!BexGetData("DP_1","003N8EMH8GTFRCSWKMPXRRRFI","GSON2162200020")</f>
        <v>#NAME?</v>
      </c>
      <c r="G2932" s="23" t="e">
        <f ca="1">[1]!BexGetData("DP_1","003N8EMH8GTFRCSWKMPXRRXR2","GSON2162200020")</f>
        <v>#NAME?</v>
      </c>
      <c r="H2932" s="23" t="e">
        <f ca="1">[1]!BexGetData("DP_1","003N8EMH8GTFRCSWKMPXRS42M","GSON2162200020")</f>
        <v>#NAME?</v>
      </c>
      <c r="I2932" s="23" t="e">
        <f ca="1">[1]!BexGetData("DP_1","003N8EMH8GTFRCSWKMPXRSAE6","GSON2162200020")</f>
        <v>#NAME?</v>
      </c>
      <c r="J2932" s="24" t="e">
        <f ca="1">[1]!BexGetData("DP_1","003N8EMH8GTFRCSWKMPXRSGPQ","GSON2162200020")</f>
        <v>#NAME?</v>
      </c>
      <c r="K2932" s="23" t="e">
        <f ca="1">[1]!BexGetData("DP_1","003N8EMH8GTFRIVNUPY288VJH","GSON2162200020")</f>
        <v>#NAME?</v>
      </c>
      <c r="L2932" s="23" t="e">
        <f ca="1">[1]!BexGetData("DP_1","003N8EMH8GTFRIVNUPY2891V1","GSON2162200020")</f>
        <v>#NAME?</v>
      </c>
      <c r="M2932" s="28" t="e">
        <f ca="1">[1]!BexGetData("DP_1","003N8EMH8GTFRIVOG7KG9IQXA","GSON2162200020")</f>
        <v>#NAME?</v>
      </c>
      <c r="N2932" s="23" t="e">
        <f ca="1">[1]!BexGetData("DP_1","003N8EMH8GTFRIVOG7KG9IX8U","GSON2162200020")</f>
        <v>#NAME?</v>
      </c>
      <c r="O2932" s="28" t="e">
        <f ca="1">[1]!BexGetData("DP_1","003N8EMH8GTFRIVOG7KG9J3KE","GSON2162200020")</f>
        <v>#NAME?</v>
      </c>
      <c r="P2932" s="23" t="e">
        <f ca="1">[1]!BexGetData("DP_1","003N8EMH8GTFRIVOG7KG9J9VY","GSON2162200020")</f>
        <v>#NAME?</v>
      </c>
      <c r="Q2932" s="24" t="e">
        <f ca="1">[1]!BexGetData("DP_1","00O2TNJGODT0G5Z4TTKYMM5MT","GSON2162200020")</f>
        <v>#NAME?</v>
      </c>
      <c r="R2932" s="23" t="e">
        <f ca="1">[1]!BexGetData("DP_1","00O2TNJGODT0G5Z4TTKYMMBYD","GSON2162200020")</f>
        <v>#NAME?</v>
      </c>
      <c r="S2932" s="23" t="e">
        <f ca="1">[1]!BexGetData("DP_1","00O2TNJGODT0G5Z4TTKYMMI9X","GSON2162200020")</f>
        <v>#NAME?</v>
      </c>
      <c r="T2932" s="23" t="e">
        <f ca="1">[1]!BexGetData("DP_1","00O2TNJGODT0G5Z4TTKYMMOLH","GSON2162200020")</f>
        <v>#NAME?</v>
      </c>
      <c r="U2932" s="28" t="e">
        <f ca="1">[1]!BexGetData("DP_1","00O2TNJGODT0G5Z4TTKYMMUX1","GSON2162200020")</f>
        <v>#NAME?</v>
      </c>
      <c r="V2932" s="23" t="e">
        <f ca="1">[1]!BexGetData("DP_1","00O2TNJGODT0G5Z4TTKYMN18L","GSON2162200020")</f>
        <v>#NAME?</v>
      </c>
      <c r="W2932" s="28" t="e">
        <f ca="1">[1]!BexGetData("DP_1","00O2TNJGODT0G5Z4TTKYMN7K5","GSON2162200020")</f>
        <v>#NAME?</v>
      </c>
    </row>
    <row r="2933" spans="1:23" x14ac:dyDescent="0.2">
      <c r="A2933" s="36" t="s">
        <v>6337</v>
      </c>
      <c r="B2933" s="27" t="s">
        <v>6338</v>
      </c>
      <c r="C2933" s="23" t="e">
        <f ca="1">[1]!BexGetData("DP_1","003N8EMH8GTFRCSWKMPXRR8GU","GSON2164")</f>
        <v>#NAME?</v>
      </c>
      <c r="D2933" s="23" t="e">
        <f ca="1">[1]!BexGetData("DP_1","003N8EMH8GTFRCSWKMPXRRESE","GSON2164")</f>
        <v>#NAME?</v>
      </c>
      <c r="E2933" s="23" t="e">
        <f ca="1">[1]!BexGetData("DP_1","003N8EMH8GTFRCSWKMPXRRL3Y","GSON2164")</f>
        <v>#NAME?</v>
      </c>
      <c r="F2933" s="23" t="e">
        <f ca="1">[1]!BexGetData("DP_1","003N8EMH8GTFRCSWKMPXRRRFI","GSON2164")</f>
        <v>#NAME?</v>
      </c>
      <c r="G2933" s="28" t="e">
        <f ca="1">[1]!BexGetData("DP_1","003N8EMH8GTFRCSWKMPXRRXR2","GSON2164")</f>
        <v>#NAME?</v>
      </c>
      <c r="H2933" s="23" t="e">
        <f ca="1">[1]!BexGetData("DP_1","003N8EMH8GTFRCSWKMPXRS42M","GSON2164")</f>
        <v>#NAME?</v>
      </c>
      <c r="I2933" s="23" t="e">
        <f ca="1">[1]!BexGetData("DP_1","003N8EMH8GTFRCSWKMPXRSAE6","GSON2164")</f>
        <v>#NAME?</v>
      </c>
      <c r="J2933" s="24" t="e">
        <f ca="1">[1]!BexGetData("DP_1","003N8EMH8GTFRCSWKMPXRSGPQ","GSON2164")</f>
        <v>#NAME?</v>
      </c>
      <c r="K2933" s="23" t="e">
        <f ca="1">[1]!BexGetData("DP_1","003N8EMH8GTFRIVNUPY288VJH","GSON2164")</f>
        <v>#NAME?</v>
      </c>
      <c r="L2933" s="23" t="e">
        <f ca="1">[1]!BexGetData("DP_1","003N8EMH8GTFRIVNUPY2891V1","GSON2164")</f>
        <v>#NAME?</v>
      </c>
      <c r="M2933" s="23" t="e">
        <f ca="1">[1]!BexGetData("DP_1","003N8EMH8GTFRIVOG7KG9IQXA","GSON2164")</f>
        <v>#NAME?</v>
      </c>
      <c r="N2933" s="28" t="e">
        <f ca="1">[1]!BexGetData("DP_1","003N8EMH8GTFRIVOG7KG9IX8U","GSON2164")</f>
        <v>#NAME?</v>
      </c>
      <c r="O2933" s="23" t="e">
        <f ca="1">[1]!BexGetData("DP_1","003N8EMH8GTFRIVOG7KG9J3KE","GSON2164")</f>
        <v>#NAME?</v>
      </c>
      <c r="P2933" s="28" t="e">
        <f ca="1">[1]!BexGetData("DP_1","003N8EMH8GTFRIVOG7KG9J9VY","GSON2164")</f>
        <v>#NAME?</v>
      </c>
      <c r="Q2933" s="24" t="e">
        <f ca="1">[1]!BexGetData("DP_1","00O2TNJGODT0G5Z4TTKYMM5MT","GSON2164")</f>
        <v>#NAME?</v>
      </c>
      <c r="R2933" s="23" t="e">
        <f ca="1">[1]!BexGetData("DP_1","00O2TNJGODT0G5Z4TTKYMMBYD","GSON2164")</f>
        <v>#NAME?</v>
      </c>
      <c r="S2933" s="23" t="e">
        <f ca="1">[1]!BexGetData("DP_1","00O2TNJGODT0G5Z4TTKYMMI9X","GSON2164")</f>
        <v>#NAME?</v>
      </c>
      <c r="T2933" s="23" t="e">
        <f ca="1">[1]!BexGetData("DP_1","00O2TNJGODT0G5Z4TTKYMMOLH","GSON2164")</f>
        <v>#NAME?</v>
      </c>
      <c r="U2933" s="28" t="e">
        <f ca="1">[1]!BexGetData("DP_1","00O2TNJGODT0G5Z4TTKYMMUX1","GSON2164")</f>
        <v>#NAME?</v>
      </c>
      <c r="V2933" s="23" t="e">
        <f ca="1">[1]!BexGetData("DP_1","00O2TNJGODT0G5Z4TTKYMN18L","GSON2164")</f>
        <v>#NAME?</v>
      </c>
      <c r="W2933" s="28" t="e">
        <f ca="1">[1]!BexGetData("DP_1","00O2TNJGODT0G5Z4TTKYMN7K5","GSON2164")</f>
        <v>#NAME?</v>
      </c>
    </row>
    <row r="2934" spans="1:23" x14ac:dyDescent="0.2">
      <c r="A2934" s="37" t="s">
        <v>6339</v>
      </c>
      <c r="B2934" s="27" t="s">
        <v>6340</v>
      </c>
      <c r="C2934" s="23" t="e">
        <f ca="1">[1]!BexGetData("DP_1","003N8EMH8GTFRCSWKMPXRR8GU","GSON2164100001")</f>
        <v>#NAME?</v>
      </c>
      <c r="D2934" s="23" t="e">
        <f ca="1">[1]!BexGetData("DP_1","003N8EMH8GTFRCSWKMPXRRESE","GSON2164100001")</f>
        <v>#NAME?</v>
      </c>
      <c r="E2934" s="23" t="e">
        <f ca="1">[1]!BexGetData("DP_1","003N8EMH8GTFRCSWKMPXRRL3Y","GSON2164100001")</f>
        <v>#NAME?</v>
      </c>
      <c r="F2934" s="23" t="e">
        <f ca="1">[1]!BexGetData("DP_1","003N8EMH8GTFRCSWKMPXRRRFI","GSON2164100001")</f>
        <v>#NAME?</v>
      </c>
      <c r="G2934" s="28" t="e">
        <f ca="1">[1]!BexGetData("DP_1","003N8EMH8GTFRCSWKMPXRRXR2","GSON2164100001")</f>
        <v>#NAME?</v>
      </c>
      <c r="H2934" s="23" t="e">
        <f ca="1">[1]!BexGetData("DP_1","003N8EMH8GTFRCSWKMPXRS42M","GSON2164100001")</f>
        <v>#NAME?</v>
      </c>
      <c r="I2934" s="23" t="e">
        <f ca="1">[1]!BexGetData("DP_1","003N8EMH8GTFRCSWKMPXRSAE6","GSON2164100001")</f>
        <v>#NAME?</v>
      </c>
      <c r="J2934" s="24" t="e">
        <f ca="1">[1]!BexGetData("DP_1","003N8EMH8GTFRCSWKMPXRSGPQ","GSON2164100001")</f>
        <v>#NAME?</v>
      </c>
      <c r="K2934" s="23" t="e">
        <f ca="1">[1]!BexGetData("DP_1","003N8EMH8GTFRIVNUPY288VJH","GSON2164100001")</f>
        <v>#NAME?</v>
      </c>
      <c r="L2934" s="23" t="e">
        <f ca="1">[1]!BexGetData("DP_1","003N8EMH8GTFRIVNUPY2891V1","GSON2164100001")</f>
        <v>#NAME?</v>
      </c>
      <c r="M2934" s="23" t="e">
        <f ca="1">[1]!BexGetData("DP_1","003N8EMH8GTFRIVOG7KG9IQXA","GSON2164100001")</f>
        <v>#NAME?</v>
      </c>
      <c r="N2934" s="28" t="e">
        <f ca="1">[1]!BexGetData("DP_1","003N8EMH8GTFRIVOG7KG9IX8U","GSON2164100001")</f>
        <v>#NAME?</v>
      </c>
      <c r="O2934" s="23" t="e">
        <f ca="1">[1]!BexGetData("DP_1","003N8EMH8GTFRIVOG7KG9J3KE","GSON2164100001")</f>
        <v>#NAME?</v>
      </c>
      <c r="P2934" s="28" t="e">
        <f ca="1">[1]!BexGetData("DP_1","003N8EMH8GTFRIVOG7KG9J9VY","GSON2164100001")</f>
        <v>#NAME?</v>
      </c>
      <c r="Q2934" s="24" t="e">
        <f ca="1">[1]!BexGetData("DP_1","00O2TNJGODT0G5Z4TTKYMM5MT","GSON2164100001")</f>
        <v>#NAME?</v>
      </c>
      <c r="R2934" s="23" t="e">
        <f ca="1">[1]!BexGetData("DP_1","00O2TNJGODT0G5Z4TTKYMMBYD","GSON2164100001")</f>
        <v>#NAME?</v>
      </c>
      <c r="S2934" s="23" t="e">
        <f ca="1">[1]!BexGetData("DP_1","00O2TNJGODT0G5Z4TTKYMMI9X","GSON2164100001")</f>
        <v>#NAME?</v>
      </c>
      <c r="T2934" s="23" t="e">
        <f ca="1">[1]!BexGetData("DP_1","00O2TNJGODT0G5Z4TTKYMMOLH","GSON2164100001")</f>
        <v>#NAME?</v>
      </c>
      <c r="U2934" s="28" t="e">
        <f ca="1">[1]!BexGetData("DP_1","00O2TNJGODT0G5Z4TTKYMMUX1","GSON2164100001")</f>
        <v>#NAME?</v>
      </c>
      <c r="V2934" s="23" t="e">
        <f ca="1">[1]!BexGetData("DP_1","00O2TNJGODT0G5Z4TTKYMN18L","GSON2164100001")</f>
        <v>#NAME?</v>
      </c>
      <c r="W2934" s="28" t="e">
        <f ca="1">[1]!BexGetData("DP_1","00O2TNJGODT0G5Z4TTKYMN7K5","GSON2164100001")</f>
        <v>#NAME?</v>
      </c>
    </row>
    <row r="2935" spans="1:23" x14ac:dyDescent="0.2">
      <c r="A2935" s="35" t="s">
        <v>376</v>
      </c>
      <c r="B2935" s="27" t="s">
        <v>377</v>
      </c>
      <c r="C2935" s="23" t="e">
        <f ca="1">[1]!BexGetData("DP_1","003N8EMH8GTFRCSWKMPXRR8GU","GSON219")</f>
        <v>#NAME?</v>
      </c>
      <c r="D2935" s="23" t="e">
        <f ca="1">[1]!BexGetData("DP_1","003N8EMH8GTFRCSWKMPXRRESE","GSON219")</f>
        <v>#NAME?</v>
      </c>
      <c r="E2935" s="23" t="e">
        <f ca="1">[1]!BexGetData("DP_1","003N8EMH8GTFRCSWKMPXRRL3Y","GSON219")</f>
        <v>#NAME?</v>
      </c>
      <c r="F2935" s="23" t="e">
        <f ca="1">[1]!BexGetData("DP_1","003N8EMH8GTFRCSWKMPXRRRFI","GSON219")</f>
        <v>#NAME?</v>
      </c>
      <c r="G2935" s="23" t="e">
        <f ca="1">[1]!BexGetData("DP_1","003N8EMH8GTFRCSWKMPXRRXR2","GSON219")</f>
        <v>#NAME?</v>
      </c>
      <c r="H2935" s="23" t="e">
        <f ca="1">[1]!BexGetData("DP_1","003N8EMH8GTFRCSWKMPXRS42M","GSON219")</f>
        <v>#NAME?</v>
      </c>
      <c r="I2935" s="23" t="e">
        <f ca="1">[1]!BexGetData("DP_1","003N8EMH8GTFRCSWKMPXRSAE6","GSON219")</f>
        <v>#NAME?</v>
      </c>
      <c r="J2935" s="23" t="e">
        <f ca="1">[1]!BexGetData("DP_1","003N8EMH8GTFRCSWKMPXRSGPQ","GSON219")</f>
        <v>#NAME?</v>
      </c>
      <c r="K2935" s="23" t="e">
        <f ca="1">[1]!BexGetData("DP_1","003N8EMH8GTFRIVNUPY288VJH","GSON219")</f>
        <v>#NAME?</v>
      </c>
      <c r="L2935" s="23" t="e">
        <f ca="1">[1]!BexGetData("DP_1","003N8EMH8GTFRIVNUPY2891V1","GSON219")</f>
        <v>#NAME?</v>
      </c>
      <c r="M2935" s="28" t="e">
        <f ca="1">[1]!BexGetData("DP_1","003N8EMH8GTFRIVOG7KG9IQXA","GSON219")</f>
        <v>#NAME?</v>
      </c>
      <c r="N2935" s="23" t="e">
        <f ca="1">[1]!BexGetData("DP_1","003N8EMH8GTFRIVOG7KG9IX8U","GSON219")</f>
        <v>#NAME?</v>
      </c>
      <c r="O2935" s="28" t="e">
        <f ca="1">[1]!BexGetData("DP_1","003N8EMH8GTFRIVOG7KG9J3KE","GSON219")</f>
        <v>#NAME?</v>
      </c>
      <c r="P2935" s="23" t="e">
        <f ca="1">[1]!BexGetData("DP_1","003N8EMH8GTFRIVOG7KG9J9VY","GSON219")</f>
        <v>#NAME?</v>
      </c>
      <c r="Q2935" s="23" t="e">
        <f ca="1">[1]!BexGetData("DP_1","00O2TNJGODT0G5Z4TTKYMM5MT","GSON219")</f>
        <v>#NAME?</v>
      </c>
      <c r="R2935" s="23" t="e">
        <f ca="1">[1]!BexGetData("DP_1","00O2TNJGODT0G5Z4TTKYMMBYD","GSON219")</f>
        <v>#NAME?</v>
      </c>
      <c r="S2935" s="23" t="e">
        <f ca="1">[1]!BexGetData("DP_1","00O2TNJGODT0G5Z4TTKYMMI9X","GSON219")</f>
        <v>#NAME?</v>
      </c>
      <c r="T2935" s="23" t="e">
        <f ca="1">[1]!BexGetData("DP_1","00O2TNJGODT0G5Z4TTKYMMOLH","GSON219")</f>
        <v>#NAME?</v>
      </c>
      <c r="U2935" s="28" t="e">
        <f ca="1">[1]!BexGetData("DP_1","00O2TNJGODT0G5Z4TTKYMMUX1","GSON219")</f>
        <v>#NAME?</v>
      </c>
      <c r="V2935" s="23" t="e">
        <f ca="1">[1]!BexGetData("DP_1","00O2TNJGODT0G5Z4TTKYMN18L","GSON219")</f>
        <v>#NAME?</v>
      </c>
      <c r="W2935" s="28" t="e">
        <f ca="1">[1]!BexGetData("DP_1","00O2TNJGODT0G5Z4TTKYMN7K5","GSON219")</f>
        <v>#NAME?</v>
      </c>
    </row>
    <row r="2936" spans="1:23" x14ac:dyDescent="0.2">
      <c r="A2936" s="36" t="s">
        <v>378</v>
      </c>
      <c r="B2936" s="27" t="s">
        <v>379</v>
      </c>
      <c r="C2936" s="23" t="e">
        <f ca="1">[1]!BexGetData("DP_1","003N8EMH8GTFRCSWKMPXRR8GU","GSON2199")</f>
        <v>#NAME?</v>
      </c>
      <c r="D2936" s="23" t="e">
        <f ca="1">[1]!BexGetData("DP_1","003N8EMH8GTFRCSWKMPXRRESE","GSON2199")</f>
        <v>#NAME?</v>
      </c>
      <c r="E2936" s="23" t="e">
        <f ca="1">[1]!BexGetData("DP_1","003N8EMH8GTFRCSWKMPXRRL3Y","GSON2199")</f>
        <v>#NAME?</v>
      </c>
      <c r="F2936" s="23" t="e">
        <f ca="1">[1]!BexGetData("DP_1","003N8EMH8GTFRCSWKMPXRRRFI","GSON2199")</f>
        <v>#NAME?</v>
      </c>
      <c r="G2936" s="23" t="e">
        <f ca="1">[1]!BexGetData("DP_1","003N8EMH8GTFRCSWKMPXRRXR2","GSON2199")</f>
        <v>#NAME?</v>
      </c>
      <c r="H2936" s="23" t="e">
        <f ca="1">[1]!BexGetData("DP_1","003N8EMH8GTFRCSWKMPXRS42M","GSON2199")</f>
        <v>#NAME?</v>
      </c>
      <c r="I2936" s="23" t="e">
        <f ca="1">[1]!BexGetData("DP_1","003N8EMH8GTFRCSWKMPXRSAE6","GSON2199")</f>
        <v>#NAME?</v>
      </c>
      <c r="J2936" s="23" t="e">
        <f ca="1">[1]!BexGetData("DP_1","003N8EMH8GTFRCSWKMPXRSGPQ","GSON2199")</f>
        <v>#NAME?</v>
      </c>
      <c r="K2936" s="23" t="e">
        <f ca="1">[1]!BexGetData("DP_1","003N8EMH8GTFRIVNUPY288VJH","GSON2199")</f>
        <v>#NAME?</v>
      </c>
      <c r="L2936" s="23" t="e">
        <f ca="1">[1]!BexGetData("DP_1","003N8EMH8GTFRIVNUPY2891V1","GSON2199")</f>
        <v>#NAME?</v>
      </c>
      <c r="M2936" s="28" t="e">
        <f ca="1">[1]!BexGetData("DP_1","003N8EMH8GTFRIVOG7KG9IQXA","GSON2199")</f>
        <v>#NAME?</v>
      </c>
      <c r="N2936" s="23" t="e">
        <f ca="1">[1]!BexGetData("DP_1","003N8EMH8GTFRIVOG7KG9IX8U","GSON2199")</f>
        <v>#NAME?</v>
      </c>
      <c r="O2936" s="28" t="e">
        <f ca="1">[1]!BexGetData("DP_1","003N8EMH8GTFRIVOG7KG9J3KE","GSON2199")</f>
        <v>#NAME?</v>
      </c>
      <c r="P2936" s="23" t="e">
        <f ca="1">[1]!BexGetData("DP_1","003N8EMH8GTFRIVOG7KG9J9VY","GSON2199")</f>
        <v>#NAME?</v>
      </c>
      <c r="Q2936" s="23" t="e">
        <f ca="1">[1]!BexGetData("DP_1","00O2TNJGODT0G5Z4TTKYMM5MT","GSON2199")</f>
        <v>#NAME?</v>
      </c>
      <c r="R2936" s="23" t="e">
        <f ca="1">[1]!BexGetData("DP_1","00O2TNJGODT0G5Z4TTKYMMBYD","GSON2199")</f>
        <v>#NAME?</v>
      </c>
      <c r="S2936" s="23" t="e">
        <f ca="1">[1]!BexGetData("DP_1","00O2TNJGODT0G5Z4TTKYMMI9X","GSON2199")</f>
        <v>#NAME?</v>
      </c>
      <c r="T2936" s="23" t="e">
        <f ca="1">[1]!BexGetData("DP_1","00O2TNJGODT0G5Z4TTKYMMOLH","GSON2199")</f>
        <v>#NAME?</v>
      </c>
      <c r="U2936" s="28" t="e">
        <f ca="1">[1]!BexGetData("DP_1","00O2TNJGODT0G5Z4TTKYMMUX1","GSON2199")</f>
        <v>#NAME?</v>
      </c>
      <c r="V2936" s="23" t="e">
        <f ca="1">[1]!BexGetData("DP_1","00O2TNJGODT0G5Z4TTKYMN18L","GSON2199")</f>
        <v>#NAME?</v>
      </c>
      <c r="W2936" s="28" t="e">
        <f ca="1">[1]!BexGetData("DP_1","00O2TNJGODT0G5Z4TTKYMN7K5","GSON2199")</f>
        <v>#NAME?</v>
      </c>
    </row>
    <row r="2937" spans="1:23" x14ac:dyDescent="0.2">
      <c r="A2937" s="37" t="s">
        <v>1452</v>
      </c>
      <c r="B2937" s="27" t="s">
        <v>686</v>
      </c>
      <c r="C2937" s="23" t="e">
        <f ca="1">[1]!BexGetData("DP_1","003N8EMH8GTFRCSWKMPXRR8GU","GSON2199100001")</f>
        <v>#NAME?</v>
      </c>
      <c r="D2937" s="23" t="e">
        <f ca="1">[1]!BexGetData("DP_1","003N8EMH8GTFRCSWKMPXRRESE","GSON2199100001")</f>
        <v>#NAME?</v>
      </c>
      <c r="E2937" s="23" t="e">
        <f ca="1">[1]!BexGetData("DP_1","003N8EMH8GTFRCSWKMPXRRL3Y","GSON2199100001")</f>
        <v>#NAME?</v>
      </c>
      <c r="F2937" s="23" t="e">
        <f ca="1">[1]!BexGetData("DP_1","003N8EMH8GTFRCSWKMPXRRRFI","GSON2199100001")</f>
        <v>#NAME?</v>
      </c>
      <c r="G2937" s="23" t="e">
        <f ca="1">[1]!BexGetData("DP_1","003N8EMH8GTFRCSWKMPXRRXR2","GSON2199100001")</f>
        <v>#NAME?</v>
      </c>
      <c r="H2937" s="23" t="e">
        <f ca="1">[1]!BexGetData("DP_1","003N8EMH8GTFRCSWKMPXRS42M","GSON2199100001")</f>
        <v>#NAME?</v>
      </c>
      <c r="I2937" s="23" t="e">
        <f ca="1">[1]!BexGetData("DP_1","003N8EMH8GTFRCSWKMPXRSAE6","GSON2199100001")</f>
        <v>#NAME?</v>
      </c>
      <c r="J2937" s="23" t="e">
        <f ca="1">[1]!BexGetData("DP_1","003N8EMH8GTFRCSWKMPXRSGPQ","GSON2199100001")</f>
        <v>#NAME?</v>
      </c>
      <c r="K2937" s="23" t="e">
        <f ca="1">[1]!BexGetData("DP_1","003N8EMH8GTFRIVNUPY288VJH","GSON2199100001")</f>
        <v>#NAME?</v>
      </c>
      <c r="L2937" s="23" t="e">
        <f ca="1">[1]!BexGetData("DP_1","003N8EMH8GTFRIVNUPY2891V1","GSON2199100001")</f>
        <v>#NAME?</v>
      </c>
      <c r="M2937" s="28" t="e">
        <f ca="1">[1]!BexGetData("DP_1","003N8EMH8GTFRIVOG7KG9IQXA","GSON2199100001")</f>
        <v>#NAME?</v>
      </c>
      <c r="N2937" s="23" t="e">
        <f ca="1">[1]!BexGetData("DP_1","003N8EMH8GTFRIVOG7KG9IX8U","GSON2199100001")</f>
        <v>#NAME?</v>
      </c>
      <c r="O2937" s="28" t="e">
        <f ca="1">[1]!BexGetData("DP_1","003N8EMH8GTFRIVOG7KG9J3KE","GSON2199100001")</f>
        <v>#NAME?</v>
      </c>
      <c r="P2937" s="23" t="e">
        <f ca="1">[1]!BexGetData("DP_1","003N8EMH8GTFRIVOG7KG9J9VY","GSON2199100001")</f>
        <v>#NAME?</v>
      </c>
      <c r="Q2937" s="23" t="e">
        <f ca="1">[1]!BexGetData("DP_1","00O2TNJGODT0G5Z4TTKYMM5MT","GSON2199100001")</f>
        <v>#NAME?</v>
      </c>
      <c r="R2937" s="23" t="e">
        <f ca="1">[1]!BexGetData("DP_1","00O2TNJGODT0G5Z4TTKYMMBYD","GSON2199100001")</f>
        <v>#NAME?</v>
      </c>
      <c r="S2937" s="23" t="e">
        <f ca="1">[1]!BexGetData("DP_1","00O2TNJGODT0G5Z4TTKYMMI9X","GSON2199100001")</f>
        <v>#NAME?</v>
      </c>
      <c r="T2937" s="23" t="e">
        <f ca="1">[1]!BexGetData("DP_1","00O2TNJGODT0G5Z4TTKYMMOLH","GSON2199100001")</f>
        <v>#NAME?</v>
      </c>
      <c r="U2937" s="28" t="e">
        <f ca="1">[1]!BexGetData("DP_1","00O2TNJGODT0G5Z4TTKYMMUX1","GSON2199100001")</f>
        <v>#NAME?</v>
      </c>
      <c r="V2937" s="23" t="e">
        <f ca="1">[1]!BexGetData("DP_1","00O2TNJGODT0G5Z4TTKYMN18L","GSON2199100001")</f>
        <v>#NAME?</v>
      </c>
      <c r="W2937" s="28" t="e">
        <f ca="1">[1]!BexGetData("DP_1","00O2TNJGODT0G5Z4TTKYMN7K5","GSON2199100001")</f>
        <v>#NAME?</v>
      </c>
    </row>
    <row r="2938" spans="1:23" x14ac:dyDescent="0.2">
      <c r="A2938" s="34" t="s">
        <v>380</v>
      </c>
      <c r="B2938" s="27" t="s">
        <v>381</v>
      </c>
      <c r="C2938" s="23" t="e">
        <f ca="1">[1]!BexGetData("DP_1","003N8EMH8GTFRCSWKMPXRR8GU","GSON22")</f>
        <v>#NAME?</v>
      </c>
      <c r="D2938" s="23" t="e">
        <f ca="1">[1]!BexGetData("DP_1","003N8EMH8GTFRCSWKMPXRRESE","GSON22")</f>
        <v>#NAME?</v>
      </c>
      <c r="E2938" s="23" t="e">
        <f ca="1">[1]!BexGetData("DP_1","003N8EMH8GTFRCSWKMPXRRL3Y","GSON22")</f>
        <v>#NAME?</v>
      </c>
      <c r="F2938" s="23" t="e">
        <f ca="1">[1]!BexGetData("DP_1","003N8EMH8GTFRCSWKMPXRRRFI","GSON22")</f>
        <v>#NAME?</v>
      </c>
      <c r="G2938" s="23" t="e">
        <f ca="1">[1]!BexGetData("DP_1","003N8EMH8GTFRCSWKMPXRRXR2","GSON22")</f>
        <v>#NAME?</v>
      </c>
      <c r="H2938" s="23" t="e">
        <f ca="1">[1]!BexGetData("DP_1","003N8EMH8GTFRCSWKMPXRS42M","GSON22")</f>
        <v>#NAME?</v>
      </c>
      <c r="I2938" s="23" t="e">
        <f ca="1">[1]!BexGetData("DP_1","003N8EMH8GTFRCSWKMPXRSAE6","GSON22")</f>
        <v>#NAME?</v>
      </c>
      <c r="J2938" s="23" t="e">
        <f ca="1">[1]!BexGetData("DP_1","003N8EMH8GTFRCSWKMPXRSGPQ","GSON22")</f>
        <v>#NAME?</v>
      </c>
      <c r="K2938" s="23" t="e">
        <f ca="1">[1]!BexGetData("DP_1","003N8EMH8GTFRIVNUPY288VJH","GSON22")</f>
        <v>#NAME?</v>
      </c>
      <c r="L2938" s="23" t="e">
        <f ca="1">[1]!BexGetData("DP_1","003N8EMH8GTFRIVNUPY2891V1","GSON22")</f>
        <v>#NAME?</v>
      </c>
      <c r="M2938" s="23" t="e">
        <f ca="1">[1]!BexGetData("DP_1","003N8EMH8GTFRIVOG7KG9IQXA","GSON22")</f>
        <v>#NAME?</v>
      </c>
      <c r="N2938" s="28" t="e">
        <f ca="1">[1]!BexGetData("DP_1","003N8EMH8GTFRIVOG7KG9IX8U","GSON22")</f>
        <v>#NAME?</v>
      </c>
      <c r="O2938" s="23" t="e">
        <f ca="1">[1]!BexGetData("DP_1","003N8EMH8GTFRIVOG7KG9J3KE","GSON22")</f>
        <v>#NAME?</v>
      </c>
      <c r="P2938" s="28" t="e">
        <f ca="1">[1]!BexGetData("DP_1","003N8EMH8GTFRIVOG7KG9J9VY","GSON22")</f>
        <v>#NAME?</v>
      </c>
      <c r="Q2938" s="23" t="e">
        <f ca="1">[1]!BexGetData("DP_1","00O2TNJGODT0G5Z4TTKYMM5MT","GSON22")</f>
        <v>#NAME?</v>
      </c>
      <c r="R2938" s="23" t="e">
        <f ca="1">[1]!BexGetData("DP_1","00O2TNJGODT0G5Z4TTKYMMBYD","GSON22")</f>
        <v>#NAME?</v>
      </c>
      <c r="S2938" s="23" t="e">
        <f ca="1">[1]!BexGetData("DP_1","00O2TNJGODT0G5Z4TTKYMMI9X","GSON22")</f>
        <v>#NAME?</v>
      </c>
      <c r="T2938" s="23" t="e">
        <f ca="1">[1]!BexGetData("DP_1","00O2TNJGODT0G5Z4TTKYMMOLH","GSON22")</f>
        <v>#NAME?</v>
      </c>
      <c r="U2938" s="28" t="e">
        <f ca="1">[1]!BexGetData("DP_1","00O2TNJGODT0G5Z4TTKYMMUX1","GSON22")</f>
        <v>#NAME?</v>
      </c>
      <c r="V2938" s="23" t="e">
        <f ca="1">[1]!BexGetData("DP_1","00O2TNJGODT0G5Z4TTKYMN18L","GSON22")</f>
        <v>#NAME?</v>
      </c>
      <c r="W2938" s="28" t="e">
        <f ca="1">[1]!BexGetData("DP_1","00O2TNJGODT0G5Z4TTKYMN7K5","GSON22")</f>
        <v>#NAME?</v>
      </c>
    </row>
    <row r="2939" spans="1:23" x14ac:dyDescent="0.2">
      <c r="A2939" s="35" t="s">
        <v>687</v>
      </c>
      <c r="B2939" s="27" t="s">
        <v>688</v>
      </c>
      <c r="C2939" s="23" t="e">
        <f ca="1">[1]!BexGetData("DP_1","003N8EMH8GTFRCSWKMPXRR8GU","GSON223")</f>
        <v>#NAME?</v>
      </c>
      <c r="D2939" s="23" t="e">
        <f ca="1">[1]!BexGetData("DP_1","003N8EMH8GTFRCSWKMPXRRESE","GSON223")</f>
        <v>#NAME?</v>
      </c>
      <c r="E2939" s="23" t="e">
        <f ca="1">[1]!BexGetData("DP_1","003N8EMH8GTFRCSWKMPXRRL3Y","GSON223")</f>
        <v>#NAME?</v>
      </c>
      <c r="F2939" s="23" t="e">
        <f ca="1">[1]!BexGetData("DP_1","003N8EMH8GTFRCSWKMPXRRRFI","GSON223")</f>
        <v>#NAME?</v>
      </c>
      <c r="G2939" s="23" t="e">
        <f ca="1">[1]!BexGetData("DP_1","003N8EMH8GTFRCSWKMPXRRXR2","GSON223")</f>
        <v>#NAME?</v>
      </c>
      <c r="H2939" s="23" t="e">
        <f ca="1">[1]!BexGetData("DP_1","003N8EMH8GTFRCSWKMPXRS42M","GSON223")</f>
        <v>#NAME?</v>
      </c>
      <c r="I2939" s="23" t="e">
        <f ca="1">[1]!BexGetData("DP_1","003N8EMH8GTFRCSWKMPXRSAE6","GSON223")</f>
        <v>#NAME?</v>
      </c>
      <c r="J2939" s="23" t="e">
        <f ca="1">[1]!BexGetData("DP_1","003N8EMH8GTFRCSWKMPXRSGPQ","GSON223")</f>
        <v>#NAME?</v>
      </c>
      <c r="K2939" s="23" t="e">
        <f ca="1">[1]!BexGetData("DP_1","003N8EMH8GTFRIVNUPY288VJH","GSON223")</f>
        <v>#NAME?</v>
      </c>
      <c r="L2939" s="23" t="e">
        <f ca="1">[1]!BexGetData("DP_1","003N8EMH8GTFRIVNUPY2891V1","GSON223")</f>
        <v>#NAME?</v>
      </c>
      <c r="M2939" s="23" t="e">
        <f ca="1">[1]!BexGetData("DP_1","003N8EMH8GTFRIVOG7KG9IQXA","GSON223")</f>
        <v>#NAME?</v>
      </c>
      <c r="N2939" s="28" t="e">
        <f ca="1">[1]!BexGetData("DP_1","003N8EMH8GTFRIVOG7KG9IX8U","GSON223")</f>
        <v>#NAME?</v>
      </c>
      <c r="O2939" s="23" t="e">
        <f ca="1">[1]!BexGetData("DP_1","003N8EMH8GTFRIVOG7KG9J3KE","GSON223")</f>
        <v>#NAME?</v>
      </c>
      <c r="P2939" s="28" t="e">
        <f ca="1">[1]!BexGetData("DP_1","003N8EMH8GTFRIVOG7KG9J9VY","GSON223")</f>
        <v>#NAME?</v>
      </c>
      <c r="Q2939" s="23" t="e">
        <f ca="1">[1]!BexGetData("DP_1","00O2TNJGODT0G5Z4TTKYMM5MT","GSON223")</f>
        <v>#NAME?</v>
      </c>
      <c r="R2939" s="23" t="e">
        <f ca="1">[1]!BexGetData("DP_1","00O2TNJGODT0G5Z4TTKYMMBYD","GSON223")</f>
        <v>#NAME?</v>
      </c>
      <c r="S2939" s="23" t="e">
        <f ca="1">[1]!BexGetData("DP_1","00O2TNJGODT0G5Z4TTKYMMI9X","GSON223")</f>
        <v>#NAME?</v>
      </c>
      <c r="T2939" s="23" t="e">
        <f ca="1">[1]!BexGetData("DP_1","00O2TNJGODT0G5Z4TTKYMMOLH","GSON223")</f>
        <v>#NAME?</v>
      </c>
      <c r="U2939" s="28" t="e">
        <f ca="1">[1]!BexGetData("DP_1","00O2TNJGODT0G5Z4TTKYMMUX1","GSON223")</f>
        <v>#NAME?</v>
      </c>
      <c r="V2939" s="23" t="e">
        <f ca="1">[1]!BexGetData("DP_1","00O2TNJGODT0G5Z4TTKYMN18L","GSON223")</f>
        <v>#NAME?</v>
      </c>
      <c r="W2939" s="28" t="e">
        <f ca="1">[1]!BexGetData("DP_1","00O2TNJGODT0G5Z4TTKYMN7K5","GSON223")</f>
        <v>#NAME?</v>
      </c>
    </row>
    <row r="2940" spans="1:23" x14ac:dyDescent="0.2">
      <c r="A2940" s="36" t="s">
        <v>689</v>
      </c>
      <c r="B2940" s="27" t="s">
        <v>690</v>
      </c>
      <c r="C2940" s="23" t="e">
        <f ca="1">[1]!BexGetData("DP_1","003N8EMH8GTFRCSWKMPXRR8GU","GSON2233")</f>
        <v>#NAME?</v>
      </c>
      <c r="D2940" s="23" t="e">
        <f ca="1">[1]!BexGetData("DP_1","003N8EMH8GTFRCSWKMPXRRESE","GSON2233")</f>
        <v>#NAME?</v>
      </c>
      <c r="E2940" s="23" t="e">
        <f ca="1">[1]!BexGetData("DP_1","003N8EMH8GTFRCSWKMPXRRL3Y","GSON2233")</f>
        <v>#NAME?</v>
      </c>
      <c r="F2940" s="23" t="e">
        <f ca="1">[1]!BexGetData("DP_1","003N8EMH8GTFRCSWKMPXRRRFI","GSON2233")</f>
        <v>#NAME?</v>
      </c>
      <c r="G2940" s="23" t="e">
        <f ca="1">[1]!BexGetData("DP_1","003N8EMH8GTFRCSWKMPXRRXR2","GSON2233")</f>
        <v>#NAME?</v>
      </c>
      <c r="H2940" s="23" t="e">
        <f ca="1">[1]!BexGetData("DP_1","003N8EMH8GTFRCSWKMPXRS42M","GSON2233")</f>
        <v>#NAME?</v>
      </c>
      <c r="I2940" s="23" t="e">
        <f ca="1">[1]!BexGetData("DP_1","003N8EMH8GTFRCSWKMPXRSAE6","GSON2233")</f>
        <v>#NAME?</v>
      </c>
      <c r="J2940" s="23" t="e">
        <f ca="1">[1]!BexGetData("DP_1","003N8EMH8GTFRCSWKMPXRSGPQ","GSON2233")</f>
        <v>#NAME?</v>
      </c>
      <c r="K2940" s="23" t="e">
        <f ca="1">[1]!BexGetData("DP_1","003N8EMH8GTFRIVNUPY288VJH","GSON2233")</f>
        <v>#NAME?</v>
      </c>
      <c r="L2940" s="23" t="e">
        <f ca="1">[1]!BexGetData("DP_1","003N8EMH8GTFRIVNUPY2891V1","GSON2233")</f>
        <v>#NAME?</v>
      </c>
      <c r="M2940" s="23" t="e">
        <f ca="1">[1]!BexGetData("DP_1","003N8EMH8GTFRIVOG7KG9IQXA","GSON2233")</f>
        <v>#NAME?</v>
      </c>
      <c r="N2940" s="28" t="e">
        <f ca="1">[1]!BexGetData("DP_1","003N8EMH8GTFRIVOG7KG9IX8U","GSON2233")</f>
        <v>#NAME?</v>
      </c>
      <c r="O2940" s="23" t="e">
        <f ca="1">[1]!BexGetData("DP_1","003N8EMH8GTFRIVOG7KG9J3KE","GSON2233")</f>
        <v>#NAME?</v>
      </c>
      <c r="P2940" s="28" t="e">
        <f ca="1">[1]!BexGetData("DP_1","003N8EMH8GTFRIVOG7KG9J9VY","GSON2233")</f>
        <v>#NAME?</v>
      </c>
      <c r="Q2940" s="23" t="e">
        <f ca="1">[1]!BexGetData("DP_1","00O2TNJGODT0G5Z4TTKYMM5MT","GSON2233")</f>
        <v>#NAME?</v>
      </c>
      <c r="R2940" s="23" t="e">
        <f ca="1">[1]!BexGetData("DP_1","00O2TNJGODT0G5Z4TTKYMMBYD","GSON2233")</f>
        <v>#NAME?</v>
      </c>
      <c r="S2940" s="23" t="e">
        <f ca="1">[1]!BexGetData("DP_1","00O2TNJGODT0G5Z4TTKYMMI9X","GSON2233")</f>
        <v>#NAME?</v>
      </c>
      <c r="T2940" s="23" t="e">
        <f ca="1">[1]!BexGetData("DP_1","00O2TNJGODT0G5Z4TTKYMMOLH","GSON2233")</f>
        <v>#NAME?</v>
      </c>
      <c r="U2940" s="28" t="e">
        <f ca="1">[1]!BexGetData("DP_1","00O2TNJGODT0G5Z4TTKYMMUX1","GSON2233")</f>
        <v>#NAME?</v>
      </c>
      <c r="V2940" s="23" t="e">
        <f ca="1">[1]!BexGetData("DP_1","00O2TNJGODT0G5Z4TTKYMN18L","GSON2233")</f>
        <v>#NAME?</v>
      </c>
      <c r="W2940" s="28" t="e">
        <f ca="1">[1]!BexGetData("DP_1","00O2TNJGODT0G5Z4TTKYMN7K5","GSON2233")</f>
        <v>#NAME?</v>
      </c>
    </row>
    <row r="2941" spans="1:23" x14ac:dyDescent="0.2">
      <c r="A2941" s="37" t="s">
        <v>691</v>
      </c>
      <c r="B2941" s="27" t="s">
        <v>692</v>
      </c>
      <c r="C2941" s="23" t="e">
        <f ca="1">[1]!BexGetData("DP_1","003N8EMH8GTFRCSWKMPXRR8GU","GSON2233100001")</f>
        <v>#NAME?</v>
      </c>
      <c r="D2941" s="23" t="e">
        <f ca="1">[1]!BexGetData("DP_1","003N8EMH8GTFRCSWKMPXRRESE","GSON2233100001")</f>
        <v>#NAME?</v>
      </c>
      <c r="E2941" s="23" t="e">
        <f ca="1">[1]!BexGetData("DP_1","003N8EMH8GTFRCSWKMPXRRL3Y","GSON2233100001")</f>
        <v>#NAME?</v>
      </c>
      <c r="F2941" s="23" t="e">
        <f ca="1">[1]!BexGetData("DP_1","003N8EMH8GTFRCSWKMPXRRRFI","GSON2233100001")</f>
        <v>#NAME?</v>
      </c>
      <c r="G2941" s="23" t="e">
        <f ca="1">[1]!BexGetData("DP_1","003N8EMH8GTFRCSWKMPXRRXR2","GSON2233100001")</f>
        <v>#NAME?</v>
      </c>
      <c r="H2941" s="23" t="e">
        <f ca="1">[1]!BexGetData("DP_1","003N8EMH8GTFRCSWKMPXRS42M","GSON2233100001")</f>
        <v>#NAME?</v>
      </c>
      <c r="I2941" s="23" t="e">
        <f ca="1">[1]!BexGetData("DP_1","003N8EMH8GTFRCSWKMPXRSAE6","GSON2233100001")</f>
        <v>#NAME?</v>
      </c>
      <c r="J2941" s="23" t="e">
        <f ca="1">[1]!BexGetData("DP_1","003N8EMH8GTFRCSWKMPXRSGPQ","GSON2233100001")</f>
        <v>#NAME?</v>
      </c>
      <c r="K2941" s="23" t="e">
        <f ca="1">[1]!BexGetData("DP_1","003N8EMH8GTFRIVNUPY288VJH","GSON2233100001")</f>
        <v>#NAME?</v>
      </c>
      <c r="L2941" s="23" t="e">
        <f ca="1">[1]!BexGetData("DP_1","003N8EMH8GTFRIVNUPY2891V1","GSON2233100001")</f>
        <v>#NAME?</v>
      </c>
      <c r="M2941" s="23" t="e">
        <f ca="1">[1]!BexGetData("DP_1","003N8EMH8GTFRIVOG7KG9IQXA","GSON2233100001")</f>
        <v>#NAME?</v>
      </c>
      <c r="N2941" s="28" t="e">
        <f ca="1">[1]!BexGetData("DP_1","003N8EMH8GTFRIVOG7KG9IX8U","GSON2233100001")</f>
        <v>#NAME?</v>
      </c>
      <c r="O2941" s="23" t="e">
        <f ca="1">[1]!BexGetData("DP_1","003N8EMH8GTFRIVOG7KG9J3KE","GSON2233100001")</f>
        <v>#NAME?</v>
      </c>
      <c r="P2941" s="28" t="e">
        <f ca="1">[1]!BexGetData("DP_1","003N8EMH8GTFRIVOG7KG9J9VY","GSON2233100001")</f>
        <v>#NAME?</v>
      </c>
      <c r="Q2941" s="23" t="e">
        <f ca="1">[1]!BexGetData("DP_1","00O2TNJGODT0G5Z4TTKYMM5MT","GSON2233100001")</f>
        <v>#NAME?</v>
      </c>
      <c r="R2941" s="23" t="e">
        <f ca="1">[1]!BexGetData("DP_1","00O2TNJGODT0G5Z4TTKYMMBYD","GSON2233100001")</f>
        <v>#NAME?</v>
      </c>
      <c r="S2941" s="23" t="e">
        <f ca="1">[1]!BexGetData("DP_1","00O2TNJGODT0G5Z4TTKYMMI9X","GSON2233100001")</f>
        <v>#NAME?</v>
      </c>
      <c r="T2941" s="23" t="e">
        <f ca="1">[1]!BexGetData("DP_1","00O2TNJGODT0G5Z4TTKYMMOLH","GSON2233100001")</f>
        <v>#NAME?</v>
      </c>
      <c r="U2941" s="28" t="e">
        <f ca="1">[1]!BexGetData("DP_1","00O2TNJGODT0G5Z4TTKYMMUX1","GSON2233100001")</f>
        <v>#NAME?</v>
      </c>
      <c r="V2941" s="23" t="e">
        <f ca="1">[1]!BexGetData("DP_1","00O2TNJGODT0G5Z4TTKYMN18L","GSON2233100001")</f>
        <v>#NAME?</v>
      </c>
      <c r="W2941" s="28" t="e">
        <f ca="1">[1]!BexGetData("DP_1","00O2TNJGODT0G5Z4TTKYMN7K5","GSON2233100001")</f>
        <v>#NAME?</v>
      </c>
    </row>
    <row r="2942" spans="1:23" x14ac:dyDescent="0.2">
      <c r="A2942" s="35" t="s">
        <v>6341</v>
      </c>
      <c r="B2942" s="27" t="s">
        <v>6342</v>
      </c>
      <c r="C2942" s="28" t="e">
        <f ca="1">[1]!BexGetData("DP_1","003N8EMH8GTFRCSWKMPXRR8GU","GSON225")</f>
        <v>#NAME?</v>
      </c>
      <c r="D2942" s="23" t="e">
        <f ca="1">[1]!BexGetData("DP_1","003N8EMH8GTFRCSWKMPXRRESE","GSON225")</f>
        <v>#NAME?</v>
      </c>
      <c r="E2942" s="23" t="e">
        <f ca="1">[1]!BexGetData("DP_1","003N8EMH8GTFRCSWKMPXRRL3Y","GSON225")</f>
        <v>#NAME?</v>
      </c>
      <c r="F2942" s="24" t="e">
        <f ca="1">[1]!BexGetData("DP_1","003N8EMH8GTFRCSWKMPXRRRFI","GSON225")</f>
        <v>#NAME?</v>
      </c>
      <c r="G2942" s="24" t="e">
        <f ca="1">[1]!BexGetData("DP_1","003N8EMH8GTFRCSWKMPXRRXR2","GSON225")</f>
        <v>#NAME?</v>
      </c>
      <c r="H2942" s="24" t="e">
        <f ca="1">[1]!BexGetData("DP_1","003N8EMH8GTFRCSWKMPXRS42M","GSON225")</f>
        <v>#NAME?</v>
      </c>
      <c r="I2942" s="24" t="e">
        <f ca="1">[1]!BexGetData("DP_1","003N8EMH8GTFRCSWKMPXRSAE6","GSON225")</f>
        <v>#NAME?</v>
      </c>
      <c r="J2942" s="24" t="e">
        <f ca="1">[1]!BexGetData("DP_1","003N8EMH8GTFRCSWKMPXRSGPQ","GSON225")</f>
        <v>#NAME?</v>
      </c>
      <c r="K2942" s="23" t="e">
        <f ca="1">[1]!BexGetData("DP_1","003N8EMH8GTFRIVNUPY288VJH","GSON225")</f>
        <v>#NAME?</v>
      </c>
      <c r="L2942" s="23" t="e">
        <f ca="1">[1]!BexGetData("DP_1","003N8EMH8GTFRIVNUPY2891V1","GSON225")</f>
        <v>#NAME?</v>
      </c>
      <c r="M2942" s="23" t="e">
        <f ca="1">[1]!BexGetData("DP_1","003N8EMH8GTFRIVOG7KG9IQXA","GSON225")</f>
        <v>#NAME?</v>
      </c>
      <c r="N2942" s="28" t="e">
        <f ca="1">[1]!BexGetData("DP_1","003N8EMH8GTFRIVOG7KG9IX8U","GSON225")</f>
        <v>#NAME?</v>
      </c>
      <c r="O2942" s="23" t="e">
        <f ca="1">[1]!BexGetData("DP_1","003N8EMH8GTFRIVOG7KG9J3KE","GSON225")</f>
        <v>#NAME?</v>
      </c>
      <c r="P2942" s="28" t="e">
        <f ca="1">[1]!BexGetData("DP_1","003N8EMH8GTFRIVOG7KG9J9VY","GSON225")</f>
        <v>#NAME?</v>
      </c>
      <c r="Q2942" s="24" t="e">
        <f ca="1">[1]!BexGetData("DP_1","00O2TNJGODT0G5Z4TTKYMM5MT","GSON225")</f>
        <v>#NAME?</v>
      </c>
      <c r="R2942" s="24" t="e">
        <f ca="1">[1]!BexGetData("DP_1","00O2TNJGODT0G5Z4TTKYMMBYD","GSON225")</f>
        <v>#NAME?</v>
      </c>
      <c r="S2942" s="24" t="e">
        <f ca="1">[1]!BexGetData("DP_1","00O2TNJGODT0G5Z4TTKYMMI9X","GSON225")</f>
        <v>#NAME?</v>
      </c>
      <c r="T2942" s="24" t="e">
        <f ca="1">[1]!BexGetData("DP_1","00O2TNJGODT0G5Z4TTKYMMOLH","GSON225")</f>
        <v>#NAME?</v>
      </c>
      <c r="U2942" s="24" t="e">
        <f ca="1">[1]!BexGetData("DP_1","00O2TNJGODT0G5Z4TTKYMMUX1","GSON225")</f>
        <v>#NAME?</v>
      </c>
      <c r="V2942" s="24" t="e">
        <f ca="1">[1]!BexGetData("DP_1","00O2TNJGODT0G5Z4TTKYMN18L","GSON225")</f>
        <v>#NAME?</v>
      </c>
      <c r="W2942" s="24" t="e">
        <f ca="1">[1]!BexGetData("DP_1","00O2TNJGODT0G5Z4TTKYMN7K5","GSON225")</f>
        <v>#NAME?</v>
      </c>
    </row>
    <row r="2943" spans="1:23" x14ac:dyDescent="0.2">
      <c r="A2943" s="36" t="s">
        <v>6343</v>
      </c>
      <c r="B2943" s="27" t="s">
        <v>6344</v>
      </c>
      <c r="C2943" s="28" t="e">
        <f ca="1">[1]!BexGetData("DP_1","003N8EMH8GTFRCSWKMPXRR8GU","GSON2255")</f>
        <v>#NAME?</v>
      </c>
      <c r="D2943" s="23" t="e">
        <f ca="1">[1]!BexGetData("DP_1","003N8EMH8GTFRCSWKMPXRRESE","GSON2255")</f>
        <v>#NAME?</v>
      </c>
      <c r="E2943" s="23" t="e">
        <f ca="1">[1]!BexGetData("DP_1","003N8EMH8GTFRCSWKMPXRRL3Y","GSON2255")</f>
        <v>#NAME?</v>
      </c>
      <c r="F2943" s="24" t="e">
        <f ca="1">[1]!BexGetData("DP_1","003N8EMH8GTFRCSWKMPXRRRFI","GSON2255")</f>
        <v>#NAME?</v>
      </c>
      <c r="G2943" s="24" t="e">
        <f ca="1">[1]!BexGetData("DP_1","003N8EMH8GTFRCSWKMPXRRXR2","GSON2255")</f>
        <v>#NAME?</v>
      </c>
      <c r="H2943" s="24" t="e">
        <f ca="1">[1]!BexGetData("DP_1","003N8EMH8GTFRCSWKMPXRS42M","GSON2255")</f>
        <v>#NAME?</v>
      </c>
      <c r="I2943" s="24" t="e">
        <f ca="1">[1]!BexGetData("DP_1","003N8EMH8GTFRCSWKMPXRSAE6","GSON2255")</f>
        <v>#NAME?</v>
      </c>
      <c r="J2943" s="24" t="e">
        <f ca="1">[1]!BexGetData("DP_1","003N8EMH8GTFRCSWKMPXRSGPQ","GSON2255")</f>
        <v>#NAME?</v>
      </c>
      <c r="K2943" s="23" t="e">
        <f ca="1">[1]!BexGetData("DP_1","003N8EMH8GTFRIVNUPY288VJH","GSON2255")</f>
        <v>#NAME?</v>
      </c>
      <c r="L2943" s="23" t="e">
        <f ca="1">[1]!BexGetData("DP_1","003N8EMH8GTFRIVNUPY2891V1","GSON2255")</f>
        <v>#NAME?</v>
      </c>
      <c r="M2943" s="23" t="e">
        <f ca="1">[1]!BexGetData("DP_1","003N8EMH8GTFRIVOG7KG9IQXA","GSON2255")</f>
        <v>#NAME?</v>
      </c>
      <c r="N2943" s="28" t="e">
        <f ca="1">[1]!BexGetData("DP_1","003N8EMH8GTFRIVOG7KG9IX8U","GSON2255")</f>
        <v>#NAME?</v>
      </c>
      <c r="O2943" s="23" t="e">
        <f ca="1">[1]!BexGetData("DP_1","003N8EMH8GTFRIVOG7KG9J3KE","GSON2255")</f>
        <v>#NAME?</v>
      </c>
      <c r="P2943" s="28" t="e">
        <f ca="1">[1]!BexGetData("DP_1","003N8EMH8GTFRIVOG7KG9J9VY","GSON2255")</f>
        <v>#NAME?</v>
      </c>
      <c r="Q2943" s="24" t="e">
        <f ca="1">[1]!BexGetData("DP_1","00O2TNJGODT0G5Z4TTKYMM5MT","GSON2255")</f>
        <v>#NAME?</v>
      </c>
      <c r="R2943" s="24" t="e">
        <f ca="1">[1]!BexGetData("DP_1","00O2TNJGODT0G5Z4TTKYMMBYD","GSON2255")</f>
        <v>#NAME?</v>
      </c>
      <c r="S2943" s="24" t="e">
        <f ca="1">[1]!BexGetData("DP_1","00O2TNJGODT0G5Z4TTKYMMI9X","GSON2255")</f>
        <v>#NAME?</v>
      </c>
      <c r="T2943" s="24" t="e">
        <f ca="1">[1]!BexGetData("DP_1","00O2TNJGODT0G5Z4TTKYMMOLH","GSON2255")</f>
        <v>#NAME?</v>
      </c>
      <c r="U2943" s="24" t="e">
        <f ca="1">[1]!BexGetData("DP_1","00O2TNJGODT0G5Z4TTKYMMUX1","GSON2255")</f>
        <v>#NAME?</v>
      </c>
      <c r="V2943" s="24" t="e">
        <f ca="1">[1]!BexGetData("DP_1","00O2TNJGODT0G5Z4TTKYMN18L","GSON2255")</f>
        <v>#NAME?</v>
      </c>
      <c r="W2943" s="24" t="e">
        <f ca="1">[1]!BexGetData("DP_1","00O2TNJGODT0G5Z4TTKYMN7K5","GSON2255")</f>
        <v>#NAME?</v>
      </c>
    </row>
    <row r="2944" spans="1:23" x14ac:dyDescent="0.2">
      <c r="A2944" s="37" t="s">
        <v>6345</v>
      </c>
      <c r="B2944" s="27" t="s">
        <v>6346</v>
      </c>
      <c r="C2944" s="28" t="e">
        <f ca="1">[1]!BexGetData("DP_1","003N8EMH8GTFRCSWKMPXRR8GU","GSON2255100001")</f>
        <v>#NAME?</v>
      </c>
      <c r="D2944" s="23" t="e">
        <f ca="1">[1]!BexGetData("DP_1","003N8EMH8GTFRCSWKMPXRRESE","GSON2255100001")</f>
        <v>#NAME?</v>
      </c>
      <c r="E2944" s="23" t="e">
        <f ca="1">[1]!BexGetData("DP_1","003N8EMH8GTFRCSWKMPXRRL3Y","GSON2255100001")</f>
        <v>#NAME?</v>
      </c>
      <c r="F2944" s="24" t="e">
        <f ca="1">[1]!BexGetData("DP_1","003N8EMH8GTFRCSWKMPXRRRFI","GSON2255100001")</f>
        <v>#NAME?</v>
      </c>
      <c r="G2944" s="24" t="e">
        <f ca="1">[1]!BexGetData("DP_1","003N8EMH8GTFRCSWKMPXRRXR2","GSON2255100001")</f>
        <v>#NAME?</v>
      </c>
      <c r="H2944" s="24" t="e">
        <f ca="1">[1]!BexGetData("DP_1","003N8EMH8GTFRCSWKMPXRS42M","GSON2255100001")</f>
        <v>#NAME?</v>
      </c>
      <c r="I2944" s="24" t="e">
        <f ca="1">[1]!BexGetData("DP_1","003N8EMH8GTFRCSWKMPXRSAE6","GSON2255100001")</f>
        <v>#NAME?</v>
      </c>
      <c r="J2944" s="24" t="e">
        <f ca="1">[1]!BexGetData("DP_1","003N8EMH8GTFRCSWKMPXRSGPQ","GSON2255100001")</f>
        <v>#NAME?</v>
      </c>
      <c r="K2944" s="23" t="e">
        <f ca="1">[1]!BexGetData("DP_1","003N8EMH8GTFRIVNUPY288VJH","GSON2255100001")</f>
        <v>#NAME?</v>
      </c>
      <c r="L2944" s="23" t="e">
        <f ca="1">[1]!BexGetData("DP_1","003N8EMH8GTFRIVNUPY2891V1","GSON2255100001")</f>
        <v>#NAME?</v>
      </c>
      <c r="M2944" s="23" t="e">
        <f ca="1">[1]!BexGetData("DP_1","003N8EMH8GTFRIVOG7KG9IQXA","GSON2255100001")</f>
        <v>#NAME?</v>
      </c>
      <c r="N2944" s="28" t="e">
        <f ca="1">[1]!BexGetData("DP_1","003N8EMH8GTFRIVOG7KG9IX8U","GSON2255100001")</f>
        <v>#NAME?</v>
      </c>
      <c r="O2944" s="23" t="e">
        <f ca="1">[1]!BexGetData("DP_1","003N8EMH8GTFRIVOG7KG9J3KE","GSON2255100001")</f>
        <v>#NAME?</v>
      </c>
      <c r="P2944" s="28" t="e">
        <f ca="1">[1]!BexGetData("DP_1","003N8EMH8GTFRIVOG7KG9J9VY","GSON2255100001")</f>
        <v>#NAME?</v>
      </c>
      <c r="Q2944" s="24" t="e">
        <f ca="1">[1]!BexGetData("DP_1","00O2TNJGODT0G5Z4TTKYMM5MT","GSON2255100001")</f>
        <v>#NAME?</v>
      </c>
      <c r="R2944" s="24" t="e">
        <f ca="1">[1]!BexGetData("DP_1","00O2TNJGODT0G5Z4TTKYMMBYD","GSON2255100001")</f>
        <v>#NAME?</v>
      </c>
      <c r="S2944" s="24" t="e">
        <f ca="1">[1]!BexGetData("DP_1","00O2TNJGODT0G5Z4TTKYMMI9X","GSON2255100001")</f>
        <v>#NAME?</v>
      </c>
      <c r="T2944" s="24" t="e">
        <f ca="1">[1]!BexGetData("DP_1","00O2TNJGODT0G5Z4TTKYMMOLH","GSON2255100001")</f>
        <v>#NAME?</v>
      </c>
      <c r="U2944" s="24" t="e">
        <f ca="1">[1]!BexGetData("DP_1","00O2TNJGODT0G5Z4TTKYMMUX1","GSON2255100001")</f>
        <v>#NAME?</v>
      </c>
      <c r="V2944" s="24" t="e">
        <f ca="1">[1]!BexGetData("DP_1","00O2TNJGODT0G5Z4TTKYMN18L","GSON2255100001")</f>
        <v>#NAME?</v>
      </c>
      <c r="W2944" s="24" t="e">
        <f ca="1">[1]!BexGetData("DP_1","00O2TNJGODT0G5Z4TTKYMN7K5","GSON2255100001")</f>
        <v>#NAME?</v>
      </c>
    </row>
    <row r="2945" spans="1:23" x14ac:dyDescent="0.2">
      <c r="A2945" s="33" t="s">
        <v>100</v>
      </c>
      <c r="B2945" s="27" t="s">
        <v>101</v>
      </c>
      <c r="C2945" s="23" t="e">
        <f ca="1">[1]!BexGetData("DP_1","003N8EMH8GTFRCSWKMPXRR8GU","GSON3")</f>
        <v>#NAME?</v>
      </c>
      <c r="D2945" s="23" t="e">
        <f ca="1">[1]!BexGetData("DP_1","003N8EMH8GTFRCSWKMPXRRESE","GSON3")</f>
        <v>#NAME?</v>
      </c>
      <c r="E2945" s="23" t="e">
        <f ca="1">[1]!BexGetData("DP_1","003N8EMH8GTFRCSWKMPXRRL3Y","GSON3")</f>
        <v>#NAME?</v>
      </c>
      <c r="F2945" s="23" t="e">
        <f ca="1">[1]!BexGetData("DP_1","003N8EMH8GTFRCSWKMPXRRRFI","GSON3")</f>
        <v>#NAME?</v>
      </c>
      <c r="G2945" s="23" t="e">
        <f ca="1">[1]!BexGetData("DP_1","003N8EMH8GTFRCSWKMPXRRXR2","GSON3")</f>
        <v>#NAME?</v>
      </c>
      <c r="H2945" s="23" t="e">
        <f ca="1">[1]!BexGetData("DP_1","003N8EMH8GTFRCSWKMPXRS42M","GSON3")</f>
        <v>#NAME?</v>
      </c>
      <c r="I2945" s="23" t="e">
        <f ca="1">[1]!BexGetData("DP_1","003N8EMH8GTFRCSWKMPXRSAE6","GSON3")</f>
        <v>#NAME?</v>
      </c>
      <c r="J2945" s="23" t="e">
        <f ca="1">[1]!BexGetData("DP_1","003N8EMH8GTFRCSWKMPXRSGPQ","GSON3")</f>
        <v>#NAME?</v>
      </c>
      <c r="K2945" s="23" t="e">
        <f ca="1">[1]!BexGetData("DP_1","003N8EMH8GTFRIVNUPY288VJH","GSON3")</f>
        <v>#NAME?</v>
      </c>
      <c r="L2945" s="23" t="e">
        <f ca="1">[1]!BexGetData("DP_1","003N8EMH8GTFRIVNUPY2891V1","GSON3")</f>
        <v>#NAME?</v>
      </c>
      <c r="M2945" s="23" t="e">
        <f ca="1">[1]!BexGetData("DP_1","003N8EMH8GTFRIVOG7KG9IQXA","GSON3")</f>
        <v>#NAME?</v>
      </c>
      <c r="N2945" s="28" t="e">
        <f ca="1">[1]!BexGetData("DP_1","003N8EMH8GTFRIVOG7KG9IX8U","GSON3")</f>
        <v>#NAME?</v>
      </c>
      <c r="O2945" s="23" t="e">
        <f ca="1">[1]!BexGetData("DP_1","003N8EMH8GTFRIVOG7KG9J3KE","GSON3")</f>
        <v>#NAME?</v>
      </c>
      <c r="P2945" s="28" t="e">
        <f ca="1">[1]!BexGetData("DP_1","003N8EMH8GTFRIVOG7KG9J9VY","GSON3")</f>
        <v>#NAME?</v>
      </c>
      <c r="Q2945" s="23" t="e">
        <f ca="1">[1]!BexGetData("DP_1","00O2TNJGODT0G5Z4TTKYMM5MT","GSON3")</f>
        <v>#NAME?</v>
      </c>
      <c r="R2945" s="23" t="e">
        <f ca="1">[1]!BexGetData("DP_1","00O2TNJGODT0G5Z4TTKYMMBYD","GSON3")</f>
        <v>#NAME?</v>
      </c>
      <c r="S2945" s="23" t="e">
        <f ca="1">[1]!BexGetData("DP_1","00O2TNJGODT0G5Z4TTKYMMI9X","GSON3")</f>
        <v>#NAME?</v>
      </c>
      <c r="T2945" s="28" t="e">
        <f ca="1">[1]!BexGetData("DP_1","00O2TNJGODT0G5Z4TTKYMMOLH","GSON3")</f>
        <v>#NAME?</v>
      </c>
      <c r="U2945" s="23" t="e">
        <f ca="1">[1]!BexGetData("DP_1","00O2TNJGODT0G5Z4TTKYMMUX1","GSON3")</f>
        <v>#NAME?</v>
      </c>
      <c r="V2945" s="28" t="e">
        <f ca="1">[1]!BexGetData("DP_1","00O2TNJGODT0G5Z4TTKYMN18L","GSON3")</f>
        <v>#NAME?</v>
      </c>
      <c r="W2945" s="23" t="e">
        <f ca="1">[1]!BexGetData("DP_1","00O2TNJGODT0G5Z4TTKYMN7K5","GSON3")</f>
        <v>#NAME?</v>
      </c>
    </row>
    <row r="2946" spans="1:23" x14ac:dyDescent="0.2">
      <c r="A2946" s="34" t="s">
        <v>100</v>
      </c>
      <c r="B2946" s="27" t="s">
        <v>102</v>
      </c>
      <c r="C2946" s="23" t="e">
        <f ca="1">[1]!BexGetData("DP_1","003N8EMH8GTFRCSWKMPXRR8GU","GSON31")</f>
        <v>#NAME?</v>
      </c>
      <c r="D2946" s="23" t="e">
        <f ca="1">[1]!BexGetData("DP_1","003N8EMH8GTFRCSWKMPXRRESE","GSON31")</f>
        <v>#NAME?</v>
      </c>
      <c r="E2946" s="28" t="e">
        <f ca="1">[1]!BexGetData("DP_1","003N8EMH8GTFRCSWKMPXRRL3Y","GSON31")</f>
        <v>#NAME?</v>
      </c>
      <c r="F2946" s="28" t="e">
        <f ca="1">[1]!BexGetData("DP_1","003N8EMH8GTFRCSWKMPXRRRFI","GSON31")</f>
        <v>#NAME?</v>
      </c>
      <c r="G2946" s="28" t="e">
        <f ca="1">[1]!BexGetData("DP_1","003N8EMH8GTFRCSWKMPXRRXR2","GSON31")</f>
        <v>#NAME?</v>
      </c>
      <c r="H2946" s="23" t="e">
        <f ca="1">[1]!BexGetData("DP_1","003N8EMH8GTFRCSWKMPXRS42M","GSON31")</f>
        <v>#NAME?</v>
      </c>
      <c r="I2946" s="28" t="e">
        <f ca="1">[1]!BexGetData("DP_1","003N8EMH8GTFRCSWKMPXRSAE6","GSON31")</f>
        <v>#NAME?</v>
      </c>
      <c r="J2946" s="23" t="e">
        <f ca="1">[1]!BexGetData("DP_1","003N8EMH8GTFRCSWKMPXRSGPQ","GSON31")</f>
        <v>#NAME?</v>
      </c>
      <c r="K2946" s="28" t="e">
        <f ca="1">[1]!BexGetData("DP_1","003N8EMH8GTFRIVNUPY288VJH","GSON31")</f>
        <v>#NAME?</v>
      </c>
      <c r="L2946" s="28" t="e">
        <f ca="1">[1]!BexGetData("DP_1","003N8EMH8GTFRIVNUPY2891V1","GSON31")</f>
        <v>#NAME?</v>
      </c>
      <c r="M2946" s="28" t="e">
        <f ca="1">[1]!BexGetData("DP_1","003N8EMH8GTFRIVOG7KG9IQXA","GSON31")</f>
        <v>#NAME?</v>
      </c>
      <c r="N2946" s="28" t="e">
        <f ca="1">[1]!BexGetData("DP_1","003N8EMH8GTFRIVOG7KG9IX8U","GSON31")</f>
        <v>#NAME?</v>
      </c>
      <c r="O2946" s="28" t="e">
        <f ca="1">[1]!BexGetData("DP_1","003N8EMH8GTFRIVOG7KG9J3KE","GSON31")</f>
        <v>#NAME?</v>
      </c>
      <c r="P2946" s="28" t="e">
        <f ca="1">[1]!BexGetData("DP_1","003N8EMH8GTFRIVOG7KG9J9VY","GSON31")</f>
        <v>#NAME?</v>
      </c>
      <c r="Q2946" s="23" t="e">
        <f ca="1">[1]!BexGetData("DP_1","00O2TNJGODT0G5Z4TTKYMM5MT","GSON31")</f>
        <v>#NAME?</v>
      </c>
      <c r="R2946" s="23" t="e">
        <f ca="1">[1]!BexGetData("DP_1","00O2TNJGODT0G5Z4TTKYMMBYD","GSON31")</f>
        <v>#NAME?</v>
      </c>
      <c r="S2946" s="23" t="e">
        <f ca="1">[1]!BexGetData("DP_1","00O2TNJGODT0G5Z4TTKYMMI9X","GSON31")</f>
        <v>#NAME?</v>
      </c>
      <c r="T2946" s="23" t="e">
        <f ca="1">[1]!BexGetData("DP_1","00O2TNJGODT0G5Z4TTKYMMOLH","GSON31")</f>
        <v>#NAME?</v>
      </c>
      <c r="U2946" s="28" t="e">
        <f ca="1">[1]!BexGetData("DP_1","00O2TNJGODT0G5Z4TTKYMMUX1","GSON31")</f>
        <v>#NAME?</v>
      </c>
      <c r="V2946" s="23" t="e">
        <f ca="1">[1]!BexGetData("DP_1","00O2TNJGODT0G5Z4TTKYMN18L","GSON31")</f>
        <v>#NAME?</v>
      </c>
      <c r="W2946" s="28" t="e">
        <f ca="1">[1]!BexGetData("DP_1","00O2TNJGODT0G5Z4TTKYMN7K5","GSON31")</f>
        <v>#NAME?</v>
      </c>
    </row>
    <row r="2947" spans="1:23" x14ac:dyDescent="0.2">
      <c r="A2947" s="35" t="s">
        <v>1626</v>
      </c>
      <c r="B2947" s="27" t="s">
        <v>1627</v>
      </c>
      <c r="C2947" s="23" t="e">
        <f ca="1">[1]!BexGetData("DP_1","003N8EMH8GTFRCSWKMPXRR8GU","GSON312")</f>
        <v>#NAME?</v>
      </c>
      <c r="D2947" s="23" t="e">
        <f ca="1">[1]!BexGetData("DP_1","003N8EMH8GTFRCSWKMPXRRESE","GSON312")</f>
        <v>#NAME?</v>
      </c>
      <c r="E2947" s="28" t="e">
        <f ca="1">[1]!BexGetData("DP_1","003N8EMH8GTFRCSWKMPXRRL3Y","GSON312")</f>
        <v>#NAME?</v>
      </c>
      <c r="F2947" s="24" t="e">
        <f ca="1">[1]!BexGetData("DP_1","003N8EMH8GTFRCSWKMPXRRRFI","GSON312")</f>
        <v>#NAME?</v>
      </c>
      <c r="G2947" s="24" t="e">
        <f ca="1">[1]!BexGetData("DP_1","003N8EMH8GTFRCSWKMPXRRXR2","GSON312")</f>
        <v>#NAME?</v>
      </c>
      <c r="H2947" s="24" t="e">
        <f ca="1">[1]!BexGetData("DP_1","003N8EMH8GTFRCSWKMPXRS42M","GSON312")</f>
        <v>#NAME?</v>
      </c>
      <c r="I2947" s="24" t="e">
        <f ca="1">[1]!BexGetData("DP_1","003N8EMH8GTFRCSWKMPXRSAE6","GSON312")</f>
        <v>#NAME?</v>
      </c>
      <c r="J2947" s="24" t="e">
        <f ca="1">[1]!BexGetData("DP_1","003N8EMH8GTFRCSWKMPXRSGPQ","GSON312")</f>
        <v>#NAME?</v>
      </c>
      <c r="K2947" s="28" t="e">
        <f ca="1">[1]!BexGetData("DP_1","003N8EMH8GTFRIVNUPY288VJH","GSON312")</f>
        <v>#NAME?</v>
      </c>
      <c r="L2947" s="28" t="e">
        <f ca="1">[1]!BexGetData("DP_1","003N8EMH8GTFRIVNUPY2891V1","GSON312")</f>
        <v>#NAME?</v>
      </c>
      <c r="M2947" s="28" t="e">
        <f ca="1">[1]!BexGetData("DP_1","003N8EMH8GTFRIVOG7KG9IQXA","GSON312")</f>
        <v>#NAME?</v>
      </c>
      <c r="N2947" s="28" t="e">
        <f ca="1">[1]!BexGetData("DP_1","003N8EMH8GTFRIVOG7KG9IX8U","GSON312")</f>
        <v>#NAME?</v>
      </c>
      <c r="O2947" s="28" t="e">
        <f ca="1">[1]!BexGetData("DP_1","003N8EMH8GTFRIVOG7KG9J3KE","GSON312")</f>
        <v>#NAME?</v>
      </c>
      <c r="P2947" s="28" t="e">
        <f ca="1">[1]!BexGetData("DP_1","003N8EMH8GTFRIVOG7KG9J9VY","GSON312")</f>
        <v>#NAME?</v>
      </c>
      <c r="Q2947" s="24" t="e">
        <f ca="1">[1]!BexGetData("DP_1","00O2TNJGODT0G5Z4TTKYMM5MT","GSON312")</f>
        <v>#NAME?</v>
      </c>
      <c r="R2947" s="24" t="e">
        <f ca="1">[1]!BexGetData("DP_1","00O2TNJGODT0G5Z4TTKYMMBYD","GSON312")</f>
        <v>#NAME?</v>
      </c>
      <c r="S2947" s="24" t="e">
        <f ca="1">[1]!BexGetData("DP_1","00O2TNJGODT0G5Z4TTKYMMI9X","GSON312")</f>
        <v>#NAME?</v>
      </c>
      <c r="T2947" s="24" t="e">
        <f ca="1">[1]!BexGetData("DP_1","00O2TNJGODT0G5Z4TTKYMMOLH","GSON312")</f>
        <v>#NAME?</v>
      </c>
      <c r="U2947" s="24" t="e">
        <f ca="1">[1]!BexGetData("DP_1","00O2TNJGODT0G5Z4TTKYMMUX1","GSON312")</f>
        <v>#NAME?</v>
      </c>
      <c r="V2947" s="24" t="e">
        <f ca="1">[1]!BexGetData("DP_1","00O2TNJGODT0G5Z4TTKYMN18L","GSON312")</f>
        <v>#NAME?</v>
      </c>
      <c r="W2947" s="24" t="e">
        <f ca="1">[1]!BexGetData("DP_1","00O2TNJGODT0G5Z4TTKYMN7K5","GSON312")</f>
        <v>#NAME?</v>
      </c>
    </row>
    <row r="2948" spans="1:23" x14ac:dyDescent="0.2">
      <c r="A2948" s="36" t="s">
        <v>1628</v>
      </c>
      <c r="B2948" s="27" t="s">
        <v>1629</v>
      </c>
      <c r="C2948" s="23" t="e">
        <f ca="1">[1]!BexGetData("DP_1","003N8EMH8GTFRCSWKMPXRR8GU","GSON3120000001")</f>
        <v>#NAME?</v>
      </c>
      <c r="D2948" s="23" t="e">
        <f ca="1">[1]!BexGetData("DP_1","003N8EMH8GTFRCSWKMPXRRESE","GSON3120000001")</f>
        <v>#NAME?</v>
      </c>
      <c r="E2948" s="28" t="e">
        <f ca="1">[1]!BexGetData("DP_1","003N8EMH8GTFRCSWKMPXRRL3Y","GSON3120000001")</f>
        <v>#NAME?</v>
      </c>
      <c r="F2948" s="24" t="e">
        <f ca="1">[1]!BexGetData("DP_1","003N8EMH8GTFRCSWKMPXRRRFI","GSON3120000001")</f>
        <v>#NAME?</v>
      </c>
      <c r="G2948" s="24" t="e">
        <f ca="1">[1]!BexGetData("DP_1","003N8EMH8GTFRCSWKMPXRRXR2","GSON3120000001")</f>
        <v>#NAME?</v>
      </c>
      <c r="H2948" s="24" t="e">
        <f ca="1">[1]!BexGetData("DP_1","003N8EMH8GTFRCSWKMPXRS42M","GSON3120000001")</f>
        <v>#NAME?</v>
      </c>
      <c r="I2948" s="24" t="e">
        <f ca="1">[1]!BexGetData("DP_1","003N8EMH8GTFRCSWKMPXRSAE6","GSON3120000001")</f>
        <v>#NAME?</v>
      </c>
      <c r="J2948" s="24" t="e">
        <f ca="1">[1]!BexGetData("DP_1","003N8EMH8GTFRCSWKMPXRSGPQ","GSON3120000001")</f>
        <v>#NAME?</v>
      </c>
      <c r="K2948" s="28" t="e">
        <f ca="1">[1]!BexGetData("DP_1","003N8EMH8GTFRIVNUPY288VJH","GSON3120000001")</f>
        <v>#NAME?</v>
      </c>
      <c r="L2948" s="28" t="e">
        <f ca="1">[1]!BexGetData("DP_1","003N8EMH8GTFRIVNUPY2891V1","GSON3120000001")</f>
        <v>#NAME?</v>
      </c>
      <c r="M2948" s="28" t="e">
        <f ca="1">[1]!BexGetData("DP_1","003N8EMH8GTFRIVOG7KG9IQXA","GSON3120000001")</f>
        <v>#NAME?</v>
      </c>
      <c r="N2948" s="28" t="e">
        <f ca="1">[1]!BexGetData("DP_1","003N8EMH8GTFRIVOG7KG9IX8U","GSON3120000001")</f>
        <v>#NAME?</v>
      </c>
      <c r="O2948" s="28" t="e">
        <f ca="1">[1]!BexGetData("DP_1","003N8EMH8GTFRIVOG7KG9J3KE","GSON3120000001")</f>
        <v>#NAME?</v>
      </c>
      <c r="P2948" s="28" t="e">
        <f ca="1">[1]!BexGetData("DP_1","003N8EMH8GTFRIVOG7KG9J9VY","GSON3120000001")</f>
        <v>#NAME?</v>
      </c>
      <c r="Q2948" s="24" t="e">
        <f ca="1">[1]!BexGetData("DP_1","00O2TNJGODT0G5Z4TTKYMM5MT","GSON3120000001")</f>
        <v>#NAME?</v>
      </c>
      <c r="R2948" s="24" t="e">
        <f ca="1">[1]!BexGetData("DP_1","00O2TNJGODT0G5Z4TTKYMMBYD","GSON3120000001")</f>
        <v>#NAME?</v>
      </c>
      <c r="S2948" s="24" t="e">
        <f ca="1">[1]!BexGetData("DP_1","00O2TNJGODT0G5Z4TTKYMMI9X","GSON3120000001")</f>
        <v>#NAME?</v>
      </c>
      <c r="T2948" s="24" t="e">
        <f ca="1">[1]!BexGetData("DP_1","00O2TNJGODT0G5Z4TTKYMMOLH","GSON3120000001")</f>
        <v>#NAME?</v>
      </c>
      <c r="U2948" s="24" t="e">
        <f ca="1">[1]!BexGetData("DP_1","00O2TNJGODT0G5Z4TTKYMMUX1","GSON3120000001")</f>
        <v>#NAME?</v>
      </c>
      <c r="V2948" s="24" t="e">
        <f ca="1">[1]!BexGetData("DP_1","00O2TNJGODT0G5Z4TTKYMN18L","GSON3120000001")</f>
        <v>#NAME?</v>
      </c>
      <c r="W2948" s="24" t="e">
        <f ca="1">[1]!BexGetData("DP_1","00O2TNJGODT0G5Z4TTKYMN7K5","GSON3120000001")</f>
        <v>#NAME?</v>
      </c>
    </row>
    <row r="2949" spans="1:23" x14ac:dyDescent="0.2">
      <c r="A2949" s="35" t="s">
        <v>6347</v>
      </c>
      <c r="B2949" s="27" t="s">
        <v>6348</v>
      </c>
      <c r="C2949" s="28" t="e">
        <f ca="1">[1]!BexGetData("DP_1","003N8EMH8GTFRCSWKMPXRR8GU","GSON313")</f>
        <v>#NAME?</v>
      </c>
      <c r="D2949" s="28" t="e">
        <f ca="1">[1]!BexGetData("DP_1","003N8EMH8GTFRCSWKMPXRRESE","GSON313")</f>
        <v>#NAME?</v>
      </c>
      <c r="E2949" s="28" t="e">
        <f ca="1">[1]!BexGetData("DP_1","003N8EMH8GTFRCSWKMPXRRL3Y","GSON313")</f>
        <v>#NAME?</v>
      </c>
      <c r="F2949" s="28" t="e">
        <f ca="1">[1]!BexGetData("DP_1","003N8EMH8GTFRCSWKMPXRRRFI","GSON313")</f>
        <v>#NAME?</v>
      </c>
      <c r="G2949" s="28" t="e">
        <f ca="1">[1]!BexGetData("DP_1","003N8EMH8GTFRCSWKMPXRRXR2","GSON313")</f>
        <v>#NAME?</v>
      </c>
      <c r="H2949" s="23" t="e">
        <f ca="1">[1]!BexGetData("DP_1","003N8EMH8GTFRCSWKMPXRS42M","GSON313")</f>
        <v>#NAME?</v>
      </c>
      <c r="I2949" s="28" t="e">
        <f ca="1">[1]!BexGetData("DP_1","003N8EMH8GTFRCSWKMPXRSAE6","GSON313")</f>
        <v>#NAME?</v>
      </c>
      <c r="J2949" s="23" t="e">
        <f ca="1">[1]!BexGetData("DP_1","003N8EMH8GTFRCSWKMPXRSGPQ","GSON313")</f>
        <v>#NAME?</v>
      </c>
      <c r="K2949" s="28" t="e">
        <f ca="1">[1]!BexGetData("DP_1","003N8EMH8GTFRIVNUPY288VJH","GSON313")</f>
        <v>#NAME?</v>
      </c>
      <c r="L2949" s="28" t="e">
        <f ca="1">[1]!BexGetData("DP_1","003N8EMH8GTFRIVNUPY2891V1","GSON313")</f>
        <v>#NAME?</v>
      </c>
      <c r="M2949" s="28" t="e">
        <f ca="1">[1]!BexGetData("DP_1","003N8EMH8GTFRIVOG7KG9IQXA","GSON313")</f>
        <v>#NAME?</v>
      </c>
      <c r="N2949" s="28" t="e">
        <f ca="1">[1]!BexGetData("DP_1","003N8EMH8GTFRIVOG7KG9IX8U","GSON313")</f>
        <v>#NAME?</v>
      </c>
      <c r="O2949" s="28" t="e">
        <f ca="1">[1]!BexGetData("DP_1","003N8EMH8GTFRIVOG7KG9J3KE","GSON313")</f>
        <v>#NAME?</v>
      </c>
      <c r="P2949" s="28" t="e">
        <f ca="1">[1]!BexGetData("DP_1","003N8EMH8GTFRIVOG7KG9J9VY","GSON313")</f>
        <v>#NAME?</v>
      </c>
      <c r="Q2949" s="23" t="e">
        <f ca="1">[1]!BexGetData("DP_1","00O2TNJGODT0G5Z4TTKYMM5MT","GSON313")</f>
        <v>#NAME?</v>
      </c>
      <c r="R2949" s="23" t="e">
        <f ca="1">[1]!BexGetData("DP_1","00O2TNJGODT0G5Z4TTKYMMBYD","GSON313")</f>
        <v>#NAME?</v>
      </c>
      <c r="S2949" s="23" t="e">
        <f ca="1">[1]!BexGetData("DP_1","00O2TNJGODT0G5Z4TTKYMMI9X","GSON313")</f>
        <v>#NAME?</v>
      </c>
      <c r="T2949" s="23" t="e">
        <f ca="1">[1]!BexGetData("DP_1","00O2TNJGODT0G5Z4TTKYMMOLH","GSON313")</f>
        <v>#NAME?</v>
      </c>
      <c r="U2949" s="28" t="e">
        <f ca="1">[1]!BexGetData("DP_1","00O2TNJGODT0G5Z4TTKYMMUX1","GSON313")</f>
        <v>#NAME?</v>
      </c>
      <c r="V2949" s="23" t="e">
        <f ca="1">[1]!BexGetData("DP_1","00O2TNJGODT0G5Z4TTKYMN18L","GSON313")</f>
        <v>#NAME?</v>
      </c>
      <c r="W2949" s="28" t="e">
        <f ca="1">[1]!BexGetData("DP_1","00O2TNJGODT0G5Z4TTKYMN7K5","GSON313")</f>
        <v>#NAME?</v>
      </c>
    </row>
    <row r="2950" spans="1:23" x14ac:dyDescent="0.2">
      <c r="A2950" s="36" t="s">
        <v>6349</v>
      </c>
      <c r="B2950" s="27" t="s">
        <v>6350</v>
      </c>
      <c r="C2950" s="28" t="e">
        <f ca="1">[1]!BexGetData("DP_1","003N8EMH8GTFRCSWKMPXRR8GU","GSON3130000001")</f>
        <v>#NAME?</v>
      </c>
      <c r="D2950" s="28" t="e">
        <f ca="1">[1]!BexGetData("DP_1","003N8EMH8GTFRCSWKMPXRRESE","GSON3130000001")</f>
        <v>#NAME?</v>
      </c>
      <c r="E2950" s="28" t="e">
        <f ca="1">[1]!BexGetData("DP_1","003N8EMH8GTFRCSWKMPXRRL3Y","GSON3130000001")</f>
        <v>#NAME?</v>
      </c>
      <c r="F2950" s="28" t="e">
        <f ca="1">[1]!BexGetData("DP_1","003N8EMH8GTFRCSWKMPXRRRFI","GSON3130000001")</f>
        <v>#NAME?</v>
      </c>
      <c r="G2950" s="28" t="e">
        <f ca="1">[1]!BexGetData("DP_1","003N8EMH8GTFRCSWKMPXRRXR2","GSON3130000001")</f>
        <v>#NAME?</v>
      </c>
      <c r="H2950" s="23" t="e">
        <f ca="1">[1]!BexGetData("DP_1","003N8EMH8GTFRCSWKMPXRS42M","GSON3130000001")</f>
        <v>#NAME?</v>
      </c>
      <c r="I2950" s="28" t="e">
        <f ca="1">[1]!BexGetData("DP_1","003N8EMH8GTFRCSWKMPXRSAE6","GSON3130000001")</f>
        <v>#NAME?</v>
      </c>
      <c r="J2950" s="23" t="e">
        <f ca="1">[1]!BexGetData("DP_1","003N8EMH8GTFRCSWKMPXRSGPQ","GSON3130000001")</f>
        <v>#NAME?</v>
      </c>
      <c r="K2950" s="28" t="e">
        <f ca="1">[1]!BexGetData("DP_1","003N8EMH8GTFRIVNUPY288VJH","GSON3130000001")</f>
        <v>#NAME?</v>
      </c>
      <c r="L2950" s="28" t="e">
        <f ca="1">[1]!BexGetData("DP_1","003N8EMH8GTFRIVNUPY2891V1","GSON3130000001")</f>
        <v>#NAME?</v>
      </c>
      <c r="M2950" s="28" t="e">
        <f ca="1">[1]!BexGetData("DP_1","003N8EMH8GTFRIVOG7KG9IQXA","GSON3130000001")</f>
        <v>#NAME?</v>
      </c>
      <c r="N2950" s="28" t="e">
        <f ca="1">[1]!BexGetData("DP_1","003N8EMH8GTFRIVOG7KG9IX8U","GSON3130000001")</f>
        <v>#NAME?</v>
      </c>
      <c r="O2950" s="28" t="e">
        <f ca="1">[1]!BexGetData("DP_1","003N8EMH8GTFRIVOG7KG9J3KE","GSON3130000001")</f>
        <v>#NAME?</v>
      </c>
      <c r="P2950" s="28" t="e">
        <f ca="1">[1]!BexGetData("DP_1","003N8EMH8GTFRIVOG7KG9J9VY","GSON3130000001")</f>
        <v>#NAME?</v>
      </c>
      <c r="Q2950" s="23" t="e">
        <f ca="1">[1]!BexGetData("DP_1","00O2TNJGODT0G5Z4TTKYMM5MT","GSON3130000001")</f>
        <v>#NAME?</v>
      </c>
      <c r="R2950" s="23" t="e">
        <f ca="1">[1]!BexGetData("DP_1","00O2TNJGODT0G5Z4TTKYMMBYD","GSON3130000001")</f>
        <v>#NAME?</v>
      </c>
      <c r="S2950" s="23" t="e">
        <f ca="1">[1]!BexGetData("DP_1","00O2TNJGODT0G5Z4TTKYMMI9X","GSON3130000001")</f>
        <v>#NAME?</v>
      </c>
      <c r="T2950" s="23" t="e">
        <f ca="1">[1]!BexGetData("DP_1","00O2TNJGODT0G5Z4TTKYMMOLH","GSON3130000001")</f>
        <v>#NAME?</v>
      </c>
      <c r="U2950" s="28" t="e">
        <f ca="1">[1]!BexGetData("DP_1","00O2TNJGODT0G5Z4TTKYMMUX1","GSON3130000001")</f>
        <v>#NAME?</v>
      </c>
      <c r="V2950" s="23" t="e">
        <f ca="1">[1]!BexGetData("DP_1","00O2TNJGODT0G5Z4TTKYMN18L","GSON3130000001")</f>
        <v>#NAME?</v>
      </c>
      <c r="W2950" s="28" t="e">
        <f ca="1">[1]!BexGetData("DP_1","00O2TNJGODT0G5Z4TTKYMN7K5","GSON3130000001")</f>
        <v>#NAME?</v>
      </c>
    </row>
    <row r="2951" spans="1:23" x14ac:dyDescent="0.2">
      <c r="A2951" s="34" t="s">
        <v>500</v>
      </c>
      <c r="B2951" s="27" t="s">
        <v>501</v>
      </c>
      <c r="C2951" s="23" t="e">
        <f ca="1">[1]!BexGetData("DP_1","003N8EMH8GTFRCSWKMPXRR8GU","GSON32")</f>
        <v>#NAME?</v>
      </c>
      <c r="D2951" s="23" t="e">
        <f ca="1">[1]!BexGetData("DP_1","003N8EMH8GTFRCSWKMPXRRESE","GSON32")</f>
        <v>#NAME?</v>
      </c>
      <c r="E2951" s="23" t="e">
        <f ca="1">[1]!BexGetData("DP_1","003N8EMH8GTFRCSWKMPXRRL3Y","GSON32")</f>
        <v>#NAME?</v>
      </c>
      <c r="F2951" s="23" t="e">
        <f ca="1">[1]!BexGetData("DP_1","003N8EMH8GTFRCSWKMPXRRRFI","GSON32")</f>
        <v>#NAME?</v>
      </c>
      <c r="G2951" s="23" t="e">
        <f ca="1">[1]!BexGetData("DP_1","003N8EMH8GTFRCSWKMPXRRXR2","GSON32")</f>
        <v>#NAME?</v>
      </c>
      <c r="H2951" s="23" t="e">
        <f ca="1">[1]!BexGetData("DP_1","003N8EMH8GTFRCSWKMPXRS42M","GSON32")</f>
        <v>#NAME?</v>
      </c>
      <c r="I2951" s="23" t="e">
        <f ca="1">[1]!BexGetData("DP_1","003N8EMH8GTFRCSWKMPXRSAE6","GSON32")</f>
        <v>#NAME?</v>
      </c>
      <c r="J2951" s="23" t="e">
        <f ca="1">[1]!BexGetData("DP_1","003N8EMH8GTFRCSWKMPXRSGPQ","GSON32")</f>
        <v>#NAME?</v>
      </c>
      <c r="K2951" s="23" t="e">
        <f ca="1">[1]!BexGetData("DP_1","003N8EMH8GTFRIVNUPY288VJH","GSON32")</f>
        <v>#NAME?</v>
      </c>
      <c r="L2951" s="23" t="e">
        <f ca="1">[1]!BexGetData("DP_1","003N8EMH8GTFRIVNUPY2891V1","GSON32")</f>
        <v>#NAME?</v>
      </c>
      <c r="M2951" s="23" t="e">
        <f ca="1">[1]!BexGetData("DP_1","003N8EMH8GTFRIVOG7KG9IQXA","GSON32")</f>
        <v>#NAME?</v>
      </c>
      <c r="N2951" s="28" t="e">
        <f ca="1">[1]!BexGetData("DP_1","003N8EMH8GTFRIVOG7KG9IX8U","GSON32")</f>
        <v>#NAME?</v>
      </c>
      <c r="O2951" s="23" t="e">
        <f ca="1">[1]!BexGetData("DP_1","003N8EMH8GTFRIVOG7KG9J3KE","GSON32")</f>
        <v>#NAME?</v>
      </c>
      <c r="P2951" s="28" t="e">
        <f ca="1">[1]!BexGetData("DP_1","003N8EMH8GTFRIVOG7KG9J9VY","GSON32")</f>
        <v>#NAME?</v>
      </c>
      <c r="Q2951" s="23" t="e">
        <f ca="1">[1]!BexGetData("DP_1","00O2TNJGODT0G5Z4TTKYMM5MT","GSON32")</f>
        <v>#NAME?</v>
      </c>
      <c r="R2951" s="23" t="e">
        <f ca="1">[1]!BexGetData("DP_1","00O2TNJGODT0G5Z4TTKYMMBYD","GSON32")</f>
        <v>#NAME?</v>
      </c>
      <c r="S2951" s="23" t="e">
        <f ca="1">[1]!BexGetData("DP_1","00O2TNJGODT0G5Z4TTKYMMI9X","GSON32")</f>
        <v>#NAME?</v>
      </c>
      <c r="T2951" s="28" t="e">
        <f ca="1">[1]!BexGetData("DP_1","00O2TNJGODT0G5Z4TTKYMMOLH","GSON32")</f>
        <v>#NAME?</v>
      </c>
      <c r="U2951" s="23" t="e">
        <f ca="1">[1]!BexGetData("DP_1","00O2TNJGODT0G5Z4TTKYMMUX1","GSON32")</f>
        <v>#NAME?</v>
      </c>
      <c r="V2951" s="28" t="e">
        <f ca="1">[1]!BexGetData("DP_1","00O2TNJGODT0G5Z4TTKYMN18L","GSON32")</f>
        <v>#NAME?</v>
      </c>
      <c r="W2951" s="23" t="e">
        <f ca="1">[1]!BexGetData("DP_1","00O2TNJGODT0G5Z4TTKYMN7K5","GSON32")</f>
        <v>#NAME?</v>
      </c>
    </row>
    <row r="2952" spans="1:23" x14ac:dyDescent="0.2">
      <c r="A2952" s="35" t="s">
        <v>502</v>
      </c>
      <c r="B2952" s="27" t="s">
        <v>503</v>
      </c>
      <c r="C2952" s="23" t="e">
        <f ca="1">[1]!BexGetData("DP_1","003N8EMH8GTFRCSWKMPXRR8GU","GSON322")</f>
        <v>#NAME?</v>
      </c>
      <c r="D2952" s="23" t="e">
        <f ca="1">[1]!BexGetData("DP_1","003N8EMH8GTFRCSWKMPXRRESE","GSON322")</f>
        <v>#NAME?</v>
      </c>
      <c r="E2952" s="23" t="e">
        <f ca="1">[1]!BexGetData("DP_1","003N8EMH8GTFRCSWKMPXRRL3Y","GSON322")</f>
        <v>#NAME?</v>
      </c>
      <c r="F2952" s="23" t="e">
        <f ca="1">[1]!BexGetData("DP_1","003N8EMH8GTFRCSWKMPXRRRFI","GSON322")</f>
        <v>#NAME?</v>
      </c>
      <c r="G2952" s="23" t="e">
        <f ca="1">[1]!BexGetData("DP_1","003N8EMH8GTFRCSWKMPXRRXR2","GSON322")</f>
        <v>#NAME?</v>
      </c>
      <c r="H2952" s="23" t="e">
        <f ca="1">[1]!BexGetData("DP_1","003N8EMH8GTFRCSWKMPXRS42M","GSON322")</f>
        <v>#NAME?</v>
      </c>
      <c r="I2952" s="23" t="e">
        <f ca="1">[1]!BexGetData("DP_1","003N8EMH8GTFRCSWKMPXRSAE6","GSON322")</f>
        <v>#NAME?</v>
      </c>
      <c r="J2952" s="23" t="e">
        <f ca="1">[1]!BexGetData("DP_1","003N8EMH8GTFRCSWKMPXRSGPQ","GSON322")</f>
        <v>#NAME?</v>
      </c>
      <c r="K2952" s="23" t="e">
        <f ca="1">[1]!BexGetData("DP_1","003N8EMH8GTFRIVNUPY288VJH","GSON322")</f>
        <v>#NAME?</v>
      </c>
      <c r="L2952" s="23" t="e">
        <f ca="1">[1]!BexGetData("DP_1","003N8EMH8GTFRIVNUPY2891V1","GSON322")</f>
        <v>#NAME?</v>
      </c>
      <c r="M2952" s="23" t="e">
        <f ca="1">[1]!BexGetData("DP_1","003N8EMH8GTFRIVOG7KG9IQXA","GSON322")</f>
        <v>#NAME?</v>
      </c>
      <c r="N2952" s="28" t="e">
        <f ca="1">[1]!BexGetData("DP_1","003N8EMH8GTFRIVOG7KG9IX8U","GSON322")</f>
        <v>#NAME?</v>
      </c>
      <c r="O2952" s="23" t="e">
        <f ca="1">[1]!BexGetData("DP_1","003N8EMH8GTFRIVOG7KG9J3KE","GSON322")</f>
        <v>#NAME?</v>
      </c>
      <c r="P2952" s="28" t="e">
        <f ca="1">[1]!BexGetData("DP_1","003N8EMH8GTFRIVOG7KG9J9VY","GSON322")</f>
        <v>#NAME?</v>
      </c>
      <c r="Q2952" s="23" t="e">
        <f ca="1">[1]!BexGetData("DP_1","00O2TNJGODT0G5Z4TTKYMM5MT","GSON322")</f>
        <v>#NAME?</v>
      </c>
      <c r="R2952" s="23" t="e">
        <f ca="1">[1]!BexGetData("DP_1","00O2TNJGODT0G5Z4TTKYMMBYD","GSON322")</f>
        <v>#NAME?</v>
      </c>
      <c r="S2952" s="23" t="e">
        <f ca="1">[1]!BexGetData("DP_1","00O2TNJGODT0G5Z4TTKYMMI9X","GSON322")</f>
        <v>#NAME?</v>
      </c>
      <c r="T2952" s="28" t="e">
        <f ca="1">[1]!BexGetData("DP_1","00O2TNJGODT0G5Z4TTKYMMOLH","GSON322")</f>
        <v>#NAME?</v>
      </c>
      <c r="U2952" s="23" t="e">
        <f ca="1">[1]!BexGetData("DP_1","00O2TNJGODT0G5Z4TTKYMMUX1","GSON322")</f>
        <v>#NAME?</v>
      </c>
      <c r="V2952" s="28" t="e">
        <f ca="1">[1]!BexGetData("DP_1","00O2TNJGODT0G5Z4TTKYMN18L","GSON322")</f>
        <v>#NAME?</v>
      </c>
      <c r="W2952" s="23" t="e">
        <f ca="1">[1]!BexGetData("DP_1","00O2TNJGODT0G5Z4TTKYMN7K5","GSON322")</f>
        <v>#NAME?</v>
      </c>
    </row>
    <row r="2953" spans="1:23" x14ac:dyDescent="0.2">
      <c r="A2953" s="36" t="s">
        <v>1453</v>
      </c>
      <c r="B2953" s="27" t="s">
        <v>1454</v>
      </c>
      <c r="C2953" s="23" t="e">
        <f ca="1">[1]!BexGetData("DP_1","003N8EMH8GTFRCSWKMPXRR8GU","GSON3210000001")</f>
        <v>#NAME?</v>
      </c>
      <c r="D2953" s="23" t="e">
        <f ca="1">[1]!BexGetData("DP_1","003N8EMH8GTFRCSWKMPXRRESE","GSON3210000001")</f>
        <v>#NAME?</v>
      </c>
      <c r="E2953" s="28" t="e">
        <f ca="1">[1]!BexGetData("DP_1","003N8EMH8GTFRCSWKMPXRRL3Y","GSON3210000001")</f>
        <v>#NAME?</v>
      </c>
      <c r="F2953" s="23" t="e">
        <f ca="1">[1]!BexGetData("DP_1","003N8EMH8GTFRCSWKMPXRRRFI","GSON3210000001")</f>
        <v>#NAME?</v>
      </c>
      <c r="G2953" s="28" t="e">
        <f ca="1">[1]!BexGetData("DP_1","003N8EMH8GTFRCSWKMPXRRXR2","GSON3210000001")</f>
        <v>#NAME?</v>
      </c>
      <c r="H2953" s="28" t="e">
        <f ca="1">[1]!BexGetData("DP_1","003N8EMH8GTFRCSWKMPXRS42M","GSON3210000001")</f>
        <v>#NAME?</v>
      </c>
      <c r="I2953" s="23" t="e">
        <f ca="1">[1]!BexGetData("DP_1","003N8EMH8GTFRCSWKMPXRSAE6","GSON3210000001")</f>
        <v>#NAME?</v>
      </c>
      <c r="J2953" s="23" t="e">
        <f ca="1">[1]!BexGetData("DP_1","003N8EMH8GTFRCSWKMPXRSGPQ","GSON3210000001")</f>
        <v>#NAME?</v>
      </c>
      <c r="K2953" s="23" t="e">
        <f ca="1">[1]!BexGetData("DP_1","003N8EMH8GTFRIVNUPY288VJH","GSON3210000001")</f>
        <v>#NAME?</v>
      </c>
      <c r="L2953" s="23" t="e">
        <f ca="1">[1]!BexGetData("DP_1","003N8EMH8GTFRIVNUPY2891V1","GSON3210000001")</f>
        <v>#NAME?</v>
      </c>
      <c r="M2953" s="28" t="e">
        <f ca="1">[1]!BexGetData("DP_1","003N8EMH8GTFRIVOG7KG9IQXA","GSON3210000001")</f>
        <v>#NAME?</v>
      </c>
      <c r="N2953" s="23" t="e">
        <f ca="1">[1]!BexGetData("DP_1","003N8EMH8GTFRIVOG7KG9IX8U","GSON3210000001")</f>
        <v>#NAME?</v>
      </c>
      <c r="O2953" s="28" t="e">
        <f ca="1">[1]!BexGetData("DP_1","003N8EMH8GTFRIVOG7KG9J3KE","GSON3210000001")</f>
        <v>#NAME?</v>
      </c>
      <c r="P2953" s="23" t="e">
        <f ca="1">[1]!BexGetData("DP_1","003N8EMH8GTFRIVOG7KG9J9VY","GSON3210000001")</f>
        <v>#NAME?</v>
      </c>
      <c r="Q2953" s="23" t="e">
        <f ca="1">[1]!BexGetData("DP_1","00O2TNJGODT0G5Z4TTKYMM5MT","GSON3210000001")</f>
        <v>#NAME?</v>
      </c>
      <c r="R2953" s="28" t="e">
        <f ca="1">[1]!BexGetData("DP_1","00O2TNJGODT0G5Z4TTKYMMBYD","GSON3210000001")</f>
        <v>#NAME?</v>
      </c>
      <c r="S2953" s="28" t="e">
        <f ca="1">[1]!BexGetData("DP_1","00O2TNJGODT0G5Z4TTKYMMI9X","GSON3210000001")</f>
        <v>#NAME?</v>
      </c>
      <c r="T2953" s="28" t="e">
        <f ca="1">[1]!BexGetData("DP_1","00O2TNJGODT0G5Z4TTKYMMOLH","GSON3210000001")</f>
        <v>#NAME?</v>
      </c>
      <c r="U2953" s="28" t="e">
        <f ca="1">[1]!BexGetData("DP_1","00O2TNJGODT0G5Z4TTKYMMUX1","GSON3210000001")</f>
        <v>#NAME?</v>
      </c>
      <c r="V2953" s="28" t="e">
        <f ca="1">[1]!BexGetData("DP_1","00O2TNJGODT0G5Z4TTKYMN18L","GSON3210000001")</f>
        <v>#NAME?</v>
      </c>
      <c r="W2953" s="28" t="e">
        <f ca="1">[1]!BexGetData("DP_1","00O2TNJGODT0G5Z4TTKYMN7K5","GSON3210000001")</f>
        <v>#NAME?</v>
      </c>
    </row>
    <row r="2954" spans="1:23" x14ac:dyDescent="0.2">
      <c r="A2954" s="36" t="s">
        <v>1455</v>
      </c>
      <c r="B2954" s="27" t="s">
        <v>504</v>
      </c>
      <c r="C2954" s="23" t="e">
        <f ca="1">[1]!BexGetData("DP_1","003N8EMH8GTFRCSWKMPXRR8GU","GSON3220000001")</f>
        <v>#NAME?</v>
      </c>
      <c r="D2954" s="23" t="e">
        <f ca="1">[1]!BexGetData("DP_1","003N8EMH8GTFRCSWKMPXRRESE","GSON3220000001")</f>
        <v>#NAME?</v>
      </c>
      <c r="E2954" s="23" t="e">
        <f ca="1">[1]!BexGetData("DP_1","003N8EMH8GTFRCSWKMPXRRL3Y","GSON3220000001")</f>
        <v>#NAME?</v>
      </c>
      <c r="F2954" s="23" t="e">
        <f ca="1">[1]!BexGetData("DP_1","003N8EMH8GTFRCSWKMPXRRRFI","GSON3220000001")</f>
        <v>#NAME?</v>
      </c>
      <c r="G2954" s="23" t="e">
        <f ca="1">[1]!BexGetData("DP_1","003N8EMH8GTFRCSWKMPXRRXR2","GSON3220000001")</f>
        <v>#NAME?</v>
      </c>
      <c r="H2954" s="28" t="e">
        <f ca="1">[1]!BexGetData("DP_1","003N8EMH8GTFRCSWKMPXRS42M","GSON3220000001")</f>
        <v>#NAME?</v>
      </c>
      <c r="I2954" s="23" t="e">
        <f ca="1">[1]!BexGetData("DP_1","003N8EMH8GTFRCSWKMPXRSAE6","GSON3220000001")</f>
        <v>#NAME?</v>
      </c>
      <c r="J2954" s="23" t="e">
        <f ca="1">[1]!BexGetData("DP_1","003N8EMH8GTFRCSWKMPXRSGPQ","GSON3220000001")</f>
        <v>#NAME?</v>
      </c>
      <c r="K2954" s="23" t="e">
        <f ca="1">[1]!BexGetData("DP_1","003N8EMH8GTFRIVNUPY288VJH","GSON3220000001")</f>
        <v>#NAME?</v>
      </c>
      <c r="L2954" s="23" t="e">
        <f ca="1">[1]!BexGetData("DP_1","003N8EMH8GTFRIVNUPY2891V1","GSON3220000001")</f>
        <v>#NAME?</v>
      </c>
      <c r="M2954" s="23" t="e">
        <f ca="1">[1]!BexGetData("DP_1","003N8EMH8GTFRIVOG7KG9IQXA","GSON3220000001")</f>
        <v>#NAME?</v>
      </c>
      <c r="N2954" s="28" t="e">
        <f ca="1">[1]!BexGetData("DP_1","003N8EMH8GTFRIVOG7KG9IX8U","GSON3220000001")</f>
        <v>#NAME?</v>
      </c>
      <c r="O2954" s="23" t="e">
        <f ca="1">[1]!BexGetData("DP_1","003N8EMH8GTFRIVOG7KG9J3KE","GSON3220000001")</f>
        <v>#NAME?</v>
      </c>
      <c r="P2954" s="28" t="e">
        <f ca="1">[1]!BexGetData("DP_1","003N8EMH8GTFRIVOG7KG9J9VY","GSON3220000001")</f>
        <v>#NAME?</v>
      </c>
      <c r="Q2954" s="23" t="e">
        <f ca="1">[1]!BexGetData("DP_1","00O2TNJGODT0G5Z4TTKYMM5MT","GSON3220000001")</f>
        <v>#NAME?</v>
      </c>
      <c r="R2954" s="23" t="e">
        <f ca="1">[1]!BexGetData("DP_1","00O2TNJGODT0G5Z4TTKYMMBYD","GSON3220000001")</f>
        <v>#NAME?</v>
      </c>
      <c r="S2954" s="23" t="e">
        <f ca="1">[1]!BexGetData("DP_1","00O2TNJGODT0G5Z4TTKYMMI9X","GSON3220000001")</f>
        <v>#NAME?</v>
      </c>
      <c r="T2954" s="28" t="e">
        <f ca="1">[1]!BexGetData("DP_1","00O2TNJGODT0G5Z4TTKYMMOLH","GSON3220000001")</f>
        <v>#NAME?</v>
      </c>
      <c r="U2954" s="23" t="e">
        <f ca="1">[1]!BexGetData("DP_1","00O2TNJGODT0G5Z4TTKYMMUX1","GSON3220000001")</f>
        <v>#NAME?</v>
      </c>
      <c r="V2954" s="28" t="e">
        <f ca="1">[1]!BexGetData("DP_1","00O2TNJGODT0G5Z4TTKYMN18L","GSON3220000001")</f>
        <v>#NAME?</v>
      </c>
      <c r="W2954" s="23" t="e">
        <f ca="1">[1]!BexGetData("DP_1","00O2TNJGODT0G5Z4TTKYMN7K5","GSON3220000001")</f>
        <v>#NAME?</v>
      </c>
    </row>
    <row r="2955" spans="1:23" x14ac:dyDescent="0.2">
      <c r="A2955" s="36" t="s">
        <v>1456</v>
      </c>
      <c r="B2955" s="27" t="s">
        <v>505</v>
      </c>
      <c r="C2955" s="28" t="e">
        <f ca="1">[1]!BexGetData("DP_1","003N8EMH8GTFRCSWKMPXRR8GU","GSON3220000002")</f>
        <v>#NAME?</v>
      </c>
      <c r="D2955" s="28" t="e">
        <f ca="1">[1]!BexGetData("DP_1","003N8EMH8GTFRCSWKMPXRRESE","GSON3220000002")</f>
        <v>#NAME?</v>
      </c>
      <c r="E2955" s="23" t="e">
        <f ca="1">[1]!BexGetData("DP_1","003N8EMH8GTFRCSWKMPXRRL3Y","GSON3220000002")</f>
        <v>#NAME?</v>
      </c>
      <c r="F2955" s="23" t="e">
        <f ca="1">[1]!BexGetData("DP_1","003N8EMH8GTFRCSWKMPXRRRFI","GSON3220000002")</f>
        <v>#NAME?</v>
      </c>
      <c r="G2955" s="23" t="e">
        <f ca="1">[1]!BexGetData("DP_1","003N8EMH8GTFRCSWKMPXRRXR2","GSON3220000002")</f>
        <v>#NAME?</v>
      </c>
      <c r="H2955" s="28" t="e">
        <f ca="1">[1]!BexGetData("DP_1","003N8EMH8GTFRCSWKMPXRS42M","GSON3220000002")</f>
        <v>#NAME?</v>
      </c>
      <c r="I2955" s="23" t="e">
        <f ca="1">[1]!BexGetData("DP_1","003N8EMH8GTFRCSWKMPXRSAE6","GSON3220000002")</f>
        <v>#NAME?</v>
      </c>
      <c r="J2955" s="23" t="e">
        <f ca="1">[1]!BexGetData("DP_1","003N8EMH8GTFRCSWKMPXRSGPQ","GSON3220000002")</f>
        <v>#NAME?</v>
      </c>
      <c r="K2955" s="28" t="e">
        <f ca="1">[1]!BexGetData("DP_1","003N8EMH8GTFRIVNUPY288VJH","GSON3220000002")</f>
        <v>#NAME?</v>
      </c>
      <c r="L2955" s="28" t="e">
        <f ca="1">[1]!BexGetData("DP_1","003N8EMH8GTFRIVNUPY2891V1","GSON3220000002")</f>
        <v>#NAME?</v>
      </c>
      <c r="M2955" s="28" t="e">
        <f ca="1">[1]!BexGetData("DP_1","003N8EMH8GTFRIVOG7KG9IQXA","GSON3220000002")</f>
        <v>#NAME?</v>
      </c>
      <c r="N2955" s="28" t="e">
        <f ca="1">[1]!BexGetData("DP_1","003N8EMH8GTFRIVOG7KG9IX8U","GSON3220000002")</f>
        <v>#NAME?</v>
      </c>
      <c r="O2955" s="28" t="e">
        <f ca="1">[1]!BexGetData("DP_1","003N8EMH8GTFRIVOG7KG9J3KE","GSON3220000002")</f>
        <v>#NAME?</v>
      </c>
      <c r="P2955" s="28" t="e">
        <f ca="1">[1]!BexGetData("DP_1","003N8EMH8GTFRIVOG7KG9J9VY","GSON3220000002")</f>
        <v>#NAME?</v>
      </c>
      <c r="Q2955" s="23" t="e">
        <f ca="1">[1]!BexGetData("DP_1","00O2TNJGODT0G5Z4TTKYMM5MT","GSON3220000002")</f>
        <v>#NAME?</v>
      </c>
      <c r="R2955" s="23" t="e">
        <f ca="1">[1]!BexGetData("DP_1","00O2TNJGODT0G5Z4TTKYMMBYD","GSON3220000002")</f>
        <v>#NAME?</v>
      </c>
      <c r="S2955" s="23" t="e">
        <f ca="1">[1]!BexGetData("DP_1","00O2TNJGODT0G5Z4TTKYMMI9X","GSON3220000002")</f>
        <v>#NAME?</v>
      </c>
      <c r="T2955" s="28" t="e">
        <f ca="1">[1]!BexGetData("DP_1","00O2TNJGODT0G5Z4TTKYMMOLH","GSON3220000002")</f>
        <v>#NAME?</v>
      </c>
      <c r="U2955" s="23" t="e">
        <f ca="1">[1]!BexGetData("DP_1","00O2TNJGODT0G5Z4TTKYMMUX1","GSON3220000002")</f>
        <v>#NAME?</v>
      </c>
      <c r="V2955" s="28" t="e">
        <f ca="1">[1]!BexGetData("DP_1","00O2TNJGODT0G5Z4TTKYMN18L","GSON3220000002")</f>
        <v>#NAME?</v>
      </c>
      <c r="W2955" s="23" t="e">
        <f ca="1">[1]!BexGetData("DP_1","00O2TNJGODT0G5Z4TTKYMN7K5","GSON3220000002")</f>
        <v>#NAME?</v>
      </c>
    </row>
    <row r="2956" spans="1:23" x14ac:dyDescent="0.2">
      <c r="A2956" s="36" t="s">
        <v>6351</v>
      </c>
      <c r="B2956" s="27" t="s">
        <v>6352</v>
      </c>
      <c r="C2956" s="28" t="e">
        <f ca="1">[1]!BexGetData("DP_1","003N8EMH8GTFRCSWKMPXRR8GU","GSON3220000003")</f>
        <v>#NAME?</v>
      </c>
      <c r="D2956" s="28" t="e">
        <f ca="1">[1]!BexGetData("DP_1","003N8EMH8GTFRCSWKMPXRRESE","GSON3220000003")</f>
        <v>#NAME?</v>
      </c>
      <c r="E2956" s="23" t="e">
        <f ca="1">[1]!BexGetData("DP_1","003N8EMH8GTFRCSWKMPXRRL3Y","GSON3220000003")</f>
        <v>#NAME?</v>
      </c>
      <c r="F2956" s="23" t="e">
        <f ca="1">[1]!BexGetData("DP_1","003N8EMH8GTFRCSWKMPXRRRFI","GSON3220000003")</f>
        <v>#NAME?</v>
      </c>
      <c r="G2956" s="23" t="e">
        <f ca="1">[1]!BexGetData("DP_1","003N8EMH8GTFRCSWKMPXRRXR2","GSON3220000003")</f>
        <v>#NAME?</v>
      </c>
      <c r="H2956" s="28" t="e">
        <f ca="1">[1]!BexGetData("DP_1","003N8EMH8GTFRCSWKMPXRS42M","GSON3220000003")</f>
        <v>#NAME?</v>
      </c>
      <c r="I2956" s="23" t="e">
        <f ca="1">[1]!BexGetData("DP_1","003N8EMH8GTFRCSWKMPXRSAE6","GSON3220000003")</f>
        <v>#NAME?</v>
      </c>
      <c r="J2956" s="23" t="e">
        <f ca="1">[1]!BexGetData("DP_1","003N8EMH8GTFRCSWKMPXRSGPQ","GSON3220000003")</f>
        <v>#NAME?</v>
      </c>
      <c r="K2956" s="28" t="e">
        <f ca="1">[1]!BexGetData("DP_1","003N8EMH8GTFRIVNUPY288VJH","GSON3220000003")</f>
        <v>#NAME?</v>
      </c>
      <c r="L2956" s="28" t="e">
        <f ca="1">[1]!BexGetData("DP_1","003N8EMH8GTFRIVNUPY2891V1","GSON3220000003")</f>
        <v>#NAME?</v>
      </c>
      <c r="M2956" s="28" t="e">
        <f ca="1">[1]!BexGetData("DP_1","003N8EMH8GTFRIVOG7KG9IQXA","GSON3220000003")</f>
        <v>#NAME?</v>
      </c>
      <c r="N2956" s="28" t="e">
        <f ca="1">[1]!BexGetData("DP_1","003N8EMH8GTFRIVOG7KG9IX8U","GSON3220000003")</f>
        <v>#NAME?</v>
      </c>
      <c r="O2956" s="28" t="e">
        <f ca="1">[1]!BexGetData("DP_1","003N8EMH8GTFRIVOG7KG9J3KE","GSON3220000003")</f>
        <v>#NAME?</v>
      </c>
      <c r="P2956" s="28" t="e">
        <f ca="1">[1]!BexGetData("DP_1","003N8EMH8GTFRIVOG7KG9J9VY","GSON3220000003")</f>
        <v>#NAME?</v>
      </c>
      <c r="Q2956" s="23" t="e">
        <f ca="1">[1]!BexGetData("DP_1","00O2TNJGODT0G5Z4TTKYMM5MT","GSON3220000003")</f>
        <v>#NAME?</v>
      </c>
      <c r="R2956" s="23" t="e">
        <f ca="1">[1]!BexGetData("DP_1","00O2TNJGODT0G5Z4TTKYMMBYD","GSON3220000003")</f>
        <v>#NAME?</v>
      </c>
      <c r="S2956" s="23" t="e">
        <f ca="1">[1]!BexGetData("DP_1","00O2TNJGODT0G5Z4TTKYMMI9X","GSON3220000003")</f>
        <v>#NAME?</v>
      </c>
      <c r="T2956" s="28" t="e">
        <f ca="1">[1]!BexGetData("DP_1","00O2TNJGODT0G5Z4TTKYMMOLH","GSON3220000003")</f>
        <v>#NAME?</v>
      </c>
      <c r="U2956" s="23" t="e">
        <f ca="1">[1]!BexGetData("DP_1","00O2TNJGODT0G5Z4TTKYMMUX1","GSON3220000003")</f>
        <v>#NAME?</v>
      </c>
      <c r="V2956" s="28" t="e">
        <f ca="1">[1]!BexGetData("DP_1","00O2TNJGODT0G5Z4TTKYMN18L","GSON3220000003")</f>
        <v>#NAME?</v>
      </c>
      <c r="W2956" s="23" t="e">
        <f ca="1">[1]!BexGetData("DP_1","00O2TNJGODT0G5Z4TTKYMN7K5","GSON3220000003")</f>
        <v>#NAME?</v>
      </c>
    </row>
    <row r="2957" spans="1:23" x14ac:dyDescent="0.2">
      <c r="A2957" s="36" t="s">
        <v>1457</v>
      </c>
      <c r="B2957" s="27" t="s">
        <v>1458</v>
      </c>
      <c r="C2957" s="28" t="e">
        <f ca="1">[1]!BexGetData("DP_1","003N8EMH8GTFRCSWKMPXRR8GU","GSON3220000004")</f>
        <v>#NAME?</v>
      </c>
      <c r="D2957" s="28" t="e">
        <f ca="1">[1]!BexGetData("DP_1","003N8EMH8GTFRCSWKMPXRRESE","GSON3220000004")</f>
        <v>#NAME?</v>
      </c>
      <c r="E2957" s="23" t="e">
        <f ca="1">[1]!BexGetData("DP_1","003N8EMH8GTFRCSWKMPXRRL3Y","GSON3220000004")</f>
        <v>#NAME?</v>
      </c>
      <c r="F2957" s="23" t="e">
        <f ca="1">[1]!BexGetData("DP_1","003N8EMH8GTFRCSWKMPXRRRFI","GSON3220000004")</f>
        <v>#NAME?</v>
      </c>
      <c r="G2957" s="23" t="e">
        <f ca="1">[1]!BexGetData("DP_1","003N8EMH8GTFRCSWKMPXRRXR2","GSON3220000004")</f>
        <v>#NAME?</v>
      </c>
      <c r="H2957" s="28" t="e">
        <f ca="1">[1]!BexGetData("DP_1","003N8EMH8GTFRCSWKMPXRS42M","GSON3220000004")</f>
        <v>#NAME?</v>
      </c>
      <c r="I2957" s="23" t="e">
        <f ca="1">[1]!BexGetData("DP_1","003N8EMH8GTFRCSWKMPXRSAE6","GSON3220000004")</f>
        <v>#NAME?</v>
      </c>
      <c r="J2957" s="23" t="e">
        <f ca="1">[1]!BexGetData("DP_1","003N8EMH8GTFRCSWKMPXRSGPQ","GSON3220000004")</f>
        <v>#NAME?</v>
      </c>
      <c r="K2957" s="28" t="e">
        <f ca="1">[1]!BexGetData("DP_1","003N8EMH8GTFRIVNUPY288VJH","GSON3220000004")</f>
        <v>#NAME?</v>
      </c>
      <c r="L2957" s="28" t="e">
        <f ca="1">[1]!BexGetData("DP_1","003N8EMH8GTFRIVNUPY2891V1","GSON3220000004")</f>
        <v>#NAME?</v>
      </c>
      <c r="M2957" s="28" t="e">
        <f ca="1">[1]!BexGetData("DP_1","003N8EMH8GTFRIVOG7KG9IQXA","GSON3220000004")</f>
        <v>#NAME?</v>
      </c>
      <c r="N2957" s="28" t="e">
        <f ca="1">[1]!BexGetData("DP_1","003N8EMH8GTFRIVOG7KG9IX8U","GSON3220000004")</f>
        <v>#NAME?</v>
      </c>
      <c r="O2957" s="28" t="e">
        <f ca="1">[1]!BexGetData("DP_1","003N8EMH8GTFRIVOG7KG9J3KE","GSON3220000004")</f>
        <v>#NAME?</v>
      </c>
      <c r="P2957" s="28" t="e">
        <f ca="1">[1]!BexGetData("DP_1","003N8EMH8GTFRIVOG7KG9J9VY","GSON3220000004")</f>
        <v>#NAME?</v>
      </c>
      <c r="Q2957" s="23" t="e">
        <f ca="1">[1]!BexGetData("DP_1","00O2TNJGODT0G5Z4TTKYMM5MT","GSON3220000004")</f>
        <v>#NAME?</v>
      </c>
      <c r="R2957" s="23" t="e">
        <f ca="1">[1]!BexGetData("DP_1","00O2TNJGODT0G5Z4TTKYMMBYD","GSON3220000004")</f>
        <v>#NAME?</v>
      </c>
      <c r="S2957" s="23" t="e">
        <f ca="1">[1]!BexGetData("DP_1","00O2TNJGODT0G5Z4TTKYMMI9X","GSON3220000004")</f>
        <v>#NAME?</v>
      </c>
      <c r="T2957" s="28" t="e">
        <f ca="1">[1]!BexGetData("DP_1","00O2TNJGODT0G5Z4TTKYMMOLH","GSON3220000004")</f>
        <v>#NAME?</v>
      </c>
      <c r="U2957" s="23" t="e">
        <f ca="1">[1]!BexGetData("DP_1","00O2TNJGODT0G5Z4TTKYMMUX1","GSON3220000004")</f>
        <v>#NAME?</v>
      </c>
      <c r="V2957" s="28" t="e">
        <f ca="1">[1]!BexGetData("DP_1","00O2TNJGODT0G5Z4TTKYMN18L","GSON3220000004")</f>
        <v>#NAME?</v>
      </c>
      <c r="W2957" s="23" t="e">
        <f ca="1">[1]!BexGetData("DP_1","00O2TNJGODT0G5Z4TTKYMN7K5","GSON3220000004")</f>
        <v>#NAME?</v>
      </c>
    </row>
    <row r="2958" spans="1:23" x14ac:dyDescent="0.2">
      <c r="A2958" s="36" t="s">
        <v>1459</v>
      </c>
      <c r="B2958" s="27" t="s">
        <v>1460</v>
      </c>
      <c r="C2958" s="28" t="e">
        <f ca="1">[1]!BexGetData("DP_1","003N8EMH8GTFRCSWKMPXRR8GU","GSON3220000005")</f>
        <v>#NAME?</v>
      </c>
      <c r="D2958" s="28" t="e">
        <f ca="1">[1]!BexGetData("DP_1","003N8EMH8GTFRCSWKMPXRRESE","GSON3220000005")</f>
        <v>#NAME?</v>
      </c>
      <c r="E2958" s="23" t="e">
        <f ca="1">[1]!BexGetData("DP_1","003N8EMH8GTFRCSWKMPXRRL3Y","GSON3220000005")</f>
        <v>#NAME?</v>
      </c>
      <c r="F2958" s="23" t="e">
        <f ca="1">[1]!BexGetData("DP_1","003N8EMH8GTFRCSWKMPXRRRFI","GSON3220000005")</f>
        <v>#NAME?</v>
      </c>
      <c r="G2958" s="23" t="e">
        <f ca="1">[1]!BexGetData("DP_1","003N8EMH8GTFRCSWKMPXRRXR2","GSON3220000005")</f>
        <v>#NAME?</v>
      </c>
      <c r="H2958" s="28" t="e">
        <f ca="1">[1]!BexGetData("DP_1","003N8EMH8GTFRCSWKMPXRS42M","GSON3220000005")</f>
        <v>#NAME?</v>
      </c>
      <c r="I2958" s="23" t="e">
        <f ca="1">[1]!BexGetData("DP_1","003N8EMH8GTFRCSWKMPXRSAE6","GSON3220000005")</f>
        <v>#NAME?</v>
      </c>
      <c r="J2958" s="23" t="e">
        <f ca="1">[1]!BexGetData("DP_1","003N8EMH8GTFRCSWKMPXRSGPQ","GSON3220000005")</f>
        <v>#NAME?</v>
      </c>
      <c r="K2958" s="28" t="e">
        <f ca="1">[1]!BexGetData("DP_1","003N8EMH8GTFRIVNUPY288VJH","GSON3220000005")</f>
        <v>#NAME?</v>
      </c>
      <c r="L2958" s="28" t="e">
        <f ca="1">[1]!BexGetData("DP_1","003N8EMH8GTFRIVNUPY2891V1","GSON3220000005")</f>
        <v>#NAME?</v>
      </c>
      <c r="M2958" s="28" t="e">
        <f ca="1">[1]!BexGetData("DP_1","003N8EMH8GTFRIVOG7KG9IQXA","GSON3220000005")</f>
        <v>#NAME?</v>
      </c>
      <c r="N2958" s="28" t="e">
        <f ca="1">[1]!BexGetData("DP_1","003N8EMH8GTFRIVOG7KG9IX8U","GSON3220000005")</f>
        <v>#NAME?</v>
      </c>
      <c r="O2958" s="28" t="e">
        <f ca="1">[1]!BexGetData("DP_1","003N8EMH8GTFRIVOG7KG9J3KE","GSON3220000005")</f>
        <v>#NAME?</v>
      </c>
      <c r="P2958" s="28" t="e">
        <f ca="1">[1]!BexGetData("DP_1","003N8EMH8GTFRIVOG7KG9J9VY","GSON3220000005")</f>
        <v>#NAME?</v>
      </c>
      <c r="Q2958" s="23" t="e">
        <f ca="1">[1]!BexGetData("DP_1","00O2TNJGODT0G5Z4TTKYMM5MT","GSON3220000005")</f>
        <v>#NAME?</v>
      </c>
      <c r="R2958" s="23" t="e">
        <f ca="1">[1]!BexGetData("DP_1","00O2TNJGODT0G5Z4TTKYMMBYD","GSON3220000005")</f>
        <v>#NAME?</v>
      </c>
      <c r="S2958" s="23" t="e">
        <f ca="1">[1]!BexGetData("DP_1","00O2TNJGODT0G5Z4TTKYMMI9X","GSON3220000005")</f>
        <v>#NAME?</v>
      </c>
      <c r="T2958" s="28" t="e">
        <f ca="1">[1]!BexGetData("DP_1","00O2TNJGODT0G5Z4TTKYMMOLH","GSON3220000005")</f>
        <v>#NAME?</v>
      </c>
      <c r="U2958" s="23" t="e">
        <f ca="1">[1]!BexGetData("DP_1","00O2TNJGODT0G5Z4TTKYMMUX1","GSON3220000005")</f>
        <v>#NAME?</v>
      </c>
      <c r="V2958" s="28" t="e">
        <f ca="1">[1]!BexGetData("DP_1","00O2TNJGODT0G5Z4TTKYMN18L","GSON3220000005")</f>
        <v>#NAME?</v>
      </c>
      <c r="W2958" s="23" t="e">
        <f ca="1">[1]!BexGetData("DP_1","00O2TNJGODT0G5Z4TTKYMN7K5","GSON3220000005")</f>
        <v>#NAME?</v>
      </c>
    </row>
    <row r="2959" spans="1:23" x14ac:dyDescent="0.2">
      <c r="A2959" s="36" t="s">
        <v>1461</v>
      </c>
      <c r="B2959" s="27" t="s">
        <v>1462</v>
      </c>
      <c r="C2959" s="28" t="e">
        <f ca="1">[1]!BexGetData("DP_1","003N8EMH8GTFRCSWKMPXRR8GU","GSON3220000006")</f>
        <v>#NAME?</v>
      </c>
      <c r="D2959" s="28" t="e">
        <f ca="1">[1]!BexGetData("DP_1","003N8EMH8GTFRCSWKMPXRRESE","GSON3220000006")</f>
        <v>#NAME?</v>
      </c>
      <c r="E2959" s="23" t="e">
        <f ca="1">[1]!BexGetData("DP_1","003N8EMH8GTFRCSWKMPXRRL3Y","GSON3220000006")</f>
        <v>#NAME?</v>
      </c>
      <c r="F2959" s="23" t="e">
        <f ca="1">[1]!BexGetData("DP_1","003N8EMH8GTFRCSWKMPXRRRFI","GSON3220000006")</f>
        <v>#NAME?</v>
      </c>
      <c r="G2959" s="23" t="e">
        <f ca="1">[1]!BexGetData("DP_1","003N8EMH8GTFRCSWKMPXRRXR2","GSON3220000006")</f>
        <v>#NAME?</v>
      </c>
      <c r="H2959" s="28" t="e">
        <f ca="1">[1]!BexGetData("DP_1","003N8EMH8GTFRCSWKMPXRS42M","GSON3220000006")</f>
        <v>#NAME?</v>
      </c>
      <c r="I2959" s="23" t="e">
        <f ca="1">[1]!BexGetData("DP_1","003N8EMH8GTFRCSWKMPXRSAE6","GSON3220000006")</f>
        <v>#NAME?</v>
      </c>
      <c r="J2959" s="23" t="e">
        <f ca="1">[1]!BexGetData("DP_1","003N8EMH8GTFRCSWKMPXRSGPQ","GSON3220000006")</f>
        <v>#NAME?</v>
      </c>
      <c r="K2959" s="28" t="e">
        <f ca="1">[1]!BexGetData("DP_1","003N8EMH8GTFRIVNUPY288VJH","GSON3220000006")</f>
        <v>#NAME?</v>
      </c>
      <c r="L2959" s="28" t="e">
        <f ca="1">[1]!BexGetData("DP_1","003N8EMH8GTFRIVNUPY2891V1","GSON3220000006")</f>
        <v>#NAME?</v>
      </c>
      <c r="M2959" s="28" t="e">
        <f ca="1">[1]!BexGetData("DP_1","003N8EMH8GTFRIVOG7KG9IQXA","GSON3220000006")</f>
        <v>#NAME?</v>
      </c>
      <c r="N2959" s="28" t="e">
        <f ca="1">[1]!BexGetData("DP_1","003N8EMH8GTFRIVOG7KG9IX8U","GSON3220000006")</f>
        <v>#NAME?</v>
      </c>
      <c r="O2959" s="28" t="e">
        <f ca="1">[1]!BexGetData("DP_1","003N8EMH8GTFRIVOG7KG9J3KE","GSON3220000006")</f>
        <v>#NAME?</v>
      </c>
      <c r="P2959" s="28" t="e">
        <f ca="1">[1]!BexGetData("DP_1","003N8EMH8GTFRIVOG7KG9J9VY","GSON3220000006")</f>
        <v>#NAME?</v>
      </c>
      <c r="Q2959" s="23" t="e">
        <f ca="1">[1]!BexGetData("DP_1","00O2TNJGODT0G5Z4TTKYMM5MT","GSON3220000006")</f>
        <v>#NAME?</v>
      </c>
      <c r="R2959" s="23" t="e">
        <f ca="1">[1]!BexGetData("DP_1","00O2TNJGODT0G5Z4TTKYMMBYD","GSON3220000006")</f>
        <v>#NAME?</v>
      </c>
      <c r="S2959" s="23" t="e">
        <f ca="1">[1]!BexGetData("DP_1","00O2TNJGODT0G5Z4TTKYMMI9X","GSON3220000006")</f>
        <v>#NAME?</v>
      </c>
      <c r="T2959" s="28" t="e">
        <f ca="1">[1]!BexGetData("DP_1","00O2TNJGODT0G5Z4TTKYMMOLH","GSON3220000006")</f>
        <v>#NAME?</v>
      </c>
      <c r="U2959" s="23" t="e">
        <f ca="1">[1]!BexGetData("DP_1","00O2TNJGODT0G5Z4TTKYMMUX1","GSON3220000006")</f>
        <v>#NAME?</v>
      </c>
      <c r="V2959" s="28" t="e">
        <f ca="1">[1]!BexGetData("DP_1","00O2TNJGODT0G5Z4TTKYMN18L","GSON3220000006")</f>
        <v>#NAME?</v>
      </c>
      <c r="W2959" s="23" t="e">
        <f ca="1">[1]!BexGetData("DP_1","00O2TNJGODT0G5Z4TTKYMN7K5","GSON3220000006")</f>
        <v>#NAME?</v>
      </c>
    </row>
    <row r="2960" spans="1:23" x14ac:dyDescent="0.2">
      <c r="A2960" s="36" t="s">
        <v>6353</v>
      </c>
      <c r="B2960" s="27" t="s">
        <v>6354</v>
      </c>
      <c r="C2960" s="23" t="e">
        <f ca="1">[1]!BexGetData("DP_1","003N8EMH8GTFRCSWKMPXRR8GU","GSON3220000007")</f>
        <v>#NAME?</v>
      </c>
      <c r="D2960" s="28" t="e">
        <f ca="1">[1]!BexGetData("DP_1","003N8EMH8GTFRCSWKMPXRRESE","GSON3220000007")</f>
        <v>#NAME?</v>
      </c>
      <c r="E2960" s="23" t="e">
        <f ca="1">[1]!BexGetData("DP_1","003N8EMH8GTFRCSWKMPXRRL3Y","GSON3220000007")</f>
        <v>#NAME?</v>
      </c>
      <c r="F2960" s="23" t="e">
        <f ca="1">[1]!BexGetData("DP_1","003N8EMH8GTFRCSWKMPXRRRFI","GSON3220000007")</f>
        <v>#NAME?</v>
      </c>
      <c r="G2960" s="23" t="e">
        <f ca="1">[1]!BexGetData("DP_1","003N8EMH8GTFRCSWKMPXRRXR2","GSON3220000007")</f>
        <v>#NAME?</v>
      </c>
      <c r="H2960" s="28" t="e">
        <f ca="1">[1]!BexGetData("DP_1","003N8EMH8GTFRCSWKMPXRS42M","GSON3220000007")</f>
        <v>#NAME?</v>
      </c>
      <c r="I2960" s="23" t="e">
        <f ca="1">[1]!BexGetData("DP_1","003N8EMH8GTFRCSWKMPXRSAE6","GSON3220000007")</f>
        <v>#NAME?</v>
      </c>
      <c r="J2960" s="23" t="e">
        <f ca="1">[1]!BexGetData("DP_1","003N8EMH8GTFRCSWKMPXRSGPQ","GSON3220000007")</f>
        <v>#NAME?</v>
      </c>
      <c r="K2960" s="23" t="e">
        <f ca="1">[1]!BexGetData("DP_1","003N8EMH8GTFRIVNUPY288VJH","GSON3220000007")</f>
        <v>#NAME?</v>
      </c>
      <c r="L2960" s="23" t="e">
        <f ca="1">[1]!BexGetData("DP_1","003N8EMH8GTFRIVNUPY2891V1","GSON3220000007")</f>
        <v>#NAME?</v>
      </c>
      <c r="M2960" s="28" t="e">
        <f ca="1">[1]!BexGetData("DP_1","003N8EMH8GTFRIVOG7KG9IQXA","GSON3220000007")</f>
        <v>#NAME?</v>
      </c>
      <c r="N2960" s="23" t="e">
        <f ca="1">[1]!BexGetData("DP_1","003N8EMH8GTFRIVOG7KG9IX8U","GSON3220000007")</f>
        <v>#NAME?</v>
      </c>
      <c r="O2960" s="28" t="e">
        <f ca="1">[1]!BexGetData("DP_1","003N8EMH8GTFRIVOG7KG9J3KE","GSON3220000007")</f>
        <v>#NAME?</v>
      </c>
      <c r="P2960" s="23" t="e">
        <f ca="1">[1]!BexGetData("DP_1","003N8EMH8GTFRIVOG7KG9J9VY","GSON3220000007")</f>
        <v>#NAME?</v>
      </c>
      <c r="Q2960" s="23" t="e">
        <f ca="1">[1]!BexGetData("DP_1","00O2TNJGODT0G5Z4TTKYMM5MT","GSON3220000007")</f>
        <v>#NAME?</v>
      </c>
      <c r="R2960" s="23" t="e">
        <f ca="1">[1]!BexGetData("DP_1","00O2TNJGODT0G5Z4TTKYMMBYD","GSON3220000007")</f>
        <v>#NAME?</v>
      </c>
      <c r="S2960" s="23" t="e">
        <f ca="1">[1]!BexGetData("DP_1","00O2TNJGODT0G5Z4TTKYMMI9X","GSON3220000007")</f>
        <v>#NAME?</v>
      </c>
      <c r="T2960" s="28" t="e">
        <f ca="1">[1]!BexGetData("DP_1","00O2TNJGODT0G5Z4TTKYMMOLH","GSON3220000007")</f>
        <v>#NAME?</v>
      </c>
      <c r="U2960" s="23" t="e">
        <f ca="1">[1]!BexGetData("DP_1","00O2TNJGODT0G5Z4TTKYMMUX1","GSON3220000007")</f>
        <v>#NAME?</v>
      </c>
      <c r="V2960" s="28" t="e">
        <f ca="1">[1]!BexGetData("DP_1","00O2TNJGODT0G5Z4TTKYMN18L","GSON3220000007")</f>
        <v>#NAME?</v>
      </c>
      <c r="W2960" s="23" t="e">
        <f ca="1">[1]!BexGetData("DP_1","00O2TNJGODT0G5Z4TTKYMN7K5","GSON3220000007")</f>
        <v>#NAME?</v>
      </c>
    </row>
    <row r="2961" spans="1:23" x14ac:dyDescent="0.2">
      <c r="A2961" s="36" t="s">
        <v>6355</v>
      </c>
      <c r="B2961" s="27" t="s">
        <v>6356</v>
      </c>
      <c r="C2961" s="28" t="e">
        <f ca="1">[1]!BexGetData("DP_1","003N8EMH8GTFRCSWKMPXRR8GU","GSON3220000008")</f>
        <v>#NAME?</v>
      </c>
      <c r="D2961" s="28" t="e">
        <f ca="1">[1]!BexGetData("DP_1","003N8EMH8GTFRCSWKMPXRRESE","GSON3220000008")</f>
        <v>#NAME?</v>
      </c>
      <c r="E2961" s="23" t="e">
        <f ca="1">[1]!BexGetData("DP_1","003N8EMH8GTFRCSWKMPXRRL3Y","GSON3220000008")</f>
        <v>#NAME?</v>
      </c>
      <c r="F2961" s="23" t="e">
        <f ca="1">[1]!BexGetData("DP_1","003N8EMH8GTFRCSWKMPXRRRFI","GSON3220000008")</f>
        <v>#NAME?</v>
      </c>
      <c r="G2961" s="23" t="e">
        <f ca="1">[1]!BexGetData("DP_1","003N8EMH8GTFRCSWKMPXRRXR2","GSON3220000008")</f>
        <v>#NAME?</v>
      </c>
      <c r="H2961" s="23" t="e">
        <f ca="1">[1]!BexGetData("DP_1","003N8EMH8GTFRCSWKMPXRS42M","GSON3220000008")</f>
        <v>#NAME?</v>
      </c>
      <c r="I2961" s="23" t="e">
        <f ca="1">[1]!BexGetData("DP_1","003N8EMH8GTFRCSWKMPXRSAE6","GSON3220000008")</f>
        <v>#NAME?</v>
      </c>
      <c r="J2961" s="23" t="e">
        <f ca="1">[1]!BexGetData("DP_1","003N8EMH8GTFRCSWKMPXRSGPQ","GSON3220000008")</f>
        <v>#NAME?</v>
      </c>
      <c r="K2961" s="28" t="e">
        <f ca="1">[1]!BexGetData("DP_1","003N8EMH8GTFRIVNUPY288VJH","GSON3220000008")</f>
        <v>#NAME?</v>
      </c>
      <c r="L2961" s="28" t="e">
        <f ca="1">[1]!BexGetData("DP_1","003N8EMH8GTFRIVNUPY2891V1","GSON3220000008")</f>
        <v>#NAME?</v>
      </c>
      <c r="M2961" s="28" t="e">
        <f ca="1">[1]!BexGetData("DP_1","003N8EMH8GTFRIVOG7KG9IQXA","GSON3220000008")</f>
        <v>#NAME?</v>
      </c>
      <c r="N2961" s="28" t="e">
        <f ca="1">[1]!BexGetData("DP_1","003N8EMH8GTFRIVOG7KG9IX8U","GSON3220000008")</f>
        <v>#NAME?</v>
      </c>
      <c r="O2961" s="28" t="e">
        <f ca="1">[1]!BexGetData("DP_1","003N8EMH8GTFRIVOG7KG9J3KE","GSON3220000008")</f>
        <v>#NAME?</v>
      </c>
      <c r="P2961" s="28" t="e">
        <f ca="1">[1]!BexGetData("DP_1","003N8EMH8GTFRIVOG7KG9J9VY","GSON3220000008")</f>
        <v>#NAME?</v>
      </c>
      <c r="Q2961" s="23" t="e">
        <f ca="1">[1]!BexGetData("DP_1","00O2TNJGODT0G5Z4TTKYMM5MT","GSON3220000008")</f>
        <v>#NAME?</v>
      </c>
      <c r="R2961" s="23" t="e">
        <f ca="1">[1]!BexGetData("DP_1","00O2TNJGODT0G5Z4TTKYMMBYD","GSON3220000008")</f>
        <v>#NAME?</v>
      </c>
      <c r="S2961" s="23" t="e">
        <f ca="1">[1]!BexGetData("DP_1","00O2TNJGODT0G5Z4TTKYMMI9X","GSON3220000008")</f>
        <v>#NAME?</v>
      </c>
      <c r="T2961" s="28" t="e">
        <f ca="1">[1]!BexGetData("DP_1","00O2TNJGODT0G5Z4TTKYMMOLH","GSON3220000008")</f>
        <v>#NAME?</v>
      </c>
      <c r="U2961" s="23" t="e">
        <f ca="1">[1]!BexGetData("DP_1","00O2TNJGODT0G5Z4TTKYMMUX1","GSON3220000008")</f>
        <v>#NAME?</v>
      </c>
      <c r="V2961" s="28" t="e">
        <f ca="1">[1]!BexGetData("DP_1","00O2TNJGODT0G5Z4TTKYMN18L","GSON3220000008")</f>
        <v>#NAME?</v>
      </c>
      <c r="W2961" s="23" t="e">
        <f ca="1">[1]!BexGetData("DP_1","00O2TNJGODT0G5Z4TTKYMN7K5","GSON3220000008")</f>
        <v>#NAME?</v>
      </c>
    </row>
    <row r="2962" spans="1:23" x14ac:dyDescent="0.2">
      <c r="A2962" s="36" t="s">
        <v>1463</v>
      </c>
      <c r="B2962" s="27" t="s">
        <v>1464</v>
      </c>
      <c r="C2962" s="23" t="e">
        <f ca="1">[1]!BexGetData("DP_1","003N8EMH8GTFRCSWKMPXRR8GU","GSON3220000009")</f>
        <v>#NAME?</v>
      </c>
      <c r="D2962" s="23" t="e">
        <f ca="1">[1]!BexGetData("DP_1","003N8EMH8GTFRCSWKMPXRRESE","GSON3220000009")</f>
        <v>#NAME?</v>
      </c>
      <c r="E2962" s="23" t="e">
        <f ca="1">[1]!BexGetData("DP_1","003N8EMH8GTFRCSWKMPXRRL3Y","GSON3220000009")</f>
        <v>#NAME?</v>
      </c>
      <c r="F2962" s="23" t="e">
        <f ca="1">[1]!BexGetData("DP_1","003N8EMH8GTFRCSWKMPXRRRFI","GSON3220000009")</f>
        <v>#NAME?</v>
      </c>
      <c r="G2962" s="23" t="e">
        <f ca="1">[1]!BexGetData("DP_1","003N8EMH8GTFRCSWKMPXRRXR2","GSON3220000009")</f>
        <v>#NAME?</v>
      </c>
      <c r="H2962" s="23" t="e">
        <f ca="1">[1]!BexGetData("DP_1","003N8EMH8GTFRCSWKMPXRS42M","GSON3220000009")</f>
        <v>#NAME?</v>
      </c>
      <c r="I2962" s="23" t="e">
        <f ca="1">[1]!BexGetData("DP_1","003N8EMH8GTFRCSWKMPXRSAE6","GSON3220000009")</f>
        <v>#NAME?</v>
      </c>
      <c r="J2962" s="23" t="e">
        <f ca="1">[1]!BexGetData("DP_1","003N8EMH8GTFRCSWKMPXRSGPQ","GSON3220000009")</f>
        <v>#NAME?</v>
      </c>
      <c r="K2962" s="23" t="e">
        <f ca="1">[1]!BexGetData("DP_1","003N8EMH8GTFRIVNUPY288VJH","GSON3220000009")</f>
        <v>#NAME?</v>
      </c>
      <c r="L2962" s="23" t="e">
        <f ca="1">[1]!BexGetData("DP_1","003N8EMH8GTFRIVNUPY2891V1","GSON3220000009")</f>
        <v>#NAME?</v>
      </c>
      <c r="M2962" s="28" t="e">
        <f ca="1">[1]!BexGetData("DP_1","003N8EMH8GTFRIVOG7KG9IQXA","GSON3220000009")</f>
        <v>#NAME?</v>
      </c>
      <c r="N2962" s="23" t="e">
        <f ca="1">[1]!BexGetData("DP_1","003N8EMH8GTFRIVOG7KG9IX8U","GSON3220000009")</f>
        <v>#NAME?</v>
      </c>
      <c r="O2962" s="28" t="e">
        <f ca="1">[1]!BexGetData("DP_1","003N8EMH8GTFRIVOG7KG9J3KE","GSON3220000009")</f>
        <v>#NAME?</v>
      </c>
      <c r="P2962" s="23" t="e">
        <f ca="1">[1]!BexGetData("DP_1","003N8EMH8GTFRIVOG7KG9J9VY","GSON3220000009")</f>
        <v>#NAME?</v>
      </c>
      <c r="Q2962" s="23" t="e">
        <f ca="1">[1]!BexGetData("DP_1","00O2TNJGODT0G5Z4TTKYMM5MT","GSON3220000009")</f>
        <v>#NAME?</v>
      </c>
      <c r="R2962" s="23" t="e">
        <f ca="1">[1]!BexGetData("DP_1","00O2TNJGODT0G5Z4TTKYMMBYD","GSON3220000009")</f>
        <v>#NAME?</v>
      </c>
      <c r="S2962" s="23" t="e">
        <f ca="1">[1]!BexGetData("DP_1","00O2TNJGODT0G5Z4TTKYMMI9X","GSON3220000009")</f>
        <v>#NAME?</v>
      </c>
      <c r="T2962" s="28" t="e">
        <f ca="1">[1]!BexGetData("DP_1","00O2TNJGODT0G5Z4TTKYMMOLH","GSON3220000009")</f>
        <v>#NAME?</v>
      </c>
      <c r="U2962" s="23" t="e">
        <f ca="1">[1]!BexGetData("DP_1","00O2TNJGODT0G5Z4TTKYMMUX1","GSON3220000009")</f>
        <v>#NAME?</v>
      </c>
      <c r="V2962" s="28" t="e">
        <f ca="1">[1]!BexGetData("DP_1","00O2TNJGODT0G5Z4TTKYMN18L","GSON3220000009")</f>
        <v>#NAME?</v>
      </c>
      <c r="W2962" s="23" t="e">
        <f ca="1">[1]!BexGetData("DP_1","00O2TNJGODT0G5Z4TTKYMN7K5","GSON3220000009")</f>
        <v>#NAME?</v>
      </c>
    </row>
    <row r="2963" spans="1:23" x14ac:dyDescent="0.2">
      <c r="A2963" s="36" t="s">
        <v>1465</v>
      </c>
      <c r="B2963" s="27" t="s">
        <v>1466</v>
      </c>
      <c r="C2963" s="28" t="e">
        <f ca="1">[1]!BexGetData("DP_1","003N8EMH8GTFRCSWKMPXRR8GU","GSON3220000010")</f>
        <v>#NAME?</v>
      </c>
      <c r="D2963" s="28" t="e">
        <f ca="1">[1]!BexGetData("DP_1","003N8EMH8GTFRCSWKMPXRRESE","GSON3220000010")</f>
        <v>#NAME?</v>
      </c>
      <c r="E2963" s="23" t="e">
        <f ca="1">[1]!BexGetData("DP_1","003N8EMH8GTFRCSWKMPXRRL3Y","GSON3220000010")</f>
        <v>#NAME?</v>
      </c>
      <c r="F2963" s="23" t="e">
        <f ca="1">[1]!BexGetData("DP_1","003N8EMH8GTFRCSWKMPXRRRFI","GSON3220000010")</f>
        <v>#NAME?</v>
      </c>
      <c r="G2963" s="23" t="e">
        <f ca="1">[1]!BexGetData("DP_1","003N8EMH8GTFRCSWKMPXRRXR2","GSON3220000010")</f>
        <v>#NAME?</v>
      </c>
      <c r="H2963" s="23" t="e">
        <f ca="1">[1]!BexGetData("DP_1","003N8EMH8GTFRCSWKMPXRS42M","GSON3220000010")</f>
        <v>#NAME?</v>
      </c>
      <c r="I2963" s="23" t="e">
        <f ca="1">[1]!BexGetData("DP_1","003N8EMH8GTFRCSWKMPXRSAE6","GSON3220000010")</f>
        <v>#NAME?</v>
      </c>
      <c r="J2963" s="23" t="e">
        <f ca="1">[1]!BexGetData("DP_1","003N8EMH8GTFRCSWKMPXRSGPQ","GSON3220000010")</f>
        <v>#NAME?</v>
      </c>
      <c r="K2963" s="28" t="e">
        <f ca="1">[1]!BexGetData("DP_1","003N8EMH8GTFRIVNUPY288VJH","GSON3220000010")</f>
        <v>#NAME?</v>
      </c>
      <c r="L2963" s="28" t="e">
        <f ca="1">[1]!BexGetData("DP_1","003N8EMH8GTFRIVNUPY2891V1","GSON3220000010")</f>
        <v>#NAME?</v>
      </c>
      <c r="M2963" s="28" t="e">
        <f ca="1">[1]!BexGetData("DP_1","003N8EMH8GTFRIVOG7KG9IQXA","GSON3220000010")</f>
        <v>#NAME?</v>
      </c>
      <c r="N2963" s="28" t="e">
        <f ca="1">[1]!BexGetData("DP_1","003N8EMH8GTFRIVOG7KG9IX8U","GSON3220000010")</f>
        <v>#NAME?</v>
      </c>
      <c r="O2963" s="28" t="e">
        <f ca="1">[1]!BexGetData("DP_1","003N8EMH8GTFRIVOG7KG9J3KE","GSON3220000010")</f>
        <v>#NAME?</v>
      </c>
      <c r="P2963" s="28" t="e">
        <f ca="1">[1]!BexGetData("DP_1","003N8EMH8GTFRIVOG7KG9J9VY","GSON3220000010")</f>
        <v>#NAME?</v>
      </c>
      <c r="Q2963" s="23" t="e">
        <f ca="1">[1]!BexGetData("DP_1","00O2TNJGODT0G5Z4TTKYMM5MT","GSON3220000010")</f>
        <v>#NAME?</v>
      </c>
      <c r="R2963" s="23" t="e">
        <f ca="1">[1]!BexGetData("DP_1","00O2TNJGODT0G5Z4TTKYMMBYD","GSON3220000010")</f>
        <v>#NAME?</v>
      </c>
      <c r="S2963" s="23" t="e">
        <f ca="1">[1]!BexGetData("DP_1","00O2TNJGODT0G5Z4TTKYMMI9X","GSON3220000010")</f>
        <v>#NAME?</v>
      </c>
      <c r="T2963" s="28" t="e">
        <f ca="1">[1]!BexGetData("DP_1","00O2TNJGODT0G5Z4TTKYMMOLH","GSON3220000010")</f>
        <v>#NAME?</v>
      </c>
      <c r="U2963" s="23" t="e">
        <f ca="1">[1]!BexGetData("DP_1","00O2TNJGODT0G5Z4TTKYMMUX1","GSON3220000010")</f>
        <v>#NAME?</v>
      </c>
      <c r="V2963" s="28" t="e">
        <f ca="1">[1]!BexGetData("DP_1","00O2TNJGODT0G5Z4TTKYMN18L","GSON3220000010")</f>
        <v>#NAME?</v>
      </c>
      <c r="W2963" s="23" t="e">
        <f ca="1">[1]!BexGetData("DP_1","00O2TNJGODT0G5Z4TTKYMN7K5","GSON3220000010")</f>
        <v>#NAME?</v>
      </c>
    </row>
    <row r="2964" spans="1:23" x14ac:dyDescent="0.2">
      <c r="A2964" s="36" t="s">
        <v>1467</v>
      </c>
      <c r="B2964" s="27" t="s">
        <v>506</v>
      </c>
      <c r="C2964" s="23" t="e">
        <f ca="1">[1]!BexGetData("DP_1","003N8EMH8GTFRCSWKMPXRR8GU","GSON3220000011")</f>
        <v>#NAME?</v>
      </c>
      <c r="D2964" s="23" t="e">
        <f ca="1">[1]!BexGetData("DP_1","003N8EMH8GTFRCSWKMPXRRESE","GSON3220000011")</f>
        <v>#NAME?</v>
      </c>
      <c r="E2964" s="23" t="e">
        <f ca="1">[1]!BexGetData("DP_1","003N8EMH8GTFRCSWKMPXRRL3Y","GSON3220000011")</f>
        <v>#NAME?</v>
      </c>
      <c r="F2964" s="23" t="e">
        <f ca="1">[1]!BexGetData("DP_1","003N8EMH8GTFRCSWKMPXRRRFI","GSON3220000011")</f>
        <v>#NAME?</v>
      </c>
      <c r="G2964" s="23" t="e">
        <f ca="1">[1]!BexGetData("DP_1","003N8EMH8GTFRCSWKMPXRRXR2","GSON3220000011")</f>
        <v>#NAME?</v>
      </c>
      <c r="H2964" s="23" t="e">
        <f ca="1">[1]!BexGetData("DP_1","003N8EMH8GTFRCSWKMPXRS42M","GSON3220000011")</f>
        <v>#NAME?</v>
      </c>
      <c r="I2964" s="23" t="e">
        <f ca="1">[1]!BexGetData("DP_1","003N8EMH8GTFRCSWKMPXRSAE6","GSON3220000011")</f>
        <v>#NAME?</v>
      </c>
      <c r="J2964" s="23" t="e">
        <f ca="1">[1]!BexGetData("DP_1","003N8EMH8GTFRCSWKMPXRSGPQ","GSON3220000011")</f>
        <v>#NAME?</v>
      </c>
      <c r="K2964" s="23" t="e">
        <f ca="1">[1]!BexGetData("DP_1","003N8EMH8GTFRIVNUPY288VJH","GSON3220000011")</f>
        <v>#NAME?</v>
      </c>
      <c r="L2964" s="23" t="e">
        <f ca="1">[1]!BexGetData("DP_1","003N8EMH8GTFRIVNUPY2891V1","GSON3220000011")</f>
        <v>#NAME?</v>
      </c>
      <c r="M2964" s="23" t="e">
        <f ca="1">[1]!BexGetData("DP_1","003N8EMH8GTFRIVOG7KG9IQXA","GSON3220000011")</f>
        <v>#NAME?</v>
      </c>
      <c r="N2964" s="28" t="e">
        <f ca="1">[1]!BexGetData("DP_1","003N8EMH8GTFRIVOG7KG9IX8U","GSON3220000011")</f>
        <v>#NAME?</v>
      </c>
      <c r="O2964" s="23" t="e">
        <f ca="1">[1]!BexGetData("DP_1","003N8EMH8GTFRIVOG7KG9J3KE","GSON3220000011")</f>
        <v>#NAME?</v>
      </c>
      <c r="P2964" s="28" t="e">
        <f ca="1">[1]!BexGetData("DP_1","003N8EMH8GTFRIVOG7KG9J9VY","GSON3220000011")</f>
        <v>#NAME?</v>
      </c>
      <c r="Q2964" s="23" t="e">
        <f ca="1">[1]!BexGetData("DP_1","00O2TNJGODT0G5Z4TTKYMM5MT","GSON3220000011")</f>
        <v>#NAME?</v>
      </c>
      <c r="R2964" s="23" t="e">
        <f ca="1">[1]!BexGetData("DP_1","00O2TNJGODT0G5Z4TTKYMMBYD","GSON3220000011")</f>
        <v>#NAME?</v>
      </c>
      <c r="S2964" s="23" t="e">
        <f ca="1">[1]!BexGetData("DP_1","00O2TNJGODT0G5Z4TTKYMMI9X","GSON3220000011")</f>
        <v>#NAME?</v>
      </c>
      <c r="T2964" s="28" t="e">
        <f ca="1">[1]!BexGetData("DP_1","00O2TNJGODT0G5Z4TTKYMMOLH","GSON3220000011")</f>
        <v>#NAME?</v>
      </c>
      <c r="U2964" s="23" t="e">
        <f ca="1">[1]!BexGetData("DP_1","00O2TNJGODT0G5Z4TTKYMMUX1","GSON3220000011")</f>
        <v>#NAME?</v>
      </c>
      <c r="V2964" s="28" t="e">
        <f ca="1">[1]!BexGetData("DP_1","00O2TNJGODT0G5Z4TTKYMN18L","GSON3220000011")</f>
        <v>#NAME?</v>
      </c>
      <c r="W2964" s="23" t="e">
        <f ca="1">[1]!BexGetData("DP_1","00O2TNJGODT0G5Z4TTKYMN7K5","GSON3220000011")</f>
        <v>#NAME?</v>
      </c>
    </row>
    <row r="2965" spans="1:23" x14ac:dyDescent="0.2">
      <c r="A2965" s="36" t="s">
        <v>1468</v>
      </c>
      <c r="B2965" s="27" t="s">
        <v>1469</v>
      </c>
      <c r="C2965" s="23" t="e">
        <f ca="1">[1]!BexGetData("DP_1","003N8EMH8GTFRCSWKMPXRR8GU","GSON3220000012")</f>
        <v>#NAME?</v>
      </c>
      <c r="D2965" s="23" t="e">
        <f ca="1">[1]!BexGetData("DP_1","003N8EMH8GTFRCSWKMPXRRESE","GSON3220000012")</f>
        <v>#NAME?</v>
      </c>
      <c r="E2965" s="23" t="e">
        <f ca="1">[1]!BexGetData("DP_1","003N8EMH8GTFRCSWKMPXRRL3Y","GSON3220000012")</f>
        <v>#NAME?</v>
      </c>
      <c r="F2965" s="23" t="e">
        <f ca="1">[1]!BexGetData("DP_1","003N8EMH8GTFRCSWKMPXRRRFI","GSON3220000012")</f>
        <v>#NAME?</v>
      </c>
      <c r="G2965" s="23" t="e">
        <f ca="1">[1]!BexGetData("DP_1","003N8EMH8GTFRCSWKMPXRRXR2","GSON3220000012")</f>
        <v>#NAME?</v>
      </c>
      <c r="H2965" s="23" t="e">
        <f ca="1">[1]!BexGetData("DP_1","003N8EMH8GTFRCSWKMPXRS42M","GSON3220000012")</f>
        <v>#NAME?</v>
      </c>
      <c r="I2965" s="23" t="e">
        <f ca="1">[1]!BexGetData("DP_1","003N8EMH8GTFRCSWKMPXRSAE6","GSON3220000012")</f>
        <v>#NAME?</v>
      </c>
      <c r="J2965" s="28" t="e">
        <f ca="1">[1]!BexGetData("DP_1","003N8EMH8GTFRCSWKMPXRSGPQ","GSON3220000012")</f>
        <v>#NAME?</v>
      </c>
      <c r="K2965" s="23" t="e">
        <f ca="1">[1]!BexGetData("DP_1","003N8EMH8GTFRIVNUPY288VJH","GSON3220000012")</f>
        <v>#NAME?</v>
      </c>
      <c r="L2965" s="23" t="e">
        <f ca="1">[1]!BexGetData("DP_1","003N8EMH8GTFRIVNUPY2891V1","GSON3220000012")</f>
        <v>#NAME?</v>
      </c>
      <c r="M2965" s="23" t="e">
        <f ca="1">[1]!BexGetData("DP_1","003N8EMH8GTFRIVOG7KG9IQXA","GSON3220000012")</f>
        <v>#NAME?</v>
      </c>
      <c r="N2965" s="28" t="e">
        <f ca="1">[1]!BexGetData("DP_1","003N8EMH8GTFRIVOG7KG9IX8U","GSON3220000012")</f>
        <v>#NAME?</v>
      </c>
      <c r="O2965" s="23" t="e">
        <f ca="1">[1]!BexGetData("DP_1","003N8EMH8GTFRIVOG7KG9J3KE","GSON3220000012")</f>
        <v>#NAME?</v>
      </c>
      <c r="P2965" s="28" t="e">
        <f ca="1">[1]!BexGetData("DP_1","003N8EMH8GTFRIVOG7KG9J9VY","GSON3220000012")</f>
        <v>#NAME?</v>
      </c>
      <c r="Q2965" s="28" t="e">
        <f ca="1">[1]!BexGetData("DP_1","00O2TNJGODT0G5Z4TTKYMM5MT","GSON3220000012")</f>
        <v>#NAME?</v>
      </c>
      <c r="R2965" s="23" t="e">
        <f ca="1">[1]!BexGetData("DP_1","00O2TNJGODT0G5Z4TTKYMMBYD","GSON3220000012")</f>
        <v>#NAME?</v>
      </c>
      <c r="S2965" s="23" t="e">
        <f ca="1">[1]!BexGetData("DP_1","00O2TNJGODT0G5Z4TTKYMMI9X","GSON3220000012")</f>
        <v>#NAME?</v>
      </c>
      <c r="T2965" s="28" t="e">
        <f ca="1">[1]!BexGetData("DP_1","00O2TNJGODT0G5Z4TTKYMMOLH","GSON3220000012")</f>
        <v>#NAME?</v>
      </c>
      <c r="U2965" s="23" t="e">
        <f ca="1">[1]!BexGetData("DP_1","00O2TNJGODT0G5Z4TTKYMMUX1","GSON3220000012")</f>
        <v>#NAME?</v>
      </c>
      <c r="V2965" s="28" t="e">
        <f ca="1">[1]!BexGetData("DP_1","00O2TNJGODT0G5Z4TTKYMN18L","GSON3220000012")</f>
        <v>#NAME?</v>
      </c>
      <c r="W2965" s="23" t="e">
        <f ca="1">[1]!BexGetData("DP_1","00O2TNJGODT0G5Z4TTKYMN7K5","GSON3220000012")</f>
        <v>#NAME?</v>
      </c>
    </row>
    <row r="2966" spans="1:23" x14ac:dyDescent="0.2">
      <c r="A2966" s="36" t="s">
        <v>6357</v>
      </c>
      <c r="B2966" s="27" t="s">
        <v>6358</v>
      </c>
      <c r="C2966" s="23" t="e">
        <f ca="1">[1]!BexGetData("DP_1","003N8EMH8GTFRCSWKMPXRR8GU","GSON3220000013")</f>
        <v>#NAME?</v>
      </c>
      <c r="D2966" s="23" t="e">
        <f ca="1">[1]!BexGetData("DP_1","003N8EMH8GTFRCSWKMPXRRESE","GSON3220000013")</f>
        <v>#NAME?</v>
      </c>
      <c r="E2966" s="23" t="e">
        <f ca="1">[1]!BexGetData("DP_1","003N8EMH8GTFRCSWKMPXRRL3Y","GSON3220000013")</f>
        <v>#NAME?</v>
      </c>
      <c r="F2966" s="24" t="e">
        <f ca="1">[1]!BexGetData("DP_1","003N8EMH8GTFRCSWKMPXRRRFI","GSON3220000013")</f>
        <v>#NAME?</v>
      </c>
      <c r="G2966" s="24" t="e">
        <f ca="1">[1]!BexGetData("DP_1","003N8EMH8GTFRCSWKMPXRRXR2","GSON3220000013")</f>
        <v>#NAME?</v>
      </c>
      <c r="H2966" s="24" t="e">
        <f ca="1">[1]!BexGetData("DP_1","003N8EMH8GTFRCSWKMPXRS42M","GSON3220000013")</f>
        <v>#NAME?</v>
      </c>
      <c r="I2966" s="24" t="e">
        <f ca="1">[1]!BexGetData("DP_1","003N8EMH8GTFRCSWKMPXRSAE6","GSON3220000013")</f>
        <v>#NAME?</v>
      </c>
      <c r="J2966" s="24" t="e">
        <f ca="1">[1]!BexGetData("DP_1","003N8EMH8GTFRCSWKMPXRSGPQ","GSON3220000013")</f>
        <v>#NAME?</v>
      </c>
      <c r="K2966" s="23" t="e">
        <f ca="1">[1]!BexGetData("DP_1","003N8EMH8GTFRIVNUPY288VJH","GSON3220000013")</f>
        <v>#NAME?</v>
      </c>
      <c r="L2966" s="23" t="e">
        <f ca="1">[1]!BexGetData("DP_1","003N8EMH8GTFRIVNUPY2891V1","GSON3220000013")</f>
        <v>#NAME?</v>
      </c>
      <c r="M2966" s="23" t="e">
        <f ca="1">[1]!BexGetData("DP_1","003N8EMH8GTFRIVOG7KG9IQXA","GSON3220000013")</f>
        <v>#NAME?</v>
      </c>
      <c r="N2966" s="28" t="e">
        <f ca="1">[1]!BexGetData("DP_1","003N8EMH8GTFRIVOG7KG9IX8U","GSON3220000013")</f>
        <v>#NAME?</v>
      </c>
      <c r="O2966" s="23" t="e">
        <f ca="1">[1]!BexGetData("DP_1","003N8EMH8GTFRIVOG7KG9J3KE","GSON3220000013")</f>
        <v>#NAME?</v>
      </c>
      <c r="P2966" s="28" t="e">
        <f ca="1">[1]!BexGetData("DP_1","003N8EMH8GTFRIVOG7KG9J9VY","GSON3220000013")</f>
        <v>#NAME?</v>
      </c>
      <c r="Q2966" s="24" t="e">
        <f ca="1">[1]!BexGetData("DP_1","00O2TNJGODT0G5Z4TTKYMM5MT","GSON3220000013")</f>
        <v>#NAME?</v>
      </c>
      <c r="R2966" s="24" t="e">
        <f ca="1">[1]!BexGetData("DP_1","00O2TNJGODT0G5Z4TTKYMMBYD","GSON3220000013")</f>
        <v>#NAME?</v>
      </c>
      <c r="S2966" s="24" t="e">
        <f ca="1">[1]!BexGetData("DP_1","00O2TNJGODT0G5Z4TTKYMMI9X","GSON3220000013")</f>
        <v>#NAME?</v>
      </c>
      <c r="T2966" s="24" t="e">
        <f ca="1">[1]!BexGetData("DP_1","00O2TNJGODT0G5Z4TTKYMMOLH","GSON3220000013")</f>
        <v>#NAME?</v>
      </c>
      <c r="U2966" s="24" t="e">
        <f ca="1">[1]!BexGetData("DP_1","00O2TNJGODT0G5Z4TTKYMMUX1","GSON3220000013")</f>
        <v>#NAME?</v>
      </c>
      <c r="V2966" s="24" t="e">
        <f ca="1">[1]!BexGetData("DP_1","00O2TNJGODT0G5Z4TTKYMN18L","GSON3220000013")</f>
        <v>#NAME?</v>
      </c>
      <c r="W2966" s="24" t="e">
        <f ca="1">[1]!BexGetData("DP_1","00O2TNJGODT0G5Z4TTKYMN7K5","GSON3220000013")</f>
        <v>#NAME?</v>
      </c>
    </row>
    <row r="2967" spans="1:23" x14ac:dyDescent="0.2">
      <c r="A2967" s="35" t="s">
        <v>6359</v>
      </c>
      <c r="B2967" s="27" t="s">
        <v>6360</v>
      </c>
      <c r="C2967" s="23" t="e">
        <f ca="1">[1]!BexGetData("DP_1","003N8EMH8GTFRCSWKMPXRR8GU","GSON323")</f>
        <v>#NAME?</v>
      </c>
      <c r="D2967" s="23" t="e">
        <f ca="1">[1]!BexGetData("DP_1","003N8EMH8GTFRCSWKMPXRRESE","GSON323")</f>
        <v>#NAME?</v>
      </c>
      <c r="E2967" s="23" t="e">
        <f ca="1">[1]!BexGetData("DP_1","003N8EMH8GTFRCSWKMPXRRL3Y","GSON323")</f>
        <v>#NAME?</v>
      </c>
      <c r="F2967" s="23" t="e">
        <f ca="1">[1]!BexGetData("DP_1","003N8EMH8GTFRCSWKMPXRRRFI","GSON323")</f>
        <v>#NAME?</v>
      </c>
      <c r="G2967" s="23" t="e">
        <f ca="1">[1]!BexGetData("DP_1","003N8EMH8GTFRCSWKMPXRRXR2","GSON323")</f>
        <v>#NAME?</v>
      </c>
      <c r="H2967" s="23" t="e">
        <f ca="1">[1]!BexGetData("DP_1","003N8EMH8GTFRCSWKMPXRS42M","GSON323")</f>
        <v>#NAME?</v>
      </c>
      <c r="I2967" s="23" t="e">
        <f ca="1">[1]!BexGetData("DP_1","003N8EMH8GTFRCSWKMPXRSAE6","GSON323")</f>
        <v>#NAME?</v>
      </c>
      <c r="J2967" s="23" t="e">
        <f ca="1">[1]!BexGetData("DP_1","003N8EMH8GTFRCSWKMPXRSGPQ","GSON323")</f>
        <v>#NAME?</v>
      </c>
      <c r="K2967" s="28" t="e">
        <f ca="1">[1]!BexGetData("DP_1","003N8EMH8GTFRIVNUPY288VJH","GSON323")</f>
        <v>#NAME?</v>
      </c>
      <c r="L2967" s="28" t="e">
        <f ca="1">[1]!BexGetData("DP_1","003N8EMH8GTFRIVNUPY2891V1","GSON323")</f>
        <v>#NAME?</v>
      </c>
      <c r="M2967" s="28" t="e">
        <f ca="1">[1]!BexGetData("DP_1","003N8EMH8GTFRIVOG7KG9IQXA","GSON323")</f>
        <v>#NAME?</v>
      </c>
      <c r="N2967" s="28" t="e">
        <f ca="1">[1]!BexGetData("DP_1","003N8EMH8GTFRIVOG7KG9IX8U","GSON323")</f>
        <v>#NAME?</v>
      </c>
      <c r="O2967" s="28" t="e">
        <f ca="1">[1]!BexGetData("DP_1","003N8EMH8GTFRIVOG7KG9J3KE","GSON323")</f>
        <v>#NAME?</v>
      </c>
      <c r="P2967" s="28" t="e">
        <f ca="1">[1]!BexGetData("DP_1","003N8EMH8GTFRIVOG7KG9J9VY","GSON323")</f>
        <v>#NAME?</v>
      </c>
      <c r="Q2967" s="23" t="e">
        <f ca="1">[1]!BexGetData("DP_1","00O2TNJGODT0G5Z4TTKYMM5MT","GSON323")</f>
        <v>#NAME?</v>
      </c>
      <c r="R2967" s="23" t="e">
        <f ca="1">[1]!BexGetData("DP_1","00O2TNJGODT0G5Z4TTKYMMBYD","GSON323")</f>
        <v>#NAME?</v>
      </c>
      <c r="S2967" s="23" t="e">
        <f ca="1">[1]!BexGetData("DP_1","00O2TNJGODT0G5Z4TTKYMMI9X","GSON323")</f>
        <v>#NAME?</v>
      </c>
      <c r="T2967" s="28" t="e">
        <f ca="1">[1]!BexGetData("DP_1","00O2TNJGODT0G5Z4TTKYMMOLH","GSON323")</f>
        <v>#NAME?</v>
      </c>
      <c r="U2967" s="23" t="e">
        <f ca="1">[1]!BexGetData("DP_1","00O2TNJGODT0G5Z4TTKYMMUX1","GSON323")</f>
        <v>#NAME?</v>
      </c>
      <c r="V2967" s="28" t="e">
        <f ca="1">[1]!BexGetData("DP_1","00O2TNJGODT0G5Z4TTKYMN18L","GSON323")</f>
        <v>#NAME?</v>
      </c>
      <c r="W2967" s="23" t="e">
        <f ca="1">[1]!BexGetData("DP_1","00O2TNJGODT0G5Z4TTKYMN7K5","GSON323")</f>
        <v>#NAME?</v>
      </c>
    </row>
    <row r="2968" spans="1:23" x14ac:dyDescent="0.2">
      <c r="A2968" s="36" t="s">
        <v>6361</v>
      </c>
      <c r="B2968" s="27" t="s">
        <v>6362</v>
      </c>
      <c r="C2968" s="23" t="e">
        <f ca="1">[1]!BexGetData("DP_1","003N8EMH8GTFRCSWKMPXRR8GU","GSON3231")</f>
        <v>#NAME?</v>
      </c>
      <c r="D2968" s="23" t="e">
        <f ca="1">[1]!BexGetData("DP_1","003N8EMH8GTFRCSWKMPXRRESE","GSON3231")</f>
        <v>#NAME?</v>
      </c>
      <c r="E2968" s="23" t="e">
        <f ca="1">[1]!BexGetData("DP_1","003N8EMH8GTFRCSWKMPXRRL3Y","GSON3231")</f>
        <v>#NAME?</v>
      </c>
      <c r="F2968" s="23" t="e">
        <f ca="1">[1]!BexGetData("DP_1","003N8EMH8GTFRCSWKMPXRRRFI","GSON3231")</f>
        <v>#NAME?</v>
      </c>
      <c r="G2968" s="23" t="e">
        <f ca="1">[1]!BexGetData("DP_1","003N8EMH8GTFRCSWKMPXRRXR2","GSON3231")</f>
        <v>#NAME?</v>
      </c>
      <c r="H2968" s="23" t="e">
        <f ca="1">[1]!BexGetData("DP_1","003N8EMH8GTFRCSWKMPXRS42M","GSON3231")</f>
        <v>#NAME?</v>
      </c>
      <c r="I2968" s="23" t="e">
        <f ca="1">[1]!BexGetData("DP_1","003N8EMH8GTFRCSWKMPXRSAE6","GSON3231")</f>
        <v>#NAME?</v>
      </c>
      <c r="J2968" s="23" t="e">
        <f ca="1">[1]!BexGetData("DP_1","003N8EMH8GTFRCSWKMPXRSGPQ","GSON3231")</f>
        <v>#NAME?</v>
      </c>
      <c r="K2968" s="28" t="e">
        <f ca="1">[1]!BexGetData("DP_1","003N8EMH8GTFRIVNUPY288VJH","GSON3231")</f>
        <v>#NAME?</v>
      </c>
      <c r="L2968" s="28" t="e">
        <f ca="1">[1]!BexGetData("DP_1","003N8EMH8GTFRIVNUPY2891V1","GSON3231")</f>
        <v>#NAME?</v>
      </c>
      <c r="M2968" s="28" t="e">
        <f ca="1">[1]!BexGetData("DP_1","003N8EMH8GTFRIVOG7KG9IQXA","GSON3231")</f>
        <v>#NAME?</v>
      </c>
      <c r="N2968" s="28" t="e">
        <f ca="1">[1]!BexGetData("DP_1","003N8EMH8GTFRIVOG7KG9IX8U","GSON3231")</f>
        <v>#NAME?</v>
      </c>
      <c r="O2968" s="28" t="e">
        <f ca="1">[1]!BexGetData("DP_1","003N8EMH8GTFRIVOG7KG9J3KE","GSON3231")</f>
        <v>#NAME?</v>
      </c>
      <c r="P2968" s="28" t="e">
        <f ca="1">[1]!BexGetData("DP_1","003N8EMH8GTFRIVOG7KG9J9VY","GSON3231")</f>
        <v>#NAME?</v>
      </c>
      <c r="Q2968" s="23" t="e">
        <f ca="1">[1]!BexGetData("DP_1","00O2TNJGODT0G5Z4TTKYMM5MT","GSON3231")</f>
        <v>#NAME?</v>
      </c>
      <c r="R2968" s="23" t="e">
        <f ca="1">[1]!BexGetData("DP_1","00O2TNJGODT0G5Z4TTKYMMBYD","GSON3231")</f>
        <v>#NAME?</v>
      </c>
      <c r="S2968" s="23" t="e">
        <f ca="1">[1]!BexGetData("DP_1","00O2TNJGODT0G5Z4TTKYMMI9X","GSON3231")</f>
        <v>#NAME?</v>
      </c>
      <c r="T2968" s="28" t="e">
        <f ca="1">[1]!BexGetData("DP_1","00O2TNJGODT0G5Z4TTKYMMOLH","GSON3231")</f>
        <v>#NAME?</v>
      </c>
      <c r="U2968" s="23" t="e">
        <f ca="1">[1]!BexGetData("DP_1","00O2TNJGODT0G5Z4TTKYMMUX1","GSON3231")</f>
        <v>#NAME?</v>
      </c>
      <c r="V2968" s="28" t="e">
        <f ca="1">[1]!BexGetData("DP_1","00O2TNJGODT0G5Z4TTKYMN18L","GSON3231")</f>
        <v>#NAME?</v>
      </c>
      <c r="W2968" s="23" t="e">
        <f ca="1">[1]!BexGetData("DP_1","00O2TNJGODT0G5Z4TTKYMN7K5","GSON3231")</f>
        <v>#NAME?</v>
      </c>
    </row>
    <row r="2969" spans="1:23" x14ac:dyDescent="0.2">
      <c r="A2969" s="37" t="s">
        <v>6363</v>
      </c>
      <c r="B2969" s="27" t="s">
        <v>6364</v>
      </c>
      <c r="C2969" s="23" t="e">
        <f ca="1">[1]!BexGetData("DP_1","003N8EMH8GTFRCSWKMPXRR8GU","GSON3231000001")</f>
        <v>#NAME?</v>
      </c>
      <c r="D2969" s="23" t="e">
        <f ca="1">[1]!BexGetData("DP_1","003N8EMH8GTFRCSWKMPXRRESE","GSON3231000001")</f>
        <v>#NAME?</v>
      </c>
      <c r="E2969" s="23" t="e">
        <f ca="1">[1]!BexGetData("DP_1","003N8EMH8GTFRCSWKMPXRRL3Y","GSON3231000001")</f>
        <v>#NAME?</v>
      </c>
      <c r="F2969" s="23" t="e">
        <f ca="1">[1]!BexGetData("DP_1","003N8EMH8GTFRCSWKMPXRRRFI","GSON3231000001")</f>
        <v>#NAME?</v>
      </c>
      <c r="G2969" s="23" t="e">
        <f ca="1">[1]!BexGetData("DP_1","003N8EMH8GTFRCSWKMPXRRXR2","GSON3231000001")</f>
        <v>#NAME?</v>
      </c>
      <c r="H2969" s="23" t="e">
        <f ca="1">[1]!BexGetData("DP_1","003N8EMH8GTFRCSWKMPXRS42M","GSON3231000001")</f>
        <v>#NAME?</v>
      </c>
      <c r="I2969" s="23" t="e">
        <f ca="1">[1]!BexGetData("DP_1","003N8EMH8GTFRCSWKMPXRSAE6","GSON3231000001")</f>
        <v>#NAME?</v>
      </c>
      <c r="J2969" s="23" t="e">
        <f ca="1">[1]!BexGetData("DP_1","003N8EMH8GTFRCSWKMPXRSGPQ","GSON3231000001")</f>
        <v>#NAME?</v>
      </c>
      <c r="K2969" s="28" t="e">
        <f ca="1">[1]!BexGetData("DP_1","003N8EMH8GTFRIVNUPY288VJH","GSON3231000001")</f>
        <v>#NAME?</v>
      </c>
      <c r="L2969" s="28" t="e">
        <f ca="1">[1]!BexGetData("DP_1","003N8EMH8GTFRIVNUPY2891V1","GSON3231000001")</f>
        <v>#NAME?</v>
      </c>
      <c r="M2969" s="28" t="e">
        <f ca="1">[1]!BexGetData("DP_1","003N8EMH8GTFRIVOG7KG9IQXA","GSON3231000001")</f>
        <v>#NAME?</v>
      </c>
      <c r="N2969" s="28" t="e">
        <f ca="1">[1]!BexGetData("DP_1","003N8EMH8GTFRIVOG7KG9IX8U","GSON3231000001")</f>
        <v>#NAME?</v>
      </c>
      <c r="O2969" s="28" t="e">
        <f ca="1">[1]!BexGetData("DP_1","003N8EMH8GTFRIVOG7KG9J3KE","GSON3231000001")</f>
        <v>#NAME?</v>
      </c>
      <c r="P2969" s="28" t="e">
        <f ca="1">[1]!BexGetData("DP_1","003N8EMH8GTFRIVOG7KG9J9VY","GSON3231000001")</f>
        <v>#NAME?</v>
      </c>
      <c r="Q2969" s="23" t="e">
        <f ca="1">[1]!BexGetData("DP_1","00O2TNJGODT0G5Z4TTKYMM5MT","GSON3231000001")</f>
        <v>#NAME?</v>
      </c>
      <c r="R2969" s="23" t="e">
        <f ca="1">[1]!BexGetData("DP_1","00O2TNJGODT0G5Z4TTKYMMBYD","GSON3231000001")</f>
        <v>#NAME?</v>
      </c>
      <c r="S2969" s="23" t="e">
        <f ca="1">[1]!BexGetData("DP_1","00O2TNJGODT0G5Z4TTKYMMI9X","GSON3231000001")</f>
        <v>#NAME?</v>
      </c>
      <c r="T2969" s="28" t="e">
        <f ca="1">[1]!BexGetData("DP_1","00O2TNJGODT0G5Z4TTKYMMOLH","GSON3231000001")</f>
        <v>#NAME?</v>
      </c>
      <c r="U2969" s="23" t="e">
        <f ca="1">[1]!BexGetData("DP_1","00O2TNJGODT0G5Z4TTKYMMUX1","GSON3231000001")</f>
        <v>#NAME?</v>
      </c>
      <c r="V2969" s="28" t="e">
        <f ca="1">[1]!BexGetData("DP_1","00O2TNJGODT0G5Z4TTKYMN18L","GSON3231000001")</f>
        <v>#NAME?</v>
      </c>
      <c r="W2969" s="23" t="e">
        <f ca="1">[1]!BexGetData("DP_1","00O2TNJGODT0G5Z4TTKYMN7K5","GSON3231000001")</f>
        <v>#NAME?</v>
      </c>
    </row>
    <row r="2970" spans="1:23" x14ac:dyDescent="0.2">
      <c r="A2970" s="31" t="s">
        <v>103</v>
      </c>
      <c r="B2970" s="25" t="s">
        <v>104</v>
      </c>
      <c r="C2970" s="23" t="e">
        <f ca="1">[1]!BexGetData("DP_1","003N8EMH8GTFRCSWKMPXRR8GU","GSON4-5")</f>
        <v>#NAME?</v>
      </c>
      <c r="D2970" s="23" t="e">
        <f ca="1">[1]!BexGetData("DP_1","003N8EMH8GTFRCSWKMPXRRESE","GSON4-5")</f>
        <v>#NAME?</v>
      </c>
      <c r="E2970" s="23" t="e">
        <f ca="1">[1]!BexGetData("DP_1","003N8EMH8GTFRCSWKMPXRRL3Y","GSON4-5")</f>
        <v>#NAME?</v>
      </c>
      <c r="F2970" s="23" t="e">
        <f ca="1">[1]!BexGetData("DP_1","003N8EMH8GTFRCSWKMPXRRRFI","GSON4-5")</f>
        <v>#NAME?</v>
      </c>
      <c r="G2970" s="23" t="e">
        <f ca="1">[1]!BexGetData("DP_1","003N8EMH8GTFRCSWKMPXRRXR2","GSON4-5")</f>
        <v>#NAME?</v>
      </c>
      <c r="H2970" s="23" t="e">
        <f ca="1">[1]!BexGetData("DP_1","003N8EMH8GTFRCSWKMPXRS42M","GSON4-5")</f>
        <v>#NAME?</v>
      </c>
      <c r="I2970" s="23" t="e">
        <f ca="1">[1]!BexGetData("DP_1","003N8EMH8GTFRCSWKMPXRSAE6","GSON4-5")</f>
        <v>#NAME?</v>
      </c>
      <c r="J2970" s="24" t="e">
        <f ca="1">[1]!BexGetData("DP_1","003N8EMH8GTFRCSWKMPXRSGPQ","GSON4-5")</f>
        <v>#NAME?</v>
      </c>
      <c r="K2970" s="23" t="e">
        <f ca="1">[1]!BexGetData("DP_1","003N8EMH8GTFRIVNUPY288VJH","GSON4-5")</f>
        <v>#NAME?</v>
      </c>
      <c r="L2970" s="23" t="e">
        <f ca="1">[1]!BexGetData("DP_1","003N8EMH8GTFRIVNUPY2891V1","GSON4-5")</f>
        <v>#NAME?</v>
      </c>
      <c r="M2970" s="28" t="e">
        <f ca="1">[1]!BexGetData("DP_1","003N8EMH8GTFRIVOG7KG9IQXA","GSON4-5")</f>
        <v>#NAME?</v>
      </c>
      <c r="N2970" s="23" t="e">
        <f ca="1">[1]!BexGetData("DP_1","003N8EMH8GTFRIVOG7KG9IX8U","GSON4-5")</f>
        <v>#NAME?</v>
      </c>
      <c r="O2970" s="28" t="e">
        <f ca="1">[1]!BexGetData("DP_1","003N8EMH8GTFRIVOG7KG9J3KE","GSON4-5")</f>
        <v>#NAME?</v>
      </c>
      <c r="P2970" s="23" t="e">
        <f ca="1">[1]!BexGetData("DP_1","003N8EMH8GTFRIVOG7KG9J9VY","GSON4-5")</f>
        <v>#NAME?</v>
      </c>
      <c r="Q2970" s="24" t="e">
        <f ca="1">[1]!BexGetData("DP_1","00O2TNJGODT0G5Z4TTKYMM5MT","GSON4-5")</f>
        <v>#NAME?</v>
      </c>
      <c r="R2970" s="23" t="e">
        <f ca="1">[1]!BexGetData("DP_1","00O2TNJGODT0G5Z4TTKYMMBYD","GSON4-5")</f>
        <v>#NAME?</v>
      </c>
      <c r="S2970" s="23" t="e">
        <f ca="1">[1]!BexGetData("DP_1","00O2TNJGODT0G5Z4TTKYMMI9X","GSON4-5")</f>
        <v>#NAME?</v>
      </c>
      <c r="T2970" s="28" t="e">
        <f ca="1">[1]!BexGetData("DP_1","00O2TNJGODT0G5Z4TTKYMMOLH","GSON4-5")</f>
        <v>#NAME?</v>
      </c>
      <c r="U2970" s="23" t="e">
        <f ca="1">[1]!BexGetData("DP_1","00O2TNJGODT0G5Z4TTKYMMUX1","GSON4-5")</f>
        <v>#NAME?</v>
      </c>
      <c r="V2970" s="28" t="e">
        <f ca="1">[1]!BexGetData("DP_1","00O2TNJGODT0G5Z4TTKYMN18L","GSON4-5")</f>
        <v>#NAME?</v>
      </c>
      <c r="W2970" s="23" t="e">
        <f ca="1">[1]!BexGetData("DP_1","00O2TNJGODT0G5Z4TTKYMN7K5","GSON4-5")</f>
        <v>#NAME?</v>
      </c>
    </row>
    <row r="2971" spans="1:23" x14ac:dyDescent="0.2">
      <c r="A2971" s="32" t="s">
        <v>507</v>
      </c>
      <c r="B2971" s="26" t="s">
        <v>508</v>
      </c>
      <c r="C2971" s="23" t="e">
        <f ca="1">[1]!BexGetData("DP_1","003N8EMH8GTFRCSWKMPXRR8GU","GSON4")</f>
        <v>#NAME?</v>
      </c>
      <c r="D2971" s="23" t="e">
        <f ca="1">[1]!BexGetData("DP_1","003N8EMH8GTFRCSWKMPXRRESE","GSON4")</f>
        <v>#NAME?</v>
      </c>
      <c r="E2971" s="23" t="e">
        <f ca="1">[1]!BexGetData("DP_1","003N8EMH8GTFRCSWKMPXRRL3Y","GSON4")</f>
        <v>#NAME?</v>
      </c>
      <c r="F2971" s="23" t="e">
        <f ca="1">[1]!BexGetData("DP_1","003N8EMH8GTFRCSWKMPXRRRFI","GSON4")</f>
        <v>#NAME?</v>
      </c>
      <c r="G2971" s="23" t="e">
        <f ca="1">[1]!BexGetData("DP_1","003N8EMH8GTFRCSWKMPXRRXR2","GSON4")</f>
        <v>#NAME?</v>
      </c>
      <c r="H2971" s="23" t="e">
        <f ca="1">[1]!BexGetData("DP_1","003N8EMH8GTFRCSWKMPXRS42M","GSON4")</f>
        <v>#NAME?</v>
      </c>
      <c r="I2971" s="23" t="e">
        <f ca="1">[1]!BexGetData("DP_1","003N8EMH8GTFRCSWKMPXRSAE6","GSON4")</f>
        <v>#NAME?</v>
      </c>
      <c r="J2971" s="24" t="e">
        <f ca="1">[1]!BexGetData("DP_1","003N8EMH8GTFRCSWKMPXRSGPQ","GSON4")</f>
        <v>#NAME?</v>
      </c>
      <c r="K2971" s="23" t="e">
        <f ca="1">[1]!BexGetData("DP_1","003N8EMH8GTFRIVNUPY288VJH","GSON4")</f>
        <v>#NAME?</v>
      </c>
      <c r="L2971" s="23" t="e">
        <f ca="1">[1]!BexGetData("DP_1","003N8EMH8GTFRIVNUPY2891V1","GSON4")</f>
        <v>#NAME?</v>
      </c>
      <c r="M2971" s="23" t="e">
        <f ca="1">[1]!BexGetData("DP_1","003N8EMH8GTFRIVOG7KG9IQXA","GSON4")</f>
        <v>#NAME?</v>
      </c>
      <c r="N2971" s="28" t="e">
        <f ca="1">[1]!BexGetData("DP_1","003N8EMH8GTFRIVOG7KG9IX8U","GSON4")</f>
        <v>#NAME?</v>
      </c>
      <c r="O2971" s="23" t="e">
        <f ca="1">[1]!BexGetData("DP_1","003N8EMH8GTFRIVOG7KG9J3KE","GSON4")</f>
        <v>#NAME?</v>
      </c>
      <c r="P2971" s="28" t="e">
        <f ca="1">[1]!BexGetData("DP_1","003N8EMH8GTFRIVOG7KG9J9VY","GSON4")</f>
        <v>#NAME?</v>
      </c>
      <c r="Q2971" s="24" t="e">
        <f ca="1">[1]!BexGetData("DP_1","00O2TNJGODT0G5Z4TTKYMM5MT","GSON4")</f>
        <v>#NAME?</v>
      </c>
      <c r="R2971" s="23" t="e">
        <f ca="1">[1]!BexGetData("DP_1","00O2TNJGODT0G5Z4TTKYMMBYD","GSON4")</f>
        <v>#NAME?</v>
      </c>
      <c r="S2971" s="23" t="e">
        <f ca="1">[1]!BexGetData("DP_1","00O2TNJGODT0G5Z4TTKYMMI9X","GSON4")</f>
        <v>#NAME?</v>
      </c>
      <c r="T2971" s="23" t="e">
        <f ca="1">[1]!BexGetData("DP_1","00O2TNJGODT0G5Z4TTKYMMOLH","GSON4")</f>
        <v>#NAME?</v>
      </c>
      <c r="U2971" s="28" t="e">
        <f ca="1">[1]!BexGetData("DP_1","00O2TNJGODT0G5Z4TTKYMMUX1","GSON4")</f>
        <v>#NAME?</v>
      </c>
      <c r="V2971" s="23" t="e">
        <f ca="1">[1]!BexGetData("DP_1","00O2TNJGODT0G5Z4TTKYMN18L","GSON4")</f>
        <v>#NAME?</v>
      </c>
      <c r="W2971" s="28" t="e">
        <f ca="1">[1]!BexGetData("DP_1","00O2TNJGODT0G5Z4TTKYMN7K5","GSON4")</f>
        <v>#NAME?</v>
      </c>
    </row>
    <row r="2972" spans="1:23" x14ac:dyDescent="0.2">
      <c r="A2972" s="33" t="s">
        <v>509</v>
      </c>
      <c r="B2972" s="27" t="s">
        <v>510</v>
      </c>
      <c r="C2972" s="23" t="e">
        <f ca="1">[1]!BexGetData("DP_1","003N8EMH8GTFRCSWKMPXRR8GU","GSON41")</f>
        <v>#NAME?</v>
      </c>
      <c r="D2972" s="23" t="e">
        <f ca="1">[1]!BexGetData("DP_1","003N8EMH8GTFRCSWKMPXRRESE","GSON41")</f>
        <v>#NAME?</v>
      </c>
      <c r="E2972" s="23" t="e">
        <f ca="1">[1]!BexGetData("DP_1","003N8EMH8GTFRCSWKMPXRRL3Y","GSON41")</f>
        <v>#NAME?</v>
      </c>
      <c r="F2972" s="23" t="e">
        <f ca="1">[1]!BexGetData("DP_1","003N8EMH8GTFRCSWKMPXRRRFI","GSON41")</f>
        <v>#NAME?</v>
      </c>
      <c r="G2972" s="23" t="e">
        <f ca="1">[1]!BexGetData("DP_1","003N8EMH8GTFRCSWKMPXRRXR2","GSON41")</f>
        <v>#NAME?</v>
      </c>
      <c r="H2972" s="23" t="e">
        <f ca="1">[1]!BexGetData("DP_1","003N8EMH8GTFRCSWKMPXRS42M","GSON41")</f>
        <v>#NAME?</v>
      </c>
      <c r="I2972" s="23" t="e">
        <f ca="1">[1]!BexGetData("DP_1","003N8EMH8GTFRCSWKMPXRSAE6","GSON41")</f>
        <v>#NAME?</v>
      </c>
      <c r="J2972" s="24" t="e">
        <f ca="1">[1]!BexGetData("DP_1","003N8EMH8GTFRCSWKMPXRSGPQ","GSON41")</f>
        <v>#NAME?</v>
      </c>
      <c r="K2972" s="23" t="e">
        <f ca="1">[1]!BexGetData("DP_1","003N8EMH8GTFRIVNUPY288VJH","GSON41")</f>
        <v>#NAME?</v>
      </c>
      <c r="L2972" s="23" t="e">
        <f ca="1">[1]!BexGetData("DP_1","003N8EMH8GTFRIVNUPY2891V1","GSON41")</f>
        <v>#NAME?</v>
      </c>
      <c r="M2972" s="23" t="e">
        <f ca="1">[1]!BexGetData("DP_1","003N8EMH8GTFRIVOG7KG9IQXA","GSON41")</f>
        <v>#NAME?</v>
      </c>
      <c r="N2972" s="28" t="e">
        <f ca="1">[1]!BexGetData("DP_1","003N8EMH8GTFRIVOG7KG9IX8U","GSON41")</f>
        <v>#NAME?</v>
      </c>
      <c r="O2972" s="23" t="e">
        <f ca="1">[1]!BexGetData("DP_1","003N8EMH8GTFRIVOG7KG9J3KE","GSON41")</f>
        <v>#NAME?</v>
      </c>
      <c r="P2972" s="28" t="e">
        <f ca="1">[1]!BexGetData("DP_1","003N8EMH8GTFRIVOG7KG9J9VY","GSON41")</f>
        <v>#NAME?</v>
      </c>
      <c r="Q2972" s="24" t="e">
        <f ca="1">[1]!BexGetData("DP_1","00O2TNJGODT0G5Z4TTKYMM5MT","GSON41")</f>
        <v>#NAME?</v>
      </c>
      <c r="R2972" s="23" t="e">
        <f ca="1">[1]!BexGetData("DP_1","00O2TNJGODT0G5Z4TTKYMMBYD","GSON41")</f>
        <v>#NAME?</v>
      </c>
      <c r="S2972" s="23" t="e">
        <f ca="1">[1]!BexGetData("DP_1","00O2TNJGODT0G5Z4TTKYMMI9X","GSON41")</f>
        <v>#NAME?</v>
      </c>
      <c r="T2972" s="23" t="e">
        <f ca="1">[1]!BexGetData("DP_1","00O2TNJGODT0G5Z4TTKYMMOLH","GSON41")</f>
        <v>#NAME?</v>
      </c>
      <c r="U2972" s="28" t="e">
        <f ca="1">[1]!BexGetData("DP_1","00O2TNJGODT0G5Z4TTKYMMUX1","GSON41")</f>
        <v>#NAME?</v>
      </c>
      <c r="V2972" s="23" t="e">
        <f ca="1">[1]!BexGetData("DP_1","00O2TNJGODT0G5Z4TTKYMN18L","GSON41")</f>
        <v>#NAME?</v>
      </c>
      <c r="W2972" s="28" t="e">
        <f ca="1">[1]!BexGetData("DP_1","00O2TNJGODT0G5Z4TTKYMN7K5","GSON41")</f>
        <v>#NAME?</v>
      </c>
    </row>
    <row r="2973" spans="1:23" x14ac:dyDescent="0.2">
      <c r="A2973" s="34" t="s">
        <v>511</v>
      </c>
      <c r="B2973" s="27" t="s">
        <v>512</v>
      </c>
      <c r="C2973" s="23" t="e">
        <f ca="1">[1]!BexGetData("DP_1","003N8EMH8GTFRCSWKMPXRR8GU","GSON411")</f>
        <v>#NAME?</v>
      </c>
      <c r="D2973" s="23" t="e">
        <f ca="1">[1]!BexGetData("DP_1","003N8EMH8GTFRCSWKMPXRRESE","GSON411")</f>
        <v>#NAME?</v>
      </c>
      <c r="E2973" s="23" t="e">
        <f ca="1">[1]!BexGetData("DP_1","003N8EMH8GTFRCSWKMPXRRL3Y","GSON411")</f>
        <v>#NAME?</v>
      </c>
      <c r="F2973" s="23" t="e">
        <f ca="1">[1]!BexGetData("DP_1","003N8EMH8GTFRCSWKMPXRRRFI","GSON411")</f>
        <v>#NAME?</v>
      </c>
      <c r="G2973" s="23" t="e">
        <f ca="1">[1]!BexGetData("DP_1","003N8EMH8GTFRCSWKMPXRRXR2","GSON411")</f>
        <v>#NAME?</v>
      </c>
      <c r="H2973" s="23" t="e">
        <f ca="1">[1]!BexGetData("DP_1","003N8EMH8GTFRCSWKMPXRS42M","GSON411")</f>
        <v>#NAME?</v>
      </c>
      <c r="I2973" s="23" t="e">
        <f ca="1">[1]!BexGetData("DP_1","003N8EMH8GTFRCSWKMPXRSAE6","GSON411")</f>
        <v>#NAME?</v>
      </c>
      <c r="J2973" s="24" t="e">
        <f ca="1">[1]!BexGetData("DP_1","003N8EMH8GTFRCSWKMPXRSGPQ","GSON411")</f>
        <v>#NAME?</v>
      </c>
      <c r="K2973" s="23" t="e">
        <f ca="1">[1]!BexGetData("DP_1","003N8EMH8GTFRIVNUPY288VJH","GSON411")</f>
        <v>#NAME?</v>
      </c>
      <c r="L2973" s="23" t="e">
        <f ca="1">[1]!BexGetData("DP_1","003N8EMH8GTFRIVNUPY2891V1","GSON411")</f>
        <v>#NAME?</v>
      </c>
      <c r="M2973" s="23" t="e">
        <f ca="1">[1]!BexGetData("DP_1","003N8EMH8GTFRIVOG7KG9IQXA","GSON411")</f>
        <v>#NAME?</v>
      </c>
      <c r="N2973" s="28" t="e">
        <f ca="1">[1]!BexGetData("DP_1","003N8EMH8GTFRIVOG7KG9IX8U","GSON411")</f>
        <v>#NAME?</v>
      </c>
      <c r="O2973" s="23" t="e">
        <f ca="1">[1]!BexGetData("DP_1","003N8EMH8GTFRIVOG7KG9J3KE","GSON411")</f>
        <v>#NAME?</v>
      </c>
      <c r="P2973" s="28" t="e">
        <f ca="1">[1]!BexGetData("DP_1","003N8EMH8GTFRIVOG7KG9J9VY","GSON411")</f>
        <v>#NAME?</v>
      </c>
      <c r="Q2973" s="24" t="e">
        <f ca="1">[1]!BexGetData("DP_1","00O2TNJGODT0G5Z4TTKYMM5MT","GSON411")</f>
        <v>#NAME?</v>
      </c>
      <c r="R2973" s="23" t="e">
        <f ca="1">[1]!BexGetData("DP_1","00O2TNJGODT0G5Z4TTKYMMBYD","GSON411")</f>
        <v>#NAME?</v>
      </c>
      <c r="S2973" s="23" t="e">
        <f ca="1">[1]!BexGetData("DP_1","00O2TNJGODT0G5Z4TTKYMMI9X","GSON411")</f>
        <v>#NAME?</v>
      </c>
      <c r="T2973" s="23" t="e">
        <f ca="1">[1]!BexGetData("DP_1","00O2TNJGODT0G5Z4TTKYMMOLH","GSON411")</f>
        <v>#NAME?</v>
      </c>
      <c r="U2973" s="28" t="e">
        <f ca="1">[1]!BexGetData("DP_1","00O2TNJGODT0G5Z4TTKYMMUX1","GSON411")</f>
        <v>#NAME?</v>
      </c>
      <c r="V2973" s="23" t="e">
        <f ca="1">[1]!BexGetData("DP_1","00O2TNJGODT0G5Z4TTKYMN18L","GSON411")</f>
        <v>#NAME?</v>
      </c>
      <c r="W2973" s="28" t="e">
        <f ca="1">[1]!BexGetData("DP_1","00O2TNJGODT0G5Z4TTKYMN7K5","GSON411")</f>
        <v>#NAME?</v>
      </c>
    </row>
    <row r="2974" spans="1:23" x14ac:dyDescent="0.2">
      <c r="A2974" s="35" t="s">
        <v>513</v>
      </c>
      <c r="B2974" s="27" t="s">
        <v>514</v>
      </c>
      <c r="C2974" s="23" t="e">
        <f ca="1">[1]!BexGetData("DP_1","003N8EMH8GTFRCSWKMPXRR8GU","GSON4111")</f>
        <v>#NAME?</v>
      </c>
      <c r="D2974" s="23" t="e">
        <f ca="1">[1]!BexGetData("DP_1","003N8EMH8GTFRCSWKMPXRRESE","GSON4111")</f>
        <v>#NAME?</v>
      </c>
      <c r="E2974" s="23" t="e">
        <f ca="1">[1]!BexGetData("DP_1","003N8EMH8GTFRCSWKMPXRRL3Y","GSON4111")</f>
        <v>#NAME?</v>
      </c>
      <c r="F2974" s="23" t="e">
        <f ca="1">[1]!BexGetData("DP_1","003N8EMH8GTFRCSWKMPXRRRFI","GSON4111")</f>
        <v>#NAME?</v>
      </c>
      <c r="G2974" s="23" t="e">
        <f ca="1">[1]!BexGetData("DP_1","003N8EMH8GTFRCSWKMPXRRXR2","GSON4111")</f>
        <v>#NAME?</v>
      </c>
      <c r="H2974" s="23" t="e">
        <f ca="1">[1]!BexGetData("DP_1","003N8EMH8GTFRCSWKMPXRS42M","GSON4111")</f>
        <v>#NAME?</v>
      </c>
      <c r="I2974" s="23" t="e">
        <f ca="1">[1]!BexGetData("DP_1","003N8EMH8GTFRCSWKMPXRSAE6","GSON4111")</f>
        <v>#NAME?</v>
      </c>
      <c r="J2974" s="24" t="e">
        <f ca="1">[1]!BexGetData("DP_1","003N8EMH8GTFRCSWKMPXRSGPQ","GSON4111")</f>
        <v>#NAME?</v>
      </c>
      <c r="K2974" s="23" t="e">
        <f ca="1">[1]!BexGetData("DP_1","003N8EMH8GTFRIVNUPY288VJH","GSON4111")</f>
        <v>#NAME?</v>
      </c>
      <c r="L2974" s="23" t="e">
        <f ca="1">[1]!BexGetData("DP_1","003N8EMH8GTFRIVNUPY2891V1","GSON4111")</f>
        <v>#NAME?</v>
      </c>
      <c r="M2974" s="23" t="e">
        <f ca="1">[1]!BexGetData("DP_1","003N8EMH8GTFRIVOG7KG9IQXA","GSON4111")</f>
        <v>#NAME?</v>
      </c>
      <c r="N2974" s="28" t="e">
        <f ca="1">[1]!BexGetData("DP_1","003N8EMH8GTFRIVOG7KG9IX8U","GSON4111")</f>
        <v>#NAME?</v>
      </c>
      <c r="O2974" s="23" t="e">
        <f ca="1">[1]!BexGetData("DP_1","003N8EMH8GTFRIVOG7KG9J3KE","GSON4111")</f>
        <v>#NAME?</v>
      </c>
      <c r="P2974" s="28" t="e">
        <f ca="1">[1]!BexGetData("DP_1","003N8EMH8GTFRIVOG7KG9J9VY","GSON4111")</f>
        <v>#NAME?</v>
      </c>
      <c r="Q2974" s="24" t="e">
        <f ca="1">[1]!BexGetData("DP_1","00O2TNJGODT0G5Z4TTKYMM5MT","GSON4111")</f>
        <v>#NAME?</v>
      </c>
      <c r="R2974" s="23" t="e">
        <f ca="1">[1]!BexGetData("DP_1","00O2TNJGODT0G5Z4TTKYMMBYD","GSON4111")</f>
        <v>#NAME?</v>
      </c>
      <c r="S2974" s="23" t="e">
        <f ca="1">[1]!BexGetData("DP_1","00O2TNJGODT0G5Z4TTKYMMI9X","GSON4111")</f>
        <v>#NAME?</v>
      </c>
      <c r="T2974" s="23" t="e">
        <f ca="1">[1]!BexGetData("DP_1","00O2TNJGODT0G5Z4TTKYMMOLH","GSON4111")</f>
        <v>#NAME?</v>
      </c>
      <c r="U2974" s="28" t="e">
        <f ca="1">[1]!BexGetData("DP_1","00O2TNJGODT0G5Z4TTKYMMUX1","GSON4111")</f>
        <v>#NAME?</v>
      </c>
      <c r="V2974" s="23" t="e">
        <f ca="1">[1]!BexGetData("DP_1","00O2TNJGODT0G5Z4TTKYMN18L","GSON4111")</f>
        <v>#NAME?</v>
      </c>
      <c r="W2974" s="28" t="e">
        <f ca="1">[1]!BexGetData("DP_1","00O2TNJGODT0G5Z4TTKYMN7K5","GSON4111")</f>
        <v>#NAME?</v>
      </c>
    </row>
    <row r="2975" spans="1:23" x14ac:dyDescent="0.2">
      <c r="A2975" s="36" t="s">
        <v>1470</v>
      </c>
      <c r="B2975" s="27" t="s">
        <v>515</v>
      </c>
      <c r="C2975" s="23" t="e">
        <f ca="1">[1]!BexGetData("DP_1","003N8EMH8GTFRCSWKMPXRR8GU","GSON4111110101")</f>
        <v>#NAME?</v>
      </c>
      <c r="D2975" s="23" t="e">
        <f ca="1">[1]!BexGetData("DP_1","003N8EMH8GTFRCSWKMPXRRESE","GSON4111110101")</f>
        <v>#NAME?</v>
      </c>
      <c r="E2975" s="23" t="e">
        <f ca="1">[1]!BexGetData("DP_1","003N8EMH8GTFRCSWKMPXRRL3Y","GSON4111110101")</f>
        <v>#NAME?</v>
      </c>
      <c r="F2975" s="23" t="e">
        <f ca="1">[1]!BexGetData("DP_1","003N8EMH8GTFRCSWKMPXRRRFI","GSON4111110101")</f>
        <v>#NAME?</v>
      </c>
      <c r="G2975" s="23" t="e">
        <f ca="1">[1]!BexGetData("DP_1","003N8EMH8GTFRCSWKMPXRRXR2","GSON4111110101")</f>
        <v>#NAME?</v>
      </c>
      <c r="H2975" s="23" t="e">
        <f ca="1">[1]!BexGetData("DP_1","003N8EMH8GTFRCSWKMPXRS42M","GSON4111110101")</f>
        <v>#NAME?</v>
      </c>
      <c r="I2975" s="23" t="e">
        <f ca="1">[1]!BexGetData("DP_1","003N8EMH8GTFRCSWKMPXRSAE6","GSON4111110101")</f>
        <v>#NAME?</v>
      </c>
      <c r="J2975" s="24" t="e">
        <f ca="1">[1]!BexGetData("DP_1","003N8EMH8GTFRCSWKMPXRSGPQ","GSON4111110101")</f>
        <v>#NAME?</v>
      </c>
      <c r="K2975" s="23" t="e">
        <f ca="1">[1]!BexGetData("DP_1","003N8EMH8GTFRIVNUPY288VJH","GSON4111110101")</f>
        <v>#NAME?</v>
      </c>
      <c r="L2975" s="23" t="e">
        <f ca="1">[1]!BexGetData("DP_1","003N8EMH8GTFRIVNUPY2891V1","GSON4111110101")</f>
        <v>#NAME?</v>
      </c>
      <c r="M2975" s="23" t="e">
        <f ca="1">[1]!BexGetData("DP_1","003N8EMH8GTFRIVOG7KG9IQXA","GSON4111110101")</f>
        <v>#NAME?</v>
      </c>
      <c r="N2975" s="28" t="e">
        <f ca="1">[1]!BexGetData("DP_1","003N8EMH8GTFRIVOG7KG9IX8U","GSON4111110101")</f>
        <v>#NAME?</v>
      </c>
      <c r="O2975" s="23" t="e">
        <f ca="1">[1]!BexGetData("DP_1","003N8EMH8GTFRIVOG7KG9J3KE","GSON4111110101")</f>
        <v>#NAME?</v>
      </c>
      <c r="P2975" s="28" t="e">
        <f ca="1">[1]!BexGetData("DP_1","003N8EMH8GTFRIVOG7KG9J9VY","GSON4111110101")</f>
        <v>#NAME?</v>
      </c>
      <c r="Q2975" s="24" t="e">
        <f ca="1">[1]!BexGetData("DP_1","00O2TNJGODT0G5Z4TTKYMM5MT","GSON4111110101")</f>
        <v>#NAME?</v>
      </c>
      <c r="R2975" s="23" t="e">
        <f ca="1">[1]!BexGetData("DP_1","00O2TNJGODT0G5Z4TTKYMMBYD","GSON4111110101")</f>
        <v>#NAME?</v>
      </c>
      <c r="S2975" s="23" t="e">
        <f ca="1">[1]!BexGetData("DP_1","00O2TNJGODT0G5Z4TTKYMMI9X","GSON4111110101")</f>
        <v>#NAME?</v>
      </c>
      <c r="T2975" s="23" t="e">
        <f ca="1">[1]!BexGetData("DP_1","00O2TNJGODT0G5Z4TTKYMMOLH","GSON4111110101")</f>
        <v>#NAME?</v>
      </c>
      <c r="U2975" s="28" t="e">
        <f ca="1">[1]!BexGetData("DP_1","00O2TNJGODT0G5Z4TTKYMMUX1","GSON4111110101")</f>
        <v>#NAME?</v>
      </c>
      <c r="V2975" s="23" t="e">
        <f ca="1">[1]!BexGetData("DP_1","00O2TNJGODT0G5Z4TTKYMN18L","GSON4111110101")</f>
        <v>#NAME?</v>
      </c>
      <c r="W2975" s="28" t="e">
        <f ca="1">[1]!BexGetData("DP_1","00O2TNJGODT0G5Z4TTKYMN7K5","GSON4111110101")</f>
        <v>#NAME?</v>
      </c>
    </row>
    <row r="2976" spans="1:23" x14ac:dyDescent="0.2">
      <c r="A2976" s="35" t="s">
        <v>516</v>
      </c>
      <c r="B2976" s="27" t="s">
        <v>517</v>
      </c>
      <c r="C2976" s="23" t="e">
        <f ca="1">[1]!BexGetData("DP_1","003N8EMH8GTFRCSWKMPXRR8GU","GSON4113")</f>
        <v>#NAME?</v>
      </c>
      <c r="D2976" s="23" t="e">
        <f ca="1">[1]!BexGetData("DP_1","003N8EMH8GTFRCSWKMPXRRESE","GSON4113")</f>
        <v>#NAME?</v>
      </c>
      <c r="E2976" s="23" t="e">
        <f ca="1">[1]!BexGetData("DP_1","003N8EMH8GTFRCSWKMPXRRL3Y","GSON4113")</f>
        <v>#NAME?</v>
      </c>
      <c r="F2976" s="23" t="e">
        <f ca="1">[1]!BexGetData("DP_1","003N8EMH8GTFRCSWKMPXRRRFI","GSON4113")</f>
        <v>#NAME?</v>
      </c>
      <c r="G2976" s="23" t="e">
        <f ca="1">[1]!BexGetData("DP_1","003N8EMH8GTFRCSWKMPXRRXR2","GSON4113")</f>
        <v>#NAME?</v>
      </c>
      <c r="H2976" s="23" t="e">
        <f ca="1">[1]!BexGetData("DP_1","003N8EMH8GTFRCSWKMPXRS42M","GSON4113")</f>
        <v>#NAME?</v>
      </c>
      <c r="I2976" s="23" t="e">
        <f ca="1">[1]!BexGetData("DP_1","003N8EMH8GTFRCSWKMPXRSAE6","GSON4113")</f>
        <v>#NAME?</v>
      </c>
      <c r="J2976" s="24" t="e">
        <f ca="1">[1]!BexGetData("DP_1","003N8EMH8GTFRCSWKMPXRSGPQ","GSON4113")</f>
        <v>#NAME?</v>
      </c>
      <c r="K2976" s="23" t="e">
        <f ca="1">[1]!BexGetData("DP_1","003N8EMH8GTFRIVNUPY288VJH","GSON4113")</f>
        <v>#NAME?</v>
      </c>
      <c r="L2976" s="23" t="e">
        <f ca="1">[1]!BexGetData("DP_1","003N8EMH8GTFRIVNUPY2891V1","GSON4113")</f>
        <v>#NAME?</v>
      </c>
      <c r="M2976" s="23" t="e">
        <f ca="1">[1]!BexGetData("DP_1","003N8EMH8GTFRIVOG7KG9IQXA","GSON4113")</f>
        <v>#NAME?</v>
      </c>
      <c r="N2976" s="28" t="e">
        <f ca="1">[1]!BexGetData("DP_1","003N8EMH8GTFRIVOG7KG9IX8U","GSON4113")</f>
        <v>#NAME?</v>
      </c>
      <c r="O2976" s="23" t="e">
        <f ca="1">[1]!BexGetData("DP_1","003N8EMH8GTFRIVOG7KG9J3KE","GSON4113")</f>
        <v>#NAME?</v>
      </c>
      <c r="P2976" s="28" t="e">
        <f ca="1">[1]!BexGetData("DP_1","003N8EMH8GTFRIVOG7KG9J9VY","GSON4113")</f>
        <v>#NAME?</v>
      </c>
      <c r="Q2976" s="24" t="e">
        <f ca="1">[1]!BexGetData("DP_1","00O2TNJGODT0G5Z4TTKYMM5MT","GSON4113")</f>
        <v>#NAME?</v>
      </c>
      <c r="R2976" s="23" t="e">
        <f ca="1">[1]!BexGetData("DP_1","00O2TNJGODT0G5Z4TTKYMMBYD","GSON4113")</f>
        <v>#NAME?</v>
      </c>
      <c r="S2976" s="23" t="e">
        <f ca="1">[1]!BexGetData("DP_1","00O2TNJGODT0G5Z4TTKYMMI9X","GSON4113")</f>
        <v>#NAME?</v>
      </c>
      <c r="T2976" s="23" t="e">
        <f ca="1">[1]!BexGetData("DP_1","00O2TNJGODT0G5Z4TTKYMMOLH","GSON4113")</f>
        <v>#NAME?</v>
      </c>
      <c r="U2976" s="28" t="e">
        <f ca="1">[1]!BexGetData("DP_1","00O2TNJGODT0G5Z4TTKYMMUX1","GSON4113")</f>
        <v>#NAME?</v>
      </c>
      <c r="V2976" s="23" t="e">
        <f ca="1">[1]!BexGetData("DP_1","00O2TNJGODT0G5Z4TTKYMN18L","GSON4113")</f>
        <v>#NAME?</v>
      </c>
      <c r="W2976" s="28" t="e">
        <f ca="1">[1]!BexGetData("DP_1","00O2TNJGODT0G5Z4TTKYMN7K5","GSON4113")</f>
        <v>#NAME?</v>
      </c>
    </row>
    <row r="2977" spans="1:23" x14ac:dyDescent="0.2">
      <c r="A2977" s="36" t="s">
        <v>518</v>
      </c>
      <c r="B2977" s="27" t="s">
        <v>519</v>
      </c>
      <c r="C2977" s="23" t="e">
        <f ca="1">[1]!BexGetData("DP_1","003N8EMH8GTFRCSWKMPXRR8GU","GSON4113130101")</f>
        <v>#NAME?</v>
      </c>
      <c r="D2977" s="23" t="e">
        <f ca="1">[1]!BexGetData("DP_1","003N8EMH8GTFRCSWKMPXRRESE","GSON4113130101")</f>
        <v>#NAME?</v>
      </c>
      <c r="E2977" s="23" t="e">
        <f ca="1">[1]!BexGetData("DP_1","003N8EMH8GTFRCSWKMPXRRL3Y","GSON4113130101")</f>
        <v>#NAME?</v>
      </c>
      <c r="F2977" s="23" t="e">
        <f ca="1">[1]!BexGetData("DP_1","003N8EMH8GTFRCSWKMPXRRRFI","GSON4113130101")</f>
        <v>#NAME?</v>
      </c>
      <c r="G2977" s="23" t="e">
        <f ca="1">[1]!BexGetData("DP_1","003N8EMH8GTFRCSWKMPXRRXR2","GSON4113130101")</f>
        <v>#NAME?</v>
      </c>
      <c r="H2977" s="23" t="e">
        <f ca="1">[1]!BexGetData("DP_1","003N8EMH8GTFRCSWKMPXRS42M","GSON4113130101")</f>
        <v>#NAME?</v>
      </c>
      <c r="I2977" s="23" t="e">
        <f ca="1">[1]!BexGetData("DP_1","003N8EMH8GTFRCSWKMPXRSAE6","GSON4113130101")</f>
        <v>#NAME?</v>
      </c>
      <c r="J2977" s="24" t="e">
        <f ca="1">[1]!BexGetData("DP_1","003N8EMH8GTFRCSWKMPXRSGPQ","GSON4113130101")</f>
        <v>#NAME?</v>
      </c>
      <c r="K2977" s="23" t="e">
        <f ca="1">[1]!BexGetData("DP_1","003N8EMH8GTFRIVNUPY288VJH","GSON4113130101")</f>
        <v>#NAME?</v>
      </c>
      <c r="L2977" s="23" t="e">
        <f ca="1">[1]!BexGetData("DP_1","003N8EMH8GTFRIVNUPY2891V1","GSON4113130101")</f>
        <v>#NAME?</v>
      </c>
      <c r="M2977" s="23" t="e">
        <f ca="1">[1]!BexGetData("DP_1","003N8EMH8GTFRIVOG7KG9IQXA","GSON4113130101")</f>
        <v>#NAME?</v>
      </c>
      <c r="N2977" s="28" t="e">
        <f ca="1">[1]!BexGetData("DP_1","003N8EMH8GTFRIVOG7KG9IX8U","GSON4113130101")</f>
        <v>#NAME?</v>
      </c>
      <c r="O2977" s="23" t="e">
        <f ca="1">[1]!BexGetData("DP_1","003N8EMH8GTFRIVOG7KG9J3KE","GSON4113130101")</f>
        <v>#NAME?</v>
      </c>
      <c r="P2977" s="28" t="e">
        <f ca="1">[1]!BexGetData("DP_1","003N8EMH8GTFRIVOG7KG9J9VY","GSON4113130101")</f>
        <v>#NAME?</v>
      </c>
      <c r="Q2977" s="24" t="e">
        <f ca="1">[1]!BexGetData("DP_1","00O2TNJGODT0G5Z4TTKYMM5MT","GSON4113130101")</f>
        <v>#NAME?</v>
      </c>
      <c r="R2977" s="23" t="e">
        <f ca="1">[1]!BexGetData("DP_1","00O2TNJGODT0G5Z4TTKYMMBYD","GSON4113130101")</f>
        <v>#NAME?</v>
      </c>
      <c r="S2977" s="23" t="e">
        <f ca="1">[1]!BexGetData("DP_1","00O2TNJGODT0G5Z4TTKYMMI9X","GSON4113130101")</f>
        <v>#NAME?</v>
      </c>
      <c r="T2977" s="23" t="e">
        <f ca="1">[1]!BexGetData("DP_1","00O2TNJGODT0G5Z4TTKYMMOLH","GSON4113130101")</f>
        <v>#NAME?</v>
      </c>
      <c r="U2977" s="28" t="e">
        <f ca="1">[1]!BexGetData("DP_1","00O2TNJGODT0G5Z4TTKYMMUX1","GSON4113130101")</f>
        <v>#NAME?</v>
      </c>
      <c r="V2977" s="23" t="e">
        <f ca="1">[1]!BexGetData("DP_1","00O2TNJGODT0G5Z4TTKYMN18L","GSON4113130101")</f>
        <v>#NAME?</v>
      </c>
      <c r="W2977" s="28" t="e">
        <f ca="1">[1]!BexGetData("DP_1","00O2TNJGODT0G5Z4TTKYMN7K5","GSON4113130101")</f>
        <v>#NAME?</v>
      </c>
    </row>
    <row r="2978" spans="1:23" x14ac:dyDescent="0.2">
      <c r="A2978" s="36" t="s">
        <v>693</v>
      </c>
      <c r="B2978" s="27" t="s">
        <v>694</v>
      </c>
      <c r="C2978" s="23" t="e">
        <f ca="1">[1]!BexGetData("DP_1","003N8EMH8GTFRCSWKMPXRR8GU","GSON4113130201")</f>
        <v>#NAME?</v>
      </c>
      <c r="D2978" s="23" t="e">
        <f ca="1">[1]!BexGetData("DP_1","003N8EMH8GTFRCSWKMPXRRESE","GSON4113130201")</f>
        <v>#NAME?</v>
      </c>
      <c r="E2978" s="23" t="e">
        <f ca="1">[1]!BexGetData("DP_1","003N8EMH8GTFRCSWKMPXRRL3Y","GSON4113130201")</f>
        <v>#NAME?</v>
      </c>
      <c r="F2978" s="23" t="e">
        <f ca="1">[1]!BexGetData("DP_1","003N8EMH8GTFRCSWKMPXRRRFI","GSON4113130201")</f>
        <v>#NAME?</v>
      </c>
      <c r="G2978" s="23" t="e">
        <f ca="1">[1]!BexGetData("DP_1","003N8EMH8GTFRCSWKMPXRRXR2","GSON4113130201")</f>
        <v>#NAME?</v>
      </c>
      <c r="H2978" s="23" t="e">
        <f ca="1">[1]!BexGetData("DP_1","003N8EMH8GTFRCSWKMPXRS42M","GSON4113130201")</f>
        <v>#NAME?</v>
      </c>
      <c r="I2978" s="23" t="e">
        <f ca="1">[1]!BexGetData("DP_1","003N8EMH8GTFRCSWKMPXRSAE6","GSON4113130201")</f>
        <v>#NAME?</v>
      </c>
      <c r="J2978" s="24" t="e">
        <f ca="1">[1]!BexGetData("DP_1","003N8EMH8GTFRCSWKMPXRSGPQ","GSON4113130201")</f>
        <v>#NAME?</v>
      </c>
      <c r="K2978" s="23" t="e">
        <f ca="1">[1]!BexGetData("DP_1","003N8EMH8GTFRIVNUPY288VJH","GSON4113130201")</f>
        <v>#NAME?</v>
      </c>
      <c r="L2978" s="23" t="e">
        <f ca="1">[1]!BexGetData("DP_1","003N8EMH8GTFRIVNUPY2891V1","GSON4113130201")</f>
        <v>#NAME?</v>
      </c>
      <c r="M2978" s="23" t="e">
        <f ca="1">[1]!BexGetData("DP_1","003N8EMH8GTFRIVOG7KG9IQXA","GSON4113130201")</f>
        <v>#NAME?</v>
      </c>
      <c r="N2978" s="28" t="e">
        <f ca="1">[1]!BexGetData("DP_1","003N8EMH8GTFRIVOG7KG9IX8U","GSON4113130201")</f>
        <v>#NAME?</v>
      </c>
      <c r="O2978" s="23" t="e">
        <f ca="1">[1]!BexGetData("DP_1","003N8EMH8GTFRIVOG7KG9J3KE","GSON4113130201")</f>
        <v>#NAME?</v>
      </c>
      <c r="P2978" s="28" t="e">
        <f ca="1">[1]!BexGetData("DP_1","003N8EMH8GTFRIVOG7KG9J9VY","GSON4113130201")</f>
        <v>#NAME?</v>
      </c>
      <c r="Q2978" s="24" t="e">
        <f ca="1">[1]!BexGetData("DP_1","00O2TNJGODT0G5Z4TTKYMM5MT","GSON4113130201")</f>
        <v>#NAME?</v>
      </c>
      <c r="R2978" s="23" t="e">
        <f ca="1">[1]!BexGetData("DP_1","00O2TNJGODT0G5Z4TTKYMMBYD","GSON4113130201")</f>
        <v>#NAME?</v>
      </c>
      <c r="S2978" s="23" t="e">
        <f ca="1">[1]!BexGetData("DP_1","00O2TNJGODT0G5Z4TTKYMMI9X","GSON4113130201")</f>
        <v>#NAME?</v>
      </c>
      <c r="T2978" s="23" t="e">
        <f ca="1">[1]!BexGetData("DP_1","00O2TNJGODT0G5Z4TTKYMMOLH","GSON4113130201")</f>
        <v>#NAME?</v>
      </c>
      <c r="U2978" s="28" t="e">
        <f ca="1">[1]!BexGetData("DP_1","00O2TNJGODT0G5Z4TTKYMMUX1","GSON4113130201")</f>
        <v>#NAME?</v>
      </c>
      <c r="V2978" s="23" t="e">
        <f ca="1">[1]!BexGetData("DP_1","00O2TNJGODT0G5Z4TTKYMN18L","GSON4113130201")</f>
        <v>#NAME?</v>
      </c>
      <c r="W2978" s="28" t="e">
        <f ca="1">[1]!BexGetData("DP_1","00O2TNJGODT0G5Z4TTKYMN7K5","GSON4113130201")</f>
        <v>#NAME?</v>
      </c>
    </row>
    <row r="2979" spans="1:23" x14ac:dyDescent="0.2">
      <c r="A2979" s="36" t="s">
        <v>1471</v>
      </c>
      <c r="B2979" s="27" t="s">
        <v>1472</v>
      </c>
      <c r="C2979" s="23" t="e">
        <f ca="1">[1]!BexGetData("DP_1","003N8EMH8GTFRCSWKMPXRR8GU","GSON4113130301")</f>
        <v>#NAME?</v>
      </c>
      <c r="D2979" s="23" t="e">
        <f ca="1">[1]!BexGetData("DP_1","003N8EMH8GTFRCSWKMPXRRESE","GSON4113130301")</f>
        <v>#NAME?</v>
      </c>
      <c r="E2979" s="23" t="e">
        <f ca="1">[1]!BexGetData("DP_1","003N8EMH8GTFRCSWKMPXRRL3Y","GSON4113130301")</f>
        <v>#NAME?</v>
      </c>
      <c r="F2979" s="23" t="e">
        <f ca="1">[1]!BexGetData("DP_1","003N8EMH8GTFRCSWKMPXRRRFI","GSON4113130301")</f>
        <v>#NAME?</v>
      </c>
      <c r="G2979" s="23" t="e">
        <f ca="1">[1]!BexGetData("DP_1","003N8EMH8GTFRCSWKMPXRRXR2","GSON4113130301")</f>
        <v>#NAME?</v>
      </c>
      <c r="H2979" s="23" t="e">
        <f ca="1">[1]!BexGetData("DP_1","003N8EMH8GTFRCSWKMPXRS42M","GSON4113130301")</f>
        <v>#NAME?</v>
      </c>
      <c r="I2979" s="23" t="e">
        <f ca="1">[1]!BexGetData("DP_1","003N8EMH8GTFRCSWKMPXRSAE6","GSON4113130301")</f>
        <v>#NAME?</v>
      </c>
      <c r="J2979" s="24" t="e">
        <f ca="1">[1]!BexGetData("DP_1","003N8EMH8GTFRCSWKMPXRSGPQ","GSON4113130301")</f>
        <v>#NAME?</v>
      </c>
      <c r="K2979" s="23" t="e">
        <f ca="1">[1]!BexGetData("DP_1","003N8EMH8GTFRIVNUPY288VJH","GSON4113130301")</f>
        <v>#NAME?</v>
      </c>
      <c r="L2979" s="23" t="e">
        <f ca="1">[1]!BexGetData("DP_1","003N8EMH8GTFRIVNUPY2891V1","GSON4113130301")</f>
        <v>#NAME?</v>
      </c>
      <c r="M2979" s="23" t="e">
        <f ca="1">[1]!BexGetData("DP_1","003N8EMH8GTFRIVOG7KG9IQXA","GSON4113130301")</f>
        <v>#NAME?</v>
      </c>
      <c r="N2979" s="28" t="e">
        <f ca="1">[1]!BexGetData("DP_1","003N8EMH8GTFRIVOG7KG9IX8U","GSON4113130301")</f>
        <v>#NAME?</v>
      </c>
      <c r="O2979" s="23" t="e">
        <f ca="1">[1]!BexGetData("DP_1","003N8EMH8GTFRIVOG7KG9J3KE","GSON4113130301")</f>
        <v>#NAME?</v>
      </c>
      <c r="P2979" s="28" t="e">
        <f ca="1">[1]!BexGetData("DP_1","003N8EMH8GTFRIVOG7KG9J9VY","GSON4113130301")</f>
        <v>#NAME?</v>
      </c>
      <c r="Q2979" s="24" t="e">
        <f ca="1">[1]!BexGetData("DP_1","00O2TNJGODT0G5Z4TTKYMM5MT","GSON4113130301")</f>
        <v>#NAME?</v>
      </c>
      <c r="R2979" s="23" t="e">
        <f ca="1">[1]!BexGetData("DP_1","00O2TNJGODT0G5Z4TTKYMMBYD","GSON4113130301")</f>
        <v>#NAME?</v>
      </c>
      <c r="S2979" s="23" t="e">
        <f ca="1">[1]!BexGetData("DP_1","00O2TNJGODT0G5Z4TTKYMMI9X","GSON4113130301")</f>
        <v>#NAME?</v>
      </c>
      <c r="T2979" s="23" t="e">
        <f ca="1">[1]!BexGetData("DP_1","00O2TNJGODT0G5Z4TTKYMMOLH","GSON4113130301")</f>
        <v>#NAME?</v>
      </c>
      <c r="U2979" s="28" t="e">
        <f ca="1">[1]!BexGetData("DP_1","00O2TNJGODT0G5Z4TTKYMMUX1","GSON4113130301")</f>
        <v>#NAME?</v>
      </c>
      <c r="V2979" s="23" t="e">
        <f ca="1">[1]!BexGetData("DP_1","00O2TNJGODT0G5Z4TTKYMN18L","GSON4113130301")</f>
        <v>#NAME?</v>
      </c>
      <c r="W2979" s="28" t="e">
        <f ca="1">[1]!BexGetData("DP_1","00O2TNJGODT0G5Z4TTKYMN7K5","GSON4113130301")</f>
        <v>#NAME?</v>
      </c>
    </row>
    <row r="2980" spans="1:23" x14ac:dyDescent="0.2">
      <c r="A2980" s="36" t="s">
        <v>1473</v>
      </c>
      <c r="B2980" s="27" t="s">
        <v>631</v>
      </c>
      <c r="C2980" s="23" t="e">
        <f ca="1">[1]!BexGetData("DP_1","003N8EMH8GTFRCSWKMPXRR8GU","GSON4113130401")</f>
        <v>#NAME?</v>
      </c>
      <c r="D2980" s="23" t="e">
        <f ca="1">[1]!BexGetData("DP_1","003N8EMH8GTFRCSWKMPXRRESE","GSON4113130401")</f>
        <v>#NAME?</v>
      </c>
      <c r="E2980" s="23" t="e">
        <f ca="1">[1]!BexGetData("DP_1","003N8EMH8GTFRCSWKMPXRRL3Y","GSON4113130401")</f>
        <v>#NAME?</v>
      </c>
      <c r="F2980" s="23" t="e">
        <f ca="1">[1]!BexGetData("DP_1","003N8EMH8GTFRCSWKMPXRRRFI","GSON4113130401")</f>
        <v>#NAME?</v>
      </c>
      <c r="G2980" s="23" t="e">
        <f ca="1">[1]!BexGetData("DP_1","003N8EMH8GTFRCSWKMPXRRXR2","GSON4113130401")</f>
        <v>#NAME?</v>
      </c>
      <c r="H2980" s="23" t="e">
        <f ca="1">[1]!BexGetData("DP_1","003N8EMH8GTFRCSWKMPXRS42M","GSON4113130401")</f>
        <v>#NAME?</v>
      </c>
      <c r="I2980" s="23" t="e">
        <f ca="1">[1]!BexGetData("DP_1","003N8EMH8GTFRCSWKMPXRSAE6","GSON4113130401")</f>
        <v>#NAME?</v>
      </c>
      <c r="J2980" s="24" t="e">
        <f ca="1">[1]!BexGetData("DP_1","003N8EMH8GTFRCSWKMPXRSGPQ","GSON4113130401")</f>
        <v>#NAME?</v>
      </c>
      <c r="K2980" s="23" t="e">
        <f ca="1">[1]!BexGetData("DP_1","003N8EMH8GTFRIVNUPY288VJH","GSON4113130401")</f>
        <v>#NAME?</v>
      </c>
      <c r="L2980" s="23" t="e">
        <f ca="1">[1]!BexGetData("DP_1","003N8EMH8GTFRIVNUPY2891V1","GSON4113130401")</f>
        <v>#NAME?</v>
      </c>
      <c r="M2980" s="23" t="e">
        <f ca="1">[1]!BexGetData("DP_1","003N8EMH8GTFRIVOG7KG9IQXA","GSON4113130401")</f>
        <v>#NAME?</v>
      </c>
      <c r="N2980" s="28" t="e">
        <f ca="1">[1]!BexGetData("DP_1","003N8EMH8GTFRIVOG7KG9IX8U","GSON4113130401")</f>
        <v>#NAME?</v>
      </c>
      <c r="O2980" s="23" t="e">
        <f ca="1">[1]!BexGetData("DP_1","003N8EMH8GTFRIVOG7KG9J3KE","GSON4113130401")</f>
        <v>#NAME?</v>
      </c>
      <c r="P2980" s="28" t="e">
        <f ca="1">[1]!BexGetData("DP_1","003N8EMH8GTFRIVOG7KG9J9VY","GSON4113130401")</f>
        <v>#NAME?</v>
      </c>
      <c r="Q2980" s="24" t="e">
        <f ca="1">[1]!BexGetData("DP_1","00O2TNJGODT0G5Z4TTKYMM5MT","GSON4113130401")</f>
        <v>#NAME?</v>
      </c>
      <c r="R2980" s="23" t="e">
        <f ca="1">[1]!BexGetData("DP_1","00O2TNJGODT0G5Z4TTKYMMBYD","GSON4113130401")</f>
        <v>#NAME?</v>
      </c>
      <c r="S2980" s="23" t="e">
        <f ca="1">[1]!BexGetData("DP_1","00O2TNJGODT0G5Z4TTKYMMI9X","GSON4113130401")</f>
        <v>#NAME?</v>
      </c>
      <c r="T2980" s="23" t="e">
        <f ca="1">[1]!BexGetData("DP_1","00O2TNJGODT0G5Z4TTKYMMOLH","GSON4113130401")</f>
        <v>#NAME?</v>
      </c>
      <c r="U2980" s="28" t="e">
        <f ca="1">[1]!BexGetData("DP_1","00O2TNJGODT0G5Z4TTKYMMUX1","GSON4113130401")</f>
        <v>#NAME?</v>
      </c>
      <c r="V2980" s="23" t="e">
        <f ca="1">[1]!BexGetData("DP_1","00O2TNJGODT0G5Z4TTKYMN18L","GSON4113130401")</f>
        <v>#NAME?</v>
      </c>
      <c r="W2980" s="28" t="e">
        <f ca="1">[1]!BexGetData("DP_1","00O2TNJGODT0G5Z4TTKYMN7K5","GSON4113130401")</f>
        <v>#NAME?</v>
      </c>
    </row>
    <row r="2981" spans="1:23" x14ac:dyDescent="0.2">
      <c r="A2981" s="35" t="s">
        <v>632</v>
      </c>
      <c r="B2981" s="27" t="s">
        <v>633</v>
      </c>
      <c r="C2981" s="23" t="e">
        <f ca="1">[1]!BexGetData("DP_1","003N8EMH8GTFRCSWKMPXRR8GU","GSON4115")</f>
        <v>#NAME?</v>
      </c>
      <c r="D2981" s="23" t="e">
        <f ca="1">[1]!BexGetData("DP_1","003N8EMH8GTFRCSWKMPXRRESE","GSON4115")</f>
        <v>#NAME?</v>
      </c>
      <c r="E2981" s="23" t="e">
        <f ca="1">[1]!BexGetData("DP_1","003N8EMH8GTFRCSWKMPXRRL3Y","GSON4115")</f>
        <v>#NAME?</v>
      </c>
      <c r="F2981" s="23" t="e">
        <f ca="1">[1]!BexGetData("DP_1","003N8EMH8GTFRCSWKMPXRRRFI","GSON4115")</f>
        <v>#NAME?</v>
      </c>
      <c r="G2981" s="23" t="e">
        <f ca="1">[1]!BexGetData("DP_1","003N8EMH8GTFRCSWKMPXRRXR2","GSON4115")</f>
        <v>#NAME?</v>
      </c>
      <c r="H2981" s="23" t="e">
        <f ca="1">[1]!BexGetData("DP_1","003N8EMH8GTFRCSWKMPXRS42M","GSON4115")</f>
        <v>#NAME?</v>
      </c>
      <c r="I2981" s="23" t="e">
        <f ca="1">[1]!BexGetData("DP_1","003N8EMH8GTFRCSWKMPXRSAE6","GSON4115")</f>
        <v>#NAME?</v>
      </c>
      <c r="J2981" s="24" t="e">
        <f ca="1">[1]!BexGetData("DP_1","003N8EMH8GTFRCSWKMPXRSGPQ","GSON4115")</f>
        <v>#NAME?</v>
      </c>
      <c r="K2981" s="23" t="e">
        <f ca="1">[1]!BexGetData("DP_1","003N8EMH8GTFRIVNUPY288VJH","GSON4115")</f>
        <v>#NAME?</v>
      </c>
      <c r="L2981" s="23" t="e">
        <f ca="1">[1]!BexGetData("DP_1","003N8EMH8GTFRIVNUPY2891V1","GSON4115")</f>
        <v>#NAME?</v>
      </c>
      <c r="M2981" s="23" t="e">
        <f ca="1">[1]!BexGetData("DP_1","003N8EMH8GTFRIVOG7KG9IQXA","GSON4115")</f>
        <v>#NAME?</v>
      </c>
      <c r="N2981" s="28" t="e">
        <f ca="1">[1]!BexGetData("DP_1","003N8EMH8GTFRIVOG7KG9IX8U","GSON4115")</f>
        <v>#NAME?</v>
      </c>
      <c r="O2981" s="23" t="e">
        <f ca="1">[1]!BexGetData("DP_1","003N8EMH8GTFRIVOG7KG9J3KE","GSON4115")</f>
        <v>#NAME?</v>
      </c>
      <c r="P2981" s="28" t="e">
        <f ca="1">[1]!BexGetData("DP_1","003N8EMH8GTFRIVOG7KG9J9VY","GSON4115")</f>
        <v>#NAME?</v>
      </c>
      <c r="Q2981" s="24" t="e">
        <f ca="1">[1]!BexGetData("DP_1","00O2TNJGODT0G5Z4TTKYMM5MT","GSON4115")</f>
        <v>#NAME?</v>
      </c>
      <c r="R2981" s="23" t="e">
        <f ca="1">[1]!BexGetData("DP_1","00O2TNJGODT0G5Z4TTKYMMBYD","GSON4115")</f>
        <v>#NAME?</v>
      </c>
      <c r="S2981" s="23" t="e">
        <f ca="1">[1]!BexGetData("DP_1","00O2TNJGODT0G5Z4TTKYMMI9X","GSON4115")</f>
        <v>#NAME?</v>
      </c>
      <c r="T2981" s="23" t="e">
        <f ca="1">[1]!BexGetData("DP_1","00O2TNJGODT0G5Z4TTKYMMOLH","GSON4115")</f>
        <v>#NAME?</v>
      </c>
      <c r="U2981" s="28" t="e">
        <f ca="1">[1]!BexGetData("DP_1","00O2TNJGODT0G5Z4TTKYMMUX1","GSON4115")</f>
        <v>#NAME?</v>
      </c>
      <c r="V2981" s="23" t="e">
        <f ca="1">[1]!BexGetData("DP_1","00O2TNJGODT0G5Z4TTKYMN18L","GSON4115")</f>
        <v>#NAME?</v>
      </c>
      <c r="W2981" s="28" t="e">
        <f ca="1">[1]!BexGetData("DP_1","00O2TNJGODT0G5Z4TTKYMN7K5","GSON4115")</f>
        <v>#NAME?</v>
      </c>
    </row>
    <row r="2982" spans="1:23" x14ac:dyDescent="0.2">
      <c r="A2982" s="36" t="s">
        <v>634</v>
      </c>
      <c r="B2982" s="27" t="s">
        <v>635</v>
      </c>
      <c r="C2982" s="23" t="e">
        <f ca="1">[1]!BexGetData("DP_1","003N8EMH8GTFRCSWKMPXRR8GU","GSON4115150101")</f>
        <v>#NAME?</v>
      </c>
      <c r="D2982" s="23" t="e">
        <f ca="1">[1]!BexGetData("DP_1","003N8EMH8GTFRCSWKMPXRRESE","GSON4115150101")</f>
        <v>#NAME?</v>
      </c>
      <c r="E2982" s="23" t="e">
        <f ca="1">[1]!BexGetData("DP_1","003N8EMH8GTFRCSWKMPXRRL3Y","GSON4115150101")</f>
        <v>#NAME?</v>
      </c>
      <c r="F2982" s="23" t="e">
        <f ca="1">[1]!BexGetData("DP_1","003N8EMH8GTFRCSWKMPXRRRFI","GSON4115150101")</f>
        <v>#NAME?</v>
      </c>
      <c r="G2982" s="23" t="e">
        <f ca="1">[1]!BexGetData("DP_1","003N8EMH8GTFRCSWKMPXRRXR2","GSON4115150101")</f>
        <v>#NAME?</v>
      </c>
      <c r="H2982" s="23" t="e">
        <f ca="1">[1]!BexGetData("DP_1","003N8EMH8GTFRCSWKMPXRS42M","GSON4115150101")</f>
        <v>#NAME?</v>
      </c>
      <c r="I2982" s="23" t="e">
        <f ca="1">[1]!BexGetData("DP_1","003N8EMH8GTFRCSWKMPXRSAE6","GSON4115150101")</f>
        <v>#NAME?</v>
      </c>
      <c r="J2982" s="24" t="e">
        <f ca="1">[1]!BexGetData("DP_1","003N8EMH8GTFRCSWKMPXRSGPQ","GSON4115150101")</f>
        <v>#NAME?</v>
      </c>
      <c r="K2982" s="23" t="e">
        <f ca="1">[1]!BexGetData("DP_1","003N8EMH8GTFRIVNUPY288VJH","GSON4115150101")</f>
        <v>#NAME?</v>
      </c>
      <c r="L2982" s="23" t="e">
        <f ca="1">[1]!BexGetData("DP_1","003N8EMH8GTFRIVNUPY2891V1","GSON4115150101")</f>
        <v>#NAME?</v>
      </c>
      <c r="M2982" s="23" t="e">
        <f ca="1">[1]!BexGetData("DP_1","003N8EMH8GTFRIVOG7KG9IQXA","GSON4115150101")</f>
        <v>#NAME?</v>
      </c>
      <c r="N2982" s="28" t="e">
        <f ca="1">[1]!BexGetData("DP_1","003N8EMH8GTFRIVOG7KG9IX8U","GSON4115150101")</f>
        <v>#NAME?</v>
      </c>
      <c r="O2982" s="23" t="e">
        <f ca="1">[1]!BexGetData("DP_1","003N8EMH8GTFRIVOG7KG9J3KE","GSON4115150101")</f>
        <v>#NAME?</v>
      </c>
      <c r="P2982" s="28" t="e">
        <f ca="1">[1]!BexGetData("DP_1","003N8EMH8GTFRIVOG7KG9J9VY","GSON4115150101")</f>
        <v>#NAME?</v>
      </c>
      <c r="Q2982" s="24" t="e">
        <f ca="1">[1]!BexGetData("DP_1","00O2TNJGODT0G5Z4TTKYMM5MT","GSON4115150101")</f>
        <v>#NAME?</v>
      </c>
      <c r="R2982" s="23" t="e">
        <f ca="1">[1]!BexGetData("DP_1","00O2TNJGODT0G5Z4TTKYMMBYD","GSON4115150101")</f>
        <v>#NAME?</v>
      </c>
      <c r="S2982" s="23" t="e">
        <f ca="1">[1]!BexGetData("DP_1","00O2TNJGODT0G5Z4TTKYMMI9X","GSON4115150101")</f>
        <v>#NAME?</v>
      </c>
      <c r="T2982" s="23" t="e">
        <f ca="1">[1]!BexGetData("DP_1","00O2TNJGODT0G5Z4TTKYMMOLH","GSON4115150101")</f>
        <v>#NAME?</v>
      </c>
      <c r="U2982" s="28" t="e">
        <f ca="1">[1]!BexGetData("DP_1","00O2TNJGODT0G5Z4TTKYMMUX1","GSON4115150101")</f>
        <v>#NAME?</v>
      </c>
      <c r="V2982" s="23" t="e">
        <f ca="1">[1]!BexGetData("DP_1","00O2TNJGODT0G5Z4TTKYMN18L","GSON4115150101")</f>
        <v>#NAME?</v>
      </c>
      <c r="W2982" s="28" t="e">
        <f ca="1">[1]!BexGetData("DP_1","00O2TNJGODT0G5Z4TTKYMN7K5","GSON4115150101")</f>
        <v>#NAME?</v>
      </c>
    </row>
    <row r="2983" spans="1:23" x14ac:dyDescent="0.2">
      <c r="A2983" s="35" t="s">
        <v>520</v>
      </c>
      <c r="B2983" s="27" t="s">
        <v>521</v>
      </c>
      <c r="C2983" s="23" t="e">
        <f ca="1">[1]!BexGetData("DP_1","003N8EMH8GTFRCSWKMPXRR8GU","GSON4117")</f>
        <v>#NAME?</v>
      </c>
      <c r="D2983" s="23" t="e">
        <f ca="1">[1]!BexGetData("DP_1","003N8EMH8GTFRCSWKMPXRRESE","GSON4117")</f>
        <v>#NAME?</v>
      </c>
      <c r="E2983" s="23" t="e">
        <f ca="1">[1]!BexGetData("DP_1","003N8EMH8GTFRCSWKMPXRRL3Y","GSON4117")</f>
        <v>#NAME?</v>
      </c>
      <c r="F2983" s="23" t="e">
        <f ca="1">[1]!BexGetData("DP_1","003N8EMH8GTFRCSWKMPXRRRFI","GSON4117")</f>
        <v>#NAME?</v>
      </c>
      <c r="G2983" s="23" t="e">
        <f ca="1">[1]!BexGetData("DP_1","003N8EMH8GTFRCSWKMPXRRXR2","GSON4117")</f>
        <v>#NAME?</v>
      </c>
      <c r="H2983" s="23" t="e">
        <f ca="1">[1]!BexGetData("DP_1","003N8EMH8GTFRCSWKMPXRS42M","GSON4117")</f>
        <v>#NAME?</v>
      </c>
      <c r="I2983" s="23" t="e">
        <f ca="1">[1]!BexGetData("DP_1","003N8EMH8GTFRCSWKMPXRSAE6","GSON4117")</f>
        <v>#NAME?</v>
      </c>
      <c r="J2983" s="24" t="e">
        <f ca="1">[1]!BexGetData("DP_1","003N8EMH8GTFRCSWKMPXRSGPQ","GSON4117")</f>
        <v>#NAME?</v>
      </c>
      <c r="K2983" s="23" t="e">
        <f ca="1">[1]!BexGetData("DP_1","003N8EMH8GTFRIVNUPY288VJH","GSON4117")</f>
        <v>#NAME?</v>
      </c>
      <c r="L2983" s="23" t="e">
        <f ca="1">[1]!BexGetData("DP_1","003N8EMH8GTFRIVNUPY2891V1","GSON4117")</f>
        <v>#NAME?</v>
      </c>
      <c r="M2983" s="23" t="e">
        <f ca="1">[1]!BexGetData("DP_1","003N8EMH8GTFRIVOG7KG9IQXA","GSON4117")</f>
        <v>#NAME?</v>
      </c>
      <c r="N2983" s="28" t="e">
        <f ca="1">[1]!BexGetData("DP_1","003N8EMH8GTFRIVOG7KG9IX8U","GSON4117")</f>
        <v>#NAME?</v>
      </c>
      <c r="O2983" s="23" t="e">
        <f ca="1">[1]!BexGetData("DP_1","003N8EMH8GTFRIVOG7KG9J3KE","GSON4117")</f>
        <v>#NAME?</v>
      </c>
      <c r="P2983" s="28" t="e">
        <f ca="1">[1]!BexGetData("DP_1","003N8EMH8GTFRIVOG7KG9J9VY","GSON4117")</f>
        <v>#NAME?</v>
      </c>
      <c r="Q2983" s="24" t="e">
        <f ca="1">[1]!BexGetData("DP_1","00O2TNJGODT0G5Z4TTKYMM5MT","GSON4117")</f>
        <v>#NAME?</v>
      </c>
      <c r="R2983" s="23" t="e">
        <f ca="1">[1]!BexGetData("DP_1","00O2TNJGODT0G5Z4TTKYMMBYD","GSON4117")</f>
        <v>#NAME?</v>
      </c>
      <c r="S2983" s="23" t="e">
        <f ca="1">[1]!BexGetData("DP_1","00O2TNJGODT0G5Z4TTKYMMI9X","GSON4117")</f>
        <v>#NAME?</v>
      </c>
      <c r="T2983" s="23" t="e">
        <f ca="1">[1]!BexGetData("DP_1","00O2TNJGODT0G5Z4TTKYMMOLH","GSON4117")</f>
        <v>#NAME?</v>
      </c>
      <c r="U2983" s="28" t="e">
        <f ca="1">[1]!BexGetData("DP_1","00O2TNJGODT0G5Z4TTKYMMUX1","GSON4117")</f>
        <v>#NAME?</v>
      </c>
      <c r="V2983" s="23" t="e">
        <f ca="1">[1]!BexGetData("DP_1","00O2TNJGODT0G5Z4TTKYMN18L","GSON4117")</f>
        <v>#NAME?</v>
      </c>
      <c r="W2983" s="28" t="e">
        <f ca="1">[1]!BexGetData("DP_1","00O2TNJGODT0G5Z4TTKYMN7K5","GSON4117")</f>
        <v>#NAME?</v>
      </c>
    </row>
    <row r="2984" spans="1:23" x14ac:dyDescent="0.2">
      <c r="A2984" s="36" t="s">
        <v>522</v>
      </c>
      <c r="B2984" s="27" t="s">
        <v>523</v>
      </c>
      <c r="C2984" s="23" t="e">
        <f ca="1">[1]!BexGetData("DP_1","003N8EMH8GTFRCSWKMPXRR8GU","GSON4117170101")</f>
        <v>#NAME?</v>
      </c>
      <c r="D2984" s="23" t="e">
        <f ca="1">[1]!BexGetData("DP_1","003N8EMH8GTFRCSWKMPXRRESE","GSON4117170101")</f>
        <v>#NAME?</v>
      </c>
      <c r="E2984" s="23" t="e">
        <f ca="1">[1]!BexGetData("DP_1","003N8EMH8GTFRCSWKMPXRRL3Y","GSON4117170101")</f>
        <v>#NAME?</v>
      </c>
      <c r="F2984" s="23" t="e">
        <f ca="1">[1]!BexGetData("DP_1","003N8EMH8GTFRCSWKMPXRRRFI","GSON4117170101")</f>
        <v>#NAME?</v>
      </c>
      <c r="G2984" s="23" t="e">
        <f ca="1">[1]!BexGetData("DP_1","003N8EMH8GTFRCSWKMPXRRXR2","GSON4117170101")</f>
        <v>#NAME?</v>
      </c>
      <c r="H2984" s="23" t="e">
        <f ca="1">[1]!BexGetData("DP_1","003N8EMH8GTFRCSWKMPXRS42M","GSON4117170101")</f>
        <v>#NAME?</v>
      </c>
      <c r="I2984" s="23" t="e">
        <f ca="1">[1]!BexGetData("DP_1","003N8EMH8GTFRCSWKMPXRSAE6","GSON4117170101")</f>
        <v>#NAME?</v>
      </c>
      <c r="J2984" s="24" t="e">
        <f ca="1">[1]!BexGetData("DP_1","003N8EMH8GTFRCSWKMPXRSGPQ","GSON4117170101")</f>
        <v>#NAME?</v>
      </c>
      <c r="K2984" s="23" t="e">
        <f ca="1">[1]!BexGetData("DP_1","003N8EMH8GTFRIVNUPY288VJH","GSON4117170101")</f>
        <v>#NAME?</v>
      </c>
      <c r="L2984" s="23" t="e">
        <f ca="1">[1]!BexGetData("DP_1","003N8EMH8GTFRIVNUPY2891V1","GSON4117170101")</f>
        <v>#NAME?</v>
      </c>
      <c r="M2984" s="23" t="e">
        <f ca="1">[1]!BexGetData("DP_1","003N8EMH8GTFRIVOG7KG9IQXA","GSON4117170101")</f>
        <v>#NAME?</v>
      </c>
      <c r="N2984" s="28" t="e">
        <f ca="1">[1]!BexGetData("DP_1","003N8EMH8GTFRIVOG7KG9IX8U","GSON4117170101")</f>
        <v>#NAME?</v>
      </c>
      <c r="O2984" s="23" t="e">
        <f ca="1">[1]!BexGetData("DP_1","003N8EMH8GTFRIVOG7KG9J3KE","GSON4117170101")</f>
        <v>#NAME?</v>
      </c>
      <c r="P2984" s="28" t="e">
        <f ca="1">[1]!BexGetData("DP_1","003N8EMH8GTFRIVOG7KG9J9VY","GSON4117170101")</f>
        <v>#NAME?</v>
      </c>
      <c r="Q2984" s="24" t="e">
        <f ca="1">[1]!BexGetData("DP_1","00O2TNJGODT0G5Z4TTKYMM5MT","GSON4117170101")</f>
        <v>#NAME?</v>
      </c>
      <c r="R2984" s="23" t="e">
        <f ca="1">[1]!BexGetData("DP_1","00O2TNJGODT0G5Z4TTKYMMBYD","GSON4117170101")</f>
        <v>#NAME?</v>
      </c>
      <c r="S2984" s="23" t="e">
        <f ca="1">[1]!BexGetData("DP_1","00O2TNJGODT0G5Z4TTKYMMI9X","GSON4117170101")</f>
        <v>#NAME?</v>
      </c>
      <c r="T2984" s="23" t="e">
        <f ca="1">[1]!BexGetData("DP_1","00O2TNJGODT0G5Z4TTKYMMOLH","GSON4117170101")</f>
        <v>#NAME?</v>
      </c>
      <c r="U2984" s="28" t="e">
        <f ca="1">[1]!BexGetData("DP_1","00O2TNJGODT0G5Z4TTKYMMUX1","GSON4117170101")</f>
        <v>#NAME?</v>
      </c>
      <c r="V2984" s="23" t="e">
        <f ca="1">[1]!BexGetData("DP_1","00O2TNJGODT0G5Z4TTKYMN18L","GSON4117170101")</f>
        <v>#NAME?</v>
      </c>
      <c r="W2984" s="28" t="e">
        <f ca="1">[1]!BexGetData("DP_1","00O2TNJGODT0G5Z4TTKYMN7K5","GSON4117170101")</f>
        <v>#NAME?</v>
      </c>
    </row>
    <row r="2985" spans="1:23" x14ac:dyDescent="0.2">
      <c r="A2985" s="36" t="s">
        <v>1474</v>
      </c>
      <c r="B2985" s="27" t="s">
        <v>1475</v>
      </c>
      <c r="C2985" s="23" t="e">
        <f ca="1">[1]!BexGetData("DP_1","003N8EMH8GTFRCSWKMPXRR8GU","GSON4117170102")</f>
        <v>#NAME?</v>
      </c>
      <c r="D2985" s="23" t="e">
        <f ca="1">[1]!BexGetData("DP_1","003N8EMH8GTFRCSWKMPXRRESE","GSON4117170102")</f>
        <v>#NAME?</v>
      </c>
      <c r="E2985" s="23" t="e">
        <f ca="1">[1]!BexGetData("DP_1","003N8EMH8GTFRCSWKMPXRRL3Y","GSON4117170102")</f>
        <v>#NAME?</v>
      </c>
      <c r="F2985" s="23" t="e">
        <f ca="1">[1]!BexGetData("DP_1","003N8EMH8GTFRCSWKMPXRRRFI","GSON4117170102")</f>
        <v>#NAME?</v>
      </c>
      <c r="G2985" s="23" t="e">
        <f ca="1">[1]!BexGetData("DP_1","003N8EMH8GTFRCSWKMPXRRXR2","GSON4117170102")</f>
        <v>#NAME?</v>
      </c>
      <c r="H2985" s="23" t="e">
        <f ca="1">[1]!BexGetData("DP_1","003N8EMH8GTFRCSWKMPXRS42M","GSON4117170102")</f>
        <v>#NAME?</v>
      </c>
      <c r="I2985" s="23" t="e">
        <f ca="1">[1]!BexGetData("DP_1","003N8EMH8GTFRCSWKMPXRSAE6","GSON4117170102")</f>
        <v>#NAME?</v>
      </c>
      <c r="J2985" s="24" t="e">
        <f ca="1">[1]!BexGetData("DP_1","003N8EMH8GTFRCSWKMPXRSGPQ","GSON4117170102")</f>
        <v>#NAME?</v>
      </c>
      <c r="K2985" s="23" t="e">
        <f ca="1">[1]!BexGetData("DP_1","003N8EMH8GTFRIVNUPY288VJH","GSON4117170102")</f>
        <v>#NAME?</v>
      </c>
      <c r="L2985" s="23" t="e">
        <f ca="1">[1]!BexGetData("DP_1","003N8EMH8GTFRIVNUPY2891V1","GSON4117170102")</f>
        <v>#NAME?</v>
      </c>
      <c r="M2985" s="23" t="e">
        <f ca="1">[1]!BexGetData("DP_1","003N8EMH8GTFRIVOG7KG9IQXA","GSON4117170102")</f>
        <v>#NAME?</v>
      </c>
      <c r="N2985" s="28" t="e">
        <f ca="1">[1]!BexGetData("DP_1","003N8EMH8GTFRIVOG7KG9IX8U","GSON4117170102")</f>
        <v>#NAME?</v>
      </c>
      <c r="O2985" s="23" t="e">
        <f ca="1">[1]!BexGetData("DP_1","003N8EMH8GTFRIVOG7KG9J3KE","GSON4117170102")</f>
        <v>#NAME?</v>
      </c>
      <c r="P2985" s="28" t="e">
        <f ca="1">[1]!BexGetData("DP_1","003N8EMH8GTFRIVOG7KG9J9VY","GSON4117170102")</f>
        <v>#NAME?</v>
      </c>
      <c r="Q2985" s="24" t="e">
        <f ca="1">[1]!BexGetData("DP_1","00O2TNJGODT0G5Z4TTKYMM5MT","GSON4117170102")</f>
        <v>#NAME?</v>
      </c>
      <c r="R2985" s="23" t="e">
        <f ca="1">[1]!BexGetData("DP_1","00O2TNJGODT0G5Z4TTKYMMBYD","GSON4117170102")</f>
        <v>#NAME?</v>
      </c>
      <c r="S2985" s="23" t="e">
        <f ca="1">[1]!BexGetData("DP_1","00O2TNJGODT0G5Z4TTKYMMI9X","GSON4117170102")</f>
        <v>#NAME?</v>
      </c>
      <c r="T2985" s="23" t="e">
        <f ca="1">[1]!BexGetData("DP_1","00O2TNJGODT0G5Z4TTKYMMOLH","GSON4117170102")</f>
        <v>#NAME?</v>
      </c>
      <c r="U2985" s="28" t="e">
        <f ca="1">[1]!BexGetData("DP_1","00O2TNJGODT0G5Z4TTKYMMUX1","GSON4117170102")</f>
        <v>#NAME?</v>
      </c>
      <c r="V2985" s="23" t="e">
        <f ca="1">[1]!BexGetData("DP_1","00O2TNJGODT0G5Z4TTKYMN18L","GSON4117170102")</f>
        <v>#NAME?</v>
      </c>
      <c r="W2985" s="28" t="e">
        <f ca="1">[1]!BexGetData("DP_1","00O2TNJGODT0G5Z4TTKYMN7K5","GSON4117170102")</f>
        <v>#NAME?</v>
      </c>
    </row>
    <row r="2986" spans="1:23" x14ac:dyDescent="0.2">
      <c r="A2986" s="36" t="s">
        <v>1476</v>
      </c>
      <c r="B2986" s="27" t="s">
        <v>1477</v>
      </c>
      <c r="C2986" s="23" t="e">
        <f ca="1">[1]!BexGetData("DP_1","003N8EMH8GTFRCSWKMPXRR8GU","GSON4117170103")</f>
        <v>#NAME?</v>
      </c>
      <c r="D2986" s="23" t="e">
        <f ca="1">[1]!BexGetData("DP_1","003N8EMH8GTFRCSWKMPXRRESE","GSON4117170103")</f>
        <v>#NAME?</v>
      </c>
      <c r="E2986" s="23" t="e">
        <f ca="1">[1]!BexGetData("DP_1","003N8EMH8GTFRCSWKMPXRRL3Y","GSON4117170103")</f>
        <v>#NAME?</v>
      </c>
      <c r="F2986" s="23" t="e">
        <f ca="1">[1]!BexGetData("DP_1","003N8EMH8GTFRCSWKMPXRRRFI","GSON4117170103")</f>
        <v>#NAME?</v>
      </c>
      <c r="G2986" s="23" t="e">
        <f ca="1">[1]!BexGetData("DP_1","003N8EMH8GTFRCSWKMPXRRXR2","GSON4117170103")</f>
        <v>#NAME?</v>
      </c>
      <c r="H2986" s="23" t="e">
        <f ca="1">[1]!BexGetData("DP_1","003N8EMH8GTFRCSWKMPXRS42M","GSON4117170103")</f>
        <v>#NAME?</v>
      </c>
      <c r="I2986" s="23" t="e">
        <f ca="1">[1]!BexGetData("DP_1","003N8EMH8GTFRCSWKMPXRSAE6","GSON4117170103")</f>
        <v>#NAME?</v>
      </c>
      <c r="J2986" s="24" t="e">
        <f ca="1">[1]!BexGetData("DP_1","003N8EMH8GTFRCSWKMPXRSGPQ","GSON4117170103")</f>
        <v>#NAME?</v>
      </c>
      <c r="K2986" s="23" t="e">
        <f ca="1">[1]!BexGetData("DP_1","003N8EMH8GTFRIVNUPY288VJH","GSON4117170103")</f>
        <v>#NAME?</v>
      </c>
      <c r="L2986" s="23" t="e">
        <f ca="1">[1]!BexGetData("DP_1","003N8EMH8GTFRIVNUPY2891V1","GSON4117170103")</f>
        <v>#NAME?</v>
      </c>
      <c r="M2986" s="23" t="e">
        <f ca="1">[1]!BexGetData("DP_1","003N8EMH8GTFRIVOG7KG9IQXA","GSON4117170103")</f>
        <v>#NAME?</v>
      </c>
      <c r="N2986" s="28" t="e">
        <f ca="1">[1]!BexGetData("DP_1","003N8EMH8GTFRIVOG7KG9IX8U","GSON4117170103")</f>
        <v>#NAME?</v>
      </c>
      <c r="O2986" s="23" t="e">
        <f ca="1">[1]!BexGetData("DP_1","003N8EMH8GTFRIVOG7KG9J3KE","GSON4117170103")</f>
        <v>#NAME?</v>
      </c>
      <c r="P2986" s="28" t="e">
        <f ca="1">[1]!BexGetData("DP_1","003N8EMH8GTFRIVOG7KG9J9VY","GSON4117170103")</f>
        <v>#NAME?</v>
      </c>
      <c r="Q2986" s="24" t="e">
        <f ca="1">[1]!BexGetData("DP_1","00O2TNJGODT0G5Z4TTKYMM5MT","GSON4117170103")</f>
        <v>#NAME?</v>
      </c>
      <c r="R2986" s="23" t="e">
        <f ca="1">[1]!BexGetData("DP_1","00O2TNJGODT0G5Z4TTKYMMBYD","GSON4117170103")</f>
        <v>#NAME?</v>
      </c>
      <c r="S2986" s="23" t="e">
        <f ca="1">[1]!BexGetData("DP_1","00O2TNJGODT0G5Z4TTKYMMI9X","GSON4117170103")</f>
        <v>#NAME?</v>
      </c>
      <c r="T2986" s="23" t="e">
        <f ca="1">[1]!BexGetData("DP_1","00O2TNJGODT0G5Z4TTKYMMOLH","GSON4117170103")</f>
        <v>#NAME?</v>
      </c>
      <c r="U2986" s="28" t="e">
        <f ca="1">[1]!BexGetData("DP_1","00O2TNJGODT0G5Z4TTKYMMUX1","GSON4117170103")</f>
        <v>#NAME?</v>
      </c>
      <c r="V2986" s="23" t="e">
        <f ca="1">[1]!BexGetData("DP_1","00O2TNJGODT0G5Z4TTKYMN18L","GSON4117170103")</f>
        <v>#NAME?</v>
      </c>
      <c r="W2986" s="28" t="e">
        <f ca="1">[1]!BexGetData("DP_1","00O2TNJGODT0G5Z4TTKYMN7K5","GSON4117170103")</f>
        <v>#NAME?</v>
      </c>
    </row>
    <row r="2987" spans="1:23" x14ac:dyDescent="0.2">
      <c r="A2987" s="35" t="s">
        <v>524</v>
      </c>
      <c r="B2987" s="27" t="s">
        <v>525</v>
      </c>
      <c r="C2987" s="23" t="e">
        <f ca="1">[1]!BexGetData("DP_1","003N8EMH8GTFRCSWKMPXRR8GU","GSON4119")</f>
        <v>#NAME?</v>
      </c>
      <c r="D2987" s="23" t="e">
        <f ca="1">[1]!BexGetData("DP_1","003N8EMH8GTFRCSWKMPXRRESE","GSON4119")</f>
        <v>#NAME?</v>
      </c>
      <c r="E2987" s="23" t="e">
        <f ca="1">[1]!BexGetData("DP_1","003N8EMH8GTFRCSWKMPXRRL3Y","GSON4119")</f>
        <v>#NAME?</v>
      </c>
      <c r="F2987" s="23" t="e">
        <f ca="1">[1]!BexGetData("DP_1","003N8EMH8GTFRCSWKMPXRRRFI","GSON4119")</f>
        <v>#NAME?</v>
      </c>
      <c r="G2987" s="23" t="e">
        <f ca="1">[1]!BexGetData("DP_1","003N8EMH8GTFRCSWKMPXRRXR2","GSON4119")</f>
        <v>#NAME?</v>
      </c>
      <c r="H2987" s="23" t="e">
        <f ca="1">[1]!BexGetData("DP_1","003N8EMH8GTFRCSWKMPXRS42M","GSON4119")</f>
        <v>#NAME?</v>
      </c>
      <c r="I2987" s="23" t="e">
        <f ca="1">[1]!BexGetData("DP_1","003N8EMH8GTFRCSWKMPXRSAE6","GSON4119")</f>
        <v>#NAME?</v>
      </c>
      <c r="J2987" s="24" t="e">
        <f ca="1">[1]!BexGetData("DP_1","003N8EMH8GTFRCSWKMPXRSGPQ","GSON4119")</f>
        <v>#NAME?</v>
      </c>
      <c r="K2987" s="23" t="e">
        <f ca="1">[1]!BexGetData("DP_1","003N8EMH8GTFRIVNUPY288VJH","GSON4119")</f>
        <v>#NAME?</v>
      </c>
      <c r="L2987" s="23" t="e">
        <f ca="1">[1]!BexGetData("DP_1","003N8EMH8GTFRIVNUPY2891V1","GSON4119")</f>
        <v>#NAME?</v>
      </c>
      <c r="M2987" s="23" t="e">
        <f ca="1">[1]!BexGetData("DP_1","003N8EMH8GTFRIVOG7KG9IQXA","GSON4119")</f>
        <v>#NAME?</v>
      </c>
      <c r="N2987" s="28" t="e">
        <f ca="1">[1]!BexGetData("DP_1","003N8EMH8GTFRIVOG7KG9IX8U","GSON4119")</f>
        <v>#NAME?</v>
      </c>
      <c r="O2987" s="23" t="e">
        <f ca="1">[1]!BexGetData("DP_1","003N8EMH8GTFRIVOG7KG9J3KE","GSON4119")</f>
        <v>#NAME?</v>
      </c>
      <c r="P2987" s="28" t="e">
        <f ca="1">[1]!BexGetData("DP_1","003N8EMH8GTFRIVOG7KG9J9VY","GSON4119")</f>
        <v>#NAME?</v>
      </c>
      <c r="Q2987" s="24" t="e">
        <f ca="1">[1]!BexGetData("DP_1","00O2TNJGODT0G5Z4TTKYMM5MT","GSON4119")</f>
        <v>#NAME?</v>
      </c>
      <c r="R2987" s="23" t="e">
        <f ca="1">[1]!BexGetData("DP_1","00O2TNJGODT0G5Z4TTKYMMBYD","GSON4119")</f>
        <v>#NAME?</v>
      </c>
      <c r="S2987" s="23" t="e">
        <f ca="1">[1]!BexGetData("DP_1","00O2TNJGODT0G5Z4TTKYMMI9X","GSON4119")</f>
        <v>#NAME?</v>
      </c>
      <c r="T2987" s="23" t="e">
        <f ca="1">[1]!BexGetData("DP_1","00O2TNJGODT0G5Z4TTKYMMOLH","GSON4119")</f>
        <v>#NAME?</v>
      </c>
      <c r="U2987" s="28" t="e">
        <f ca="1">[1]!BexGetData("DP_1","00O2TNJGODT0G5Z4TTKYMMUX1","GSON4119")</f>
        <v>#NAME?</v>
      </c>
      <c r="V2987" s="23" t="e">
        <f ca="1">[1]!BexGetData("DP_1","00O2TNJGODT0G5Z4TTKYMN18L","GSON4119")</f>
        <v>#NAME?</v>
      </c>
      <c r="W2987" s="28" t="e">
        <f ca="1">[1]!BexGetData("DP_1","00O2TNJGODT0G5Z4TTKYMN7K5","GSON4119")</f>
        <v>#NAME?</v>
      </c>
    </row>
    <row r="2988" spans="1:23" x14ac:dyDescent="0.2">
      <c r="A2988" s="36" t="s">
        <v>1478</v>
      </c>
      <c r="B2988" s="27" t="s">
        <v>526</v>
      </c>
      <c r="C2988" s="23" t="e">
        <f ca="1">[1]!BexGetData("DP_1","003N8EMH8GTFRCSWKMPXRR8GU","GSON4119180101")</f>
        <v>#NAME?</v>
      </c>
      <c r="D2988" s="23" t="e">
        <f ca="1">[1]!BexGetData("DP_1","003N8EMH8GTFRCSWKMPXRRESE","GSON4119180101")</f>
        <v>#NAME?</v>
      </c>
      <c r="E2988" s="23" t="e">
        <f ca="1">[1]!BexGetData("DP_1","003N8EMH8GTFRCSWKMPXRRL3Y","GSON4119180101")</f>
        <v>#NAME?</v>
      </c>
      <c r="F2988" s="23" t="e">
        <f ca="1">[1]!BexGetData("DP_1","003N8EMH8GTFRCSWKMPXRRRFI","GSON4119180101")</f>
        <v>#NAME?</v>
      </c>
      <c r="G2988" s="23" t="e">
        <f ca="1">[1]!BexGetData("DP_1","003N8EMH8GTFRCSWKMPXRRXR2","GSON4119180101")</f>
        <v>#NAME?</v>
      </c>
      <c r="H2988" s="23" t="e">
        <f ca="1">[1]!BexGetData("DP_1","003N8EMH8GTFRCSWKMPXRS42M","GSON4119180101")</f>
        <v>#NAME?</v>
      </c>
      <c r="I2988" s="23" t="e">
        <f ca="1">[1]!BexGetData("DP_1","003N8EMH8GTFRCSWKMPXRSAE6","GSON4119180101")</f>
        <v>#NAME?</v>
      </c>
      <c r="J2988" s="24" t="e">
        <f ca="1">[1]!BexGetData("DP_1","003N8EMH8GTFRCSWKMPXRSGPQ","GSON4119180101")</f>
        <v>#NAME?</v>
      </c>
      <c r="K2988" s="23" t="e">
        <f ca="1">[1]!BexGetData("DP_1","003N8EMH8GTFRIVNUPY288VJH","GSON4119180101")</f>
        <v>#NAME?</v>
      </c>
      <c r="L2988" s="23" t="e">
        <f ca="1">[1]!BexGetData("DP_1","003N8EMH8GTFRIVNUPY2891V1","GSON4119180101")</f>
        <v>#NAME?</v>
      </c>
      <c r="M2988" s="23" t="e">
        <f ca="1">[1]!BexGetData("DP_1","003N8EMH8GTFRIVOG7KG9IQXA","GSON4119180101")</f>
        <v>#NAME?</v>
      </c>
      <c r="N2988" s="28" t="e">
        <f ca="1">[1]!BexGetData("DP_1","003N8EMH8GTFRIVOG7KG9IX8U","GSON4119180101")</f>
        <v>#NAME?</v>
      </c>
      <c r="O2988" s="23" t="e">
        <f ca="1">[1]!BexGetData("DP_1","003N8EMH8GTFRIVOG7KG9J3KE","GSON4119180101")</f>
        <v>#NAME?</v>
      </c>
      <c r="P2988" s="28" t="e">
        <f ca="1">[1]!BexGetData("DP_1","003N8EMH8GTFRIVOG7KG9J9VY","GSON4119180101")</f>
        <v>#NAME?</v>
      </c>
      <c r="Q2988" s="24" t="e">
        <f ca="1">[1]!BexGetData("DP_1","00O2TNJGODT0G5Z4TTKYMM5MT","GSON4119180101")</f>
        <v>#NAME?</v>
      </c>
      <c r="R2988" s="23" t="e">
        <f ca="1">[1]!BexGetData("DP_1","00O2TNJGODT0G5Z4TTKYMMBYD","GSON4119180101")</f>
        <v>#NAME?</v>
      </c>
      <c r="S2988" s="23" t="e">
        <f ca="1">[1]!BexGetData("DP_1","00O2TNJGODT0G5Z4TTKYMMI9X","GSON4119180101")</f>
        <v>#NAME?</v>
      </c>
      <c r="T2988" s="23" t="e">
        <f ca="1">[1]!BexGetData("DP_1","00O2TNJGODT0G5Z4TTKYMMOLH","GSON4119180101")</f>
        <v>#NAME?</v>
      </c>
      <c r="U2988" s="28" t="e">
        <f ca="1">[1]!BexGetData("DP_1","00O2TNJGODT0G5Z4TTKYMMUX1","GSON4119180101")</f>
        <v>#NAME?</v>
      </c>
      <c r="V2988" s="23" t="e">
        <f ca="1">[1]!BexGetData("DP_1","00O2TNJGODT0G5Z4TTKYMN18L","GSON4119180101")</f>
        <v>#NAME?</v>
      </c>
      <c r="W2988" s="28" t="e">
        <f ca="1">[1]!BexGetData("DP_1","00O2TNJGODT0G5Z4TTKYMN7K5","GSON4119180101")</f>
        <v>#NAME?</v>
      </c>
    </row>
    <row r="2989" spans="1:23" x14ac:dyDescent="0.2">
      <c r="A2989" s="36" t="s">
        <v>1479</v>
      </c>
      <c r="B2989" s="27" t="s">
        <v>527</v>
      </c>
      <c r="C2989" s="23" t="e">
        <f ca="1">[1]!BexGetData("DP_1","003N8EMH8GTFRCSWKMPXRR8GU","GSON4119180201")</f>
        <v>#NAME?</v>
      </c>
      <c r="D2989" s="23" t="e">
        <f ca="1">[1]!BexGetData("DP_1","003N8EMH8GTFRCSWKMPXRRESE","GSON4119180201")</f>
        <v>#NAME?</v>
      </c>
      <c r="E2989" s="23" t="e">
        <f ca="1">[1]!BexGetData("DP_1","003N8EMH8GTFRCSWKMPXRRL3Y","GSON4119180201")</f>
        <v>#NAME?</v>
      </c>
      <c r="F2989" s="23" t="e">
        <f ca="1">[1]!BexGetData("DP_1","003N8EMH8GTFRCSWKMPXRRRFI","GSON4119180201")</f>
        <v>#NAME?</v>
      </c>
      <c r="G2989" s="23" t="e">
        <f ca="1">[1]!BexGetData("DP_1","003N8EMH8GTFRCSWKMPXRRXR2","GSON4119180201")</f>
        <v>#NAME?</v>
      </c>
      <c r="H2989" s="23" t="e">
        <f ca="1">[1]!BexGetData("DP_1","003N8EMH8GTFRCSWKMPXRS42M","GSON4119180201")</f>
        <v>#NAME?</v>
      </c>
      <c r="I2989" s="23" t="e">
        <f ca="1">[1]!BexGetData("DP_1","003N8EMH8GTFRCSWKMPXRSAE6","GSON4119180201")</f>
        <v>#NAME?</v>
      </c>
      <c r="J2989" s="24" t="e">
        <f ca="1">[1]!BexGetData("DP_1","003N8EMH8GTFRCSWKMPXRSGPQ","GSON4119180201")</f>
        <v>#NAME?</v>
      </c>
      <c r="K2989" s="23" t="e">
        <f ca="1">[1]!BexGetData("DP_1","003N8EMH8GTFRIVNUPY288VJH","GSON4119180201")</f>
        <v>#NAME?</v>
      </c>
      <c r="L2989" s="23" t="e">
        <f ca="1">[1]!BexGetData("DP_1","003N8EMH8GTFRIVNUPY2891V1","GSON4119180201")</f>
        <v>#NAME?</v>
      </c>
      <c r="M2989" s="23" t="e">
        <f ca="1">[1]!BexGetData("DP_1","003N8EMH8GTFRIVOG7KG9IQXA","GSON4119180201")</f>
        <v>#NAME?</v>
      </c>
      <c r="N2989" s="28" t="e">
        <f ca="1">[1]!BexGetData("DP_1","003N8EMH8GTFRIVOG7KG9IX8U","GSON4119180201")</f>
        <v>#NAME?</v>
      </c>
      <c r="O2989" s="23" t="e">
        <f ca="1">[1]!BexGetData("DP_1","003N8EMH8GTFRIVOG7KG9J3KE","GSON4119180201")</f>
        <v>#NAME?</v>
      </c>
      <c r="P2989" s="28" t="e">
        <f ca="1">[1]!BexGetData("DP_1","003N8EMH8GTFRIVOG7KG9J9VY","GSON4119180201")</f>
        <v>#NAME?</v>
      </c>
      <c r="Q2989" s="24" t="e">
        <f ca="1">[1]!BexGetData("DP_1","00O2TNJGODT0G5Z4TTKYMM5MT","GSON4119180201")</f>
        <v>#NAME?</v>
      </c>
      <c r="R2989" s="23" t="e">
        <f ca="1">[1]!BexGetData("DP_1","00O2TNJGODT0G5Z4TTKYMMBYD","GSON4119180201")</f>
        <v>#NAME?</v>
      </c>
      <c r="S2989" s="23" t="e">
        <f ca="1">[1]!BexGetData("DP_1","00O2TNJGODT0G5Z4TTKYMMI9X","GSON4119180201")</f>
        <v>#NAME?</v>
      </c>
      <c r="T2989" s="23" t="e">
        <f ca="1">[1]!BexGetData("DP_1","00O2TNJGODT0G5Z4TTKYMMOLH","GSON4119180201")</f>
        <v>#NAME?</v>
      </c>
      <c r="U2989" s="28" t="e">
        <f ca="1">[1]!BexGetData("DP_1","00O2TNJGODT0G5Z4TTKYMMUX1","GSON4119180201")</f>
        <v>#NAME?</v>
      </c>
      <c r="V2989" s="23" t="e">
        <f ca="1">[1]!BexGetData("DP_1","00O2TNJGODT0G5Z4TTKYMN18L","GSON4119180201")</f>
        <v>#NAME?</v>
      </c>
      <c r="W2989" s="28" t="e">
        <f ca="1">[1]!BexGetData("DP_1","00O2TNJGODT0G5Z4TTKYMN7K5","GSON4119180201")</f>
        <v>#NAME?</v>
      </c>
    </row>
    <row r="2990" spans="1:23" x14ac:dyDescent="0.2">
      <c r="A2990" s="36" t="s">
        <v>1480</v>
      </c>
      <c r="B2990" s="27" t="s">
        <v>528</v>
      </c>
      <c r="C2990" s="23" t="e">
        <f ca="1">[1]!BexGetData("DP_1","003N8EMH8GTFRCSWKMPXRR8GU","GSON4119180301")</f>
        <v>#NAME?</v>
      </c>
      <c r="D2990" s="23" t="e">
        <f ca="1">[1]!BexGetData("DP_1","003N8EMH8GTFRCSWKMPXRRESE","GSON4119180301")</f>
        <v>#NAME?</v>
      </c>
      <c r="E2990" s="23" t="e">
        <f ca="1">[1]!BexGetData("DP_1","003N8EMH8GTFRCSWKMPXRRL3Y","GSON4119180301")</f>
        <v>#NAME?</v>
      </c>
      <c r="F2990" s="23" t="e">
        <f ca="1">[1]!BexGetData("DP_1","003N8EMH8GTFRCSWKMPXRRRFI","GSON4119180301")</f>
        <v>#NAME?</v>
      </c>
      <c r="G2990" s="23" t="e">
        <f ca="1">[1]!BexGetData("DP_1","003N8EMH8GTFRCSWKMPXRRXR2","GSON4119180301")</f>
        <v>#NAME?</v>
      </c>
      <c r="H2990" s="23" t="e">
        <f ca="1">[1]!BexGetData("DP_1","003N8EMH8GTFRCSWKMPXRS42M","GSON4119180301")</f>
        <v>#NAME?</v>
      </c>
      <c r="I2990" s="23" t="e">
        <f ca="1">[1]!BexGetData("DP_1","003N8EMH8GTFRCSWKMPXRSAE6","GSON4119180301")</f>
        <v>#NAME?</v>
      </c>
      <c r="J2990" s="24" t="e">
        <f ca="1">[1]!BexGetData("DP_1","003N8EMH8GTFRCSWKMPXRSGPQ","GSON4119180301")</f>
        <v>#NAME?</v>
      </c>
      <c r="K2990" s="23" t="e">
        <f ca="1">[1]!BexGetData("DP_1","003N8EMH8GTFRIVNUPY288VJH","GSON4119180301")</f>
        <v>#NAME?</v>
      </c>
      <c r="L2990" s="23" t="e">
        <f ca="1">[1]!BexGetData("DP_1","003N8EMH8GTFRIVNUPY2891V1","GSON4119180301")</f>
        <v>#NAME?</v>
      </c>
      <c r="M2990" s="23" t="e">
        <f ca="1">[1]!BexGetData("DP_1","003N8EMH8GTFRIVOG7KG9IQXA","GSON4119180301")</f>
        <v>#NAME?</v>
      </c>
      <c r="N2990" s="28" t="e">
        <f ca="1">[1]!BexGetData("DP_1","003N8EMH8GTFRIVOG7KG9IX8U","GSON4119180301")</f>
        <v>#NAME?</v>
      </c>
      <c r="O2990" s="23" t="e">
        <f ca="1">[1]!BexGetData("DP_1","003N8EMH8GTFRIVOG7KG9J3KE","GSON4119180301")</f>
        <v>#NAME?</v>
      </c>
      <c r="P2990" s="28" t="e">
        <f ca="1">[1]!BexGetData("DP_1","003N8EMH8GTFRIVOG7KG9J9VY","GSON4119180301")</f>
        <v>#NAME?</v>
      </c>
      <c r="Q2990" s="24" t="e">
        <f ca="1">[1]!BexGetData("DP_1","00O2TNJGODT0G5Z4TTKYMM5MT","GSON4119180301")</f>
        <v>#NAME?</v>
      </c>
      <c r="R2990" s="23" t="e">
        <f ca="1">[1]!BexGetData("DP_1","00O2TNJGODT0G5Z4TTKYMMBYD","GSON4119180301")</f>
        <v>#NAME?</v>
      </c>
      <c r="S2990" s="23" t="e">
        <f ca="1">[1]!BexGetData("DP_1","00O2TNJGODT0G5Z4TTKYMMI9X","GSON4119180301")</f>
        <v>#NAME?</v>
      </c>
      <c r="T2990" s="23" t="e">
        <f ca="1">[1]!BexGetData("DP_1","00O2TNJGODT0G5Z4TTKYMMOLH","GSON4119180301")</f>
        <v>#NAME?</v>
      </c>
      <c r="U2990" s="28" t="e">
        <f ca="1">[1]!BexGetData("DP_1","00O2TNJGODT0G5Z4TTKYMMUX1","GSON4119180301")</f>
        <v>#NAME?</v>
      </c>
      <c r="V2990" s="23" t="e">
        <f ca="1">[1]!BexGetData("DP_1","00O2TNJGODT0G5Z4TTKYMN18L","GSON4119180301")</f>
        <v>#NAME?</v>
      </c>
      <c r="W2990" s="28" t="e">
        <f ca="1">[1]!BexGetData("DP_1","00O2TNJGODT0G5Z4TTKYMN7K5","GSON4119180301")</f>
        <v>#NAME?</v>
      </c>
    </row>
    <row r="2991" spans="1:23" x14ac:dyDescent="0.2">
      <c r="A2991" s="36" t="s">
        <v>6365</v>
      </c>
      <c r="B2991" s="27" t="s">
        <v>6366</v>
      </c>
      <c r="C2991" s="23" t="e">
        <f ca="1">[1]!BexGetData("DP_1","003N8EMH8GTFRCSWKMPXRR8GU","GSON4119180401")</f>
        <v>#NAME?</v>
      </c>
      <c r="D2991" s="23" t="e">
        <f ca="1">[1]!BexGetData("DP_1","003N8EMH8GTFRCSWKMPXRRESE","GSON4119180401")</f>
        <v>#NAME?</v>
      </c>
      <c r="E2991" s="23" t="e">
        <f ca="1">[1]!BexGetData("DP_1","003N8EMH8GTFRCSWKMPXRRL3Y","GSON4119180401")</f>
        <v>#NAME?</v>
      </c>
      <c r="F2991" s="23" t="e">
        <f ca="1">[1]!BexGetData("DP_1","003N8EMH8GTFRCSWKMPXRRRFI","GSON4119180401")</f>
        <v>#NAME?</v>
      </c>
      <c r="G2991" s="28" t="e">
        <f ca="1">[1]!BexGetData("DP_1","003N8EMH8GTFRCSWKMPXRRXR2","GSON4119180401")</f>
        <v>#NAME?</v>
      </c>
      <c r="H2991" s="23" t="e">
        <f ca="1">[1]!BexGetData("DP_1","003N8EMH8GTFRCSWKMPXRS42M","GSON4119180401")</f>
        <v>#NAME?</v>
      </c>
      <c r="I2991" s="23" t="e">
        <f ca="1">[1]!BexGetData("DP_1","003N8EMH8GTFRCSWKMPXRSAE6","GSON4119180401")</f>
        <v>#NAME?</v>
      </c>
      <c r="J2991" s="24" t="e">
        <f ca="1">[1]!BexGetData("DP_1","003N8EMH8GTFRCSWKMPXRSGPQ","GSON4119180401")</f>
        <v>#NAME?</v>
      </c>
      <c r="K2991" s="23" t="e">
        <f ca="1">[1]!BexGetData("DP_1","003N8EMH8GTFRIVNUPY288VJH","GSON4119180401")</f>
        <v>#NAME?</v>
      </c>
      <c r="L2991" s="23" t="e">
        <f ca="1">[1]!BexGetData("DP_1","003N8EMH8GTFRIVNUPY2891V1","GSON4119180401")</f>
        <v>#NAME?</v>
      </c>
      <c r="M2991" s="23" t="e">
        <f ca="1">[1]!BexGetData("DP_1","003N8EMH8GTFRIVOG7KG9IQXA","GSON4119180401")</f>
        <v>#NAME?</v>
      </c>
      <c r="N2991" s="28" t="e">
        <f ca="1">[1]!BexGetData("DP_1","003N8EMH8GTFRIVOG7KG9IX8U","GSON4119180401")</f>
        <v>#NAME?</v>
      </c>
      <c r="O2991" s="23" t="e">
        <f ca="1">[1]!BexGetData("DP_1","003N8EMH8GTFRIVOG7KG9J3KE","GSON4119180401")</f>
        <v>#NAME?</v>
      </c>
      <c r="P2991" s="28" t="e">
        <f ca="1">[1]!BexGetData("DP_1","003N8EMH8GTFRIVOG7KG9J9VY","GSON4119180401")</f>
        <v>#NAME?</v>
      </c>
      <c r="Q2991" s="24" t="e">
        <f ca="1">[1]!BexGetData("DP_1","00O2TNJGODT0G5Z4TTKYMM5MT","GSON4119180401")</f>
        <v>#NAME?</v>
      </c>
      <c r="R2991" s="23" t="e">
        <f ca="1">[1]!BexGetData("DP_1","00O2TNJGODT0G5Z4TTKYMMBYD","GSON4119180401")</f>
        <v>#NAME?</v>
      </c>
      <c r="S2991" s="23" t="e">
        <f ca="1">[1]!BexGetData("DP_1","00O2TNJGODT0G5Z4TTKYMMI9X","GSON4119180401")</f>
        <v>#NAME?</v>
      </c>
      <c r="T2991" s="23" t="e">
        <f ca="1">[1]!BexGetData("DP_1","00O2TNJGODT0G5Z4TTKYMMOLH","GSON4119180401")</f>
        <v>#NAME?</v>
      </c>
      <c r="U2991" s="28" t="e">
        <f ca="1">[1]!BexGetData("DP_1","00O2TNJGODT0G5Z4TTKYMMUX1","GSON4119180401")</f>
        <v>#NAME?</v>
      </c>
      <c r="V2991" s="23" t="e">
        <f ca="1">[1]!BexGetData("DP_1","00O2TNJGODT0G5Z4TTKYMN18L","GSON4119180401")</f>
        <v>#NAME?</v>
      </c>
      <c r="W2991" s="28" t="e">
        <f ca="1">[1]!BexGetData("DP_1","00O2TNJGODT0G5Z4TTKYMN7K5","GSON4119180401")</f>
        <v>#NAME?</v>
      </c>
    </row>
    <row r="2992" spans="1:23" x14ac:dyDescent="0.2">
      <c r="A2992" s="34" t="s">
        <v>529</v>
      </c>
      <c r="B2992" s="27" t="s">
        <v>530</v>
      </c>
      <c r="C2992" s="23" t="e">
        <f ca="1">[1]!BexGetData("DP_1","003N8EMH8GTFRCSWKMPXRR8GU","GSON414")</f>
        <v>#NAME?</v>
      </c>
      <c r="D2992" s="23" t="e">
        <f ca="1">[1]!BexGetData("DP_1","003N8EMH8GTFRCSWKMPXRRESE","GSON414")</f>
        <v>#NAME?</v>
      </c>
      <c r="E2992" s="23" t="e">
        <f ca="1">[1]!BexGetData("DP_1","003N8EMH8GTFRCSWKMPXRRL3Y","GSON414")</f>
        <v>#NAME?</v>
      </c>
      <c r="F2992" s="23" t="e">
        <f ca="1">[1]!BexGetData("DP_1","003N8EMH8GTFRCSWKMPXRRRFI","GSON414")</f>
        <v>#NAME?</v>
      </c>
      <c r="G2992" s="23" t="e">
        <f ca="1">[1]!BexGetData("DP_1","003N8EMH8GTFRCSWKMPXRRXR2","GSON414")</f>
        <v>#NAME?</v>
      </c>
      <c r="H2992" s="23" t="e">
        <f ca="1">[1]!BexGetData("DP_1","003N8EMH8GTFRCSWKMPXRS42M","GSON414")</f>
        <v>#NAME?</v>
      </c>
      <c r="I2992" s="23" t="e">
        <f ca="1">[1]!BexGetData("DP_1","003N8EMH8GTFRCSWKMPXRSAE6","GSON414")</f>
        <v>#NAME?</v>
      </c>
      <c r="J2992" s="24" t="e">
        <f ca="1">[1]!BexGetData("DP_1","003N8EMH8GTFRCSWKMPXRSGPQ","GSON414")</f>
        <v>#NAME?</v>
      </c>
      <c r="K2992" s="23" t="e">
        <f ca="1">[1]!BexGetData("DP_1","003N8EMH8GTFRIVNUPY288VJH","GSON414")</f>
        <v>#NAME?</v>
      </c>
      <c r="L2992" s="23" t="e">
        <f ca="1">[1]!BexGetData("DP_1","003N8EMH8GTFRIVNUPY2891V1","GSON414")</f>
        <v>#NAME?</v>
      </c>
      <c r="M2992" s="23" t="e">
        <f ca="1">[1]!BexGetData("DP_1","003N8EMH8GTFRIVOG7KG9IQXA","GSON414")</f>
        <v>#NAME?</v>
      </c>
      <c r="N2992" s="28" t="e">
        <f ca="1">[1]!BexGetData("DP_1","003N8EMH8GTFRIVOG7KG9IX8U","GSON414")</f>
        <v>#NAME?</v>
      </c>
      <c r="O2992" s="23" t="e">
        <f ca="1">[1]!BexGetData("DP_1","003N8EMH8GTFRIVOG7KG9J3KE","GSON414")</f>
        <v>#NAME?</v>
      </c>
      <c r="P2992" s="28" t="e">
        <f ca="1">[1]!BexGetData("DP_1","003N8EMH8GTFRIVOG7KG9J9VY","GSON414")</f>
        <v>#NAME?</v>
      </c>
      <c r="Q2992" s="24" t="e">
        <f ca="1">[1]!BexGetData("DP_1","00O2TNJGODT0G5Z4TTKYMM5MT","GSON414")</f>
        <v>#NAME?</v>
      </c>
      <c r="R2992" s="23" t="e">
        <f ca="1">[1]!BexGetData("DP_1","00O2TNJGODT0G5Z4TTKYMMBYD","GSON414")</f>
        <v>#NAME?</v>
      </c>
      <c r="S2992" s="23" t="e">
        <f ca="1">[1]!BexGetData("DP_1","00O2TNJGODT0G5Z4TTKYMMI9X","GSON414")</f>
        <v>#NAME?</v>
      </c>
      <c r="T2992" s="23" t="e">
        <f ca="1">[1]!BexGetData("DP_1","00O2TNJGODT0G5Z4TTKYMMOLH","GSON414")</f>
        <v>#NAME?</v>
      </c>
      <c r="U2992" s="28" t="e">
        <f ca="1">[1]!BexGetData("DP_1","00O2TNJGODT0G5Z4TTKYMMUX1","GSON414")</f>
        <v>#NAME?</v>
      </c>
      <c r="V2992" s="23" t="e">
        <f ca="1">[1]!BexGetData("DP_1","00O2TNJGODT0G5Z4TTKYMN18L","GSON414")</f>
        <v>#NAME?</v>
      </c>
      <c r="W2992" s="28" t="e">
        <f ca="1">[1]!BexGetData("DP_1","00O2TNJGODT0G5Z4TTKYMN7K5","GSON414")</f>
        <v>#NAME?</v>
      </c>
    </row>
    <row r="2993" spans="1:23" x14ac:dyDescent="0.2">
      <c r="A2993" s="35" t="s">
        <v>531</v>
      </c>
      <c r="B2993" s="27" t="s">
        <v>532</v>
      </c>
      <c r="C2993" s="23" t="e">
        <f ca="1">[1]!BexGetData("DP_1","003N8EMH8GTFRCSWKMPXRR8GU","GSON4141")</f>
        <v>#NAME?</v>
      </c>
      <c r="D2993" s="23" t="e">
        <f ca="1">[1]!BexGetData("DP_1","003N8EMH8GTFRCSWKMPXRRESE","GSON4141")</f>
        <v>#NAME?</v>
      </c>
      <c r="E2993" s="23" t="e">
        <f ca="1">[1]!BexGetData("DP_1","003N8EMH8GTFRCSWKMPXRRL3Y","GSON4141")</f>
        <v>#NAME?</v>
      </c>
      <c r="F2993" s="23" t="e">
        <f ca="1">[1]!BexGetData("DP_1","003N8EMH8GTFRCSWKMPXRRRFI","GSON4141")</f>
        <v>#NAME?</v>
      </c>
      <c r="G2993" s="28" t="e">
        <f ca="1">[1]!BexGetData("DP_1","003N8EMH8GTFRCSWKMPXRRXR2","GSON4141")</f>
        <v>#NAME?</v>
      </c>
      <c r="H2993" s="23" t="e">
        <f ca="1">[1]!BexGetData("DP_1","003N8EMH8GTFRCSWKMPXRS42M","GSON4141")</f>
        <v>#NAME?</v>
      </c>
      <c r="I2993" s="23" t="e">
        <f ca="1">[1]!BexGetData("DP_1","003N8EMH8GTFRCSWKMPXRSAE6","GSON4141")</f>
        <v>#NAME?</v>
      </c>
      <c r="J2993" s="24" t="e">
        <f ca="1">[1]!BexGetData("DP_1","003N8EMH8GTFRCSWKMPXRSGPQ","GSON4141")</f>
        <v>#NAME?</v>
      </c>
      <c r="K2993" s="23" t="e">
        <f ca="1">[1]!BexGetData("DP_1","003N8EMH8GTFRIVNUPY288VJH","GSON4141")</f>
        <v>#NAME?</v>
      </c>
      <c r="L2993" s="23" t="e">
        <f ca="1">[1]!BexGetData("DP_1","003N8EMH8GTFRIVNUPY2891V1","GSON4141")</f>
        <v>#NAME?</v>
      </c>
      <c r="M2993" s="23" t="e">
        <f ca="1">[1]!BexGetData("DP_1","003N8EMH8GTFRIVOG7KG9IQXA","GSON4141")</f>
        <v>#NAME?</v>
      </c>
      <c r="N2993" s="28" t="e">
        <f ca="1">[1]!BexGetData("DP_1","003N8EMH8GTFRIVOG7KG9IX8U","GSON4141")</f>
        <v>#NAME?</v>
      </c>
      <c r="O2993" s="23" t="e">
        <f ca="1">[1]!BexGetData("DP_1","003N8EMH8GTFRIVOG7KG9J3KE","GSON4141")</f>
        <v>#NAME?</v>
      </c>
      <c r="P2993" s="28" t="e">
        <f ca="1">[1]!BexGetData("DP_1","003N8EMH8GTFRIVOG7KG9J9VY","GSON4141")</f>
        <v>#NAME?</v>
      </c>
      <c r="Q2993" s="24" t="e">
        <f ca="1">[1]!BexGetData("DP_1","00O2TNJGODT0G5Z4TTKYMM5MT","GSON4141")</f>
        <v>#NAME?</v>
      </c>
      <c r="R2993" s="23" t="e">
        <f ca="1">[1]!BexGetData("DP_1","00O2TNJGODT0G5Z4TTKYMMBYD","GSON4141")</f>
        <v>#NAME?</v>
      </c>
      <c r="S2993" s="23" t="e">
        <f ca="1">[1]!BexGetData("DP_1","00O2TNJGODT0G5Z4TTKYMMI9X","GSON4141")</f>
        <v>#NAME?</v>
      </c>
      <c r="T2993" s="23" t="e">
        <f ca="1">[1]!BexGetData("DP_1","00O2TNJGODT0G5Z4TTKYMMOLH","GSON4141")</f>
        <v>#NAME?</v>
      </c>
      <c r="U2993" s="28" t="e">
        <f ca="1">[1]!BexGetData("DP_1","00O2TNJGODT0G5Z4TTKYMMUX1","GSON4141")</f>
        <v>#NAME?</v>
      </c>
      <c r="V2993" s="23" t="e">
        <f ca="1">[1]!BexGetData("DP_1","00O2TNJGODT0G5Z4TTKYMN18L","GSON4141")</f>
        <v>#NAME?</v>
      </c>
      <c r="W2993" s="28" t="e">
        <f ca="1">[1]!BexGetData("DP_1","00O2TNJGODT0G5Z4TTKYMN7K5","GSON4141")</f>
        <v>#NAME?</v>
      </c>
    </row>
    <row r="2994" spans="1:23" x14ac:dyDescent="0.2">
      <c r="A2994" s="36" t="s">
        <v>1481</v>
      </c>
      <c r="B2994" s="27" t="s">
        <v>533</v>
      </c>
      <c r="C2994" s="23" t="e">
        <f ca="1">[1]!BexGetData("DP_1","003N8EMH8GTFRCSWKMPXRR8GU","GSON4141410101")</f>
        <v>#NAME?</v>
      </c>
      <c r="D2994" s="23" t="e">
        <f ca="1">[1]!BexGetData("DP_1","003N8EMH8GTFRCSWKMPXRRESE","GSON4141410101")</f>
        <v>#NAME?</v>
      </c>
      <c r="E2994" s="23" t="e">
        <f ca="1">[1]!BexGetData("DP_1","003N8EMH8GTFRCSWKMPXRRL3Y","GSON4141410101")</f>
        <v>#NAME?</v>
      </c>
      <c r="F2994" s="23" t="e">
        <f ca="1">[1]!BexGetData("DP_1","003N8EMH8GTFRCSWKMPXRRRFI","GSON4141410101")</f>
        <v>#NAME?</v>
      </c>
      <c r="G2994" s="28" t="e">
        <f ca="1">[1]!BexGetData("DP_1","003N8EMH8GTFRCSWKMPXRRXR2","GSON4141410101")</f>
        <v>#NAME?</v>
      </c>
      <c r="H2994" s="23" t="e">
        <f ca="1">[1]!BexGetData("DP_1","003N8EMH8GTFRCSWKMPXRS42M","GSON4141410101")</f>
        <v>#NAME?</v>
      </c>
      <c r="I2994" s="23" t="e">
        <f ca="1">[1]!BexGetData("DP_1","003N8EMH8GTFRCSWKMPXRSAE6","GSON4141410101")</f>
        <v>#NAME?</v>
      </c>
      <c r="J2994" s="24" t="e">
        <f ca="1">[1]!BexGetData("DP_1","003N8EMH8GTFRCSWKMPXRSGPQ","GSON4141410101")</f>
        <v>#NAME?</v>
      </c>
      <c r="K2994" s="23" t="e">
        <f ca="1">[1]!BexGetData("DP_1","003N8EMH8GTFRIVNUPY288VJH","GSON4141410101")</f>
        <v>#NAME?</v>
      </c>
      <c r="L2994" s="23" t="e">
        <f ca="1">[1]!BexGetData("DP_1","003N8EMH8GTFRIVNUPY2891V1","GSON4141410101")</f>
        <v>#NAME?</v>
      </c>
      <c r="M2994" s="23" t="e">
        <f ca="1">[1]!BexGetData("DP_1","003N8EMH8GTFRIVOG7KG9IQXA","GSON4141410101")</f>
        <v>#NAME?</v>
      </c>
      <c r="N2994" s="28" t="e">
        <f ca="1">[1]!BexGetData("DP_1","003N8EMH8GTFRIVOG7KG9IX8U","GSON4141410101")</f>
        <v>#NAME?</v>
      </c>
      <c r="O2994" s="23" t="e">
        <f ca="1">[1]!BexGetData("DP_1","003N8EMH8GTFRIVOG7KG9J3KE","GSON4141410101")</f>
        <v>#NAME?</v>
      </c>
      <c r="P2994" s="28" t="e">
        <f ca="1">[1]!BexGetData("DP_1","003N8EMH8GTFRIVOG7KG9J9VY","GSON4141410101")</f>
        <v>#NAME?</v>
      </c>
      <c r="Q2994" s="24" t="e">
        <f ca="1">[1]!BexGetData("DP_1","00O2TNJGODT0G5Z4TTKYMM5MT","GSON4141410101")</f>
        <v>#NAME?</v>
      </c>
      <c r="R2994" s="23" t="e">
        <f ca="1">[1]!BexGetData("DP_1","00O2TNJGODT0G5Z4TTKYMMBYD","GSON4141410101")</f>
        <v>#NAME?</v>
      </c>
      <c r="S2994" s="23" t="e">
        <f ca="1">[1]!BexGetData("DP_1","00O2TNJGODT0G5Z4TTKYMMI9X","GSON4141410101")</f>
        <v>#NAME?</v>
      </c>
      <c r="T2994" s="23" t="e">
        <f ca="1">[1]!BexGetData("DP_1","00O2TNJGODT0G5Z4TTKYMMOLH","GSON4141410101")</f>
        <v>#NAME?</v>
      </c>
      <c r="U2994" s="28" t="e">
        <f ca="1">[1]!BexGetData("DP_1","00O2TNJGODT0G5Z4TTKYMMUX1","GSON4141410101")</f>
        <v>#NAME?</v>
      </c>
      <c r="V2994" s="23" t="e">
        <f ca="1">[1]!BexGetData("DP_1","00O2TNJGODT0G5Z4TTKYMN18L","GSON4141410101")</f>
        <v>#NAME?</v>
      </c>
      <c r="W2994" s="28" t="e">
        <f ca="1">[1]!BexGetData("DP_1","00O2TNJGODT0G5Z4TTKYMN7K5","GSON4141410101")</f>
        <v>#NAME?</v>
      </c>
    </row>
    <row r="2995" spans="1:23" x14ac:dyDescent="0.2">
      <c r="A2995" s="36" t="s">
        <v>1482</v>
      </c>
      <c r="B2995" s="27" t="s">
        <v>534</v>
      </c>
      <c r="C2995" s="23" t="e">
        <f ca="1">[1]!BexGetData("DP_1","003N8EMH8GTFRCSWKMPXRR8GU","GSON4141410201")</f>
        <v>#NAME?</v>
      </c>
      <c r="D2995" s="23" t="e">
        <f ca="1">[1]!BexGetData("DP_1","003N8EMH8GTFRCSWKMPXRRESE","GSON4141410201")</f>
        <v>#NAME?</v>
      </c>
      <c r="E2995" s="23" t="e">
        <f ca="1">[1]!BexGetData("DP_1","003N8EMH8GTFRCSWKMPXRRL3Y","GSON4141410201")</f>
        <v>#NAME?</v>
      </c>
      <c r="F2995" s="23" t="e">
        <f ca="1">[1]!BexGetData("DP_1","003N8EMH8GTFRCSWKMPXRRRFI","GSON4141410201")</f>
        <v>#NAME?</v>
      </c>
      <c r="G2995" s="28" t="e">
        <f ca="1">[1]!BexGetData("DP_1","003N8EMH8GTFRCSWKMPXRRXR2","GSON4141410201")</f>
        <v>#NAME?</v>
      </c>
      <c r="H2995" s="23" t="e">
        <f ca="1">[1]!BexGetData("DP_1","003N8EMH8GTFRCSWKMPXRS42M","GSON4141410201")</f>
        <v>#NAME?</v>
      </c>
      <c r="I2995" s="23" t="e">
        <f ca="1">[1]!BexGetData("DP_1","003N8EMH8GTFRCSWKMPXRSAE6","GSON4141410201")</f>
        <v>#NAME?</v>
      </c>
      <c r="J2995" s="24" t="e">
        <f ca="1">[1]!BexGetData("DP_1","003N8EMH8GTFRCSWKMPXRSGPQ","GSON4141410201")</f>
        <v>#NAME?</v>
      </c>
      <c r="K2995" s="23" t="e">
        <f ca="1">[1]!BexGetData("DP_1","003N8EMH8GTFRIVNUPY288VJH","GSON4141410201")</f>
        <v>#NAME?</v>
      </c>
      <c r="L2995" s="23" t="e">
        <f ca="1">[1]!BexGetData("DP_1","003N8EMH8GTFRIVNUPY2891V1","GSON4141410201")</f>
        <v>#NAME?</v>
      </c>
      <c r="M2995" s="28" t="e">
        <f ca="1">[1]!BexGetData("DP_1","003N8EMH8GTFRIVOG7KG9IQXA","GSON4141410201")</f>
        <v>#NAME?</v>
      </c>
      <c r="N2995" s="23" t="e">
        <f ca="1">[1]!BexGetData("DP_1","003N8EMH8GTFRIVOG7KG9IX8U","GSON4141410201")</f>
        <v>#NAME?</v>
      </c>
      <c r="O2995" s="28" t="e">
        <f ca="1">[1]!BexGetData("DP_1","003N8EMH8GTFRIVOG7KG9J3KE","GSON4141410201")</f>
        <v>#NAME?</v>
      </c>
      <c r="P2995" s="23" t="e">
        <f ca="1">[1]!BexGetData("DP_1","003N8EMH8GTFRIVOG7KG9J9VY","GSON4141410201")</f>
        <v>#NAME?</v>
      </c>
      <c r="Q2995" s="24" t="e">
        <f ca="1">[1]!BexGetData("DP_1","00O2TNJGODT0G5Z4TTKYMM5MT","GSON4141410201")</f>
        <v>#NAME?</v>
      </c>
      <c r="R2995" s="23" t="e">
        <f ca="1">[1]!BexGetData("DP_1","00O2TNJGODT0G5Z4TTKYMMBYD","GSON4141410201")</f>
        <v>#NAME?</v>
      </c>
      <c r="S2995" s="23" t="e">
        <f ca="1">[1]!BexGetData("DP_1","00O2TNJGODT0G5Z4TTKYMMI9X","GSON4141410201")</f>
        <v>#NAME?</v>
      </c>
      <c r="T2995" s="23" t="e">
        <f ca="1">[1]!BexGetData("DP_1","00O2TNJGODT0G5Z4TTKYMMOLH","GSON4141410201")</f>
        <v>#NAME?</v>
      </c>
      <c r="U2995" s="28" t="e">
        <f ca="1">[1]!BexGetData("DP_1","00O2TNJGODT0G5Z4TTKYMMUX1","GSON4141410201")</f>
        <v>#NAME?</v>
      </c>
      <c r="V2995" s="23" t="e">
        <f ca="1">[1]!BexGetData("DP_1","00O2TNJGODT0G5Z4TTKYMN18L","GSON4141410201")</f>
        <v>#NAME?</v>
      </c>
      <c r="W2995" s="28" t="e">
        <f ca="1">[1]!BexGetData("DP_1","00O2TNJGODT0G5Z4TTKYMN7K5","GSON4141410201")</f>
        <v>#NAME?</v>
      </c>
    </row>
    <row r="2996" spans="1:23" x14ac:dyDescent="0.2">
      <c r="A2996" s="35" t="s">
        <v>535</v>
      </c>
      <c r="B2996" s="27" t="s">
        <v>536</v>
      </c>
      <c r="C2996" s="23" t="e">
        <f ca="1">[1]!BexGetData("DP_1","003N8EMH8GTFRCSWKMPXRR8GU","GSON4143")</f>
        <v>#NAME?</v>
      </c>
      <c r="D2996" s="23" t="e">
        <f ca="1">[1]!BexGetData("DP_1","003N8EMH8GTFRCSWKMPXRRESE","GSON4143")</f>
        <v>#NAME?</v>
      </c>
      <c r="E2996" s="23" t="e">
        <f ca="1">[1]!BexGetData("DP_1","003N8EMH8GTFRCSWKMPXRRL3Y","GSON4143")</f>
        <v>#NAME?</v>
      </c>
      <c r="F2996" s="23" t="e">
        <f ca="1">[1]!BexGetData("DP_1","003N8EMH8GTFRCSWKMPXRRRFI","GSON4143")</f>
        <v>#NAME?</v>
      </c>
      <c r="G2996" s="23" t="e">
        <f ca="1">[1]!BexGetData("DP_1","003N8EMH8GTFRCSWKMPXRRXR2","GSON4143")</f>
        <v>#NAME?</v>
      </c>
      <c r="H2996" s="23" t="e">
        <f ca="1">[1]!BexGetData("DP_1","003N8EMH8GTFRCSWKMPXRS42M","GSON4143")</f>
        <v>#NAME?</v>
      </c>
      <c r="I2996" s="23" t="e">
        <f ca="1">[1]!BexGetData("DP_1","003N8EMH8GTFRCSWKMPXRSAE6","GSON4143")</f>
        <v>#NAME?</v>
      </c>
      <c r="J2996" s="24" t="e">
        <f ca="1">[1]!BexGetData("DP_1","003N8EMH8GTFRCSWKMPXRSGPQ","GSON4143")</f>
        <v>#NAME?</v>
      </c>
      <c r="K2996" s="23" t="e">
        <f ca="1">[1]!BexGetData("DP_1","003N8EMH8GTFRIVNUPY288VJH","GSON4143")</f>
        <v>#NAME?</v>
      </c>
      <c r="L2996" s="23" t="e">
        <f ca="1">[1]!BexGetData("DP_1","003N8EMH8GTFRIVNUPY2891V1","GSON4143")</f>
        <v>#NAME?</v>
      </c>
      <c r="M2996" s="23" t="e">
        <f ca="1">[1]!BexGetData("DP_1","003N8EMH8GTFRIVOG7KG9IQXA","GSON4143")</f>
        <v>#NAME?</v>
      </c>
      <c r="N2996" s="28" t="e">
        <f ca="1">[1]!BexGetData("DP_1","003N8EMH8GTFRIVOG7KG9IX8U","GSON4143")</f>
        <v>#NAME?</v>
      </c>
      <c r="O2996" s="23" t="e">
        <f ca="1">[1]!BexGetData("DP_1","003N8EMH8GTFRIVOG7KG9J3KE","GSON4143")</f>
        <v>#NAME?</v>
      </c>
      <c r="P2996" s="28" t="e">
        <f ca="1">[1]!BexGetData("DP_1","003N8EMH8GTFRIVOG7KG9J9VY","GSON4143")</f>
        <v>#NAME?</v>
      </c>
      <c r="Q2996" s="24" t="e">
        <f ca="1">[1]!BexGetData("DP_1","00O2TNJGODT0G5Z4TTKYMM5MT","GSON4143")</f>
        <v>#NAME?</v>
      </c>
      <c r="R2996" s="23" t="e">
        <f ca="1">[1]!BexGetData("DP_1","00O2TNJGODT0G5Z4TTKYMMBYD","GSON4143")</f>
        <v>#NAME?</v>
      </c>
      <c r="S2996" s="23" t="e">
        <f ca="1">[1]!BexGetData("DP_1","00O2TNJGODT0G5Z4TTKYMMI9X","GSON4143")</f>
        <v>#NAME?</v>
      </c>
      <c r="T2996" s="23" t="e">
        <f ca="1">[1]!BexGetData("DP_1","00O2TNJGODT0G5Z4TTKYMMOLH","GSON4143")</f>
        <v>#NAME?</v>
      </c>
      <c r="U2996" s="28" t="e">
        <f ca="1">[1]!BexGetData("DP_1","00O2TNJGODT0G5Z4TTKYMMUX1","GSON4143")</f>
        <v>#NAME?</v>
      </c>
      <c r="V2996" s="23" t="e">
        <f ca="1">[1]!BexGetData("DP_1","00O2TNJGODT0G5Z4TTKYMN18L","GSON4143")</f>
        <v>#NAME?</v>
      </c>
      <c r="W2996" s="28" t="e">
        <f ca="1">[1]!BexGetData("DP_1","00O2TNJGODT0G5Z4TTKYMN7K5","GSON4143")</f>
        <v>#NAME?</v>
      </c>
    </row>
    <row r="2997" spans="1:23" x14ac:dyDescent="0.2">
      <c r="A2997" s="36" t="s">
        <v>537</v>
      </c>
      <c r="B2997" s="27" t="s">
        <v>538</v>
      </c>
      <c r="C2997" s="23" t="e">
        <f ca="1">[1]!BexGetData("DP_1","003N8EMH8GTFRCSWKMPXRR8GU","GSON4143430201")</f>
        <v>#NAME?</v>
      </c>
      <c r="D2997" s="23" t="e">
        <f ca="1">[1]!BexGetData("DP_1","003N8EMH8GTFRCSWKMPXRRESE","GSON4143430201")</f>
        <v>#NAME?</v>
      </c>
      <c r="E2997" s="23" t="e">
        <f ca="1">[1]!BexGetData("DP_1","003N8EMH8GTFRCSWKMPXRRL3Y","GSON4143430201")</f>
        <v>#NAME?</v>
      </c>
      <c r="F2997" s="23" t="e">
        <f ca="1">[1]!BexGetData("DP_1","003N8EMH8GTFRCSWKMPXRRRFI","GSON4143430201")</f>
        <v>#NAME?</v>
      </c>
      <c r="G2997" s="23" t="e">
        <f ca="1">[1]!BexGetData("DP_1","003N8EMH8GTFRCSWKMPXRRXR2","GSON4143430201")</f>
        <v>#NAME?</v>
      </c>
      <c r="H2997" s="23" t="e">
        <f ca="1">[1]!BexGetData("DP_1","003N8EMH8GTFRCSWKMPXRS42M","GSON4143430201")</f>
        <v>#NAME?</v>
      </c>
      <c r="I2997" s="23" t="e">
        <f ca="1">[1]!BexGetData("DP_1","003N8EMH8GTFRCSWKMPXRSAE6","GSON4143430201")</f>
        <v>#NAME?</v>
      </c>
      <c r="J2997" s="24" t="e">
        <f ca="1">[1]!BexGetData("DP_1","003N8EMH8GTFRCSWKMPXRSGPQ","GSON4143430201")</f>
        <v>#NAME?</v>
      </c>
      <c r="K2997" s="23" t="e">
        <f ca="1">[1]!BexGetData("DP_1","003N8EMH8GTFRIVNUPY288VJH","GSON4143430201")</f>
        <v>#NAME?</v>
      </c>
      <c r="L2997" s="23" t="e">
        <f ca="1">[1]!BexGetData("DP_1","003N8EMH8GTFRIVNUPY2891V1","GSON4143430201")</f>
        <v>#NAME?</v>
      </c>
      <c r="M2997" s="23" t="e">
        <f ca="1">[1]!BexGetData("DP_1","003N8EMH8GTFRIVOG7KG9IQXA","GSON4143430201")</f>
        <v>#NAME?</v>
      </c>
      <c r="N2997" s="28" t="e">
        <f ca="1">[1]!BexGetData("DP_1","003N8EMH8GTFRIVOG7KG9IX8U","GSON4143430201")</f>
        <v>#NAME?</v>
      </c>
      <c r="O2997" s="23" t="e">
        <f ca="1">[1]!BexGetData("DP_1","003N8EMH8GTFRIVOG7KG9J3KE","GSON4143430201")</f>
        <v>#NAME?</v>
      </c>
      <c r="P2997" s="28" t="e">
        <f ca="1">[1]!BexGetData("DP_1","003N8EMH8GTFRIVOG7KG9J9VY","GSON4143430201")</f>
        <v>#NAME?</v>
      </c>
      <c r="Q2997" s="24" t="e">
        <f ca="1">[1]!BexGetData("DP_1","00O2TNJGODT0G5Z4TTKYMM5MT","GSON4143430201")</f>
        <v>#NAME?</v>
      </c>
      <c r="R2997" s="23" t="e">
        <f ca="1">[1]!BexGetData("DP_1","00O2TNJGODT0G5Z4TTKYMMBYD","GSON4143430201")</f>
        <v>#NAME?</v>
      </c>
      <c r="S2997" s="23" t="e">
        <f ca="1">[1]!BexGetData("DP_1","00O2TNJGODT0G5Z4TTKYMMI9X","GSON4143430201")</f>
        <v>#NAME?</v>
      </c>
      <c r="T2997" s="23" t="e">
        <f ca="1">[1]!BexGetData("DP_1","00O2TNJGODT0G5Z4TTKYMMOLH","GSON4143430201")</f>
        <v>#NAME?</v>
      </c>
      <c r="U2997" s="28" t="e">
        <f ca="1">[1]!BexGetData("DP_1","00O2TNJGODT0G5Z4TTKYMMUX1","GSON4143430201")</f>
        <v>#NAME?</v>
      </c>
      <c r="V2997" s="23" t="e">
        <f ca="1">[1]!BexGetData("DP_1","00O2TNJGODT0G5Z4TTKYMN18L","GSON4143430201")</f>
        <v>#NAME?</v>
      </c>
      <c r="W2997" s="28" t="e">
        <f ca="1">[1]!BexGetData("DP_1","00O2TNJGODT0G5Z4TTKYMN7K5","GSON4143430201")</f>
        <v>#NAME?</v>
      </c>
    </row>
    <row r="2998" spans="1:23" x14ac:dyDescent="0.2">
      <c r="A2998" s="36" t="s">
        <v>695</v>
      </c>
      <c r="B2998" s="27" t="s">
        <v>696</v>
      </c>
      <c r="C2998" s="23" t="e">
        <f ca="1">[1]!BexGetData("DP_1","003N8EMH8GTFRCSWKMPXRR8GU","GSON4143430202")</f>
        <v>#NAME?</v>
      </c>
      <c r="D2998" s="23" t="e">
        <f ca="1">[1]!BexGetData("DP_1","003N8EMH8GTFRCSWKMPXRRESE","GSON4143430202")</f>
        <v>#NAME?</v>
      </c>
      <c r="E2998" s="23" t="e">
        <f ca="1">[1]!BexGetData("DP_1","003N8EMH8GTFRCSWKMPXRRL3Y","GSON4143430202")</f>
        <v>#NAME?</v>
      </c>
      <c r="F2998" s="23" t="e">
        <f ca="1">[1]!BexGetData("DP_1","003N8EMH8GTFRCSWKMPXRRRFI","GSON4143430202")</f>
        <v>#NAME?</v>
      </c>
      <c r="G2998" s="23" t="e">
        <f ca="1">[1]!BexGetData("DP_1","003N8EMH8GTFRCSWKMPXRRXR2","GSON4143430202")</f>
        <v>#NAME?</v>
      </c>
      <c r="H2998" s="23" t="e">
        <f ca="1">[1]!BexGetData("DP_1","003N8EMH8GTFRCSWKMPXRS42M","GSON4143430202")</f>
        <v>#NAME?</v>
      </c>
      <c r="I2998" s="23" t="e">
        <f ca="1">[1]!BexGetData("DP_1","003N8EMH8GTFRCSWKMPXRSAE6","GSON4143430202")</f>
        <v>#NAME?</v>
      </c>
      <c r="J2998" s="24" t="e">
        <f ca="1">[1]!BexGetData("DP_1","003N8EMH8GTFRCSWKMPXRSGPQ","GSON4143430202")</f>
        <v>#NAME?</v>
      </c>
      <c r="K2998" s="23" t="e">
        <f ca="1">[1]!BexGetData("DP_1","003N8EMH8GTFRIVNUPY288VJH","GSON4143430202")</f>
        <v>#NAME?</v>
      </c>
      <c r="L2998" s="23" t="e">
        <f ca="1">[1]!BexGetData("DP_1","003N8EMH8GTFRIVNUPY2891V1","GSON4143430202")</f>
        <v>#NAME?</v>
      </c>
      <c r="M2998" s="28" t="e">
        <f ca="1">[1]!BexGetData("DP_1","003N8EMH8GTFRIVOG7KG9IQXA","GSON4143430202")</f>
        <v>#NAME?</v>
      </c>
      <c r="N2998" s="23" t="e">
        <f ca="1">[1]!BexGetData("DP_1","003N8EMH8GTFRIVOG7KG9IX8U","GSON4143430202")</f>
        <v>#NAME?</v>
      </c>
      <c r="O2998" s="28" t="e">
        <f ca="1">[1]!BexGetData("DP_1","003N8EMH8GTFRIVOG7KG9J3KE","GSON4143430202")</f>
        <v>#NAME?</v>
      </c>
      <c r="P2998" s="23" t="e">
        <f ca="1">[1]!BexGetData("DP_1","003N8EMH8GTFRIVOG7KG9J9VY","GSON4143430202")</f>
        <v>#NAME?</v>
      </c>
      <c r="Q2998" s="24" t="e">
        <f ca="1">[1]!BexGetData("DP_1","00O2TNJGODT0G5Z4TTKYMM5MT","GSON4143430202")</f>
        <v>#NAME?</v>
      </c>
      <c r="R2998" s="23" t="e">
        <f ca="1">[1]!BexGetData("DP_1","00O2TNJGODT0G5Z4TTKYMMBYD","GSON4143430202")</f>
        <v>#NAME?</v>
      </c>
      <c r="S2998" s="23" t="e">
        <f ca="1">[1]!BexGetData("DP_1","00O2TNJGODT0G5Z4TTKYMMI9X","GSON4143430202")</f>
        <v>#NAME?</v>
      </c>
      <c r="T2998" s="23" t="e">
        <f ca="1">[1]!BexGetData("DP_1","00O2TNJGODT0G5Z4TTKYMMOLH","GSON4143430202")</f>
        <v>#NAME?</v>
      </c>
      <c r="U2998" s="28" t="e">
        <f ca="1">[1]!BexGetData("DP_1","00O2TNJGODT0G5Z4TTKYMMUX1","GSON4143430202")</f>
        <v>#NAME?</v>
      </c>
      <c r="V2998" s="23" t="e">
        <f ca="1">[1]!BexGetData("DP_1","00O2TNJGODT0G5Z4TTKYMN18L","GSON4143430202")</f>
        <v>#NAME?</v>
      </c>
      <c r="W2998" s="28" t="e">
        <f ca="1">[1]!BexGetData("DP_1","00O2TNJGODT0G5Z4TTKYMN7K5","GSON4143430202")</f>
        <v>#NAME?</v>
      </c>
    </row>
    <row r="2999" spans="1:23" x14ac:dyDescent="0.2">
      <c r="A2999" s="36" t="s">
        <v>1483</v>
      </c>
      <c r="B2999" s="27" t="s">
        <v>697</v>
      </c>
      <c r="C2999" s="23" t="e">
        <f ca="1">[1]!BexGetData("DP_1","003N8EMH8GTFRCSWKMPXRR8GU","GSON4143430203")</f>
        <v>#NAME?</v>
      </c>
      <c r="D2999" s="23" t="e">
        <f ca="1">[1]!BexGetData("DP_1","003N8EMH8GTFRCSWKMPXRRESE","GSON4143430203")</f>
        <v>#NAME?</v>
      </c>
      <c r="E2999" s="23" t="e">
        <f ca="1">[1]!BexGetData("DP_1","003N8EMH8GTFRCSWKMPXRRL3Y","GSON4143430203")</f>
        <v>#NAME?</v>
      </c>
      <c r="F2999" s="23" t="e">
        <f ca="1">[1]!BexGetData("DP_1","003N8EMH8GTFRCSWKMPXRRRFI","GSON4143430203")</f>
        <v>#NAME?</v>
      </c>
      <c r="G2999" s="23" t="e">
        <f ca="1">[1]!BexGetData("DP_1","003N8EMH8GTFRCSWKMPXRRXR2","GSON4143430203")</f>
        <v>#NAME?</v>
      </c>
      <c r="H2999" s="23" t="e">
        <f ca="1">[1]!BexGetData("DP_1","003N8EMH8GTFRCSWKMPXRS42M","GSON4143430203")</f>
        <v>#NAME?</v>
      </c>
      <c r="I2999" s="23" t="e">
        <f ca="1">[1]!BexGetData("DP_1","003N8EMH8GTFRCSWKMPXRSAE6","GSON4143430203")</f>
        <v>#NAME?</v>
      </c>
      <c r="J2999" s="24" t="e">
        <f ca="1">[1]!BexGetData("DP_1","003N8EMH8GTFRCSWKMPXRSGPQ","GSON4143430203")</f>
        <v>#NAME?</v>
      </c>
      <c r="K2999" s="23" t="e">
        <f ca="1">[1]!BexGetData("DP_1","003N8EMH8GTFRIVNUPY288VJH","GSON4143430203")</f>
        <v>#NAME?</v>
      </c>
      <c r="L2999" s="23" t="e">
        <f ca="1">[1]!BexGetData("DP_1","003N8EMH8GTFRIVNUPY2891V1","GSON4143430203")</f>
        <v>#NAME?</v>
      </c>
      <c r="M2999" s="23" t="e">
        <f ca="1">[1]!BexGetData("DP_1","003N8EMH8GTFRIVOG7KG9IQXA","GSON4143430203")</f>
        <v>#NAME?</v>
      </c>
      <c r="N2999" s="28" t="e">
        <f ca="1">[1]!BexGetData("DP_1","003N8EMH8GTFRIVOG7KG9IX8U","GSON4143430203")</f>
        <v>#NAME?</v>
      </c>
      <c r="O2999" s="23" t="e">
        <f ca="1">[1]!BexGetData("DP_1","003N8EMH8GTFRIVOG7KG9J3KE","GSON4143430203")</f>
        <v>#NAME?</v>
      </c>
      <c r="P2999" s="28" t="e">
        <f ca="1">[1]!BexGetData("DP_1","003N8EMH8GTFRIVOG7KG9J9VY","GSON4143430203")</f>
        <v>#NAME?</v>
      </c>
      <c r="Q2999" s="24" t="e">
        <f ca="1">[1]!BexGetData("DP_1","00O2TNJGODT0G5Z4TTKYMM5MT","GSON4143430203")</f>
        <v>#NAME?</v>
      </c>
      <c r="R2999" s="23" t="e">
        <f ca="1">[1]!BexGetData("DP_1","00O2TNJGODT0G5Z4TTKYMMBYD","GSON4143430203")</f>
        <v>#NAME?</v>
      </c>
      <c r="S2999" s="23" t="e">
        <f ca="1">[1]!BexGetData("DP_1","00O2TNJGODT0G5Z4TTKYMMI9X","GSON4143430203")</f>
        <v>#NAME?</v>
      </c>
      <c r="T2999" s="23" t="e">
        <f ca="1">[1]!BexGetData("DP_1","00O2TNJGODT0G5Z4TTKYMMOLH","GSON4143430203")</f>
        <v>#NAME?</v>
      </c>
      <c r="U2999" s="28" t="e">
        <f ca="1">[1]!BexGetData("DP_1","00O2TNJGODT0G5Z4TTKYMMUX1","GSON4143430203")</f>
        <v>#NAME?</v>
      </c>
      <c r="V2999" s="23" t="e">
        <f ca="1">[1]!BexGetData("DP_1","00O2TNJGODT0G5Z4TTKYMN18L","GSON4143430203")</f>
        <v>#NAME?</v>
      </c>
      <c r="W2999" s="28" t="e">
        <f ca="1">[1]!BexGetData("DP_1","00O2TNJGODT0G5Z4TTKYMN7K5","GSON4143430203")</f>
        <v>#NAME?</v>
      </c>
    </row>
    <row r="3000" spans="1:23" x14ac:dyDescent="0.2">
      <c r="A3000" s="36" t="s">
        <v>1484</v>
      </c>
      <c r="B3000" s="27" t="s">
        <v>698</v>
      </c>
      <c r="C3000" s="23" t="e">
        <f ca="1">[1]!BexGetData("DP_1","003N8EMH8GTFRCSWKMPXRR8GU","GSON4143430204")</f>
        <v>#NAME?</v>
      </c>
      <c r="D3000" s="23" t="e">
        <f ca="1">[1]!BexGetData("DP_1","003N8EMH8GTFRCSWKMPXRRESE","GSON4143430204")</f>
        <v>#NAME?</v>
      </c>
      <c r="E3000" s="23" t="e">
        <f ca="1">[1]!BexGetData("DP_1","003N8EMH8GTFRCSWKMPXRRL3Y","GSON4143430204")</f>
        <v>#NAME?</v>
      </c>
      <c r="F3000" s="23" t="e">
        <f ca="1">[1]!BexGetData("DP_1","003N8EMH8GTFRCSWKMPXRRRFI","GSON4143430204")</f>
        <v>#NAME?</v>
      </c>
      <c r="G3000" s="23" t="e">
        <f ca="1">[1]!BexGetData("DP_1","003N8EMH8GTFRCSWKMPXRRXR2","GSON4143430204")</f>
        <v>#NAME?</v>
      </c>
      <c r="H3000" s="23" t="e">
        <f ca="1">[1]!BexGetData("DP_1","003N8EMH8GTFRCSWKMPXRS42M","GSON4143430204")</f>
        <v>#NAME?</v>
      </c>
      <c r="I3000" s="23" t="e">
        <f ca="1">[1]!BexGetData("DP_1","003N8EMH8GTFRCSWKMPXRSAE6","GSON4143430204")</f>
        <v>#NAME?</v>
      </c>
      <c r="J3000" s="24" t="e">
        <f ca="1">[1]!BexGetData("DP_1","003N8EMH8GTFRCSWKMPXRSGPQ","GSON4143430204")</f>
        <v>#NAME?</v>
      </c>
      <c r="K3000" s="23" t="e">
        <f ca="1">[1]!BexGetData("DP_1","003N8EMH8GTFRIVNUPY288VJH","GSON4143430204")</f>
        <v>#NAME?</v>
      </c>
      <c r="L3000" s="23" t="e">
        <f ca="1">[1]!BexGetData("DP_1","003N8EMH8GTFRIVNUPY2891V1","GSON4143430204")</f>
        <v>#NAME?</v>
      </c>
      <c r="M3000" s="23" t="e">
        <f ca="1">[1]!BexGetData("DP_1","003N8EMH8GTFRIVOG7KG9IQXA","GSON4143430204")</f>
        <v>#NAME?</v>
      </c>
      <c r="N3000" s="28" t="e">
        <f ca="1">[1]!BexGetData("DP_1","003N8EMH8GTFRIVOG7KG9IX8U","GSON4143430204")</f>
        <v>#NAME?</v>
      </c>
      <c r="O3000" s="23" t="e">
        <f ca="1">[1]!BexGetData("DP_1","003N8EMH8GTFRIVOG7KG9J3KE","GSON4143430204")</f>
        <v>#NAME?</v>
      </c>
      <c r="P3000" s="28" t="e">
        <f ca="1">[1]!BexGetData("DP_1","003N8EMH8GTFRIVOG7KG9J9VY","GSON4143430204")</f>
        <v>#NAME?</v>
      </c>
      <c r="Q3000" s="24" t="e">
        <f ca="1">[1]!BexGetData("DP_1","00O2TNJGODT0G5Z4TTKYMM5MT","GSON4143430204")</f>
        <v>#NAME?</v>
      </c>
      <c r="R3000" s="23" t="e">
        <f ca="1">[1]!BexGetData("DP_1","00O2TNJGODT0G5Z4TTKYMMBYD","GSON4143430204")</f>
        <v>#NAME?</v>
      </c>
      <c r="S3000" s="23" t="e">
        <f ca="1">[1]!BexGetData("DP_1","00O2TNJGODT0G5Z4TTKYMMI9X","GSON4143430204")</f>
        <v>#NAME?</v>
      </c>
      <c r="T3000" s="23" t="e">
        <f ca="1">[1]!BexGetData("DP_1","00O2TNJGODT0G5Z4TTKYMMOLH","GSON4143430204")</f>
        <v>#NAME?</v>
      </c>
      <c r="U3000" s="28" t="e">
        <f ca="1">[1]!BexGetData("DP_1","00O2TNJGODT0G5Z4TTKYMMUX1","GSON4143430204")</f>
        <v>#NAME?</v>
      </c>
      <c r="V3000" s="23" t="e">
        <f ca="1">[1]!BexGetData("DP_1","00O2TNJGODT0G5Z4TTKYMN18L","GSON4143430204")</f>
        <v>#NAME?</v>
      </c>
      <c r="W3000" s="28" t="e">
        <f ca="1">[1]!BexGetData("DP_1","00O2TNJGODT0G5Z4TTKYMN7K5","GSON4143430204")</f>
        <v>#NAME?</v>
      </c>
    </row>
    <row r="3001" spans="1:23" x14ac:dyDescent="0.2">
      <c r="A3001" s="36" t="s">
        <v>539</v>
      </c>
      <c r="B3001" s="27" t="s">
        <v>540</v>
      </c>
      <c r="C3001" s="23" t="e">
        <f ca="1">[1]!BexGetData("DP_1","003N8EMH8GTFRCSWKMPXRR8GU","GSON4143430301")</f>
        <v>#NAME?</v>
      </c>
      <c r="D3001" s="23" t="e">
        <f ca="1">[1]!BexGetData("DP_1","003N8EMH8GTFRCSWKMPXRRESE","GSON4143430301")</f>
        <v>#NAME?</v>
      </c>
      <c r="E3001" s="23" t="e">
        <f ca="1">[1]!BexGetData("DP_1","003N8EMH8GTFRCSWKMPXRRL3Y","GSON4143430301")</f>
        <v>#NAME?</v>
      </c>
      <c r="F3001" s="23" t="e">
        <f ca="1">[1]!BexGetData("DP_1","003N8EMH8GTFRCSWKMPXRRRFI","GSON4143430301")</f>
        <v>#NAME?</v>
      </c>
      <c r="G3001" s="23" t="e">
        <f ca="1">[1]!BexGetData("DP_1","003N8EMH8GTFRCSWKMPXRRXR2","GSON4143430301")</f>
        <v>#NAME?</v>
      </c>
      <c r="H3001" s="23" t="e">
        <f ca="1">[1]!BexGetData("DP_1","003N8EMH8GTFRCSWKMPXRS42M","GSON4143430301")</f>
        <v>#NAME?</v>
      </c>
      <c r="I3001" s="23" t="e">
        <f ca="1">[1]!BexGetData("DP_1","003N8EMH8GTFRCSWKMPXRSAE6","GSON4143430301")</f>
        <v>#NAME?</v>
      </c>
      <c r="J3001" s="24" t="e">
        <f ca="1">[1]!BexGetData("DP_1","003N8EMH8GTFRCSWKMPXRSGPQ","GSON4143430301")</f>
        <v>#NAME?</v>
      </c>
      <c r="K3001" s="23" t="e">
        <f ca="1">[1]!BexGetData("DP_1","003N8EMH8GTFRIVNUPY288VJH","GSON4143430301")</f>
        <v>#NAME?</v>
      </c>
      <c r="L3001" s="23" t="e">
        <f ca="1">[1]!BexGetData("DP_1","003N8EMH8GTFRIVNUPY2891V1","GSON4143430301")</f>
        <v>#NAME?</v>
      </c>
      <c r="M3001" s="28" t="e">
        <f ca="1">[1]!BexGetData("DP_1","003N8EMH8GTFRIVOG7KG9IQXA","GSON4143430301")</f>
        <v>#NAME?</v>
      </c>
      <c r="N3001" s="23" t="e">
        <f ca="1">[1]!BexGetData("DP_1","003N8EMH8GTFRIVOG7KG9IX8U","GSON4143430301")</f>
        <v>#NAME?</v>
      </c>
      <c r="O3001" s="28" t="e">
        <f ca="1">[1]!BexGetData("DP_1","003N8EMH8GTFRIVOG7KG9J3KE","GSON4143430301")</f>
        <v>#NAME?</v>
      </c>
      <c r="P3001" s="23" t="e">
        <f ca="1">[1]!BexGetData("DP_1","003N8EMH8GTFRIVOG7KG9J9VY","GSON4143430301")</f>
        <v>#NAME?</v>
      </c>
      <c r="Q3001" s="24" t="e">
        <f ca="1">[1]!BexGetData("DP_1","00O2TNJGODT0G5Z4TTKYMM5MT","GSON4143430301")</f>
        <v>#NAME?</v>
      </c>
      <c r="R3001" s="23" t="e">
        <f ca="1">[1]!BexGetData("DP_1","00O2TNJGODT0G5Z4TTKYMMBYD","GSON4143430301")</f>
        <v>#NAME?</v>
      </c>
      <c r="S3001" s="23" t="e">
        <f ca="1">[1]!BexGetData("DP_1","00O2TNJGODT0G5Z4TTKYMMI9X","GSON4143430301")</f>
        <v>#NAME?</v>
      </c>
      <c r="T3001" s="23" t="e">
        <f ca="1">[1]!BexGetData("DP_1","00O2TNJGODT0G5Z4TTKYMMOLH","GSON4143430301")</f>
        <v>#NAME?</v>
      </c>
      <c r="U3001" s="28" t="e">
        <f ca="1">[1]!BexGetData("DP_1","00O2TNJGODT0G5Z4TTKYMMUX1","GSON4143430301")</f>
        <v>#NAME?</v>
      </c>
      <c r="V3001" s="23" t="e">
        <f ca="1">[1]!BexGetData("DP_1","00O2TNJGODT0G5Z4TTKYMN18L","GSON4143430301")</f>
        <v>#NAME?</v>
      </c>
      <c r="W3001" s="28" t="e">
        <f ca="1">[1]!BexGetData("DP_1","00O2TNJGODT0G5Z4TTKYMN7K5","GSON4143430301")</f>
        <v>#NAME?</v>
      </c>
    </row>
    <row r="3002" spans="1:23" x14ac:dyDescent="0.2">
      <c r="A3002" s="36" t="s">
        <v>1485</v>
      </c>
      <c r="B3002" s="27" t="s">
        <v>541</v>
      </c>
      <c r="C3002" s="23" t="e">
        <f ca="1">[1]!BexGetData("DP_1","003N8EMH8GTFRCSWKMPXRR8GU","GSON4143430401")</f>
        <v>#NAME?</v>
      </c>
      <c r="D3002" s="23" t="e">
        <f ca="1">[1]!BexGetData("DP_1","003N8EMH8GTFRCSWKMPXRRESE","GSON4143430401")</f>
        <v>#NAME?</v>
      </c>
      <c r="E3002" s="23" t="e">
        <f ca="1">[1]!BexGetData("DP_1","003N8EMH8GTFRCSWKMPXRRL3Y","GSON4143430401")</f>
        <v>#NAME?</v>
      </c>
      <c r="F3002" s="23" t="e">
        <f ca="1">[1]!BexGetData("DP_1","003N8EMH8GTFRCSWKMPXRRRFI","GSON4143430401")</f>
        <v>#NAME?</v>
      </c>
      <c r="G3002" s="23" t="e">
        <f ca="1">[1]!BexGetData("DP_1","003N8EMH8GTFRCSWKMPXRRXR2","GSON4143430401")</f>
        <v>#NAME?</v>
      </c>
      <c r="H3002" s="23" t="e">
        <f ca="1">[1]!BexGetData("DP_1","003N8EMH8GTFRCSWKMPXRS42M","GSON4143430401")</f>
        <v>#NAME?</v>
      </c>
      <c r="I3002" s="23" t="e">
        <f ca="1">[1]!BexGetData("DP_1","003N8EMH8GTFRCSWKMPXRSAE6","GSON4143430401")</f>
        <v>#NAME?</v>
      </c>
      <c r="J3002" s="24" t="e">
        <f ca="1">[1]!BexGetData("DP_1","003N8EMH8GTFRCSWKMPXRSGPQ","GSON4143430401")</f>
        <v>#NAME?</v>
      </c>
      <c r="K3002" s="23" t="e">
        <f ca="1">[1]!BexGetData("DP_1","003N8EMH8GTFRIVNUPY288VJH","GSON4143430401")</f>
        <v>#NAME?</v>
      </c>
      <c r="L3002" s="23" t="e">
        <f ca="1">[1]!BexGetData("DP_1","003N8EMH8GTFRIVNUPY2891V1","GSON4143430401")</f>
        <v>#NAME?</v>
      </c>
      <c r="M3002" s="23" t="e">
        <f ca="1">[1]!BexGetData("DP_1","003N8EMH8GTFRIVOG7KG9IQXA","GSON4143430401")</f>
        <v>#NAME?</v>
      </c>
      <c r="N3002" s="28" t="e">
        <f ca="1">[1]!BexGetData("DP_1","003N8EMH8GTFRIVOG7KG9IX8U","GSON4143430401")</f>
        <v>#NAME?</v>
      </c>
      <c r="O3002" s="23" t="e">
        <f ca="1">[1]!BexGetData("DP_1","003N8EMH8GTFRIVOG7KG9J3KE","GSON4143430401")</f>
        <v>#NAME?</v>
      </c>
      <c r="P3002" s="28" t="e">
        <f ca="1">[1]!BexGetData("DP_1","003N8EMH8GTFRIVOG7KG9J9VY","GSON4143430401")</f>
        <v>#NAME?</v>
      </c>
      <c r="Q3002" s="24" t="e">
        <f ca="1">[1]!BexGetData("DP_1","00O2TNJGODT0G5Z4TTKYMM5MT","GSON4143430401")</f>
        <v>#NAME?</v>
      </c>
      <c r="R3002" s="23" t="e">
        <f ca="1">[1]!BexGetData("DP_1","00O2TNJGODT0G5Z4TTKYMMBYD","GSON4143430401")</f>
        <v>#NAME?</v>
      </c>
      <c r="S3002" s="23" t="e">
        <f ca="1">[1]!BexGetData("DP_1","00O2TNJGODT0G5Z4TTKYMMI9X","GSON4143430401")</f>
        <v>#NAME?</v>
      </c>
      <c r="T3002" s="23" t="e">
        <f ca="1">[1]!BexGetData("DP_1","00O2TNJGODT0G5Z4TTKYMMOLH","GSON4143430401")</f>
        <v>#NAME?</v>
      </c>
      <c r="U3002" s="28" t="e">
        <f ca="1">[1]!BexGetData("DP_1","00O2TNJGODT0G5Z4TTKYMMUX1","GSON4143430401")</f>
        <v>#NAME?</v>
      </c>
      <c r="V3002" s="23" t="e">
        <f ca="1">[1]!BexGetData("DP_1","00O2TNJGODT0G5Z4TTKYMN18L","GSON4143430401")</f>
        <v>#NAME?</v>
      </c>
      <c r="W3002" s="28" t="e">
        <f ca="1">[1]!BexGetData("DP_1","00O2TNJGODT0G5Z4TTKYMN7K5","GSON4143430401")</f>
        <v>#NAME?</v>
      </c>
    </row>
    <row r="3003" spans="1:23" x14ac:dyDescent="0.2">
      <c r="A3003" s="36" t="s">
        <v>542</v>
      </c>
      <c r="B3003" s="27" t="s">
        <v>543</v>
      </c>
      <c r="C3003" s="28" t="e">
        <f ca="1">[1]!BexGetData("DP_1","003N8EMH8GTFRCSWKMPXRR8GU","GSON4143430402")</f>
        <v>#NAME?</v>
      </c>
      <c r="D3003" s="23" t="e">
        <f ca="1">[1]!BexGetData("DP_1","003N8EMH8GTFRCSWKMPXRRESE","GSON4143430402")</f>
        <v>#NAME?</v>
      </c>
      <c r="E3003" s="23" t="e">
        <f ca="1">[1]!BexGetData("DP_1","003N8EMH8GTFRCSWKMPXRRL3Y","GSON4143430402")</f>
        <v>#NAME?</v>
      </c>
      <c r="F3003" s="23" t="e">
        <f ca="1">[1]!BexGetData("DP_1","003N8EMH8GTFRCSWKMPXRRRFI","GSON4143430402")</f>
        <v>#NAME?</v>
      </c>
      <c r="G3003" s="23" t="e">
        <f ca="1">[1]!BexGetData("DP_1","003N8EMH8GTFRCSWKMPXRRXR2","GSON4143430402")</f>
        <v>#NAME?</v>
      </c>
      <c r="H3003" s="23" t="e">
        <f ca="1">[1]!BexGetData("DP_1","003N8EMH8GTFRCSWKMPXRS42M","GSON4143430402")</f>
        <v>#NAME?</v>
      </c>
      <c r="I3003" s="23" t="e">
        <f ca="1">[1]!BexGetData("DP_1","003N8EMH8GTFRCSWKMPXRSAE6","GSON4143430402")</f>
        <v>#NAME?</v>
      </c>
      <c r="J3003" s="24" t="e">
        <f ca="1">[1]!BexGetData("DP_1","003N8EMH8GTFRCSWKMPXRSGPQ","GSON4143430402")</f>
        <v>#NAME?</v>
      </c>
      <c r="K3003" s="23" t="e">
        <f ca="1">[1]!BexGetData("DP_1","003N8EMH8GTFRIVNUPY288VJH","GSON4143430402")</f>
        <v>#NAME?</v>
      </c>
      <c r="L3003" s="23" t="e">
        <f ca="1">[1]!BexGetData("DP_1","003N8EMH8GTFRIVNUPY2891V1","GSON4143430402")</f>
        <v>#NAME?</v>
      </c>
      <c r="M3003" s="28" t="e">
        <f ca="1">[1]!BexGetData("DP_1","003N8EMH8GTFRIVOG7KG9IQXA","GSON4143430402")</f>
        <v>#NAME?</v>
      </c>
      <c r="N3003" s="23" t="e">
        <f ca="1">[1]!BexGetData("DP_1","003N8EMH8GTFRIVOG7KG9IX8U","GSON4143430402")</f>
        <v>#NAME?</v>
      </c>
      <c r="O3003" s="28" t="e">
        <f ca="1">[1]!BexGetData("DP_1","003N8EMH8GTFRIVOG7KG9J3KE","GSON4143430402")</f>
        <v>#NAME?</v>
      </c>
      <c r="P3003" s="23" t="e">
        <f ca="1">[1]!BexGetData("DP_1","003N8EMH8GTFRIVOG7KG9J9VY","GSON4143430402")</f>
        <v>#NAME?</v>
      </c>
      <c r="Q3003" s="24" t="e">
        <f ca="1">[1]!BexGetData("DP_1","00O2TNJGODT0G5Z4TTKYMM5MT","GSON4143430402")</f>
        <v>#NAME?</v>
      </c>
      <c r="R3003" s="23" t="e">
        <f ca="1">[1]!BexGetData("DP_1","00O2TNJGODT0G5Z4TTKYMMBYD","GSON4143430402")</f>
        <v>#NAME?</v>
      </c>
      <c r="S3003" s="23" t="e">
        <f ca="1">[1]!BexGetData("DP_1","00O2TNJGODT0G5Z4TTKYMMI9X","GSON4143430402")</f>
        <v>#NAME?</v>
      </c>
      <c r="T3003" s="23" t="e">
        <f ca="1">[1]!BexGetData("DP_1","00O2TNJGODT0G5Z4TTKYMMOLH","GSON4143430402")</f>
        <v>#NAME?</v>
      </c>
      <c r="U3003" s="28" t="e">
        <f ca="1">[1]!BexGetData("DP_1","00O2TNJGODT0G5Z4TTKYMMUX1","GSON4143430402")</f>
        <v>#NAME?</v>
      </c>
      <c r="V3003" s="23" t="e">
        <f ca="1">[1]!BexGetData("DP_1","00O2TNJGODT0G5Z4TTKYMN18L","GSON4143430402")</f>
        <v>#NAME?</v>
      </c>
      <c r="W3003" s="28" t="e">
        <f ca="1">[1]!BexGetData("DP_1","00O2TNJGODT0G5Z4TTKYMN7K5","GSON4143430402")</f>
        <v>#NAME?</v>
      </c>
    </row>
    <row r="3004" spans="1:23" x14ac:dyDescent="0.2">
      <c r="A3004" s="36" t="s">
        <v>1486</v>
      </c>
      <c r="B3004" s="27" t="s">
        <v>544</v>
      </c>
      <c r="C3004" s="23" t="e">
        <f ca="1">[1]!BexGetData("DP_1","003N8EMH8GTFRCSWKMPXRR8GU","GSON4143430501")</f>
        <v>#NAME?</v>
      </c>
      <c r="D3004" s="23" t="e">
        <f ca="1">[1]!BexGetData("DP_1","003N8EMH8GTFRCSWKMPXRRESE","GSON4143430501")</f>
        <v>#NAME?</v>
      </c>
      <c r="E3004" s="23" t="e">
        <f ca="1">[1]!BexGetData("DP_1","003N8EMH8GTFRCSWKMPXRRL3Y","GSON4143430501")</f>
        <v>#NAME?</v>
      </c>
      <c r="F3004" s="23" t="e">
        <f ca="1">[1]!BexGetData("DP_1","003N8EMH8GTFRCSWKMPXRRRFI","GSON4143430501")</f>
        <v>#NAME?</v>
      </c>
      <c r="G3004" s="23" t="e">
        <f ca="1">[1]!BexGetData("DP_1","003N8EMH8GTFRCSWKMPXRRXR2","GSON4143430501")</f>
        <v>#NAME?</v>
      </c>
      <c r="H3004" s="23" t="e">
        <f ca="1">[1]!BexGetData("DP_1","003N8EMH8GTFRCSWKMPXRS42M","GSON4143430501")</f>
        <v>#NAME?</v>
      </c>
      <c r="I3004" s="23" t="e">
        <f ca="1">[1]!BexGetData("DP_1","003N8EMH8GTFRCSWKMPXRSAE6","GSON4143430501")</f>
        <v>#NAME?</v>
      </c>
      <c r="J3004" s="24" t="e">
        <f ca="1">[1]!BexGetData("DP_1","003N8EMH8GTFRCSWKMPXRSGPQ","GSON4143430501")</f>
        <v>#NAME?</v>
      </c>
      <c r="K3004" s="23" t="e">
        <f ca="1">[1]!BexGetData("DP_1","003N8EMH8GTFRIVNUPY288VJH","GSON4143430501")</f>
        <v>#NAME?</v>
      </c>
      <c r="L3004" s="23" t="e">
        <f ca="1">[1]!BexGetData("DP_1","003N8EMH8GTFRIVNUPY2891V1","GSON4143430501")</f>
        <v>#NAME?</v>
      </c>
      <c r="M3004" s="28" t="e">
        <f ca="1">[1]!BexGetData("DP_1","003N8EMH8GTFRIVOG7KG9IQXA","GSON4143430501")</f>
        <v>#NAME?</v>
      </c>
      <c r="N3004" s="23" t="e">
        <f ca="1">[1]!BexGetData("DP_1","003N8EMH8GTFRIVOG7KG9IX8U","GSON4143430501")</f>
        <v>#NAME?</v>
      </c>
      <c r="O3004" s="28" t="e">
        <f ca="1">[1]!BexGetData("DP_1","003N8EMH8GTFRIVOG7KG9J3KE","GSON4143430501")</f>
        <v>#NAME?</v>
      </c>
      <c r="P3004" s="23" t="e">
        <f ca="1">[1]!BexGetData("DP_1","003N8EMH8GTFRIVOG7KG9J9VY","GSON4143430501")</f>
        <v>#NAME?</v>
      </c>
      <c r="Q3004" s="24" t="e">
        <f ca="1">[1]!BexGetData("DP_1","00O2TNJGODT0G5Z4TTKYMM5MT","GSON4143430501")</f>
        <v>#NAME?</v>
      </c>
      <c r="R3004" s="23" t="e">
        <f ca="1">[1]!BexGetData("DP_1","00O2TNJGODT0G5Z4TTKYMMBYD","GSON4143430501")</f>
        <v>#NAME?</v>
      </c>
      <c r="S3004" s="23" t="e">
        <f ca="1">[1]!BexGetData("DP_1","00O2TNJGODT0G5Z4TTKYMMI9X","GSON4143430501")</f>
        <v>#NAME?</v>
      </c>
      <c r="T3004" s="23" t="e">
        <f ca="1">[1]!BexGetData("DP_1","00O2TNJGODT0G5Z4TTKYMMOLH","GSON4143430501")</f>
        <v>#NAME?</v>
      </c>
      <c r="U3004" s="28" t="e">
        <f ca="1">[1]!BexGetData("DP_1","00O2TNJGODT0G5Z4TTKYMMUX1","GSON4143430501")</f>
        <v>#NAME?</v>
      </c>
      <c r="V3004" s="23" t="e">
        <f ca="1">[1]!BexGetData("DP_1","00O2TNJGODT0G5Z4TTKYMN18L","GSON4143430501")</f>
        <v>#NAME?</v>
      </c>
      <c r="W3004" s="28" t="e">
        <f ca="1">[1]!BexGetData("DP_1","00O2TNJGODT0G5Z4TTKYMN7K5","GSON4143430501")</f>
        <v>#NAME?</v>
      </c>
    </row>
    <row r="3005" spans="1:23" x14ac:dyDescent="0.2">
      <c r="A3005" s="36" t="s">
        <v>1487</v>
      </c>
      <c r="B3005" s="27" t="s">
        <v>545</v>
      </c>
      <c r="C3005" s="23" t="e">
        <f ca="1">[1]!BexGetData("DP_1","003N8EMH8GTFRCSWKMPXRR8GU","GSON4143430601")</f>
        <v>#NAME?</v>
      </c>
      <c r="D3005" s="23" t="e">
        <f ca="1">[1]!BexGetData("DP_1","003N8EMH8GTFRCSWKMPXRRESE","GSON4143430601")</f>
        <v>#NAME?</v>
      </c>
      <c r="E3005" s="23" t="e">
        <f ca="1">[1]!BexGetData("DP_1","003N8EMH8GTFRCSWKMPXRRL3Y","GSON4143430601")</f>
        <v>#NAME?</v>
      </c>
      <c r="F3005" s="23" t="e">
        <f ca="1">[1]!BexGetData("DP_1","003N8EMH8GTFRCSWKMPXRRRFI","GSON4143430601")</f>
        <v>#NAME?</v>
      </c>
      <c r="G3005" s="23" t="e">
        <f ca="1">[1]!BexGetData("DP_1","003N8EMH8GTFRCSWKMPXRRXR2","GSON4143430601")</f>
        <v>#NAME?</v>
      </c>
      <c r="H3005" s="23" t="e">
        <f ca="1">[1]!BexGetData("DP_1","003N8EMH8GTFRCSWKMPXRS42M","GSON4143430601")</f>
        <v>#NAME?</v>
      </c>
      <c r="I3005" s="23" t="e">
        <f ca="1">[1]!BexGetData("DP_1","003N8EMH8GTFRCSWKMPXRSAE6","GSON4143430601")</f>
        <v>#NAME?</v>
      </c>
      <c r="J3005" s="24" t="e">
        <f ca="1">[1]!BexGetData("DP_1","003N8EMH8GTFRCSWKMPXRSGPQ","GSON4143430601")</f>
        <v>#NAME?</v>
      </c>
      <c r="K3005" s="23" t="e">
        <f ca="1">[1]!BexGetData("DP_1","003N8EMH8GTFRIVNUPY288VJH","GSON4143430601")</f>
        <v>#NAME?</v>
      </c>
      <c r="L3005" s="23" t="e">
        <f ca="1">[1]!BexGetData("DP_1","003N8EMH8GTFRIVNUPY2891V1","GSON4143430601")</f>
        <v>#NAME?</v>
      </c>
      <c r="M3005" s="23" t="e">
        <f ca="1">[1]!BexGetData("DP_1","003N8EMH8GTFRIVOG7KG9IQXA","GSON4143430601")</f>
        <v>#NAME?</v>
      </c>
      <c r="N3005" s="28" t="e">
        <f ca="1">[1]!BexGetData("DP_1","003N8EMH8GTFRIVOG7KG9IX8U","GSON4143430601")</f>
        <v>#NAME?</v>
      </c>
      <c r="O3005" s="23" t="e">
        <f ca="1">[1]!BexGetData("DP_1","003N8EMH8GTFRIVOG7KG9J3KE","GSON4143430601")</f>
        <v>#NAME?</v>
      </c>
      <c r="P3005" s="28" t="e">
        <f ca="1">[1]!BexGetData("DP_1","003N8EMH8GTFRIVOG7KG9J9VY","GSON4143430601")</f>
        <v>#NAME?</v>
      </c>
      <c r="Q3005" s="24" t="e">
        <f ca="1">[1]!BexGetData("DP_1","00O2TNJGODT0G5Z4TTKYMM5MT","GSON4143430601")</f>
        <v>#NAME?</v>
      </c>
      <c r="R3005" s="23" t="e">
        <f ca="1">[1]!BexGetData("DP_1","00O2TNJGODT0G5Z4TTKYMMBYD","GSON4143430601")</f>
        <v>#NAME?</v>
      </c>
      <c r="S3005" s="23" t="e">
        <f ca="1">[1]!BexGetData("DP_1","00O2TNJGODT0G5Z4TTKYMMI9X","GSON4143430601")</f>
        <v>#NAME?</v>
      </c>
      <c r="T3005" s="28" t="e">
        <f ca="1">[1]!BexGetData("DP_1","00O2TNJGODT0G5Z4TTKYMMOLH","GSON4143430601")</f>
        <v>#NAME?</v>
      </c>
      <c r="U3005" s="23" t="e">
        <f ca="1">[1]!BexGetData("DP_1","00O2TNJGODT0G5Z4TTKYMMUX1","GSON4143430601")</f>
        <v>#NAME?</v>
      </c>
      <c r="V3005" s="28" t="e">
        <f ca="1">[1]!BexGetData("DP_1","00O2TNJGODT0G5Z4TTKYMN18L","GSON4143430601")</f>
        <v>#NAME?</v>
      </c>
      <c r="W3005" s="23" t="e">
        <f ca="1">[1]!BexGetData("DP_1","00O2TNJGODT0G5Z4TTKYMN7K5","GSON4143430601")</f>
        <v>#NAME?</v>
      </c>
    </row>
    <row r="3006" spans="1:23" x14ac:dyDescent="0.2">
      <c r="A3006" s="36" t="s">
        <v>1488</v>
      </c>
      <c r="B3006" s="27" t="s">
        <v>546</v>
      </c>
      <c r="C3006" s="23" t="e">
        <f ca="1">[1]!BexGetData("DP_1","003N8EMH8GTFRCSWKMPXRR8GU","GSON4143430701")</f>
        <v>#NAME?</v>
      </c>
      <c r="D3006" s="23" t="e">
        <f ca="1">[1]!BexGetData("DP_1","003N8EMH8GTFRCSWKMPXRRESE","GSON4143430701")</f>
        <v>#NAME?</v>
      </c>
      <c r="E3006" s="23" t="e">
        <f ca="1">[1]!BexGetData("DP_1","003N8EMH8GTFRCSWKMPXRRL3Y","GSON4143430701")</f>
        <v>#NAME?</v>
      </c>
      <c r="F3006" s="23" t="e">
        <f ca="1">[1]!BexGetData("DP_1","003N8EMH8GTFRCSWKMPXRRRFI","GSON4143430701")</f>
        <v>#NAME?</v>
      </c>
      <c r="G3006" s="23" t="e">
        <f ca="1">[1]!BexGetData("DP_1","003N8EMH8GTFRCSWKMPXRRXR2","GSON4143430701")</f>
        <v>#NAME?</v>
      </c>
      <c r="H3006" s="23" t="e">
        <f ca="1">[1]!BexGetData("DP_1","003N8EMH8GTFRCSWKMPXRS42M","GSON4143430701")</f>
        <v>#NAME?</v>
      </c>
      <c r="I3006" s="23" t="e">
        <f ca="1">[1]!BexGetData("DP_1","003N8EMH8GTFRCSWKMPXRSAE6","GSON4143430701")</f>
        <v>#NAME?</v>
      </c>
      <c r="J3006" s="24" t="e">
        <f ca="1">[1]!BexGetData("DP_1","003N8EMH8GTFRCSWKMPXRSGPQ","GSON4143430701")</f>
        <v>#NAME?</v>
      </c>
      <c r="K3006" s="23" t="e">
        <f ca="1">[1]!BexGetData("DP_1","003N8EMH8GTFRIVNUPY288VJH","GSON4143430701")</f>
        <v>#NAME?</v>
      </c>
      <c r="L3006" s="23" t="e">
        <f ca="1">[1]!BexGetData("DP_1","003N8EMH8GTFRIVNUPY2891V1","GSON4143430701")</f>
        <v>#NAME?</v>
      </c>
      <c r="M3006" s="23" t="e">
        <f ca="1">[1]!BexGetData("DP_1","003N8EMH8GTFRIVOG7KG9IQXA","GSON4143430701")</f>
        <v>#NAME?</v>
      </c>
      <c r="N3006" s="28" t="e">
        <f ca="1">[1]!BexGetData("DP_1","003N8EMH8GTFRIVOG7KG9IX8U","GSON4143430701")</f>
        <v>#NAME?</v>
      </c>
      <c r="O3006" s="23" t="e">
        <f ca="1">[1]!BexGetData("DP_1","003N8EMH8GTFRIVOG7KG9J3KE","GSON4143430701")</f>
        <v>#NAME?</v>
      </c>
      <c r="P3006" s="28" t="e">
        <f ca="1">[1]!BexGetData("DP_1","003N8EMH8GTFRIVOG7KG9J9VY","GSON4143430701")</f>
        <v>#NAME?</v>
      </c>
      <c r="Q3006" s="24" t="e">
        <f ca="1">[1]!BexGetData("DP_1","00O2TNJGODT0G5Z4TTKYMM5MT","GSON4143430701")</f>
        <v>#NAME?</v>
      </c>
      <c r="R3006" s="23" t="e">
        <f ca="1">[1]!BexGetData("DP_1","00O2TNJGODT0G5Z4TTKYMMBYD","GSON4143430701")</f>
        <v>#NAME?</v>
      </c>
      <c r="S3006" s="23" t="e">
        <f ca="1">[1]!BexGetData("DP_1","00O2TNJGODT0G5Z4TTKYMMI9X","GSON4143430701")</f>
        <v>#NAME?</v>
      </c>
      <c r="T3006" s="23" t="e">
        <f ca="1">[1]!BexGetData("DP_1","00O2TNJGODT0G5Z4TTKYMMOLH","GSON4143430701")</f>
        <v>#NAME?</v>
      </c>
      <c r="U3006" s="28" t="e">
        <f ca="1">[1]!BexGetData("DP_1","00O2TNJGODT0G5Z4TTKYMMUX1","GSON4143430701")</f>
        <v>#NAME?</v>
      </c>
      <c r="V3006" s="23" t="e">
        <f ca="1">[1]!BexGetData("DP_1","00O2TNJGODT0G5Z4TTKYMN18L","GSON4143430701")</f>
        <v>#NAME?</v>
      </c>
      <c r="W3006" s="28" t="e">
        <f ca="1">[1]!BexGetData("DP_1","00O2TNJGODT0G5Z4TTKYMN7K5","GSON4143430701")</f>
        <v>#NAME?</v>
      </c>
    </row>
    <row r="3007" spans="1:23" x14ac:dyDescent="0.2">
      <c r="A3007" s="36" t="s">
        <v>1489</v>
      </c>
      <c r="B3007" s="27" t="s">
        <v>547</v>
      </c>
      <c r="C3007" s="23" t="e">
        <f ca="1">[1]!BexGetData("DP_1","003N8EMH8GTFRCSWKMPXRR8GU","GSON4143430702")</f>
        <v>#NAME?</v>
      </c>
      <c r="D3007" s="23" t="e">
        <f ca="1">[1]!BexGetData("DP_1","003N8EMH8GTFRCSWKMPXRRESE","GSON4143430702")</f>
        <v>#NAME?</v>
      </c>
      <c r="E3007" s="23" t="e">
        <f ca="1">[1]!BexGetData("DP_1","003N8EMH8GTFRCSWKMPXRRL3Y","GSON4143430702")</f>
        <v>#NAME?</v>
      </c>
      <c r="F3007" s="23" t="e">
        <f ca="1">[1]!BexGetData("DP_1","003N8EMH8GTFRCSWKMPXRRRFI","GSON4143430702")</f>
        <v>#NAME?</v>
      </c>
      <c r="G3007" s="23" t="e">
        <f ca="1">[1]!BexGetData("DP_1","003N8EMH8GTFRCSWKMPXRRXR2","GSON4143430702")</f>
        <v>#NAME?</v>
      </c>
      <c r="H3007" s="23" t="e">
        <f ca="1">[1]!BexGetData("DP_1","003N8EMH8GTFRCSWKMPXRS42M","GSON4143430702")</f>
        <v>#NAME?</v>
      </c>
      <c r="I3007" s="23" t="e">
        <f ca="1">[1]!BexGetData("DP_1","003N8EMH8GTFRCSWKMPXRSAE6","GSON4143430702")</f>
        <v>#NAME?</v>
      </c>
      <c r="J3007" s="24" t="e">
        <f ca="1">[1]!BexGetData("DP_1","003N8EMH8GTFRCSWKMPXRSGPQ","GSON4143430702")</f>
        <v>#NAME?</v>
      </c>
      <c r="K3007" s="23" t="e">
        <f ca="1">[1]!BexGetData("DP_1","003N8EMH8GTFRIVNUPY288VJH","GSON4143430702")</f>
        <v>#NAME?</v>
      </c>
      <c r="L3007" s="23" t="e">
        <f ca="1">[1]!BexGetData("DP_1","003N8EMH8GTFRIVNUPY2891V1","GSON4143430702")</f>
        <v>#NAME?</v>
      </c>
      <c r="M3007" s="23" t="e">
        <f ca="1">[1]!BexGetData("DP_1","003N8EMH8GTFRIVOG7KG9IQXA","GSON4143430702")</f>
        <v>#NAME?</v>
      </c>
      <c r="N3007" s="28" t="e">
        <f ca="1">[1]!BexGetData("DP_1","003N8EMH8GTFRIVOG7KG9IX8U","GSON4143430702")</f>
        <v>#NAME?</v>
      </c>
      <c r="O3007" s="23" t="e">
        <f ca="1">[1]!BexGetData("DP_1","003N8EMH8GTFRIVOG7KG9J3KE","GSON4143430702")</f>
        <v>#NAME?</v>
      </c>
      <c r="P3007" s="28" t="e">
        <f ca="1">[1]!BexGetData("DP_1","003N8EMH8GTFRIVOG7KG9J9VY","GSON4143430702")</f>
        <v>#NAME?</v>
      </c>
      <c r="Q3007" s="24" t="e">
        <f ca="1">[1]!BexGetData("DP_1","00O2TNJGODT0G5Z4TTKYMM5MT","GSON4143430702")</f>
        <v>#NAME?</v>
      </c>
      <c r="R3007" s="23" t="e">
        <f ca="1">[1]!BexGetData("DP_1","00O2TNJGODT0G5Z4TTKYMMBYD","GSON4143430702")</f>
        <v>#NAME?</v>
      </c>
      <c r="S3007" s="23" t="e">
        <f ca="1">[1]!BexGetData("DP_1","00O2TNJGODT0G5Z4TTKYMMI9X","GSON4143430702")</f>
        <v>#NAME?</v>
      </c>
      <c r="T3007" s="23" t="e">
        <f ca="1">[1]!BexGetData("DP_1","00O2TNJGODT0G5Z4TTKYMMOLH","GSON4143430702")</f>
        <v>#NAME?</v>
      </c>
      <c r="U3007" s="28" t="e">
        <f ca="1">[1]!BexGetData("DP_1","00O2TNJGODT0G5Z4TTKYMMUX1","GSON4143430702")</f>
        <v>#NAME?</v>
      </c>
      <c r="V3007" s="23" t="e">
        <f ca="1">[1]!BexGetData("DP_1","00O2TNJGODT0G5Z4TTKYMN18L","GSON4143430702")</f>
        <v>#NAME?</v>
      </c>
      <c r="W3007" s="28" t="e">
        <f ca="1">[1]!BexGetData("DP_1","00O2TNJGODT0G5Z4TTKYMN7K5","GSON4143430702")</f>
        <v>#NAME?</v>
      </c>
    </row>
    <row r="3008" spans="1:23" x14ac:dyDescent="0.2">
      <c r="A3008" s="36" t="s">
        <v>6367</v>
      </c>
      <c r="B3008" s="27" t="s">
        <v>6368</v>
      </c>
      <c r="C3008" s="28" t="e">
        <f ca="1">[1]!BexGetData("DP_1","003N8EMH8GTFRCSWKMPXRR8GU","GSON4143430703")</f>
        <v>#NAME?</v>
      </c>
      <c r="D3008" s="23" t="e">
        <f ca="1">[1]!BexGetData("DP_1","003N8EMH8GTFRCSWKMPXRRESE","GSON4143430703")</f>
        <v>#NAME?</v>
      </c>
      <c r="E3008" s="23" t="e">
        <f ca="1">[1]!BexGetData("DP_1","003N8EMH8GTFRCSWKMPXRRL3Y","GSON4143430703")</f>
        <v>#NAME?</v>
      </c>
      <c r="F3008" s="23" t="e">
        <f ca="1">[1]!BexGetData("DP_1","003N8EMH8GTFRCSWKMPXRRRFI","GSON4143430703")</f>
        <v>#NAME?</v>
      </c>
      <c r="G3008" s="23" t="e">
        <f ca="1">[1]!BexGetData("DP_1","003N8EMH8GTFRCSWKMPXRRXR2","GSON4143430703")</f>
        <v>#NAME?</v>
      </c>
      <c r="H3008" s="23" t="e">
        <f ca="1">[1]!BexGetData("DP_1","003N8EMH8GTFRCSWKMPXRS42M","GSON4143430703")</f>
        <v>#NAME?</v>
      </c>
      <c r="I3008" s="23" t="e">
        <f ca="1">[1]!BexGetData("DP_1","003N8EMH8GTFRCSWKMPXRSAE6","GSON4143430703")</f>
        <v>#NAME?</v>
      </c>
      <c r="J3008" s="24" t="e">
        <f ca="1">[1]!BexGetData("DP_1","003N8EMH8GTFRCSWKMPXRSGPQ","GSON4143430703")</f>
        <v>#NAME?</v>
      </c>
      <c r="K3008" s="23" t="e">
        <f ca="1">[1]!BexGetData("DP_1","003N8EMH8GTFRIVNUPY288VJH","GSON4143430703")</f>
        <v>#NAME?</v>
      </c>
      <c r="L3008" s="23" t="e">
        <f ca="1">[1]!BexGetData("DP_1","003N8EMH8GTFRIVNUPY2891V1","GSON4143430703")</f>
        <v>#NAME?</v>
      </c>
      <c r="M3008" s="28" t="e">
        <f ca="1">[1]!BexGetData("DP_1","003N8EMH8GTFRIVOG7KG9IQXA","GSON4143430703")</f>
        <v>#NAME?</v>
      </c>
      <c r="N3008" s="23" t="e">
        <f ca="1">[1]!BexGetData("DP_1","003N8EMH8GTFRIVOG7KG9IX8U","GSON4143430703")</f>
        <v>#NAME?</v>
      </c>
      <c r="O3008" s="28" t="e">
        <f ca="1">[1]!BexGetData("DP_1","003N8EMH8GTFRIVOG7KG9J3KE","GSON4143430703")</f>
        <v>#NAME?</v>
      </c>
      <c r="P3008" s="23" t="e">
        <f ca="1">[1]!BexGetData("DP_1","003N8EMH8GTFRIVOG7KG9J9VY","GSON4143430703")</f>
        <v>#NAME?</v>
      </c>
      <c r="Q3008" s="24" t="e">
        <f ca="1">[1]!BexGetData("DP_1","00O2TNJGODT0G5Z4TTKYMM5MT","GSON4143430703")</f>
        <v>#NAME?</v>
      </c>
      <c r="R3008" s="23" t="e">
        <f ca="1">[1]!BexGetData("DP_1","00O2TNJGODT0G5Z4TTKYMMBYD","GSON4143430703")</f>
        <v>#NAME?</v>
      </c>
      <c r="S3008" s="23" t="e">
        <f ca="1">[1]!BexGetData("DP_1","00O2TNJGODT0G5Z4TTKYMMI9X","GSON4143430703")</f>
        <v>#NAME?</v>
      </c>
      <c r="T3008" s="23" t="e">
        <f ca="1">[1]!BexGetData("DP_1","00O2TNJGODT0G5Z4TTKYMMOLH","GSON4143430703")</f>
        <v>#NAME?</v>
      </c>
      <c r="U3008" s="28" t="e">
        <f ca="1">[1]!BexGetData("DP_1","00O2TNJGODT0G5Z4TTKYMMUX1","GSON4143430703")</f>
        <v>#NAME?</v>
      </c>
      <c r="V3008" s="23" t="e">
        <f ca="1">[1]!BexGetData("DP_1","00O2TNJGODT0G5Z4TTKYMN18L","GSON4143430703")</f>
        <v>#NAME?</v>
      </c>
      <c r="W3008" s="28" t="e">
        <f ca="1">[1]!BexGetData("DP_1","00O2TNJGODT0G5Z4TTKYMN7K5","GSON4143430703")</f>
        <v>#NAME?</v>
      </c>
    </row>
    <row r="3009" spans="1:23" x14ac:dyDescent="0.2">
      <c r="A3009" s="36" t="s">
        <v>1490</v>
      </c>
      <c r="B3009" s="27" t="s">
        <v>548</v>
      </c>
      <c r="C3009" s="23" t="e">
        <f ca="1">[1]!BexGetData("DP_1","003N8EMH8GTFRCSWKMPXRR8GU","GSON4143430801")</f>
        <v>#NAME?</v>
      </c>
      <c r="D3009" s="23" t="e">
        <f ca="1">[1]!BexGetData("DP_1","003N8EMH8GTFRCSWKMPXRRESE","GSON4143430801")</f>
        <v>#NAME?</v>
      </c>
      <c r="E3009" s="23" t="e">
        <f ca="1">[1]!BexGetData("DP_1","003N8EMH8GTFRCSWKMPXRRL3Y","GSON4143430801")</f>
        <v>#NAME?</v>
      </c>
      <c r="F3009" s="23" t="e">
        <f ca="1">[1]!BexGetData("DP_1","003N8EMH8GTFRCSWKMPXRRRFI","GSON4143430801")</f>
        <v>#NAME?</v>
      </c>
      <c r="G3009" s="23" t="e">
        <f ca="1">[1]!BexGetData("DP_1","003N8EMH8GTFRCSWKMPXRRXR2","GSON4143430801")</f>
        <v>#NAME?</v>
      </c>
      <c r="H3009" s="23" t="e">
        <f ca="1">[1]!BexGetData("DP_1","003N8EMH8GTFRCSWKMPXRS42M","GSON4143430801")</f>
        <v>#NAME?</v>
      </c>
      <c r="I3009" s="23" t="e">
        <f ca="1">[1]!BexGetData("DP_1","003N8EMH8GTFRCSWKMPXRSAE6","GSON4143430801")</f>
        <v>#NAME?</v>
      </c>
      <c r="J3009" s="24" t="e">
        <f ca="1">[1]!BexGetData("DP_1","003N8EMH8GTFRCSWKMPXRSGPQ","GSON4143430801")</f>
        <v>#NAME?</v>
      </c>
      <c r="K3009" s="23" t="e">
        <f ca="1">[1]!BexGetData("DP_1","003N8EMH8GTFRIVNUPY288VJH","GSON4143430801")</f>
        <v>#NAME?</v>
      </c>
      <c r="L3009" s="23" t="e">
        <f ca="1">[1]!BexGetData("DP_1","003N8EMH8GTFRIVNUPY2891V1","GSON4143430801")</f>
        <v>#NAME?</v>
      </c>
      <c r="M3009" s="23" t="e">
        <f ca="1">[1]!BexGetData("DP_1","003N8EMH8GTFRIVOG7KG9IQXA","GSON4143430801")</f>
        <v>#NAME?</v>
      </c>
      <c r="N3009" s="28" t="e">
        <f ca="1">[1]!BexGetData("DP_1","003N8EMH8GTFRIVOG7KG9IX8U","GSON4143430801")</f>
        <v>#NAME?</v>
      </c>
      <c r="O3009" s="23" t="e">
        <f ca="1">[1]!BexGetData("DP_1","003N8EMH8GTFRIVOG7KG9J3KE","GSON4143430801")</f>
        <v>#NAME?</v>
      </c>
      <c r="P3009" s="28" t="e">
        <f ca="1">[1]!BexGetData("DP_1","003N8EMH8GTFRIVOG7KG9J9VY","GSON4143430801")</f>
        <v>#NAME?</v>
      </c>
      <c r="Q3009" s="24" t="e">
        <f ca="1">[1]!BexGetData("DP_1","00O2TNJGODT0G5Z4TTKYMM5MT","GSON4143430801")</f>
        <v>#NAME?</v>
      </c>
      <c r="R3009" s="23" t="e">
        <f ca="1">[1]!BexGetData("DP_1","00O2TNJGODT0G5Z4TTKYMMBYD","GSON4143430801")</f>
        <v>#NAME?</v>
      </c>
      <c r="S3009" s="23" t="e">
        <f ca="1">[1]!BexGetData("DP_1","00O2TNJGODT0G5Z4TTKYMMI9X","GSON4143430801")</f>
        <v>#NAME?</v>
      </c>
      <c r="T3009" s="23" t="e">
        <f ca="1">[1]!BexGetData("DP_1","00O2TNJGODT0G5Z4TTKYMMOLH","GSON4143430801")</f>
        <v>#NAME?</v>
      </c>
      <c r="U3009" s="28" t="e">
        <f ca="1">[1]!BexGetData("DP_1","00O2TNJGODT0G5Z4TTKYMMUX1","GSON4143430801")</f>
        <v>#NAME?</v>
      </c>
      <c r="V3009" s="23" t="e">
        <f ca="1">[1]!BexGetData("DP_1","00O2TNJGODT0G5Z4TTKYMN18L","GSON4143430801")</f>
        <v>#NAME?</v>
      </c>
      <c r="W3009" s="28" t="e">
        <f ca="1">[1]!BexGetData("DP_1","00O2TNJGODT0G5Z4TTKYMN7K5","GSON4143430801")</f>
        <v>#NAME?</v>
      </c>
    </row>
    <row r="3010" spans="1:23" x14ac:dyDescent="0.2">
      <c r="A3010" s="36" t="s">
        <v>1491</v>
      </c>
      <c r="B3010" s="27" t="s">
        <v>549</v>
      </c>
      <c r="C3010" s="24" t="e">
        <f ca="1">[1]!BexGetData("DP_1","003N8EMH8GTFRCSWKMPXRR8GU","GSON4143430802")</f>
        <v>#NAME?</v>
      </c>
      <c r="D3010" s="24" t="e">
        <f ca="1">[1]!BexGetData("DP_1","003N8EMH8GTFRCSWKMPXRRESE","GSON4143430802")</f>
        <v>#NAME?</v>
      </c>
      <c r="E3010" s="24" t="e">
        <f ca="1">[1]!BexGetData("DP_1","003N8EMH8GTFRCSWKMPXRRL3Y","GSON4143430802")</f>
        <v>#NAME?</v>
      </c>
      <c r="F3010" s="28" t="e">
        <f ca="1">[1]!BexGetData("DP_1","003N8EMH8GTFRCSWKMPXRRRFI","GSON4143430802")</f>
        <v>#NAME?</v>
      </c>
      <c r="G3010" s="23" t="e">
        <f ca="1">[1]!BexGetData("DP_1","003N8EMH8GTFRCSWKMPXRRXR2","GSON4143430802")</f>
        <v>#NAME?</v>
      </c>
      <c r="H3010" s="23" t="e">
        <f ca="1">[1]!BexGetData("DP_1","003N8EMH8GTFRCSWKMPXRS42M","GSON4143430802")</f>
        <v>#NAME?</v>
      </c>
      <c r="I3010" s="28" t="e">
        <f ca="1">[1]!BexGetData("DP_1","003N8EMH8GTFRCSWKMPXRSAE6","GSON4143430802")</f>
        <v>#NAME?</v>
      </c>
      <c r="J3010" s="24" t="e">
        <f ca="1">[1]!BexGetData("DP_1","003N8EMH8GTFRCSWKMPXRSGPQ","GSON4143430802")</f>
        <v>#NAME?</v>
      </c>
      <c r="K3010" s="28" t="e">
        <f ca="1">[1]!BexGetData("DP_1","003N8EMH8GTFRIVNUPY288VJH","GSON4143430802")</f>
        <v>#NAME?</v>
      </c>
      <c r="L3010" s="28" t="e">
        <f ca="1">[1]!BexGetData("DP_1","003N8EMH8GTFRIVNUPY2891V1","GSON4143430802")</f>
        <v>#NAME?</v>
      </c>
      <c r="M3010" s="28" t="e">
        <f ca="1">[1]!BexGetData("DP_1","003N8EMH8GTFRIVOG7KG9IQXA","GSON4143430802")</f>
        <v>#NAME?</v>
      </c>
      <c r="N3010" s="28" t="e">
        <f ca="1">[1]!BexGetData("DP_1","003N8EMH8GTFRIVOG7KG9IX8U","GSON4143430802")</f>
        <v>#NAME?</v>
      </c>
      <c r="O3010" s="28" t="e">
        <f ca="1">[1]!BexGetData("DP_1","003N8EMH8GTFRIVOG7KG9J3KE","GSON4143430802")</f>
        <v>#NAME?</v>
      </c>
      <c r="P3010" s="28" t="e">
        <f ca="1">[1]!BexGetData("DP_1","003N8EMH8GTFRIVOG7KG9J9VY","GSON4143430802")</f>
        <v>#NAME?</v>
      </c>
      <c r="Q3010" s="24" t="e">
        <f ca="1">[1]!BexGetData("DP_1","00O2TNJGODT0G5Z4TTKYMM5MT","GSON4143430802")</f>
        <v>#NAME?</v>
      </c>
      <c r="R3010" s="28" t="e">
        <f ca="1">[1]!BexGetData("DP_1","00O2TNJGODT0G5Z4TTKYMMBYD","GSON4143430802")</f>
        <v>#NAME?</v>
      </c>
      <c r="S3010" s="28" t="e">
        <f ca="1">[1]!BexGetData("DP_1","00O2TNJGODT0G5Z4TTKYMMI9X","GSON4143430802")</f>
        <v>#NAME?</v>
      </c>
      <c r="T3010" s="28" t="e">
        <f ca="1">[1]!BexGetData("DP_1","00O2TNJGODT0G5Z4TTKYMMOLH","GSON4143430802")</f>
        <v>#NAME?</v>
      </c>
      <c r="U3010" s="28" t="e">
        <f ca="1">[1]!BexGetData("DP_1","00O2TNJGODT0G5Z4TTKYMMUX1","GSON4143430802")</f>
        <v>#NAME?</v>
      </c>
      <c r="V3010" s="28" t="e">
        <f ca="1">[1]!BexGetData("DP_1","00O2TNJGODT0G5Z4TTKYMN18L","GSON4143430802")</f>
        <v>#NAME?</v>
      </c>
      <c r="W3010" s="28" t="e">
        <f ca="1">[1]!BexGetData("DP_1","00O2TNJGODT0G5Z4TTKYMN7K5","GSON4143430802")</f>
        <v>#NAME?</v>
      </c>
    </row>
    <row r="3011" spans="1:23" x14ac:dyDescent="0.2">
      <c r="A3011" s="36" t="s">
        <v>1492</v>
      </c>
      <c r="B3011" s="27" t="s">
        <v>550</v>
      </c>
      <c r="C3011" s="23" t="e">
        <f ca="1">[1]!BexGetData("DP_1","003N8EMH8GTFRCSWKMPXRR8GU","GSON4143430803")</f>
        <v>#NAME?</v>
      </c>
      <c r="D3011" s="23" t="e">
        <f ca="1">[1]!BexGetData("DP_1","003N8EMH8GTFRCSWKMPXRRESE","GSON4143430803")</f>
        <v>#NAME?</v>
      </c>
      <c r="E3011" s="23" t="e">
        <f ca="1">[1]!BexGetData("DP_1","003N8EMH8GTFRCSWKMPXRRL3Y","GSON4143430803")</f>
        <v>#NAME?</v>
      </c>
      <c r="F3011" s="23" t="e">
        <f ca="1">[1]!BexGetData("DP_1","003N8EMH8GTFRCSWKMPXRRRFI","GSON4143430803")</f>
        <v>#NAME?</v>
      </c>
      <c r="G3011" s="23" t="e">
        <f ca="1">[1]!BexGetData("DP_1","003N8EMH8GTFRCSWKMPXRRXR2","GSON4143430803")</f>
        <v>#NAME?</v>
      </c>
      <c r="H3011" s="23" t="e">
        <f ca="1">[1]!BexGetData("DP_1","003N8EMH8GTFRCSWKMPXRS42M","GSON4143430803")</f>
        <v>#NAME?</v>
      </c>
      <c r="I3011" s="23" t="e">
        <f ca="1">[1]!BexGetData("DP_1","003N8EMH8GTFRCSWKMPXRSAE6","GSON4143430803")</f>
        <v>#NAME?</v>
      </c>
      <c r="J3011" s="24" t="e">
        <f ca="1">[1]!BexGetData("DP_1","003N8EMH8GTFRCSWKMPXRSGPQ","GSON4143430803")</f>
        <v>#NAME?</v>
      </c>
      <c r="K3011" s="23" t="e">
        <f ca="1">[1]!BexGetData("DP_1","003N8EMH8GTFRIVNUPY288VJH","GSON4143430803")</f>
        <v>#NAME?</v>
      </c>
      <c r="L3011" s="23" t="e">
        <f ca="1">[1]!BexGetData("DP_1","003N8EMH8GTFRIVNUPY2891V1","GSON4143430803")</f>
        <v>#NAME?</v>
      </c>
      <c r="M3011" s="23" t="e">
        <f ca="1">[1]!BexGetData("DP_1","003N8EMH8GTFRIVOG7KG9IQXA","GSON4143430803")</f>
        <v>#NAME?</v>
      </c>
      <c r="N3011" s="28" t="e">
        <f ca="1">[1]!BexGetData("DP_1","003N8EMH8GTFRIVOG7KG9IX8U","GSON4143430803")</f>
        <v>#NAME?</v>
      </c>
      <c r="O3011" s="23" t="e">
        <f ca="1">[1]!BexGetData("DP_1","003N8EMH8GTFRIVOG7KG9J3KE","GSON4143430803")</f>
        <v>#NAME?</v>
      </c>
      <c r="P3011" s="28" t="e">
        <f ca="1">[1]!BexGetData("DP_1","003N8EMH8GTFRIVOG7KG9J9VY","GSON4143430803")</f>
        <v>#NAME?</v>
      </c>
      <c r="Q3011" s="24" t="e">
        <f ca="1">[1]!BexGetData("DP_1","00O2TNJGODT0G5Z4TTKYMM5MT","GSON4143430803")</f>
        <v>#NAME?</v>
      </c>
      <c r="R3011" s="23" t="e">
        <f ca="1">[1]!BexGetData("DP_1","00O2TNJGODT0G5Z4TTKYMMBYD","GSON4143430803")</f>
        <v>#NAME?</v>
      </c>
      <c r="S3011" s="23" t="e">
        <f ca="1">[1]!BexGetData("DP_1","00O2TNJGODT0G5Z4TTKYMMI9X","GSON4143430803")</f>
        <v>#NAME?</v>
      </c>
      <c r="T3011" s="23" t="e">
        <f ca="1">[1]!BexGetData("DP_1","00O2TNJGODT0G5Z4TTKYMMOLH","GSON4143430803")</f>
        <v>#NAME?</v>
      </c>
      <c r="U3011" s="28" t="e">
        <f ca="1">[1]!BexGetData("DP_1","00O2TNJGODT0G5Z4TTKYMMUX1","GSON4143430803")</f>
        <v>#NAME?</v>
      </c>
      <c r="V3011" s="23" t="e">
        <f ca="1">[1]!BexGetData("DP_1","00O2TNJGODT0G5Z4TTKYMN18L","GSON4143430803")</f>
        <v>#NAME?</v>
      </c>
      <c r="W3011" s="28" t="e">
        <f ca="1">[1]!BexGetData("DP_1","00O2TNJGODT0G5Z4TTKYMN7K5","GSON4143430803")</f>
        <v>#NAME?</v>
      </c>
    </row>
    <row r="3012" spans="1:23" x14ac:dyDescent="0.2">
      <c r="A3012" s="36" t="s">
        <v>1493</v>
      </c>
      <c r="B3012" s="27" t="s">
        <v>699</v>
      </c>
      <c r="C3012" s="23" t="e">
        <f ca="1">[1]!BexGetData("DP_1","003N8EMH8GTFRCSWKMPXRR8GU","GSON4143430804")</f>
        <v>#NAME?</v>
      </c>
      <c r="D3012" s="23" t="e">
        <f ca="1">[1]!BexGetData("DP_1","003N8EMH8GTFRCSWKMPXRRESE","GSON4143430804")</f>
        <v>#NAME?</v>
      </c>
      <c r="E3012" s="23" t="e">
        <f ca="1">[1]!BexGetData("DP_1","003N8EMH8GTFRCSWKMPXRRL3Y","GSON4143430804")</f>
        <v>#NAME?</v>
      </c>
      <c r="F3012" s="23" t="e">
        <f ca="1">[1]!BexGetData("DP_1","003N8EMH8GTFRCSWKMPXRRRFI","GSON4143430804")</f>
        <v>#NAME?</v>
      </c>
      <c r="G3012" s="23" t="e">
        <f ca="1">[1]!BexGetData("DP_1","003N8EMH8GTFRCSWKMPXRRXR2","GSON4143430804")</f>
        <v>#NAME?</v>
      </c>
      <c r="H3012" s="23" t="e">
        <f ca="1">[1]!BexGetData("DP_1","003N8EMH8GTFRCSWKMPXRS42M","GSON4143430804")</f>
        <v>#NAME?</v>
      </c>
      <c r="I3012" s="23" t="e">
        <f ca="1">[1]!BexGetData("DP_1","003N8EMH8GTFRCSWKMPXRSAE6","GSON4143430804")</f>
        <v>#NAME?</v>
      </c>
      <c r="J3012" s="24" t="e">
        <f ca="1">[1]!BexGetData("DP_1","003N8EMH8GTFRCSWKMPXRSGPQ","GSON4143430804")</f>
        <v>#NAME?</v>
      </c>
      <c r="K3012" s="23" t="e">
        <f ca="1">[1]!BexGetData("DP_1","003N8EMH8GTFRIVNUPY288VJH","GSON4143430804")</f>
        <v>#NAME?</v>
      </c>
      <c r="L3012" s="23" t="e">
        <f ca="1">[1]!BexGetData("DP_1","003N8EMH8GTFRIVNUPY2891V1","GSON4143430804")</f>
        <v>#NAME?</v>
      </c>
      <c r="M3012" s="28" t="e">
        <f ca="1">[1]!BexGetData("DP_1","003N8EMH8GTFRIVOG7KG9IQXA","GSON4143430804")</f>
        <v>#NAME?</v>
      </c>
      <c r="N3012" s="23" t="e">
        <f ca="1">[1]!BexGetData("DP_1","003N8EMH8GTFRIVOG7KG9IX8U","GSON4143430804")</f>
        <v>#NAME?</v>
      </c>
      <c r="O3012" s="28" t="e">
        <f ca="1">[1]!BexGetData("DP_1","003N8EMH8GTFRIVOG7KG9J3KE","GSON4143430804")</f>
        <v>#NAME?</v>
      </c>
      <c r="P3012" s="23" t="e">
        <f ca="1">[1]!BexGetData("DP_1","003N8EMH8GTFRIVOG7KG9J9VY","GSON4143430804")</f>
        <v>#NAME?</v>
      </c>
      <c r="Q3012" s="24" t="e">
        <f ca="1">[1]!BexGetData("DP_1","00O2TNJGODT0G5Z4TTKYMM5MT","GSON4143430804")</f>
        <v>#NAME?</v>
      </c>
      <c r="R3012" s="23" t="e">
        <f ca="1">[1]!BexGetData("DP_1","00O2TNJGODT0G5Z4TTKYMMBYD","GSON4143430804")</f>
        <v>#NAME?</v>
      </c>
      <c r="S3012" s="23" t="e">
        <f ca="1">[1]!BexGetData("DP_1","00O2TNJGODT0G5Z4TTKYMMI9X","GSON4143430804")</f>
        <v>#NAME?</v>
      </c>
      <c r="T3012" s="23" t="e">
        <f ca="1">[1]!BexGetData("DP_1","00O2TNJGODT0G5Z4TTKYMMOLH","GSON4143430804")</f>
        <v>#NAME?</v>
      </c>
      <c r="U3012" s="28" t="e">
        <f ca="1">[1]!BexGetData("DP_1","00O2TNJGODT0G5Z4TTKYMMUX1","GSON4143430804")</f>
        <v>#NAME?</v>
      </c>
      <c r="V3012" s="23" t="e">
        <f ca="1">[1]!BexGetData("DP_1","00O2TNJGODT0G5Z4TTKYMN18L","GSON4143430804")</f>
        <v>#NAME?</v>
      </c>
      <c r="W3012" s="28" t="e">
        <f ca="1">[1]!BexGetData("DP_1","00O2TNJGODT0G5Z4TTKYMN7K5","GSON4143430804")</f>
        <v>#NAME?</v>
      </c>
    </row>
    <row r="3013" spans="1:23" x14ac:dyDescent="0.2">
      <c r="A3013" s="36" t="s">
        <v>1494</v>
      </c>
      <c r="B3013" s="27" t="s">
        <v>551</v>
      </c>
      <c r="C3013" s="23" t="e">
        <f ca="1">[1]!BexGetData("DP_1","003N8EMH8GTFRCSWKMPXRR8GU","GSON4143430805")</f>
        <v>#NAME?</v>
      </c>
      <c r="D3013" s="23" t="e">
        <f ca="1">[1]!BexGetData("DP_1","003N8EMH8GTFRCSWKMPXRRESE","GSON4143430805")</f>
        <v>#NAME?</v>
      </c>
      <c r="E3013" s="23" t="e">
        <f ca="1">[1]!BexGetData("DP_1","003N8EMH8GTFRCSWKMPXRRL3Y","GSON4143430805")</f>
        <v>#NAME?</v>
      </c>
      <c r="F3013" s="23" t="e">
        <f ca="1">[1]!BexGetData("DP_1","003N8EMH8GTFRCSWKMPXRRRFI","GSON4143430805")</f>
        <v>#NAME?</v>
      </c>
      <c r="G3013" s="23" t="e">
        <f ca="1">[1]!BexGetData("DP_1","003N8EMH8GTFRCSWKMPXRRXR2","GSON4143430805")</f>
        <v>#NAME?</v>
      </c>
      <c r="H3013" s="23" t="e">
        <f ca="1">[1]!BexGetData("DP_1","003N8EMH8GTFRCSWKMPXRS42M","GSON4143430805")</f>
        <v>#NAME?</v>
      </c>
      <c r="I3013" s="23" t="e">
        <f ca="1">[1]!BexGetData("DP_1","003N8EMH8GTFRCSWKMPXRSAE6","GSON4143430805")</f>
        <v>#NAME?</v>
      </c>
      <c r="J3013" s="24" t="e">
        <f ca="1">[1]!BexGetData("DP_1","003N8EMH8GTFRCSWKMPXRSGPQ","GSON4143430805")</f>
        <v>#NAME?</v>
      </c>
      <c r="K3013" s="23" t="e">
        <f ca="1">[1]!BexGetData("DP_1","003N8EMH8GTFRIVNUPY288VJH","GSON4143430805")</f>
        <v>#NAME?</v>
      </c>
      <c r="L3013" s="23" t="e">
        <f ca="1">[1]!BexGetData("DP_1","003N8EMH8GTFRIVNUPY2891V1","GSON4143430805")</f>
        <v>#NAME?</v>
      </c>
      <c r="M3013" s="23" t="e">
        <f ca="1">[1]!BexGetData("DP_1","003N8EMH8GTFRIVOG7KG9IQXA","GSON4143430805")</f>
        <v>#NAME?</v>
      </c>
      <c r="N3013" s="28" t="e">
        <f ca="1">[1]!BexGetData("DP_1","003N8EMH8GTFRIVOG7KG9IX8U","GSON4143430805")</f>
        <v>#NAME?</v>
      </c>
      <c r="O3013" s="23" t="e">
        <f ca="1">[1]!BexGetData("DP_1","003N8EMH8GTFRIVOG7KG9J3KE","GSON4143430805")</f>
        <v>#NAME?</v>
      </c>
      <c r="P3013" s="28" t="e">
        <f ca="1">[1]!BexGetData("DP_1","003N8EMH8GTFRIVOG7KG9J9VY","GSON4143430805")</f>
        <v>#NAME?</v>
      </c>
      <c r="Q3013" s="24" t="e">
        <f ca="1">[1]!BexGetData("DP_1","00O2TNJGODT0G5Z4TTKYMM5MT","GSON4143430805")</f>
        <v>#NAME?</v>
      </c>
      <c r="R3013" s="23" t="e">
        <f ca="1">[1]!BexGetData("DP_1","00O2TNJGODT0G5Z4TTKYMMBYD","GSON4143430805")</f>
        <v>#NAME?</v>
      </c>
      <c r="S3013" s="23" t="e">
        <f ca="1">[1]!BexGetData("DP_1","00O2TNJGODT0G5Z4TTKYMMI9X","GSON4143430805")</f>
        <v>#NAME?</v>
      </c>
      <c r="T3013" s="23" t="e">
        <f ca="1">[1]!BexGetData("DP_1","00O2TNJGODT0G5Z4TTKYMMOLH","GSON4143430805")</f>
        <v>#NAME?</v>
      </c>
      <c r="U3013" s="28" t="e">
        <f ca="1">[1]!BexGetData("DP_1","00O2TNJGODT0G5Z4TTKYMMUX1","GSON4143430805")</f>
        <v>#NAME?</v>
      </c>
      <c r="V3013" s="23" t="e">
        <f ca="1">[1]!BexGetData("DP_1","00O2TNJGODT0G5Z4TTKYMN18L","GSON4143430805")</f>
        <v>#NAME?</v>
      </c>
      <c r="W3013" s="28" t="e">
        <f ca="1">[1]!BexGetData("DP_1","00O2TNJGODT0G5Z4TTKYMN7K5","GSON4143430805")</f>
        <v>#NAME?</v>
      </c>
    </row>
    <row r="3014" spans="1:23" x14ac:dyDescent="0.2">
      <c r="A3014" s="36" t="s">
        <v>1495</v>
      </c>
      <c r="B3014" s="27" t="s">
        <v>700</v>
      </c>
      <c r="C3014" s="23" t="e">
        <f ca="1">[1]!BexGetData("DP_1","003N8EMH8GTFRCSWKMPXRR8GU","GSON4143430901")</f>
        <v>#NAME?</v>
      </c>
      <c r="D3014" s="23" t="e">
        <f ca="1">[1]!BexGetData("DP_1","003N8EMH8GTFRCSWKMPXRRESE","GSON4143430901")</f>
        <v>#NAME?</v>
      </c>
      <c r="E3014" s="23" t="e">
        <f ca="1">[1]!BexGetData("DP_1","003N8EMH8GTFRCSWKMPXRRL3Y","GSON4143430901")</f>
        <v>#NAME?</v>
      </c>
      <c r="F3014" s="23" t="e">
        <f ca="1">[1]!BexGetData("DP_1","003N8EMH8GTFRCSWKMPXRRRFI","GSON4143430901")</f>
        <v>#NAME?</v>
      </c>
      <c r="G3014" s="23" t="e">
        <f ca="1">[1]!BexGetData("DP_1","003N8EMH8GTFRCSWKMPXRRXR2","GSON4143430901")</f>
        <v>#NAME?</v>
      </c>
      <c r="H3014" s="23" t="e">
        <f ca="1">[1]!BexGetData("DP_1","003N8EMH8GTFRCSWKMPXRS42M","GSON4143430901")</f>
        <v>#NAME?</v>
      </c>
      <c r="I3014" s="23" t="e">
        <f ca="1">[1]!BexGetData("DP_1","003N8EMH8GTFRCSWKMPXRSAE6","GSON4143430901")</f>
        <v>#NAME?</v>
      </c>
      <c r="J3014" s="24" t="e">
        <f ca="1">[1]!BexGetData("DP_1","003N8EMH8GTFRCSWKMPXRSGPQ","GSON4143430901")</f>
        <v>#NAME?</v>
      </c>
      <c r="K3014" s="23" t="e">
        <f ca="1">[1]!BexGetData("DP_1","003N8EMH8GTFRIVNUPY288VJH","GSON4143430901")</f>
        <v>#NAME?</v>
      </c>
      <c r="L3014" s="23" t="e">
        <f ca="1">[1]!BexGetData("DP_1","003N8EMH8GTFRIVNUPY2891V1","GSON4143430901")</f>
        <v>#NAME?</v>
      </c>
      <c r="M3014" s="28" t="e">
        <f ca="1">[1]!BexGetData("DP_1","003N8EMH8GTFRIVOG7KG9IQXA","GSON4143430901")</f>
        <v>#NAME?</v>
      </c>
      <c r="N3014" s="23" t="e">
        <f ca="1">[1]!BexGetData("DP_1","003N8EMH8GTFRIVOG7KG9IX8U","GSON4143430901")</f>
        <v>#NAME?</v>
      </c>
      <c r="O3014" s="28" t="e">
        <f ca="1">[1]!BexGetData("DP_1","003N8EMH8GTFRIVOG7KG9J3KE","GSON4143430901")</f>
        <v>#NAME?</v>
      </c>
      <c r="P3014" s="23" t="e">
        <f ca="1">[1]!BexGetData("DP_1","003N8EMH8GTFRIVOG7KG9J9VY","GSON4143430901")</f>
        <v>#NAME?</v>
      </c>
      <c r="Q3014" s="24" t="e">
        <f ca="1">[1]!BexGetData("DP_1","00O2TNJGODT0G5Z4TTKYMM5MT","GSON4143430901")</f>
        <v>#NAME?</v>
      </c>
      <c r="R3014" s="23" t="e">
        <f ca="1">[1]!BexGetData("DP_1","00O2TNJGODT0G5Z4TTKYMMBYD","GSON4143430901")</f>
        <v>#NAME?</v>
      </c>
      <c r="S3014" s="23" t="e">
        <f ca="1">[1]!BexGetData("DP_1","00O2TNJGODT0G5Z4TTKYMMI9X","GSON4143430901")</f>
        <v>#NAME?</v>
      </c>
      <c r="T3014" s="23" t="e">
        <f ca="1">[1]!BexGetData("DP_1","00O2TNJGODT0G5Z4TTKYMMOLH","GSON4143430901")</f>
        <v>#NAME?</v>
      </c>
      <c r="U3014" s="28" t="e">
        <f ca="1">[1]!BexGetData("DP_1","00O2TNJGODT0G5Z4TTKYMMUX1","GSON4143430901")</f>
        <v>#NAME?</v>
      </c>
      <c r="V3014" s="23" t="e">
        <f ca="1">[1]!BexGetData("DP_1","00O2TNJGODT0G5Z4TTKYMN18L","GSON4143430901")</f>
        <v>#NAME?</v>
      </c>
      <c r="W3014" s="28" t="e">
        <f ca="1">[1]!BexGetData("DP_1","00O2TNJGODT0G5Z4TTKYMN7K5","GSON4143430901")</f>
        <v>#NAME?</v>
      </c>
    </row>
    <row r="3015" spans="1:23" x14ac:dyDescent="0.2">
      <c r="A3015" s="36" t="s">
        <v>1496</v>
      </c>
      <c r="B3015" s="27" t="s">
        <v>701</v>
      </c>
      <c r="C3015" s="23" t="e">
        <f ca="1">[1]!BexGetData("DP_1","003N8EMH8GTFRCSWKMPXRR8GU","GSON4143430902")</f>
        <v>#NAME?</v>
      </c>
      <c r="D3015" s="23" t="e">
        <f ca="1">[1]!BexGetData("DP_1","003N8EMH8GTFRCSWKMPXRRESE","GSON4143430902")</f>
        <v>#NAME?</v>
      </c>
      <c r="E3015" s="23" t="e">
        <f ca="1">[1]!BexGetData("DP_1","003N8EMH8GTFRCSWKMPXRRL3Y","GSON4143430902")</f>
        <v>#NAME?</v>
      </c>
      <c r="F3015" s="23" t="e">
        <f ca="1">[1]!BexGetData("DP_1","003N8EMH8GTFRCSWKMPXRRRFI","GSON4143430902")</f>
        <v>#NAME?</v>
      </c>
      <c r="G3015" s="23" t="e">
        <f ca="1">[1]!BexGetData("DP_1","003N8EMH8GTFRCSWKMPXRRXR2","GSON4143430902")</f>
        <v>#NAME?</v>
      </c>
      <c r="H3015" s="23" t="e">
        <f ca="1">[1]!BexGetData("DP_1","003N8EMH8GTFRCSWKMPXRS42M","GSON4143430902")</f>
        <v>#NAME?</v>
      </c>
      <c r="I3015" s="23" t="e">
        <f ca="1">[1]!BexGetData("DP_1","003N8EMH8GTFRCSWKMPXRSAE6","GSON4143430902")</f>
        <v>#NAME?</v>
      </c>
      <c r="J3015" s="24" t="e">
        <f ca="1">[1]!BexGetData("DP_1","003N8EMH8GTFRCSWKMPXRSGPQ","GSON4143430902")</f>
        <v>#NAME?</v>
      </c>
      <c r="K3015" s="23" t="e">
        <f ca="1">[1]!BexGetData("DP_1","003N8EMH8GTFRIVNUPY288VJH","GSON4143430902")</f>
        <v>#NAME?</v>
      </c>
      <c r="L3015" s="23" t="e">
        <f ca="1">[1]!BexGetData("DP_1","003N8EMH8GTFRIVNUPY2891V1","GSON4143430902")</f>
        <v>#NAME?</v>
      </c>
      <c r="M3015" s="23" t="e">
        <f ca="1">[1]!BexGetData("DP_1","003N8EMH8GTFRIVOG7KG9IQXA","GSON4143430902")</f>
        <v>#NAME?</v>
      </c>
      <c r="N3015" s="28" t="e">
        <f ca="1">[1]!BexGetData("DP_1","003N8EMH8GTFRIVOG7KG9IX8U","GSON4143430902")</f>
        <v>#NAME?</v>
      </c>
      <c r="O3015" s="23" t="e">
        <f ca="1">[1]!BexGetData("DP_1","003N8EMH8GTFRIVOG7KG9J3KE","GSON4143430902")</f>
        <v>#NAME?</v>
      </c>
      <c r="P3015" s="28" t="e">
        <f ca="1">[1]!BexGetData("DP_1","003N8EMH8GTFRIVOG7KG9J9VY","GSON4143430902")</f>
        <v>#NAME?</v>
      </c>
      <c r="Q3015" s="24" t="e">
        <f ca="1">[1]!BexGetData("DP_1","00O2TNJGODT0G5Z4TTKYMM5MT","GSON4143430902")</f>
        <v>#NAME?</v>
      </c>
      <c r="R3015" s="23" t="e">
        <f ca="1">[1]!BexGetData("DP_1","00O2TNJGODT0G5Z4TTKYMMBYD","GSON4143430902")</f>
        <v>#NAME?</v>
      </c>
      <c r="S3015" s="23" t="e">
        <f ca="1">[1]!BexGetData("DP_1","00O2TNJGODT0G5Z4TTKYMMI9X","GSON4143430902")</f>
        <v>#NAME?</v>
      </c>
      <c r="T3015" s="23" t="e">
        <f ca="1">[1]!BexGetData("DP_1","00O2TNJGODT0G5Z4TTKYMMOLH","GSON4143430902")</f>
        <v>#NAME?</v>
      </c>
      <c r="U3015" s="28" t="e">
        <f ca="1">[1]!BexGetData("DP_1","00O2TNJGODT0G5Z4TTKYMMUX1","GSON4143430902")</f>
        <v>#NAME?</v>
      </c>
      <c r="V3015" s="23" t="e">
        <f ca="1">[1]!BexGetData("DP_1","00O2TNJGODT0G5Z4TTKYMN18L","GSON4143430902")</f>
        <v>#NAME?</v>
      </c>
      <c r="W3015" s="28" t="e">
        <f ca="1">[1]!BexGetData("DP_1","00O2TNJGODT0G5Z4TTKYMN7K5","GSON4143430902")</f>
        <v>#NAME?</v>
      </c>
    </row>
    <row r="3016" spans="1:23" x14ac:dyDescent="0.2">
      <c r="A3016" s="36" t="s">
        <v>6369</v>
      </c>
      <c r="B3016" s="27" t="s">
        <v>6370</v>
      </c>
      <c r="C3016" s="23" t="e">
        <f ca="1">[1]!BexGetData("DP_1","003N8EMH8GTFRCSWKMPXRR8GU","GSON4143430903")</f>
        <v>#NAME?</v>
      </c>
      <c r="D3016" s="23" t="e">
        <f ca="1">[1]!BexGetData("DP_1","003N8EMH8GTFRCSWKMPXRRESE","GSON4143430903")</f>
        <v>#NAME?</v>
      </c>
      <c r="E3016" s="23" t="e">
        <f ca="1">[1]!BexGetData("DP_1","003N8EMH8GTFRCSWKMPXRRL3Y","GSON4143430903")</f>
        <v>#NAME?</v>
      </c>
      <c r="F3016" s="23" t="e">
        <f ca="1">[1]!BexGetData("DP_1","003N8EMH8GTFRCSWKMPXRRRFI","GSON4143430903")</f>
        <v>#NAME?</v>
      </c>
      <c r="G3016" s="23" t="e">
        <f ca="1">[1]!BexGetData("DP_1","003N8EMH8GTFRCSWKMPXRRXR2","GSON4143430903")</f>
        <v>#NAME?</v>
      </c>
      <c r="H3016" s="23" t="e">
        <f ca="1">[1]!BexGetData("DP_1","003N8EMH8GTFRCSWKMPXRS42M","GSON4143430903")</f>
        <v>#NAME?</v>
      </c>
      <c r="I3016" s="23" t="e">
        <f ca="1">[1]!BexGetData("DP_1","003N8EMH8GTFRCSWKMPXRSAE6","GSON4143430903")</f>
        <v>#NAME?</v>
      </c>
      <c r="J3016" s="24" t="e">
        <f ca="1">[1]!BexGetData("DP_1","003N8EMH8GTFRCSWKMPXRSGPQ","GSON4143430903")</f>
        <v>#NAME?</v>
      </c>
      <c r="K3016" s="23" t="e">
        <f ca="1">[1]!BexGetData("DP_1","003N8EMH8GTFRIVNUPY288VJH","GSON4143430903")</f>
        <v>#NAME?</v>
      </c>
      <c r="L3016" s="23" t="e">
        <f ca="1">[1]!BexGetData("DP_1","003N8EMH8GTFRIVNUPY2891V1","GSON4143430903")</f>
        <v>#NAME?</v>
      </c>
      <c r="M3016" s="23" t="e">
        <f ca="1">[1]!BexGetData("DP_1","003N8EMH8GTFRIVOG7KG9IQXA","GSON4143430903")</f>
        <v>#NAME?</v>
      </c>
      <c r="N3016" s="28" t="e">
        <f ca="1">[1]!BexGetData("DP_1","003N8EMH8GTFRIVOG7KG9IX8U","GSON4143430903")</f>
        <v>#NAME?</v>
      </c>
      <c r="O3016" s="23" t="e">
        <f ca="1">[1]!BexGetData("DP_1","003N8EMH8GTFRIVOG7KG9J3KE","GSON4143430903")</f>
        <v>#NAME?</v>
      </c>
      <c r="P3016" s="28" t="e">
        <f ca="1">[1]!BexGetData("DP_1","003N8EMH8GTFRIVOG7KG9J9VY","GSON4143430903")</f>
        <v>#NAME?</v>
      </c>
      <c r="Q3016" s="24" t="e">
        <f ca="1">[1]!BexGetData("DP_1","00O2TNJGODT0G5Z4TTKYMM5MT","GSON4143430903")</f>
        <v>#NAME?</v>
      </c>
      <c r="R3016" s="23" t="e">
        <f ca="1">[1]!BexGetData("DP_1","00O2TNJGODT0G5Z4TTKYMMBYD","GSON4143430903")</f>
        <v>#NAME?</v>
      </c>
      <c r="S3016" s="23" t="e">
        <f ca="1">[1]!BexGetData("DP_1","00O2TNJGODT0G5Z4TTKYMMI9X","GSON4143430903")</f>
        <v>#NAME?</v>
      </c>
      <c r="T3016" s="23" t="e">
        <f ca="1">[1]!BexGetData("DP_1","00O2TNJGODT0G5Z4TTKYMMOLH","GSON4143430903")</f>
        <v>#NAME?</v>
      </c>
      <c r="U3016" s="28" t="e">
        <f ca="1">[1]!BexGetData("DP_1","00O2TNJGODT0G5Z4TTKYMMUX1","GSON4143430903")</f>
        <v>#NAME?</v>
      </c>
      <c r="V3016" s="23" t="e">
        <f ca="1">[1]!BexGetData("DP_1","00O2TNJGODT0G5Z4TTKYMN18L","GSON4143430903")</f>
        <v>#NAME?</v>
      </c>
      <c r="W3016" s="28" t="e">
        <f ca="1">[1]!BexGetData("DP_1","00O2TNJGODT0G5Z4TTKYMN7K5","GSON4143430903")</f>
        <v>#NAME?</v>
      </c>
    </row>
    <row r="3017" spans="1:23" x14ac:dyDescent="0.2">
      <c r="A3017" s="36" t="s">
        <v>1497</v>
      </c>
      <c r="B3017" s="27" t="s">
        <v>702</v>
      </c>
      <c r="C3017" s="23" t="e">
        <f ca="1">[1]!BexGetData("DP_1","003N8EMH8GTFRCSWKMPXRR8GU","GSON4143430904")</f>
        <v>#NAME?</v>
      </c>
      <c r="D3017" s="23" t="e">
        <f ca="1">[1]!BexGetData("DP_1","003N8EMH8GTFRCSWKMPXRRESE","GSON4143430904")</f>
        <v>#NAME?</v>
      </c>
      <c r="E3017" s="23" t="e">
        <f ca="1">[1]!BexGetData("DP_1","003N8EMH8GTFRCSWKMPXRRL3Y","GSON4143430904")</f>
        <v>#NAME?</v>
      </c>
      <c r="F3017" s="23" t="e">
        <f ca="1">[1]!BexGetData("DP_1","003N8EMH8GTFRCSWKMPXRRRFI","GSON4143430904")</f>
        <v>#NAME?</v>
      </c>
      <c r="G3017" s="23" t="e">
        <f ca="1">[1]!BexGetData("DP_1","003N8EMH8GTFRCSWKMPXRRXR2","GSON4143430904")</f>
        <v>#NAME?</v>
      </c>
      <c r="H3017" s="23" t="e">
        <f ca="1">[1]!BexGetData("DP_1","003N8EMH8GTFRCSWKMPXRS42M","GSON4143430904")</f>
        <v>#NAME?</v>
      </c>
      <c r="I3017" s="23" t="e">
        <f ca="1">[1]!BexGetData("DP_1","003N8EMH8GTFRCSWKMPXRSAE6","GSON4143430904")</f>
        <v>#NAME?</v>
      </c>
      <c r="J3017" s="24" t="e">
        <f ca="1">[1]!BexGetData("DP_1","003N8EMH8GTFRCSWKMPXRSGPQ","GSON4143430904")</f>
        <v>#NAME?</v>
      </c>
      <c r="K3017" s="23" t="e">
        <f ca="1">[1]!BexGetData("DP_1","003N8EMH8GTFRIVNUPY288VJH","GSON4143430904")</f>
        <v>#NAME?</v>
      </c>
      <c r="L3017" s="23" t="e">
        <f ca="1">[1]!BexGetData("DP_1","003N8EMH8GTFRIVNUPY2891V1","GSON4143430904")</f>
        <v>#NAME?</v>
      </c>
      <c r="M3017" s="23" t="e">
        <f ca="1">[1]!BexGetData("DP_1","003N8EMH8GTFRIVOG7KG9IQXA","GSON4143430904")</f>
        <v>#NAME?</v>
      </c>
      <c r="N3017" s="28" t="e">
        <f ca="1">[1]!BexGetData("DP_1","003N8EMH8GTFRIVOG7KG9IX8U","GSON4143430904")</f>
        <v>#NAME?</v>
      </c>
      <c r="O3017" s="23" t="e">
        <f ca="1">[1]!BexGetData("DP_1","003N8EMH8GTFRIVOG7KG9J3KE","GSON4143430904")</f>
        <v>#NAME?</v>
      </c>
      <c r="P3017" s="28" t="e">
        <f ca="1">[1]!BexGetData("DP_1","003N8EMH8GTFRIVOG7KG9J9VY","GSON4143430904")</f>
        <v>#NAME?</v>
      </c>
      <c r="Q3017" s="24" t="e">
        <f ca="1">[1]!BexGetData("DP_1","00O2TNJGODT0G5Z4TTKYMM5MT","GSON4143430904")</f>
        <v>#NAME?</v>
      </c>
      <c r="R3017" s="23" t="e">
        <f ca="1">[1]!BexGetData("DP_1","00O2TNJGODT0G5Z4TTKYMMBYD","GSON4143430904")</f>
        <v>#NAME?</v>
      </c>
      <c r="S3017" s="23" t="e">
        <f ca="1">[1]!BexGetData("DP_1","00O2TNJGODT0G5Z4TTKYMMI9X","GSON4143430904")</f>
        <v>#NAME?</v>
      </c>
      <c r="T3017" s="23" t="e">
        <f ca="1">[1]!BexGetData("DP_1","00O2TNJGODT0G5Z4TTKYMMOLH","GSON4143430904")</f>
        <v>#NAME?</v>
      </c>
      <c r="U3017" s="28" t="e">
        <f ca="1">[1]!BexGetData("DP_1","00O2TNJGODT0G5Z4TTKYMMUX1","GSON4143430904")</f>
        <v>#NAME?</v>
      </c>
      <c r="V3017" s="23" t="e">
        <f ca="1">[1]!BexGetData("DP_1","00O2TNJGODT0G5Z4TTKYMN18L","GSON4143430904")</f>
        <v>#NAME?</v>
      </c>
      <c r="W3017" s="28" t="e">
        <f ca="1">[1]!BexGetData("DP_1","00O2TNJGODT0G5Z4TTKYMN7K5","GSON4143430904")</f>
        <v>#NAME?</v>
      </c>
    </row>
    <row r="3018" spans="1:23" x14ac:dyDescent="0.2">
      <c r="A3018" s="36" t="s">
        <v>636</v>
      </c>
      <c r="B3018" s="27" t="s">
        <v>637</v>
      </c>
      <c r="C3018" s="23" t="e">
        <f ca="1">[1]!BexGetData("DP_1","003N8EMH8GTFRCSWKMPXRR8GU","GSON4143431001")</f>
        <v>#NAME?</v>
      </c>
      <c r="D3018" s="23" t="e">
        <f ca="1">[1]!BexGetData("DP_1","003N8EMH8GTFRCSWKMPXRRESE","GSON4143431001")</f>
        <v>#NAME?</v>
      </c>
      <c r="E3018" s="23" t="e">
        <f ca="1">[1]!BexGetData("DP_1","003N8EMH8GTFRCSWKMPXRRL3Y","GSON4143431001")</f>
        <v>#NAME?</v>
      </c>
      <c r="F3018" s="23" t="e">
        <f ca="1">[1]!BexGetData("DP_1","003N8EMH8GTFRCSWKMPXRRRFI","GSON4143431001")</f>
        <v>#NAME?</v>
      </c>
      <c r="G3018" s="23" t="e">
        <f ca="1">[1]!BexGetData("DP_1","003N8EMH8GTFRCSWKMPXRRXR2","GSON4143431001")</f>
        <v>#NAME?</v>
      </c>
      <c r="H3018" s="23" t="e">
        <f ca="1">[1]!BexGetData("DP_1","003N8EMH8GTFRCSWKMPXRS42M","GSON4143431001")</f>
        <v>#NAME?</v>
      </c>
      <c r="I3018" s="23" t="e">
        <f ca="1">[1]!BexGetData("DP_1","003N8EMH8GTFRCSWKMPXRSAE6","GSON4143431001")</f>
        <v>#NAME?</v>
      </c>
      <c r="J3018" s="24" t="e">
        <f ca="1">[1]!BexGetData("DP_1","003N8EMH8GTFRCSWKMPXRSGPQ","GSON4143431001")</f>
        <v>#NAME?</v>
      </c>
      <c r="K3018" s="23" t="e">
        <f ca="1">[1]!BexGetData("DP_1","003N8EMH8GTFRIVNUPY288VJH","GSON4143431001")</f>
        <v>#NAME?</v>
      </c>
      <c r="L3018" s="23" t="e">
        <f ca="1">[1]!BexGetData("DP_1","003N8EMH8GTFRIVNUPY2891V1","GSON4143431001")</f>
        <v>#NAME?</v>
      </c>
      <c r="M3018" s="23" t="e">
        <f ca="1">[1]!BexGetData("DP_1","003N8EMH8GTFRIVOG7KG9IQXA","GSON4143431001")</f>
        <v>#NAME?</v>
      </c>
      <c r="N3018" s="28" t="e">
        <f ca="1">[1]!BexGetData("DP_1","003N8EMH8GTFRIVOG7KG9IX8U","GSON4143431001")</f>
        <v>#NAME?</v>
      </c>
      <c r="O3018" s="23" t="e">
        <f ca="1">[1]!BexGetData("DP_1","003N8EMH8GTFRIVOG7KG9J3KE","GSON4143431001")</f>
        <v>#NAME?</v>
      </c>
      <c r="P3018" s="28" t="e">
        <f ca="1">[1]!BexGetData("DP_1","003N8EMH8GTFRIVOG7KG9J9VY","GSON4143431001")</f>
        <v>#NAME?</v>
      </c>
      <c r="Q3018" s="24" t="e">
        <f ca="1">[1]!BexGetData("DP_1","00O2TNJGODT0G5Z4TTKYMM5MT","GSON4143431001")</f>
        <v>#NAME?</v>
      </c>
      <c r="R3018" s="23" t="e">
        <f ca="1">[1]!BexGetData("DP_1","00O2TNJGODT0G5Z4TTKYMMBYD","GSON4143431001")</f>
        <v>#NAME?</v>
      </c>
      <c r="S3018" s="23" t="e">
        <f ca="1">[1]!BexGetData("DP_1","00O2TNJGODT0G5Z4TTKYMMI9X","GSON4143431001")</f>
        <v>#NAME?</v>
      </c>
      <c r="T3018" s="23" t="e">
        <f ca="1">[1]!BexGetData("DP_1","00O2TNJGODT0G5Z4TTKYMMOLH","GSON4143431001")</f>
        <v>#NAME?</v>
      </c>
      <c r="U3018" s="28" t="e">
        <f ca="1">[1]!BexGetData("DP_1","00O2TNJGODT0G5Z4TTKYMMUX1","GSON4143431001")</f>
        <v>#NAME?</v>
      </c>
      <c r="V3018" s="23" t="e">
        <f ca="1">[1]!BexGetData("DP_1","00O2TNJGODT0G5Z4TTKYMN18L","GSON4143431001")</f>
        <v>#NAME?</v>
      </c>
      <c r="W3018" s="28" t="e">
        <f ca="1">[1]!BexGetData("DP_1","00O2TNJGODT0G5Z4TTKYMN7K5","GSON4143431001")</f>
        <v>#NAME?</v>
      </c>
    </row>
    <row r="3019" spans="1:23" x14ac:dyDescent="0.2">
      <c r="A3019" s="36" t="s">
        <v>703</v>
      </c>
      <c r="B3019" s="27" t="s">
        <v>704</v>
      </c>
      <c r="C3019" s="23" t="e">
        <f ca="1">[1]!BexGetData("DP_1","003N8EMH8GTFRCSWKMPXRR8GU","GSON4143431002")</f>
        <v>#NAME?</v>
      </c>
      <c r="D3019" s="23" t="e">
        <f ca="1">[1]!BexGetData("DP_1","003N8EMH8GTFRCSWKMPXRRESE","GSON4143431002")</f>
        <v>#NAME?</v>
      </c>
      <c r="E3019" s="23" t="e">
        <f ca="1">[1]!BexGetData("DP_1","003N8EMH8GTFRCSWKMPXRRL3Y","GSON4143431002")</f>
        <v>#NAME?</v>
      </c>
      <c r="F3019" s="23" t="e">
        <f ca="1">[1]!BexGetData("DP_1","003N8EMH8GTFRCSWKMPXRRRFI","GSON4143431002")</f>
        <v>#NAME?</v>
      </c>
      <c r="G3019" s="23" t="e">
        <f ca="1">[1]!BexGetData("DP_1","003N8EMH8GTFRCSWKMPXRRXR2","GSON4143431002")</f>
        <v>#NAME?</v>
      </c>
      <c r="H3019" s="23" t="e">
        <f ca="1">[1]!BexGetData("DP_1","003N8EMH8GTFRCSWKMPXRS42M","GSON4143431002")</f>
        <v>#NAME?</v>
      </c>
      <c r="I3019" s="23" t="e">
        <f ca="1">[1]!BexGetData("DP_1","003N8EMH8GTFRCSWKMPXRSAE6","GSON4143431002")</f>
        <v>#NAME?</v>
      </c>
      <c r="J3019" s="24" t="e">
        <f ca="1">[1]!BexGetData("DP_1","003N8EMH8GTFRCSWKMPXRSGPQ","GSON4143431002")</f>
        <v>#NAME?</v>
      </c>
      <c r="K3019" s="23" t="e">
        <f ca="1">[1]!BexGetData("DP_1","003N8EMH8GTFRIVNUPY288VJH","GSON4143431002")</f>
        <v>#NAME?</v>
      </c>
      <c r="L3019" s="23" t="e">
        <f ca="1">[1]!BexGetData("DP_1","003N8EMH8GTFRIVNUPY2891V1","GSON4143431002")</f>
        <v>#NAME?</v>
      </c>
      <c r="M3019" s="23" t="e">
        <f ca="1">[1]!BexGetData("DP_1","003N8EMH8GTFRIVOG7KG9IQXA","GSON4143431002")</f>
        <v>#NAME?</v>
      </c>
      <c r="N3019" s="28" t="e">
        <f ca="1">[1]!BexGetData("DP_1","003N8EMH8GTFRIVOG7KG9IX8U","GSON4143431002")</f>
        <v>#NAME?</v>
      </c>
      <c r="O3019" s="23" t="e">
        <f ca="1">[1]!BexGetData("DP_1","003N8EMH8GTFRIVOG7KG9J3KE","GSON4143431002")</f>
        <v>#NAME?</v>
      </c>
      <c r="P3019" s="28" t="e">
        <f ca="1">[1]!BexGetData("DP_1","003N8EMH8GTFRIVOG7KG9J9VY","GSON4143431002")</f>
        <v>#NAME?</v>
      </c>
      <c r="Q3019" s="24" t="e">
        <f ca="1">[1]!BexGetData("DP_1","00O2TNJGODT0G5Z4TTKYMM5MT","GSON4143431002")</f>
        <v>#NAME?</v>
      </c>
      <c r="R3019" s="23" t="e">
        <f ca="1">[1]!BexGetData("DP_1","00O2TNJGODT0G5Z4TTKYMMBYD","GSON4143431002")</f>
        <v>#NAME?</v>
      </c>
      <c r="S3019" s="23" t="e">
        <f ca="1">[1]!BexGetData("DP_1","00O2TNJGODT0G5Z4TTKYMMI9X","GSON4143431002")</f>
        <v>#NAME?</v>
      </c>
      <c r="T3019" s="23" t="e">
        <f ca="1">[1]!BexGetData("DP_1","00O2TNJGODT0G5Z4TTKYMMOLH","GSON4143431002")</f>
        <v>#NAME?</v>
      </c>
      <c r="U3019" s="28" t="e">
        <f ca="1">[1]!BexGetData("DP_1","00O2TNJGODT0G5Z4TTKYMMUX1","GSON4143431002")</f>
        <v>#NAME?</v>
      </c>
      <c r="V3019" s="23" t="e">
        <f ca="1">[1]!BexGetData("DP_1","00O2TNJGODT0G5Z4TTKYMN18L","GSON4143431002")</f>
        <v>#NAME?</v>
      </c>
      <c r="W3019" s="28" t="e">
        <f ca="1">[1]!BexGetData("DP_1","00O2TNJGODT0G5Z4TTKYMN7K5","GSON4143431002")</f>
        <v>#NAME?</v>
      </c>
    </row>
    <row r="3020" spans="1:23" x14ac:dyDescent="0.2">
      <c r="A3020" s="36" t="s">
        <v>1498</v>
      </c>
      <c r="B3020" s="27" t="s">
        <v>552</v>
      </c>
      <c r="C3020" s="23" t="e">
        <f ca="1">[1]!BexGetData("DP_1","003N8EMH8GTFRCSWKMPXRR8GU","GSON4143431101")</f>
        <v>#NAME?</v>
      </c>
      <c r="D3020" s="23" t="e">
        <f ca="1">[1]!BexGetData("DP_1","003N8EMH8GTFRCSWKMPXRRESE","GSON4143431101")</f>
        <v>#NAME?</v>
      </c>
      <c r="E3020" s="23" t="e">
        <f ca="1">[1]!BexGetData("DP_1","003N8EMH8GTFRCSWKMPXRRL3Y","GSON4143431101")</f>
        <v>#NAME?</v>
      </c>
      <c r="F3020" s="23" t="e">
        <f ca="1">[1]!BexGetData("DP_1","003N8EMH8GTFRCSWKMPXRRRFI","GSON4143431101")</f>
        <v>#NAME?</v>
      </c>
      <c r="G3020" s="23" t="e">
        <f ca="1">[1]!BexGetData("DP_1","003N8EMH8GTFRCSWKMPXRRXR2","GSON4143431101")</f>
        <v>#NAME?</v>
      </c>
      <c r="H3020" s="23" t="e">
        <f ca="1">[1]!BexGetData("DP_1","003N8EMH8GTFRCSWKMPXRS42M","GSON4143431101")</f>
        <v>#NAME?</v>
      </c>
      <c r="I3020" s="23" t="e">
        <f ca="1">[1]!BexGetData("DP_1","003N8EMH8GTFRCSWKMPXRSAE6","GSON4143431101")</f>
        <v>#NAME?</v>
      </c>
      <c r="J3020" s="24" t="e">
        <f ca="1">[1]!BexGetData("DP_1","003N8EMH8GTFRCSWKMPXRSGPQ","GSON4143431101")</f>
        <v>#NAME?</v>
      </c>
      <c r="K3020" s="23" t="e">
        <f ca="1">[1]!BexGetData("DP_1","003N8EMH8GTFRIVNUPY288VJH","GSON4143431101")</f>
        <v>#NAME?</v>
      </c>
      <c r="L3020" s="23" t="e">
        <f ca="1">[1]!BexGetData("DP_1","003N8EMH8GTFRIVNUPY2891V1","GSON4143431101")</f>
        <v>#NAME?</v>
      </c>
      <c r="M3020" s="23" t="e">
        <f ca="1">[1]!BexGetData("DP_1","003N8EMH8GTFRIVOG7KG9IQXA","GSON4143431101")</f>
        <v>#NAME?</v>
      </c>
      <c r="N3020" s="28" t="e">
        <f ca="1">[1]!BexGetData("DP_1","003N8EMH8GTFRIVOG7KG9IX8U","GSON4143431101")</f>
        <v>#NAME?</v>
      </c>
      <c r="O3020" s="23" t="e">
        <f ca="1">[1]!BexGetData("DP_1","003N8EMH8GTFRIVOG7KG9J3KE","GSON4143431101")</f>
        <v>#NAME?</v>
      </c>
      <c r="P3020" s="28" t="e">
        <f ca="1">[1]!BexGetData("DP_1","003N8EMH8GTFRIVOG7KG9J9VY","GSON4143431101")</f>
        <v>#NAME?</v>
      </c>
      <c r="Q3020" s="24" t="e">
        <f ca="1">[1]!BexGetData("DP_1","00O2TNJGODT0G5Z4TTKYMM5MT","GSON4143431101")</f>
        <v>#NAME?</v>
      </c>
      <c r="R3020" s="23" t="e">
        <f ca="1">[1]!BexGetData("DP_1","00O2TNJGODT0G5Z4TTKYMMBYD","GSON4143431101")</f>
        <v>#NAME?</v>
      </c>
      <c r="S3020" s="23" t="e">
        <f ca="1">[1]!BexGetData("DP_1","00O2TNJGODT0G5Z4TTKYMMI9X","GSON4143431101")</f>
        <v>#NAME?</v>
      </c>
      <c r="T3020" s="23" t="e">
        <f ca="1">[1]!BexGetData("DP_1","00O2TNJGODT0G5Z4TTKYMMOLH","GSON4143431101")</f>
        <v>#NAME?</v>
      </c>
      <c r="U3020" s="28" t="e">
        <f ca="1">[1]!BexGetData("DP_1","00O2TNJGODT0G5Z4TTKYMMUX1","GSON4143431101")</f>
        <v>#NAME?</v>
      </c>
      <c r="V3020" s="23" t="e">
        <f ca="1">[1]!BexGetData("DP_1","00O2TNJGODT0G5Z4TTKYMN18L","GSON4143431101")</f>
        <v>#NAME?</v>
      </c>
      <c r="W3020" s="28" t="e">
        <f ca="1">[1]!BexGetData("DP_1","00O2TNJGODT0G5Z4TTKYMN7K5","GSON4143431101")</f>
        <v>#NAME?</v>
      </c>
    </row>
    <row r="3021" spans="1:23" x14ac:dyDescent="0.2">
      <c r="A3021" s="36" t="s">
        <v>705</v>
      </c>
      <c r="B3021" s="27" t="s">
        <v>706</v>
      </c>
      <c r="C3021" s="23" t="e">
        <f ca="1">[1]!BexGetData("DP_1","003N8EMH8GTFRCSWKMPXRR8GU","GSON4143431201")</f>
        <v>#NAME?</v>
      </c>
      <c r="D3021" s="23" t="e">
        <f ca="1">[1]!BexGetData("DP_1","003N8EMH8GTFRCSWKMPXRRESE","GSON4143431201")</f>
        <v>#NAME?</v>
      </c>
      <c r="E3021" s="23" t="e">
        <f ca="1">[1]!BexGetData("DP_1","003N8EMH8GTFRCSWKMPXRRL3Y","GSON4143431201")</f>
        <v>#NAME?</v>
      </c>
      <c r="F3021" s="23" t="e">
        <f ca="1">[1]!BexGetData("DP_1","003N8EMH8GTFRCSWKMPXRRRFI","GSON4143431201")</f>
        <v>#NAME?</v>
      </c>
      <c r="G3021" s="23" t="e">
        <f ca="1">[1]!BexGetData("DP_1","003N8EMH8GTFRCSWKMPXRRXR2","GSON4143431201")</f>
        <v>#NAME?</v>
      </c>
      <c r="H3021" s="23" t="e">
        <f ca="1">[1]!BexGetData("DP_1","003N8EMH8GTFRCSWKMPXRS42M","GSON4143431201")</f>
        <v>#NAME?</v>
      </c>
      <c r="I3021" s="23" t="e">
        <f ca="1">[1]!BexGetData("DP_1","003N8EMH8GTFRCSWKMPXRSAE6","GSON4143431201")</f>
        <v>#NAME?</v>
      </c>
      <c r="J3021" s="24" t="e">
        <f ca="1">[1]!BexGetData("DP_1","003N8EMH8GTFRCSWKMPXRSGPQ","GSON4143431201")</f>
        <v>#NAME?</v>
      </c>
      <c r="K3021" s="23" t="e">
        <f ca="1">[1]!BexGetData("DP_1","003N8EMH8GTFRIVNUPY288VJH","GSON4143431201")</f>
        <v>#NAME?</v>
      </c>
      <c r="L3021" s="23" t="e">
        <f ca="1">[1]!BexGetData("DP_1","003N8EMH8GTFRIVNUPY2891V1","GSON4143431201")</f>
        <v>#NAME?</v>
      </c>
      <c r="M3021" s="28" t="e">
        <f ca="1">[1]!BexGetData("DP_1","003N8EMH8GTFRIVOG7KG9IQXA","GSON4143431201")</f>
        <v>#NAME?</v>
      </c>
      <c r="N3021" s="23" t="e">
        <f ca="1">[1]!BexGetData("DP_1","003N8EMH8GTFRIVOG7KG9IX8U","GSON4143431201")</f>
        <v>#NAME?</v>
      </c>
      <c r="O3021" s="28" t="e">
        <f ca="1">[1]!BexGetData("DP_1","003N8EMH8GTFRIVOG7KG9J3KE","GSON4143431201")</f>
        <v>#NAME?</v>
      </c>
      <c r="P3021" s="23" t="e">
        <f ca="1">[1]!BexGetData("DP_1","003N8EMH8GTFRIVOG7KG9J9VY","GSON4143431201")</f>
        <v>#NAME?</v>
      </c>
      <c r="Q3021" s="24" t="e">
        <f ca="1">[1]!BexGetData("DP_1","00O2TNJGODT0G5Z4TTKYMM5MT","GSON4143431201")</f>
        <v>#NAME?</v>
      </c>
      <c r="R3021" s="23" t="e">
        <f ca="1">[1]!BexGetData("DP_1","00O2TNJGODT0G5Z4TTKYMMBYD","GSON4143431201")</f>
        <v>#NAME?</v>
      </c>
      <c r="S3021" s="23" t="e">
        <f ca="1">[1]!BexGetData("DP_1","00O2TNJGODT0G5Z4TTKYMMI9X","GSON4143431201")</f>
        <v>#NAME?</v>
      </c>
      <c r="T3021" s="23" t="e">
        <f ca="1">[1]!BexGetData("DP_1","00O2TNJGODT0G5Z4TTKYMMOLH","GSON4143431201")</f>
        <v>#NAME?</v>
      </c>
      <c r="U3021" s="28" t="e">
        <f ca="1">[1]!BexGetData("DP_1","00O2TNJGODT0G5Z4TTKYMMUX1","GSON4143431201")</f>
        <v>#NAME?</v>
      </c>
      <c r="V3021" s="23" t="e">
        <f ca="1">[1]!BexGetData("DP_1","00O2TNJGODT0G5Z4TTKYMN18L","GSON4143431201")</f>
        <v>#NAME?</v>
      </c>
      <c r="W3021" s="28" t="e">
        <f ca="1">[1]!BexGetData("DP_1","00O2TNJGODT0G5Z4TTKYMN7K5","GSON4143431201")</f>
        <v>#NAME?</v>
      </c>
    </row>
    <row r="3022" spans="1:23" x14ac:dyDescent="0.2">
      <c r="A3022" s="36" t="s">
        <v>553</v>
      </c>
      <c r="B3022" s="27" t="s">
        <v>554</v>
      </c>
      <c r="C3022" s="23" t="e">
        <f ca="1">[1]!BexGetData("DP_1","003N8EMH8GTFRCSWKMPXRR8GU","GSON4143431203")</f>
        <v>#NAME?</v>
      </c>
      <c r="D3022" s="23" t="e">
        <f ca="1">[1]!BexGetData("DP_1","003N8EMH8GTFRCSWKMPXRRESE","GSON4143431203")</f>
        <v>#NAME?</v>
      </c>
      <c r="E3022" s="23" t="e">
        <f ca="1">[1]!BexGetData("DP_1","003N8EMH8GTFRCSWKMPXRRL3Y","GSON4143431203")</f>
        <v>#NAME?</v>
      </c>
      <c r="F3022" s="23" t="e">
        <f ca="1">[1]!BexGetData("DP_1","003N8EMH8GTFRCSWKMPXRRRFI","GSON4143431203")</f>
        <v>#NAME?</v>
      </c>
      <c r="G3022" s="23" t="e">
        <f ca="1">[1]!BexGetData("DP_1","003N8EMH8GTFRCSWKMPXRRXR2","GSON4143431203")</f>
        <v>#NAME?</v>
      </c>
      <c r="H3022" s="23" t="e">
        <f ca="1">[1]!BexGetData("DP_1","003N8EMH8GTFRCSWKMPXRS42M","GSON4143431203")</f>
        <v>#NAME?</v>
      </c>
      <c r="I3022" s="23" t="e">
        <f ca="1">[1]!BexGetData("DP_1","003N8EMH8GTFRCSWKMPXRSAE6","GSON4143431203")</f>
        <v>#NAME?</v>
      </c>
      <c r="J3022" s="24" t="e">
        <f ca="1">[1]!BexGetData("DP_1","003N8EMH8GTFRCSWKMPXRSGPQ","GSON4143431203")</f>
        <v>#NAME?</v>
      </c>
      <c r="K3022" s="23" t="e">
        <f ca="1">[1]!BexGetData("DP_1","003N8EMH8GTFRIVNUPY288VJH","GSON4143431203")</f>
        <v>#NAME?</v>
      </c>
      <c r="L3022" s="23" t="e">
        <f ca="1">[1]!BexGetData("DP_1","003N8EMH8GTFRIVNUPY2891V1","GSON4143431203")</f>
        <v>#NAME?</v>
      </c>
      <c r="M3022" s="23" t="e">
        <f ca="1">[1]!BexGetData("DP_1","003N8EMH8GTFRIVOG7KG9IQXA","GSON4143431203")</f>
        <v>#NAME?</v>
      </c>
      <c r="N3022" s="28" t="e">
        <f ca="1">[1]!BexGetData("DP_1","003N8EMH8GTFRIVOG7KG9IX8U","GSON4143431203")</f>
        <v>#NAME?</v>
      </c>
      <c r="O3022" s="23" t="e">
        <f ca="1">[1]!BexGetData("DP_1","003N8EMH8GTFRIVOG7KG9J3KE","GSON4143431203")</f>
        <v>#NAME?</v>
      </c>
      <c r="P3022" s="28" t="e">
        <f ca="1">[1]!BexGetData("DP_1","003N8EMH8GTFRIVOG7KG9J9VY","GSON4143431203")</f>
        <v>#NAME?</v>
      </c>
      <c r="Q3022" s="24" t="e">
        <f ca="1">[1]!BexGetData("DP_1","00O2TNJGODT0G5Z4TTKYMM5MT","GSON4143431203")</f>
        <v>#NAME?</v>
      </c>
      <c r="R3022" s="23" t="e">
        <f ca="1">[1]!BexGetData("DP_1","00O2TNJGODT0G5Z4TTKYMMBYD","GSON4143431203")</f>
        <v>#NAME?</v>
      </c>
      <c r="S3022" s="23" t="e">
        <f ca="1">[1]!BexGetData("DP_1","00O2TNJGODT0G5Z4TTKYMMI9X","GSON4143431203")</f>
        <v>#NAME?</v>
      </c>
      <c r="T3022" s="23" t="e">
        <f ca="1">[1]!BexGetData("DP_1","00O2TNJGODT0G5Z4TTKYMMOLH","GSON4143431203")</f>
        <v>#NAME?</v>
      </c>
      <c r="U3022" s="28" t="e">
        <f ca="1">[1]!BexGetData("DP_1","00O2TNJGODT0G5Z4TTKYMMUX1","GSON4143431203")</f>
        <v>#NAME?</v>
      </c>
      <c r="V3022" s="23" t="e">
        <f ca="1">[1]!BexGetData("DP_1","00O2TNJGODT0G5Z4TTKYMN18L","GSON4143431203")</f>
        <v>#NAME?</v>
      </c>
      <c r="W3022" s="28" t="e">
        <f ca="1">[1]!BexGetData("DP_1","00O2TNJGODT0G5Z4TTKYMN7K5","GSON4143431203")</f>
        <v>#NAME?</v>
      </c>
    </row>
    <row r="3023" spans="1:23" x14ac:dyDescent="0.2">
      <c r="A3023" s="36" t="s">
        <v>1499</v>
      </c>
      <c r="B3023" s="27" t="s">
        <v>638</v>
      </c>
      <c r="C3023" s="23" t="e">
        <f ca="1">[1]!BexGetData("DP_1","003N8EMH8GTFRCSWKMPXRR8GU","GSON4143431204")</f>
        <v>#NAME?</v>
      </c>
      <c r="D3023" s="23" t="e">
        <f ca="1">[1]!BexGetData("DP_1","003N8EMH8GTFRCSWKMPXRRESE","GSON4143431204")</f>
        <v>#NAME?</v>
      </c>
      <c r="E3023" s="23" t="e">
        <f ca="1">[1]!BexGetData("DP_1","003N8EMH8GTFRCSWKMPXRRL3Y","GSON4143431204")</f>
        <v>#NAME?</v>
      </c>
      <c r="F3023" s="23" t="e">
        <f ca="1">[1]!BexGetData("DP_1","003N8EMH8GTFRCSWKMPXRRRFI","GSON4143431204")</f>
        <v>#NAME?</v>
      </c>
      <c r="G3023" s="23" t="e">
        <f ca="1">[1]!BexGetData("DP_1","003N8EMH8GTFRCSWKMPXRRXR2","GSON4143431204")</f>
        <v>#NAME?</v>
      </c>
      <c r="H3023" s="23" t="e">
        <f ca="1">[1]!BexGetData("DP_1","003N8EMH8GTFRCSWKMPXRS42M","GSON4143431204")</f>
        <v>#NAME?</v>
      </c>
      <c r="I3023" s="23" t="e">
        <f ca="1">[1]!BexGetData("DP_1","003N8EMH8GTFRCSWKMPXRSAE6","GSON4143431204")</f>
        <v>#NAME?</v>
      </c>
      <c r="J3023" s="24" t="e">
        <f ca="1">[1]!BexGetData("DP_1","003N8EMH8GTFRCSWKMPXRSGPQ","GSON4143431204")</f>
        <v>#NAME?</v>
      </c>
      <c r="K3023" s="23" t="e">
        <f ca="1">[1]!BexGetData("DP_1","003N8EMH8GTFRIVNUPY288VJH","GSON4143431204")</f>
        <v>#NAME?</v>
      </c>
      <c r="L3023" s="23" t="e">
        <f ca="1">[1]!BexGetData("DP_1","003N8EMH8GTFRIVNUPY2891V1","GSON4143431204")</f>
        <v>#NAME?</v>
      </c>
      <c r="M3023" s="23" t="e">
        <f ca="1">[1]!BexGetData("DP_1","003N8EMH8GTFRIVOG7KG9IQXA","GSON4143431204")</f>
        <v>#NAME?</v>
      </c>
      <c r="N3023" s="28" t="e">
        <f ca="1">[1]!BexGetData("DP_1","003N8EMH8GTFRIVOG7KG9IX8U","GSON4143431204")</f>
        <v>#NAME?</v>
      </c>
      <c r="O3023" s="23" t="e">
        <f ca="1">[1]!BexGetData("DP_1","003N8EMH8GTFRIVOG7KG9J3KE","GSON4143431204")</f>
        <v>#NAME?</v>
      </c>
      <c r="P3023" s="28" t="e">
        <f ca="1">[1]!BexGetData("DP_1","003N8EMH8GTFRIVOG7KG9J9VY","GSON4143431204")</f>
        <v>#NAME?</v>
      </c>
      <c r="Q3023" s="24" t="e">
        <f ca="1">[1]!BexGetData("DP_1","00O2TNJGODT0G5Z4TTKYMM5MT","GSON4143431204")</f>
        <v>#NAME?</v>
      </c>
      <c r="R3023" s="23" t="e">
        <f ca="1">[1]!BexGetData("DP_1","00O2TNJGODT0G5Z4TTKYMMBYD","GSON4143431204")</f>
        <v>#NAME?</v>
      </c>
      <c r="S3023" s="23" t="e">
        <f ca="1">[1]!BexGetData("DP_1","00O2TNJGODT0G5Z4TTKYMMI9X","GSON4143431204")</f>
        <v>#NAME?</v>
      </c>
      <c r="T3023" s="23" t="e">
        <f ca="1">[1]!BexGetData("DP_1","00O2TNJGODT0G5Z4TTKYMMOLH","GSON4143431204")</f>
        <v>#NAME?</v>
      </c>
      <c r="U3023" s="28" t="e">
        <f ca="1">[1]!BexGetData("DP_1","00O2TNJGODT0G5Z4TTKYMMUX1","GSON4143431204")</f>
        <v>#NAME?</v>
      </c>
      <c r="V3023" s="23" t="e">
        <f ca="1">[1]!BexGetData("DP_1","00O2TNJGODT0G5Z4TTKYMN18L","GSON4143431204")</f>
        <v>#NAME?</v>
      </c>
      <c r="W3023" s="28" t="e">
        <f ca="1">[1]!BexGetData("DP_1","00O2TNJGODT0G5Z4TTKYMN7K5","GSON4143431204")</f>
        <v>#NAME?</v>
      </c>
    </row>
    <row r="3024" spans="1:23" x14ac:dyDescent="0.2">
      <c r="A3024" s="36" t="s">
        <v>1500</v>
      </c>
      <c r="B3024" s="27" t="s">
        <v>555</v>
      </c>
      <c r="C3024" s="23" t="e">
        <f ca="1">[1]!BexGetData("DP_1","003N8EMH8GTFRCSWKMPXRR8GU","GSON4143431205")</f>
        <v>#NAME?</v>
      </c>
      <c r="D3024" s="23" t="e">
        <f ca="1">[1]!BexGetData("DP_1","003N8EMH8GTFRCSWKMPXRRESE","GSON4143431205")</f>
        <v>#NAME?</v>
      </c>
      <c r="E3024" s="23" t="e">
        <f ca="1">[1]!BexGetData("DP_1","003N8EMH8GTFRCSWKMPXRRL3Y","GSON4143431205")</f>
        <v>#NAME?</v>
      </c>
      <c r="F3024" s="23" t="e">
        <f ca="1">[1]!BexGetData("DP_1","003N8EMH8GTFRCSWKMPXRRRFI","GSON4143431205")</f>
        <v>#NAME?</v>
      </c>
      <c r="G3024" s="23" t="e">
        <f ca="1">[1]!BexGetData("DP_1","003N8EMH8GTFRCSWKMPXRRXR2","GSON4143431205")</f>
        <v>#NAME?</v>
      </c>
      <c r="H3024" s="23" t="e">
        <f ca="1">[1]!BexGetData("DP_1","003N8EMH8GTFRCSWKMPXRS42M","GSON4143431205")</f>
        <v>#NAME?</v>
      </c>
      <c r="I3024" s="23" t="e">
        <f ca="1">[1]!BexGetData("DP_1","003N8EMH8GTFRCSWKMPXRSAE6","GSON4143431205")</f>
        <v>#NAME?</v>
      </c>
      <c r="J3024" s="24" t="e">
        <f ca="1">[1]!BexGetData("DP_1","003N8EMH8GTFRCSWKMPXRSGPQ","GSON4143431205")</f>
        <v>#NAME?</v>
      </c>
      <c r="K3024" s="23" t="e">
        <f ca="1">[1]!BexGetData("DP_1","003N8EMH8GTFRIVNUPY288VJH","GSON4143431205")</f>
        <v>#NAME?</v>
      </c>
      <c r="L3024" s="23" t="e">
        <f ca="1">[1]!BexGetData("DP_1","003N8EMH8GTFRIVNUPY2891V1","GSON4143431205")</f>
        <v>#NAME?</v>
      </c>
      <c r="M3024" s="23" t="e">
        <f ca="1">[1]!BexGetData("DP_1","003N8EMH8GTFRIVOG7KG9IQXA","GSON4143431205")</f>
        <v>#NAME?</v>
      </c>
      <c r="N3024" s="28" t="e">
        <f ca="1">[1]!BexGetData("DP_1","003N8EMH8GTFRIVOG7KG9IX8U","GSON4143431205")</f>
        <v>#NAME?</v>
      </c>
      <c r="O3024" s="23" t="e">
        <f ca="1">[1]!BexGetData("DP_1","003N8EMH8GTFRIVOG7KG9J3KE","GSON4143431205")</f>
        <v>#NAME?</v>
      </c>
      <c r="P3024" s="28" t="e">
        <f ca="1">[1]!BexGetData("DP_1","003N8EMH8GTFRIVOG7KG9J9VY","GSON4143431205")</f>
        <v>#NAME?</v>
      </c>
      <c r="Q3024" s="24" t="e">
        <f ca="1">[1]!BexGetData("DP_1","00O2TNJGODT0G5Z4TTKYMM5MT","GSON4143431205")</f>
        <v>#NAME?</v>
      </c>
      <c r="R3024" s="23" t="e">
        <f ca="1">[1]!BexGetData("DP_1","00O2TNJGODT0G5Z4TTKYMMBYD","GSON4143431205")</f>
        <v>#NAME?</v>
      </c>
      <c r="S3024" s="23" t="e">
        <f ca="1">[1]!BexGetData("DP_1","00O2TNJGODT0G5Z4TTKYMMI9X","GSON4143431205")</f>
        <v>#NAME?</v>
      </c>
      <c r="T3024" s="23" t="e">
        <f ca="1">[1]!BexGetData("DP_1","00O2TNJGODT0G5Z4TTKYMMOLH","GSON4143431205")</f>
        <v>#NAME?</v>
      </c>
      <c r="U3024" s="28" t="e">
        <f ca="1">[1]!BexGetData("DP_1","00O2TNJGODT0G5Z4TTKYMMUX1","GSON4143431205")</f>
        <v>#NAME?</v>
      </c>
      <c r="V3024" s="23" t="e">
        <f ca="1">[1]!BexGetData("DP_1","00O2TNJGODT0G5Z4TTKYMN18L","GSON4143431205")</f>
        <v>#NAME?</v>
      </c>
      <c r="W3024" s="28" t="e">
        <f ca="1">[1]!BexGetData("DP_1","00O2TNJGODT0G5Z4TTKYMN7K5","GSON4143431205")</f>
        <v>#NAME?</v>
      </c>
    </row>
    <row r="3025" spans="1:23" x14ac:dyDescent="0.2">
      <c r="A3025" s="36" t="s">
        <v>1501</v>
      </c>
      <c r="B3025" s="27" t="s">
        <v>639</v>
      </c>
      <c r="C3025" s="23" t="e">
        <f ca="1">[1]!BexGetData("DP_1","003N8EMH8GTFRCSWKMPXRR8GU","GSON4143431301")</f>
        <v>#NAME?</v>
      </c>
      <c r="D3025" s="23" t="e">
        <f ca="1">[1]!BexGetData("DP_1","003N8EMH8GTFRCSWKMPXRRESE","GSON4143431301")</f>
        <v>#NAME?</v>
      </c>
      <c r="E3025" s="23" t="e">
        <f ca="1">[1]!BexGetData("DP_1","003N8EMH8GTFRCSWKMPXRRL3Y","GSON4143431301")</f>
        <v>#NAME?</v>
      </c>
      <c r="F3025" s="23" t="e">
        <f ca="1">[1]!BexGetData("DP_1","003N8EMH8GTFRCSWKMPXRRRFI","GSON4143431301")</f>
        <v>#NAME?</v>
      </c>
      <c r="G3025" s="23" t="e">
        <f ca="1">[1]!BexGetData("DP_1","003N8EMH8GTFRCSWKMPXRRXR2","GSON4143431301")</f>
        <v>#NAME?</v>
      </c>
      <c r="H3025" s="23" t="e">
        <f ca="1">[1]!BexGetData("DP_1","003N8EMH8GTFRCSWKMPXRS42M","GSON4143431301")</f>
        <v>#NAME?</v>
      </c>
      <c r="I3025" s="23" t="e">
        <f ca="1">[1]!BexGetData("DP_1","003N8EMH8GTFRCSWKMPXRSAE6","GSON4143431301")</f>
        <v>#NAME?</v>
      </c>
      <c r="J3025" s="24" t="e">
        <f ca="1">[1]!BexGetData("DP_1","003N8EMH8GTFRCSWKMPXRSGPQ","GSON4143431301")</f>
        <v>#NAME?</v>
      </c>
      <c r="K3025" s="23" t="e">
        <f ca="1">[1]!BexGetData("DP_1","003N8EMH8GTFRIVNUPY288VJH","GSON4143431301")</f>
        <v>#NAME?</v>
      </c>
      <c r="L3025" s="23" t="e">
        <f ca="1">[1]!BexGetData("DP_1","003N8EMH8GTFRIVNUPY2891V1","GSON4143431301")</f>
        <v>#NAME?</v>
      </c>
      <c r="M3025" s="23" t="e">
        <f ca="1">[1]!BexGetData("DP_1","003N8EMH8GTFRIVOG7KG9IQXA","GSON4143431301")</f>
        <v>#NAME?</v>
      </c>
      <c r="N3025" s="28" t="e">
        <f ca="1">[1]!BexGetData("DP_1","003N8EMH8GTFRIVOG7KG9IX8U","GSON4143431301")</f>
        <v>#NAME?</v>
      </c>
      <c r="O3025" s="23" t="e">
        <f ca="1">[1]!BexGetData("DP_1","003N8EMH8GTFRIVOG7KG9J3KE","GSON4143431301")</f>
        <v>#NAME?</v>
      </c>
      <c r="P3025" s="28" t="e">
        <f ca="1">[1]!BexGetData("DP_1","003N8EMH8GTFRIVOG7KG9J9VY","GSON4143431301")</f>
        <v>#NAME?</v>
      </c>
      <c r="Q3025" s="24" t="e">
        <f ca="1">[1]!BexGetData("DP_1","00O2TNJGODT0G5Z4TTKYMM5MT","GSON4143431301")</f>
        <v>#NAME?</v>
      </c>
      <c r="R3025" s="23" t="e">
        <f ca="1">[1]!BexGetData("DP_1","00O2TNJGODT0G5Z4TTKYMMBYD","GSON4143431301")</f>
        <v>#NAME?</v>
      </c>
      <c r="S3025" s="23" t="e">
        <f ca="1">[1]!BexGetData("DP_1","00O2TNJGODT0G5Z4TTKYMMI9X","GSON4143431301")</f>
        <v>#NAME?</v>
      </c>
      <c r="T3025" s="23" t="e">
        <f ca="1">[1]!BexGetData("DP_1","00O2TNJGODT0G5Z4TTKYMMOLH","GSON4143431301")</f>
        <v>#NAME?</v>
      </c>
      <c r="U3025" s="28" t="e">
        <f ca="1">[1]!BexGetData("DP_1","00O2TNJGODT0G5Z4TTKYMMUX1","GSON4143431301")</f>
        <v>#NAME?</v>
      </c>
      <c r="V3025" s="23" t="e">
        <f ca="1">[1]!BexGetData("DP_1","00O2TNJGODT0G5Z4TTKYMN18L","GSON4143431301")</f>
        <v>#NAME?</v>
      </c>
      <c r="W3025" s="28" t="e">
        <f ca="1">[1]!BexGetData("DP_1","00O2TNJGODT0G5Z4TTKYMN7K5","GSON4143431301")</f>
        <v>#NAME?</v>
      </c>
    </row>
    <row r="3026" spans="1:23" x14ac:dyDescent="0.2">
      <c r="A3026" s="36" t="s">
        <v>1502</v>
      </c>
      <c r="B3026" s="27" t="s">
        <v>640</v>
      </c>
      <c r="C3026" s="23" t="e">
        <f ca="1">[1]!BexGetData("DP_1","003N8EMH8GTFRCSWKMPXRR8GU","GSON4143431401")</f>
        <v>#NAME?</v>
      </c>
      <c r="D3026" s="23" t="e">
        <f ca="1">[1]!BexGetData("DP_1","003N8EMH8GTFRCSWKMPXRRESE","GSON4143431401")</f>
        <v>#NAME?</v>
      </c>
      <c r="E3026" s="23" t="e">
        <f ca="1">[1]!BexGetData("DP_1","003N8EMH8GTFRCSWKMPXRRL3Y","GSON4143431401")</f>
        <v>#NAME?</v>
      </c>
      <c r="F3026" s="23" t="e">
        <f ca="1">[1]!BexGetData("DP_1","003N8EMH8GTFRCSWKMPXRRRFI","GSON4143431401")</f>
        <v>#NAME?</v>
      </c>
      <c r="G3026" s="23" t="e">
        <f ca="1">[1]!BexGetData("DP_1","003N8EMH8GTFRCSWKMPXRRXR2","GSON4143431401")</f>
        <v>#NAME?</v>
      </c>
      <c r="H3026" s="23" t="e">
        <f ca="1">[1]!BexGetData("DP_1","003N8EMH8GTFRCSWKMPXRS42M","GSON4143431401")</f>
        <v>#NAME?</v>
      </c>
      <c r="I3026" s="23" t="e">
        <f ca="1">[1]!BexGetData("DP_1","003N8EMH8GTFRCSWKMPXRSAE6","GSON4143431401")</f>
        <v>#NAME?</v>
      </c>
      <c r="J3026" s="24" t="e">
        <f ca="1">[1]!BexGetData("DP_1","003N8EMH8GTFRCSWKMPXRSGPQ","GSON4143431401")</f>
        <v>#NAME?</v>
      </c>
      <c r="K3026" s="23" t="e">
        <f ca="1">[1]!BexGetData("DP_1","003N8EMH8GTFRIVNUPY288VJH","GSON4143431401")</f>
        <v>#NAME?</v>
      </c>
      <c r="L3026" s="23" t="e">
        <f ca="1">[1]!BexGetData("DP_1","003N8EMH8GTFRIVNUPY2891V1","GSON4143431401")</f>
        <v>#NAME?</v>
      </c>
      <c r="M3026" s="23" t="e">
        <f ca="1">[1]!BexGetData("DP_1","003N8EMH8GTFRIVOG7KG9IQXA","GSON4143431401")</f>
        <v>#NAME?</v>
      </c>
      <c r="N3026" s="28" t="e">
        <f ca="1">[1]!BexGetData("DP_1","003N8EMH8GTFRIVOG7KG9IX8U","GSON4143431401")</f>
        <v>#NAME?</v>
      </c>
      <c r="O3026" s="23" t="e">
        <f ca="1">[1]!BexGetData("DP_1","003N8EMH8GTFRIVOG7KG9J3KE","GSON4143431401")</f>
        <v>#NAME?</v>
      </c>
      <c r="P3026" s="28" t="e">
        <f ca="1">[1]!BexGetData("DP_1","003N8EMH8GTFRIVOG7KG9J9VY","GSON4143431401")</f>
        <v>#NAME?</v>
      </c>
      <c r="Q3026" s="24" t="e">
        <f ca="1">[1]!BexGetData("DP_1","00O2TNJGODT0G5Z4TTKYMM5MT","GSON4143431401")</f>
        <v>#NAME?</v>
      </c>
      <c r="R3026" s="23" t="e">
        <f ca="1">[1]!BexGetData("DP_1","00O2TNJGODT0G5Z4TTKYMMBYD","GSON4143431401")</f>
        <v>#NAME?</v>
      </c>
      <c r="S3026" s="23" t="e">
        <f ca="1">[1]!BexGetData("DP_1","00O2TNJGODT0G5Z4TTKYMMI9X","GSON4143431401")</f>
        <v>#NAME?</v>
      </c>
      <c r="T3026" s="23" t="e">
        <f ca="1">[1]!BexGetData("DP_1","00O2TNJGODT0G5Z4TTKYMMOLH","GSON4143431401")</f>
        <v>#NAME?</v>
      </c>
      <c r="U3026" s="28" t="e">
        <f ca="1">[1]!BexGetData("DP_1","00O2TNJGODT0G5Z4TTKYMMUX1","GSON4143431401")</f>
        <v>#NAME?</v>
      </c>
      <c r="V3026" s="23" t="e">
        <f ca="1">[1]!BexGetData("DP_1","00O2TNJGODT0G5Z4TTKYMN18L","GSON4143431401")</f>
        <v>#NAME?</v>
      </c>
      <c r="W3026" s="28" t="e">
        <f ca="1">[1]!BexGetData("DP_1","00O2TNJGODT0G5Z4TTKYMN7K5","GSON4143431401")</f>
        <v>#NAME?</v>
      </c>
    </row>
    <row r="3027" spans="1:23" x14ac:dyDescent="0.2">
      <c r="A3027" s="36" t="s">
        <v>1503</v>
      </c>
      <c r="B3027" s="27" t="s">
        <v>641</v>
      </c>
      <c r="C3027" s="23" t="e">
        <f ca="1">[1]!BexGetData("DP_1","003N8EMH8GTFRCSWKMPXRR8GU","GSON4143431501")</f>
        <v>#NAME?</v>
      </c>
      <c r="D3027" s="23" t="e">
        <f ca="1">[1]!BexGetData("DP_1","003N8EMH8GTFRCSWKMPXRRESE","GSON4143431501")</f>
        <v>#NAME?</v>
      </c>
      <c r="E3027" s="23" t="e">
        <f ca="1">[1]!BexGetData("DP_1","003N8EMH8GTFRCSWKMPXRRL3Y","GSON4143431501")</f>
        <v>#NAME?</v>
      </c>
      <c r="F3027" s="23" t="e">
        <f ca="1">[1]!BexGetData("DP_1","003N8EMH8GTFRCSWKMPXRRRFI","GSON4143431501")</f>
        <v>#NAME?</v>
      </c>
      <c r="G3027" s="23" t="e">
        <f ca="1">[1]!BexGetData("DP_1","003N8EMH8GTFRCSWKMPXRRXR2","GSON4143431501")</f>
        <v>#NAME?</v>
      </c>
      <c r="H3027" s="23" t="e">
        <f ca="1">[1]!BexGetData("DP_1","003N8EMH8GTFRCSWKMPXRS42M","GSON4143431501")</f>
        <v>#NAME?</v>
      </c>
      <c r="I3027" s="23" t="e">
        <f ca="1">[1]!BexGetData("DP_1","003N8EMH8GTFRCSWKMPXRSAE6","GSON4143431501")</f>
        <v>#NAME?</v>
      </c>
      <c r="J3027" s="24" t="e">
        <f ca="1">[1]!BexGetData("DP_1","003N8EMH8GTFRCSWKMPXRSGPQ","GSON4143431501")</f>
        <v>#NAME?</v>
      </c>
      <c r="K3027" s="23" t="e">
        <f ca="1">[1]!BexGetData("DP_1","003N8EMH8GTFRIVNUPY288VJH","GSON4143431501")</f>
        <v>#NAME?</v>
      </c>
      <c r="L3027" s="23" t="e">
        <f ca="1">[1]!BexGetData("DP_1","003N8EMH8GTFRIVNUPY2891V1","GSON4143431501")</f>
        <v>#NAME?</v>
      </c>
      <c r="M3027" s="23" t="e">
        <f ca="1">[1]!BexGetData("DP_1","003N8EMH8GTFRIVOG7KG9IQXA","GSON4143431501")</f>
        <v>#NAME?</v>
      </c>
      <c r="N3027" s="28" t="e">
        <f ca="1">[1]!BexGetData("DP_1","003N8EMH8GTFRIVOG7KG9IX8U","GSON4143431501")</f>
        <v>#NAME?</v>
      </c>
      <c r="O3027" s="23" t="e">
        <f ca="1">[1]!BexGetData("DP_1","003N8EMH8GTFRIVOG7KG9J3KE","GSON4143431501")</f>
        <v>#NAME?</v>
      </c>
      <c r="P3027" s="28" t="e">
        <f ca="1">[1]!BexGetData("DP_1","003N8EMH8GTFRIVOG7KG9J9VY","GSON4143431501")</f>
        <v>#NAME?</v>
      </c>
      <c r="Q3027" s="24" t="e">
        <f ca="1">[1]!BexGetData("DP_1","00O2TNJGODT0G5Z4TTKYMM5MT","GSON4143431501")</f>
        <v>#NAME?</v>
      </c>
      <c r="R3027" s="23" t="e">
        <f ca="1">[1]!BexGetData("DP_1","00O2TNJGODT0G5Z4TTKYMMBYD","GSON4143431501")</f>
        <v>#NAME?</v>
      </c>
      <c r="S3027" s="23" t="e">
        <f ca="1">[1]!BexGetData("DP_1","00O2TNJGODT0G5Z4TTKYMMI9X","GSON4143431501")</f>
        <v>#NAME?</v>
      </c>
      <c r="T3027" s="23" t="e">
        <f ca="1">[1]!BexGetData("DP_1","00O2TNJGODT0G5Z4TTKYMMOLH","GSON4143431501")</f>
        <v>#NAME?</v>
      </c>
      <c r="U3027" s="28" t="e">
        <f ca="1">[1]!BexGetData("DP_1","00O2TNJGODT0G5Z4TTKYMMUX1","GSON4143431501")</f>
        <v>#NAME?</v>
      </c>
      <c r="V3027" s="23" t="e">
        <f ca="1">[1]!BexGetData("DP_1","00O2TNJGODT0G5Z4TTKYMN18L","GSON4143431501")</f>
        <v>#NAME?</v>
      </c>
      <c r="W3027" s="28" t="e">
        <f ca="1">[1]!BexGetData("DP_1","00O2TNJGODT0G5Z4TTKYMN7K5","GSON4143431501")</f>
        <v>#NAME?</v>
      </c>
    </row>
    <row r="3028" spans="1:23" x14ac:dyDescent="0.2">
      <c r="A3028" s="36" t="s">
        <v>1504</v>
      </c>
      <c r="B3028" s="27" t="s">
        <v>1505</v>
      </c>
      <c r="C3028" s="23" t="e">
        <f ca="1">[1]!BexGetData("DP_1","003N8EMH8GTFRCSWKMPXRR8GU","GSON4143431601")</f>
        <v>#NAME?</v>
      </c>
      <c r="D3028" s="23" t="e">
        <f ca="1">[1]!BexGetData("DP_1","003N8EMH8GTFRCSWKMPXRRESE","GSON4143431601")</f>
        <v>#NAME?</v>
      </c>
      <c r="E3028" s="23" t="e">
        <f ca="1">[1]!BexGetData("DP_1","003N8EMH8GTFRCSWKMPXRRL3Y","GSON4143431601")</f>
        <v>#NAME?</v>
      </c>
      <c r="F3028" s="23" t="e">
        <f ca="1">[1]!BexGetData("DP_1","003N8EMH8GTFRCSWKMPXRRRFI","GSON4143431601")</f>
        <v>#NAME?</v>
      </c>
      <c r="G3028" s="23" t="e">
        <f ca="1">[1]!BexGetData("DP_1","003N8EMH8GTFRCSWKMPXRRXR2","GSON4143431601")</f>
        <v>#NAME?</v>
      </c>
      <c r="H3028" s="23" t="e">
        <f ca="1">[1]!BexGetData("DP_1","003N8EMH8GTFRCSWKMPXRS42M","GSON4143431601")</f>
        <v>#NAME?</v>
      </c>
      <c r="I3028" s="23" t="e">
        <f ca="1">[1]!BexGetData("DP_1","003N8EMH8GTFRCSWKMPXRSAE6","GSON4143431601")</f>
        <v>#NAME?</v>
      </c>
      <c r="J3028" s="24" t="e">
        <f ca="1">[1]!BexGetData("DP_1","003N8EMH8GTFRCSWKMPXRSGPQ","GSON4143431601")</f>
        <v>#NAME?</v>
      </c>
      <c r="K3028" s="23" t="e">
        <f ca="1">[1]!BexGetData("DP_1","003N8EMH8GTFRIVNUPY288VJH","GSON4143431601")</f>
        <v>#NAME?</v>
      </c>
      <c r="L3028" s="23" t="e">
        <f ca="1">[1]!BexGetData("DP_1","003N8EMH8GTFRIVNUPY2891V1","GSON4143431601")</f>
        <v>#NAME?</v>
      </c>
      <c r="M3028" s="23" t="e">
        <f ca="1">[1]!BexGetData("DP_1","003N8EMH8GTFRIVOG7KG9IQXA","GSON4143431601")</f>
        <v>#NAME?</v>
      </c>
      <c r="N3028" s="28" t="e">
        <f ca="1">[1]!BexGetData("DP_1","003N8EMH8GTFRIVOG7KG9IX8U","GSON4143431601")</f>
        <v>#NAME?</v>
      </c>
      <c r="O3028" s="23" t="e">
        <f ca="1">[1]!BexGetData("DP_1","003N8EMH8GTFRIVOG7KG9J3KE","GSON4143431601")</f>
        <v>#NAME?</v>
      </c>
      <c r="P3028" s="28" t="e">
        <f ca="1">[1]!BexGetData("DP_1","003N8EMH8GTFRIVOG7KG9J9VY","GSON4143431601")</f>
        <v>#NAME?</v>
      </c>
      <c r="Q3028" s="24" t="e">
        <f ca="1">[1]!BexGetData("DP_1","00O2TNJGODT0G5Z4TTKYMM5MT","GSON4143431601")</f>
        <v>#NAME?</v>
      </c>
      <c r="R3028" s="23" t="e">
        <f ca="1">[1]!BexGetData("DP_1","00O2TNJGODT0G5Z4TTKYMMBYD","GSON4143431601")</f>
        <v>#NAME?</v>
      </c>
      <c r="S3028" s="23" t="e">
        <f ca="1">[1]!BexGetData("DP_1","00O2TNJGODT0G5Z4TTKYMMI9X","GSON4143431601")</f>
        <v>#NAME?</v>
      </c>
      <c r="T3028" s="23" t="e">
        <f ca="1">[1]!BexGetData("DP_1","00O2TNJGODT0G5Z4TTKYMMOLH","GSON4143431601")</f>
        <v>#NAME?</v>
      </c>
      <c r="U3028" s="28" t="e">
        <f ca="1">[1]!BexGetData("DP_1","00O2TNJGODT0G5Z4TTKYMMUX1","GSON4143431601")</f>
        <v>#NAME?</v>
      </c>
      <c r="V3028" s="23" t="e">
        <f ca="1">[1]!BexGetData("DP_1","00O2TNJGODT0G5Z4TTKYMN18L","GSON4143431601")</f>
        <v>#NAME?</v>
      </c>
      <c r="W3028" s="28" t="e">
        <f ca="1">[1]!BexGetData("DP_1","00O2TNJGODT0G5Z4TTKYMN7K5","GSON4143431601")</f>
        <v>#NAME?</v>
      </c>
    </row>
    <row r="3029" spans="1:23" x14ac:dyDescent="0.2">
      <c r="A3029" s="36" t="s">
        <v>707</v>
      </c>
      <c r="B3029" s="27" t="s">
        <v>708</v>
      </c>
      <c r="C3029" s="23" t="e">
        <f ca="1">[1]!BexGetData("DP_1","003N8EMH8GTFRCSWKMPXRR8GU","GSON4143431701")</f>
        <v>#NAME?</v>
      </c>
      <c r="D3029" s="23" t="e">
        <f ca="1">[1]!BexGetData("DP_1","003N8EMH8GTFRCSWKMPXRRESE","GSON4143431701")</f>
        <v>#NAME?</v>
      </c>
      <c r="E3029" s="23" t="e">
        <f ca="1">[1]!BexGetData("DP_1","003N8EMH8GTFRCSWKMPXRRL3Y","GSON4143431701")</f>
        <v>#NAME?</v>
      </c>
      <c r="F3029" s="23" t="e">
        <f ca="1">[1]!BexGetData("DP_1","003N8EMH8GTFRCSWKMPXRRRFI","GSON4143431701")</f>
        <v>#NAME?</v>
      </c>
      <c r="G3029" s="23" t="e">
        <f ca="1">[1]!BexGetData("DP_1","003N8EMH8GTFRCSWKMPXRRXR2","GSON4143431701")</f>
        <v>#NAME?</v>
      </c>
      <c r="H3029" s="23" t="e">
        <f ca="1">[1]!BexGetData("DP_1","003N8EMH8GTFRCSWKMPXRS42M","GSON4143431701")</f>
        <v>#NAME?</v>
      </c>
      <c r="I3029" s="23" t="e">
        <f ca="1">[1]!BexGetData("DP_1","003N8EMH8GTFRCSWKMPXRSAE6","GSON4143431701")</f>
        <v>#NAME?</v>
      </c>
      <c r="J3029" s="24" t="e">
        <f ca="1">[1]!BexGetData("DP_1","003N8EMH8GTFRCSWKMPXRSGPQ","GSON4143431701")</f>
        <v>#NAME?</v>
      </c>
      <c r="K3029" s="23" t="e">
        <f ca="1">[1]!BexGetData("DP_1","003N8EMH8GTFRIVNUPY288VJH","GSON4143431701")</f>
        <v>#NAME?</v>
      </c>
      <c r="L3029" s="23" t="e">
        <f ca="1">[1]!BexGetData("DP_1","003N8EMH8GTFRIVNUPY2891V1","GSON4143431701")</f>
        <v>#NAME?</v>
      </c>
      <c r="M3029" s="23" t="e">
        <f ca="1">[1]!BexGetData("DP_1","003N8EMH8GTFRIVOG7KG9IQXA","GSON4143431701")</f>
        <v>#NAME?</v>
      </c>
      <c r="N3029" s="28" t="e">
        <f ca="1">[1]!BexGetData("DP_1","003N8EMH8GTFRIVOG7KG9IX8U","GSON4143431701")</f>
        <v>#NAME?</v>
      </c>
      <c r="O3029" s="23" t="e">
        <f ca="1">[1]!BexGetData("DP_1","003N8EMH8GTFRIVOG7KG9J3KE","GSON4143431701")</f>
        <v>#NAME?</v>
      </c>
      <c r="P3029" s="28" t="e">
        <f ca="1">[1]!BexGetData("DP_1","003N8EMH8GTFRIVOG7KG9J9VY","GSON4143431701")</f>
        <v>#NAME?</v>
      </c>
      <c r="Q3029" s="24" t="e">
        <f ca="1">[1]!BexGetData("DP_1","00O2TNJGODT0G5Z4TTKYMM5MT","GSON4143431701")</f>
        <v>#NAME?</v>
      </c>
      <c r="R3029" s="23" t="e">
        <f ca="1">[1]!BexGetData("DP_1","00O2TNJGODT0G5Z4TTKYMMBYD","GSON4143431701")</f>
        <v>#NAME?</v>
      </c>
      <c r="S3029" s="23" t="e">
        <f ca="1">[1]!BexGetData("DP_1","00O2TNJGODT0G5Z4TTKYMMI9X","GSON4143431701")</f>
        <v>#NAME?</v>
      </c>
      <c r="T3029" s="23" t="e">
        <f ca="1">[1]!BexGetData("DP_1","00O2TNJGODT0G5Z4TTKYMMOLH","GSON4143431701")</f>
        <v>#NAME?</v>
      </c>
      <c r="U3029" s="28" t="e">
        <f ca="1">[1]!BexGetData("DP_1","00O2TNJGODT0G5Z4TTKYMMUX1","GSON4143431701")</f>
        <v>#NAME?</v>
      </c>
      <c r="V3029" s="23" t="e">
        <f ca="1">[1]!BexGetData("DP_1","00O2TNJGODT0G5Z4TTKYMN18L","GSON4143431701")</f>
        <v>#NAME?</v>
      </c>
      <c r="W3029" s="28" t="e">
        <f ca="1">[1]!BexGetData("DP_1","00O2TNJGODT0G5Z4TTKYMN7K5","GSON4143431701")</f>
        <v>#NAME?</v>
      </c>
    </row>
    <row r="3030" spans="1:23" x14ac:dyDescent="0.2">
      <c r="A3030" s="35" t="s">
        <v>556</v>
      </c>
      <c r="B3030" s="27" t="s">
        <v>557</v>
      </c>
      <c r="C3030" s="23" t="e">
        <f ca="1">[1]!BexGetData("DP_1","003N8EMH8GTFRCSWKMPXRR8GU","GSON4144")</f>
        <v>#NAME?</v>
      </c>
      <c r="D3030" s="23" t="e">
        <f ca="1">[1]!BexGetData("DP_1","003N8EMH8GTFRCSWKMPXRRESE","GSON4144")</f>
        <v>#NAME?</v>
      </c>
      <c r="E3030" s="23" t="e">
        <f ca="1">[1]!BexGetData("DP_1","003N8EMH8GTFRCSWKMPXRRL3Y","GSON4144")</f>
        <v>#NAME?</v>
      </c>
      <c r="F3030" s="23" t="e">
        <f ca="1">[1]!BexGetData("DP_1","003N8EMH8GTFRCSWKMPXRRRFI","GSON4144")</f>
        <v>#NAME?</v>
      </c>
      <c r="G3030" s="23" t="e">
        <f ca="1">[1]!BexGetData("DP_1","003N8EMH8GTFRCSWKMPXRRXR2","GSON4144")</f>
        <v>#NAME?</v>
      </c>
      <c r="H3030" s="23" t="e">
        <f ca="1">[1]!BexGetData("DP_1","003N8EMH8GTFRCSWKMPXRS42M","GSON4144")</f>
        <v>#NAME?</v>
      </c>
      <c r="I3030" s="23" t="e">
        <f ca="1">[1]!BexGetData("DP_1","003N8EMH8GTFRCSWKMPXRSAE6","GSON4144")</f>
        <v>#NAME?</v>
      </c>
      <c r="J3030" s="24" t="e">
        <f ca="1">[1]!BexGetData("DP_1","003N8EMH8GTFRCSWKMPXRSGPQ","GSON4144")</f>
        <v>#NAME?</v>
      </c>
      <c r="K3030" s="23" t="e">
        <f ca="1">[1]!BexGetData("DP_1","003N8EMH8GTFRIVNUPY288VJH","GSON4144")</f>
        <v>#NAME?</v>
      </c>
      <c r="L3030" s="23" t="e">
        <f ca="1">[1]!BexGetData("DP_1","003N8EMH8GTFRIVNUPY2891V1","GSON4144")</f>
        <v>#NAME?</v>
      </c>
      <c r="M3030" s="23" t="e">
        <f ca="1">[1]!BexGetData("DP_1","003N8EMH8GTFRIVOG7KG9IQXA","GSON4144")</f>
        <v>#NAME?</v>
      </c>
      <c r="N3030" s="28" t="e">
        <f ca="1">[1]!BexGetData("DP_1","003N8EMH8GTFRIVOG7KG9IX8U","GSON4144")</f>
        <v>#NAME?</v>
      </c>
      <c r="O3030" s="23" t="e">
        <f ca="1">[1]!BexGetData("DP_1","003N8EMH8GTFRIVOG7KG9J3KE","GSON4144")</f>
        <v>#NAME?</v>
      </c>
      <c r="P3030" s="28" t="e">
        <f ca="1">[1]!BexGetData("DP_1","003N8EMH8GTFRIVOG7KG9J9VY","GSON4144")</f>
        <v>#NAME?</v>
      </c>
      <c r="Q3030" s="24" t="e">
        <f ca="1">[1]!BexGetData("DP_1","00O2TNJGODT0G5Z4TTKYMM5MT","GSON4144")</f>
        <v>#NAME?</v>
      </c>
      <c r="R3030" s="23" t="e">
        <f ca="1">[1]!BexGetData("DP_1","00O2TNJGODT0G5Z4TTKYMMBYD","GSON4144")</f>
        <v>#NAME?</v>
      </c>
      <c r="S3030" s="23" t="e">
        <f ca="1">[1]!BexGetData("DP_1","00O2TNJGODT0G5Z4TTKYMMI9X","GSON4144")</f>
        <v>#NAME?</v>
      </c>
      <c r="T3030" s="23" t="e">
        <f ca="1">[1]!BexGetData("DP_1","00O2TNJGODT0G5Z4TTKYMMOLH","GSON4144")</f>
        <v>#NAME?</v>
      </c>
      <c r="U3030" s="28" t="e">
        <f ca="1">[1]!BexGetData("DP_1","00O2TNJGODT0G5Z4TTKYMMUX1","GSON4144")</f>
        <v>#NAME?</v>
      </c>
      <c r="V3030" s="23" t="e">
        <f ca="1">[1]!BexGetData("DP_1","00O2TNJGODT0G5Z4TTKYMN18L","GSON4144")</f>
        <v>#NAME?</v>
      </c>
      <c r="W3030" s="28" t="e">
        <f ca="1">[1]!BexGetData("DP_1","00O2TNJGODT0G5Z4TTKYMN7K5","GSON4144")</f>
        <v>#NAME?</v>
      </c>
    </row>
    <row r="3031" spans="1:23" x14ac:dyDescent="0.2">
      <c r="A3031" s="36" t="s">
        <v>558</v>
      </c>
      <c r="B3031" s="27" t="s">
        <v>559</v>
      </c>
      <c r="C3031" s="23" t="e">
        <f ca="1">[1]!BexGetData("DP_1","003N8EMH8GTFRCSWKMPXRR8GU","GSON4144450101")</f>
        <v>#NAME?</v>
      </c>
      <c r="D3031" s="23" t="e">
        <f ca="1">[1]!BexGetData("DP_1","003N8EMH8GTFRCSWKMPXRRESE","GSON4144450101")</f>
        <v>#NAME?</v>
      </c>
      <c r="E3031" s="23" t="e">
        <f ca="1">[1]!BexGetData("DP_1","003N8EMH8GTFRCSWKMPXRRL3Y","GSON4144450101")</f>
        <v>#NAME?</v>
      </c>
      <c r="F3031" s="23" t="e">
        <f ca="1">[1]!BexGetData("DP_1","003N8EMH8GTFRCSWKMPXRRRFI","GSON4144450101")</f>
        <v>#NAME?</v>
      </c>
      <c r="G3031" s="23" t="e">
        <f ca="1">[1]!BexGetData("DP_1","003N8EMH8GTFRCSWKMPXRRXR2","GSON4144450101")</f>
        <v>#NAME?</v>
      </c>
      <c r="H3031" s="23" t="e">
        <f ca="1">[1]!BexGetData("DP_1","003N8EMH8GTFRCSWKMPXRS42M","GSON4144450101")</f>
        <v>#NAME?</v>
      </c>
      <c r="I3031" s="23" t="e">
        <f ca="1">[1]!BexGetData("DP_1","003N8EMH8GTFRCSWKMPXRSAE6","GSON4144450101")</f>
        <v>#NAME?</v>
      </c>
      <c r="J3031" s="24" t="e">
        <f ca="1">[1]!BexGetData("DP_1","003N8EMH8GTFRCSWKMPXRSGPQ","GSON4144450101")</f>
        <v>#NAME?</v>
      </c>
      <c r="K3031" s="23" t="e">
        <f ca="1">[1]!BexGetData("DP_1","003N8EMH8GTFRIVNUPY288VJH","GSON4144450101")</f>
        <v>#NAME?</v>
      </c>
      <c r="L3031" s="23" t="e">
        <f ca="1">[1]!BexGetData("DP_1","003N8EMH8GTFRIVNUPY2891V1","GSON4144450101")</f>
        <v>#NAME?</v>
      </c>
      <c r="M3031" s="23" t="e">
        <f ca="1">[1]!BexGetData("DP_1","003N8EMH8GTFRIVOG7KG9IQXA","GSON4144450101")</f>
        <v>#NAME?</v>
      </c>
      <c r="N3031" s="28" t="e">
        <f ca="1">[1]!BexGetData("DP_1","003N8EMH8GTFRIVOG7KG9IX8U","GSON4144450101")</f>
        <v>#NAME?</v>
      </c>
      <c r="O3031" s="23" t="e">
        <f ca="1">[1]!BexGetData("DP_1","003N8EMH8GTFRIVOG7KG9J3KE","GSON4144450101")</f>
        <v>#NAME?</v>
      </c>
      <c r="P3031" s="28" t="e">
        <f ca="1">[1]!BexGetData("DP_1","003N8EMH8GTFRIVOG7KG9J9VY","GSON4144450101")</f>
        <v>#NAME?</v>
      </c>
      <c r="Q3031" s="24" t="e">
        <f ca="1">[1]!BexGetData("DP_1","00O2TNJGODT0G5Z4TTKYMM5MT","GSON4144450101")</f>
        <v>#NAME?</v>
      </c>
      <c r="R3031" s="23" t="e">
        <f ca="1">[1]!BexGetData("DP_1","00O2TNJGODT0G5Z4TTKYMMBYD","GSON4144450101")</f>
        <v>#NAME?</v>
      </c>
      <c r="S3031" s="23" t="e">
        <f ca="1">[1]!BexGetData("DP_1","00O2TNJGODT0G5Z4TTKYMMI9X","GSON4144450101")</f>
        <v>#NAME?</v>
      </c>
      <c r="T3031" s="23" t="e">
        <f ca="1">[1]!BexGetData("DP_1","00O2TNJGODT0G5Z4TTKYMMOLH","GSON4144450101")</f>
        <v>#NAME?</v>
      </c>
      <c r="U3031" s="28" t="e">
        <f ca="1">[1]!BexGetData("DP_1","00O2TNJGODT0G5Z4TTKYMMUX1","GSON4144450101")</f>
        <v>#NAME?</v>
      </c>
      <c r="V3031" s="23" t="e">
        <f ca="1">[1]!BexGetData("DP_1","00O2TNJGODT0G5Z4TTKYMN18L","GSON4144450101")</f>
        <v>#NAME?</v>
      </c>
      <c r="W3031" s="28" t="e">
        <f ca="1">[1]!BexGetData("DP_1","00O2TNJGODT0G5Z4TTKYMN7K5","GSON4144450101")</f>
        <v>#NAME?</v>
      </c>
    </row>
    <row r="3032" spans="1:23" x14ac:dyDescent="0.2">
      <c r="A3032" s="36" t="s">
        <v>1506</v>
      </c>
      <c r="B3032" s="27" t="s">
        <v>1507</v>
      </c>
      <c r="C3032" s="23" t="e">
        <f ca="1">[1]!BexGetData("DP_1","003N8EMH8GTFRCSWKMPXRR8GU","GSON4144450102")</f>
        <v>#NAME?</v>
      </c>
      <c r="D3032" s="23" t="e">
        <f ca="1">[1]!BexGetData("DP_1","003N8EMH8GTFRCSWKMPXRRESE","GSON4144450102")</f>
        <v>#NAME?</v>
      </c>
      <c r="E3032" s="23" t="e">
        <f ca="1">[1]!BexGetData("DP_1","003N8EMH8GTFRCSWKMPXRRL3Y","GSON4144450102")</f>
        <v>#NAME?</v>
      </c>
      <c r="F3032" s="23" t="e">
        <f ca="1">[1]!BexGetData("DP_1","003N8EMH8GTFRCSWKMPXRRRFI","GSON4144450102")</f>
        <v>#NAME?</v>
      </c>
      <c r="G3032" s="23" t="e">
        <f ca="1">[1]!BexGetData("DP_1","003N8EMH8GTFRCSWKMPXRRXR2","GSON4144450102")</f>
        <v>#NAME?</v>
      </c>
      <c r="H3032" s="23" t="e">
        <f ca="1">[1]!BexGetData("DP_1","003N8EMH8GTFRCSWKMPXRS42M","GSON4144450102")</f>
        <v>#NAME?</v>
      </c>
      <c r="I3032" s="23" t="e">
        <f ca="1">[1]!BexGetData("DP_1","003N8EMH8GTFRCSWKMPXRSAE6","GSON4144450102")</f>
        <v>#NAME?</v>
      </c>
      <c r="J3032" s="24" t="e">
        <f ca="1">[1]!BexGetData("DP_1","003N8EMH8GTFRCSWKMPXRSGPQ","GSON4144450102")</f>
        <v>#NAME?</v>
      </c>
      <c r="K3032" s="23" t="e">
        <f ca="1">[1]!BexGetData("DP_1","003N8EMH8GTFRIVNUPY288VJH","GSON4144450102")</f>
        <v>#NAME?</v>
      </c>
      <c r="L3032" s="23" t="e">
        <f ca="1">[1]!BexGetData("DP_1","003N8EMH8GTFRIVNUPY2891V1","GSON4144450102")</f>
        <v>#NAME?</v>
      </c>
      <c r="M3032" s="23" t="e">
        <f ca="1">[1]!BexGetData("DP_1","003N8EMH8GTFRIVOG7KG9IQXA","GSON4144450102")</f>
        <v>#NAME?</v>
      </c>
      <c r="N3032" s="28" t="e">
        <f ca="1">[1]!BexGetData("DP_1","003N8EMH8GTFRIVOG7KG9IX8U","GSON4144450102")</f>
        <v>#NAME?</v>
      </c>
      <c r="O3032" s="23" t="e">
        <f ca="1">[1]!BexGetData("DP_1","003N8EMH8GTFRIVOG7KG9J3KE","GSON4144450102")</f>
        <v>#NAME?</v>
      </c>
      <c r="P3032" s="28" t="e">
        <f ca="1">[1]!BexGetData("DP_1","003N8EMH8GTFRIVOG7KG9J9VY","GSON4144450102")</f>
        <v>#NAME?</v>
      </c>
      <c r="Q3032" s="24" t="e">
        <f ca="1">[1]!BexGetData("DP_1","00O2TNJGODT0G5Z4TTKYMM5MT","GSON4144450102")</f>
        <v>#NAME?</v>
      </c>
      <c r="R3032" s="23" t="e">
        <f ca="1">[1]!BexGetData("DP_1","00O2TNJGODT0G5Z4TTKYMMBYD","GSON4144450102")</f>
        <v>#NAME?</v>
      </c>
      <c r="S3032" s="23" t="e">
        <f ca="1">[1]!BexGetData("DP_1","00O2TNJGODT0G5Z4TTKYMMI9X","GSON4144450102")</f>
        <v>#NAME?</v>
      </c>
      <c r="T3032" s="23" t="e">
        <f ca="1">[1]!BexGetData("DP_1","00O2TNJGODT0G5Z4TTKYMMOLH","GSON4144450102")</f>
        <v>#NAME?</v>
      </c>
      <c r="U3032" s="28" t="e">
        <f ca="1">[1]!BexGetData("DP_1","00O2TNJGODT0G5Z4TTKYMMUX1","GSON4144450102")</f>
        <v>#NAME?</v>
      </c>
      <c r="V3032" s="23" t="e">
        <f ca="1">[1]!BexGetData("DP_1","00O2TNJGODT0G5Z4TTKYMN18L","GSON4144450102")</f>
        <v>#NAME?</v>
      </c>
      <c r="W3032" s="28" t="e">
        <f ca="1">[1]!BexGetData("DP_1","00O2TNJGODT0G5Z4TTKYMN7K5","GSON4144450102")</f>
        <v>#NAME?</v>
      </c>
    </row>
    <row r="3033" spans="1:23" x14ac:dyDescent="0.2">
      <c r="A3033" s="36" t="s">
        <v>1508</v>
      </c>
      <c r="B3033" s="27" t="s">
        <v>1509</v>
      </c>
      <c r="C3033" s="23" t="e">
        <f ca="1">[1]!BexGetData("DP_1","003N8EMH8GTFRCSWKMPXRR8GU","GSON4144450103")</f>
        <v>#NAME?</v>
      </c>
      <c r="D3033" s="23" t="e">
        <f ca="1">[1]!BexGetData("DP_1","003N8EMH8GTFRCSWKMPXRRESE","GSON4144450103")</f>
        <v>#NAME?</v>
      </c>
      <c r="E3033" s="23" t="e">
        <f ca="1">[1]!BexGetData("DP_1","003N8EMH8GTFRCSWKMPXRRL3Y","GSON4144450103")</f>
        <v>#NAME?</v>
      </c>
      <c r="F3033" s="23" t="e">
        <f ca="1">[1]!BexGetData("DP_1","003N8EMH8GTFRCSWKMPXRRRFI","GSON4144450103")</f>
        <v>#NAME?</v>
      </c>
      <c r="G3033" s="23" t="e">
        <f ca="1">[1]!BexGetData("DP_1","003N8EMH8GTFRCSWKMPXRRXR2","GSON4144450103")</f>
        <v>#NAME?</v>
      </c>
      <c r="H3033" s="23" t="e">
        <f ca="1">[1]!BexGetData("DP_1","003N8EMH8GTFRCSWKMPXRS42M","GSON4144450103")</f>
        <v>#NAME?</v>
      </c>
      <c r="I3033" s="23" t="e">
        <f ca="1">[1]!BexGetData("DP_1","003N8EMH8GTFRCSWKMPXRSAE6","GSON4144450103")</f>
        <v>#NAME?</v>
      </c>
      <c r="J3033" s="24" t="e">
        <f ca="1">[1]!BexGetData("DP_1","003N8EMH8GTFRCSWKMPXRSGPQ","GSON4144450103")</f>
        <v>#NAME?</v>
      </c>
      <c r="K3033" s="23" t="e">
        <f ca="1">[1]!BexGetData("DP_1","003N8EMH8GTFRIVNUPY288VJH","GSON4144450103")</f>
        <v>#NAME?</v>
      </c>
      <c r="L3033" s="23" t="e">
        <f ca="1">[1]!BexGetData("DP_1","003N8EMH8GTFRIVNUPY2891V1","GSON4144450103")</f>
        <v>#NAME?</v>
      </c>
      <c r="M3033" s="23" t="e">
        <f ca="1">[1]!BexGetData("DP_1","003N8EMH8GTFRIVOG7KG9IQXA","GSON4144450103")</f>
        <v>#NAME?</v>
      </c>
      <c r="N3033" s="28" t="e">
        <f ca="1">[1]!BexGetData("DP_1","003N8EMH8GTFRIVOG7KG9IX8U","GSON4144450103")</f>
        <v>#NAME?</v>
      </c>
      <c r="O3033" s="23" t="e">
        <f ca="1">[1]!BexGetData("DP_1","003N8EMH8GTFRIVOG7KG9J3KE","GSON4144450103")</f>
        <v>#NAME?</v>
      </c>
      <c r="P3033" s="28" t="e">
        <f ca="1">[1]!BexGetData("DP_1","003N8EMH8GTFRIVOG7KG9J9VY","GSON4144450103")</f>
        <v>#NAME?</v>
      </c>
      <c r="Q3033" s="24" t="e">
        <f ca="1">[1]!BexGetData("DP_1","00O2TNJGODT0G5Z4TTKYMM5MT","GSON4144450103")</f>
        <v>#NAME?</v>
      </c>
      <c r="R3033" s="23" t="e">
        <f ca="1">[1]!BexGetData("DP_1","00O2TNJGODT0G5Z4TTKYMMBYD","GSON4144450103")</f>
        <v>#NAME?</v>
      </c>
      <c r="S3033" s="23" t="e">
        <f ca="1">[1]!BexGetData("DP_1","00O2TNJGODT0G5Z4TTKYMMI9X","GSON4144450103")</f>
        <v>#NAME?</v>
      </c>
      <c r="T3033" s="23" t="e">
        <f ca="1">[1]!BexGetData("DP_1","00O2TNJGODT0G5Z4TTKYMMOLH","GSON4144450103")</f>
        <v>#NAME?</v>
      </c>
      <c r="U3033" s="28" t="e">
        <f ca="1">[1]!BexGetData("DP_1","00O2TNJGODT0G5Z4TTKYMMUX1","GSON4144450103")</f>
        <v>#NAME?</v>
      </c>
      <c r="V3033" s="23" t="e">
        <f ca="1">[1]!BexGetData("DP_1","00O2TNJGODT0G5Z4TTKYMN18L","GSON4144450103")</f>
        <v>#NAME?</v>
      </c>
      <c r="W3033" s="28" t="e">
        <f ca="1">[1]!BexGetData("DP_1","00O2TNJGODT0G5Z4TTKYMN7K5","GSON4144450103")</f>
        <v>#NAME?</v>
      </c>
    </row>
    <row r="3034" spans="1:23" x14ac:dyDescent="0.2">
      <c r="A3034" s="34" t="s">
        <v>560</v>
      </c>
      <c r="B3034" s="27" t="s">
        <v>561</v>
      </c>
      <c r="C3034" s="23" t="e">
        <f ca="1">[1]!BexGetData("DP_1","003N8EMH8GTFRCSWKMPXRR8GU","GSON415")</f>
        <v>#NAME?</v>
      </c>
      <c r="D3034" s="23" t="e">
        <f ca="1">[1]!BexGetData("DP_1","003N8EMH8GTFRCSWKMPXRRESE","GSON415")</f>
        <v>#NAME?</v>
      </c>
      <c r="E3034" s="23" t="e">
        <f ca="1">[1]!BexGetData("DP_1","003N8EMH8GTFRCSWKMPXRRL3Y","GSON415")</f>
        <v>#NAME?</v>
      </c>
      <c r="F3034" s="23" t="e">
        <f ca="1">[1]!BexGetData("DP_1","003N8EMH8GTFRCSWKMPXRRRFI","GSON415")</f>
        <v>#NAME?</v>
      </c>
      <c r="G3034" s="23" t="e">
        <f ca="1">[1]!BexGetData("DP_1","003N8EMH8GTFRCSWKMPXRRXR2","GSON415")</f>
        <v>#NAME?</v>
      </c>
      <c r="H3034" s="23" t="e">
        <f ca="1">[1]!BexGetData("DP_1","003N8EMH8GTFRCSWKMPXRS42M","GSON415")</f>
        <v>#NAME?</v>
      </c>
      <c r="I3034" s="23" t="e">
        <f ca="1">[1]!BexGetData("DP_1","003N8EMH8GTFRCSWKMPXRSAE6","GSON415")</f>
        <v>#NAME?</v>
      </c>
      <c r="J3034" s="24" t="e">
        <f ca="1">[1]!BexGetData("DP_1","003N8EMH8GTFRCSWKMPXRSGPQ","GSON415")</f>
        <v>#NAME?</v>
      </c>
      <c r="K3034" s="23" t="e">
        <f ca="1">[1]!BexGetData("DP_1","003N8EMH8GTFRIVNUPY288VJH","GSON415")</f>
        <v>#NAME?</v>
      </c>
      <c r="L3034" s="23" t="e">
        <f ca="1">[1]!BexGetData("DP_1","003N8EMH8GTFRIVNUPY2891V1","GSON415")</f>
        <v>#NAME?</v>
      </c>
      <c r="M3034" s="23" t="e">
        <f ca="1">[1]!BexGetData("DP_1","003N8EMH8GTFRIVOG7KG9IQXA","GSON415")</f>
        <v>#NAME?</v>
      </c>
      <c r="N3034" s="28" t="e">
        <f ca="1">[1]!BexGetData("DP_1","003N8EMH8GTFRIVOG7KG9IX8U","GSON415")</f>
        <v>#NAME?</v>
      </c>
      <c r="O3034" s="23" t="e">
        <f ca="1">[1]!BexGetData("DP_1","003N8EMH8GTFRIVOG7KG9J3KE","GSON415")</f>
        <v>#NAME?</v>
      </c>
      <c r="P3034" s="28" t="e">
        <f ca="1">[1]!BexGetData("DP_1","003N8EMH8GTFRIVOG7KG9J9VY","GSON415")</f>
        <v>#NAME?</v>
      </c>
      <c r="Q3034" s="24" t="e">
        <f ca="1">[1]!BexGetData("DP_1","00O2TNJGODT0G5Z4TTKYMM5MT","GSON415")</f>
        <v>#NAME?</v>
      </c>
      <c r="R3034" s="23" t="e">
        <f ca="1">[1]!BexGetData("DP_1","00O2TNJGODT0G5Z4TTKYMMBYD","GSON415")</f>
        <v>#NAME?</v>
      </c>
      <c r="S3034" s="23" t="e">
        <f ca="1">[1]!BexGetData("DP_1","00O2TNJGODT0G5Z4TTKYMMI9X","GSON415")</f>
        <v>#NAME?</v>
      </c>
      <c r="T3034" s="23" t="e">
        <f ca="1">[1]!BexGetData("DP_1","00O2TNJGODT0G5Z4TTKYMMOLH","GSON415")</f>
        <v>#NAME?</v>
      </c>
      <c r="U3034" s="28" t="e">
        <f ca="1">[1]!BexGetData("DP_1","00O2TNJGODT0G5Z4TTKYMMUX1","GSON415")</f>
        <v>#NAME?</v>
      </c>
      <c r="V3034" s="23" t="e">
        <f ca="1">[1]!BexGetData("DP_1","00O2TNJGODT0G5Z4TTKYMN18L","GSON415")</f>
        <v>#NAME?</v>
      </c>
      <c r="W3034" s="28" t="e">
        <f ca="1">[1]!BexGetData("DP_1","00O2TNJGODT0G5Z4TTKYMN7K5","GSON415")</f>
        <v>#NAME?</v>
      </c>
    </row>
    <row r="3035" spans="1:23" x14ac:dyDescent="0.2">
      <c r="A3035" s="35" t="s">
        <v>562</v>
      </c>
      <c r="B3035" s="27" t="s">
        <v>563</v>
      </c>
      <c r="C3035" s="23" t="e">
        <f ca="1">[1]!BexGetData("DP_1","003N8EMH8GTFRCSWKMPXRR8GU","GSON4151")</f>
        <v>#NAME?</v>
      </c>
      <c r="D3035" s="23" t="e">
        <f ca="1">[1]!BexGetData("DP_1","003N8EMH8GTFRCSWKMPXRRESE","GSON4151")</f>
        <v>#NAME?</v>
      </c>
      <c r="E3035" s="23" t="e">
        <f ca="1">[1]!BexGetData("DP_1","003N8EMH8GTFRCSWKMPXRRL3Y","GSON4151")</f>
        <v>#NAME?</v>
      </c>
      <c r="F3035" s="23" t="e">
        <f ca="1">[1]!BexGetData("DP_1","003N8EMH8GTFRCSWKMPXRRRFI","GSON4151")</f>
        <v>#NAME?</v>
      </c>
      <c r="G3035" s="23" t="e">
        <f ca="1">[1]!BexGetData("DP_1","003N8EMH8GTFRCSWKMPXRRXR2","GSON4151")</f>
        <v>#NAME?</v>
      </c>
      <c r="H3035" s="23" t="e">
        <f ca="1">[1]!BexGetData("DP_1","003N8EMH8GTFRCSWKMPXRS42M","GSON4151")</f>
        <v>#NAME?</v>
      </c>
      <c r="I3035" s="23" t="e">
        <f ca="1">[1]!BexGetData("DP_1","003N8EMH8GTFRCSWKMPXRSAE6","GSON4151")</f>
        <v>#NAME?</v>
      </c>
      <c r="J3035" s="24" t="e">
        <f ca="1">[1]!BexGetData("DP_1","003N8EMH8GTFRCSWKMPXRSGPQ","GSON4151")</f>
        <v>#NAME?</v>
      </c>
      <c r="K3035" s="23" t="e">
        <f ca="1">[1]!BexGetData("DP_1","003N8EMH8GTFRIVNUPY288VJH","GSON4151")</f>
        <v>#NAME?</v>
      </c>
      <c r="L3035" s="23" t="e">
        <f ca="1">[1]!BexGetData("DP_1","003N8EMH8GTFRIVNUPY2891V1","GSON4151")</f>
        <v>#NAME?</v>
      </c>
      <c r="M3035" s="23" t="e">
        <f ca="1">[1]!BexGetData("DP_1","003N8EMH8GTFRIVOG7KG9IQXA","GSON4151")</f>
        <v>#NAME?</v>
      </c>
      <c r="N3035" s="28" t="e">
        <f ca="1">[1]!BexGetData("DP_1","003N8EMH8GTFRIVOG7KG9IX8U","GSON4151")</f>
        <v>#NAME?</v>
      </c>
      <c r="O3035" s="23" t="e">
        <f ca="1">[1]!BexGetData("DP_1","003N8EMH8GTFRIVOG7KG9J3KE","GSON4151")</f>
        <v>#NAME?</v>
      </c>
      <c r="P3035" s="28" t="e">
        <f ca="1">[1]!BexGetData("DP_1","003N8EMH8GTFRIVOG7KG9J9VY","GSON4151")</f>
        <v>#NAME?</v>
      </c>
      <c r="Q3035" s="24" t="e">
        <f ca="1">[1]!BexGetData("DP_1","00O2TNJGODT0G5Z4TTKYMM5MT","GSON4151")</f>
        <v>#NAME?</v>
      </c>
      <c r="R3035" s="23" t="e">
        <f ca="1">[1]!BexGetData("DP_1","00O2TNJGODT0G5Z4TTKYMMBYD","GSON4151")</f>
        <v>#NAME?</v>
      </c>
      <c r="S3035" s="23" t="e">
        <f ca="1">[1]!BexGetData("DP_1","00O2TNJGODT0G5Z4TTKYMMI9X","GSON4151")</f>
        <v>#NAME?</v>
      </c>
      <c r="T3035" s="23" t="e">
        <f ca="1">[1]!BexGetData("DP_1","00O2TNJGODT0G5Z4TTKYMMOLH","GSON4151")</f>
        <v>#NAME?</v>
      </c>
      <c r="U3035" s="28" t="e">
        <f ca="1">[1]!BexGetData("DP_1","00O2TNJGODT0G5Z4TTKYMMUX1","GSON4151")</f>
        <v>#NAME?</v>
      </c>
      <c r="V3035" s="23" t="e">
        <f ca="1">[1]!BexGetData("DP_1","00O2TNJGODT0G5Z4TTKYMN18L","GSON4151")</f>
        <v>#NAME?</v>
      </c>
      <c r="W3035" s="28" t="e">
        <f ca="1">[1]!BexGetData("DP_1","00O2TNJGODT0G5Z4TTKYMN7K5","GSON4151")</f>
        <v>#NAME?</v>
      </c>
    </row>
    <row r="3036" spans="1:23" x14ac:dyDescent="0.2">
      <c r="A3036" s="36" t="s">
        <v>6371</v>
      </c>
      <c r="B3036" s="27" t="s">
        <v>6372</v>
      </c>
      <c r="C3036" s="23" t="e">
        <f ca="1">[1]!BexGetData("DP_1","003N8EMH8GTFRCSWKMPXRR8GU","GSON4151510102")</f>
        <v>#NAME?</v>
      </c>
      <c r="D3036" s="23" t="e">
        <f ca="1">[1]!BexGetData("DP_1","003N8EMH8GTFRCSWKMPXRRESE","GSON4151510102")</f>
        <v>#NAME?</v>
      </c>
      <c r="E3036" s="23" t="e">
        <f ca="1">[1]!BexGetData("DP_1","003N8EMH8GTFRCSWKMPXRRL3Y","GSON4151510102")</f>
        <v>#NAME?</v>
      </c>
      <c r="F3036" s="23" t="e">
        <f ca="1">[1]!BexGetData("DP_1","003N8EMH8GTFRCSWKMPXRRRFI","GSON4151510102")</f>
        <v>#NAME?</v>
      </c>
      <c r="G3036" s="28" t="e">
        <f ca="1">[1]!BexGetData("DP_1","003N8EMH8GTFRCSWKMPXRRXR2","GSON4151510102")</f>
        <v>#NAME?</v>
      </c>
      <c r="H3036" s="23" t="e">
        <f ca="1">[1]!BexGetData("DP_1","003N8EMH8GTFRCSWKMPXRS42M","GSON4151510102")</f>
        <v>#NAME?</v>
      </c>
      <c r="I3036" s="23" t="e">
        <f ca="1">[1]!BexGetData("DP_1","003N8EMH8GTFRCSWKMPXRSAE6","GSON4151510102")</f>
        <v>#NAME?</v>
      </c>
      <c r="J3036" s="24" t="e">
        <f ca="1">[1]!BexGetData("DP_1","003N8EMH8GTFRCSWKMPXRSGPQ","GSON4151510102")</f>
        <v>#NAME?</v>
      </c>
      <c r="K3036" s="23" t="e">
        <f ca="1">[1]!BexGetData("DP_1","003N8EMH8GTFRIVNUPY288VJH","GSON4151510102")</f>
        <v>#NAME?</v>
      </c>
      <c r="L3036" s="23" t="e">
        <f ca="1">[1]!BexGetData("DP_1","003N8EMH8GTFRIVNUPY2891V1","GSON4151510102")</f>
        <v>#NAME?</v>
      </c>
      <c r="M3036" s="28" t="e">
        <f ca="1">[1]!BexGetData("DP_1","003N8EMH8GTFRIVOG7KG9IQXA","GSON4151510102")</f>
        <v>#NAME?</v>
      </c>
      <c r="N3036" s="23" t="e">
        <f ca="1">[1]!BexGetData("DP_1","003N8EMH8GTFRIVOG7KG9IX8U","GSON4151510102")</f>
        <v>#NAME?</v>
      </c>
      <c r="O3036" s="28" t="e">
        <f ca="1">[1]!BexGetData("DP_1","003N8EMH8GTFRIVOG7KG9J3KE","GSON4151510102")</f>
        <v>#NAME?</v>
      </c>
      <c r="P3036" s="23" t="e">
        <f ca="1">[1]!BexGetData("DP_1","003N8EMH8GTFRIVOG7KG9J9VY","GSON4151510102")</f>
        <v>#NAME?</v>
      </c>
      <c r="Q3036" s="24" t="e">
        <f ca="1">[1]!BexGetData("DP_1","00O2TNJGODT0G5Z4TTKYMM5MT","GSON4151510102")</f>
        <v>#NAME?</v>
      </c>
      <c r="R3036" s="23" t="e">
        <f ca="1">[1]!BexGetData("DP_1","00O2TNJGODT0G5Z4TTKYMMBYD","GSON4151510102")</f>
        <v>#NAME?</v>
      </c>
      <c r="S3036" s="23" t="e">
        <f ca="1">[1]!BexGetData("DP_1","00O2TNJGODT0G5Z4TTKYMMI9X","GSON4151510102")</f>
        <v>#NAME?</v>
      </c>
      <c r="T3036" s="23" t="e">
        <f ca="1">[1]!BexGetData("DP_1","00O2TNJGODT0G5Z4TTKYMMOLH","GSON4151510102")</f>
        <v>#NAME?</v>
      </c>
      <c r="U3036" s="28" t="e">
        <f ca="1">[1]!BexGetData("DP_1","00O2TNJGODT0G5Z4TTKYMMUX1","GSON4151510102")</f>
        <v>#NAME?</v>
      </c>
      <c r="V3036" s="23" t="e">
        <f ca="1">[1]!BexGetData("DP_1","00O2TNJGODT0G5Z4TTKYMN18L","GSON4151510102")</f>
        <v>#NAME?</v>
      </c>
      <c r="W3036" s="28" t="e">
        <f ca="1">[1]!BexGetData("DP_1","00O2TNJGODT0G5Z4TTKYMN7K5","GSON4151510102")</f>
        <v>#NAME?</v>
      </c>
    </row>
    <row r="3037" spans="1:23" x14ac:dyDescent="0.2">
      <c r="A3037" s="36" t="s">
        <v>1510</v>
      </c>
      <c r="B3037" s="27" t="s">
        <v>564</v>
      </c>
      <c r="C3037" s="23" t="e">
        <f ca="1">[1]!BexGetData("DP_1","003N8EMH8GTFRCSWKMPXRR8GU","GSON4151510201")</f>
        <v>#NAME?</v>
      </c>
      <c r="D3037" s="23" t="e">
        <f ca="1">[1]!BexGetData("DP_1","003N8EMH8GTFRCSWKMPXRRESE","GSON4151510201")</f>
        <v>#NAME?</v>
      </c>
      <c r="E3037" s="23" t="e">
        <f ca="1">[1]!BexGetData("DP_1","003N8EMH8GTFRCSWKMPXRRL3Y","GSON4151510201")</f>
        <v>#NAME?</v>
      </c>
      <c r="F3037" s="23" t="e">
        <f ca="1">[1]!BexGetData("DP_1","003N8EMH8GTFRCSWKMPXRRRFI","GSON4151510201")</f>
        <v>#NAME?</v>
      </c>
      <c r="G3037" s="23" t="e">
        <f ca="1">[1]!BexGetData("DP_1","003N8EMH8GTFRCSWKMPXRRXR2","GSON4151510201")</f>
        <v>#NAME?</v>
      </c>
      <c r="H3037" s="23" t="e">
        <f ca="1">[1]!BexGetData("DP_1","003N8EMH8GTFRCSWKMPXRS42M","GSON4151510201")</f>
        <v>#NAME?</v>
      </c>
      <c r="I3037" s="23" t="e">
        <f ca="1">[1]!BexGetData("DP_1","003N8EMH8GTFRCSWKMPXRSAE6","GSON4151510201")</f>
        <v>#NAME?</v>
      </c>
      <c r="J3037" s="24" t="e">
        <f ca="1">[1]!BexGetData("DP_1","003N8EMH8GTFRCSWKMPXRSGPQ","GSON4151510201")</f>
        <v>#NAME?</v>
      </c>
      <c r="K3037" s="23" t="e">
        <f ca="1">[1]!BexGetData("DP_1","003N8EMH8GTFRIVNUPY288VJH","GSON4151510201")</f>
        <v>#NAME?</v>
      </c>
      <c r="L3037" s="23" t="e">
        <f ca="1">[1]!BexGetData("DP_1","003N8EMH8GTFRIVNUPY2891V1","GSON4151510201")</f>
        <v>#NAME?</v>
      </c>
      <c r="M3037" s="23" t="e">
        <f ca="1">[1]!BexGetData("DP_1","003N8EMH8GTFRIVOG7KG9IQXA","GSON4151510201")</f>
        <v>#NAME?</v>
      </c>
      <c r="N3037" s="28" t="e">
        <f ca="1">[1]!BexGetData("DP_1","003N8EMH8GTFRIVOG7KG9IX8U","GSON4151510201")</f>
        <v>#NAME?</v>
      </c>
      <c r="O3037" s="23" t="e">
        <f ca="1">[1]!BexGetData("DP_1","003N8EMH8GTFRIVOG7KG9J3KE","GSON4151510201")</f>
        <v>#NAME?</v>
      </c>
      <c r="P3037" s="28" t="e">
        <f ca="1">[1]!BexGetData("DP_1","003N8EMH8GTFRIVOG7KG9J9VY","GSON4151510201")</f>
        <v>#NAME?</v>
      </c>
      <c r="Q3037" s="24" t="e">
        <f ca="1">[1]!BexGetData("DP_1","00O2TNJGODT0G5Z4TTKYMM5MT","GSON4151510201")</f>
        <v>#NAME?</v>
      </c>
      <c r="R3037" s="23" t="e">
        <f ca="1">[1]!BexGetData("DP_1","00O2TNJGODT0G5Z4TTKYMMBYD","GSON4151510201")</f>
        <v>#NAME?</v>
      </c>
      <c r="S3037" s="23" t="e">
        <f ca="1">[1]!BexGetData("DP_1","00O2TNJGODT0G5Z4TTKYMMI9X","GSON4151510201")</f>
        <v>#NAME?</v>
      </c>
      <c r="T3037" s="23" t="e">
        <f ca="1">[1]!BexGetData("DP_1","00O2TNJGODT0G5Z4TTKYMMOLH","GSON4151510201")</f>
        <v>#NAME?</v>
      </c>
      <c r="U3037" s="28" t="e">
        <f ca="1">[1]!BexGetData("DP_1","00O2TNJGODT0G5Z4TTKYMMUX1","GSON4151510201")</f>
        <v>#NAME?</v>
      </c>
      <c r="V3037" s="23" t="e">
        <f ca="1">[1]!BexGetData("DP_1","00O2TNJGODT0G5Z4TTKYMN18L","GSON4151510201")</f>
        <v>#NAME?</v>
      </c>
      <c r="W3037" s="28" t="e">
        <f ca="1">[1]!BexGetData("DP_1","00O2TNJGODT0G5Z4TTKYMN7K5","GSON4151510201")</f>
        <v>#NAME?</v>
      </c>
    </row>
    <row r="3038" spans="1:23" x14ac:dyDescent="0.2">
      <c r="A3038" s="36" t="s">
        <v>1511</v>
      </c>
      <c r="B3038" s="27" t="s">
        <v>1512</v>
      </c>
      <c r="C3038" s="23" t="e">
        <f ca="1">[1]!BexGetData("DP_1","003N8EMH8GTFRCSWKMPXRR8GU","GSON4151510301")</f>
        <v>#NAME?</v>
      </c>
      <c r="D3038" s="23" t="e">
        <f ca="1">[1]!BexGetData("DP_1","003N8EMH8GTFRCSWKMPXRRESE","GSON4151510301")</f>
        <v>#NAME?</v>
      </c>
      <c r="E3038" s="23" t="e">
        <f ca="1">[1]!BexGetData("DP_1","003N8EMH8GTFRCSWKMPXRRL3Y","GSON4151510301")</f>
        <v>#NAME?</v>
      </c>
      <c r="F3038" s="23" t="e">
        <f ca="1">[1]!BexGetData("DP_1","003N8EMH8GTFRCSWKMPXRRRFI","GSON4151510301")</f>
        <v>#NAME?</v>
      </c>
      <c r="G3038" s="23" t="e">
        <f ca="1">[1]!BexGetData("DP_1","003N8EMH8GTFRCSWKMPXRRXR2","GSON4151510301")</f>
        <v>#NAME?</v>
      </c>
      <c r="H3038" s="23" t="e">
        <f ca="1">[1]!BexGetData("DP_1","003N8EMH8GTFRCSWKMPXRS42M","GSON4151510301")</f>
        <v>#NAME?</v>
      </c>
      <c r="I3038" s="23" t="e">
        <f ca="1">[1]!BexGetData("DP_1","003N8EMH8GTFRCSWKMPXRSAE6","GSON4151510301")</f>
        <v>#NAME?</v>
      </c>
      <c r="J3038" s="24" t="e">
        <f ca="1">[1]!BexGetData("DP_1","003N8EMH8GTFRCSWKMPXRSGPQ","GSON4151510301")</f>
        <v>#NAME?</v>
      </c>
      <c r="K3038" s="23" t="e">
        <f ca="1">[1]!BexGetData("DP_1","003N8EMH8GTFRIVNUPY288VJH","GSON4151510301")</f>
        <v>#NAME?</v>
      </c>
      <c r="L3038" s="23" t="e">
        <f ca="1">[1]!BexGetData("DP_1","003N8EMH8GTFRIVNUPY2891V1","GSON4151510301")</f>
        <v>#NAME?</v>
      </c>
      <c r="M3038" s="28" t="e">
        <f ca="1">[1]!BexGetData("DP_1","003N8EMH8GTFRIVOG7KG9IQXA","GSON4151510301")</f>
        <v>#NAME?</v>
      </c>
      <c r="N3038" s="23" t="e">
        <f ca="1">[1]!BexGetData("DP_1","003N8EMH8GTFRIVOG7KG9IX8U","GSON4151510301")</f>
        <v>#NAME?</v>
      </c>
      <c r="O3038" s="28" t="e">
        <f ca="1">[1]!BexGetData("DP_1","003N8EMH8GTFRIVOG7KG9J3KE","GSON4151510301")</f>
        <v>#NAME?</v>
      </c>
      <c r="P3038" s="23" t="e">
        <f ca="1">[1]!BexGetData("DP_1","003N8EMH8GTFRIVOG7KG9J9VY","GSON4151510301")</f>
        <v>#NAME?</v>
      </c>
      <c r="Q3038" s="24" t="e">
        <f ca="1">[1]!BexGetData("DP_1","00O2TNJGODT0G5Z4TTKYMM5MT","GSON4151510301")</f>
        <v>#NAME?</v>
      </c>
      <c r="R3038" s="23" t="e">
        <f ca="1">[1]!BexGetData("DP_1","00O2TNJGODT0G5Z4TTKYMMBYD","GSON4151510301")</f>
        <v>#NAME?</v>
      </c>
      <c r="S3038" s="23" t="e">
        <f ca="1">[1]!BexGetData("DP_1","00O2TNJGODT0G5Z4TTKYMMI9X","GSON4151510301")</f>
        <v>#NAME?</v>
      </c>
      <c r="T3038" s="23" t="e">
        <f ca="1">[1]!BexGetData("DP_1","00O2TNJGODT0G5Z4TTKYMMOLH","GSON4151510301")</f>
        <v>#NAME?</v>
      </c>
      <c r="U3038" s="28" t="e">
        <f ca="1">[1]!BexGetData("DP_1","00O2TNJGODT0G5Z4TTKYMMUX1","GSON4151510301")</f>
        <v>#NAME?</v>
      </c>
      <c r="V3038" s="23" t="e">
        <f ca="1">[1]!BexGetData("DP_1","00O2TNJGODT0G5Z4TTKYMN18L","GSON4151510301")</f>
        <v>#NAME?</v>
      </c>
      <c r="W3038" s="28" t="e">
        <f ca="1">[1]!BexGetData("DP_1","00O2TNJGODT0G5Z4TTKYMN7K5","GSON4151510301")</f>
        <v>#NAME?</v>
      </c>
    </row>
    <row r="3039" spans="1:23" x14ac:dyDescent="0.2">
      <c r="A3039" s="34" t="s">
        <v>565</v>
      </c>
      <c r="B3039" s="27" t="s">
        <v>566</v>
      </c>
      <c r="C3039" s="23" t="e">
        <f ca="1">[1]!BexGetData("DP_1","003N8EMH8GTFRCSWKMPXRR8GU","GSON416")</f>
        <v>#NAME?</v>
      </c>
      <c r="D3039" s="23" t="e">
        <f ca="1">[1]!BexGetData("DP_1","003N8EMH8GTFRCSWKMPXRRESE","GSON416")</f>
        <v>#NAME?</v>
      </c>
      <c r="E3039" s="23" t="e">
        <f ca="1">[1]!BexGetData("DP_1","003N8EMH8GTFRCSWKMPXRRL3Y","GSON416")</f>
        <v>#NAME?</v>
      </c>
      <c r="F3039" s="23" t="e">
        <f ca="1">[1]!BexGetData("DP_1","003N8EMH8GTFRCSWKMPXRRRFI","GSON416")</f>
        <v>#NAME?</v>
      </c>
      <c r="G3039" s="23" t="e">
        <f ca="1">[1]!BexGetData("DP_1","003N8EMH8GTFRCSWKMPXRRXR2","GSON416")</f>
        <v>#NAME?</v>
      </c>
      <c r="H3039" s="23" t="e">
        <f ca="1">[1]!BexGetData("DP_1","003N8EMH8GTFRCSWKMPXRS42M","GSON416")</f>
        <v>#NAME?</v>
      </c>
      <c r="I3039" s="23" t="e">
        <f ca="1">[1]!BexGetData("DP_1","003N8EMH8GTFRCSWKMPXRSAE6","GSON416")</f>
        <v>#NAME?</v>
      </c>
      <c r="J3039" s="24" t="e">
        <f ca="1">[1]!BexGetData("DP_1","003N8EMH8GTFRCSWKMPXRSGPQ","GSON416")</f>
        <v>#NAME?</v>
      </c>
      <c r="K3039" s="23" t="e">
        <f ca="1">[1]!BexGetData("DP_1","003N8EMH8GTFRIVNUPY288VJH","GSON416")</f>
        <v>#NAME?</v>
      </c>
      <c r="L3039" s="23" t="e">
        <f ca="1">[1]!BexGetData("DP_1","003N8EMH8GTFRIVNUPY2891V1","GSON416")</f>
        <v>#NAME?</v>
      </c>
      <c r="M3039" s="23" t="e">
        <f ca="1">[1]!BexGetData("DP_1","003N8EMH8GTFRIVOG7KG9IQXA","GSON416")</f>
        <v>#NAME?</v>
      </c>
      <c r="N3039" s="28" t="e">
        <f ca="1">[1]!BexGetData("DP_1","003N8EMH8GTFRIVOG7KG9IX8U","GSON416")</f>
        <v>#NAME?</v>
      </c>
      <c r="O3039" s="23" t="e">
        <f ca="1">[1]!BexGetData("DP_1","003N8EMH8GTFRIVOG7KG9J3KE","GSON416")</f>
        <v>#NAME?</v>
      </c>
      <c r="P3039" s="28" t="e">
        <f ca="1">[1]!BexGetData("DP_1","003N8EMH8GTFRIVOG7KG9J9VY","GSON416")</f>
        <v>#NAME?</v>
      </c>
      <c r="Q3039" s="24" t="e">
        <f ca="1">[1]!BexGetData("DP_1","00O2TNJGODT0G5Z4TTKYMM5MT","GSON416")</f>
        <v>#NAME?</v>
      </c>
      <c r="R3039" s="23" t="e">
        <f ca="1">[1]!BexGetData("DP_1","00O2TNJGODT0G5Z4TTKYMMBYD","GSON416")</f>
        <v>#NAME?</v>
      </c>
      <c r="S3039" s="23" t="e">
        <f ca="1">[1]!BexGetData("DP_1","00O2TNJGODT0G5Z4TTKYMMI9X","GSON416")</f>
        <v>#NAME?</v>
      </c>
      <c r="T3039" s="23" t="e">
        <f ca="1">[1]!BexGetData("DP_1","00O2TNJGODT0G5Z4TTKYMMOLH","GSON416")</f>
        <v>#NAME?</v>
      </c>
      <c r="U3039" s="28" t="e">
        <f ca="1">[1]!BexGetData("DP_1","00O2TNJGODT0G5Z4TTKYMMUX1","GSON416")</f>
        <v>#NAME?</v>
      </c>
      <c r="V3039" s="23" t="e">
        <f ca="1">[1]!BexGetData("DP_1","00O2TNJGODT0G5Z4TTKYMN18L","GSON416")</f>
        <v>#NAME?</v>
      </c>
      <c r="W3039" s="28" t="e">
        <f ca="1">[1]!BexGetData("DP_1","00O2TNJGODT0G5Z4TTKYMN7K5","GSON416")</f>
        <v>#NAME?</v>
      </c>
    </row>
    <row r="3040" spans="1:23" x14ac:dyDescent="0.2">
      <c r="A3040" s="35" t="s">
        <v>709</v>
      </c>
      <c r="B3040" s="27" t="s">
        <v>710</v>
      </c>
      <c r="C3040" s="23" t="e">
        <f ca="1">[1]!BexGetData("DP_1","003N8EMH8GTFRCSWKMPXRR8GU","GSON4161")</f>
        <v>#NAME?</v>
      </c>
      <c r="D3040" s="23" t="e">
        <f ca="1">[1]!BexGetData("DP_1","003N8EMH8GTFRCSWKMPXRRESE","GSON4161")</f>
        <v>#NAME?</v>
      </c>
      <c r="E3040" s="23" t="e">
        <f ca="1">[1]!BexGetData("DP_1","003N8EMH8GTFRCSWKMPXRRL3Y","GSON4161")</f>
        <v>#NAME?</v>
      </c>
      <c r="F3040" s="23" t="e">
        <f ca="1">[1]!BexGetData("DP_1","003N8EMH8GTFRCSWKMPXRRRFI","GSON4161")</f>
        <v>#NAME?</v>
      </c>
      <c r="G3040" s="23" t="e">
        <f ca="1">[1]!BexGetData("DP_1","003N8EMH8GTFRCSWKMPXRRXR2","GSON4161")</f>
        <v>#NAME?</v>
      </c>
      <c r="H3040" s="23" t="e">
        <f ca="1">[1]!BexGetData("DP_1","003N8EMH8GTFRCSWKMPXRS42M","GSON4161")</f>
        <v>#NAME?</v>
      </c>
      <c r="I3040" s="23" t="e">
        <f ca="1">[1]!BexGetData("DP_1","003N8EMH8GTFRCSWKMPXRSAE6","GSON4161")</f>
        <v>#NAME?</v>
      </c>
      <c r="J3040" s="24" t="e">
        <f ca="1">[1]!BexGetData("DP_1","003N8EMH8GTFRCSWKMPXRSGPQ","GSON4161")</f>
        <v>#NAME?</v>
      </c>
      <c r="K3040" s="23" t="e">
        <f ca="1">[1]!BexGetData("DP_1","003N8EMH8GTFRIVNUPY288VJH","GSON4161")</f>
        <v>#NAME?</v>
      </c>
      <c r="L3040" s="23" t="e">
        <f ca="1">[1]!BexGetData("DP_1","003N8EMH8GTFRIVNUPY2891V1","GSON4161")</f>
        <v>#NAME?</v>
      </c>
      <c r="M3040" s="23" t="e">
        <f ca="1">[1]!BexGetData("DP_1","003N8EMH8GTFRIVOG7KG9IQXA","GSON4161")</f>
        <v>#NAME?</v>
      </c>
      <c r="N3040" s="28" t="e">
        <f ca="1">[1]!BexGetData("DP_1","003N8EMH8GTFRIVOG7KG9IX8U","GSON4161")</f>
        <v>#NAME?</v>
      </c>
      <c r="O3040" s="23" t="e">
        <f ca="1">[1]!BexGetData("DP_1","003N8EMH8GTFRIVOG7KG9J3KE","GSON4161")</f>
        <v>#NAME?</v>
      </c>
      <c r="P3040" s="28" t="e">
        <f ca="1">[1]!BexGetData("DP_1","003N8EMH8GTFRIVOG7KG9J9VY","GSON4161")</f>
        <v>#NAME?</v>
      </c>
      <c r="Q3040" s="24" t="e">
        <f ca="1">[1]!BexGetData("DP_1","00O2TNJGODT0G5Z4TTKYMM5MT","GSON4161")</f>
        <v>#NAME?</v>
      </c>
      <c r="R3040" s="23" t="e">
        <f ca="1">[1]!BexGetData("DP_1","00O2TNJGODT0G5Z4TTKYMMBYD","GSON4161")</f>
        <v>#NAME?</v>
      </c>
      <c r="S3040" s="23" t="e">
        <f ca="1">[1]!BexGetData("DP_1","00O2TNJGODT0G5Z4TTKYMMI9X","GSON4161")</f>
        <v>#NAME?</v>
      </c>
      <c r="T3040" s="23" t="e">
        <f ca="1">[1]!BexGetData("DP_1","00O2TNJGODT0G5Z4TTKYMMOLH","GSON4161")</f>
        <v>#NAME?</v>
      </c>
      <c r="U3040" s="28" t="e">
        <f ca="1">[1]!BexGetData("DP_1","00O2TNJGODT0G5Z4TTKYMMUX1","GSON4161")</f>
        <v>#NAME?</v>
      </c>
      <c r="V3040" s="23" t="e">
        <f ca="1">[1]!BexGetData("DP_1","00O2TNJGODT0G5Z4TTKYMN18L","GSON4161")</f>
        <v>#NAME?</v>
      </c>
      <c r="W3040" s="28" t="e">
        <f ca="1">[1]!BexGetData("DP_1","00O2TNJGODT0G5Z4TTKYMN7K5","GSON4161")</f>
        <v>#NAME?</v>
      </c>
    </row>
    <row r="3041" spans="1:23" x14ac:dyDescent="0.2">
      <c r="A3041" s="36" t="s">
        <v>1513</v>
      </c>
      <c r="B3041" s="27" t="s">
        <v>1514</v>
      </c>
      <c r="C3041" s="23" t="e">
        <f ca="1">[1]!BexGetData("DP_1","003N8EMH8GTFRCSWKMPXRR8GU","GSON4161610101")</f>
        <v>#NAME?</v>
      </c>
      <c r="D3041" s="23" t="e">
        <f ca="1">[1]!BexGetData("DP_1","003N8EMH8GTFRCSWKMPXRRESE","GSON4161610101")</f>
        <v>#NAME?</v>
      </c>
      <c r="E3041" s="23" t="e">
        <f ca="1">[1]!BexGetData("DP_1","003N8EMH8GTFRCSWKMPXRRL3Y","GSON4161610101")</f>
        <v>#NAME?</v>
      </c>
      <c r="F3041" s="23" t="e">
        <f ca="1">[1]!BexGetData("DP_1","003N8EMH8GTFRCSWKMPXRRRFI","GSON4161610101")</f>
        <v>#NAME?</v>
      </c>
      <c r="G3041" s="23" t="e">
        <f ca="1">[1]!BexGetData("DP_1","003N8EMH8GTFRCSWKMPXRRXR2","GSON4161610101")</f>
        <v>#NAME?</v>
      </c>
      <c r="H3041" s="23" t="e">
        <f ca="1">[1]!BexGetData("DP_1","003N8EMH8GTFRCSWKMPXRS42M","GSON4161610101")</f>
        <v>#NAME?</v>
      </c>
      <c r="I3041" s="23" t="e">
        <f ca="1">[1]!BexGetData("DP_1","003N8EMH8GTFRCSWKMPXRSAE6","GSON4161610101")</f>
        <v>#NAME?</v>
      </c>
      <c r="J3041" s="24" t="e">
        <f ca="1">[1]!BexGetData("DP_1","003N8EMH8GTFRCSWKMPXRSGPQ","GSON4161610101")</f>
        <v>#NAME?</v>
      </c>
      <c r="K3041" s="23" t="e">
        <f ca="1">[1]!BexGetData("DP_1","003N8EMH8GTFRIVNUPY288VJH","GSON4161610101")</f>
        <v>#NAME?</v>
      </c>
      <c r="L3041" s="23" t="e">
        <f ca="1">[1]!BexGetData("DP_1","003N8EMH8GTFRIVNUPY2891V1","GSON4161610101")</f>
        <v>#NAME?</v>
      </c>
      <c r="M3041" s="28" t="e">
        <f ca="1">[1]!BexGetData("DP_1","003N8EMH8GTFRIVOG7KG9IQXA","GSON4161610101")</f>
        <v>#NAME?</v>
      </c>
      <c r="N3041" s="23" t="e">
        <f ca="1">[1]!BexGetData("DP_1","003N8EMH8GTFRIVOG7KG9IX8U","GSON4161610101")</f>
        <v>#NAME?</v>
      </c>
      <c r="O3041" s="28" t="e">
        <f ca="1">[1]!BexGetData("DP_1","003N8EMH8GTFRIVOG7KG9J3KE","GSON4161610101")</f>
        <v>#NAME?</v>
      </c>
      <c r="P3041" s="23" t="e">
        <f ca="1">[1]!BexGetData("DP_1","003N8EMH8GTFRIVOG7KG9J9VY","GSON4161610101")</f>
        <v>#NAME?</v>
      </c>
      <c r="Q3041" s="24" t="e">
        <f ca="1">[1]!BexGetData("DP_1","00O2TNJGODT0G5Z4TTKYMM5MT","GSON4161610101")</f>
        <v>#NAME?</v>
      </c>
      <c r="R3041" s="23" t="e">
        <f ca="1">[1]!BexGetData("DP_1","00O2TNJGODT0G5Z4TTKYMMBYD","GSON4161610101")</f>
        <v>#NAME?</v>
      </c>
      <c r="S3041" s="23" t="e">
        <f ca="1">[1]!BexGetData("DP_1","00O2TNJGODT0G5Z4TTKYMMI9X","GSON4161610101")</f>
        <v>#NAME?</v>
      </c>
      <c r="T3041" s="23" t="e">
        <f ca="1">[1]!BexGetData("DP_1","00O2TNJGODT0G5Z4TTKYMMOLH","GSON4161610101")</f>
        <v>#NAME?</v>
      </c>
      <c r="U3041" s="28" t="e">
        <f ca="1">[1]!BexGetData("DP_1","00O2TNJGODT0G5Z4TTKYMMUX1","GSON4161610101")</f>
        <v>#NAME?</v>
      </c>
      <c r="V3041" s="23" t="e">
        <f ca="1">[1]!BexGetData("DP_1","00O2TNJGODT0G5Z4TTKYMN18L","GSON4161610101")</f>
        <v>#NAME?</v>
      </c>
      <c r="W3041" s="28" t="e">
        <f ca="1">[1]!BexGetData("DP_1","00O2TNJGODT0G5Z4TTKYMN7K5","GSON4161610101")</f>
        <v>#NAME?</v>
      </c>
    </row>
    <row r="3042" spans="1:23" x14ac:dyDescent="0.2">
      <c r="A3042" s="36" t="s">
        <v>1515</v>
      </c>
      <c r="B3042" s="27" t="s">
        <v>1516</v>
      </c>
      <c r="C3042" s="23" t="e">
        <f ca="1">[1]!BexGetData("DP_1","003N8EMH8GTFRCSWKMPXRR8GU","GSON4161610102")</f>
        <v>#NAME?</v>
      </c>
      <c r="D3042" s="23" t="e">
        <f ca="1">[1]!BexGetData("DP_1","003N8EMH8GTFRCSWKMPXRRESE","GSON4161610102")</f>
        <v>#NAME?</v>
      </c>
      <c r="E3042" s="23" t="e">
        <f ca="1">[1]!BexGetData("DP_1","003N8EMH8GTFRCSWKMPXRRL3Y","GSON4161610102")</f>
        <v>#NAME?</v>
      </c>
      <c r="F3042" s="23" t="e">
        <f ca="1">[1]!BexGetData("DP_1","003N8EMH8GTFRCSWKMPXRRRFI","GSON4161610102")</f>
        <v>#NAME?</v>
      </c>
      <c r="G3042" s="23" t="e">
        <f ca="1">[1]!BexGetData("DP_1","003N8EMH8GTFRCSWKMPXRRXR2","GSON4161610102")</f>
        <v>#NAME?</v>
      </c>
      <c r="H3042" s="23" t="e">
        <f ca="1">[1]!BexGetData("DP_1","003N8EMH8GTFRCSWKMPXRS42M","GSON4161610102")</f>
        <v>#NAME?</v>
      </c>
      <c r="I3042" s="23" t="e">
        <f ca="1">[1]!BexGetData("DP_1","003N8EMH8GTFRCSWKMPXRSAE6","GSON4161610102")</f>
        <v>#NAME?</v>
      </c>
      <c r="J3042" s="24" t="e">
        <f ca="1">[1]!BexGetData("DP_1","003N8EMH8GTFRCSWKMPXRSGPQ","GSON4161610102")</f>
        <v>#NAME?</v>
      </c>
      <c r="K3042" s="23" t="e">
        <f ca="1">[1]!BexGetData("DP_1","003N8EMH8GTFRIVNUPY288VJH","GSON4161610102")</f>
        <v>#NAME?</v>
      </c>
      <c r="L3042" s="23" t="e">
        <f ca="1">[1]!BexGetData("DP_1","003N8EMH8GTFRIVNUPY2891V1","GSON4161610102")</f>
        <v>#NAME?</v>
      </c>
      <c r="M3042" s="23" t="e">
        <f ca="1">[1]!BexGetData("DP_1","003N8EMH8GTFRIVOG7KG9IQXA","GSON4161610102")</f>
        <v>#NAME?</v>
      </c>
      <c r="N3042" s="28" t="e">
        <f ca="1">[1]!BexGetData("DP_1","003N8EMH8GTFRIVOG7KG9IX8U","GSON4161610102")</f>
        <v>#NAME?</v>
      </c>
      <c r="O3042" s="23" t="e">
        <f ca="1">[1]!BexGetData("DP_1","003N8EMH8GTFRIVOG7KG9J3KE","GSON4161610102")</f>
        <v>#NAME?</v>
      </c>
      <c r="P3042" s="28" t="e">
        <f ca="1">[1]!BexGetData("DP_1","003N8EMH8GTFRIVOG7KG9J9VY","GSON4161610102")</f>
        <v>#NAME?</v>
      </c>
      <c r="Q3042" s="24" t="e">
        <f ca="1">[1]!BexGetData("DP_1","00O2TNJGODT0G5Z4TTKYMM5MT","GSON4161610102")</f>
        <v>#NAME?</v>
      </c>
      <c r="R3042" s="23" t="e">
        <f ca="1">[1]!BexGetData("DP_1","00O2TNJGODT0G5Z4TTKYMMBYD","GSON4161610102")</f>
        <v>#NAME?</v>
      </c>
      <c r="S3042" s="23" t="e">
        <f ca="1">[1]!BexGetData("DP_1","00O2TNJGODT0G5Z4TTKYMMI9X","GSON4161610102")</f>
        <v>#NAME?</v>
      </c>
      <c r="T3042" s="23" t="e">
        <f ca="1">[1]!BexGetData("DP_1","00O2TNJGODT0G5Z4TTKYMMOLH","GSON4161610102")</f>
        <v>#NAME?</v>
      </c>
      <c r="U3042" s="28" t="e">
        <f ca="1">[1]!BexGetData("DP_1","00O2TNJGODT0G5Z4TTKYMMUX1","GSON4161610102")</f>
        <v>#NAME?</v>
      </c>
      <c r="V3042" s="23" t="e">
        <f ca="1">[1]!BexGetData("DP_1","00O2TNJGODT0G5Z4TTKYMN18L","GSON4161610102")</f>
        <v>#NAME?</v>
      </c>
      <c r="W3042" s="28" t="e">
        <f ca="1">[1]!BexGetData("DP_1","00O2TNJGODT0G5Z4TTKYMN7K5","GSON4161610102")</f>
        <v>#NAME?</v>
      </c>
    </row>
    <row r="3043" spans="1:23" x14ac:dyDescent="0.2">
      <c r="A3043" s="36" t="s">
        <v>6373</v>
      </c>
      <c r="B3043" s="27" t="s">
        <v>6374</v>
      </c>
      <c r="C3043" s="28" t="e">
        <f ca="1">[1]!BexGetData("DP_1","003N8EMH8GTFRCSWKMPXRR8GU","GSON4161610103")</f>
        <v>#NAME?</v>
      </c>
      <c r="D3043" s="23" t="e">
        <f ca="1">[1]!BexGetData("DP_1","003N8EMH8GTFRCSWKMPXRRESE","GSON4161610103")</f>
        <v>#NAME?</v>
      </c>
      <c r="E3043" s="23" t="e">
        <f ca="1">[1]!BexGetData("DP_1","003N8EMH8GTFRCSWKMPXRRL3Y","GSON4161610103")</f>
        <v>#NAME?</v>
      </c>
      <c r="F3043" s="23" t="e">
        <f ca="1">[1]!BexGetData("DP_1","003N8EMH8GTFRCSWKMPXRRRFI","GSON4161610103")</f>
        <v>#NAME?</v>
      </c>
      <c r="G3043" s="23" t="e">
        <f ca="1">[1]!BexGetData("DP_1","003N8EMH8GTFRCSWKMPXRRXR2","GSON4161610103")</f>
        <v>#NAME?</v>
      </c>
      <c r="H3043" s="23" t="e">
        <f ca="1">[1]!BexGetData("DP_1","003N8EMH8GTFRCSWKMPXRS42M","GSON4161610103")</f>
        <v>#NAME?</v>
      </c>
      <c r="I3043" s="23" t="e">
        <f ca="1">[1]!BexGetData("DP_1","003N8EMH8GTFRCSWKMPXRSAE6","GSON4161610103")</f>
        <v>#NAME?</v>
      </c>
      <c r="J3043" s="24" t="e">
        <f ca="1">[1]!BexGetData("DP_1","003N8EMH8GTFRCSWKMPXRSGPQ","GSON4161610103")</f>
        <v>#NAME?</v>
      </c>
      <c r="K3043" s="23" t="e">
        <f ca="1">[1]!BexGetData("DP_1","003N8EMH8GTFRIVNUPY288VJH","GSON4161610103")</f>
        <v>#NAME?</v>
      </c>
      <c r="L3043" s="23" t="e">
        <f ca="1">[1]!BexGetData("DP_1","003N8EMH8GTFRIVNUPY2891V1","GSON4161610103")</f>
        <v>#NAME?</v>
      </c>
      <c r="M3043" s="23" t="e">
        <f ca="1">[1]!BexGetData("DP_1","003N8EMH8GTFRIVOG7KG9IQXA","GSON4161610103")</f>
        <v>#NAME?</v>
      </c>
      <c r="N3043" s="28" t="e">
        <f ca="1">[1]!BexGetData("DP_1","003N8EMH8GTFRIVOG7KG9IX8U","GSON4161610103")</f>
        <v>#NAME?</v>
      </c>
      <c r="O3043" s="23" t="e">
        <f ca="1">[1]!BexGetData("DP_1","003N8EMH8GTFRIVOG7KG9J3KE","GSON4161610103")</f>
        <v>#NAME?</v>
      </c>
      <c r="P3043" s="28" t="e">
        <f ca="1">[1]!BexGetData("DP_1","003N8EMH8GTFRIVOG7KG9J9VY","GSON4161610103")</f>
        <v>#NAME?</v>
      </c>
      <c r="Q3043" s="24" t="e">
        <f ca="1">[1]!BexGetData("DP_1","00O2TNJGODT0G5Z4TTKYMM5MT","GSON4161610103")</f>
        <v>#NAME?</v>
      </c>
      <c r="R3043" s="23" t="e">
        <f ca="1">[1]!BexGetData("DP_1","00O2TNJGODT0G5Z4TTKYMMBYD","GSON4161610103")</f>
        <v>#NAME?</v>
      </c>
      <c r="S3043" s="23" t="e">
        <f ca="1">[1]!BexGetData("DP_1","00O2TNJGODT0G5Z4TTKYMMI9X","GSON4161610103")</f>
        <v>#NAME?</v>
      </c>
      <c r="T3043" s="23" t="e">
        <f ca="1">[1]!BexGetData("DP_1","00O2TNJGODT0G5Z4TTKYMMOLH","GSON4161610103")</f>
        <v>#NAME?</v>
      </c>
      <c r="U3043" s="28" t="e">
        <f ca="1">[1]!BexGetData("DP_1","00O2TNJGODT0G5Z4TTKYMMUX1","GSON4161610103")</f>
        <v>#NAME?</v>
      </c>
      <c r="V3043" s="23" t="e">
        <f ca="1">[1]!BexGetData("DP_1","00O2TNJGODT0G5Z4TTKYMN18L","GSON4161610103")</f>
        <v>#NAME?</v>
      </c>
      <c r="W3043" s="28" t="e">
        <f ca="1">[1]!BexGetData("DP_1","00O2TNJGODT0G5Z4TTKYMN7K5","GSON4161610103")</f>
        <v>#NAME?</v>
      </c>
    </row>
    <row r="3044" spans="1:23" x14ac:dyDescent="0.2">
      <c r="A3044" s="36" t="s">
        <v>1517</v>
      </c>
      <c r="B3044" s="27" t="s">
        <v>711</v>
      </c>
      <c r="C3044" s="23" t="e">
        <f ca="1">[1]!BexGetData("DP_1","003N8EMH8GTFRCSWKMPXRR8GU","GSON4161610104")</f>
        <v>#NAME?</v>
      </c>
      <c r="D3044" s="23" t="e">
        <f ca="1">[1]!BexGetData("DP_1","003N8EMH8GTFRCSWKMPXRRESE","GSON4161610104")</f>
        <v>#NAME?</v>
      </c>
      <c r="E3044" s="23" t="e">
        <f ca="1">[1]!BexGetData("DP_1","003N8EMH8GTFRCSWKMPXRRL3Y","GSON4161610104")</f>
        <v>#NAME?</v>
      </c>
      <c r="F3044" s="23" t="e">
        <f ca="1">[1]!BexGetData("DP_1","003N8EMH8GTFRCSWKMPXRRRFI","GSON4161610104")</f>
        <v>#NAME?</v>
      </c>
      <c r="G3044" s="23" t="e">
        <f ca="1">[1]!BexGetData("DP_1","003N8EMH8GTFRCSWKMPXRRXR2","GSON4161610104")</f>
        <v>#NAME?</v>
      </c>
      <c r="H3044" s="23" t="e">
        <f ca="1">[1]!BexGetData("DP_1","003N8EMH8GTFRCSWKMPXRS42M","GSON4161610104")</f>
        <v>#NAME?</v>
      </c>
      <c r="I3044" s="23" t="e">
        <f ca="1">[1]!BexGetData("DP_1","003N8EMH8GTFRCSWKMPXRSAE6","GSON4161610104")</f>
        <v>#NAME?</v>
      </c>
      <c r="J3044" s="24" t="e">
        <f ca="1">[1]!BexGetData("DP_1","003N8EMH8GTFRCSWKMPXRSGPQ","GSON4161610104")</f>
        <v>#NAME?</v>
      </c>
      <c r="K3044" s="23" t="e">
        <f ca="1">[1]!BexGetData("DP_1","003N8EMH8GTFRIVNUPY288VJH","GSON4161610104")</f>
        <v>#NAME?</v>
      </c>
      <c r="L3044" s="23" t="e">
        <f ca="1">[1]!BexGetData("DP_1","003N8EMH8GTFRIVNUPY2891V1","GSON4161610104")</f>
        <v>#NAME?</v>
      </c>
      <c r="M3044" s="23" t="e">
        <f ca="1">[1]!BexGetData("DP_1","003N8EMH8GTFRIVOG7KG9IQXA","GSON4161610104")</f>
        <v>#NAME?</v>
      </c>
      <c r="N3044" s="28" t="e">
        <f ca="1">[1]!BexGetData("DP_1","003N8EMH8GTFRIVOG7KG9IX8U","GSON4161610104")</f>
        <v>#NAME?</v>
      </c>
      <c r="O3044" s="23" t="e">
        <f ca="1">[1]!BexGetData("DP_1","003N8EMH8GTFRIVOG7KG9J3KE","GSON4161610104")</f>
        <v>#NAME?</v>
      </c>
      <c r="P3044" s="28" t="e">
        <f ca="1">[1]!BexGetData("DP_1","003N8EMH8GTFRIVOG7KG9J9VY","GSON4161610104")</f>
        <v>#NAME?</v>
      </c>
      <c r="Q3044" s="24" t="e">
        <f ca="1">[1]!BexGetData("DP_1","00O2TNJGODT0G5Z4TTKYMM5MT","GSON4161610104")</f>
        <v>#NAME?</v>
      </c>
      <c r="R3044" s="23" t="e">
        <f ca="1">[1]!BexGetData("DP_1","00O2TNJGODT0G5Z4TTKYMMBYD","GSON4161610104")</f>
        <v>#NAME?</v>
      </c>
      <c r="S3044" s="23" t="e">
        <f ca="1">[1]!BexGetData("DP_1","00O2TNJGODT0G5Z4TTKYMMI9X","GSON4161610104")</f>
        <v>#NAME?</v>
      </c>
      <c r="T3044" s="23" t="e">
        <f ca="1">[1]!BexGetData("DP_1","00O2TNJGODT0G5Z4TTKYMMOLH","GSON4161610104")</f>
        <v>#NAME?</v>
      </c>
      <c r="U3044" s="28" t="e">
        <f ca="1">[1]!BexGetData("DP_1","00O2TNJGODT0G5Z4TTKYMMUX1","GSON4161610104")</f>
        <v>#NAME?</v>
      </c>
      <c r="V3044" s="23" t="e">
        <f ca="1">[1]!BexGetData("DP_1","00O2TNJGODT0G5Z4TTKYMN18L","GSON4161610104")</f>
        <v>#NAME?</v>
      </c>
      <c r="W3044" s="28" t="e">
        <f ca="1">[1]!BexGetData("DP_1","00O2TNJGODT0G5Z4TTKYMN7K5","GSON4161610104")</f>
        <v>#NAME?</v>
      </c>
    </row>
    <row r="3045" spans="1:23" x14ac:dyDescent="0.2">
      <c r="A3045" s="36" t="s">
        <v>1518</v>
      </c>
      <c r="B3045" s="27" t="s">
        <v>1519</v>
      </c>
      <c r="C3045" s="23" t="e">
        <f ca="1">[1]!BexGetData("DP_1","003N8EMH8GTFRCSWKMPXRR8GU","GSON4161610105")</f>
        <v>#NAME?</v>
      </c>
      <c r="D3045" s="23" t="e">
        <f ca="1">[1]!BexGetData("DP_1","003N8EMH8GTFRCSWKMPXRRESE","GSON4161610105")</f>
        <v>#NAME?</v>
      </c>
      <c r="E3045" s="23" t="e">
        <f ca="1">[1]!BexGetData("DP_1","003N8EMH8GTFRCSWKMPXRRL3Y","GSON4161610105")</f>
        <v>#NAME?</v>
      </c>
      <c r="F3045" s="23" t="e">
        <f ca="1">[1]!BexGetData("DP_1","003N8EMH8GTFRCSWKMPXRRRFI","GSON4161610105")</f>
        <v>#NAME?</v>
      </c>
      <c r="G3045" s="23" t="e">
        <f ca="1">[1]!BexGetData("DP_1","003N8EMH8GTFRCSWKMPXRRXR2","GSON4161610105")</f>
        <v>#NAME?</v>
      </c>
      <c r="H3045" s="23" t="e">
        <f ca="1">[1]!BexGetData("DP_1","003N8EMH8GTFRCSWKMPXRS42M","GSON4161610105")</f>
        <v>#NAME?</v>
      </c>
      <c r="I3045" s="23" t="e">
        <f ca="1">[1]!BexGetData("DP_1","003N8EMH8GTFRCSWKMPXRSAE6","GSON4161610105")</f>
        <v>#NAME?</v>
      </c>
      <c r="J3045" s="24" t="e">
        <f ca="1">[1]!BexGetData("DP_1","003N8EMH8GTFRCSWKMPXRSGPQ","GSON4161610105")</f>
        <v>#NAME?</v>
      </c>
      <c r="K3045" s="23" t="e">
        <f ca="1">[1]!BexGetData("DP_1","003N8EMH8GTFRIVNUPY288VJH","GSON4161610105")</f>
        <v>#NAME?</v>
      </c>
      <c r="L3045" s="23" t="e">
        <f ca="1">[1]!BexGetData("DP_1","003N8EMH8GTFRIVNUPY2891V1","GSON4161610105")</f>
        <v>#NAME?</v>
      </c>
      <c r="M3045" s="23" t="e">
        <f ca="1">[1]!BexGetData("DP_1","003N8EMH8GTFRIVOG7KG9IQXA","GSON4161610105")</f>
        <v>#NAME?</v>
      </c>
      <c r="N3045" s="28" t="e">
        <f ca="1">[1]!BexGetData("DP_1","003N8EMH8GTFRIVOG7KG9IX8U","GSON4161610105")</f>
        <v>#NAME?</v>
      </c>
      <c r="O3045" s="23" t="e">
        <f ca="1">[1]!BexGetData("DP_1","003N8EMH8GTFRIVOG7KG9J3KE","GSON4161610105")</f>
        <v>#NAME?</v>
      </c>
      <c r="P3045" s="28" t="e">
        <f ca="1">[1]!BexGetData("DP_1","003N8EMH8GTFRIVOG7KG9J9VY","GSON4161610105")</f>
        <v>#NAME?</v>
      </c>
      <c r="Q3045" s="24" t="e">
        <f ca="1">[1]!BexGetData("DP_1","00O2TNJGODT0G5Z4TTKYMM5MT","GSON4161610105")</f>
        <v>#NAME?</v>
      </c>
      <c r="R3045" s="23" t="e">
        <f ca="1">[1]!BexGetData("DP_1","00O2TNJGODT0G5Z4TTKYMMBYD","GSON4161610105")</f>
        <v>#NAME?</v>
      </c>
      <c r="S3045" s="23" t="e">
        <f ca="1">[1]!BexGetData("DP_1","00O2TNJGODT0G5Z4TTKYMMI9X","GSON4161610105")</f>
        <v>#NAME?</v>
      </c>
      <c r="T3045" s="23" t="e">
        <f ca="1">[1]!BexGetData("DP_1","00O2TNJGODT0G5Z4TTKYMMOLH","GSON4161610105")</f>
        <v>#NAME?</v>
      </c>
      <c r="U3045" s="28" t="e">
        <f ca="1">[1]!BexGetData("DP_1","00O2TNJGODT0G5Z4TTKYMMUX1","GSON4161610105")</f>
        <v>#NAME?</v>
      </c>
      <c r="V3045" s="23" t="e">
        <f ca="1">[1]!BexGetData("DP_1","00O2TNJGODT0G5Z4TTKYMN18L","GSON4161610105")</f>
        <v>#NAME?</v>
      </c>
      <c r="W3045" s="28" t="e">
        <f ca="1">[1]!BexGetData("DP_1","00O2TNJGODT0G5Z4TTKYMN7K5","GSON4161610105")</f>
        <v>#NAME?</v>
      </c>
    </row>
    <row r="3046" spans="1:23" x14ac:dyDescent="0.2">
      <c r="A3046" s="36" t="s">
        <v>1520</v>
      </c>
      <c r="B3046" s="27" t="s">
        <v>1521</v>
      </c>
      <c r="C3046" s="23" t="e">
        <f ca="1">[1]!BexGetData("DP_1","003N8EMH8GTFRCSWKMPXRR8GU","GSON4161610106")</f>
        <v>#NAME?</v>
      </c>
      <c r="D3046" s="23" t="e">
        <f ca="1">[1]!BexGetData("DP_1","003N8EMH8GTFRCSWKMPXRRESE","GSON4161610106")</f>
        <v>#NAME?</v>
      </c>
      <c r="E3046" s="23" t="e">
        <f ca="1">[1]!BexGetData("DP_1","003N8EMH8GTFRCSWKMPXRRL3Y","GSON4161610106")</f>
        <v>#NAME?</v>
      </c>
      <c r="F3046" s="23" t="e">
        <f ca="1">[1]!BexGetData("DP_1","003N8EMH8GTFRCSWKMPXRRRFI","GSON4161610106")</f>
        <v>#NAME?</v>
      </c>
      <c r="G3046" s="23" t="e">
        <f ca="1">[1]!BexGetData("DP_1","003N8EMH8GTFRCSWKMPXRRXR2","GSON4161610106")</f>
        <v>#NAME?</v>
      </c>
      <c r="H3046" s="23" t="e">
        <f ca="1">[1]!BexGetData("DP_1","003N8EMH8GTFRCSWKMPXRS42M","GSON4161610106")</f>
        <v>#NAME?</v>
      </c>
      <c r="I3046" s="23" t="e">
        <f ca="1">[1]!BexGetData("DP_1","003N8EMH8GTFRCSWKMPXRSAE6","GSON4161610106")</f>
        <v>#NAME?</v>
      </c>
      <c r="J3046" s="24" t="e">
        <f ca="1">[1]!BexGetData("DP_1","003N8EMH8GTFRCSWKMPXRSGPQ","GSON4161610106")</f>
        <v>#NAME?</v>
      </c>
      <c r="K3046" s="23" t="e">
        <f ca="1">[1]!BexGetData("DP_1","003N8EMH8GTFRIVNUPY288VJH","GSON4161610106")</f>
        <v>#NAME?</v>
      </c>
      <c r="L3046" s="23" t="e">
        <f ca="1">[1]!BexGetData("DP_1","003N8EMH8GTFRIVNUPY2891V1","GSON4161610106")</f>
        <v>#NAME?</v>
      </c>
      <c r="M3046" s="23" t="e">
        <f ca="1">[1]!BexGetData("DP_1","003N8EMH8GTFRIVOG7KG9IQXA","GSON4161610106")</f>
        <v>#NAME?</v>
      </c>
      <c r="N3046" s="28" t="e">
        <f ca="1">[1]!BexGetData("DP_1","003N8EMH8GTFRIVOG7KG9IX8U","GSON4161610106")</f>
        <v>#NAME?</v>
      </c>
      <c r="O3046" s="23" t="e">
        <f ca="1">[1]!BexGetData("DP_1","003N8EMH8GTFRIVOG7KG9J3KE","GSON4161610106")</f>
        <v>#NAME?</v>
      </c>
      <c r="P3046" s="28" t="e">
        <f ca="1">[1]!BexGetData("DP_1","003N8EMH8GTFRIVOG7KG9J9VY","GSON4161610106")</f>
        <v>#NAME?</v>
      </c>
      <c r="Q3046" s="24" t="e">
        <f ca="1">[1]!BexGetData("DP_1","00O2TNJGODT0G5Z4TTKYMM5MT","GSON4161610106")</f>
        <v>#NAME?</v>
      </c>
      <c r="R3046" s="23" t="e">
        <f ca="1">[1]!BexGetData("DP_1","00O2TNJGODT0G5Z4TTKYMMBYD","GSON4161610106")</f>
        <v>#NAME?</v>
      </c>
      <c r="S3046" s="23" t="e">
        <f ca="1">[1]!BexGetData("DP_1","00O2TNJGODT0G5Z4TTKYMMI9X","GSON4161610106")</f>
        <v>#NAME?</v>
      </c>
      <c r="T3046" s="23" t="e">
        <f ca="1">[1]!BexGetData("DP_1","00O2TNJGODT0G5Z4TTKYMMOLH","GSON4161610106")</f>
        <v>#NAME?</v>
      </c>
      <c r="U3046" s="28" t="e">
        <f ca="1">[1]!BexGetData("DP_1","00O2TNJGODT0G5Z4TTKYMMUX1","GSON4161610106")</f>
        <v>#NAME?</v>
      </c>
      <c r="V3046" s="23" t="e">
        <f ca="1">[1]!BexGetData("DP_1","00O2TNJGODT0G5Z4TTKYMN18L","GSON4161610106")</f>
        <v>#NAME?</v>
      </c>
      <c r="W3046" s="28" t="e">
        <f ca="1">[1]!BexGetData("DP_1","00O2TNJGODT0G5Z4TTKYMN7K5","GSON4161610106")</f>
        <v>#NAME?</v>
      </c>
    </row>
    <row r="3047" spans="1:23" x14ac:dyDescent="0.2">
      <c r="A3047" s="36" t="s">
        <v>6375</v>
      </c>
      <c r="B3047" s="27" t="s">
        <v>6376</v>
      </c>
      <c r="C3047" s="28" t="e">
        <f ca="1">[1]!BexGetData("DP_1","003N8EMH8GTFRCSWKMPXRR8GU","GSON4161610107")</f>
        <v>#NAME?</v>
      </c>
      <c r="D3047" s="23" t="e">
        <f ca="1">[1]!BexGetData("DP_1","003N8EMH8GTFRCSWKMPXRRESE","GSON4161610107")</f>
        <v>#NAME?</v>
      </c>
      <c r="E3047" s="23" t="e">
        <f ca="1">[1]!BexGetData("DP_1","003N8EMH8GTFRCSWKMPXRRL3Y","GSON4161610107")</f>
        <v>#NAME?</v>
      </c>
      <c r="F3047" s="23" t="e">
        <f ca="1">[1]!BexGetData("DP_1","003N8EMH8GTFRCSWKMPXRRRFI","GSON4161610107")</f>
        <v>#NAME?</v>
      </c>
      <c r="G3047" s="28" t="e">
        <f ca="1">[1]!BexGetData("DP_1","003N8EMH8GTFRCSWKMPXRRXR2","GSON4161610107")</f>
        <v>#NAME?</v>
      </c>
      <c r="H3047" s="23" t="e">
        <f ca="1">[1]!BexGetData("DP_1","003N8EMH8GTFRCSWKMPXRS42M","GSON4161610107")</f>
        <v>#NAME?</v>
      </c>
      <c r="I3047" s="23" t="e">
        <f ca="1">[1]!BexGetData("DP_1","003N8EMH8GTFRCSWKMPXRSAE6","GSON4161610107")</f>
        <v>#NAME?</v>
      </c>
      <c r="J3047" s="24" t="e">
        <f ca="1">[1]!BexGetData("DP_1","003N8EMH8GTFRCSWKMPXRSGPQ","GSON4161610107")</f>
        <v>#NAME?</v>
      </c>
      <c r="K3047" s="23" t="e">
        <f ca="1">[1]!BexGetData("DP_1","003N8EMH8GTFRIVNUPY288VJH","GSON4161610107")</f>
        <v>#NAME?</v>
      </c>
      <c r="L3047" s="23" t="e">
        <f ca="1">[1]!BexGetData("DP_1","003N8EMH8GTFRIVNUPY2891V1","GSON4161610107")</f>
        <v>#NAME?</v>
      </c>
      <c r="M3047" s="23" t="e">
        <f ca="1">[1]!BexGetData("DP_1","003N8EMH8GTFRIVOG7KG9IQXA","GSON4161610107")</f>
        <v>#NAME?</v>
      </c>
      <c r="N3047" s="28" t="e">
        <f ca="1">[1]!BexGetData("DP_1","003N8EMH8GTFRIVOG7KG9IX8U","GSON4161610107")</f>
        <v>#NAME?</v>
      </c>
      <c r="O3047" s="23" t="e">
        <f ca="1">[1]!BexGetData("DP_1","003N8EMH8GTFRIVOG7KG9J3KE","GSON4161610107")</f>
        <v>#NAME?</v>
      </c>
      <c r="P3047" s="28" t="e">
        <f ca="1">[1]!BexGetData("DP_1","003N8EMH8GTFRIVOG7KG9J9VY","GSON4161610107")</f>
        <v>#NAME?</v>
      </c>
      <c r="Q3047" s="24" t="e">
        <f ca="1">[1]!BexGetData("DP_1","00O2TNJGODT0G5Z4TTKYMM5MT","GSON4161610107")</f>
        <v>#NAME?</v>
      </c>
      <c r="R3047" s="23" t="e">
        <f ca="1">[1]!BexGetData("DP_1","00O2TNJGODT0G5Z4TTKYMMBYD","GSON4161610107")</f>
        <v>#NAME?</v>
      </c>
      <c r="S3047" s="23" t="e">
        <f ca="1">[1]!BexGetData("DP_1","00O2TNJGODT0G5Z4TTKYMMI9X","GSON4161610107")</f>
        <v>#NAME?</v>
      </c>
      <c r="T3047" s="23" t="e">
        <f ca="1">[1]!BexGetData("DP_1","00O2TNJGODT0G5Z4TTKYMMOLH","GSON4161610107")</f>
        <v>#NAME?</v>
      </c>
      <c r="U3047" s="28" t="e">
        <f ca="1">[1]!BexGetData("DP_1","00O2TNJGODT0G5Z4TTKYMMUX1","GSON4161610107")</f>
        <v>#NAME?</v>
      </c>
      <c r="V3047" s="23" t="e">
        <f ca="1">[1]!BexGetData("DP_1","00O2TNJGODT0G5Z4TTKYMN18L","GSON4161610107")</f>
        <v>#NAME?</v>
      </c>
      <c r="W3047" s="28" t="e">
        <f ca="1">[1]!BexGetData("DP_1","00O2TNJGODT0G5Z4TTKYMN7K5","GSON4161610107")</f>
        <v>#NAME?</v>
      </c>
    </row>
    <row r="3048" spans="1:23" x14ac:dyDescent="0.2">
      <c r="A3048" s="36" t="s">
        <v>1522</v>
      </c>
      <c r="B3048" s="27" t="s">
        <v>1523</v>
      </c>
      <c r="C3048" s="28" t="e">
        <f ca="1">[1]!BexGetData("DP_1","003N8EMH8GTFRCSWKMPXRR8GU","GSON4161610108")</f>
        <v>#NAME?</v>
      </c>
      <c r="D3048" s="23" t="e">
        <f ca="1">[1]!BexGetData("DP_1","003N8EMH8GTFRCSWKMPXRRESE","GSON4161610108")</f>
        <v>#NAME?</v>
      </c>
      <c r="E3048" s="23" t="e">
        <f ca="1">[1]!BexGetData("DP_1","003N8EMH8GTFRCSWKMPXRRL3Y","GSON4161610108")</f>
        <v>#NAME?</v>
      </c>
      <c r="F3048" s="23" t="e">
        <f ca="1">[1]!BexGetData("DP_1","003N8EMH8GTFRCSWKMPXRRRFI","GSON4161610108")</f>
        <v>#NAME?</v>
      </c>
      <c r="G3048" s="28" t="e">
        <f ca="1">[1]!BexGetData("DP_1","003N8EMH8GTFRCSWKMPXRRXR2","GSON4161610108")</f>
        <v>#NAME?</v>
      </c>
      <c r="H3048" s="23" t="e">
        <f ca="1">[1]!BexGetData("DP_1","003N8EMH8GTFRCSWKMPXRS42M","GSON4161610108")</f>
        <v>#NAME?</v>
      </c>
      <c r="I3048" s="23" t="e">
        <f ca="1">[1]!BexGetData("DP_1","003N8EMH8GTFRCSWKMPXRSAE6","GSON4161610108")</f>
        <v>#NAME?</v>
      </c>
      <c r="J3048" s="24" t="e">
        <f ca="1">[1]!BexGetData("DP_1","003N8EMH8GTFRCSWKMPXRSGPQ","GSON4161610108")</f>
        <v>#NAME?</v>
      </c>
      <c r="K3048" s="23" t="e">
        <f ca="1">[1]!BexGetData("DP_1","003N8EMH8GTFRIVNUPY288VJH","GSON4161610108")</f>
        <v>#NAME?</v>
      </c>
      <c r="L3048" s="23" t="e">
        <f ca="1">[1]!BexGetData("DP_1","003N8EMH8GTFRIVNUPY2891V1","GSON4161610108")</f>
        <v>#NAME?</v>
      </c>
      <c r="M3048" s="28" t="e">
        <f ca="1">[1]!BexGetData("DP_1","003N8EMH8GTFRIVOG7KG9IQXA","GSON4161610108")</f>
        <v>#NAME?</v>
      </c>
      <c r="N3048" s="23" t="e">
        <f ca="1">[1]!BexGetData("DP_1","003N8EMH8GTFRIVOG7KG9IX8U","GSON4161610108")</f>
        <v>#NAME?</v>
      </c>
      <c r="O3048" s="28" t="e">
        <f ca="1">[1]!BexGetData("DP_1","003N8EMH8GTFRIVOG7KG9J3KE","GSON4161610108")</f>
        <v>#NAME?</v>
      </c>
      <c r="P3048" s="23" t="e">
        <f ca="1">[1]!BexGetData("DP_1","003N8EMH8GTFRIVOG7KG9J9VY","GSON4161610108")</f>
        <v>#NAME?</v>
      </c>
      <c r="Q3048" s="24" t="e">
        <f ca="1">[1]!BexGetData("DP_1","00O2TNJGODT0G5Z4TTKYMM5MT","GSON4161610108")</f>
        <v>#NAME?</v>
      </c>
      <c r="R3048" s="23" t="e">
        <f ca="1">[1]!BexGetData("DP_1","00O2TNJGODT0G5Z4TTKYMMBYD","GSON4161610108")</f>
        <v>#NAME?</v>
      </c>
      <c r="S3048" s="23" t="e">
        <f ca="1">[1]!BexGetData("DP_1","00O2TNJGODT0G5Z4TTKYMMI9X","GSON4161610108")</f>
        <v>#NAME?</v>
      </c>
      <c r="T3048" s="23" t="e">
        <f ca="1">[1]!BexGetData("DP_1","00O2TNJGODT0G5Z4TTKYMMOLH","GSON4161610108")</f>
        <v>#NAME?</v>
      </c>
      <c r="U3048" s="28" t="e">
        <f ca="1">[1]!BexGetData("DP_1","00O2TNJGODT0G5Z4TTKYMMUX1","GSON4161610108")</f>
        <v>#NAME?</v>
      </c>
      <c r="V3048" s="23" t="e">
        <f ca="1">[1]!BexGetData("DP_1","00O2TNJGODT0G5Z4TTKYMN18L","GSON4161610108")</f>
        <v>#NAME?</v>
      </c>
      <c r="W3048" s="28" t="e">
        <f ca="1">[1]!BexGetData("DP_1","00O2TNJGODT0G5Z4TTKYMN7K5","GSON4161610108")</f>
        <v>#NAME?</v>
      </c>
    </row>
    <row r="3049" spans="1:23" x14ac:dyDescent="0.2">
      <c r="A3049" s="36" t="s">
        <v>1524</v>
      </c>
      <c r="B3049" s="27" t="s">
        <v>712</v>
      </c>
      <c r="C3049" s="23" t="e">
        <f ca="1">[1]!BexGetData("DP_1","003N8EMH8GTFRCSWKMPXRR8GU","GSON4161610109")</f>
        <v>#NAME?</v>
      </c>
      <c r="D3049" s="23" t="e">
        <f ca="1">[1]!BexGetData("DP_1","003N8EMH8GTFRCSWKMPXRRESE","GSON4161610109")</f>
        <v>#NAME?</v>
      </c>
      <c r="E3049" s="23" t="e">
        <f ca="1">[1]!BexGetData("DP_1","003N8EMH8GTFRCSWKMPXRRL3Y","GSON4161610109")</f>
        <v>#NAME?</v>
      </c>
      <c r="F3049" s="23" t="e">
        <f ca="1">[1]!BexGetData("DP_1","003N8EMH8GTFRCSWKMPXRRRFI","GSON4161610109")</f>
        <v>#NAME?</v>
      </c>
      <c r="G3049" s="23" t="e">
        <f ca="1">[1]!BexGetData("DP_1","003N8EMH8GTFRCSWKMPXRRXR2","GSON4161610109")</f>
        <v>#NAME?</v>
      </c>
      <c r="H3049" s="23" t="e">
        <f ca="1">[1]!BexGetData("DP_1","003N8EMH8GTFRCSWKMPXRS42M","GSON4161610109")</f>
        <v>#NAME?</v>
      </c>
      <c r="I3049" s="23" t="e">
        <f ca="1">[1]!BexGetData("DP_1","003N8EMH8GTFRCSWKMPXRSAE6","GSON4161610109")</f>
        <v>#NAME?</v>
      </c>
      <c r="J3049" s="24" t="e">
        <f ca="1">[1]!BexGetData("DP_1","003N8EMH8GTFRCSWKMPXRSGPQ","GSON4161610109")</f>
        <v>#NAME?</v>
      </c>
      <c r="K3049" s="23" t="e">
        <f ca="1">[1]!BexGetData("DP_1","003N8EMH8GTFRIVNUPY288VJH","GSON4161610109")</f>
        <v>#NAME?</v>
      </c>
      <c r="L3049" s="23" t="e">
        <f ca="1">[1]!BexGetData("DP_1","003N8EMH8GTFRIVNUPY2891V1","GSON4161610109")</f>
        <v>#NAME?</v>
      </c>
      <c r="M3049" s="28" t="e">
        <f ca="1">[1]!BexGetData("DP_1","003N8EMH8GTFRIVOG7KG9IQXA","GSON4161610109")</f>
        <v>#NAME?</v>
      </c>
      <c r="N3049" s="23" t="e">
        <f ca="1">[1]!BexGetData("DP_1","003N8EMH8GTFRIVOG7KG9IX8U","GSON4161610109")</f>
        <v>#NAME?</v>
      </c>
      <c r="O3049" s="28" t="e">
        <f ca="1">[1]!BexGetData("DP_1","003N8EMH8GTFRIVOG7KG9J3KE","GSON4161610109")</f>
        <v>#NAME?</v>
      </c>
      <c r="P3049" s="23" t="e">
        <f ca="1">[1]!BexGetData("DP_1","003N8EMH8GTFRIVOG7KG9J9VY","GSON4161610109")</f>
        <v>#NAME?</v>
      </c>
      <c r="Q3049" s="24" t="e">
        <f ca="1">[1]!BexGetData("DP_1","00O2TNJGODT0G5Z4TTKYMM5MT","GSON4161610109")</f>
        <v>#NAME?</v>
      </c>
      <c r="R3049" s="23" t="e">
        <f ca="1">[1]!BexGetData("DP_1","00O2TNJGODT0G5Z4TTKYMMBYD","GSON4161610109")</f>
        <v>#NAME?</v>
      </c>
      <c r="S3049" s="23" t="e">
        <f ca="1">[1]!BexGetData("DP_1","00O2TNJGODT0G5Z4TTKYMMI9X","GSON4161610109")</f>
        <v>#NAME?</v>
      </c>
      <c r="T3049" s="23" t="e">
        <f ca="1">[1]!BexGetData("DP_1","00O2TNJGODT0G5Z4TTKYMMOLH","GSON4161610109")</f>
        <v>#NAME?</v>
      </c>
      <c r="U3049" s="28" t="e">
        <f ca="1">[1]!BexGetData("DP_1","00O2TNJGODT0G5Z4TTKYMMUX1","GSON4161610109")</f>
        <v>#NAME?</v>
      </c>
      <c r="V3049" s="23" t="e">
        <f ca="1">[1]!BexGetData("DP_1","00O2TNJGODT0G5Z4TTKYMN18L","GSON4161610109")</f>
        <v>#NAME?</v>
      </c>
      <c r="W3049" s="28" t="e">
        <f ca="1">[1]!BexGetData("DP_1","00O2TNJGODT0G5Z4TTKYMN7K5","GSON4161610109")</f>
        <v>#NAME?</v>
      </c>
    </row>
    <row r="3050" spans="1:23" x14ac:dyDescent="0.2">
      <c r="A3050" s="36" t="s">
        <v>6377</v>
      </c>
      <c r="B3050" s="27" t="s">
        <v>6378</v>
      </c>
      <c r="C3050" s="23" t="e">
        <f ca="1">[1]!BexGetData("DP_1","003N8EMH8GTFRCSWKMPXRR8GU","GSON4161610110")</f>
        <v>#NAME?</v>
      </c>
      <c r="D3050" s="23" t="e">
        <f ca="1">[1]!BexGetData("DP_1","003N8EMH8GTFRCSWKMPXRRESE","GSON4161610110")</f>
        <v>#NAME?</v>
      </c>
      <c r="E3050" s="23" t="e">
        <f ca="1">[1]!BexGetData("DP_1","003N8EMH8GTFRCSWKMPXRRL3Y","GSON4161610110")</f>
        <v>#NAME?</v>
      </c>
      <c r="F3050" s="23" t="e">
        <f ca="1">[1]!BexGetData("DP_1","003N8EMH8GTFRCSWKMPXRRRFI","GSON4161610110")</f>
        <v>#NAME?</v>
      </c>
      <c r="G3050" s="23" t="e">
        <f ca="1">[1]!BexGetData("DP_1","003N8EMH8GTFRCSWKMPXRRXR2","GSON4161610110")</f>
        <v>#NAME?</v>
      </c>
      <c r="H3050" s="23" t="e">
        <f ca="1">[1]!BexGetData("DP_1","003N8EMH8GTFRCSWKMPXRS42M","GSON4161610110")</f>
        <v>#NAME?</v>
      </c>
      <c r="I3050" s="23" t="e">
        <f ca="1">[1]!BexGetData("DP_1","003N8EMH8GTFRCSWKMPXRSAE6","GSON4161610110")</f>
        <v>#NAME?</v>
      </c>
      <c r="J3050" s="24" t="e">
        <f ca="1">[1]!BexGetData("DP_1","003N8EMH8GTFRCSWKMPXRSGPQ","GSON4161610110")</f>
        <v>#NAME?</v>
      </c>
      <c r="K3050" s="23" t="e">
        <f ca="1">[1]!BexGetData("DP_1","003N8EMH8GTFRIVNUPY288VJH","GSON4161610110")</f>
        <v>#NAME?</v>
      </c>
      <c r="L3050" s="23" t="e">
        <f ca="1">[1]!BexGetData("DP_1","003N8EMH8GTFRIVNUPY2891V1","GSON4161610110")</f>
        <v>#NAME?</v>
      </c>
      <c r="M3050" s="23" t="e">
        <f ca="1">[1]!BexGetData("DP_1","003N8EMH8GTFRIVOG7KG9IQXA","GSON4161610110")</f>
        <v>#NAME?</v>
      </c>
      <c r="N3050" s="28" t="e">
        <f ca="1">[1]!BexGetData("DP_1","003N8EMH8GTFRIVOG7KG9IX8U","GSON4161610110")</f>
        <v>#NAME?</v>
      </c>
      <c r="O3050" s="23" t="e">
        <f ca="1">[1]!BexGetData("DP_1","003N8EMH8GTFRIVOG7KG9J3KE","GSON4161610110")</f>
        <v>#NAME?</v>
      </c>
      <c r="P3050" s="28" t="e">
        <f ca="1">[1]!BexGetData("DP_1","003N8EMH8GTFRIVOG7KG9J9VY","GSON4161610110")</f>
        <v>#NAME?</v>
      </c>
      <c r="Q3050" s="24" t="e">
        <f ca="1">[1]!BexGetData("DP_1","00O2TNJGODT0G5Z4TTKYMM5MT","GSON4161610110")</f>
        <v>#NAME?</v>
      </c>
      <c r="R3050" s="23" t="e">
        <f ca="1">[1]!BexGetData("DP_1","00O2TNJGODT0G5Z4TTKYMMBYD","GSON4161610110")</f>
        <v>#NAME?</v>
      </c>
      <c r="S3050" s="23" t="e">
        <f ca="1">[1]!BexGetData("DP_1","00O2TNJGODT0G5Z4TTKYMMI9X","GSON4161610110")</f>
        <v>#NAME?</v>
      </c>
      <c r="T3050" s="23" t="e">
        <f ca="1">[1]!BexGetData("DP_1","00O2TNJGODT0G5Z4TTKYMMOLH","GSON4161610110")</f>
        <v>#NAME?</v>
      </c>
      <c r="U3050" s="28" t="e">
        <f ca="1">[1]!BexGetData("DP_1","00O2TNJGODT0G5Z4TTKYMMUX1","GSON4161610110")</f>
        <v>#NAME?</v>
      </c>
      <c r="V3050" s="23" t="e">
        <f ca="1">[1]!BexGetData("DP_1","00O2TNJGODT0G5Z4TTKYMN18L","GSON4161610110")</f>
        <v>#NAME?</v>
      </c>
      <c r="W3050" s="28" t="e">
        <f ca="1">[1]!BexGetData("DP_1","00O2TNJGODT0G5Z4TTKYMN7K5","GSON4161610110")</f>
        <v>#NAME?</v>
      </c>
    </row>
    <row r="3051" spans="1:23" x14ac:dyDescent="0.2">
      <c r="A3051" s="36" t="s">
        <v>6379</v>
      </c>
      <c r="B3051" s="27" t="s">
        <v>6380</v>
      </c>
      <c r="C3051" s="23" t="e">
        <f ca="1">[1]!BexGetData("DP_1","003N8EMH8GTFRCSWKMPXRR8GU","GSON4161610111")</f>
        <v>#NAME?</v>
      </c>
      <c r="D3051" s="23" t="e">
        <f ca="1">[1]!BexGetData("DP_1","003N8EMH8GTFRCSWKMPXRRESE","GSON4161610111")</f>
        <v>#NAME?</v>
      </c>
      <c r="E3051" s="23" t="e">
        <f ca="1">[1]!BexGetData("DP_1","003N8EMH8GTFRCSWKMPXRRL3Y","GSON4161610111")</f>
        <v>#NAME?</v>
      </c>
      <c r="F3051" s="23" t="e">
        <f ca="1">[1]!BexGetData("DP_1","003N8EMH8GTFRCSWKMPXRRRFI","GSON4161610111")</f>
        <v>#NAME?</v>
      </c>
      <c r="G3051" s="23" t="e">
        <f ca="1">[1]!BexGetData("DP_1","003N8EMH8GTFRCSWKMPXRRXR2","GSON4161610111")</f>
        <v>#NAME?</v>
      </c>
      <c r="H3051" s="23" t="e">
        <f ca="1">[1]!BexGetData("DP_1","003N8EMH8GTFRCSWKMPXRS42M","GSON4161610111")</f>
        <v>#NAME?</v>
      </c>
      <c r="I3051" s="23" t="e">
        <f ca="1">[1]!BexGetData("DP_1","003N8EMH8GTFRCSWKMPXRSAE6","GSON4161610111")</f>
        <v>#NAME?</v>
      </c>
      <c r="J3051" s="24" t="e">
        <f ca="1">[1]!BexGetData("DP_1","003N8EMH8GTFRCSWKMPXRSGPQ","GSON4161610111")</f>
        <v>#NAME?</v>
      </c>
      <c r="K3051" s="23" t="e">
        <f ca="1">[1]!BexGetData("DP_1","003N8EMH8GTFRIVNUPY288VJH","GSON4161610111")</f>
        <v>#NAME?</v>
      </c>
      <c r="L3051" s="23" t="e">
        <f ca="1">[1]!BexGetData("DP_1","003N8EMH8GTFRIVNUPY2891V1","GSON4161610111")</f>
        <v>#NAME?</v>
      </c>
      <c r="M3051" s="23" t="e">
        <f ca="1">[1]!BexGetData("DP_1","003N8EMH8GTFRIVOG7KG9IQXA","GSON4161610111")</f>
        <v>#NAME?</v>
      </c>
      <c r="N3051" s="28" t="e">
        <f ca="1">[1]!BexGetData("DP_1","003N8EMH8GTFRIVOG7KG9IX8U","GSON4161610111")</f>
        <v>#NAME?</v>
      </c>
      <c r="O3051" s="23" t="e">
        <f ca="1">[1]!BexGetData("DP_1","003N8EMH8GTFRIVOG7KG9J3KE","GSON4161610111")</f>
        <v>#NAME?</v>
      </c>
      <c r="P3051" s="28" t="e">
        <f ca="1">[1]!BexGetData("DP_1","003N8EMH8GTFRIVOG7KG9J9VY","GSON4161610111")</f>
        <v>#NAME?</v>
      </c>
      <c r="Q3051" s="24" t="e">
        <f ca="1">[1]!BexGetData("DP_1","00O2TNJGODT0G5Z4TTKYMM5MT","GSON4161610111")</f>
        <v>#NAME?</v>
      </c>
      <c r="R3051" s="23" t="e">
        <f ca="1">[1]!BexGetData("DP_1","00O2TNJGODT0G5Z4TTKYMMBYD","GSON4161610111")</f>
        <v>#NAME?</v>
      </c>
      <c r="S3051" s="23" t="e">
        <f ca="1">[1]!BexGetData("DP_1","00O2TNJGODT0G5Z4TTKYMMI9X","GSON4161610111")</f>
        <v>#NAME?</v>
      </c>
      <c r="T3051" s="23" t="e">
        <f ca="1">[1]!BexGetData("DP_1","00O2TNJGODT0G5Z4TTKYMMOLH","GSON4161610111")</f>
        <v>#NAME?</v>
      </c>
      <c r="U3051" s="28" t="e">
        <f ca="1">[1]!BexGetData("DP_1","00O2TNJGODT0G5Z4TTKYMMUX1","GSON4161610111")</f>
        <v>#NAME?</v>
      </c>
      <c r="V3051" s="23" t="e">
        <f ca="1">[1]!BexGetData("DP_1","00O2TNJGODT0G5Z4TTKYMN18L","GSON4161610111")</f>
        <v>#NAME?</v>
      </c>
      <c r="W3051" s="28" t="e">
        <f ca="1">[1]!BexGetData("DP_1","00O2TNJGODT0G5Z4TTKYMN7K5","GSON4161610111")</f>
        <v>#NAME?</v>
      </c>
    </row>
    <row r="3052" spans="1:23" x14ac:dyDescent="0.2">
      <c r="A3052" s="36" t="s">
        <v>6381</v>
      </c>
      <c r="B3052" s="27" t="s">
        <v>6382</v>
      </c>
      <c r="C3052" s="23" t="e">
        <f ca="1">[1]!BexGetData("DP_1","003N8EMH8GTFRCSWKMPXRR8GU","GSON4161610112")</f>
        <v>#NAME?</v>
      </c>
      <c r="D3052" s="23" t="e">
        <f ca="1">[1]!BexGetData("DP_1","003N8EMH8GTFRCSWKMPXRRESE","GSON4161610112")</f>
        <v>#NAME?</v>
      </c>
      <c r="E3052" s="23" t="e">
        <f ca="1">[1]!BexGetData("DP_1","003N8EMH8GTFRCSWKMPXRRL3Y","GSON4161610112")</f>
        <v>#NAME?</v>
      </c>
      <c r="F3052" s="23" t="e">
        <f ca="1">[1]!BexGetData("DP_1","003N8EMH8GTFRCSWKMPXRRRFI","GSON4161610112")</f>
        <v>#NAME?</v>
      </c>
      <c r="G3052" s="23" t="e">
        <f ca="1">[1]!BexGetData("DP_1","003N8EMH8GTFRCSWKMPXRRXR2","GSON4161610112")</f>
        <v>#NAME?</v>
      </c>
      <c r="H3052" s="23" t="e">
        <f ca="1">[1]!BexGetData("DP_1","003N8EMH8GTFRCSWKMPXRS42M","GSON4161610112")</f>
        <v>#NAME?</v>
      </c>
      <c r="I3052" s="23" t="e">
        <f ca="1">[1]!BexGetData("DP_1","003N8EMH8GTFRCSWKMPXRSAE6","GSON4161610112")</f>
        <v>#NAME?</v>
      </c>
      <c r="J3052" s="24" t="e">
        <f ca="1">[1]!BexGetData("DP_1","003N8EMH8GTFRCSWKMPXRSGPQ","GSON4161610112")</f>
        <v>#NAME?</v>
      </c>
      <c r="K3052" s="23" t="e">
        <f ca="1">[1]!BexGetData("DP_1","003N8EMH8GTFRIVNUPY288VJH","GSON4161610112")</f>
        <v>#NAME?</v>
      </c>
      <c r="L3052" s="23" t="e">
        <f ca="1">[1]!BexGetData("DP_1","003N8EMH8GTFRIVNUPY2891V1","GSON4161610112")</f>
        <v>#NAME?</v>
      </c>
      <c r="M3052" s="23" t="e">
        <f ca="1">[1]!BexGetData("DP_1","003N8EMH8GTFRIVOG7KG9IQXA","GSON4161610112")</f>
        <v>#NAME?</v>
      </c>
      <c r="N3052" s="28" t="e">
        <f ca="1">[1]!BexGetData("DP_1","003N8EMH8GTFRIVOG7KG9IX8U","GSON4161610112")</f>
        <v>#NAME?</v>
      </c>
      <c r="O3052" s="23" t="e">
        <f ca="1">[1]!BexGetData("DP_1","003N8EMH8GTFRIVOG7KG9J3KE","GSON4161610112")</f>
        <v>#NAME?</v>
      </c>
      <c r="P3052" s="28" t="e">
        <f ca="1">[1]!BexGetData("DP_1","003N8EMH8GTFRIVOG7KG9J9VY","GSON4161610112")</f>
        <v>#NAME?</v>
      </c>
      <c r="Q3052" s="24" t="e">
        <f ca="1">[1]!BexGetData("DP_1","00O2TNJGODT0G5Z4TTKYMM5MT","GSON4161610112")</f>
        <v>#NAME?</v>
      </c>
      <c r="R3052" s="23" t="e">
        <f ca="1">[1]!BexGetData("DP_1","00O2TNJGODT0G5Z4TTKYMMBYD","GSON4161610112")</f>
        <v>#NAME?</v>
      </c>
      <c r="S3052" s="23" t="e">
        <f ca="1">[1]!BexGetData("DP_1","00O2TNJGODT0G5Z4TTKYMMI9X","GSON4161610112")</f>
        <v>#NAME?</v>
      </c>
      <c r="T3052" s="23" t="e">
        <f ca="1">[1]!BexGetData("DP_1","00O2TNJGODT0G5Z4TTKYMMOLH","GSON4161610112")</f>
        <v>#NAME?</v>
      </c>
      <c r="U3052" s="28" t="e">
        <f ca="1">[1]!BexGetData("DP_1","00O2TNJGODT0G5Z4TTKYMMUX1","GSON4161610112")</f>
        <v>#NAME?</v>
      </c>
      <c r="V3052" s="23" t="e">
        <f ca="1">[1]!BexGetData("DP_1","00O2TNJGODT0G5Z4TTKYMN18L","GSON4161610112")</f>
        <v>#NAME?</v>
      </c>
      <c r="W3052" s="28" t="e">
        <f ca="1">[1]!BexGetData("DP_1","00O2TNJGODT0G5Z4TTKYMN7K5","GSON4161610112")</f>
        <v>#NAME?</v>
      </c>
    </row>
    <row r="3053" spans="1:23" x14ac:dyDescent="0.2">
      <c r="A3053" s="36" t="s">
        <v>6383</v>
      </c>
      <c r="B3053" s="27" t="s">
        <v>1525</v>
      </c>
      <c r="C3053" s="23" t="e">
        <f ca="1">[1]!BexGetData("DP_1","003N8EMH8GTFRCSWKMPXRR8GU","GSON4161610113")</f>
        <v>#NAME?</v>
      </c>
      <c r="D3053" s="23" t="e">
        <f ca="1">[1]!BexGetData("DP_1","003N8EMH8GTFRCSWKMPXRRESE","GSON4161610113")</f>
        <v>#NAME?</v>
      </c>
      <c r="E3053" s="23" t="e">
        <f ca="1">[1]!BexGetData("DP_1","003N8EMH8GTFRCSWKMPXRRL3Y","GSON4161610113")</f>
        <v>#NAME?</v>
      </c>
      <c r="F3053" s="23" t="e">
        <f ca="1">[1]!BexGetData("DP_1","003N8EMH8GTFRCSWKMPXRRRFI","GSON4161610113")</f>
        <v>#NAME?</v>
      </c>
      <c r="G3053" s="23" t="e">
        <f ca="1">[1]!BexGetData("DP_1","003N8EMH8GTFRCSWKMPXRRXR2","GSON4161610113")</f>
        <v>#NAME?</v>
      </c>
      <c r="H3053" s="23" t="e">
        <f ca="1">[1]!BexGetData("DP_1","003N8EMH8GTFRCSWKMPXRS42M","GSON4161610113")</f>
        <v>#NAME?</v>
      </c>
      <c r="I3053" s="23" t="e">
        <f ca="1">[1]!BexGetData("DP_1","003N8EMH8GTFRCSWKMPXRSAE6","GSON4161610113")</f>
        <v>#NAME?</v>
      </c>
      <c r="J3053" s="24" t="e">
        <f ca="1">[1]!BexGetData("DP_1","003N8EMH8GTFRCSWKMPXRSGPQ","GSON4161610113")</f>
        <v>#NAME?</v>
      </c>
      <c r="K3053" s="23" t="e">
        <f ca="1">[1]!BexGetData("DP_1","003N8EMH8GTFRIVNUPY288VJH","GSON4161610113")</f>
        <v>#NAME?</v>
      </c>
      <c r="L3053" s="23" t="e">
        <f ca="1">[1]!BexGetData("DP_1","003N8EMH8GTFRIVNUPY2891V1","GSON4161610113")</f>
        <v>#NAME?</v>
      </c>
      <c r="M3053" s="23" t="e">
        <f ca="1">[1]!BexGetData("DP_1","003N8EMH8GTFRIVOG7KG9IQXA","GSON4161610113")</f>
        <v>#NAME?</v>
      </c>
      <c r="N3053" s="28" t="e">
        <f ca="1">[1]!BexGetData("DP_1","003N8EMH8GTFRIVOG7KG9IX8U","GSON4161610113")</f>
        <v>#NAME?</v>
      </c>
      <c r="O3053" s="23" t="e">
        <f ca="1">[1]!BexGetData("DP_1","003N8EMH8GTFRIVOG7KG9J3KE","GSON4161610113")</f>
        <v>#NAME?</v>
      </c>
      <c r="P3053" s="28" t="e">
        <f ca="1">[1]!BexGetData("DP_1","003N8EMH8GTFRIVOG7KG9J9VY","GSON4161610113")</f>
        <v>#NAME?</v>
      </c>
      <c r="Q3053" s="24" t="e">
        <f ca="1">[1]!BexGetData("DP_1","00O2TNJGODT0G5Z4TTKYMM5MT","GSON4161610113")</f>
        <v>#NAME?</v>
      </c>
      <c r="R3053" s="23" t="e">
        <f ca="1">[1]!BexGetData("DP_1","00O2TNJGODT0G5Z4TTKYMMBYD","GSON4161610113")</f>
        <v>#NAME?</v>
      </c>
      <c r="S3053" s="23" t="e">
        <f ca="1">[1]!BexGetData("DP_1","00O2TNJGODT0G5Z4TTKYMMI9X","GSON4161610113")</f>
        <v>#NAME?</v>
      </c>
      <c r="T3053" s="23" t="e">
        <f ca="1">[1]!BexGetData("DP_1","00O2TNJGODT0G5Z4TTKYMMOLH","GSON4161610113")</f>
        <v>#NAME?</v>
      </c>
      <c r="U3053" s="28" t="e">
        <f ca="1">[1]!BexGetData("DP_1","00O2TNJGODT0G5Z4TTKYMMUX1","GSON4161610113")</f>
        <v>#NAME?</v>
      </c>
      <c r="V3053" s="23" t="e">
        <f ca="1">[1]!BexGetData("DP_1","00O2TNJGODT0G5Z4TTKYMN18L","GSON4161610113")</f>
        <v>#NAME?</v>
      </c>
      <c r="W3053" s="28" t="e">
        <f ca="1">[1]!BexGetData("DP_1","00O2TNJGODT0G5Z4TTKYMN7K5","GSON4161610113")</f>
        <v>#NAME?</v>
      </c>
    </row>
    <row r="3054" spans="1:23" x14ac:dyDescent="0.2">
      <c r="A3054" s="36" t="s">
        <v>1526</v>
      </c>
      <c r="B3054" s="27" t="s">
        <v>1527</v>
      </c>
      <c r="C3054" s="23" t="e">
        <f ca="1">[1]!BexGetData("DP_1","003N8EMH8GTFRCSWKMPXRR8GU","GSON4161610114")</f>
        <v>#NAME?</v>
      </c>
      <c r="D3054" s="23" t="e">
        <f ca="1">[1]!BexGetData("DP_1","003N8EMH8GTFRCSWKMPXRRESE","GSON4161610114")</f>
        <v>#NAME?</v>
      </c>
      <c r="E3054" s="28" t="e">
        <f ca="1">[1]!BexGetData("DP_1","003N8EMH8GTFRCSWKMPXRRL3Y","GSON4161610114")</f>
        <v>#NAME?</v>
      </c>
      <c r="F3054" s="23" t="e">
        <f ca="1">[1]!BexGetData("DP_1","003N8EMH8GTFRCSWKMPXRRRFI","GSON4161610114")</f>
        <v>#NAME?</v>
      </c>
      <c r="G3054" s="23" t="e">
        <f ca="1">[1]!BexGetData("DP_1","003N8EMH8GTFRCSWKMPXRRXR2","GSON4161610114")</f>
        <v>#NAME?</v>
      </c>
      <c r="H3054" s="23" t="e">
        <f ca="1">[1]!BexGetData("DP_1","003N8EMH8GTFRCSWKMPXRS42M","GSON4161610114")</f>
        <v>#NAME?</v>
      </c>
      <c r="I3054" s="23" t="e">
        <f ca="1">[1]!BexGetData("DP_1","003N8EMH8GTFRCSWKMPXRSAE6","GSON4161610114")</f>
        <v>#NAME?</v>
      </c>
      <c r="J3054" s="24" t="e">
        <f ca="1">[1]!BexGetData("DP_1","003N8EMH8GTFRCSWKMPXRSGPQ","GSON4161610114")</f>
        <v>#NAME?</v>
      </c>
      <c r="K3054" s="23" t="e">
        <f ca="1">[1]!BexGetData("DP_1","003N8EMH8GTFRIVNUPY288VJH","GSON4161610114")</f>
        <v>#NAME?</v>
      </c>
      <c r="L3054" s="23" t="e">
        <f ca="1">[1]!BexGetData("DP_1","003N8EMH8GTFRIVNUPY2891V1","GSON4161610114")</f>
        <v>#NAME?</v>
      </c>
      <c r="M3054" s="28" t="e">
        <f ca="1">[1]!BexGetData("DP_1","003N8EMH8GTFRIVOG7KG9IQXA","GSON4161610114")</f>
        <v>#NAME?</v>
      </c>
      <c r="N3054" s="23" t="e">
        <f ca="1">[1]!BexGetData("DP_1","003N8EMH8GTFRIVOG7KG9IX8U","GSON4161610114")</f>
        <v>#NAME?</v>
      </c>
      <c r="O3054" s="28" t="e">
        <f ca="1">[1]!BexGetData("DP_1","003N8EMH8GTFRIVOG7KG9J3KE","GSON4161610114")</f>
        <v>#NAME?</v>
      </c>
      <c r="P3054" s="23" t="e">
        <f ca="1">[1]!BexGetData("DP_1","003N8EMH8GTFRIVOG7KG9J9VY","GSON4161610114")</f>
        <v>#NAME?</v>
      </c>
      <c r="Q3054" s="24" t="e">
        <f ca="1">[1]!BexGetData("DP_1","00O2TNJGODT0G5Z4TTKYMM5MT","GSON4161610114")</f>
        <v>#NAME?</v>
      </c>
      <c r="R3054" s="23" t="e">
        <f ca="1">[1]!BexGetData("DP_1","00O2TNJGODT0G5Z4TTKYMMBYD","GSON4161610114")</f>
        <v>#NAME?</v>
      </c>
      <c r="S3054" s="23" t="e">
        <f ca="1">[1]!BexGetData("DP_1","00O2TNJGODT0G5Z4TTKYMMI9X","GSON4161610114")</f>
        <v>#NAME?</v>
      </c>
      <c r="T3054" s="23" t="e">
        <f ca="1">[1]!BexGetData("DP_1","00O2TNJGODT0G5Z4TTKYMMOLH","GSON4161610114")</f>
        <v>#NAME?</v>
      </c>
      <c r="U3054" s="28" t="e">
        <f ca="1">[1]!BexGetData("DP_1","00O2TNJGODT0G5Z4TTKYMMUX1","GSON4161610114")</f>
        <v>#NAME?</v>
      </c>
      <c r="V3054" s="23" t="e">
        <f ca="1">[1]!BexGetData("DP_1","00O2TNJGODT0G5Z4TTKYMN18L","GSON4161610114")</f>
        <v>#NAME?</v>
      </c>
      <c r="W3054" s="28" t="e">
        <f ca="1">[1]!BexGetData("DP_1","00O2TNJGODT0G5Z4TTKYMN7K5","GSON4161610114")</f>
        <v>#NAME?</v>
      </c>
    </row>
    <row r="3055" spans="1:23" x14ac:dyDescent="0.2">
      <c r="A3055" s="36" t="s">
        <v>6384</v>
      </c>
      <c r="B3055" s="27" t="s">
        <v>6385</v>
      </c>
      <c r="C3055" s="28" t="e">
        <f ca="1">[1]!BexGetData("DP_1","003N8EMH8GTFRCSWKMPXRR8GU","GSON4161610115")</f>
        <v>#NAME?</v>
      </c>
      <c r="D3055" s="23" t="e">
        <f ca="1">[1]!BexGetData("DP_1","003N8EMH8GTFRCSWKMPXRRESE","GSON4161610115")</f>
        <v>#NAME?</v>
      </c>
      <c r="E3055" s="23" t="e">
        <f ca="1">[1]!BexGetData("DP_1","003N8EMH8GTFRCSWKMPXRRL3Y","GSON4161610115")</f>
        <v>#NAME?</v>
      </c>
      <c r="F3055" s="23" t="e">
        <f ca="1">[1]!BexGetData("DP_1","003N8EMH8GTFRCSWKMPXRRRFI","GSON4161610115")</f>
        <v>#NAME?</v>
      </c>
      <c r="G3055" s="28" t="e">
        <f ca="1">[1]!BexGetData("DP_1","003N8EMH8GTFRCSWKMPXRRXR2","GSON4161610115")</f>
        <v>#NAME?</v>
      </c>
      <c r="H3055" s="23" t="e">
        <f ca="1">[1]!BexGetData("DP_1","003N8EMH8GTFRCSWKMPXRS42M","GSON4161610115")</f>
        <v>#NAME?</v>
      </c>
      <c r="I3055" s="23" t="e">
        <f ca="1">[1]!BexGetData("DP_1","003N8EMH8GTFRCSWKMPXRSAE6","GSON4161610115")</f>
        <v>#NAME?</v>
      </c>
      <c r="J3055" s="24" t="e">
        <f ca="1">[1]!BexGetData("DP_1","003N8EMH8GTFRCSWKMPXRSGPQ","GSON4161610115")</f>
        <v>#NAME?</v>
      </c>
      <c r="K3055" s="23" t="e">
        <f ca="1">[1]!BexGetData("DP_1","003N8EMH8GTFRIVNUPY288VJH","GSON4161610115")</f>
        <v>#NAME?</v>
      </c>
      <c r="L3055" s="23" t="e">
        <f ca="1">[1]!BexGetData("DP_1","003N8EMH8GTFRIVNUPY2891V1","GSON4161610115")</f>
        <v>#NAME?</v>
      </c>
      <c r="M3055" s="23" t="e">
        <f ca="1">[1]!BexGetData("DP_1","003N8EMH8GTFRIVOG7KG9IQXA","GSON4161610115")</f>
        <v>#NAME?</v>
      </c>
      <c r="N3055" s="28" t="e">
        <f ca="1">[1]!BexGetData("DP_1","003N8EMH8GTFRIVOG7KG9IX8U","GSON4161610115")</f>
        <v>#NAME?</v>
      </c>
      <c r="O3055" s="23" t="e">
        <f ca="1">[1]!BexGetData("DP_1","003N8EMH8GTFRIVOG7KG9J3KE","GSON4161610115")</f>
        <v>#NAME?</v>
      </c>
      <c r="P3055" s="28" t="e">
        <f ca="1">[1]!BexGetData("DP_1","003N8EMH8GTFRIVOG7KG9J9VY","GSON4161610115")</f>
        <v>#NAME?</v>
      </c>
      <c r="Q3055" s="24" t="e">
        <f ca="1">[1]!BexGetData("DP_1","00O2TNJGODT0G5Z4TTKYMM5MT","GSON4161610115")</f>
        <v>#NAME?</v>
      </c>
      <c r="R3055" s="23" t="e">
        <f ca="1">[1]!BexGetData("DP_1","00O2TNJGODT0G5Z4TTKYMMBYD","GSON4161610115")</f>
        <v>#NAME?</v>
      </c>
      <c r="S3055" s="23" t="e">
        <f ca="1">[1]!BexGetData("DP_1","00O2TNJGODT0G5Z4TTKYMMI9X","GSON4161610115")</f>
        <v>#NAME?</v>
      </c>
      <c r="T3055" s="23" t="e">
        <f ca="1">[1]!BexGetData("DP_1","00O2TNJGODT0G5Z4TTKYMMOLH","GSON4161610115")</f>
        <v>#NAME?</v>
      </c>
      <c r="U3055" s="28" t="e">
        <f ca="1">[1]!BexGetData("DP_1","00O2TNJGODT0G5Z4TTKYMMUX1","GSON4161610115")</f>
        <v>#NAME?</v>
      </c>
      <c r="V3055" s="23" t="e">
        <f ca="1">[1]!BexGetData("DP_1","00O2TNJGODT0G5Z4TTKYMN18L","GSON4161610115")</f>
        <v>#NAME?</v>
      </c>
      <c r="W3055" s="28" t="e">
        <f ca="1">[1]!BexGetData("DP_1","00O2TNJGODT0G5Z4TTKYMN7K5","GSON4161610115")</f>
        <v>#NAME?</v>
      </c>
    </row>
    <row r="3056" spans="1:23" x14ac:dyDescent="0.2">
      <c r="A3056" s="35" t="s">
        <v>1528</v>
      </c>
      <c r="B3056" s="27" t="s">
        <v>1529</v>
      </c>
      <c r="C3056" s="23" t="e">
        <f ca="1">[1]!BexGetData("DP_1","003N8EMH8GTFRCSWKMPXRR8GU","GSON4162")</f>
        <v>#NAME?</v>
      </c>
      <c r="D3056" s="23" t="e">
        <f ca="1">[1]!BexGetData("DP_1","003N8EMH8GTFRCSWKMPXRRESE","GSON4162")</f>
        <v>#NAME?</v>
      </c>
      <c r="E3056" s="23" t="e">
        <f ca="1">[1]!BexGetData("DP_1","003N8EMH8GTFRCSWKMPXRRL3Y","GSON4162")</f>
        <v>#NAME?</v>
      </c>
      <c r="F3056" s="23" t="e">
        <f ca="1">[1]!BexGetData("DP_1","003N8EMH8GTFRCSWKMPXRRRFI","GSON4162")</f>
        <v>#NAME?</v>
      </c>
      <c r="G3056" s="23" t="e">
        <f ca="1">[1]!BexGetData("DP_1","003N8EMH8GTFRCSWKMPXRRXR2","GSON4162")</f>
        <v>#NAME?</v>
      </c>
      <c r="H3056" s="23" t="e">
        <f ca="1">[1]!BexGetData("DP_1","003N8EMH8GTFRCSWKMPXRS42M","GSON4162")</f>
        <v>#NAME?</v>
      </c>
      <c r="I3056" s="23" t="e">
        <f ca="1">[1]!BexGetData("DP_1","003N8EMH8GTFRCSWKMPXRSAE6","GSON4162")</f>
        <v>#NAME?</v>
      </c>
      <c r="J3056" s="24" t="e">
        <f ca="1">[1]!BexGetData("DP_1","003N8EMH8GTFRCSWKMPXRSGPQ","GSON4162")</f>
        <v>#NAME?</v>
      </c>
      <c r="K3056" s="23" t="e">
        <f ca="1">[1]!BexGetData("DP_1","003N8EMH8GTFRIVNUPY288VJH","GSON4162")</f>
        <v>#NAME?</v>
      </c>
      <c r="L3056" s="23" t="e">
        <f ca="1">[1]!BexGetData("DP_1","003N8EMH8GTFRIVNUPY2891V1","GSON4162")</f>
        <v>#NAME?</v>
      </c>
      <c r="M3056" s="23" t="e">
        <f ca="1">[1]!BexGetData("DP_1","003N8EMH8GTFRIVOG7KG9IQXA","GSON4162")</f>
        <v>#NAME?</v>
      </c>
      <c r="N3056" s="28" t="e">
        <f ca="1">[1]!BexGetData("DP_1","003N8EMH8GTFRIVOG7KG9IX8U","GSON4162")</f>
        <v>#NAME?</v>
      </c>
      <c r="O3056" s="23" t="e">
        <f ca="1">[1]!BexGetData("DP_1","003N8EMH8GTFRIVOG7KG9J3KE","GSON4162")</f>
        <v>#NAME?</v>
      </c>
      <c r="P3056" s="28" t="e">
        <f ca="1">[1]!BexGetData("DP_1","003N8EMH8GTFRIVOG7KG9J9VY","GSON4162")</f>
        <v>#NAME?</v>
      </c>
      <c r="Q3056" s="24" t="e">
        <f ca="1">[1]!BexGetData("DP_1","00O2TNJGODT0G5Z4TTKYMM5MT","GSON4162")</f>
        <v>#NAME?</v>
      </c>
      <c r="R3056" s="23" t="e">
        <f ca="1">[1]!BexGetData("DP_1","00O2TNJGODT0G5Z4TTKYMMBYD","GSON4162")</f>
        <v>#NAME?</v>
      </c>
      <c r="S3056" s="23" t="e">
        <f ca="1">[1]!BexGetData("DP_1","00O2TNJGODT0G5Z4TTKYMMI9X","GSON4162")</f>
        <v>#NAME?</v>
      </c>
      <c r="T3056" s="23" t="e">
        <f ca="1">[1]!BexGetData("DP_1","00O2TNJGODT0G5Z4TTKYMMOLH","GSON4162")</f>
        <v>#NAME?</v>
      </c>
      <c r="U3056" s="28" t="e">
        <f ca="1">[1]!BexGetData("DP_1","00O2TNJGODT0G5Z4TTKYMMUX1","GSON4162")</f>
        <v>#NAME?</v>
      </c>
      <c r="V3056" s="23" t="e">
        <f ca="1">[1]!BexGetData("DP_1","00O2TNJGODT0G5Z4TTKYMN18L","GSON4162")</f>
        <v>#NAME?</v>
      </c>
      <c r="W3056" s="28" t="e">
        <f ca="1">[1]!BexGetData("DP_1","00O2TNJGODT0G5Z4TTKYMN7K5","GSON4162")</f>
        <v>#NAME?</v>
      </c>
    </row>
    <row r="3057" spans="1:23" x14ac:dyDescent="0.2">
      <c r="A3057" s="36" t="s">
        <v>6386</v>
      </c>
      <c r="B3057" s="27" t="s">
        <v>1530</v>
      </c>
      <c r="C3057" s="23" t="e">
        <f ca="1">[1]!BexGetData("DP_1","003N8EMH8GTFRCSWKMPXRR8GU","GSON4162610201")</f>
        <v>#NAME?</v>
      </c>
      <c r="D3057" s="23" t="e">
        <f ca="1">[1]!BexGetData("DP_1","003N8EMH8GTFRCSWKMPXRRESE","GSON4162610201")</f>
        <v>#NAME?</v>
      </c>
      <c r="E3057" s="23" t="e">
        <f ca="1">[1]!BexGetData("DP_1","003N8EMH8GTFRCSWKMPXRRL3Y","GSON4162610201")</f>
        <v>#NAME?</v>
      </c>
      <c r="F3057" s="23" t="e">
        <f ca="1">[1]!BexGetData("DP_1","003N8EMH8GTFRCSWKMPXRRRFI","GSON4162610201")</f>
        <v>#NAME?</v>
      </c>
      <c r="G3057" s="23" t="e">
        <f ca="1">[1]!BexGetData("DP_1","003N8EMH8GTFRCSWKMPXRRXR2","GSON4162610201")</f>
        <v>#NAME?</v>
      </c>
      <c r="H3057" s="23" t="e">
        <f ca="1">[1]!BexGetData("DP_1","003N8EMH8GTFRCSWKMPXRS42M","GSON4162610201")</f>
        <v>#NAME?</v>
      </c>
      <c r="I3057" s="23" t="e">
        <f ca="1">[1]!BexGetData("DP_1","003N8EMH8GTFRCSWKMPXRSAE6","GSON4162610201")</f>
        <v>#NAME?</v>
      </c>
      <c r="J3057" s="24" t="e">
        <f ca="1">[1]!BexGetData("DP_1","003N8EMH8GTFRCSWKMPXRSGPQ","GSON4162610201")</f>
        <v>#NAME?</v>
      </c>
      <c r="K3057" s="23" t="e">
        <f ca="1">[1]!BexGetData("DP_1","003N8EMH8GTFRIVNUPY288VJH","GSON4162610201")</f>
        <v>#NAME?</v>
      </c>
      <c r="L3057" s="23" t="e">
        <f ca="1">[1]!BexGetData("DP_1","003N8EMH8GTFRIVNUPY2891V1","GSON4162610201")</f>
        <v>#NAME?</v>
      </c>
      <c r="M3057" s="23" t="e">
        <f ca="1">[1]!BexGetData("DP_1","003N8EMH8GTFRIVOG7KG9IQXA","GSON4162610201")</f>
        <v>#NAME?</v>
      </c>
      <c r="N3057" s="28" t="e">
        <f ca="1">[1]!BexGetData("DP_1","003N8EMH8GTFRIVOG7KG9IX8U","GSON4162610201")</f>
        <v>#NAME?</v>
      </c>
      <c r="O3057" s="23" t="e">
        <f ca="1">[1]!BexGetData("DP_1","003N8EMH8GTFRIVOG7KG9J3KE","GSON4162610201")</f>
        <v>#NAME?</v>
      </c>
      <c r="P3057" s="28" t="e">
        <f ca="1">[1]!BexGetData("DP_1","003N8EMH8GTFRIVOG7KG9J9VY","GSON4162610201")</f>
        <v>#NAME?</v>
      </c>
      <c r="Q3057" s="24" t="e">
        <f ca="1">[1]!BexGetData("DP_1","00O2TNJGODT0G5Z4TTKYMM5MT","GSON4162610201")</f>
        <v>#NAME?</v>
      </c>
      <c r="R3057" s="23" t="e">
        <f ca="1">[1]!BexGetData("DP_1","00O2TNJGODT0G5Z4TTKYMMBYD","GSON4162610201")</f>
        <v>#NAME?</v>
      </c>
      <c r="S3057" s="23" t="e">
        <f ca="1">[1]!BexGetData("DP_1","00O2TNJGODT0G5Z4TTKYMMI9X","GSON4162610201")</f>
        <v>#NAME?</v>
      </c>
      <c r="T3057" s="23" t="e">
        <f ca="1">[1]!BexGetData("DP_1","00O2TNJGODT0G5Z4TTKYMMOLH","GSON4162610201")</f>
        <v>#NAME?</v>
      </c>
      <c r="U3057" s="28" t="e">
        <f ca="1">[1]!BexGetData("DP_1","00O2TNJGODT0G5Z4TTKYMMUX1","GSON4162610201")</f>
        <v>#NAME?</v>
      </c>
      <c r="V3057" s="23" t="e">
        <f ca="1">[1]!BexGetData("DP_1","00O2TNJGODT0G5Z4TTKYMN18L","GSON4162610201")</f>
        <v>#NAME?</v>
      </c>
      <c r="W3057" s="28" t="e">
        <f ca="1">[1]!BexGetData("DP_1","00O2TNJGODT0G5Z4TTKYMN7K5","GSON4162610201")</f>
        <v>#NAME?</v>
      </c>
    </row>
    <row r="3058" spans="1:23" x14ac:dyDescent="0.2">
      <c r="A3058" s="36" t="s">
        <v>1531</v>
      </c>
      <c r="B3058" s="27" t="s">
        <v>1532</v>
      </c>
      <c r="C3058" s="23" t="e">
        <f ca="1">[1]!BexGetData("DP_1","003N8EMH8GTFRCSWKMPXRR8GU","GSON4162610202")</f>
        <v>#NAME?</v>
      </c>
      <c r="D3058" s="23" t="e">
        <f ca="1">[1]!BexGetData("DP_1","003N8EMH8GTFRCSWKMPXRRESE","GSON4162610202")</f>
        <v>#NAME?</v>
      </c>
      <c r="E3058" s="23" t="e">
        <f ca="1">[1]!BexGetData("DP_1","003N8EMH8GTFRCSWKMPXRRL3Y","GSON4162610202")</f>
        <v>#NAME?</v>
      </c>
      <c r="F3058" s="23" t="e">
        <f ca="1">[1]!BexGetData("DP_1","003N8EMH8GTFRCSWKMPXRRRFI","GSON4162610202")</f>
        <v>#NAME?</v>
      </c>
      <c r="G3058" s="23" t="e">
        <f ca="1">[1]!BexGetData("DP_1","003N8EMH8GTFRCSWKMPXRRXR2","GSON4162610202")</f>
        <v>#NAME?</v>
      </c>
      <c r="H3058" s="23" t="e">
        <f ca="1">[1]!BexGetData("DP_1","003N8EMH8GTFRCSWKMPXRS42M","GSON4162610202")</f>
        <v>#NAME?</v>
      </c>
      <c r="I3058" s="23" t="e">
        <f ca="1">[1]!BexGetData("DP_1","003N8EMH8GTFRCSWKMPXRSAE6","GSON4162610202")</f>
        <v>#NAME?</v>
      </c>
      <c r="J3058" s="24" t="e">
        <f ca="1">[1]!BexGetData("DP_1","003N8EMH8GTFRCSWKMPXRSGPQ","GSON4162610202")</f>
        <v>#NAME?</v>
      </c>
      <c r="K3058" s="23" t="e">
        <f ca="1">[1]!BexGetData("DP_1","003N8EMH8GTFRIVNUPY288VJH","GSON4162610202")</f>
        <v>#NAME?</v>
      </c>
      <c r="L3058" s="23" t="e">
        <f ca="1">[1]!BexGetData("DP_1","003N8EMH8GTFRIVNUPY2891V1","GSON4162610202")</f>
        <v>#NAME?</v>
      </c>
      <c r="M3058" s="28" t="e">
        <f ca="1">[1]!BexGetData("DP_1","003N8EMH8GTFRIVOG7KG9IQXA","GSON4162610202")</f>
        <v>#NAME?</v>
      </c>
      <c r="N3058" s="23" t="e">
        <f ca="1">[1]!BexGetData("DP_1","003N8EMH8GTFRIVOG7KG9IX8U","GSON4162610202")</f>
        <v>#NAME?</v>
      </c>
      <c r="O3058" s="28" t="e">
        <f ca="1">[1]!BexGetData("DP_1","003N8EMH8GTFRIVOG7KG9J3KE","GSON4162610202")</f>
        <v>#NAME?</v>
      </c>
      <c r="P3058" s="23" t="e">
        <f ca="1">[1]!BexGetData("DP_1","003N8EMH8GTFRIVOG7KG9J9VY","GSON4162610202")</f>
        <v>#NAME?</v>
      </c>
      <c r="Q3058" s="24" t="e">
        <f ca="1">[1]!BexGetData("DP_1","00O2TNJGODT0G5Z4TTKYMM5MT","GSON4162610202")</f>
        <v>#NAME?</v>
      </c>
      <c r="R3058" s="23" t="e">
        <f ca="1">[1]!BexGetData("DP_1","00O2TNJGODT0G5Z4TTKYMMBYD","GSON4162610202")</f>
        <v>#NAME?</v>
      </c>
      <c r="S3058" s="23" t="e">
        <f ca="1">[1]!BexGetData("DP_1","00O2TNJGODT0G5Z4TTKYMMI9X","GSON4162610202")</f>
        <v>#NAME?</v>
      </c>
      <c r="T3058" s="23" t="e">
        <f ca="1">[1]!BexGetData("DP_1","00O2TNJGODT0G5Z4TTKYMMOLH","GSON4162610202")</f>
        <v>#NAME?</v>
      </c>
      <c r="U3058" s="28" t="e">
        <f ca="1">[1]!BexGetData("DP_1","00O2TNJGODT0G5Z4TTKYMMUX1","GSON4162610202")</f>
        <v>#NAME?</v>
      </c>
      <c r="V3058" s="23" t="e">
        <f ca="1">[1]!BexGetData("DP_1","00O2TNJGODT0G5Z4TTKYMN18L","GSON4162610202")</f>
        <v>#NAME?</v>
      </c>
      <c r="W3058" s="28" t="e">
        <f ca="1">[1]!BexGetData("DP_1","00O2TNJGODT0G5Z4TTKYMN7K5","GSON4162610202")</f>
        <v>#NAME?</v>
      </c>
    </row>
    <row r="3059" spans="1:23" x14ac:dyDescent="0.2">
      <c r="A3059" s="35" t="s">
        <v>1734</v>
      </c>
      <c r="B3059" s="27" t="s">
        <v>1735</v>
      </c>
      <c r="C3059" s="23" t="e">
        <f ca="1">[1]!BexGetData("DP_1","003N8EMH8GTFRCSWKMPXRR8GU","GSON4163")</f>
        <v>#NAME?</v>
      </c>
      <c r="D3059" s="23" t="e">
        <f ca="1">[1]!BexGetData("DP_1","003N8EMH8GTFRCSWKMPXRRESE","GSON4163")</f>
        <v>#NAME?</v>
      </c>
      <c r="E3059" s="23" t="e">
        <f ca="1">[1]!BexGetData("DP_1","003N8EMH8GTFRCSWKMPXRRL3Y","GSON4163")</f>
        <v>#NAME?</v>
      </c>
      <c r="F3059" s="23" t="e">
        <f ca="1">[1]!BexGetData("DP_1","003N8EMH8GTFRCSWKMPXRRRFI","GSON4163")</f>
        <v>#NAME?</v>
      </c>
      <c r="G3059" s="23" t="e">
        <f ca="1">[1]!BexGetData("DP_1","003N8EMH8GTFRCSWKMPXRRXR2","GSON4163")</f>
        <v>#NAME?</v>
      </c>
      <c r="H3059" s="23" t="e">
        <f ca="1">[1]!BexGetData("DP_1","003N8EMH8GTFRCSWKMPXRS42M","GSON4163")</f>
        <v>#NAME?</v>
      </c>
      <c r="I3059" s="23" t="e">
        <f ca="1">[1]!BexGetData("DP_1","003N8EMH8GTFRCSWKMPXRSAE6","GSON4163")</f>
        <v>#NAME?</v>
      </c>
      <c r="J3059" s="24" t="e">
        <f ca="1">[1]!BexGetData("DP_1","003N8EMH8GTFRCSWKMPXRSGPQ","GSON4163")</f>
        <v>#NAME?</v>
      </c>
      <c r="K3059" s="23" t="e">
        <f ca="1">[1]!BexGetData("DP_1","003N8EMH8GTFRIVNUPY288VJH","GSON4163")</f>
        <v>#NAME?</v>
      </c>
      <c r="L3059" s="23" t="e">
        <f ca="1">[1]!BexGetData("DP_1","003N8EMH8GTFRIVNUPY2891V1","GSON4163")</f>
        <v>#NAME?</v>
      </c>
      <c r="M3059" s="23" t="e">
        <f ca="1">[1]!BexGetData("DP_1","003N8EMH8GTFRIVOG7KG9IQXA","GSON4163")</f>
        <v>#NAME?</v>
      </c>
      <c r="N3059" s="28" t="e">
        <f ca="1">[1]!BexGetData("DP_1","003N8EMH8GTFRIVOG7KG9IX8U","GSON4163")</f>
        <v>#NAME?</v>
      </c>
      <c r="O3059" s="23" t="e">
        <f ca="1">[1]!BexGetData("DP_1","003N8EMH8GTFRIVOG7KG9J3KE","GSON4163")</f>
        <v>#NAME?</v>
      </c>
      <c r="P3059" s="28" t="e">
        <f ca="1">[1]!BexGetData("DP_1","003N8EMH8GTFRIVOG7KG9J9VY","GSON4163")</f>
        <v>#NAME?</v>
      </c>
      <c r="Q3059" s="24" t="e">
        <f ca="1">[1]!BexGetData("DP_1","00O2TNJGODT0G5Z4TTKYMM5MT","GSON4163")</f>
        <v>#NAME?</v>
      </c>
      <c r="R3059" s="23" t="e">
        <f ca="1">[1]!BexGetData("DP_1","00O2TNJGODT0G5Z4TTKYMMBYD","GSON4163")</f>
        <v>#NAME?</v>
      </c>
      <c r="S3059" s="23" t="e">
        <f ca="1">[1]!BexGetData("DP_1","00O2TNJGODT0G5Z4TTKYMMI9X","GSON4163")</f>
        <v>#NAME?</v>
      </c>
      <c r="T3059" s="23" t="e">
        <f ca="1">[1]!BexGetData("DP_1","00O2TNJGODT0G5Z4TTKYMMOLH","GSON4163")</f>
        <v>#NAME?</v>
      </c>
      <c r="U3059" s="28" t="e">
        <f ca="1">[1]!BexGetData("DP_1","00O2TNJGODT0G5Z4TTKYMMUX1","GSON4163")</f>
        <v>#NAME?</v>
      </c>
      <c r="V3059" s="23" t="e">
        <f ca="1">[1]!BexGetData("DP_1","00O2TNJGODT0G5Z4TTKYMN18L","GSON4163")</f>
        <v>#NAME?</v>
      </c>
      <c r="W3059" s="28" t="e">
        <f ca="1">[1]!BexGetData("DP_1","00O2TNJGODT0G5Z4TTKYMN7K5","GSON4163")</f>
        <v>#NAME?</v>
      </c>
    </row>
    <row r="3060" spans="1:23" x14ac:dyDescent="0.2">
      <c r="A3060" s="36" t="s">
        <v>1736</v>
      </c>
      <c r="B3060" s="27" t="s">
        <v>1737</v>
      </c>
      <c r="C3060" s="23" t="e">
        <f ca="1">[1]!BexGetData("DP_1","003N8EMH8GTFRCSWKMPXRR8GU","GSON4163610301")</f>
        <v>#NAME?</v>
      </c>
      <c r="D3060" s="23" t="e">
        <f ca="1">[1]!BexGetData("DP_1","003N8EMH8GTFRCSWKMPXRRESE","GSON4163610301")</f>
        <v>#NAME?</v>
      </c>
      <c r="E3060" s="23" t="e">
        <f ca="1">[1]!BexGetData("DP_1","003N8EMH8GTFRCSWKMPXRRL3Y","GSON4163610301")</f>
        <v>#NAME?</v>
      </c>
      <c r="F3060" s="23" t="e">
        <f ca="1">[1]!BexGetData("DP_1","003N8EMH8GTFRCSWKMPXRRRFI","GSON4163610301")</f>
        <v>#NAME?</v>
      </c>
      <c r="G3060" s="23" t="e">
        <f ca="1">[1]!BexGetData("DP_1","003N8EMH8GTFRCSWKMPXRRXR2","GSON4163610301")</f>
        <v>#NAME?</v>
      </c>
      <c r="H3060" s="23" t="e">
        <f ca="1">[1]!BexGetData("DP_1","003N8EMH8GTFRCSWKMPXRS42M","GSON4163610301")</f>
        <v>#NAME?</v>
      </c>
      <c r="I3060" s="23" t="e">
        <f ca="1">[1]!BexGetData("DP_1","003N8EMH8GTFRCSWKMPXRSAE6","GSON4163610301")</f>
        <v>#NAME?</v>
      </c>
      <c r="J3060" s="24" t="e">
        <f ca="1">[1]!BexGetData("DP_1","003N8EMH8GTFRCSWKMPXRSGPQ","GSON4163610301")</f>
        <v>#NAME?</v>
      </c>
      <c r="K3060" s="23" t="e">
        <f ca="1">[1]!BexGetData("DP_1","003N8EMH8GTFRIVNUPY288VJH","GSON4163610301")</f>
        <v>#NAME?</v>
      </c>
      <c r="L3060" s="23" t="e">
        <f ca="1">[1]!BexGetData("DP_1","003N8EMH8GTFRIVNUPY2891V1","GSON4163610301")</f>
        <v>#NAME?</v>
      </c>
      <c r="M3060" s="23" t="e">
        <f ca="1">[1]!BexGetData("DP_1","003N8EMH8GTFRIVOG7KG9IQXA","GSON4163610301")</f>
        <v>#NAME?</v>
      </c>
      <c r="N3060" s="28" t="e">
        <f ca="1">[1]!BexGetData("DP_1","003N8EMH8GTFRIVOG7KG9IX8U","GSON4163610301")</f>
        <v>#NAME?</v>
      </c>
      <c r="O3060" s="23" t="e">
        <f ca="1">[1]!BexGetData("DP_1","003N8EMH8GTFRIVOG7KG9J3KE","GSON4163610301")</f>
        <v>#NAME?</v>
      </c>
      <c r="P3060" s="28" t="e">
        <f ca="1">[1]!BexGetData("DP_1","003N8EMH8GTFRIVOG7KG9J9VY","GSON4163610301")</f>
        <v>#NAME?</v>
      </c>
      <c r="Q3060" s="24" t="e">
        <f ca="1">[1]!BexGetData("DP_1","00O2TNJGODT0G5Z4TTKYMM5MT","GSON4163610301")</f>
        <v>#NAME?</v>
      </c>
      <c r="R3060" s="23" t="e">
        <f ca="1">[1]!BexGetData("DP_1","00O2TNJGODT0G5Z4TTKYMMBYD","GSON4163610301")</f>
        <v>#NAME?</v>
      </c>
      <c r="S3060" s="23" t="e">
        <f ca="1">[1]!BexGetData("DP_1","00O2TNJGODT0G5Z4TTKYMMI9X","GSON4163610301")</f>
        <v>#NAME?</v>
      </c>
      <c r="T3060" s="23" t="e">
        <f ca="1">[1]!BexGetData("DP_1","00O2TNJGODT0G5Z4TTKYMMOLH","GSON4163610301")</f>
        <v>#NAME?</v>
      </c>
      <c r="U3060" s="28" t="e">
        <f ca="1">[1]!BexGetData("DP_1","00O2TNJGODT0G5Z4TTKYMMUX1","GSON4163610301")</f>
        <v>#NAME?</v>
      </c>
      <c r="V3060" s="23" t="e">
        <f ca="1">[1]!BexGetData("DP_1","00O2TNJGODT0G5Z4TTKYMN18L","GSON4163610301")</f>
        <v>#NAME?</v>
      </c>
      <c r="W3060" s="28" t="e">
        <f ca="1">[1]!BexGetData("DP_1","00O2TNJGODT0G5Z4TTKYMN7K5","GSON4163610301")</f>
        <v>#NAME?</v>
      </c>
    </row>
    <row r="3061" spans="1:23" x14ac:dyDescent="0.2">
      <c r="A3061" s="35" t="s">
        <v>6387</v>
      </c>
      <c r="B3061" s="27" t="s">
        <v>6388</v>
      </c>
      <c r="C3061" s="23" t="e">
        <f ca="1">[1]!BexGetData("DP_1","003N8EMH8GTFRCSWKMPXRR8GU","GSON4164")</f>
        <v>#NAME?</v>
      </c>
      <c r="D3061" s="23" t="e">
        <f ca="1">[1]!BexGetData("DP_1","003N8EMH8GTFRCSWKMPXRRESE","GSON4164")</f>
        <v>#NAME?</v>
      </c>
      <c r="E3061" s="23" t="e">
        <f ca="1">[1]!BexGetData("DP_1","003N8EMH8GTFRCSWKMPXRRL3Y","GSON4164")</f>
        <v>#NAME?</v>
      </c>
      <c r="F3061" s="23" t="e">
        <f ca="1">[1]!BexGetData("DP_1","003N8EMH8GTFRCSWKMPXRRRFI","GSON4164")</f>
        <v>#NAME?</v>
      </c>
      <c r="G3061" s="23" t="e">
        <f ca="1">[1]!BexGetData("DP_1","003N8EMH8GTFRCSWKMPXRRXR2","GSON4164")</f>
        <v>#NAME?</v>
      </c>
      <c r="H3061" s="23" t="e">
        <f ca="1">[1]!BexGetData("DP_1","003N8EMH8GTFRCSWKMPXRS42M","GSON4164")</f>
        <v>#NAME?</v>
      </c>
      <c r="I3061" s="23" t="e">
        <f ca="1">[1]!BexGetData("DP_1","003N8EMH8GTFRCSWKMPXRSAE6","GSON4164")</f>
        <v>#NAME?</v>
      </c>
      <c r="J3061" s="24" t="e">
        <f ca="1">[1]!BexGetData("DP_1","003N8EMH8GTFRCSWKMPXRSGPQ","GSON4164")</f>
        <v>#NAME?</v>
      </c>
      <c r="K3061" s="23" t="e">
        <f ca="1">[1]!BexGetData("DP_1","003N8EMH8GTFRIVNUPY288VJH","GSON4164")</f>
        <v>#NAME?</v>
      </c>
      <c r="L3061" s="23" t="e">
        <f ca="1">[1]!BexGetData("DP_1","003N8EMH8GTFRIVNUPY2891V1","GSON4164")</f>
        <v>#NAME?</v>
      </c>
      <c r="M3061" s="23" t="e">
        <f ca="1">[1]!BexGetData("DP_1","003N8EMH8GTFRIVOG7KG9IQXA","GSON4164")</f>
        <v>#NAME?</v>
      </c>
      <c r="N3061" s="28" t="e">
        <f ca="1">[1]!BexGetData("DP_1","003N8EMH8GTFRIVOG7KG9IX8U","GSON4164")</f>
        <v>#NAME?</v>
      </c>
      <c r="O3061" s="23" t="e">
        <f ca="1">[1]!BexGetData("DP_1","003N8EMH8GTFRIVOG7KG9J3KE","GSON4164")</f>
        <v>#NAME?</v>
      </c>
      <c r="P3061" s="28" t="e">
        <f ca="1">[1]!BexGetData("DP_1","003N8EMH8GTFRIVOG7KG9J9VY","GSON4164")</f>
        <v>#NAME?</v>
      </c>
      <c r="Q3061" s="24" t="e">
        <f ca="1">[1]!BexGetData("DP_1","00O2TNJGODT0G5Z4TTKYMM5MT","GSON4164")</f>
        <v>#NAME?</v>
      </c>
      <c r="R3061" s="23" t="e">
        <f ca="1">[1]!BexGetData("DP_1","00O2TNJGODT0G5Z4TTKYMMBYD","GSON4164")</f>
        <v>#NAME?</v>
      </c>
      <c r="S3061" s="23" t="e">
        <f ca="1">[1]!BexGetData("DP_1","00O2TNJGODT0G5Z4TTKYMMI9X","GSON4164")</f>
        <v>#NAME?</v>
      </c>
      <c r="T3061" s="23" t="e">
        <f ca="1">[1]!BexGetData("DP_1","00O2TNJGODT0G5Z4TTKYMMOLH","GSON4164")</f>
        <v>#NAME?</v>
      </c>
      <c r="U3061" s="28" t="e">
        <f ca="1">[1]!BexGetData("DP_1","00O2TNJGODT0G5Z4TTKYMMUX1","GSON4164")</f>
        <v>#NAME?</v>
      </c>
      <c r="V3061" s="23" t="e">
        <f ca="1">[1]!BexGetData("DP_1","00O2TNJGODT0G5Z4TTKYMN18L","GSON4164")</f>
        <v>#NAME?</v>
      </c>
      <c r="W3061" s="28" t="e">
        <f ca="1">[1]!BexGetData("DP_1","00O2TNJGODT0G5Z4TTKYMN7K5","GSON4164")</f>
        <v>#NAME?</v>
      </c>
    </row>
    <row r="3062" spans="1:23" x14ac:dyDescent="0.2">
      <c r="A3062" s="36" t="s">
        <v>6389</v>
      </c>
      <c r="B3062" s="27" t="s">
        <v>6390</v>
      </c>
      <c r="C3062" s="23" t="e">
        <f ca="1">[1]!BexGetData("DP_1","003N8EMH8GTFRCSWKMPXRR8GU","GSON4164610401")</f>
        <v>#NAME?</v>
      </c>
      <c r="D3062" s="23" t="e">
        <f ca="1">[1]!BexGetData("DP_1","003N8EMH8GTFRCSWKMPXRRESE","GSON4164610401")</f>
        <v>#NAME?</v>
      </c>
      <c r="E3062" s="23" t="e">
        <f ca="1">[1]!BexGetData("DP_1","003N8EMH8GTFRCSWKMPXRRL3Y","GSON4164610401")</f>
        <v>#NAME?</v>
      </c>
      <c r="F3062" s="23" t="e">
        <f ca="1">[1]!BexGetData("DP_1","003N8EMH8GTFRCSWKMPXRRRFI","GSON4164610401")</f>
        <v>#NAME?</v>
      </c>
      <c r="G3062" s="23" t="e">
        <f ca="1">[1]!BexGetData("DP_1","003N8EMH8GTFRCSWKMPXRRXR2","GSON4164610401")</f>
        <v>#NAME?</v>
      </c>
      <c r="H3062" s="23" t="e">
        <f ca="1">[1]!BexGetData("DP_1","003N8EMH8GTFRCSWKMPXRS42M","GSON4164610401")</f>
        <v>#NAME?</v>
      </c>
      <c r="I3062" s="23" t="e">
        <f ca="1">[1]!BexGetData("DP_1","003N8EMH8GTFRCSWKMPXRSAE6","GSON4164610401")</f>
        <v>#NAME?</v>
      </c>
      <c r="J3062" s="24" t="e">
        <f ca="1">[1]!BexGetData("DP_1","003N8EMH8GTFRCSWKMPXRSGPQ","GSON4164610401")</f>
        <v>#NAME?</v>
      </c>
      <c r="K3062" s="23" t="e">
        <f ca="1">[1]!BexGetData("DP_1","003N8EMH8GTFRIVNUPY288VJH","GSON4164610401")</f>
        <v>#NAME?</v>
      </c>
      <c r="L3062" s="23" t="e">
        <f ca="1">[1]!BexGetData("DP_1","003N8EMH8GTFRIVNUPY2891V1","GSON4164610401")</f>
        <v>#NAME?</v>
      </c>
      <c r="M3062" s="23" t="e">
        <f ca="1">[1]!BexGetData("DP_1","003N8EMH8GTFRIVOG7KG9IQXA","GSON4164610401")</f>
        <v>#NAME?</v>
      </c>
      <c r="N3062" s="28" t="e">
        <f ca="1">[1]!BexGetData("DP_1","003N8EMH8GTFRIVOG7KG9IX8U","GSON4164610401")</f>
        <v>#NAME?</v>
      </c>
      <c r="O3062" s="23" t="e">
        <f ca="1">[1]!BexGetData("DP_1","003N8EMH8GTFRIVOG7KG9J3KE","GSON4164610401")</f>
        <v>#NAME?</v>
      </c>
      <c r="P3062" s="28" t="e">
        <f ca="1">[1]!BexGetData("DP_1","003N8EMH8GTFRIVOG7KG9J9VY","GSON4164610401")</f>
        <v>#NAME?</v>
      </c>
      <c r="Q3062" s="24" t="e">
        <f ca="1">[1]!BexGetData("DP_1","00O2TNJGODT0G5Z4TTKYMM5MT","GSON4164610401")</f>
        <v>#NAME?</v>
      </c>
      <c r="R3062" s="23" t="e">
        <f ca="1">[1]!BexGetData("DP_1","00O2TNJGODT0G5Z4TTKYMMBYD","GSON4164610401")</f>
        <v>#NAME?</v>
      </c>
      <c r="S3062" s="23" t="e">
        <f ca="1">[1]!BexGetData("DP_1","00O2TNJGODT0G5Z4TTKYMMI9X","GSON4164610401")</f>
        <v>#NAME?</v>
      </c>
      <c r="T3062" s="23" t="e">
        <f ca="1">[1]!BexGetData("DP_1","00O2TNJGODT0G5Z4TTKYMMOLH","GSON4164610401")</f>
        <v>#NAME?</v>
      </c>
      <c r="U3062" s="28" t="e">
        <f ca="1">[1]!BexGetData("DP_1","00O2TNJGODT0G5Z4TTKYMMUX1","GSON4164610401")</f>
        <v>#NAME?</v>
      </c>
      <c r="V3062" s="23" t="e">
        <f ca="1">[1]!BexGetData("DP_1","00O2TNJGODT0G5Z4TTKYMN18L","GSON4164610401")</f>
        <v>#NAME?</v>
      </c>
      <c r="W3062" s="28" t="e">
        <f ca="1">[1]!BexGetData("DP_1","00O2TNJGODT0G5Z4TTKYMN7K5","GSON4164610401")</f>
        <v>#NAME?</v>
      </c>
    </row>
    <row r="3063" spans="1:23" x14ac:dyDescent="0.2">
      <c r="A3063" s="35" t="s">
        <v>567</v>
      </c>
      <c r="B3063" s="27" t="s">
        <v>568</v>
      </c>
      <c r="C3063" s="23" t="e">
        <f ca="1">[1]!BexGetData("DP_1","003N8EMH8GTFRCSWKMPXRR8GU","GSON4168")</f>
        <v>#NAME?</v>
      </c>
      <c r="D3063" s="23" t="e">
        <f ca="1">[1]!BexGetData("DP_1","003N8EMH8GTFRCSWKMPXRRESE","GSON4168")</f>
        <v>#NAME?</v>
      </c>
      <c r="E3063" s="23" t="e">
        <f ca="1">[1]!BexGetData("DP_1","003N8EMH8GTFRCSWKMPXRRL3Y","GSON4168")</f>
        <v>#NAME?</v>
      </c>
      <c r="F3063" s="23" t="e">
        <f ca="1">[1]!BexGetData("DP_1","003N8EMH8GTFRCSWKMPXRRRFI","GSON4168")</f>
        <v>#NAME?</v>
      </c>
      <c r="G3063" s="23" t="e">
        <f ca="1">[1]!BexGetData("DP_1","003N8EMH8GTFRCSWKMPXRRXR2","GSON4168")</f>
        <v>#NAME?</v>
      </c>
      <c r="H3063" s="23" t="e">
        <f ca="1">[1]!BexGetData("DP_1","003N8EMH8GTFRCSWKMPXRS42M","GSON4168")</f>
        <v>#NAME?</v>
      </c>
      <c r="I3063" s="23" t="e">
        <f ca="1">[1]!BexGetData("DP_1","003N8EMH8GTFRCSWKMPXRSAE6","GSON4168")</f>
        <v>#NAME?</v>
      </c>
      <c r="J3063" s="24" t="e">
        <f ca="1">[1]!BexGetData("DP_1","003N8EMH8GTFRCSWKMPXRSGPQ","GSON4168")</f>
        <v>#NAME?</v>
      </c>
      <c r="K3063" s="23" t="e">
        <f ca="1">[1]!BexGetData("DP_1","003N8EMH8GTFRIVNUPY288VJH","GSON4168")</f>
        <v>#NAME?</v>
      </c>
      <c r="L3063" s="23" t="e">
        <f ca="1">[1]!BexGetData("DP_1","003N8EMH8GTFRIVNUPY2891V1","GSON4168")</f>
        <v>#NAME?</v>
      </c>
      <c r="M3063" s="28" t="e">
        <f ca="1">[1]!BexGetData("DP_1","003N8EMH8GTFRIVOG7KG9IQXA","GSON4168")</f>
        <v>#NAME?</v>
      </c>
      <c r="N3063" s="23" t="e">
        <f ca="1">[1]!BexGetData("DP_1","003N8EMH8GTFRIVOG7KG9IX8U","GSON4168")</f>
        <v>#NAME?</v>
      </c>
      <c r="O3063" s="28" t="e">
        <f ca="1">[1]!BexGetData("DP_1","003N8EMH8GTFRIVOG7KG9J3KE","GSON4168")</f>
        <v>#NAME?</v>
      </c>
      <c r="P3063" s="23" t="e">
        <f ca="1">[1]!BexGetData("DP_1","003N8EMH8GTFRIVOG7KG9J9VY","GSON4168")</f>
        <v>#NAME?</v>
      </c>
      <c r="Q3063" s="24" t="e">
        <f ca="1">[1]!BexGetData("DP_1","00O2TNJGODT0G5Z4TTKYMM5MT","GSON4168")</f>
        <v>#NAME?</v>
      </c>
      <c r="R3063" s="23" t="e">
        <f ca="1">[1]!BexGetData("DP_1","00O2TNJGODT0G5Z4TTKYMMBYD","GSON4168")</f>
        <v>#NAME?</v>
      </c>
      <c r="S3063" s="23" t="e">
        <f ca="1">[1]!BexGetData("DP_1","00O2TNJGODT0G5Z4TTKYMMI9X","GSON4168")</f>
        <v>#NAME?</v>
      </c>
      <c r="T3063" s="23" t="e">
        <f ca="1">[1]!BexGetData("DP_1","00O2TNJGODT0G5Z4TTKYMMOLH","GSON4168")</f>
        <v>#NAME?</v>
      </c>
      <c r="U3063" s="28" t="e">
        <f ca="1">[1]!BexGetData("DP_1","00O2TNJGODT0G5Z4TTKYMMUX1","GSON4168")</f>
        <v>#NAME?</v>
      </c>
      <c r="V3063" s="23" t="e">
        <f ca="1">[1]!BexGetData("DP_1","00O2TNJGODT0G5Z4TTKYMN18L","GSON4168")</f>
        <v>#NAME?</v>
      </c>
      <c r="W3063" s="28" t="e">
        <f ca="1">[1]!BexGetData("DP_1","00O2TNJGODT0G5Z4TTKYMN7K5","GSON4168")</f>
        <v>#NAME?</v>
      </c>
    </row>
    <row r="3064" spans="1:23" x14ac:dyDescent="0.2">
      <c r="A3064" s="36" t="s">
        <v>6391</v>
      </c>
      <c r="B3064" s="27" t="s">
        <v>569</v>
      </c>
      <c r="C3064" s="23" t="e">
        <f ca="1">[1]!BexGetData("DP_1","003N8EMH8GTFRCSWKMPXRR8GU","GSON4168610801")</f>
        <v>#NAME?</v>
      </c>
      <c r="D3064" s="23" t="e">
        <f ca="1">[1]!BexGetData("DP_1","003N8EMH8GTFRCSWKMPXRRESE","GSON4168610801")</f>
        <v>#NAME?</v>
      </c>
      <c r="E3064" s="23" t="e">
        <f ca="1">[1]!BexGetData("DP_1","003N8EMH8GTFRCSWKMPXRRL3Y","GSON4168610801")</f>
        <v>#NAME?</v>
      </c>
      <c r="F3064" s="23" t="e">
        <f ca="1">[1]!BexGetData("DP_1","003N8EMH8GTFRCSWKMPXRRRFI","GSON4168610801")</f>
        <v>#NAME?</v>
      </c>
      <c r="G3064" s="23" t="e">
        <f ca="1">[1]!BexGetData("DP_1","003N8EMH8GTFRCSWKMPXRRXR2","GSON4168610801")</f>
        <v>#NAME?</v>
      </c>
      <c r="H3064" s="23" t="e">
        <f ca="1">[1]!BexGetData("DP_1","003N8EMH8GTFRCSWKMPXRS42M","GSON4168610801")</f>
        <v>#NAME?</v>
      </c>
      <c r="I3064" s="23" t="e">
        <f ca="1">[1]!BexGetData("DP_1","003N8EMH8GTFRCSWKMPXRSAE6","GSON4168610801")</f>
        <v>#NAME?</v>
      </c>
      <c r="J3064" s="24" t="e">
        <f ca="1">[1]!BexGetData("DP_1","003N8EMH8GTFRCSWKMPXRSGPQ","GSON4168610801")</f>
        <v>#NAME?</v>
      </c>
      <c r="K3064" s="23" t="e">
        <f ca="1">[1]!BexGetData("DP_1","003N8EMH8GTFRIVNUPY288VJH","GSON4168610801")</f>
        <v>#NAME?</v>
      </c>
      <c r="L3064" s="23" t="e">
        <f ca="1">[1]!BexGetData("DP_1","003N8EMH8GTFRIVNUPY2891V1","GSON4168610801")</f>
        <v>#NAME?</v>
      </c>
      <c r="M3064" s="28" t="e">
        <f ca="1">[1]!BexGetData("DP_1","003N8EMH8GTFRIVOG7KG9IQXA","GSON4168610801")</f>
        <v>#NAME?</v>
      </c>
      <c r="N3064" s="23" t="e">
        <f ca="1">[1]!BexGetData("DP_1","003N8EMH8GTFRIVOG7KG9IX8U","GSON4168610801")</f>
        <v>#NAME?</v>
      </c>
      <c r="O3064" s="28" t="e">
        <f ca="1">[1]!BexGetData("DP_1","003N8EMH8GTFRIVOG7KG9J3KE","GSON4168610801")</f>
        <v>#NAME?</v>
      </c>
      <c r="P3064" s="23" t="e">
        <f ca="1">[1]!BexGetData("DP_1","003N8EMH8GTFRIVOG7KG9J9VY","GSON4168610801")</f>
        <v>#NAME?</v>
      </c>
      <c r="Q3064" s="24" t="e">
        <f ca="1">[1]!BexGetData("DP_1","00O2TNJGODT0G5Z4TTKYMM5MT","GSON4168610801")</f>
        <v>#NAME?</v>
      </c>
      <c r="R3064" s="23" t="e">
        <f ca="1">[1]!BexGetData("DP_1","00O2TNJGODT0G5Z4TTKYMMBYD","GSON4168610801")</f>
        <v>#NAME?</v>
      </c>
      <c r="S3064" s="23" t="e">
        <f ca="1">[1]!BexGetData("DP_1","00O2TNJGODT0G5Z4TTKYMMI9X","GSON4168610801")</f>
        <v>#NAME?</v>
      </c>
      <c r="T3064" s="23" t="e">
        <f ca="1">[1]!BexGetData("DP_1","00O2TNJGODT0G5Z4TTKYMMOLH","GSON4168610801")</f>
        <v>#NAME?</v>
      </c>
      <c r="U3064" s="28" t="e">
        <f ca="1">[1]!BexGetData("DP_1","00O2TNJGODT0G5Z4TTKYMMUX1","GSON4168610801")</f>
        <v>#NAME?</v>
      </c>
      <c r="V3064" s="23" t="e">
        <f ca="1">[1]!BexGetData("DP_1","00O2TNJGODT0G5Z4TTKYMN18L","GSON4168610801")</f>
        <v>#NAME?</v>
      </c>
      <c r="W3064" s="28" t="e">
        <f ca="1">[1]!BexGetData("DP_1","00O2TNJGODT0G5Z4TTKYMN7K5","GSON4168610801")</f>
        <v>#NAME?</v>
      </c>
    </row>
    <row r="3065" spans="1:23" x14ac:dyDescent="0.2">
      <c r="A3065" s="36" t="s">
        <v>6392</v>
      </c>
      <c r="B3065" s="27" t="s">
        <v>1533</v>
      </c>
      <c r="C3065" s="23" t="e">
        <f ca="1">[1]!BexGetData("DP_1","003N8EMH8GTFRCSWKMPXRR8GU","GSON4168610802")</f>
        <v>#NAME?</v>
      </c>
      <c r="D3065" s="23" t="e">
        <f ca="1">[1]!BexGetData("DP_1","003N8EMH8GTFRCSWKMPXRRESE","GSON4168610802")</f>
        <v>#NAME?</v>
      </c>
      <c r="E3065" s="23" t="e">
        <f ca="1">[1]!BexGetData("DP_1","003N8EMH8GTFRCSWKMPXRRL3Y","GSON4168610802")</f>
        <v>#NAME?</v>
      </c>
      <c r="F3065" s="23" t="e">
        <f ca="1">[1]!BexGetData("DP_1","003N8EMH8GTFRCSWKMPXRRRFI","GSON4168610802")</f>
        <v>#NAME?</v>
      </c>
      <c r="G3065" s="23" t="e">
        <f ca="1">[1]!BexGetData("DP_1","003N8EMH8GTFRCSWKMPXRRXR2","GSON4168610802")</f>
        <v>#NAME?</v>
      </c>
      <c r="H3065" s="23" t="e">
        <f ca="1">[1]!BexGetData("DP_1","003N8EMH8GTFRCSWKMPXRS42M","GSON4168610802")</f>
        <v>#NAME?</v>
      </c>
      <c r="I3065" s="23" t="e">
        <f ca="1">[1]!BexGetData("DP_1","003N8EMH8GTFRCSWKMPXRSAE6","GSON4168610802")</f>
        <v>#NAME?</v>
      </c>
      <c r="J3065" s="24" t="e">
        <f ca="1">[1]!BexGetData("DP_1","003N8EMH8GTFRCSWKMPXRSGPQ","GSON4168610802")</f>
        <v>#NAME?</v>
      </c>
      <c r="K3065" s="23" t="e">
        <f ca="1">[1]!BexGetData("DP_1","003N8EMH8GTFRIVNUPY288VJH","GSON4168610802")</f>
        <v>#NAME?</v>
      </c>
      <c r="L3065" s="23" t="e">
        <f ca="1">[1]!BexGetData("DP_1","003N8EMH8GTFRIVNUPY2891V1","GSON4168610802")</f>
        <v>#NAME?</v>
      </c>
      <c r="M3065" s="23" t="e">
        <f ca="1">[1]!BexGetData("DP_1","003N8EMH8GTFRIVOG7KG9IQXA","GSON4168610802")</f>
        <v>#NAME?</v>
      </c>
      <c r="N3065" s="28" t="e">
        <f ca="1">[1]!BexGetData("DP_1","003N8EMH8GTFRIVOG7KG9IX8U","GSON4168610802")</f>
        <v>#NAME?</v>
      </c>
      <c r="O3065" s="23" t="e">
        <f ca="1">[1]!BexGetData("DP_1","003N8EMH8GTFRIVOG7KG9J3KE","GSON4168610802")</f>
        <v>#NAME?</v>
      </c>
      <c r="P3065" s="28" t="e">
        <f ca="1">[1]!BexGetData("DP_1","003N8EMH8GTFRIVOG7KG9J9VY","GSON4168610802")</f>
        <v>#NAME?</v>
      </c>
      <c r="Q3065" s="24" t="e">
        <f ca="1">[1]!BexGetData("DP_1","00O2TNJGODT0G5Z4TTKYMM5MT","GSON4168610802")</f>
        <v>#NAME?</v>
      </c>
      <c r="R3065" s="23" t="e">
        <f ca="1">[1]!BexGetData("DP_1","00O2TNJGODT0G5Z4TTKYMMBYD","GSON4168610802")</f>
        <v>#NAME?</v>
      </c>
      <c r="S3065" s="23" t="e">
        <f ca="1">[1]!BexGetData("DP_1","00O2TNJGODT0G5Z4TTKYMMI9X","GSON4168610802")</f>
        <v>#NAME?</v>
      </c>
      <c r="T3065" s="23" t="e">
        <f ca="1">[1]!BexGetData("DP_1","00O2TNJGODT0G5Z4TTKYMMOLH","GSON4168610802")</f>
        <v>#NAME?</v>
      </c>
      <c r="U3065" s="28" t="e">
        <f ca="1">[1]!BexGetData("DP_1","00O2TNJGODT0G5Z4TTKYMMUX1","GSON4168610802")</f>
        <v>#NAME?</v>
      </c>
      <c r="V3065" s="23" t="e">
        <f ca="1">[1]!BexGetData("DP_1","00O2TNJGODT0G5Z4TTKYMN18L","GSON4168610802")</f>
        <v>#NAME?</v>
      </c>
      <c r="W3065" s="28" t="e">
        <f ca="1">[1]!BexGetData("DP_1","00O2TNJGODT0G5Z4TTKYMN7K5","GSON4168610802")</f>
        <v>#NAME?</v>
      </c>
    </row>
    <row r="3066" spans="1:23" x14ac:dyDescent="0.2">
      <c r="A3066" s="35" t="s">
        <v>1534</v>
      </c>
      <c r="B3066" s="27" t="s">
        <v>1535</v>
      </c>
      <c r="C3066" s="23" t="e">
        <f ca="1">[1]!BexGetData("DP_1","003N8EMH8GTFRCSWKMPXRR8GU","GSON4169")</f>
        <v>#NAME?</v>
      </c>
      <c r="D3066" s="23" t="e">
        <f ca="1">[1]!BexGetData("DP_1","003N8EMH8GTFRCSWKMPXRRESE","GSON4169")</f>
        <v>#NAME?</v>
      </c>
      <c r="E3066" s="23" t="e">
        <f ca="1">[1]!BexGetData("DP_1","003N8EMH8GTFRCSWKMPXRRL3Y","GSON4169")</f>
        <v>#NAME?</v>
      </c>
      <c r="F3066" s="23" t="e">
        <f ca="1">[1]!BexGetData("DP_1","003N8EMH8GTFRCSWKMPXRRRFI","GSON4169")</f>
        <v>#NAME?</v>
      </c>
      <c r="G3066" s="23" t="e">
        <f ca="1">[1]!BexGetData("DP_1","003N8EMH8GTFRCSWKMPXRRXR2","GSON4169")</f>
        <v>#NAME?</v>
      </c>
      <c r="H3066" s="23" t="e">
        <f ca="1">[1]!BexGetData("DP_1","003N8EMH8GTFRCSWKMPXRS42M","GSON4169")</f>
        <v>#NAME?</v>
      </c>
      <c r="I3066" s="23" t="e">
        <f ca="1">[1]!BexGetData("DP_1","003N8EMH8GTFRCSWKMPXRSAE6","GSON4169")</f>
        <v>#NAME?</v>
      </c>
      <c r="J3066" s="24" t="e">
        <f ca="1">[1]!BexGetData("DP_1","003N8EMH8GTFRCSWKMPXRSGPQ","GSON4169")</f>
        <v>#NAME?</v>
      </c>
      <c r="K3066" s="23" t="e">
        <f ca="1">[1]!BexGetData("DP_1","003N8EMH8GTFRIVNUPY288VJH","GSON4169")</f>
        <v>#NAME?</v>
      </c>
      <c r="L3066" s="23" t="e">
        <f ca="1">[1]!BexGetData("DP_1","003N8EMH8GTFRIVNUPY2891V1","GSON4169")</f>
        <v>#NAME?</v>
      </c>
      <c r="M3066" s="23" t="e">
        <f ca="1">[1]!BexGetData("DP_1","003N8EMH8GTFRIVOG7KG9IQXA","GSON4169")</f>
        <v>#NAME?</v>
      </c>
      <c r="N3066" s="28" t="e">
        <f ca="1">[1]!BexGetData("DP_1","003N8EMH8GTFRIVOG7KG9IX8U","GSON4169")</f>
        <v>#NAME?</v>
      </c>
      <c r="O3066" s="23" t="e">
        <f ca="1">[1]!BexGetData("DP_1","003N8EMH8GTFRIVOG7KG9J3KE","GSON4169")</f>
        <v>#NAME?</v>
      </c>
      <c r="P3066" s="28" t="e">
        <f ca="1">[1]!BexGetData("DP_1","003N8EMH8GTFRIVOG7KG9J9VY","GSON4169")</f>
        <v>#NAME?</v>
      </c>
      <c r="Q3066" s="24" t="e">
        <f ca="1">[1]!BexGetData("DP_1","00O2TNJGODT0G5Z4TTKYMM5MT","GSON4169")</f>
        <v>#NAME?</v>
      </c>
      <c r="R3066" s="23" t="e">
        <f ca="1">[1]!BexGetData("DP_1","00O2TNJGODT0G5Z4TTKYMMBYD","GSON4169")</f>
        <v>#NAME?</v>
      </c>
      <c r="S3066" s="23" t="e">
        <f ca="1">[1]!BexGetData("DP_1","00O2TNJGODT0G5Z4TTKYMMI9X","GSON4169")</f>
        <v>#NAME?</v>
      </c>
      <c r="T3066" s="23" t="e">
        <f ca="1">[1]!BexGetData("DP_1","00O2TNJGODT0G5Z4TTKYMMOLH","GSON4169")</f>
        <v>#NAME?</v>
      </c>
      <c r="U3066" s="28" t="e">
        <f ca="1">[1]!BexGetData("DP_1","00O2TNJGODT0G5Z4TTKYMMUX1","GSON4169")</f>
        <v>#NAME?</v>
      </c>
      <c r="V3066" s="23" t="e">
        <f ca="1">[1]!BexGetData("DP_1","00O2TNJGODT0G5Z4TTKYMN18L","GSON4169")</f>
        <v>#NAME?</v>
      </c>
      <c r="W3066" s="28" t="e">
        <f ca="1">[1]!BexGetData("DP_1","00O2TNJGODT0G5Z4TTKYMN7K5","GSON4169")</f>
        <v>#NAME?</v>
      </c>
    </row>
    <row r="3067" spans="1:23" x14ac:dyDescent="0.2">
      <c r="A3067" s="36" t="s">
        <v>6393</v>
      </c>
      <c r="B3067" s="27" t="s">
        <v>1536</v>
      </c>
      <c r="C3067" s="23" t="e">
        <f ca="1">[1]!BexGetData("DP_1","003N8EMH8GTFRCSWKMPXRR8GU","GSON4169610901")</f>
        <v>#NAME?</v>
      </c>
      <c r="D3067" s="23" t="e">
        <f ca="1">[1]!BexGetData("DP_1","003N8EMH8GTFRCSWKMPXRRESE","GSON4169610901")</f>
        <v>#NAME?</v>
      </c>
      <c r="E3067" s="23" t="e">
        <f ca="1">[1]!BexGetData("DP_1","003N8EMH8GTFRCSWKMPXRRL3Y","GSON4169610901")</f>
        <v>#NAME?</v>
      </c>
      <c r="F3067" s="23" t="e">
        <f ca="1">[1]!BexGetData("DP_1","003N8EMH8GTFRCSWKMPXRRRFI","GSON4169610901")</f>
        <v>#NAME?</v>
      </c>
      <c r="G3067" s="23" t="e">
        <f ca="1">[1]!BexGetData("DP_1","003N8EMH8GTFRCSWKMPXRRXR2","GSON4169610901")</f>
        <v>#NAME?</v>
      </c>
      <c r="H3067" s="23" t="e">
        <f ca="1">[1]!BexGetData("DP_1","003N8EMH8GTFRCSWKMPXRS42M","GSON4169610901")</f>
        <v>#NAME?</v>
      </c>
      <c r="I3067" s="23" t="e">
        <f ca="1">[1]!BexGetData("DP_1","003N8EMH8GTFRCSWKMPXRSAE6","GSON4169610901")</f>
        <v>#NAME?</v>
      </c>
      <c r="J3067" s="24" t="e">
        <f ca="1">[1]!BexGetData("DP_1","003N8EMH8GTFRCSWKMPXRSGPQ","GSON4169610901")</f>
        <v>#NAME?</v>
      </c>
      <c r="K3067" s="23" t="e">
        <f ca="1">[1]!BexGetData("DP_1","003N8EMH8GTFRIVNUPY288VJH","GSON4169610901")</f>
        <v>#NAME?</v>
      </c>
      <c r="L3067" s="23" t="e">
        <f ca="1">[1]!BexGetData("DP_1","003N8EMH8GTFRIVNUPY2891V1","GSON4169610901")</f>
        <v>#NAME?</v>
      </c>
      <c r="M3067" s="23" t="e">
        <f ca="1">[1]!BexGetData("DP_1","003N8EMH8GTFRIVOG7KG9IQXA","GSON4169610901")</f>
        <v>#NAME?</v>
      </c>
      <c r="N3067" s="28" t="e">
        <f ca="1">[1]!BexGetData("DP_1","003N8EMH8GTFRIVOG7KG9IX8U","GSON4169610901")</f>
        <v>#NAME?</v>
      </c>
      <c r="O3067" s="23" t="e">
        <f ca="1">[1]!BexGetData("DP_1","003N8EMH8GTFRIVOG7KG9J3KE","GSON4169610901")</f>
        <v>#NAME?</v>
      </c>
      <c r="P3067" s="28" t="e">
        <f ca="1">[1]!BexGetData("DP_1","003N8EMH8GTFRIVOG7KG9J9VY","GSON4169610901")</f>
        <v>#NAME?</v>
      </c>
      <c r="Q3067" s="24" t="e">
        <f ca="1">[1]!BexGetData("DP_1","00O2TNJGODT0G5Z4TTKYMM5MT","GSON4169610901")</f>
        <v>#NAME?</v>
      </c>
      <c r="R3067" s="23" t="e">
        <f ca="1">[1]!BexGetData("DP_1","00O2TNJGODT0G5Z4TTKYMMBYD","GSON4169610901")</f>
        <v>#NAME?</v>
      </c>
      <c r="S3067" s="23" t="e">
        <f ca="1">[1]!BexGetData("DP_1","00O2TNJGODT0G5Z4TTKYMMI9X","GSON4169610901")</f>
        <v>#NAME?</v>
      </c>
      <c r="T3067" s="23" t="e">
        <f ca="1">[1]!BexGetData("DP_1","00O2TNJGODT0G5Z4TTKYMMOLH","GSON4169610901")</f>
        <v>#NAME?</v>
      </c>
      <c r="U3067" s="28" t="e">
        <f ca="1">[1]!BexGetData("DP_1","00O2TNJGODT0G5Z4TTKYMMUX1","GSON4169610901")</f>
        <v>#NAME?</v>
      </c>
      <c r="V3067" s="23" t="e">
        <f ca="1">[1]!BexGetData("DP_1","00O2TNJGODT0G5Z4TTKYMN18L","GSON4169610901")</f>
        <v>#NAME?</v>
      </c>
      <c r="W3067" s="28" t="e">
        <f ca="1">[1]!BexGetData("DP_1","00O2TNJGODT0G5Z4TTKYMN7K5","GSON4169610901")</f>
        <v>#NAME?</v>
      </c>
    </row>
    <row r="3068" spans="1:23" x14ac:dyDescent="0.2">
      <c r="A3068" s="34" t="s">
        <v>6394</v>
      </c>
      <c r="B3068" s="27" t="s">
        <v>6395</v>
      </c>
      <c r="C3068" s="28" t="e">
        <f ca="1">[1]!BexGetData("DP_1","003N8EMH8GTFRCSWKMPXRR8GU","GSON417")</f>
        <v>#NAME?</v>
      </c>
      <c r="D3068" s="23" t="e">
        <f ca="1">[1]!BexGetData("DP_1","003N8EMH8GTFRCSWKMPXRRESE","GSON417")</f>
        <v>#NAME?</v>
      </c>
      <c r="E3068" s="23" t="e">
        <f ca="1">[1]!BexGetData("DP_1","003N8EMH8GTFRCSWKMPXRRL3Y","GSON417")</f>
        <v>#NAME?</v>
      </c>
      <c r="F3068" s="23" t="e">
        <f ca="1">[1]!BexGetData("DP_1","003N8EMH8GTFRCSWKMPXRRRFI","GSON417")</f>
        <v>#NAME?</v>
      </c>
      <c r="G3068" s="28" t="e">
        <f ca="1">[1]!BexGetData("DP_1","003N8EMH8GTFRCSWKMPXRRXR2","GSON417")</f>
        <v>#NAME?</v>
      </c>
      <c r="H3068" s="23" t="e">
        <f ca="1">[1]!BexGetData("DP_1","003N8EMH8GTFRCSWKMPXRS42M","GSON417")</f>
        <v>#NAME?</v>
      </c>
      <c r="I3068" s="23" t="e">
        <f ca="1">[1]!BexGetData("DP_1","003N8EMH8GTFRCSWKMPXRSAE6","GSON417")</f>
        <v>#NAME?</v>
      </c>
      <c r="J3068" s="24" t="e">
        <f ca="1">[1]!BexGetData("DP_1","003N8EMH8GTFRCSWKMPXRSGPQ","GSON417")</f>
        <v>#NAME?</v>
      </c>
      <c r="K3068" s="23" t="e">
        <f ca="1">[1]!BexGetData("DP_1","003N8EMH8GTFRIVNUPY288VJH","GSON417")</f>
        <v>#NAME?</v>
      </c>
      <c r="L3068" s="23" t="e">
        <f ca="1">[1]!BexGetData("DP_1","003N8EMH8GTFRIVNUPY2891V1","GSON417")</f>
        <v>#NAME?</v>
      </c>
      <c r="M3068" s="28" t="e">
        <f ca="1">[1]!BexGetData("DP_1","003N8EMH8GTFRIVOG7KG9IQXA","GSON417")</f>
        <v>#NAME?</v>
      </c>
      <c r="N3068" s="23" t="e">
        <f ca="1">[1]!BexGetData("DP_1","003N8EMH8GTFRIVOG7KG9IX8U","GSON417")</f>
        <v>#NAME?</v>
      </c>
      <c r="O3068" s="28" t="e">
        <f ca="1">[1]!BexGetData("DP_1","003N8EMH8GTFRIVOG7KG9J3KE","GSON417")</f>
        <v>#NAME?</v>
      </c>
      <c r="P3068" s="23" t="e">
        <f ca="1">[1]!BexGetData("DP_1","003N8EMH8GTFRIVOG7KG9J9VY","GSON417")</f>
        <v>#NAME?</v>
      </c>
      <c r="Q3068" s="24" t="e">
        <f ca="1">[1]!BexGetData("DP_1","00O2TNJGODT0G5Z4TTKYMM5MT","GSON417")</f>
        <v>#NAME?</v>
      </c>
      <c r="R3068" s="23" t="e">
        <f ca="1">[1]!BexGetData("DP_1","00O2TNJGODT0G5Z4TTKYMMBYD","GSON417")</f>
        <v>#NAME?</v>
      </c>
      <c r="S3068" s="23" t="e">
        <f ca="1">[1]!BexGetData("DP_1","00O2TNJGODT0G5Z4TTKYMMI9X","GSON417")</f>
        <v>#NAME?</v>
      </c>
      <c r="T3068" s="23" t="e">
        <f ca="1">[1]!BexGetData("DP_1","00O2TNJGODT0G5Z4TTKYMMOLH","GSON417")</f>
        <v>#NAME?</v>
      </c>
      <c r="U3068" s="28" t="e">
        <f ca="1">[1]!BexGetData("DP_1","00O2TNJGODT0G5Z4TTKYMMUX1","GSON417")</f>
        <v>#NAME?</v>
      </c>
      <c r="V3068" s="23" t="e">
        <f ca="1">[1]!BexGetData("DP_1","00O2TNJGODT0G5Z4TTKYMN18L","GSON417")</f>
        <v>#NAME?</v>
      </c>
      <c r="W3068" s="28" t="e">
        <f ca="1">[1]!BexGetData("DP_1","00O2TNJGODT0G5Z4TTKYMN7K5","GSON417")</f>
        <v>#NAME?</v>
      </c>
    </row>
    <row r="3069" spans="1:23" x14ac:dyDescent="0.2">
      <c r="A3069" s="35" t="s">
        <v>6396</v>
      </c>
      <c r="B3069" s="27" t="s">
        <v>6397</v>
      </c>
      <c r="C3069" s="28" t="e">
        <f ca="1">[1]!BexGetData("DP_1","003N8EMH8GTFRCSWKMPXRR8GU","GSON4172")</f>
        <v>#NAME?</v>
      </c>
      <c r="D3069" s="23" t="e">
        <f ca="1">[1]!BexGetData("DP_1","003N8EMH8GTFRCSWKMPXRRESE","GSON4172")</f>
        <v>#NAME?</v>
      </c>
      <c r="E3069" s="23" t="e">
        <f ca="1">[1]!BexGetData("DP_1","003N8EMH8GTFRCSWKMPXRRL3Y","GSON4172")</f>
        <v>#NAME?</v>
      </c>
      <c r="F3069" s="23" t="e">
        <f ca="1">[1]!BexGetData("DP_1","003N8EMH8GTFRCSWKMPXRRRFI","GSON4172")</f>
        <v>#NAME?</v>
      </c>
      <c r="G3069" s="28" t="e">
        <f ca="1">[1]!BexGetData("DP_1","003N8EMH8GTFRCSWKMPXRRXR2","GSON4172")</f>
        <v>#NAME?</v>
      </c>
      <c r="H3069" s="23" t="e">
        <f ca="1">[1]!BexGetData("DP_1","003N8EMH8GTFRCSWKMPXRS42M","GSON4172")</f>
        <v>#NAME?</v>
      </c>
      <c r="I3069" s="23" t="e">
        <f ca="1">[1]!BexGetData("DP_1","003N8EMH8GTFRCSWKMPXRSAE6","GSON4172")</f>
        <v>#NAME?</v>
      </c>
      <c r="J3069" s="24" t="e">
        <f ca="1">[1]!BexGetData("DP_1","003N8EMH8GTFRCSWKMPXRSGPQ","GSON4172")</f>
        <v>#NAME?</v>
      </c>
      <c r="K3069" s="23" t="e">
        <f ca="1">[1]!BexGetData("DP_1","003N8EMH8GTFRIVNUPY288VJH","GSON4172")</f>
        <v>#NAME?</v>
      </c>
      <c r="L3069" s="23" t="e">
        <f ca="1">[1]!BexGetData("DP_1","003N8EMH8GTFRIVNUPY2891V1","GSON4172")</f>
        <v>#NAME?</v>
      </c>
      <c r="M3069" s="28" t="e">
        <f ca="1">[1]!BexGetData("DP_1","003N8EMH8GTFRIVOG7KG9IQXA","GSON4172")</f>
        <v>#NAME?</v>
      </c>
      <c r="N3069" s="23" t="e">
        <f ca="1">[1]!BexGetData("DP_1","003N8EMH8GTFRIVOG7KG9IX8U","GSON4172")</f>
        <v>#NAME?</v>
      </c>
      <c r="O3069" s="28" t="e">
        <f ca="1">[1]!BexGetData("DP_1","003N8EMH8GTFRIVOG7KG9J3KE","GSON4172")</f>
        <v>#NAME?</v>
      </c>
      <c r="P3069" s="23" t="e">
        <f ca="1">[1]!BexGetData("DP_1","003N8EMH8GTFRIVOG7KG9J9VY","GSON4172")</f>
        <v>#NAME?</v>
      </c>
      <c r="Q3069" s="24" t="e">
        <f ca="1">[1]!BexGetData("DP_1","00O2TNJGODT0G5Z4TTKYMM5MT","GSON4172")</f>
        <v>#NAME?</v>
      </c>
      <c r="R3069" s="23" t="e">
        <f ca="1">[1]!BexGetData("DP_1","00O2TNJGODT0G5Z4TTKYMMBYD","GSON4172")</f>
        <v>#NAME?</v>
      </c>
      <c r="S3069" s="23" t="e">
        <f ca="1">[1]!BexGetData("DP_1","00O2TNJGODT0G5Z4TTKYMMI9X","GSON4172")</f>
        <v>#NAME?</v>
      </c>
      <c r="T3069" s="23" t="e">
        <f ca="1">[1]!BexGetData("DP_1","00O2TNJGODT0G5Z4TTKYMMOLH","GSON4172")</f>
        <v>#NAME?</v>
      </c>
      <c r="U3069" s="28" t="e">
        <f ca="1">[1]!BexGetData("DP_1","00O2TNJGODT0G5Z4TTKYMMUX1","GSON4172")</f>
        <v>#NAME?</v>
      </c>
      <c r="V3069" s="23" t="e">
        <f ca="1">[1]!BexGetData("DP_1","00O2TNJGODT0G5Z4TTKYMN18L","GSON4172")</f>
        <v>#NAME?</v>
      </c>
      <c r="W3069" s="28" t="e">
        <f ca="1">[1]!BexGetData("DP_1","00O2TNJGODT0G5Z4TTKYMN7K5","GSON4172")</f>
        <v>#NAME?</v>
      </c>
    </row>
    <row r="3070" spans="1:23" x14ac:dyDescent="0.2">
      <c r="A3070" s="36" t="s">
        <v>6398</v>
      </c>
      <c r="B3070" s="27" t="s">
        <v>6399</v>
      </c>
      <c r="C3070" s="28" t="e">
        <f ca="1">[1]!BexGetData("DP_1","003N8EMH8GTFRCSWKMPXRR8GU","GSON4172730101")</f>
        <v>#NAME?</v>
      </c>
      <c r="D3070" s="23" t="e">
        <f ca="1">[1]!BexGetData("DP_1","003N8EMH8GTFRCSWKMPXRRESE","GSON4172730101")</f>
        <v>#NAME?</v>
      </c>
      <c r="E3070" s="23" t="e">
        <f ca="1">[1]!BexGetData("DP_1","003N8EMH8GTFRCSWKMPXRRL3Y","GSON4172730101")</f>
        <v>#NAME?</v>
      </c>
      <c r="F3070" s="23" t="e">
        <f ca="1">[1]!BexGetData("DP_1","003N8EMH8GTFRCSWKMPXRRRFI","GSON4172730101")</f>
        <v>#NAME?</v>
      </c>
      <c r="G3070" s="28" t="e">
        <f ca="1">[1]!BexGetData("DP_1","003N8EMH8GTFRCSWKMPXRRXR2","GSON4172730101")</f>
        <v>#NAME?</v>
      </c>
      <c r="H3070" s="23" t="e">
        <f ca="1">[1]!BexGetData("DP_1","003N8EMH8GTFRCSWKMPXRS42M","GSON4172730101")</f>
        <v>#NAME?</v>
      </c>
      <c r="I3070" s="23" t="e">
        <f ca="1">[1]!BexGetData("DP_1","003N8EMH8GTFRCSWKMPXRSAE6","GSON4172730101")</f>
        <v>#NAME?</v>
      </c>
      <c r="J3070" s="24" t="e">
        <f ca="1">[1]!BexGetData("DP_1","003N8EMH8GTFRCSWKMPXRSGPQ","GSON4172730101")</f>
        <v>#NAME?</v>
      </c>
      <c r="K3070" s="23" t="e">
        <f ca="1">[1]!BexGetData("DP_1","003N8EMH8GTFRIVNUPY288VJH","GSON4172730101")</f>
        <v>#NAME?</v>
      </c>
      <c r="L3070" s="23" t="e">
        <f ca="1">[1]!BexGetData("DP_1","003N8EMH8GTFRIVNUPY2891V1","GSON4172730101")</f>
        <v>#NAME?</v>
      </c>
      <c r="M3070" s="28" t="e">
        <f ca="1">[1]!BexGetData("DP_1","003N8EMH8GTFRIVOG7KG9IQXA","GSON4172730101")</f>
        <v>#NAME?</v>
      </c>
      <c r="N3070" s="23" t="e">
        <f ca="1">[1]!BexGetData("DP_1","003N8EMH8GTFRIVOG7KG9IX8U","GSON4172730101")</f>
        <v>#NAME?</v>
      </c>
      <c r="O3070" s="28" t="e">
        <f ca="1">[1]!BexGetData("DP_1","003N8EMH8GTFRIVOG7KG9J3KE","GSON4172730101")</f>
        <v>#NAME?</v>
      </c>
      <c r="P3070" s="23" t="e">
        <f ca="1">[1]!BexGetData("DP_1","003N8EMH8GTFRIVOG7KG9J9VY","GSON4172730101")</f>
        <v>#NAME?</v>
      </c>
      <c r="Q3070" s="24" t="e">
        <f ca="1">[1]!BexGetData("DP_1","00O2TNJGODT0G5Z4TTKYMM5MT","GSON4172730101")</f>
        <v>#NAME?</v>
      </c>
      <c r="R3070" s="23" t="e">
        <f ca="1">[1]!BexGetData("DP_1","00O2TNJGODT0G5Z4TTKYMMBYD","GSON4172730101")</f>
        <v>#NAME?</v>
      </c>
      <c r="S3070" s="23" t="e">
        <f ca="1">[1]!BexGetData("DP_1","00O2TNJGODT0G5Z4TTKYMMI9X","GSON4172730101")</f>
        <v>#NAME?</v>
      </c>
      <c r="T3070" s="23" t="e">
        <f ca="1">[1]!BexGetData("DP_1","00O2TNJGODT0G5Z4TTKYMMOLH","GSON4172730101")</f>
        <v>#NAME?</v>
      </c>
      <c r="U3070" s="28" t="e">
        <f ca="1">[1]!BexGetData("DP_1","00O2TNJGODT0G5Z4TTKYMMUX1","GSON4172730101")</f>
        <v>#NAME?</v>
      </c>
      <c r="V3070" s="23" t="e">
        <f ca="1">[1]!BexGetData("DP_1","00O2TNJGODT0G5Z4TTKYMN18L","GSON4172730101")</f>
        <v>#NAME?</v>
      </c>
      <c r="W3070" s="28" t="e">
        <f ca="1">[1]!BexGetData("DP_1","00O2TNJGODT0G5Z4TTKYMN7K5","GSON4172730101")</f>
        <v>#NAME?</v>
      </c>
    </row>
    <row r="3071" spans="1:23" x14ac:dyDescent="0.2">
      <c r="A3071" s="34" t="s">
        <v>570</v>
      </c>
      <c r="B3071" s="27" t="s">
        <v>571</v>
      </c>
      <c r="C3071" s="23" t="e">
        <f ca="1">[1]!BexGetData("DP_1","003N8EMH8GTFRCSWKMPXRR8GU","GSON419")</f>
        <v>#NAME?</v>
      </c>
      <c r="D3071" s="23" t="e">
        <f ca="1">[1]!BexGetData("DP_1","003N8EMH8GTFRCSWKMPXRRESE","GSON419")</f>
        <v>#NAME?</v>
      </c>
      <c r="E3071" s="23" t="e">
        <f ca="1">[1]!BexGetData("DP_1","003N8EMH8GTFRCSWKMPXRRL3Y","GSON419")</f>
        <v>#NAME?</v>
      </c>
      <c r="F3071" s="23" t="e">
        <f ca="1">[1]!BexGetData("DP_1","003N8EMH8GTFRCSWKMPXRRRFI","GSON419")</f>
        <v>#NAME?</v>
      </c>
      <c r="G3071" s="23" t="e">
        <f ca="1">[1]!BexGetData("DP_1","003N8EMH8GTFRCSWKMPXRRXR2","GSON419")</f>
        <v>#NAME?</v>
      </c>
      <c r="H3071" s="23" t="e">
        <f ca="1">[1]!BexGetData("DP_1","003N8EMH8GTFRCSWKMPXRS42M","GSON419")</f>
        <v>#NAME?</v>
      </c>
      <c r="I3071" s="23" t="e">
        <f ca="1">[1]!BexGetData("DP_1","003N8EMH8GTFRCSWKMPXRSAE6","GSON419")</f>
        <v>#NAME?</v>
      </c>
      <c r="J3071" s="24" t="e">
        <f ca="1">[1]!BexGetData("DP_1","003N8EMH8GTFRCSWKMPXRSGPQ","GSON419")</f>
        <v>#NAME?</v>
      </c>
      <c r="K3071" s="23" t="e">
        <f ca="1">[1]!BexGetData("DP_1","003N8EMH8GTFRIVNUPY288VJH","GSON419")</f>
        <v>#NAME?</v>
      </c>
      <c r="L3071" s="23" t="e">
        <f ca="1">[1]!BexGetData("DP_1","003N8EMH8GTFRIVNUPY2891V1","GSON419")</f>
        <v>#NAME?</v>
      </c>
      <c r="M3071" s="28" t="e">
        <f ca="1">[1]!BexGetData("DP_1","003N8EMH8GTFRIVOG7KG9IQXA","GSON419")</f>
        <v>#NAME?</v>
      </c>
      <c r="N3071" s="23" t="e">
        <f ca="1">[1]!BexGetData("DP_1","003N8EMH8GTFRIVOG7KG9IX8U","GSON419")</f>
        <v>#NAME?</v>
      </c>
      <c r="O3071" s="28" t="e">
        <f ca="1">[1]!BexGetData("DP_1","003N8EMH8GTFRIVOG7KG9J3KE","GSON419")</f>
        <v>#NAME?</v>
      </c>
      <c r="P3071" s="23" t="e">
        <f ca="1">[1]!BexGetData("DP_1","003N8EMH8GTFRIVOG7KG9J9VY","GSON419")</f>
        <v>#NAME?</v>
      </c>
      <c r="Q3071" s="24" t="e">
        <f ca="1">[1]!BexGetData("DP_1","00O2TNJGODT0G5Z4TTKYMM5MT","GSON419")</f>
        <v>#NAME?</v>
      </c>
      <c r="R3071" s="23" t="e">
        <f ca="1">[1]!BexGetData("DP_1","00O2TNJGODT0G5Z4TTKYMMBYD","GSON419")</f>
        <v>#NAME?</v>
      </c>
      <c r="S3071" s="23" t="e">
        <f ca="1">[1]!BexGetData("DP_1","00O2TNJGODT0G5Z4TTKYMMI9X","GSON419")</f>
        <v>#NAME?</v>
      </c>
      <c r="T3071" s="23" t="e">
        <f ca="1">[1]!BexGetData("DP_1","00O2TNJGODT0G5Z4TTKYMMOLH","GSON419")</f>
        <v>#NAME?</v>
      </c>
      <c r="U3071" s="28" t="e">
        <f ca="1">[1]!BexGetData("DP_1","00O2TNJGODT0G5Z4TTKYMMUX1","GSON419")</f>
        <v>#NAME?</v>
      </c>
      <c r="V3071" s="23" t="e">
        <f ca="1">[1]!BexGetData("DP_1","00O2TNJGODT0G5Z4TTKYMN18L","GSON419")</f>
        <v>#NAME?</v>
      </c>
      <c r="W3071" s="28" t="e">
        <f ca="1">[1]!BexGetData("DP_1","00O2TNJGODT0G5Z4TTKYMN7K5","GSON419")</f>
        <v>#NAME?</v>
      </c>
    </row>
    <row r="3072" spans="1:23" x14ac:dyDescent="0.2">
      <c r="A3072" s="35" t="s">
        <v>572</v>
      </c>
      <c r="B3072" s="27" t="s">
        <v>573</v>
      </c>
      <c r="C3072" s="23" t="e">
        <f ca="1">[1]!BexGetData("DP_1","003N8EMH8GTFRCSWKMPXRR8GU","GSON4191")</f>
        <v>#NAME?</v>
      </c>
      <c r="D3072" s="23" t="e">
        <f ca="1">[1]!BexGetData("DP_1","003N8EMH8GTFRCSWKMPXRRESE","GSON4191")</f>
        <v>#NAME?</v>
      </c>
      <c r="E3072" s="23" t="e">
        <f ca="1">[1]!BexGetData("DP_1","003N8EMH8GTFRCSWKMPXRRL3Y","GSON4191")</f>
        <v>#NAME?</v>
      </c>
      <c r="F3072" s="23" t="e">
        <f ca="1">[1]!BexGetData("DP_1","003N8EMH8GTFRCSWKMPXRRRFI","GSON4191")</f>
        <v>#NAME?</v>
      </c>
      <c r="G3072" s="23" t="e">
        <f ca="1">[1]!BexGetData("DP_1","003N8EMH8GTFRCSWKMPXRRXR2","GSON4191")</f>
        <v>#NAME?</v>
      </c>
      <c r="H3072" s="23" t="e">
        <f ca="1">[1]!BexGetData("DP_1","003N8EMH8GTFRCSWKMPXRS42M","GSON4191")</f>
        <v>#NAME?</v>
      </c>
      <c r="I3072" s="23" t="e">
        <f ca="1">[1]!BexGetData("DP_1","003N8EMH8GTFRCSWKMPXRSAE6","GSON4191")</f>
        <v>#NAME?</v>
      </c>
      <c r="J3072" s="24" t="e">
        <f ca="1">[1]!BexGetData("DP_1","003N8EMH8GTFRCSWKMPXRSGPQ","GSON4191")</f>
        <v>#NAME?</v>
      </c>
      <c r="K3072" s="23" t="e">
        <f ca="1">[1]!BexGetData("DP_1","003N8EMH8GTFRIVNUPY288VJH","GSON4191")</f>
        <v>#NAME?</v>
      </c>
      <c r="L3072" s="23" t="e">
        <f ca="1">[1]!BexGetData("DP_1","003N8EMH8GTFRIVNUPY2891V1","GSON4191")</f>
        <v>#NAME?</v>
      </c>
      <c r="M3072" s="28" t="e">
        <f ca="1">[1]!BexGetData("DP_1","003N8EMH8GTFRIVOG7KG9IQXA","GSON4191")</f>
        <v>#NAME?</v>
      </c>
      <c r="N3072" s="23" t="e">
        <f ca="1">[1]!BexGetData("DP_1","003N8EMH8GTFRIVOG7KG9IX8U","GSON4191")</f>
        <v>#NAME?</v>
      </c>
      <c r="O3072" s="28" t="e">
        <f ca="1">[1]!BexGetData("DP_1","003N8EMH8GTFRIVOG7KG9J3KE","GSON4191")</f>
        <v>#NAME?</v>
      </c>
      <c r="P3072" s="23" t="e">
        <f ca="1">[1]!BexGetData("DP_1","003N8EMH8GTFRIVOG7KG9J9VY","GSON4191")</f>
        <v>#NAME?</v>
      </c>
      <c r="Q3072" s="24" t="e">
        <f ca="1">[1]!BexGetData("DP_1","00O2TNJGODT0G5Z4TTKYMM5MT","GSON4191")</f>
        <v>#NAME?</v>
      </c>
      <c r="R3072" s="23" t="e">
        <f ca="1">[1]!BexGetData("DP_1","00O2TNJGODT0G5Z4TTKYMMBYD","GSON4191")</f>
        <v>#NAME?</v>
      </c>
      <c r="S3072" s="23" t="e">
        <f ca="1">[1]!BexGetData("DP_1","00O2TNJGODT0G5Z4TTKYMMI9X","GSON4191")</f>
        <v>#NAME?</v>
      </c>
      <c r="T3072" s="23" t="e">
        <f ca="1">[1]!BexGetData("DP_1","00O2TNJGODT0G5Z4TTKYMMOLH","GSON4191")</f>
        <v>#NAME?</v>
      </c>
      <c r="U3072" s="28" t="e">
        <f ca="1">[1]!BexGetData("DP_1","00O2TNJGODT0G5Z4TTKYMMUX1","GSON4191")</f>
        <v>#NAME?</v>
      </c>
      <c r="V3072" s="23" t="e">
        <f ca="1">[1]!BexGetData("DP_1","00O2TNJGODT0G5Z4TTKYMN18L","GSON4191")</f>
        <v>#NAME?</v>
      </c>
      <c r="W3072" s="28" t="e">
        <f ca="1">[1]!BexGetData("DP_1","00O2TNJGODT0G5Z4TTKYMN7K5","GSON4191")</f>
        <v>#NAME?</v>
      </c>
    </row>
    <row r="3073" spans="1:23" x14ac:dyDescent="0.2">
      <c r="A3073" s="36" t="s">
        <v>6400</v>
      </c>
      <c r="B3073" s="27" t="s">
        <v>574</v>
      </c>
      <c r="C3073" s="23" t="e">
        <f ca="1">[1]!BexGetData("DP_1","003N8EMH8GTFRCSWKMPXRR8GU","GSON4191190101")</f>
        <v>#NAME?</v>
      </c>
      <c r="D3073" s="23" t="e">
        <f ca="1">[1]!BexGetData("DP_1","003N8EMH8GTFRCSWKMPXRRESE","GSON4191190101")</f>
        <v>#NAME?</v>
      </c>
      <c r="E3073" s="23" t="e">
        <f ca="1">[1]!BexGetData("DP_1","003N8EMH8GTFRCSWKMPXRRL3Y","GSON4191190101")</f>
        <v>#NAME?</v>
      </c>
      <c r="F3073" s="23" t="e">
        <f ca="1">[1]!BexGetData("DP_1","003N8EMH8GTFRCSWKMPXRRRFI","GSON4191190101")</f>
        <v>#NAME?</v>
      </c>
      <c r="G3073" s="23" t="e">
        <f ca="1">[1]!BexGetData("DP_1","003N8EMH8GTFRCSWKMPXRRXR2","GSON4191190101")</f>
        <v>#NAME?</v>
      </c>
      <c r="H3073" s="23" t="e">
        <f ca="1">[1]!BexGetData("DP_1","003N8EMH8GTFRCSWKMPXRS42M","GSON4191190101")</f>
        <v>#NAME?</v>
      </c>
      <c r="I3073" s="23" t="e">
        <f ca="1">[1]!BexGetData("DP_1","003N8EMH8GTFRCSWKMPXRSAE6","GSON4191190101")</f>
        <v>#NAME?</v>
      </c>
      <c r="J3073" s="24" t="e">
        <f ca="1">[1]!BexGetData("DP_1","003N8EMH8GTFRCSWKMPXRSGPQ","GSON4191190101")</f>
        <v>#NAME?</v>
      </c>
      <c r="K3073" s="23" t="e">
        <f ca="1">[1]!BexGetData("DP_1","003N8EMH8GTFRIVNUPY288VJH","GSON4191190101")</f>
        <v>#NAME?</v>
      </c>
      <c r="L3073" s="23" t="e">
        <f ca="1">[1]!BexGetData("DP_1","003N8EMH8GTFRIVNUPY2891V1","GSON4191190101")</f>
        <v>#NAME?</v>
      </c>
      <c r="M3073" s="28" t="e">
        <f ca="1">[1]!BexGetData("DP_1","003N8EMH8GTFRIVOG7KG9IQXA","GSON4191190101")</f>
        <v>#NAME?</v>
      </c>
      <c r="N3073" s="23" t="e">
        <f ca="1">[1]!BexGetData("DP_1","003N8EMH8GTFRIVOG7KG9IX8U","GSON4191190101")</f>
        <v>#NAME?</v>
      </c>
      <c r="O3073" s="28" t="e">
        <f ca="1">[1]!BexGetData("DP_1","003N8EMH8GTFRIVOG7KG9J3KE","GSON4191190101")</f>
        <v>#NAME?</v>
      </c>
      <c r="P3073" s="23" t="e">
        <f ca="1">[1]!BexGetData("DP_1","003N8EMH8GTFRIVOG7KG9J9VY","GSON4191190101")</f>
        <v>#NAME?</v>
      </c>
      <c r="Q3073" s="24" t="e">
        <f ca="1">[1]!BexGetData("DP_1","00O2TNJGODT0G5Z4TTKYMM5MT","GSON4191190101")</f>
        <v>#NAME?</v>
      </c>
      <c r="R3073" s="23" t="e">
        <f ca="1">[1]!BexGetData("DP_1","00O2TNJGODT0G5Z4TTKYMMBYD","GSON4191190101")</f>
        <v>#NAME?</v>
      </c>
      <c r="S3073" s="23" t="e">
        <f ca="1">[1]!BexGetData("DP_1","00O2TNJGODT0G5Z4TTKYMMI9X","GSON4191190101")</f>
        <v>#NAME?</v>
      </c>
      <c r="T3073" s="23" t="e">
        <f ca="1">[1]!BexGetData("DP_1","00O2TNJGODT0G5Z4TTKYMMOLH","GSON4191190101")</f>
        <v>#NAME?</v>
      </c>
      <c r="U3073" s="28" t="e">
        <f ca="1">[1]!BexGetData("DP_1","00O2TNJGODT0G5Z4TTKYMMUX1","GSON4191190101")</f>
        <v>#NAME?</v>
      </c>
      <c r="V3073" s="23" t="e">
        <f ca="1">[1]!BexGetData("DP_1","00O2TNJGODT0G5Z4TTKYMN18L","GSON4191190101")</f>
        <v>#NAME?</v>
      </c>
      <c r="W3073" s="28" t="e">
        <f ca="1">[1]!BexGetData("DP_1","00O2TNJGODT0G5Z4TTKYMN7K5","GSON4191190101")</f>
        <v>#NAME?</v>
      </c>
    </row>
    <row r="3074" spans="1:23" x14ac:dyDescent="0.2">
      <c r="A3074" s="35" t="s">
        <v>575</v>
      </c>
      <c r="B3074" s="27" t="s">
        <v>576</v>
      </c>
      <c r="C3074" s="23" t="e">
        <f ca="1">[1]!BexGetData("DP_1","003N8EMH8GTFRCSWKMPXRR8GU","GSON4192")</f>
        <v>#NAME?</v>
      </c>
      <c r="D3074" s="23" t="e">
        <f ca="1">[1]!BexGetData("DP_1","003N8EMH8GTFRCSWKMPXRRESE","GSON4192")</f>
        <v>#NAME?</v>
      </c>
      <c r="E3074" s="23" t="e">
        <f ca="1">[1]!BexGetData("DP_1","003N8EMH8GTFRCSWKMPXRRL3Y","GSON4192")</f>
        <v>#NAME?</v>
      </c>
      <c r="F3074" s="23" t="e">
        <f ca="1">[1]!BexGetData("DP_1","003N8EMH8GTFRCSWKMPXRRRFI","GSON4192")</f>
        <v>#NAME?</v>
      </c>
      <c r="G3074" s="23" t="e">
        <f ca="1">[1]!BexGetData("DP_1","003N8EMH8GTFRCSWKMPXRRXR2","GSON4192")</f>
        <v>#NAME?</v>
      </c>
      <c r="H3074" s="23" t="e">
        <f ca="1">[1]!BexGetData("DP_1","003N8EMH8GTFRCSWKMPXRS42M","GSON4192")</f>
        <v>#NAME?</v>
      </c>
      <c r="I3074" s="23" t="e">
        <f ca="1">[1]!BexGetData("DP_1","003N8EMH8GTFRCSWKMPXRSAE6","GSON4192")</f>
        <v>#NAME?</v>
      </c>
      <c r="J3074" s="24" t="e">
        <f ca="1">[1]!BexGetData("DP_1","003N8EMH8GTFRCSWKMPXRSGPQ","GSON4192")</f>
        <v>#NAME?</v>
      </c>
      <c r="K3074" s="23" t="e">
        <f ca="1">[1]!BexGetData("DP_1","003N8EMH8GTFRIVNUPY288VJH","GSON4192")</f>
        <v>#NAME?</v>
      </c>
      <c r="L3074" s="23" t="e">
        <f ca="1">[1]!BexGetData("DP_1","003N8EMH8GTFRIVNUPY2891V1","GSON4192")</f>
        <v>#NAME?</v>
      </c>
      <c r="M3074" s="28" t="e">
        <f ca="1">[1]!BexGetData("DP_1","003N8EMH8GTFRIVOG7KG9IQXA","GSON4192")</f>
        <v>#NAME?</v>
      </c>
      <c r="N3074" s="23" t="e">
        <f ca="1">[1]!BexGetData("DP_1","003N8EMH8GTFRIVOG7KG9IX8U","GSON4192")</f>
        <v>#NAME?</v>
      </c>
      <c r="O3074" s="28" t="e">
        <f ca="1">[1]!BexGetData("DP_1","003N8EMH8GTFRIVOG7KG9J3KE","GSON4192")</f>
        <v>#NAME?</v>
      </c>
      <c r="P3074" s="23" t="e">
        <f ca="1">[1]!BexGetData("DP_1","003N8EMH8GTFRIVOG7KG9J9VY","GSON4192")</f>
        <v>#NAME?</v>
      </c>
      <c r="Q3074" s="24" t="e">
        <f ca="1">[1]!BexGetData("DP_1","00O2TNJGODT0G5Z4TTKYMM5MT","GSON4192")</f>
        <v>#NAME?</v>
      </c>
      <c r="R3074" s="23" t="e">
        <f ca="1">[1]!BexGetData("DP_1","00O2TNJGODT0G5Z4TTKYMMBYD","GSON4192")</f>
        <v>#NAME?</v>
      </c>
      <c r="S3074" s="23" t="e">
        <f ca="1">[1]!BexGetData("DP_1","00O2TNJGODT0G5Z4TTKYMMI9X","GSON4192")</f>
        <v>#NAME?</v>
      </c>
      <c r="T3074" s="23" t="e">
        <f ca="1">[1]!BexGetData("DP_1","00O2TNJGODT0G5Z4TTKYMMOLH","GSON4192")</f>
        <v>#NAME?</v>
      </c>
      <c r="U3074" s="28" t="e">
        <f ca="1">[1]!BexGetData("DP_1","00O2TNJGODT0G5Z4TTKYMMUX1","GSON4192")</f>
        <v>#NAME?</v>
      </c>
      <c r="V3074" s="23" t="e">
        <f ca="1">[1]!BexGetData("DP_1","00O2TNJGODT0G5Z4TTKYMN18L","GSON4192")</f>
        <v>#NAME?</v>
      </c>
      <c r="W3074" s="28" t="e">
        <f ca="1">[1]!BexGetData("DP_1","00O2TNJGODT0G5Z4TTKYMN7K5","GSON4192")</f>
        <v>#NAME?</v>
      </c>
    </row>
    <row r="3075" spans="1:23" x14ac:dyDescent="0.2">
      <c r="A3075" s="36" t="s">
        <v>6401</v>
      </c>
      <c r="B3075" s="27" t="s">
        <v>6402</v>
      </c>
      <c r="C3075" s="23" t="e">
        <f ca="1">[1]!BexGetData("DP_1","003N8EMH8GTFRCSWKMPXRR8GU","GSON4192490101")</f>
        <v>#NAME?</v>
      </c>
      <c r="D3075" s="23" t="e">
        <f ca="1">[1]!BexGetData("DP_1","003N8EMH8GTFRCSWKMPXRRESE","GSON4192490101")</f>
        <v>#NAME?</v>
      </c>
      <c r="E3075" s="23" t="e">
        <f ca="1">[1]!BexGetData("DP_1","003N8EMH8GTFRCSWKMPXRRL3Y","GSON4192490101")</f>
        <v>#NAME?</v>
      </c>
      <c r="F3075" s="23" t="e">
        <f ca="1">[1]!BexGetData("DP_1","003N8EMH8GTFRCSWKMPXRRRFI","GSON4192490101")</f>
        <v>#NAME?</v>
      </c>
      <c r="G3075" s="23" t="e">
        <f ca="1">[1]!BexGetData("DP_1","003N8EMH8GTFRCSWKMPXRRXR2","GSON4192490101")</f>
        <v>#NAME?</v>
      </c>
      <c r="H3075" s="23" t="e">
        <f ca="1">[1]!BexGetData("DP_1","003N8EMH8GTFRCSWKMPXRS42M","GSON4192490101")</f>
        <v>#NAME?</v>
      </c>
      <c r="I3075" s="23" t="e">
        <f ca="1">[1]!BexGetData("DP_1","003N8EMH8GTFRCSWKMPXRSAE6","GSON4192490101")</f>
        <v>#NAME?</v>
      </c>
      <c r="J3075" s="24" t="e">
        <f ca="1">[1]!BexGetData("DP_1","003N8EMH8GTFRCSWKMPXRSGPQ","GSON4192490101")</f>
        <v>#NAME?</v>
      </c>
      <c r="K3075" s="23" t="e">
        <f ca="1">[1]!BexGetData("DP_1","003N8EMH8GTFRIVNUPY288VJH","GSON4192490101")</f>
        <v>#NAME?</v>
      </c>
      <c r="L3075" s="23" t="e">
        <f ca="1">[1]!BexGetData("DP_1","003N8EMH8GTFRIVNUPY2891V1","GSON4192490101")</f>
        <v>#NAME?</v>
      </c>
      <c r="M3075" s="28" t="e">
        <f ca="1">[1]!BexGetData("DP_1","003N8EMH8GTFRIVOG7KG9IQXA","GSON4192490101")</f>
        <v>#NAME?</v>
      </c>
      <c r="N3075" s="23" t="e">
        <f ca="1">[1]!BexGetData("DP_1","003N8EMH8GTFRIVOG7KG9IX8U","GSON4192490101")</f>
        <v>#NAME?</v>
      </c>
      <c r="O3075" s="28" t="e">
        <f ca="1">[1]!BexGetData("DP_1","003N8EMH8GTFRIVOG7KG9J3KE","GSON4192490101")</f>
        <v>#NAME?</v>
      </c>
      <c r="P3075" s="23" t="e">
        <f ca="1">[1]!BexGetData("DP_1","003N8EMH8GTFRIVOG7KG9J9VY","GSON4192490101")</f>
        <v>#NAME?</v>
      </c>
      <c r="Q3075" s="24" t="e">
        <f ca="1">[1]!BexGetData("DP_1","00O2TNJGODT0G5Z4TTKYMM5MT","GSON4192490101")</f>
        <v>#NAME?</v>
      </c>
      <c r="R3075" s="23" t="e">
        <f ca="1">[1]!BexGetData("DP_1","00O2TNJGODT0G5Z4TTKYMMBYD","GSON4192490101")</f>
        <v>#NAME?</v>
      </c>
      <c r="S3075" s="23" t="e">
        <f ca="1">[1]!BexGetData("DP_1","00O2TNJGODT0G5Z4TTKYMMI9X","GSON4192490101")</f>
        <v>#NAME?</v>
      </c>
      <c r="T3075" s="23" t="e">
        <f ca="1">[1]!BexGetData("DP_1","00O2TNJGODT0G5Z4TTKYMMOLH","GSON4192490101")</f>
        <v>#NAME?</v>
      </c>
      <c r="U3075" s="28" t="e">
        <f ca="1">[1]!BexGetData("DP_1","00O2TNJGODT0G5Z4TTKYMMUX1","GSON4192490101")</f>
        <v>#NAME?</v>
      </c>
      <c r="V3075" s="23" t="e">
        <f ca="1">[1]!BexGetData("DP_1","00O2TNJGODT0G5Z4TTKYMN18L","GSON4192490101")</f>
        <v>#NAME?</v>
      </c>
      <c r="W3075" s="28" t="e">
        <f ca="1">[1]!BexGetData("DP_1","00O2TNJGODT0G5Z4TTKYMN7K5","GSON4192490101")</f>
        <v>#NAME?</v>
      </c>
    </row>
    <row r="3076" spans="1:23" x14ac:dyDescent="0.2">
      <c r="A3076" s="36" t="s">
        <v>6403</v>
      </c>
      <c r="B3076" s="27" t="s">
        <v>577</v>
      </c>
      <c r="C3076" s="23" t="e">
        <f ca="1">[1]!BexGetData("DP_1","003N8EMH8GTFRCSWKMPXRR8GU","GSON4192690101")</f>
        <v>#NAME?</v>
      </c>
      <c r="D3076" s="23" t="e">
        <f ca="1">[1]!BexGetData("DP_1","003N8EMH8GTFRCSWKMPXRRESE","GSON4192690101")</f>
        <v>#NAME?</v>
      </c>
      <c r="E3076" s="23" t="e">
        <f ca="1">[1]!BexGetData("DP_1","003N8EMH8GTFRCSWKMPXRRL3Y","GSON4192690101")</f>
        <v>#NAME?</v>
      </c>
      <c r="F3076" s="23" t="e">
        <f ca="1">[1]!BexGetData("DP_1","003N8EMH8GTFRCSWKMPXRRRFI","GSON4192690101")</f>
        <v>#NAME?</v>
      </c>
      <c r="G3076" s="23" t="e">
        <f ca="1">[1]!BexGetData("DP_1","003N8EMH8GTFRCSWKMPXRRXR2","GSON4192690101")</f>
        <v>#NAME?</v>
      </c>
      <c r="H3076" s="23" t="e">
        <f ca="1">[1]!BexGetData("DP_1","003N8EMH8GTFRCSWKMPXRS42M","GSON4192690101")</f>
        <v>#NAME?</v>
      </c>
      <c r="I3076" s="23" t="e">
        <f ca="1">[1]!BexGetData("DP_1","003N8EMH8GTFRCSWKMPXRSAE6","GSON4192690101")</f>
        <v>#NAME?</v>
      </c>
      <c r="J3076" s="24" t="e">
        <f ca="1">[1]!BexGetData("DP_1","003N8EMH8GTFRCSWKMPXRSGPQ","GSON4192690101")</f>
        <v>#NAME?</v>
      </c>
      <c r="K3076" s="23" t="e">
        <f ca="1">[1]!BexGetData("DP_1","003N8EMH8GTFRIVNUPY288VJH","GSON4192690101")</f>
        <v>#NAME?</v>
      </c>
      <c r="L3076" s="23" t="e">
        <f ca="1">[1]!BexGetData("DP_1","003N8EMH8GTFRIVNUPY2891V1","GSON4192690101")</f>
        <v>#NAME?</v>
      </c>
      <c r="M3076" s="28" t="e">
        <f ca="1">[1]!BexGetData("DP_1","003N8EMH8GTFRIVOG7KG9IQXA","GSON4192690101")</f>
        <v>#NAME?</v>
      </c>
      <c r="N3076" s="23" t="e">
        <f ca="1">[1]!BexGetData("DP_1","003N8EMH8GTFRIVOG7KG9IX8U","GSON4192690101")</f>
        <v>#NAME?</v>
      </c>
      <c r="O3076" s="28" t="e">
        <f ca="1">[1]!BexGetData("DP_1","003N8EMH8GTFRIVOG7KG9J3KE","GSON4192690101")</f>
        <v>#NAME?</v>
      </c>
      <c r="P3076" s="23" t="e">
        <f ca="1">[1]!BexGetData("DP_1","003N8EMH8GTFRIVOG7KG9J9VY","GSON4192690101")</f>
        <v>#NAME?</v>
      </c>
      <c r="Q3076" s="24" t="e">
        <f ca="1">[1]!BexGetData("DP_1","00O2TNJGODT0G5Z4TTKYMM5MT","GSON4192690101")</f>
        <v>#NAME?</v>
      </c>
      <c r="R3076" s="23" t="e">
        <f ca="1">[1]!BexGetData("DP_1","00O2TNJGODT0G5Z4TTKYMMBYD","GSON4192690101")</f>
        <v>#NAME?</v>
      </c>
      <c r="S3076" s="23" t="e">
        <f ca="1">[1]!BexGetData("DP_1","00O2TNJGODT0G5Z4TTKYMMI9X","GSON4192690101")</f>
        <v>#NAME?</v>
      </c>
      <c r="T3076" s="23" t="e">
        <f ca="1">[1]!BexGetData("DP_1","00O2TNJGODT0G5Z4TTKYMMOLH","GSON4192690101")</f>
        <v>#NAME?</v>
      </c>
      <c r="U3076" s="28" t="e">
        <f ca="1">[1]!BexGetData("DP_1","00O2TNJGODT0G5Z4TTKYMMUX1","GSON4192690101")</f>
        <v>#NAME?</v>
      </c>
      <c r="V3076" s="23" t="e">
        <f ca="1">[1]!BexGetData("DP_1","00O2TNJGODT0G5Z4TTKYMN18L","GSON4192690101")</f>
        <v>#NAME?</v>
      </c>
      <c r="W3076" s="28" t="e">
        <f ca="1">[1]!BexGetData("DP_1","00O2TNJGODT0G5Z4TTKYMN7K5","GSON4192690101")</f>
        <v>#NAME?</v>
      </c>
    </row>
    <row r="3077" spans="1:23" x14ac:dyDescent="0.2">
      <c r="A3077" s="33" t="s">
        <v>578</v>
      </c>
      <c r="B3077" s="27" t="s">
        <v>579</v>
      </c>
      <c r="C3077" s="23" t="e">
        <f ca="1">[1]!BexGetData("DP_1","003N8EMH8GTFRCSWKMPXRR8GU","GSON42")</f>
        <v>#NAME?</v>
      </c>
      <c r="D3077" s="23" t="e">
        <f ca="1">[1]!BexGetData("DP_1","003N8EMH8GTFRCSWKMPXRRESE","GSON42")</f>
        <v>#NAME?</v>
      </c>
      <c r="E3077" s="23" t="e">
        <f ca="1">[1]!BexGetData("DP_1","003N8EMH8GTFRCSWKMPXRRL3Y","GSON42")</f>
        <v>#NAME?</v>
      </c>
      <c r="F3077" s="23" t="e">
        <f ca="1">[1]!BexGetData("DP_1","003N8EMH8GTFRCSWKMPXRRRFI","GSON42")</f>
        <v>#NAME?</v>
      </c>
      <c r="G3077" s="23" t="e">
        <f ca="1">[1]!BexGetData("DP_1","003N8EMH8GTFRCSWKMPXRRXR2","GSON42")</f>
        <v>#NAME?</v>
      </c>
      <c r="H3077" s="23" t="e">
        <f ca="1">[1]!BexGetData("DP_1","003N8EMH8GTFRCSWKMPXRS42M","GSON42")</f>
        <v>#NAME?</v>
      </c>
      <c r="I3077" s="23" t="e">
        <f ca="1">[1]!BexGetData("DP_1","003N8EMH8GTFRCSWKMPXRSAE6","GSON42")</f>
        <v>#NAME?</v>
      </c>
      <c r="J3077" s="24" t="e">
        <f ca="1">[1]!BexGetData("DP_1","003N8EMH8GTFRCSWKMPXRSGPQ","GSON42")</f>
        <v>#NAME?</v>
      </c>
      <c r="K3077" s="23" t="e">
        <f ca="1">[1]!BexGetData("DP_1","003N8EMH8GTFRIVNUPY288VJH","GSON42")</f>
        <v>#NAME?</v>
      </c>
      <c r="L3077" s="23" t="e">
        <f ca="1">[1]!BexGetData("DP_1","003N8EMH8GTFRIVNUPY2891V1","GSON42")</f>
        <v>#NAME?</v>
      </c>
      <c r="M3077" s="23" t="e">
        <f ca="1">[1]!BexGetData("DP_1","003N8EMH8GTFRIVOG7KG9IQXA","GSON42")</f>
        <v>#NAME?</v>
      </c>
      <c r="N3077" s="28" t="e">
        <f ca="1">[1]!BexGetData("DP_1","003N8EMH8GTFRIVOG7KG9IX8U","GSON42")</f>
        <v>#NAME?</v>
      </c>
      <c r="O3077" s="23" t="e">
        <f ca="1">[1]!BexGetData("DP_1","003N8EMH8GTFRIVOG7KG9J3KE","GSON42")</f>
        <v>#NAME?</v>
      </c>
      <c r="P3077" s="28" t="e">
        <f ca="1">[1]!BexGetData("DP_1","003N8EMH8GTFRIVOG7KG9J9VY","GSON42")</f>
        <v>#NAME?</v>
      </c>
      <c r="Q3077" s="24" t="e">
        <f ca="1">[1]!BexGetData("DP_1","00O2TNJGODT0G5Z4TTKYMM5MT","GSON42")</f>
        <v>#NAME?</v>
      </c>
      <c r="R3077" s="23" t="e">
        <f ca="1">[1]!BexGetData("DP_1","00O2TNJGODT0G5Z4TTKYMMBYD","GSON42")</f>
        <v>#NAME?</v>
      </c>
      <c r="S3077" s="23" t="e">
        <f ca="1">[1]!BexGetData("DP_1","00O2TNJGODT0G5Z4TTKYMMI9X","GSON42")</f>
        <v>#NAME?</v>
      </c>
      <c r="T3077" s="23" t="e">
        <f ca="1">[1]!BexGetData("DP_1","00O2TNJGODT0G5Z4TTKYMMOLH","GSON42")</f>
        <v>#NAME?</v>
      </c>
      <c r="U3077" s="28" t="e">
        <f ca="1">[1]!BexGetData("DP_1","00O2TNJGODT0G5Z4TTKYMMUX1","GSON42")</f>
        <v>#NAME?</v>
      </c>
      <c r="V3077" s="23" t="e">
        <f ca="1">[1]!BexGetData("DP_1","00O2TNJGODT0G5Z4TTKYMN18L","GSON42")</f>
        <v>#NAME?</v>
      </c>
      <c r="W3077" s="28" t="e">
        <f ca="1">[1]!BexGetData("DP_1","00O2TNJGODT0G5Z4TTKYMN7K5","GSON42")</f>
        <v>#NAME?</v>
      </c>
    </row>
    <row r="3078" spans="1:23" x14ac:dyDescent="0.2">
      <c r="A3078" s="34" t="s">
        <v>347</v>
      </c>
      <c r="B3078" s="27" t="s">
        <v>580</v>
      </c>
      <c r="C3078" s="23" t="e">
        <f ca="1">[1]!BexGetData("DP_1","003N8EMH8GTFRCSWKMPXRR8GU","GSON421")</f>
        <v>#NAME?</v>
      </c>
      <c r="D3078" s="23" t="e">
        <f ca="1">[1]!BexGetData("DP_1","003N8EMH8GTFRCSWKMPXRRESE","GSON421")</f>
        <v>#NAME?</v>
      </c>
      <c r="E3078" s="23" t="e">
        <f ca="1">[1]!BexGetData("DP_1","003N8EMH8GTFRCSWKMPXRRL3Y","GSON421")</f>
        <v>#NAME?</v>
      </c>
      <c r="F3078" s="23" t="e">
        <f ca="1">[1]!BexGetData("DP_1","003N8EMH8GTFRCSWKMPXRRRFI","GSON421")</f>
        <v>#NAME?</v>
      </c>
      <c r="G3078" s="23" t="e">
        <f ca="1">[1]!BexGetData("DP_1","003N8EMH8GTFRCSWKMPXRRXR2","GSON421")</f>
        <v>#NAME?</v>
      </c>
      <c r="H3078" s="23" t="e">
        <f ca="1">[1]!BexGetData("DP_1","003N8EMH8GTFRCSWKMPXRS42M","GSON421")</f>
        <v>#NAME?</v>
      </c>
      <c r="I3078" s="23" t="e">
        <f ca="1">[1]!BexGetData("DP_1","003N8EMH8GTFRCSWKMPXRSAE6","GSON421")</f>
        <v>#NAME?</v>
      </c>
      <c r="J3078" s="24" t="e">
        <f ca="1">[1]!BexGetData("DP_1","003N8EMH8GTFRCSWKMPXRSGPQ","GSON421")</f>
        <v>#NAME?</v>
      </c>
      <c r="K3078" s="23" t="e">
        <f ca="1">[1]!BexGetData("DP_1","003N8EMH8GTFRIVNUPY288VJH","GSON421")</f>
        <v>#NAME?</v>
      </c>
      <c r="L3078" s="23" t="e">
        <f ca="1">[1]!BexGetData("DP_1","003N8EMH8GTFRIVNUPY2891V1","GSON421")</f>
        <v>#NAME?</v>
      </c>
      <c r="M3078" s="23" t="e">
        <f ca="1">[1]!BexGetData("DP_1","003N8EMH8GTFRIVOG7KG9IQXA","GSON421")</f>
        <v>#NAME?</v>
      </c>
      <c r="N3078" s="28" t="e">
        <f ca="1">[1]!BexGetData("DP_1","003N8EMH8GTFRIVOG7KG9IX8U","GSON421")</f>
        <v>#NAME?</v>
      </c>
      <c r="O3078" s="23" t="e">
        <f ca="1">[1]!BexGetData("DP_1","003N8EMH8GTFRIVOG7KG9J3KE","GSON421")</f>
        <v>#NAME?</v>
      </c>
      <c r="P3078" s="28" t="e">
        <f ca="1">[1]!BexGetData("DP_1","003N8EMH8GTFRIVOG7KG9J9VY","GSON421")</f>
        <v>#NAME?</v>
      </c>
      <c r="Q3078" s="24" t="e">
        <f ca="1">[1]!BexGetData("DP_1","00O2TNJGODT0G5Z4TTKYMM5MT","GSON421")</f>
        <v>#NAME?</v>
      </c>
      <c r="R3078" s="23" t="e">
        <f ca="1">[1]!BexGetData("DP_1","00O2TNJGODT0G5Z4TTKYMMBYD","GSON421")</f>
        <v>#NAME?</v>
      </c>
      <c r="S3078" s="23" t="e">
        <f ca="1">[1]!BexGetData("DP_1","00O2TNJGODT0G5Z4TTKYMMI9X","GSON421")</f>
        <v>#NAME?</v>
      </c>
      <c r="T3078" s="23" t="e">
        <f ca="1">[1]!BexGetData("DP_1","00O2TNJGODT0G5Z4TTKYMMOLH","GSON421")</f>
        <v>#NAME?</v>
      </c>
      <c r="U3078" s="28" t="e">
        <f ca="1">[1]!BexGetData("DP_1","00O2TNJGODT0G5Z4TTKYMMUX1","GSON421")</f>
        <v>#NAME?</v>
      </c>
      <c r="V3078" s="23" t="e">
        <f ca="1">[1]!BexGetData("DP_1","00O2TNJGODT0G5Z4TTKYMN18L","GSON421")</f>
        <v>#NAME?</v>
      </c>
      <c r="W3078" s="28" t="e">
        <f ca="1">[1]!BexGetData("DP_1","00O2TNJGODT0G5Z4TTKYMN7K5","GSON421")</f>
        <v>#NAME?</v>
      </c>
    </row>
    <row r="3079" spans="1:23" x14ac:dyDescent="0.2">
      <c r="A3079" s="35" t="s">
        <v>581</v>
      </c>
      <c r="B3079" s="27" t="s">
        <v>582</v>
      </c>
      <c r="C3079" s="23" t="e">
        <f ca="1">[1]!BexGetData("DP_1","003N8EMH8GTFRCSWKMPXRR8GU","GSON4211")</f>
        <v>#NAME?</v>
      </c>
      <c r="D3079" s="23" t="e">
        <f ca="1">[1]!BexGetData("DP_1","003N8EMH8GTFRCSWKMPXRRESE","GSON4211")</f>
        <v>#NAME?</v>
      </c>
      <c r="E3079" s="23" t="e">
        <f ca="1">[1]!BexGetData("DP_1","003N8EMH8GTFRCSWKMPXRRL3Y","GSON4211")</f>
        <v>#NAME?</v>
      </c>
      <c r="F3079" s="23" t="e">
        <f ca="1">[1]!BexGetData("DP_1","003N8EMH8GTFRCSWKMPXRRRFI","GSON4211")</f>
        <v>#NAME?</v>
      </c>
      <c r="G3079" s="23" t="e">
        <f ca="1">[1]!BexGetData("DP_1","003N8EMH8GTFRCSWKMPXRRXR2","GSON4211")</f>
        <v>#NAME?</v>
      </c>
      <c r="H3079" s="23" t="e">
        <f ca="1">[1]!BexGetData("DP_1","003N8EMH8GTFRCSWKMPXRS42M","GSON4211")</f>
        <v>#NAME?</v>
      </c>
      <c r="I3079" s="23" t="e">
        <f ca="1">[1]!BexGetData("DP_1","003N8EMH8GTFRCSWKMPXRSAE6","GSON4211")</f>
        <v>#NAME?</v>
      </c>
      <c r="J3079" s="24" t="e">
        <f ca="1">[1]!BexGetData("DP_1","003N8EMH8GTFRCSWKMPXRSGPQ","GSON4211")</f>
        <v>#NAME?</v>
      </c>
      <c r="K3079" s="23" t="e">
        <f ca="1">[1]!BexGetData("DP_1","003N8EMH8GTFRIVNUPY288VJH","GSON4211")</f>
        <v>#NAME?</v>
      </c>
      <c r="L3079" s="23" t="e">
        <f ca="1">[1]!BexGetData("DP_1","003N8EMH8GTFRIVNUPY2891V1","GSON4211")</f>
        <v>#NAME?</v>
      </c>
      <c r="M3079" s="23" t="e">
        <f ca="1">[1]!BexGetData("DP_1","003N8EMH8GTFRIVOG7KG9IQXA","GSON4211")</f>
        <v>#NAME?</v>
      </c>
      <c r="N3079" s="28" t="e">
        <f ca="1">[1]!BexGetData("DP_1","003N8EMH8GTFRIVOG7KG9IX8U","GSON4211")</f>
        <v>#NAME?</v>
      </c>
      <c r="O3079" s="23" t="e">
        <f ca="1">[1]!BexGetData("DP_1","003N8EMH8GTFRIVOG7KG9J3KE","GSON4211")</f>
        <v>#NAME?</v>
      </c>
      <c r="P3079" s="28" t="e">
        <f ca="1">[1]!BexGetData("DP_1","003N8EMH8GTFRIVOG7KG9J9VY","GSON4211")</f>
        <v>#NAME?</v>
      </c>
      <c r="Q3079" s="24" t="e">
        <f ca="1">[1]!BexGetData("DP_1","00O2TNJGODT0G5Z4TTKYMM5MT","GSON4211")</f>
        <v>#NAME?</v>
      </c>
      <c r="R3079" s="23" t="e">
        <f ca="1">[1]!BexGetData("DP_1","00O2TNJGODT0G5Z4TTKYMMBYD","GSON4211")</f>
        <v>#NAME?</v>
      </c>
      <c r="S3079" s="23" t="e">
        <f ca="1">[1]!BexGetData("DP_1","00O2TNJGODT0G5Z4TTKYMMI9X","GSON4211")</f>
        <v>#NAME?</v>
      </c>
      <c r="T3079" s="23" t="e">
        <f ca="1">[1]!BexGetData("DP_1","00O2TNJGODT0G5Z4TTKYMMOLH","GSON4211")</f>
        <v>#NAME?</v>
      </c>
      <c r="U3079" s="28" t="e">
        <f ca="1">[1]!BexGetData("DP_1","00O2TNJGODT0G5Z4TTKYMMUX1","GSON4211")</f>
        <v>#NAME?</v>
      </c>
      <c r="V3079" s="23" t="e">
        <f ca="1">[1]!BexGetData("DP_1","00O2TNJGODT0G5Z4TTKYMN18L","GSON4211")</f>
        <v>#NAME?</v>
      </c>
      <c r="W3079" s="28" t="e">
        <f ca="1">[1]!BexGetData("DP_1","00O2TNJGODT0G5Z4TTKYMN7K5","GSON4211")</f>
        <v>#NAME?</v>
      </c>
    </row>
    <row r="3080" spans="1:23" x14ac:dyDescent="0.2">
      <c r="A3080" s="36" t="s">
        <v>1537</v>
      </c>
      <c r="B3080" s="27" t="s">
        <v>583</v>
      </c>
      <c r="C3080" s="23" t="e">
        <f ca="1">[1]!BexGetData("DP_1","003N8EMH8GTFRCSWKMPXRR8GU","GSON4211810101")</f>
        <v>#NAME?</v>
      </c>
      <c r="D3080" s="23" t="e">
        <f ca="1">[1]!BexGetData("DP_1","003N8EMH8GTFRCSWKMPXRRESE","GSON4211810101")</f>
        <v>#NAME?</v>
      </c>
      <c r="E3080" s="23" t="e">
        <f ca="1">[1]!BexGetData("DP_1","003N8EMH8GTFRCSWKMPXRRL3Y","GSON4211810101")</f>
        <v>#NAME?</v>
      </c>
      <c r="F3080" s="23" t="e">
        <f ca="1">[1]!BexGetData("DP_1","003N8EMH8GTFRCSWKMPXRRRFI","GSON4211810101")</f>
        <v>#NAME?</v>
      </c>
      <c r="G3080" s="23" t="e">
        <f ca="1">[1]!BexGetData("DP_1","003N8EMH8GTFRCSWKMPXRRXR2","GSON4211810101")</f>
        <v>#NAME?</v>
      </c>
      <c r="H3080" s="23" t="e">
        <f ca="1">[1]!BexGetData("DP_1","003N8EMH8GTFRCSWKMPXRS42M","GSON4211810101")</f>
        <v>#NAME?</v>
      </c>
      <c r="I3080" s="23" t="e">
        <f ca="1">[1]!BexGetData("DP_1","003N8EMH8GTFRCSWKMPXRSAE6","GSON4211810101")</f>
        <v>#NAME?</v>
      </c>
      <c r="J3080" s="24" t="e">
        <f ca="1">[1]!BexGetData("DP_1","003N8EMH8GTFRCSWKMPXRSGPQ","GSON4211810101")</f>
        <v>#NAME?</v>
      </c>
      <c r="K3080" s="23" t="e">
        <f ca="1">[1]!BexGetData("DP_1","003N8EMH8GTFRIVNUPY288VJH","GSON4211810101")</f>
        <v>#NAME?</v>
      </c>
      <c r="L3080" s="23" t="e">
        <f ca="1">[1]!BexGetData("DP_1","003N8EMH8GTFRIVNUPY2891V1","GSON4211810101")</f>
        <v>#NAME?</v>
      </c>
      <c r="M3080" s="23" t="e">
        <f ca="1">[1]!BexGetData("DP_1","003N8EMH8GTFRIVOG7KG9IQXA","GSON4211810101")</f>
        <v>#NAME?</v>
      </c>
      <c r="N3080" s="28" t="e">
        <f ca="1">[1]!BexGetData("DP_1","003N8EMH8GTFRIVOG7KG9IX8U","GSON4211810101")</f>
        <v>#NAME?</v>
      </c>
      <c r="O3080" s="23" t="e">
        <f ca="1">[1]!BexGetData("DP_1","003N8EMH8GTFRIVOG7KG9J3KE","GSON4211810101")</f>
        <v>#NAME?</v>
      </c>
      <c r="P3080" s="28" t="e">
        <f ca="1">[1]!BexGetData("DP_1","003N8EMH8GTFRIVOG7KG9J9VY","GSON4211810101")</f>
        <v>#NAME?</v>
      </c>
      <c r="Q3080" s="24" t="e">
        <f ca="1">[1]!BexGetData("DP_1","00O2TNJGODT0G5Z4TTKYMM5MT","GSON4211810101")</f>
        <v>#NAME?</v>
      </c>
      <c r="R3080" s="23" t="e">
        <f ca="1">[1]!BexGetData("DP_1","00O2TNJGODT0G5Z4TTKYMMBYD","GSON4211810101")</f>
        <v>#NAME?</v>
      </c>
      <c r="S3080" s="23" t="e">
        <f ca="1">[1]!BexGetData("DP_1","00O2TNJGODT0G5Z4TTKYMMI9X","GSON4211810101")</f>
        <v>#NAME?</v>
      </c>
      <c r="T3080" s="23" t="e">
        <f ca="1">[1]!BexGetData("DP_1","00O2TNJGODT0G5Z4TTKYMMOLH","GSON4211810101")</f>
        <v>#NAME?</v>
      </c>
      <c r="U3080" s="28" t="e">
        <f ca="1">[1]!BexGetData("DP_1","00O2TNJGODT0G5Z4TTKYMMUX1","GSON4211810101")</f>
        <v>#NAME?</v>
      </c>
      <c r="V3080" s="23" t="e">
        <f ca="1">[1]!BexGetData("DP_1","00O2TNJGODT0G5Z4TTKYMN18L","GSON4211810101")</f>
        <v>#NAME?</v>
      </c>
      <c r="W3080" s="28" t="e">
        <f ca="1">[1]!BexGetData("DP_1","00O2TNJGODT0G5Z4TTKYMN7K5","GSON4211810101")</f>
        <v>#NAME?</v>
      </c>
    </row>
    <row r="3081" spans="1:23" x14ac:dyDescent="0.2">
      <c r="A3081" s="36" t="s">
        <v>6404</v>
      </c>
      <c r="B3081" s="27" t="s">
        <v>6405</v>
      </c>
      <c r="C3081" s="23" t="e">
        <f ca="1">[1]!BexGetData("DP_1","003N8EMH8GTFRCSWKMPXRR8GU","GSON4211810102")</f>
        <v>#NAME?</v>
      </c>
      <c r="D3081" s="23" t="e">
        <f ca="1">[1]!BexGetData("DP_1","003N8EMH8GTFRCSWKMPXRRESE","GSON4211810102")</f>
        <v>#NAME?</v>
      </c>
      <c r="E3081" s="23" t="e">
        <f ca="1">[1]!BexGetData("DP_1","003N8EMH8GTFRCSWKMPXRRL3Y","GSON4211810102")</f>
        <v>#NAME?</v>
      </c>
      <c r="F3081" s="23" t="e">
        <f ca="1">[1]!BexGetData("DP_1","003N8EMH8GTFRCSWKMPXRRRFI","GSON4211810102")</f>
        <v>#NAME?</v>
      </c>
      <c r="G3081" s="28" t="e">
        <f ca="1">[1]!BexGetData("DP_1","003N8EMH8GTFRCSWKMPXRRXR2","GSON4211810102")</f>
        <v>#NAME?</v>
      </c>
      <c r="H3081" s="23" t="e">
        <f ca="1">[1]!BexGetData("DP_1","003N8EMH8GTFRCSWKMPXRS42M","GSON4211810102")</f>
        <v>#NAME?</v>
      </c>
      <c r="I3081" s="23" t="e">
        <f ca="1">[1]!BexGetData("DP_1","003N8EMH8GTFRCSWKMPXRSAE6","GSON4211810102")</f>
        <v>#NAME?</v>
      </c>
      <c r="J3081" s="24" t="e">
        <f ca="1">[1]!BexGetData("DP_1","003N8EMH8GTFRCSWKMPXRSGPQ","GSON4211810102")</f>
        <v>#NAME?</v>
      </c>
      <c r="K3081" s="23" t="e">
        <f ca="1">[1]!BexGetData("DP_1","003N8EMH8GTFRIVNUPY288VJH","GSON4211810102")</f>
        <v>#NAME?</v>
      </c>
      <c r="L3081" s="23" t="e">
        <f ca="1">[1]!BexGetData("DP_1","003N8EMH8GTFRIVNUPY2891V1","GSON4211810102")</f>
        <v>#NAME?</v>
      </c>
      <c r="M3081" s="23" t="e">
        <f ca="1">[1]!BexGetData("DP_1","003N8EMH8GTFRIVOG7KG9IQXA","GSON4211810102")</f>
        <v>#NAME?</v>
      </c>
      <c r="N3081" s="28" t="e">
        <f ca="1">[1]!BexGetData("DP_1","003N8EMH8GTFRIVOG7KG9IX8U","GSON4211810102")</f>
        <v>#NAME?</v>
      </c>
      <c r="O3081" s="23" t="e">
        <f ca="1">[1]!BexGetData("DP_1","003N8EMH8GTFRIVOG7KG9J3KE","GSON4211810102")</f>
        <v>#NAME?</v>
      </c>
      <c r="P3081" s="28" t="e">
        <f ca="1">[1]!BexGetData("DP_1","003N8EMH8GTFRIVOG7KG9J9VY","GSON4211810102")</f>
        <v>#NAME?</v>
      </c>
      <c r="Q3081" s="24" t="e">
        <f ca="1">[1]!BexGetData("DP_1","00O2TNJGODT0G5Z4TTKYMM5MT","GSON4211810102")</f>
        <v>#NAME?</v>
      </c>
      <c r="R3081" s="23" t="e">
        <f ca="1">[1]!BexGetData("DP_1","00O2TNJGODT0G5Z4TTKYMMBYD","GSON4211810102")</f>
        <v>#NAME?</v>
      </c>
      <c r="S3081" s="23" t="e">
        <f ca="1">[1]!BexGetData("DP_1","00O2TNJGODT0G5Z4TTKYMMI9X","GSON4211810102")</f>
        <v>#NAME?</v>
      </c>
      <c r="T3081" s="23" t="e">
        <f ca="1">[1]!BexGetData("DP_1","00O2TNJGODT0G5Z4TTKYMMOLH","GSON4211810102")</f>
        <v>#NAME?</v>
      </c>
      <c r="U3081" s="28" t="e">
        <f ca="1">[1]!BexGetData("DP_1","00O2TNJGODT0G5Z4TTKYMMUX1","GSON4211810102")</f>
        <v>#NAME?</v>
      </c>
      <c r="V3081" s="23" t="e">
        <f ca="1">[1]!BexGetData("DP_1","00O2TNJGODT0G5Z4TTKYMN18L","GSON4211810102")</f>
        <v>#NAME?</v>
      </c>
      <c r="W3081" s="28" t="e">
        <f ca="1">[1]!BexGetData("DP_1","00O2TNJGODT0G5Z4TTKYMN7K5","GSON4211810102")</f>
        <v>#NAME?</v>
      </c>
    </row>
    <row r="3082" spans="1:23" x14ac:dyDescent="0.2">
      <c r="A3082" s="36" t="s">
        <v>6406</v>
      </c>
      <c r="B3082" s="27" t="s">
        <v>6407</v>
      </c>
      <c r="C3082" s="23" t="e">
        <f ca="1">[1]!BexGetData("DP_1","003N8EMH8GTFRCSWKMPXRR8GU","GSON4211810103")</f>
        <v>#NAME?</v>
      </c>
      <c r="D3082" s="23" t="e">
        <f ca="1">[1]!BexGetData("DP_1","003N8EMH8GTFRCSWKMPXRRESE","GSON4211810103")</f>
        <v>#NAME?</v>
      </c>
      <c r="E3082" s="23" t="e">
        <f ca="1">[1]!BexGetData("DP_1","003N8EMH8GTFRCSWKMPXRRL3Y","GSON4211810103")</f>
        <v>#NAME?</v>
      </c>
      <c r="F3082" s="23" t="e">
        <f ca="1">[1]!BexGetData("DP_1","003N8EMH8GTFRCSWKMPXRRRFI","GSON4211810103")</f>
        <v>#NAME?</v>
      </c>
      <c r="G3082" s="23" t="e">
        <f ca="1">[1]!BexGetData("DP_1","003N8EMH8GTFRCSWKMPXRRXR2","GSON4211810103")</f>
        <v>#NAME?</v>
      </c>
      <c r="H3082" s="23" t="e">
        <f ca="1">[1]!BexGetData("DP_1","003N8EMH8GTFRCSWKMPXRS42M","GSON4211810103")</f>
        <v>#NAME?</v>
      </c>
      <c r="I3082" s="23" t="e">
        <f ca="1">[1]!BexGetData("DP_1","003N8EMH8GTFRCSWKMPXRSAE6","GSON4211810103")</f>
        <v>#NAME?</v>
      </c>
      <c r="J3082" s="24" t="e">
        <f ca="1">[1]!BexGetData("DP_1","003N8EMH8GTFRCSWKMPXRSGPQ","GSON4211810103")</f>
        <v>#NAME?</v>
      </c>
      <c r="K3082" s="23" t="e">
        <f ca="1">[1]!BexGetData("DP_1","003N8EMH8GTFRIVNUPY288VJH","GSON4211810103")</f>
        <v>#NAME?</v>
      </c>
      <c r="L3082" s="23" t="e">
        <f ca="1">[1]!BexGetData("DP_1","003N8EMH8GTFRIVNUPY2891V1","GSON4211810103")</f>
        <v>#NAME?</v>
      </c>
      <c r="M3082" s="23" t="e">
        <f ca="1">[1]!BexGetData("DP_1","003N8EMH8GTFRIVOG7KG9IQXA","GSON4211810103")</f>
        <v>#NAME?</v>
      </c>
      <c r="N3082" s="28" t="e">
        <f ca="1">[1]!BexGetData("DP_1","003N8EMH8GTFRIVOG7KG9IX8U","GSON4211810103")</f>
        <v>#NAME?</v>
      </c>
      <c r="O3082" s="23" t="e">
        <f ca="1">[1]!BexGetData("DP_1","003N8EMH8GTFRIVOG7KG9J3KE","GSON4211810103")</f>
        <v>#NAME?</v>
      </c>
      <c r="P3082" s="28" t="e">
        <f ca="1">[1]!BexGetData("DP_1","003N8EMH8GTFRIVOG7KG9J9VY","GSON4211810103")</f>
        <v>#NAME?</v>
      </c>
      <c r="Q3082" s="24" t="e">
        <f ca="1">[1]!BexGetData("DP_1","00O2TNJGODT0G5Z4TTKYMM5MT","GSON4211810103")</f>
        <v>#NAME?</v>
      </c>
      <c r="R3082" s="23" t="e">
        <f ca="1">[1]!BexGetData("DP_1","00O2TNJGODT0G5Z4TTKYMMBYD","GSON4211810103")</f>
        <v>#NAME?</v>
      </c>
      <c r="S3082" s="23" t="e">
        <f ca="1">[1]!BexGetData("DP_1","00O2TNJGODT0G5Z4TTKYMMI9X","GSON4211810103")</f>
        <v>#NAME?</v>
      </c>
      <c r="T3082" s="23" t="e">
        <f ca="1">[1]!BexGetData("DP_1","00O2TNJGODT0G5Z4TTKYMMOLH","GSON4211810103")</f>
        <v>#NAME?</v>
      </c>
      <c r="U3082" s="28" t="e">
        <f ca="1">[1]!BexGetData("DP_1","00O2TNJGODT0G5Z4TTKYMMUX1","GSON4211810103")</f>
        <v>#NAME?</v>
      </c>
      <c r="V3082" s="23" t="e">
        <f ca="1">[1]!BexGetData("DP_1","00O2TNJGODT0G5Z4TTKYMN18L","GSON4211810103")</f>
        <v>#NAME?</v>
      </c>
      <c r="W3082" s="28" t="e">
        <f ca="1">[1]!BexGetData("DP_1","00O2TNJGODT0G5Z4TTKYMN7K5","GSON4211810103")</f>
        <v>#NAME?</v>
      </c>
    </row>
    <row r="3083" spans="1:23" x14ac:dyDescent="0.2">
      <c r="A3083" s="36" t="s">
        <v>6408</v>
      </c>
      <c r="B3083" s="27" t="s">
        <v>6409</v>
      </c>
      <c r="C3083" s="28" t="e">
        <f ca="1">[1]!BexGetData("DP_1","003N8EMH8GTFRCSWKMPXRR8GU","GSON4211810104")</f>
        <v>#NAME?</v>
      </c>
      <c r="D3083" s="23" t="e">
        <f ca="1">[1]!BexGetData("DP_1","003N8EMH8GTFRCSWKMPXRRESE","GSON4211810104")</f>
        <v>#NAME?</v>
      </c>
      <c r="E3083" s="23" t="e">
        <f ca="1">[1]!BexGetData("DP_1","003N8EMH8GTFRCSWKMPXRRL3Y","GSON4211810104")</f>
        <v>#NAME?</v>
      </c>
      <c r="F3083" s="23" t="e">
        <f ca="1">[1]!BexGetData("DP_1","003N8EMH8GTFRCSWKMPXRRRFI","GSON4211810104")</f>
        <v>#NAME?</v>
      </c>
      <c r="G3083" s="28" t="e">
        <f ca="1">[1]!BexGetData("DP_1","003N8EMH8GTFRCSWKMPXRRXR2","GSON4211810104")</f>
        <v>#NAME?</v>
      </c>
      <c r="H3083" s="23" t="e">
        <f ca="1">[1]!BexGetData("DP_1","003N8EMH8GTFRCSWKMPXRS42M","GSON4211810104")</f>
        <v>#NAME?</v>
      </c>
      <c r="I3083" s="23" t="e">
        <f ca="1">[1]!BexGetData("DP_1","003N8EMH8GTFRCSWKMPXRSAE6","GSON4211810104")</f>
        <v>#NAME?</v>
      </c>
      <c r="J3083" s="24" t="e">
        <f ca="1">[1]!BexGetData("DP_1","003N8EMH8GTFRCSWKMPXRSGPQ","GSON4211810104")</f>
        <v>#NAME?</v>
      </c>
      <c r="K3083" s="23" t="e">
        <f ca="1">[1]!BexGetData("DP_1","003N8EMH8GTFRIVNUPY288VJH","GSON4211810104")</f>
        <v>#NAME?</v>
      </c>
      <c r="L3083" s="23" t="e">
        <f ca="1">[1]!BexGetData("DP_1","003N8EMH8GTFRIVNUPY2891V1","GSON4211810104")</f>
        <v>#NAME?</v>
      </c>
      <c r="M3083" s="28" t="e">
        <f ca="1">[1]!BexGetData("DP_1","003N8EMH8GTFRIVOG7KG9IQXA","GSON4211810104")</f>
        <v>#NAME?</v>
      </c>
      <c r="N3083" s="23" t="e">
        <f ca="1">[1]!BexGetData("DP_1","003N8EMH8GTFRIVOG7KG9IX8U","GSON4211810104")</f>
        <v>#NAME?</v>
      </c>
      <c r="O3083" s="28" t="e">
        <f ca="1">[1]!BexGetData("DP_1","003N8EMH8GTFRIVOG7KG9J3KE","GSON4211810104")</f>
        <v>#NAME?</v>
      </c>
      <c r="P3083" s="23" t="e">
        <f ca="1">[1]!BexGetData("DP_1","003N8EMH8GTFRIVOG7KG9J9VY","GSON4211810104")</f>
        <v>#NAME?</v>
      </c>
      <c r="Q3083" s="24" t="e">
        <f ca="1">[1]!BexGetData("DP_1","00O2TNJGODT0G5Z4TTKYMM5MT","GSON4211810104")</f>
        <v>#NAME?</v>
      </c>
      <c r="R3083" s="23" t="e">
        <f ca="1">[1]!BexGetData("DP_1","00O2TNJGODT0G5Z4TTKYMMBYD","GSON4211810104")</f>
        <v>#NAME?</v>
      </c>
      <c r="S3083" s="23" t="e">
        <f ca="1">[1]!BexGetData("DP_1","00O2TNJGODT0G5Z4TTKYMMI9X","GSON4211810104")</f>
        <v>#NAME?</v>
      </c>
      <c r="T3083" s="23" t="e">
        <f ca="1">[1]!BexGetData("DP_1","00O2TNJGODT0G5Z4TTKYMMOLH","GSON4211810104")</f>
        <v>#NAME?</v>
      </c>
      <c r="U3083" s="28" t="e">
        <f ca="1">[1]!BexGetData("DP_1","00O2TNJGODT0G5Z4TTKYMMUX1","GSON4211810104")</f>
        <v>#NAME?</v>
      </c>
      <c r="V3083" s="23" t="e">
        <f ca="1">[1]!BexGetData("DP_1","00O2TNJGODT0G5Z4TTKYMN18L","GSON4211810104")</f>
        <v>#NAME?</v>
      </c>
      <c r="W3083" s="28" t="e">
        <f ca="1">[1]!BexGetData("DP_1","00O2TNJGODT0G5Z4TTKYMN7K5","GSON4211810104")</f>
        <v>#NAME?</v>
      </c>
    </row>
    <row r="3084" spans="1:23" x14ac:dyDescent="0.2">
      <c r="A3084" s="36" t="s">
        <v>6410</v>
      </c>
      <c r="B3084" s="27" t="s">
        <v>6411</v>
      </c>
      <c r="C3084" s="23" t="e">
        <f ca="1">[1]!BexGetData("DP_1","003N8EMH8GTFRCSWKMPXRR8GU","GSON4211810105")</f>
        <v>#NAME?</v>
      </c>
      <c r="D3084" s="23" t="e">
        <f ca="1">[1]!BexGetData("DP_1","003N8EMH8GTFRCSWKMPXRRESE","GSON4211810105")</f>
        <v>#NAME?</v>
      </c>
      <c r="E3084" s="23" t="e">
        <f ca="1">[1]!BexGetData("DP_1","003N8EMH8GTFRCSWKMPXRRL3Y","GSON4211810105")</f>
        <v>#NAME?</v>
      </c>
      <c r="F3084" s="23" t="e">
        <f ca="1">[1]!BexGetData("DP_1","003N8EMH8GTFRCSWKMPXRRRFI","GSON4211810105")</f>
        <v>#NAME?</v>
      </c>
      <c r="G3084" s="28" t="e">
        <f ca="1">[1]!BexGetData("DP_1","003N8EMH8GTFRCSWKMPXRRXR2","GSON4211810105")</f>
        <v>#NAME?</v>
      </c>
      <c r="H3084" s="23" t="e">
        <f ca="1">[1]!BexGetData("DP_1","003N8EMH8GTFRCSWKMPXRS42M","GSON4211810105")</f>
        <v>#NAME?</v>
      </c>
      <c r="I3084" s="23" t="e">
        <f ca="1">[1]!BexGetData("DP_1","003N8EMH8GTFRCSWKMPXRSAE6","GSON4211810105")</f>
        <v>#NAME?</v>
      </c>
      <c r="J3084" s="24" t="e">
        <f ca="1">[1]!BexGetData("DP_1","003N8EMH8GTFRCSWKMPXRSGPQ","GSON4211810105")</f>
        <v>#NAME?</v>
      </c>
      <c r="K3084" s="23" t="e">
        <f ca="1">[1]!BexGetData("DP_1","003N8EMH8GTFRIVNUPY288VJH","GSON4211810105")</f>
        <v>#NAME?</v>
      </c>
      <c r="L3084" s="23" t="e">
        <f ca="1">[1]!BexGetData("DP_1","003N8EMH8GTFRIVNUPY2891V1","GSON4211810105")</f>
        <v>#NAME?</v>
      </c>
      <c r="M3084" s="23" t="e">
        <f ca="1">[1]!BexGetData("DP_1","003N8EMH8GTFRIVOG7KG9IQXA","GSON4211810105")</f>
        <v>#NAME?</v>
      </c>
      <c r="N3084" s="28" t="e">
        <f ca="1">[1]!BexGetData("DP_1","003N8EMH8GTFRIVOG7KG9IX8U","GSON4211810105")</f>
        <v>#NAME?</v>
      </c>
      <c r="O3084" s="23" t="e">
        <f ca="1">[1]!BexGetData("DP_1","003N8EMH8GTFRIVOG7KG9J3KE","GSON4211810105")</f>
        <v>#NAME?</v>
      </c>
      <c r="P3084" s="28" t="e">
        <f ca="1">[1]!BexGetData("DP_1","003N8EMH8GTFRIVOG7KG9J9VY","GSON4211810105")</f>
        <v>#NAME?</v>
      </c>
      <c r="Q3084" s="24" t="e">
        <f ca="1">[1]!BexGetData("DP_1","00O2TNJGODT0G5Z4TTKYMM5MT","GSON4211810105")</f>
        <v>#NAME?</v>
      </c>
      <c r="R3084" s="23" t="e">
        <f ca="1">[1]!BexGetData("DP_1","00O2TNJGODT0G5Z4TTKYMMBYD","GSON4211810105")</f>
        <v>#NAME?</v>
      </c>
      <c r="S3084" s="23" t="e">
        <f ca="1">[1]!BexGetData("DP_1","00O2TNJGODT0G5Z4TTKYMMI9X","GSON4211810105")</f>
        <v>#NAME?</v>
      </c>
      <c r="T3084" s="23" t="e">
        <f ca="1">[1]!BexGetData("DP_1","00O2TNJGODT0G5Z4TTKYMMOLH","GSON4211810105")</f>
        <v>#NAME?</v>
      </c>
      <c r="U3084" s="28" t="e">
        <f ca="1">[1]!BexGetData("DP_1","00O2TNJGODT0G5Z4TTKYMMUX1","GSON4211810105")</f>
        <v>#NAME?</v>
      </c>
      <c r="V3084" s="23" t="e">
        <f ca="1">[1]!BexGetData("DP_1","00O2TNJGODT0G5Z4TTKYMN18L","GSON4211810105")</f>
        <v>#NAME?</v>
      </c>
      <c r="W3084" s="28" t="e">
        <f ca="1">[1]!BexGetData("DP_1","00O2TNJGODT0G5Z4TTKYMN7K5","GSON4211810105")</f>
        <v>#NAME?</v>
      </c>
    </row>
    <row r="3085" spans="1:23" x14ac:dyDescent="0.2">
      <c r="A3085" s="35" t="s">
        <v>27</v>
      </c>
      <c r="B3085" s="27" t="s">
        <v>713</v>
      </c>
      <c r="C3085" s="23" t="e">
        <f ca="1">[1]!BexGetData("DP_1","003N8EMH8GTFRCSWKMPXRR8GU","GSON4212")</f>
        <v>#NAME?</v>
      </c>
      <c r="D3085" s="23" t="e">
        <f ca="1">[1]!BexGetData("DP_1","003N8EMH8GTFRCSWKMPXRRESE","GSON4212")</f>
        <v>#NAME?</v>
      </c>
      <c r="E3085" s="23" t="e">
        <f ca="1">[1]!BexGetData("DP_1","003N8EMH8GTFRCSWKMPXRRL3Y","GSON4212")</f>
        <v>#NAME?</v>
      </c>
      <c r="F3085" s="23" t="e">
        <f ca="1">[1]!BexGetData("DP_1","003N8EMH8GTFRCSWKMPXRRRFI","GSON4212")</f>
        <v>#NAME?</v>
      </c>
      <c r="G3085" s="23" t="e">
        <f ca="1">[1]!BexGetData("DP_1","003N8EMH8GTFRCSWKMPXRRXR2","GSON4212")</f>
        <v>#NAME?</v>
      </c>
      <c r="H3085" s="23" t="e">
        <f ca="1">[1]!BexGetData("DP_1","003N8EMH8GTFRCSWKMPXRS42M","GSON4212")</f>
        <v>#NAME?</v>
      </c>
      <c r="I3085" s="23" t="e">
        <f ca="1">[1]!BexGetData("DP_1","003N8EMH8GTFRCSWKMPXRSAE6","GSON4212")</f>
        <v>#NAME?</v>
      </c>
      <c r="J3085" s="24" t="e">
        <f ca="1">[1]!BexGetData("DP_1","003N8EMH8GTFRCSWKMPXRSGPQ","GSON4212")</f>
        <v>#NAME?</v>
      </c>
      <c r="K3085" s="23" t="e">
        <f ca="1">[1]!BexGetData("DP_1","003N8EMH8GTFRIVNUPY288VJH","GSON4212")</f>
        <v>#NAME?</v>
      </c>
      <c r="L3085" s="23" t="e">
        <f ca="1">[1]!BexGetData("DP_1","003N8EMH8GTFRIVNUPY2891V1","GSON4212")</f>
        <v>#NAME?</v>
      </c>
      <c r="M3085" s="23" t="e">
        <f ca="1">[1]!BexGetData("DP_1","003N8EMH8GTFRIVOG7KG9IQXA","GSON4212")</f>
        <v>#NAME?</v>
      </c>
      <c r="N3085" s="28" t="e">
        <f ca="1">[1]!BexGetData("DP_1","003N8EMH8GTFRIVOG7KG9IX8U","GSON4212")</f>
        <v>#NAME?</v>
      </c>
      <c r="O3085" s="23" t="e">
        <f ca="1">[1]!BexGetData("DP_1","003N8EMH8GTFRIVOG7KG9J3KE","GSON4212")</f>
        <v>#NAME?</v>
      </c>
      <c r="P3085" s="28" t="e">
        <f ca="1">[1]!BexGetData("DP_1","003N8EMH8GTFRIVOG7KG9J9VY","GSON4212")</f>
        <v>#NAME?</v>
      </c>
      <c r="Q3085" s="24" t="e">
        <f ca="1">[1]!BexGetData("DP_1","00O2TNJGODT0G5Z4TTKYMM5MT","GSON4212")</f>
        <v>#NAME?</v>
      </c>
      <c r="R3085" s="23" t="e">
        <f ca="1">[1]!BexGetData("DP_1","00O2TNJGODT0G5Z4TTKYMMBYD","GSON4212")</f>
        <v>#NAME?</v>
      </c>
      <c r="S3085" s="23" t="e">
        <f ca="1">[1]!BexGetData("DP_1","00O2TNJGODT0G5Z4TTKYMMI9X","GSON4212")</f>
        <v>#NAME?</v>
      </c>
      <c r="T3085" s="23" t="e">
        <f ca="1">[1]!BexGetData("DP_1","00O2TNJGODT0G5Z4TTKYMMOLH","GSON4212")</f>
        <v>#NAME?</v>
      </c>
      <c r="U3085" s="28" t="e">
        <f ca="1">[1]!BexGetData("DP_1","00O2TNJGODT0G5Z4TTKYMMUX1","GSON4212")</f>
        <v>#NAME?</v>
      </c>
      <c r="V3085" s="23" t="e">
        <f ca="1">[1]!BexGetData("DP_1","00O2TNJGODT0G5Z4TTKYMN18L","GSON4212")</f>
        <v>#NAME?</v>
      </c>
      <c r="W3085" s="28" t="e">
        <f ca="1">[1]!BexGetData("DP_1","00O2TNJGODT0G5Z4TTKYMN7K5","GSON4212")</f>
        <v>#NAME?</v>
      </c>
    </row>
    <row r="3086" spans="1:23" x14ac:dyDescent="0.2">
      <c r="A3086" s="36" t="s">
        <v>6412</v>
      </c>
      <c r="B3086" s="27" t="s">
        <v>6413</v>
      </c>
      <c r="C3086" s="23" t="e">
        <f ca="1">[1]!BexGetData("DP_1","003N8EMH8GTFRCSWKMPXRR8GU","GSON4212820101")</f>
        <v>#NAME?</v>
      </c>
      <c r="D3086" s="23" t="e">
        <f ca="1">[1]!BexGetData("DP_1","003N8EMH8GTFRCSWKMPXRRESE","GSON4212820101")</f>
        <v>#NAME?</v>
      </c>
      <c r="E3086" s="28" t="e">
        <f ca="1">[1]!BexGetData("DP_1","003N8EMH8GTFRCSWKMPXRRL3Y","GSON4212820101")</f>
        <v>#NAME?</v>
      </c>
      <c r="F3086" s="23" t="e">
        <f ca="1">[1]!BexGetData("DP_1","003N8EMH8GTFRCSWKMPXRRRFI","GSON4212820101")</f>
        <v>#NAME?</v>
      </c>
      <c r="G3086" s="23" t="e">
        <f ca="1">[1]!BexGetData("DP_1","003N8EMH8GTFRCSWKMPXRRXR2","GSON4212820101")</f>
        <v>#NAME?</v>
      </c>
      <c r="H3086" s="23" t="e">
        <f ca="1">[1]!BexGetData("DP_1","003N8EMH8GTFRCSWKMPXRS42M","GSON4212820101")</f>
        <v>#NAME?</v>
      </c>
      <c r="I3086" s="23" t="e">
        <f ca="1">[1]!BexGetData("DP_1","003N8EMH8GTFRCSWKMPXRSAE6","GSON4212820101")</f>
        <v>#NAME?</v>
      </c>
      <c r="J3086" s="24" t="e">
        <f ca="1">[1]!BexGetData("DP_1","003N8EMH8GTFRCSWKMPXRSGPQ","GSON4212820101")</f>
        <v>#NAME?</v>
      </c>
      <c r="K3086" s="23" t="e">
        <f ca="1">[1]!BexGetData("DP_1","003N8EMH8GTFRIVNUPY288VJH","GSON4212820101")</f>
        <v>#NAME?</v>
      </c>
      <c r="L3086" s="23" t="e">
        <f ca="1">[1]!BexGetData("DP_1","003N8EMH8GTFRIVNUPY2891V1","GSON4212820101")</f>
        <v>#NAME?</v>
      </c>
      <c r="M3086" s="28" t="e">
        <f ca="1">[1]!BexGetData("DP_1","003N8EMH8GTFRIVOG7KG9IQXA","GSON4212820101")</f>
        <v>#NAME?</v>
      </c>
      <c r="N3086" s="23" t="e">
        <f ca="1">[1]!BexGetData("DP_1","003N8EMH8GTFRIVOG7KG9IX8U","GSON4212820101")</f>
        <v>#NAME?</v>
      </c>
      <c r="O3086" s="28" t="e">
        <f ca="1">[1]!BexGetData("DP_1","003N8EMH8GTFRIVOG7KG9J3KE","GSON4212820101")</f>
        <v>#NAME?</v>
      </c>
      <c r="P3086" s="23" t="e">
        <f ca="1">[1]!BexGetData("DP_1","003N8EMH8GTFRIVOG7KG9J9VY","GSON4212820101")</f>
        <v>#NAME?</v>
      </c>
      <c r="Q3086" s="24" t="e">
        <f ca="1">[1]!BexGetData("DP_1","00O2TNJGODT0G5Z4TTKYMM5MT","GSON4212820101")</f>
        <v>#NAME?</v>
      </c>
      <c r="R3086" s="23" t="e">
        <f ca="1">[1]!BexGetData("DP_1","00O2TNJGODT0G5Z4TTKYMMBYD","GSON4212820101")</f>
        <v>#NAME?</v>
      </c>
      <c r="S3086" s="23" t="e">
        <f ca="1">[1]!BexGetData("DP_1","00O2TNJGODT0G5Z4TTKYMMI9X","GSON4212820101")</f>
        <v>#NAME?</v>
      </c>
      <c r="T3086" s="23" t="e">
        <f ca="1">[1]!BexGetData("DP_1","00O2TNJGODT0G5Z4TTKYMMOLH","GSON4212820101")</f>
        <v>#NAME?</v>
      </c>
      <c r="U3086" s="28" t="e">
        <f ca="1">[1]!BexGetData("DP_1","00O2TNJGODT0G5Z4TTKYMMUX1","GSON4212820101")</f>
        <v>#NAME?</v>
      </c>
      <c r="V3086" s="23" t="e">
        <f ca="1">[1]!BexGetData("DP_1","00O2TNJGODT0G5Z4TTKYMN18L","GSON4212820101")</f>
        <v>#NAME?</v>
      </c>
      <c r="W3086" s="28" t="e">
        <f ca="1">[1]!BexGetData("DP_1","00O2TNJGODT0G5Z4TTKYMN7K5","GSON4212820101")</f>
        <v>#NAME?</v>
      </c>
    </row>
    <row r="3087" spans="1:23" x14ac:dyDescent="0.2">
      <c r="A3087" s="36" t="s">
        <v>1538</v>
      </c>
      <c r="B3087" s="27" t="s">
        <v>714</v>
      </c>
      <c r="C3087" s="23" t="e">
        <f ca="1">[1]!BexGetData("DP_1","003N8EMH8GTFRCSWKMPXRR8GU","GSON4212820102")</f>
        <v>#NAME?</v>
      </c>
      <c r="D3087" s="23" t="e">
        <f ca="1">[1]!BexGetData("DP_1","003N8EMH8GTFRCSWKMPXRRESE","GSON4212820102")</f>
        <v>#NAME?</v>
      </c>
      <c r="E3087" s="23" t="e">
        <f ca="1">[1]!BexGetData("DP_1","003N8EMH8GTFRCSWKMPXRRL3Y","GSON4212820102")</f>
        <v>#NAME?</v>
      </c>
      <c r="F3087" s="23" t="e">
        <f ca="1">[1]!BexGetData("DP_1","003N8EMH8GTFRCSWKMPXRRRFI","GSON4212820102")</f>
        <v>#NAME?</v>
      </c>
      <c r="G3087" s="23" t="e">
        <f ca="1">[1]!BexGetData("DP_1","003N8EMH8GTFRCSWKMPXRRXR2","GSON4212820102")</f>
        <v>#NAME?</v>
      </c>
      <c r="H3087" s="23" t="e">
        <f ca="1">[1]!BexGetData("DP_1","003N8EMH8GTFRCSWKMPXRS42M","GSON4212820102")</f>
        <v>#NAME?</v>
      </c>
      <c r="I3087" s="23" t="e">
        <f ca="1">[1]!BexGetData("DP_1","003N8EMH8GTFRCSWKMPXRSAE6","GSON4212820102")</f>
        <v>#NAME?</v>
      </c>
      <c r="J3087" s="24" t="e">
        <f ca="1">[1]!BexGetData("DP_1","003N8EMH8GTFRCSWKMPXRSGPQ","GSON4212820102")</f>
        <v>#NAME?</v>
      </c>
      <c r="K3087" s="23" t="e">
        <f ca="1">[1]!BexGetData("DP_1","003N8EMH8GTFRIVNUPY288VJH","GSON4212820102")</f>
        <v>#NAME?</v>
      </c>
      <c r="L3087" s="23" t="e">
        <f ca="1">[1]!BexGetData("DP_1","003N8EMH8GTFRIVNUPY2891V1","GSON4212820102")</f>
        <v>#NAME?</v>
      </c>
      <c r="M3087" s="23" t="e">
        <f ca="1">[1]!BexGetData("DP_1","003N8EMH8GTFRIVOG7KG9IQXA","GSON4212820102")</f>
        <v>#NAME?</v>
      </c>
      <c r="N3087" s="28" t="e">
        <f ca="1">[1]!BexGetData("DP_1","003N8EMH8GTFRIVOG7KG9IX8U","GSON4212820102")</f>
        <v>#NAME?</v>
      </c>
      <c r="O3087" s="23" t="e">
        <f ca="1">[1]!BexGetData("DP_1","003N8EMH8GTFRIVOG7KG9J3KE","GSON4212820102")</f>
        <v>#NAME?</v>
      </c>
      <c r="P3087" s="28" t="e">
        <f ca="1">[1]!BexGetData("DP_1","003N8EMH8GTFRIVOG7KG9J9VY","GSON4212820102")</f>
        <v>#NAME?</v>
      </c>
      <c r="Q3087" s="24" t="e">
        <f ca="1">[1]!BexGetData("DP_1","00O2TNJGODT0G5Z4TTKYMM5MT","GSON4212820102")</f>
        <v>#NAME?</v>
      </c>
      <c r="R3087" s="23" t="e">
        <f ca="1">[1]!BexGetData("DP_1","00O2TNJGODT0G5Z4TTKYMMBYD","GSON4212820102")</f>
        <v>#NAME?</v>
      </c>
      <c r="S3087" s="23" t="e">
        <f ca="1">[1]!BexGetData("DP_1","00O2TNJGODT0G5Z4TTKYMMI9X","GSON4212820102")</f>
        <v>#NAME?</v>
      </c>
      <c r="T3087" s="23" t="e">
        <f ca="1">[1]!BexGetData("DP_1","00O2TNJGODT0G5Z4TTKYMMOLH","GSON4212820102")</f>
        <v>#NAME?</v>
      </c>
      <c r="U3087" s="28" t="e">
        <f ca="1">[1]!BexGetData("DP_1","00O2TNJGODT0G5Z4TTKYMMUX1","GSON4212820102")</f>
        <v>#NAME?</v>
      </c>
      <c r="V3087" s="23" t="e">
        <f ca="1">[1]!BexGetData("DP_1","00O2TNJGODT0G5Z4TTKYMN18L","GSON4212820102")</f>
        <v>#NAME?</v>
      </c>
      <c r="W3087" s="28" t="e">
        <f ca="1">[1]!BexGetData("DP_1","00O2TNJGODT0G5Z4TTKYMN7K5","GSON4212820102")</f>
        <v>#NAME?</v>
      </c>
    </row>
    <row r="3088" spans="1:23" x14ac:dyDescent="0.2">
      <c r="A3088" s="36" t="s">
        <v>6414</v>
      </c>
      <c r="B3088" s="27" t="s">
        <v>6415</v>
      </c>
      <c r="C3088" s="23" t="e">
        <f ca="1">[1]!BexGetData("DP_1","003N8EMH8GTFRCSWKMPXRR8GU","GSON4212820103")</f>
        <v>#NAME?</v>
      </c>
      <c r="D3088" s="23" t="e">
        <f ca="1">[1]!BexGetData("DP_1","003N8EMH8GTFRCSWKMPXRRESE","GSON4212820103")</f>
        <v>#NAME?</v>
      </c>
      <c r="E3088" s="23" t="e">
        <f ca="1">[1]!BexGetData("DP_1","003N8EMH8GTFRCSWKMPXRRL3Y","GSON4212820103")</f>
        <v>#NAME?</v>
      </c>
      <c r="F3088" s="23" t="e">
        <f ca="1">[1]!BexGetData("DP_1","003N8EMH8GTFRCSWKMPXRRRFI","GSON4212820103")</f>
        <v>#NAME?</v>
      </c>
      <c r="G3088" s="23" t="e">
        <f ca="1">[1]!BexGetData("DP_1","003N8EMH8GTFRCSWKMPXRRXR2","GSON4212820103")</f>
        <v>#NAME?</v>
      </c>
      <c r="H3088" s="23" t="e">
        <f ca="1">[1]!BexGetData("DP_1","003N8EMH8GTFRCSWKMPXRS42M","GSON4212820103")</f>
        <v>#NAME?</v>
      </c>
      <c r="I3088" s="23" t="e">
        <f ca="1">[1]!BexGetData("DP_1","003N8EMH8GTFRCSWKMPXRSAE6","GSON4212820103")</f>
        <v>#NAME?</v>
      </c>
      <c r="J3088" s="24" t="e">
        <f ca="1">[1]!BexGetData("DP_1","003N8EMH8GTFRCSWKMPXRSGPQ","GSON4212820103")</f>
        <v>#NAME?</v>
      </c>
      <c r="K3088" s="23" t="e">
        <f ca="1">[1]!BexGetData("DP_1","003N8EMH8GTFRIVNUPY288VJH","GSON4212820103")</f>
        <v>#NAME?</v>
      </c>
      <c r="L3088" s="23" t="e">
        <f ca="1">[1]!BexGetData("DP_1","003N8EMH8GTFRIVNUPY2891V1","GSON4212820103")</f>
        <v>#NAME?</v>
      </c>
      <c r="M3088" s="28" t="e">
        <f ca="1">[1]!BexGetData("DP_1","003N8EMH8GTFRIVOG7KG9IQXA","GSON4212820103")</f>
        <v>#NAME?</v>
      </c>
      <c r="N3088" s="23" t="e">
        <f ca="1">[1]!BexGetData("DP_1","003N8EMH8GTFRIVOG7KG9IX8U","GSON4212820103")</f>
        <v>#NAME?</v>
      </c>
      <c r="O3088" s="28" t="e">
        <f ca="1">[1]!BexGetData("DP_1","003N8EMH8GTFRIVOG7KG9J3KE","GSON4212820103")</f>
        <v>#NAME?</v>
      </c>
      <c r="P3088" s="23" t="e">
        <f ca="1">[1]!BexGetData("DP_1","003N8EMH8GTFRIVOG7KG9J9VY","GSON4212820103")</f>
        <v>#NAME?</v>
      </c>
      <c r="Q3088" s="24" t="e">
        <f ca="1">[1]!BexGetData("DP_1","00O2TNJGODT0G5Z4TTKYMM5MT","GSON4212820103")</f>
        <v>#NAME?</v>
      </c>
      <c r="R3088" s="23" t="e">
        <f ca="1">[1]!BexGetData("DP_1","00O2TNJGODT0G5Z4TTKYMMBYD","GSON4212820103")</f>
        <v>#NAME?</v>
      </c>
      <c r="S3088" s="23" t="e">
        <f ca="1">[1]!BexGetData("DP_1","00O2TNJGODT0G5Z4TTKYMMI9X","GSON4212820103")</f>
        <v>#NAME?</v>
      </c>
      <c r="T3088" s="23" t="e">
        <f ca="1">[1]!BexGetData("DP_1","00O2TNJGODT0G5Z4TTKYMMOLH","GSON4212820103")</f>
        <v>#NAME?</v>
      </c>
      <c r="U3088" s="28" t="e">
        <f ca="1">[1]!BexGetData("DP_1","00O2TNJGODT0G5Z4TTKYMMUX1","GSON4212820103")</f>
        <v>#NAME?</v>
      </c>
      <c r="V3088" s="23" t="e">
        <f ca="1">[1]!BexGetData("DP_1","00O2TNJGODT0G5Z4TTKYMN18L","GSON4212820103")</f>
        <v>#NAME?</v>
      </c>
      <c r="W3088" s="28" t="e">
        <f ca="1">[1]!BexGetData("DP_1","00O2TNJGODT0G5Z4TTKYMN7K5","GSON4212820103")</f>
        <v>#NAME?</v>
      </c>
    </row>
    <row r="3089" spans="1:23" x14ac:dyDescent="0.2">
      <c r="A3089" s="36" t="s">
        <v>6416</v>
      </c>
      <c r="B3089" s="27" t="s">
        <v>6417</v>
      </c>
      <c r="C3089" s="28" t="e">
        <f ca="1">[1]!BexGetData("DP_1","003N8EMH8GTFRCSWKMPXRR8GU","GSON4212820104")</f>
        <v>#NAME?</v>
      </c>
      <c r="D3089" s="23" t="e">
        <f ca="1">[1]!BexGetData("DP_1","003N8EMH8GTFRCSWKMPXRRESE","GSON4212820104")</f>
        <v>#NAME?</v>
      </c>
      <c r="E3089" s="23" t="e">
        <f ca="1">[1]!BexGetData("DP_1","003N8EMH8GTFRCSWKMPXRRL3Y","GSON4212820104")</f>
        <v>#NAME?</v>
      </c>
      <c r="F3089" s="23" t="e">
        <f ca="1">[1]!BexGetData("DP_1","003N8EMH8GTFRCSWKMPXRRRFI","GSON4212820104")</f>
        <v>#NAME?</v>
      </c>
      <c r="G3089" s="23" t="e">
        <f ca="1">[1]!BexGetData("DP_1","003N8EMH8GTFRCSWKMPXRRXR2","GSON4212820104")</f>
        <v>#NAME?</v>
      </c>
      <c r="H3089" s="23" t="e">
        <f ca="1">[1]!BexGetData("DP_1","003N8EMH8GTFRCSWKMPXRS42M","GSON4212820104")</f>
        <v>#NAME?</v>
      </c>
      <c r="I3089" s="23" t="e">
        <f ca="1">[1]!BexGetData("DP_1","003N8EMH8GTFRCSWKMPXRSAE6","GSON4212820104")</f>
        <v>#NAME?</v>
      </c>
      <c r="J3089" s="24" t="e">
        <f ca="1">[1]!BexGetData("DP_1","003N8EMH8GTFRCSWKMPXRSGPQ","GSON4212820104")</f>
        <v>#NAME?</v>
      </c>
      <c r="K3089" s="23" t="e">
        <f ca="1">[1]!BexGetData("DP_1","003N8EMH8GTFRIVNUPY288VJH","GSON4212820104")</f>
        <v>#NAME?</v>
      </c>
      <c r="L3089" s="23" t="e">
        <f ca="1">[1]!BexGetData("DP_1","003N8EMH8GTFRIVNUPY2891V1","GSON4212820104")</f>
        <v>#NAME?</v>
      </c>
      <c r="M3089" s="23" t="e">
        <f ca="1">[1]!BexGetData("DP_1","003N8EMH8GTFRIVOG7KG9IQXA","GSON4212820104")</f>
        <v>#NAME?</v>
      </c>
      <c r="N3089" s="28" t="e">
        <f ca="1">[1]!BexGetData("DP_1","003N8EMH8GTFRIVOG7KG9IX8U","GSON4212820104")</f>
        <v>#NAME?</v>
      </c>
      <c r="O3089" s="23" t="e">
        <f ca="1">[1]!BexGetData("DP_1","003N8EMH8GTFRIVOG7KG9J3KE","GSON4212820104")</f>
        <v>#NAME?</v>
      </c>
      <c r="P3089" s="28" t="e">
        <f ca="1">[1]!BexGetData("DP_1","003N8EMH8GTFRIVOG7KG9J9VY","GSON4212820104")</f>
        <v>#NAME?</v>
      </c>
      <c r="Q3089" s="24" t="e">
        <f ca="1">[1]!BexGetData("DP_1","00O2TNJGODT0G5Z4TTKYMM5MT","GSON4212820104")</f>
        <v>#NAME?</v>
      </c>
      <c r="R3089" s="23" t="e">
        <f ca="1">[1]!BexGetData("DP_1","00O2TNJGODT0G5Z4TTKYMMBYD","GSON4212820104")</f>
        <v>#NAME?</v>
      </c>
      <c r="S3089" s="23" t="e">
        <f ca="1">[1]!BexGetData("DP_1","00O2TNJGODT0G5Z4TTKYMMI9X","GSON4212820104")</f>
        <v>#NAME?</v>
      </c>
      <c r="T3089" s="23" t="e">
        <f ca="1">[1]!BexGetData("DP_1","00O2TNJGODT0G5Z4TTKYMMOLH","GSON4212820104")</f>
        <v>#NAME?</v>
      </c>
      <c r="U3089" s="28" t="e">
        <f ca="1">[1]!BexGetData("DP_1","00O2TNJGODT0G5Z4TTKYMMUX1","GSON4212820104")</f>
        <v>#NAME?</v>
      </c>
      <c r="V3089" s="23" t="e">
        <f ca="1">[1]!BexGetData("DP_1","00O2TNJGODT0G5Z4TTKYMN18L","GSON4212820104")</f>
        <v>#NAME?</v>
      </c>
      <c r="W3089" s="28" t="e">
        <f ca="1">[1]!BexGetData("DP_1","00O2TNJGODT0G5Z4TTKYMN7K5","GSON4212820104")</f>
        <v>#NAME?</v>
      </c>
    </row>
    <row r="3090" spans="1:23" x14ac:dyDescent="0.2">
      <c r="A3090" s="36" t="s">
        <v>6418</v>
      </c>
      <c r="B3090" s="27" t="s">
        <v>6419</v>
      </c>
      <c r="C3090" s="28" t="e">
        <f ca="1">[1]!BexGetData("DP_1","003N8EMH8GTFRCSWKMPXRR8GU","GSON4212820105")</f>
        <v>#NAME?</v>
      </c>
      <c r="D3090" s="23" t="e">
        <f ca="1">[1]!BexGetData("DP_1","003N8EMH8GTFRCSWKMPXRRESE","GSON4212820105")</f>
        <v>#NAME?</v>
      </c>
      <c r="E3090" s="23" t="e">
        <f ca="1">[1]!BexGetData("DP_1","003N8EMH8GTFRCSWKMPXRRL3Y","GSON4212820105")</f>
        <v>#NAME?</v>
      </c>
      <c r="F3090" s="23" t="e">
        <f ca="1">[1]!BexGetData("DP_1","003N8EMH8GTFRCSWKMPXRRRFI","GSON4212820105")</f>
        <v>#NAME?</v>
      </c>
      <c r="G3090" s="23" t="e">
        <f ca="1">[1]!BexGetData("DP_1","003N8EMH8GTFRCSWKMPXRRXR2","GSON4212820105")</f>
        <v>#NAME?</v>
      </c>
      <c r="H3090" s="23" t="e">
        <f ca="1">[1]!BexGetData("DP_1","003N8EMH8GTFRCSWKMPXRS42M","GSON4212820105")</f>
        <v>#NAME?</v>
      </c>
      <c r="I3090" s="23" t="e">
        <f ca="1">[1]!BexGetData("DP_1","003N8EMH8GTFRCSWKMPXRSAE6","GSON4212820105")</f>
        <v>#NAME?</v>
      </c>
      <c r="J3090" s="24" t="e">
        <f ca="1">[1]!BexGetData("DP_1","003N8EMH8GTFRCSWKMPXRSGPQ","GSON4212820105")</f>
        <v>#NAME?</v>
      </c>
      <c r="K3090" s="23" t="e">
        <f ca="1">[1]!BexGetData("DP_1","003N8EMH8GTFRIVNUPY288VJH","GSON4212820105")</f>
        <v>#NAME?</v>
      </c>
      <c r="L3090" s="23" t="e">
        <f ca="1">[1]!BexGetData("DP_1","003N8EMH8GTFRIVNUPY2891V1","GSON4212820105")</f>
        <v>#NAME?</v>
      </c>
      <c r="M3090" s="23" t="e">
        <f ca="1">[1]!BexGetData("DP_1","003N8EMH8GTFRIVOG7KG9IQXA","GSON4212820105")</f>
        <v>#NAME?</v>
      </c>
      <c r="N3090" s="28" t="e">
        <f ca="1">[1]!BexGetData("DP_1","003N8EMH8GTFRIVOG7KG9IX8U","GSON4212820105")</f>
        <v>#NAME?</v>
      </c>
      <c r="O3090" s="23" t="e">
        <f ca="1">[1]!BexGetData("DP_1","003N8EMH8GTFRIVOG7KG9J3KE","GSON4212820105")</f>
        <v>#NAME?</v>
      </c>
      <c r="P3090" s="28" t="e">
        <f ca="1">[1]!BexGetData("DP_1","003N8EMH8GTFRIVOG7KG9J9VY","GSON4212820105")</f>
        <v>#NAME?</v>
      </c>
      <c r="Q3090" s="24" t="e">
        <f ca="1">[1]!BexGetData("DP_1","00O2TNJGODT0G5Z4TTKYMM5MT","GSON4212820105")</f>
        <v>#NAME?</v>
      </c>
      <c r="R3090" s="23" t="e">
        <f ca="1">[1]!BexGetData("DP_1","00O2TNJGODT0G5Z4TTKYMMBYD","GSON4212820105")</f>
        <v>#NAME?</v>
      </c>
      <c r="S3090" s="23" t="e">
        <f ca="1">[1]!BexGetData("DP_1","00O2TNJGODT0G5Z4TTKYMMI9X","GSON4212820105")</f>
        <v>#NAME?</v>
      </c>
      <c r="T3090" s="23" t="e">
        <f ca="1">[1]!BexGetData("DP_1","00O2TNJGODT0G5Z4TTKYMMOLH","GSON4212820105")</f>
        <v>#NAME?</v>
      </c>
      <c r="U3090" s="28" t="e">
        <f ca="1">[1]!BexGetData("DP_1","00O2TNJGODT0G5Z4TTKYMMUX1","GSON4212820105")</f>
        <v>#NAME?</v>
      </c>
      <c r="V3090" s="23" t="e">
        <f ca="1">[1]!BexGetData("DP_1","00O2TNJGODT0G5Z4TTKYMN18L","GSON4212820105")</f>
        <v>#NAME?</v>
      </c>
      <c r="W3090" s="28" t="e">
        <f ca="1">[1]!BexGetData("DP_1","00O2TNJGODT0G5Z4TTKYMN7K5","GSON4212820105")</f>
        <v>#NAME?</v>
      </c>
    </row>
    <row r="3091" spans="1:23" x14ac:dyDescent="0.2">
      <c r="A3091" s="36" t="s">
        <v>6420</v>
      </c>
      <c r="B3091" s="27" t="s">
        <v>6421</v>
      </c>
      <c r="C3091" s="23" t="e">
        <f ca="1">[1]!BexGetData("DP_1","003N8EMH8GTFRCSWKMPXRR8GU","GSON4212820106")</f>
        <v>#NAME?</v>
      </c>
      <c r="D3091" s="23" t="e">
        <f ca="1">[1]!BexGetData("DP_1","003N8EMH8GTFRCSWKMPXRRESE","GSON4212820106")</f>
        <v>#NAME?</v>
      </c>
      <c r="E3091" s="23" t="e">
        <f ca="1">[1]!BexGetData("DP_1","003N8EMH8GTFRCSWKMPXRRL3Y","GSON4212820106")</f>
        <v>#NAME?</v>
      </c>
      <c r="F3091" s="24" t="e">
        <f ca="1">[1]!BexGetData("DP_1","003N8EMH8GTFRCSWKMPXRRRFI","GSON4212820106")</f>
        <v>#NAME?</v>
      </c>
      <c r="G3091" s="24" t="e">
        <f ca="1">[1]!BexGetData("DP_1","003N8EMH8GTFRCSWKMPXRRXR2","GSON4212820106")</f>
        <v>#NAME?</v>
      </c>
      <c r="H3091" s="24" t="e">
        <f ca="1">[1]!BexGetData("DP_1","003N8EMH8GTFRCSWKMPXRS42M","GSON4212820106")</f>
        <v>#NAME?</v>
      </c>
      <c r="I3091" s="24" t="e">
        <f ca="1">[1]!BexGetData("DP_1","003N8EMH8GTFRCSWKMPXRSAE6","GSON4212820106")</f>
        <v>#NAME?</v>
      </c>
      <c r="J3091" s="24" t="e">
        <f ca="1">[1]!BexGetData("DP_1","003N8EMH8GTFRCSWKMPXRSGPQ","GSON4212820106")</f>
        <v>#NAME?</v>
      </c>
      <c r="K3091" s="23" t="e">
        <f ca="1">[1]!BexGetData("DP_1","003N8EMH8GTFRIVNUPY288VJH","GSON4212820106")</f>
        <v>#NAME?</v>
      </c>
      <c r="L3091" s="23" t="e">
        <f ca="1">[1]!BexGetData("DP_1","003N8EMH8GTFRIVNUPY2891V1","GSON4212820106")</f>
        <v>#NAME?</v>
      </c>
      <c r="M3091" s="23" t="e">
        <f ca="1">[1]!BexGetData("DP_1","003N8EMH8GTFRIVOG7KG9IQXA","GSON4212820106")</f>
        <v>#NAME?</v>
      </c>
      <c r="N3091" s="28" t="e">
        <f ca="1">[1]!BexGetData("DP_1","003N8EMH8GTFRIVOG7KG9IX8U","GSON4212820106")</f>
        <v>#NAME?</v>
      </c>
      <c r="O3091" s="23" t="e">
        <f ca="1">[1]!BexGetData("DP_1","003N8EMH8GTFRIVOG7KG9J3KE","GSON4212820106")</f>
        <v>#NAME?</v>
      </c>
      <c r="P3091" s="28" t="e">
        <f ca="1">[1]!BexGetData("DP_1","003N8EMH8GTFRIVOG7KG9J9VY","GSON4212820106")</f>
        <v>#NAME?</v>
      </c>
      <c r="Q3091" s="24" t="e">
        <f ca="1">[1]!BexGetData("DP_1","00O2TNJGODT0G5Z4TTKYMM5MT","GSON4212820106")</f>
        <v>#NAME?</v>
      </c>
      <c r="R3091" s="24" t="e">
        <f ca="1">[1]!BexGetData("DP_1","00O2TNJGODT0G5Z4TTKYMMBYD","GSON4212820106")</f>
        <v>#NAME?</v>
      </c>
      <c r="S3091" s="24" t="e">
        <f ca="1">[1]!BexGetData("DP_1","00O2TNJGODT0G5Z4TTKYMMI9X","GSON4212820106")</f>
        <v>#NAME?</v>
      </c>
      <c r="T3091" s="24" t="e">
        <f ca="1">[1]!BexGetData("DP_1","00O2TNJGODT0G5Z4TTKYMMOLH","GSON4212820106")</f>
        <v>#NAME?</v>
      </c>
      <c r="U3091" s="24" t="e">
        <f ca="1">[1]!BexGetData("DP_1","00O2TNJGODT0G5Z4TTKYMMUX1","GSON4212820106")</f>
        <v>#NAME?</v>
      </c>
      <c r="V3091" s="24" t="e">
        <f ca="1">[1]!BexGetData("DP_1","00O2TNJGODT0G5Z4TTKYMN18L","GSON4212820106")</f>
        <v>#NAME?</v>
      </c>
      <c r="W3091" s="24" t="e">
        <f ca="1">[1]!BexGetData("DP_1","00O2TNJGODT0G5Z4TTKYMN7K5","GSON4212820106")</f>
        <v>#NAME?</v>
      </c>
    </row>
    <row r="3092" spans="1:23" x14ac:dyDescent="0.2">
      <c r="A3092" s="36" t="s">
        <v>6422</v>
      </c>
      <c r="B3092" s="27" t="s">
        <v>6423</v>
      </c>
      <c r="C3092" s="23" t="e">
        <f ca="1">[1]!BexGetData("DP_1","003N8EMH8GTFRCSWKMPXRR8GU","GSON4212820201")</f>
        <v>#NAME?</v>
      </c>
      <c r="D3092" s="23" t="e">
        <f ca="1">[1]!BexGetData("DP_1","003N8EMH8GTFRCSWKMPXRRESE","GSON4212820201")</f>
        <v>#NAME?</v>
      </c>
      <c r="E3092" s="23" t="e">
        <f ca="1">[1]!BexGetData("DP_1","003N8EMH8GTFRCSWKMPXRRL3Y","GSON4212820201")</f>
        <v>#NAME?</v>
      </c>
      <c r="F3092" s="23" t="e">
        <f ca="1">[1]!BexGetData("DP_1","003N8EMH8GTFRCSWKMPXRRRFI","GSON4212820201")</f>
        <v>#NAME?</v>
      </c>
      <c r="G3092" s="23" t="e">
        <f ca="1">[1]!BexGetData("DP_1","003N8EMH8GTFRCSWKMPXRRXR2","GSON4212820201")</f>
        <v>#NAME?</v>
      </c>
      <c r="H3092" s="23" t="e">
        <f ca="1">[1]!BexGetData("DP_1","003N8EMH8GTFRCSWKMPXRS42M","GSON4212820201")</f>
        <v>#NAME?</v>
      </c>
      <c r="I3092" s="23" t="e">
        <f ca="1">[1]!BexGetData("DP_1","003N8EMH8GTFRCSWKMPXRSAE6","GSON4212820201")</f>
        <v>#NAME?</v>
      </c>
      <c r="J3092" s="24" t="e">
        <f ca="1">[1]!BexGetData("DP_1","003N8EMH8GTFRCSWKMPXRSGPQ","GSON4212820201")</f>
        <v>#NAME?</v>
      </c>
      <c r="K3092" s="23" t="e">
        <f ca="1">[1]!BexGetData("DP_1","003N8EMH8GTFRIVNUPY288VJH","GSON4212820201")</f>
        <v>#NAME?</v>
      </c>
      <c r="L3092" s="23" t="e">
        <f ca="1">[1]!BexGetData("DP_1","003N8EMH8GTFRIVNUPY2891V1","GSON4212820201")</f>
        <v>#NAME?</v>
      </c>
      <c r="M3092" s="23" t="e">
        <f ca="1">[1]!BexGetData("DP_1","003N8EMH8GTFRIVOG7KG9IQXA","GSON4212820201")</f>
        <v>#NAME?</v>
      </c>
      <c r="N3092" s="28" t="e">
        <f ca="1">[1]!BexGetData("DP_1","003N8EMH8GTFRIVOG7KG9IX8U","GSON4212820201")</f>
        <v>#NAME?</v>
      </c>
      <c r="O3092" s="23" t="e">
        <f ca="1">[1]!BexGetData("DP_1","003N8EMH8GTFRIVOG7KG9J3KE","GSON4212820201")</f>
        <v>#NAME?</v>
      </c>
      <c r="P3092" s="28" t="e">
        <f ca="1">[1]!BexGetData("DP_1","003N8EMH8GTFRIVOG7KG9J9VY","GSON4212820201")</f>
        <v>#NAME?</v>
      </c>
      <c r="Q3092" s="24" t="e">
        <f ca="1">[1]!BexGetData("DP_1","00O2TNJGODT0G5Z4TTKYMM5MT","GSON4212820201")</f>
        <v>#NAME?</v>
      </c>
      <c r="R3092" s="23" t="e">
        <f ca="1">[1]!BexGetData("DP_1","00O2TNJGODT0G5Z4TTKYMMBYD","GSON4212820201")</f>
        <v>#NAME?</v>
      </c>
      <c r="S3092" s="23" t="e">
        <f ca="1">[1]!BexGetData("DP_1","00O2TNJGODT0G5Z4TTKYMMI9X","GSON4212820201")</f>
        <v>#NAME?</v>
      </c>
      <c r="T3092" s="23" t="e">
        <f ca="1">[1]!BexGetData("DP_1","00O2TNJGODT0G5Z4TTKYMMOLH","GSON4212820201")</f>
        <v>#NAME?</v>
      </c>
      <c r="U3092" s="28" t="e">
        <f ca="1">[1]!BexGetData("DP_1","00O2TNJGODT0G5Z4TTKYMMUX1","GSON4212820201")</f>
        <v>#NAME?</v>
      </c>
      <c r="V3092" s="23" t="e">
        <f ca="1">[1]!BexGetData("DP_1","00O2TNJGODT0G5Z4TTKYMN18L","GSON4212820201")</f>
        <v>#NAME?</v>
      </c>
      <c r="W3092" s="28" t="e">
        <f ca="1">[1]!BexGetData("DP_1","00O2TNJGODT0G5Z4TTKYMN7K5","GSON4212820201")</f>
        <v>#NAME?</v>
      </c>
    </row>
    <row r="3093" spans="1:23" x14ac:dyDescent="0.2">
      <c r="A3093" s="36" t="s">
        <v>6424</v>
      </c>
      <c r="B3093" s="27" t="s">
        <v>6425</v>
      </c>
      <c r="C3093" s="28" t="e">
        <f ca="1">[1]!BexGetData("DP_1","003N8EMH8GTFRCSWKMPXRR8GU","GSON4212820301")</f>
        <v>#NAME?</v>
      </c>
      <c r="D3093" s="23" t="e">
        <f ca="1">[1]!BexGetData("DP_1","003N8EMH8GTFRCSWKMPXRRESE","GSON4212820301")</f>
        <v>#NAME?</v>
      </c>
      <c r="E3093" s="23" t="e">
        <f ca="1">[1]!BexGetData("DP_1","003N8EMH8GTFRCSWKMPXRRL3Y","GSON4212820301")</f>
        <v>#NAME?</v>
      </c>
      <c r="F3093" s="23" t="e">
        <f ca="1">[1]!BexGetData("DP_1","003N8EMH8GTFRCSWKMPXRRRFI","GSON4212820301")</f>
        <v>#NAME?</v>
      </c>
      <c r="G3093" s="23" t="e">
        <f ca="1">[1]!BexGetData("DP_1","003N8EMH8GTFRCSWKMPXRRXR2","GSON4212820301")</f>
        <v>#NAME?</v>
      </c>
      <c r="H3093" s="23" t="e">
        <f ca="1">[1]!BexGetData("DP_1","003N8EMH8GTFRCSWKMPXRS42M","GSON4212820301")</f>
        <v>#NAME?</v>
      </c>
      <c r="I3093" s="23" t="e">
        <f ca="1">[1]!BexGetData("DP_1","003N8EMH8GTFRCSWKMPXRSAE6","GSON4212820301")</f>
        <v>#NAME?</v>
      </c>
      <c r="J3093" s="24" t="e">
        <f ca="1">[1]!BexGetData("DP_1","003N8EMH8GTFRCSWKMPXRSGPQ","GSON4212820301")</f>
        <v>#NAME?</v>
      </c>
      <c r="K3093" s="23" t="e">
        <f ca="1">[1]!BexGetData("DP_1","003N8EMH8GTFRIVNUPY288VJH","GSON4212820301")</f>
        <v>#NAME?</v>
      </c>
      <c r="L3093" s="23" t="e">
        <f ca="1">[1]!BexGetData("DP_1","003N8EMH8GTFRIVNUPY2891V1","GSON4212820301")</f>
        <v>#NAME?</v>
      </c>
      <c r="M3093" s="23" t="e">
        <f ca="1">[1]!BexGetData("DP_1","003N8EMH8GTFRIVOG7KG9IQXA","GSON4212820301")</f>
        <v>#NAME?</v>
      </c>
      <c r="N3093" s="28" t="e">
        <f ca="1">[1]!BexGetData("DP_1","003N8EMH8GTFRIVOG7KG9IX8U","GSON4212820301")</f>
        <v>#NAME?</v>
      </c>
      <c r="O3093" s="23" t="e">
        <f ca="1">[1]!BexGetData("DP_1","003N8EMH8GTFRIVOG7KG9J3KE","GSON4212820301")</f>
        <v>#NAME?</v>
      </c>
      <c r="P3093" s="28" t="e">
        <f ca="1">[1]!BexGetData("DP_1","003N8EMH8GTFRIVOG7KG9J9VY","GSON4212820301")</f>
        <v>#NAME?</v>
      </c>
      <c r="Q3093" s="24" t="e">
        <f ca="1">[1]!BexGetData("DP_1","00O2TNJGODT0G5Z4TTKYMM5MT","GSON4212820301")</f>
        <v>#NAME?</v>
      </c>
      <c r="R3093" s="23" t="e">
        <f ca="1">[1]!BexGetData("DP_1","00O2TNJGODT0G5Z4TTKYMMBYD","GSON4212820301")</f>
        <v>#NAME?</v>
      </c>
      <c r="S3093" s="23" t="e">
        <f ca="1">[1]!BexGetData("DP_1","00O2TNJGODT0G5Z4TTKYMMI9X","GSON4212820301")</f>
        <v>#NAME?</v>
      </c>
      <c r="T3093" s="23" t="e">
        <f ca="1">[1]!BexGetData("DP_1","00O2TNJGODT0G5Z4TTKYMMOLH","GSON4212820301")</f>
        <v>#NAME?</v>
      </c>
      <c r="U3093" s="28" t="e">
        <f ca="1">[1]!BexGetData("DP_1","00O2TNJGODT0G5Z4TTKYMMUX1","GSON4212820301")</f>
        <v>#NAME?</v>
      </c>
      <c r="V3093" s="23" t="e">
        <f ca="1">[1]!BexGetData("DP_1","00O2TNJGODT0G5Z4TTKYMN18L","GSON4212820301")</f>
        <v>#NAME?</v>
      </c>
      <c r="W3093" s="28" t="e">
        <f ca="1">[1]!BexGetData("DP_1","00O2TNJGODT0G5Z4TTKYMN7K5","GSON4212820301")</f>
        <v>#NAME?</v>
      </c>
    </row>
    <row r="3094" spans="1:23" x14ac:dyDescent="0.2">
      <c r="A3094" s="36" t="s">
        <v>6426</v>
      </c>
      <c r="B3094" s="27" t="s">
        <v>6427</v>
      </c>
      <c r="C3094" s="23" t="e">
        <f ca="1">[1]!BexGetData("DP_1","003N8EMH8GTFRCSWKMPXRR8GU","GSON4212820302")</f>
        <v>#NAME?</v>
      </c>
      <c r="D3094" s="23" t="e">
        <f ca="1">[1]!BexGetData("DP_1","003N8EMH8GTFRCSWKMPXRRESE","GSON4212820302")</f>
        <v>#NAME?</v>
      </c>
      <c r="E3094" s="23" t="e">
        <f ca="1">[1]!BexGetData("DP_1","003N8EMH8GTFRCSWKMPXRRL3Y","GSON4212820302")</f>
        <v>#NAME?</v>
      </c>
      <c r="F3094" s="23" t="e">
        <f ca="1">[1]!BexGetData("DP_1","003N8EMH8GTFRCSWKMPXRRRFI","GSON4212820302")</f>
        <v>#NAME?</v>
      </c>
      <c r="G3094" s="23" t="e">
        <f ca="1">[1]!BexGetData("DP_1","003N8EMH8GTFRCSWKMPXRRXR2","GSON4212820302")</f>
        <v>#NAME?</v>
      </c>
      <c r="H3094" s="23" t="e">
        <f ca="1">[1]!BexGetData("DP_1","003N8EMH8GTFRCSWKMPXRS42M","GSON4212820302")</f>
        <v>#NAME?</v>
      </c>
      <c r="I3094" s="23" t="e">
        <f ca="1">[1]!BexGetData("DP_1","003N8EMH8GTFRCSWKMPXRSAE6","GSON4212820302")</f>
        <v>#NAME?</v>
      </c>
      <c r="J3094" s="24" t="e">
        <f ca="1">[1]!BexGetData("DP_1","003N8EMH8GTFRCSWKMPXRSGPQ","GSON4212820302")</f>
        <v>#NAME?</v>
      </c>
      <c r="K3094" s="23" t="e">
        <f ca="1">[1]!BexGetData("DP_1","003N8EMH8GTFRIVNUPY288VJH","GSON4212820302")</f>
        <v>#NAME?</v>
      </c>
      <c r="L3094" s="23" t="e">
        <f ca="1">[1]!BexGetData("DP_1","003N8EMH8GTFRIVNUPY2891V1","GSON4212820302")</f>
        <v>#NAME?</v>
      </c>
      <c r="M3094" s="23" t="e">
        <f ca="1">[1]!BexGetData("DP_1","003N8EMH8GTFRIVOG7KG9IQXA","GSON4212820302")</f>
        <v>#NAME?</v>
      </c>
      <c r="N3094" s="28" t="e">
        <f ca="1">[1]!BexGetData("DP_1","003N8EMH8GTFRIVOG7KG9IX8U","GSON4212820302")</f>
        <v>#NAME?</v>
      </c>
      <c r="O3094" s="23" t="e">
        <f ca="1">[1]!BexGetData("DP_1","003N8EMH8GTFRIVOG7KG9J3KE","GSON4212820302")</f>
        <v>#NAME?</v>
      </c>
      <c r="P3094" s="28" t="e">
        <f ca="1">[1]!BexGetData("DP_1","003N8EMH8GTFRIVOG7KG9J9VY","GSON4212820302")</f>
        <v>#NAME?</v>
      </c>
      <c r="Q3094" s="24" t="e">
        <f ca="1">[1]!BexGetData("DP_1","00O2TNJGODT0G5Z4TTKYMM5MT","GSON4212820302")</f>
        <v>#NAME?</v>
      </c>
      <c r="R3094" s="23" t="e">
        <f ca="1">[1]!BexGetData("DP_1","00O2TNJGODT0G5Z4TTKYMMBYD","GSON4212820302")</f>
        <v>#NAME?</v>
      </c>
      <c r="S3094" s="23" t="e">
        <f ca="1">[1]!BexGetData("DP_1","00O2TNJGODT0G5Z4TTKYMMI9X","GSON4212820302")</f>
        <v>#NAME?</v>
      </c>
      <c r="T3094" s="23" t="e">
        <f ca="1">[1]!BexGetData("DP_1","00O2TNJGODT0G5Z4TTKYMMOLH","GSON4212820302")</f>
        <v>#NAME?</v>
      </c>
      <c r="U3094" s="28" t="e">
        <f ca="1">[1]!BexGetData("DP_1","00O2TNJGODT0G5Z4TTKYMMUX1","GSON4212820302")</f>
        <v>#NAME?</v>
      </c>
      <c r="V3094" s="23" t="e">
        <f ca="1">[1]!BexGetData("DP_1","00O2TNJGODT0G5Z4TTKYMN18L","GSON4212820302")</f>
        <v>#NAME?</v>
      </c>
      <c r="W3094" s="28" t="e">
        <f ca="1">[1]!BexGetData("DP_1","00O2TNJGODT0G5Z4TTKYMN7K5","GSON4212820302")</f>
        <v>#NAME?</v>
      </c>
    </row>
    <row r="3095" spans="1:23" x14ac:dyDescent="0.2">
      <c r="A3095" s="36" t="s">
        <v>6428</v>
      </c>
      <c r="B3095" s="27" t="s">
        <v>6429</v>
      </c>
      <c r="C3095" s="28" t="e">
        <f ca="1">[1]!BexGetData("DP_1","003N8EMH8GTFRCSWKMPXRR8GU","GSON4212820401")</f>
        <v>#NAME?</v>
      </c>
      <c r="D3095" s="23" t="e">
        <f ca="1">[1]!BexGetData("DP_1","003N8EMH8GTFRCSWKMPXRRESE","GSON4212820401")</f>
        <v>#NAME?</v>
      </c>
      <c r="E3095" s="23" t="e">
        <f ca="1">[1]!BexGetData("DP_1","003N8EMH8GTFRCSWKMPXRRL3Y","GSON4212820401")</f>
        <v>#NAME?</v>
      </c>
      <c r="F3095" s="23" t="e">
        <f ca="1">[1]!BexGetData("DP_1","003N8EMH8GTFRCSWKMPXRRRFI","GSON4212820401")</f>
        <v>#NAME?</v>
      </c>
      <c r="G3095" s="28" t="e">
        <f ca="1">[1]!BexGetData("DP_1","003N8EMH8GTFRCSWKMPXRRXR2","GSON4212820401")</f>
        <v>#NAME?</v>
      </c>
      <c r="H3095" s="23" t="e">
        <f ca="1">[1]!BexGetData("DP_1","003N8EMH8GTFRCSWKMPXRS42M","GSON4212820401")</f>
        <v>#NAME?</v>
      </c>
      <c r="I3095" s="23" t="e">
        <f ca="1">[1]!BexGetData("DP_1","003N8EMH8GTFRCSWKMPXRSAE6","GSON4212820401")</f>
        <v>#NAME?</v>
      </c>
      <c r="J3095" s="24" t="e">
        <f ca="1">[1]!BexGetData("DP_1","003N8EMH8GTFRCSWKMPXRSGPQ","GSON4212820401")</f>
        <v>#NAME?</v>
      </c>
      <c r="K3095" s="23" t="e">
        <f ca="1">[1]!BexGetData("DP_1","003N8EMH8GTFRIVNUPY288VJH","GSON4212820401")</f>
        <v>#NAME?</v>
      </c>
      <c r="L3095" s="23" t="e">
        <f ca="1">[1]!BexGetData("DP_1","003N8EMH8GTFRIVNUPY2891V1","GSON4212820401")</f>
        <v>#NAME?</v>
      </c>
      <c r="M3095" s="23" t="e">
        <f ca="1">[1]!BexGetData("DP_1","003N8EMH8GTFRIVOG7KG9IQXA","GSON4212820401")</f>
        <v>#NAME?</v>
      </c>
      <c r="N3095" s="28" t="e">
        <f ca="1">[1]!BexGetData("DP_1","003N8EMH8GTFRIVOG7KG9IX8U","GSON4212820401")</f>
        <v>#NAME?</v>
      </c>
      <c r="O3095" s="23" t="e">
        <f ca="1">[1]!BexGetData("DP_1","003N8EMH8GTFRIVOG7KG9J3KE","GSON4212820401")</f>
        <v>#NAME?</v>
      </c>
      <c r="P3095" s="28" t="e">
        <f ca="1">[1]!BexGetData("DP_1","003N8EMH8GTFRIVOG7KG9J9VY","GSON4212820401")</f>
        <v>#NAME?</v>
      </c>
      <c r="Q3095" s="24" t="e">
        <f ca="1">[1]!BexGetData("DP_1","00O2TNJGODT0G5Z4TTKYMM5MT","GSON4212820401")</f>
        <v>#NAME?</v>
      </c>
      <c r="R3095" s="23" t="e">
        <f ca="1">[1]!BexGetData("DP_1","00O2TNJGODT0G5Z4TTKYMMBYD","GSON4212820401")</f>
        <v>#NAME?</v>
      </c>
      <c r="S3095" s="23" t="e">
        <f ca="1">[1]!BexGetData("DP_1","00O2TNJGODT0G5Z4TTKYMMI9X","GSON4212820401")</f>
        <v>#NAME?</v>
      </c>
      <c r="T3095" s="23" t="e">
        <f ca="1">[1]!BexGetData("DP_1","00O2TNJGODT0G5Z4TTKYMMOLH","GSON4212820401")</f>
        <v>#NAME?</v>
      </c>
      <c r="U3095" s="28" t="e">
        <f ca="1">[1]!BexGetData("DP_1","00O2TNJGODT0G5Z4TTKYMMUX1","GSON4212820401")</f>
        <v>#NAME?</v>
      </c>
      <c r="V3095" s="23" t="e">
        <f ca="1">[1]!BexGetData("DP_1","00O2TNJGODT0G5Z4TTKYMN18L","GSON4212820401")</f>
        <v>#NAME?</v>
      </c>
      <c r="W3095" s="28" t="e">
        <f ca="1">[1]!BexGetData("DP_1","00O2TNJGODT0G5Z4TTKYMN7K5","GSON4212820401")</f>
        <v>#NAME?</v>
      </c>
    </row>
    <row r="3096" spans="1:23" x14ac:dyDescent="0.2">
      <c r="A3096" s="36" t="s">
        <v>6430</v>
      </c>
      <c r="B3096" s="27" t="s">
        <v>6431</v>
      </c>
      <c r="C3096" s="28" t="e">
        <f ca="1">[1]!BexGetData("DP_1","003N8EMH8GTFRCSWKMPXRR8GU","GSON4212820501")</f>
        <v>#NAME?</v>
      </c>
      <c r="D3096" s="23" t="e">
        <f ca="1">[1]!BexGetData("DP_1","003N8EMH8GTFRCSWKMPXRRESE","GSON4212820501")</f>
        <v>#NAME?</v>
      </c>
      <c r="E3096" s="23" t="e">
        <f ca="1">[1]!BexGetData("DP_1","003N8EMH8GTFRCSWKMPXRRL3Y","GSON4212820501")</f>
        <v>#NAME?</v>
      </c>
      <c r="F3096" s="23" t="e">
        <f ca="1">[1]!BexGetData("DP_1","003N8EMH8GTFRCSWKMPXRRRFI","GSON4212820501")</f>
        <v>#NAME?</v>
      </c>
      <c r="G3096" s="23" t="e">
        <f ca="1">[1]!BexGetData("DP_1","003N8EMH8GTFRCSWKMPXRRXR2","GSON4212820501")</f>
        <v>#NAME?</v>
      </c>
      <c r="H3096" s="23" t="e">
        <f ca="1">[1]!BexGetData("DP_1","003N8EMH8GTFRCSWKMPXRS42M","GSON4212820501")</f>
        <v>#NAME?</v>
      </c>
      <c r="I3096" s="23" t="e">
        <f ca="1">[1]!BexGetData("DP_1","003N8EMH8GTFRCSWKMPXRSAE6","GSON4212820501")</f>
        <v>#NAME?</v>
      </c>
      <c r="J3096" s="24" t="e">
        <f ca="1">[1]!BexGetData("DP_1","003N8EMH8GTFRCSWKMPXRSGPQ","GSON4212820501")</f>
        <v>#NAME?</v>
      </c>
      <c r="K3096" s="23" t="e">
        <f ca="1">[1]!BexGetData("DP_1","003N8EMH8GTFRIVNUPY288VJH","GSON4212820501")</f>
        <v>#NAME?</v>
      </c>
      <c r="L3096" s="23" t="e">
        <f ca="1">[1]!BexGetData("DP_1","003N8EMH8GTFRIVNUPY2891V1","GSON4212820501")</f>
        <v>#NAME?</v>
      </c>
      <c r="M3096" s="23" t="e">
        <f ca="1">[1]!BexGetData("DP_1","003N8EMH8GTFRIVOG7KG9IQXA","GSON4212820501")</f>
        <v>#NAME?</v>
      </c>
      <c r="N3096" s="28" t="e">
        <f ca="1">[1]!BexGetData("DP_1","003N8EMH8GTFRIVOG7KG9IX8U","GSON4212820501")</f>
        <v>#NAME?</v>
      </c>
      <c r="O3096" s="23" t="e">
        <f ca="1">[1]!BexGetData("DP_1","003N8EMH8GTFRIVOG7KG9J3KE","GSON4212820501")</f>
        <v>#NAME?</v>
      </c>
      <c r="P3096" s="28" t="e">
        <f ca="1">[1]!BexGetData("DP_1","003N8EMH8GTFRIVOG7KG9J9VY","GSON4212820501")</f>
        <v>#NAME?</v>
      </c>
      <c r="Q3096" s="24" t="e">
        <f ca="1">[1]!BexGetData("DP_1","00O2TNJGODT0G5Z4TTKYMM5MT","GSON4212820501")</f>
        <v>#NAME?</v>
      </c>
      <c r="R3096" s="23" t="e">
        <f ca="1">[1]!BexGetData("DP_1","00O2TNJGODT0G5Z4TTKYMMBYD","GSON4212820501")</f>
        <v>#NAME?</v>
      </c>
      <c r="S3096" s="23" t="e">
        <f ca="1">[1]!BexGetData("DP_1","00O2TNJGODT0G5Z4TTKYMMI9X","GSON4212820501")</f>
        <v>#NAME?</v>
      </c>
      <c r="T3096" s="23" t="e">
        <f ca="1">[1]!BexGetData("DP_1","00O2TNJGODT0G5Z4TTKYMMOLH","GSON4212820501")</f>
        <v>#NAME?</v>
      </c>
      <c r="U3096" s="28" t="e">
        <f ca="1">[1]!BexGetData("DP_1","00O2TNJGODT0G5Z4TTKYMMUX1","GSON4212820501")</f>
        <v>#NAME?</v>
      </c>
      <c r="V3096" s="23" t="e">
        <f ca="1">[1]!BexGetData("DP_1","00O2TNJGODT0G5Z4TTKYMN18L","GSON4212820501")</f>
        <v>#NAME?</v>
      </c>
      <c r="W3096" s="28" t="e">
        <f ca="1">[1]!BexGetData("DP_1","00O2TNJGODT0G5Z4TTKYMN7K5","GSON4212820501")</f>
        <v>#NAME?</v>
      </c>
    </row>
    <row r="3097" spans="1:23" x14ac:dyDescent="0.2">
      <c r="A3097" s="36" t="s">
        <v>6432</v>
      </c>
      <c r="B3097" s="27" t="s">
        <v>6433</v>
      </c>
      <c r="C3097" s="23" t="e">
        <f ca="1">[1]!BexGetData("DP_1","003N8EMH8GTFRCSWKMPXRR8GU","GSON4212820502")</f>
        <v>#NAME?</v>
      </c>
      <c r="D3097" s="23" t="e">
        <f ca="1">[1]!BexGetData("DP_1","003N8EMH8GTFRCSWKMPXRRESE","GSON4212820502")</f>
        <v>#NAME?</v>
      </c>
      <c r="E3097" s="23" t="e">
        <f ca="1">[1]!BexGetData("DP_1","003N8EMH8GTFRCSWKMPXRRL3Y","GSON4212820502")</f>
        <v>#NAME?</v>
      </c>
      <c r="F3097" s="23" t="e">
        <f ca="1">[1]!BexGetData("DP_1","003N8EMH8GTFRCSWKMPXRRRFI","GSON4212820502")</f>
        <v>#NAME?</v>
      </c>
      <c r="G3097" s="23" t="e">
        <f ca="1">[1]!BexGetData("DP_1","003N8EMH8GTFRCSWKMPXRRXR2","GSON4212820502")</f>
        <v>#NAME?</v>
      </c>
      <c r="H3097" s="23" t="e">
        <f ca="1">[1]!BexGetData("DP_1","003N8EMH8GTFRCSWKMPXRS42M","GSON4212820502")</f>
        <v>#NAME?</v>
      </c>
      <c r="I3097" s="23" t="e">
        <f ca="1">[1]!BexGetData("DP_1","003N8EMH8GTFRCSWKMPXRSAE6","GSON4212820502")</f>
        <v>#NAME?</v>
      </c>
      <c r="J3097" s="24" t="e">
        <f ca="1">[1]!BexGetData("DP_1","003N8EMH8GTFRCSWKMPXRSGPQ","GSON4212820502")</f>
        <v>#NAME?</v>
      </c>
      <c r="K3097" s="23" t="e">
        <f ca="1">[1]!BexGetData("DP_1","003N8EMH8GTFRIVNUPY288VJH","GSON4212820502")</f>
        <v>#NAME?</v>
      </c>
      <c r="L3097" s="23" t="e">
        <f ca="1">[1]!BexGetData("DP_1","003N8EMH8GTFRIVNUPY2891V1","GSON4212820502")</f>
        <v>#NAME?</v>
      </c>
      <c r="M3097" s="28" t="e">
        <f ca="1">[1]!BexGetData("DP_1","003N8EMH8GTFRIVOG7KG9IQXA","GSON4212820502")</f>
        <v>#NAME?</v>
      </c>
      <c r="N3097" s="23" t="e">
        <f ca="1">[1]!BexGetData("DP_1","003N8EMH8GTFRIVOG7KG9IX8U","GSON4212820502")</f>
        <v>#NAME?</v>
      </c>
      <c r="O3097" s="28" t="e">
        <f ca="1">[1]!BexGetData("DP_1","003N8EMH8GTFRIVOG7KG9J3KE","GSON4212820502")</f>
        <v>#NAME?</v>
      </c>
      <c r="P3097" s="23" t="e">
        <f ca="1">[1]!BexGetData("DP_1","003N8EMH8GTFRIVOG7KG9J9VY","GSON4212820502")</f>
        <v>#NAME?</v>
      </c>
      <c r="Q3097" s="24" t="e">
        <f ca="1">[1]!BexGetData("DP_1","00O2TNJGODT0G5Z4TTKYMM5MT","GSON4212820502")</f>
        <v>#NAME?</v>
      </c>
      <c r="R3097" s="23" t="e">
        <f ca="1">[1]!BexGetData("DP_1","00O2TNJGODT0G5Z4TTKYMMBYD","GSON4212820502")</f>
        <v>#NAME?</v>
      </c>
      <c r="S3097" s="23" t="e">
        <f ca="1">[1]!BexGetData("DP_1","00O2TNJGODT0G5Z4TTKYMMI9X","GSON4212820502")</f>
        <v>#NAME?</v>
      </c>
      <c r="T3097" s="23" t="e">
        <f ca="1">[1]!BexGetData("DP_1","00O2TNJGODT0G5Z4TTKYMMOLH","GSON4212820502")</f>
        <v>#NAME?</v>
      </c>
      <c r="U3097" s="28" t="e">
        <f ca="1">[1]!BexGetData("DP_1","00O2TNJGODT0G5Z4TTKYMMUX1","GSON4212820502")</f>
        <v>#NAME?</v>
      </c>
      <c r="V3097" s="23" t="e">
        <f ca="1">[1]!BexGetData("DP_1","00O2TNJGODT0G5Z4TTKYMN18L","GSON4212820502")</f>
        <v>#NAME?</v>
      </c>
      <c r="W3097" s="28" t="e">
        <f ca="1">[1]!BexGetData("DP_1","00O2TNJGODT0G5Z4TTKYMN7K5","GSON4212820502")</f>
        <v>#NAME?</v>
      </c>
    </row>
    <row r="3098" spans="1:23" x14ac:dyDescent="0.2">
      <c r="A3098" s="36" t="s">
        <v>6434</v>
      </c>
      <c r="B3098" s="27" t="s">
        <v>6435</v>
      </c>
      <c r="C3098" s="23" t="e">
        <f ca="1">[1]!BexGetData("DP_1","003N8EMH8GTFRCSWKMPXRR8GU","GSON4212820503")</f>
        <v>#NAME?</v>
      </c>
      <c r="D3098" s="23" t="e">
        <f ca="1">[1]!BexGetData("DP_1","003N8EMH8GTFRCSWKMPXRRESE","GSON4212820503")</f>
        <v>#NAME?</v>
      </c>
      <c r="E3098" s="23" t="e">
        <f ca="1">[1]!BexGetData("DP_1","003N8EMH8GTFRCSWKMPXRRL3Y","GSON4212820503")</f>
        <v>#NAME?</v>
      </c>
      <c r="F3098" s="23" t="e">
        <f ca="1">[1]!BexGetData("DP_1","003N8EMH8GTFRCSWKMPXRRRFI","GSON4212820503")</f>
        <v>#NAME?</v>
      </c>
      <c r="G3098" s="23" t="e">
        <f ca="1">[1]!BexGetData("DP_1","003N8EMH8GTFRCSWKMPXRRXR2","GSON4212820503")</f>
        <v>#NAME?</v>
      </c>
      <c r="H3098" s="23" t="e">
        <f ca="1">[1]!BexGetData("DP_1","003N8EMH8GTFRCSWKMPXRS42M","GSON4212820503")</f>
        <v>#NAME?</v>
      </c>
      <c r="I3098" s="23" t="e">
        <f ca="1">[1]!BexGetData("DP_1","003N8EMH8GTFRCSWKMPXRSAE6","GSON4212820503")</f>
        <v>#NAME?</v>
      </c>
      <c r="J3098" s="24" t="e">
        <f ca="1">[1]!BexGetData("DP_1","003N8EMH8GTFRCSWKMPXRSGPQ","GSON4212820503")</f>
        <v>#NAME?</v>
      </c>
      <c r="K3098" s="23" t="e">
        <f ca="1">[1]!BexGetData("DP_1","003N8EMH8GTFRIVNUPY288VJH","GSON4212820503")</f>
        <v>#NAME?</v>
      </c>
      <c r="L3098" s="23" t="e">
        <f ca="1">[1]!BexGetData("DP_1","003N8EMH8GTFRIVNUPY2891V1","GSON4212820503")</f>
        <v>#NAME?</v>
      </c>
      <c r="M3098" s="28" t="e">
        <f ca="1">[1]!BexGetData("DP_1","003N8EMH8GTFRIVOG7KG9IQXA","GSON4212820503")</f>
        <v>#NAME?</v>
      </c>
      <c r="N3098" s="23" t="e">
        <f ca="1">[1]!BexGetData("DP_1","003N8EMH8GTFRIVOG7KG9IX8U","GSON4212820503")</f>
        <v>#NAME?</v>
      </c>
      <c r="O3098" s="28" t="e">
        <f ca="1">[1]!BexGetData("DP_1","003N8EMH8GTFRIVOG7KG9J3KE","GSON4212820503")</f>
        <v>#NAME?</v>
      </c>
      <c r="P3098" s="23" t="e">
        <f ca="1">[1]!BexGetData("DP_1","003N8EMH8GTFRIVOG7KG9J9VY","GSON4212820503")</f>
        <v>#NAME?</v>
      </c>
      <c r="Q3098" s="24" t="e">
        <f ca="1">[1]!BexGetData("DP_1","00O2TNJGODT0G5Z4TTKYMM5MT","GSON4212820503")</f>
        <v>#NAME?</v>
      </c>
      <c r="R3098" s="23" t="e">
        <f ca="1">[1]!BexGetData("DP_1","00O2TNJGODT0G5Z4TTKYMMBYD","GSON4212820503")</f>
        <v>#NAME?</v>
      </c>
      <c r="S3098" s="23" t="e">
        <f ca="1">[1]!BexGetData("DP_1","00O2TNJGODT0G5Z4TTKYMMI9X","GSON4212820503")</f>
        <v>#NAME?</v>
      </c>
      <c r="T3098" s="23" t="e">
        <f ca="1">[1]!BexGetData("DP_1","00O2TNJGODT0G5Z4TTKYMMOLH","GSON4212820503")</f>
        <v>#NAME?</v>
      </c>
      <c r="U3098" s="28" t="e">
        <f ca="1">[1]!BexGetData("DP_1","00O2TNJGODT0G5Z4TTKYMMUX1","GSON4212820503")</f>
        <v>#NAME?</v>
      </c>
      <c r="V3098" s="23" t="e">
        <f ca="1">[1]!BexGetData("DP_1","00O2TNJGODT0G5Z4TTKYMN18L","GSON4212820503")</f>
        <v>#NAME?</v>
      </c>
      <c r="W3098" s="28" t="e">
        <f ca="1">[1]!BexGetData("DP_1","00O2TNJGODT0G5Z4TTKYMN7K5","GSON4212820503")</f>
        <v>#NAME?</v>
      </c>
    </row>
    <row r="3099" spans="1:23" x14ac:dyDescent="0.2">
      <c r="A3099" s="36" t="s">
        <v>6436</v>
      </c>
      <c r="B3099" s="27" t="s">
        <v>6437</v>
      </c>
      <c r="C3099" s="23" t="e">
        <f ca="1">[1]!BexGetData("DP_1","003N8EMH8GTFRCSWKMPXRR8GU","GSON4212820504")</f>
        <v>#NAME?</v>
      </c>
      <c r="D3099" s="23" t="e">
        <f ca="1">[1]!BexGetData("DP_1","003N8EMH8GTFRCSWKMPXRRESE","GSON4212820504")</f>
        <v>#NAME?</v>
      </c>
      <c r="E3099" s="23" t="e">
        <f ca="1">[1]!BexGetData("DP_1","003N8EMH8GTFRCSWKMPXRRL3Y","GSON4212820504")</f>
        <v>#NAME?</v>
      </c>
      <c r="F3099" s="23" t="e">
        <f ca="1">[1]!BexGetData("DP_1","003N8EMH8GTFRCSWKMPXRRRFI","GSON4212820504")</f>
        <v>#NAME?</v>
      </c>
      <c r="G3099" s="23" t="e">
        <f ca="1">[1]!BexGetData("DP_1","003N8EMH8GTFRCSWKMPXRRXR2","GSON4212820504")</f>
        <v>#NAME?</v>
      </c>
      <c r="H3099" s="23" t="e">
        <f ca="1">[1]!BexGetData("DP_1","003N8EMH8GTFRCSWKMPXRS42M","GSON4212820504")</f>
        <v>#NAME?</v>
      </c>
      <c r="I3099" s="23" t="e">
        <f ca="1">[1]!BexGetData("DP_1","003N8EMH8GTFRCSWKMPXRSAE6","GSON4212820504")</f>
        <v>#NAME?</v>
      </c>
      <c r="J3099" s="24" t="e">
        <f ca="1">[1]!BexGetData("DP_1","003N8EMH8GTFRCSWKMPXRSGPQ","GSON4212820504")</f>
        <v>#NAME?</v>
      </c>
      <c r="K3099" s="23" t="e">
        <f ca="1">[1]!BexGetData("DP_1","003N8EMH8GTFRIVNUPY288VJH","GSON4212820504")</f>
        <v>#NAME?</v>
      </c>
      <c r="L3099" s="23" t="e">
        <f ca="1">[1]!BexGetData("DP_1","003N8EMH8GTFRIVNUPY2891V1","GSON4212820504")</f>
        <v>#NAME?</v>
      </c>
      <c r="M3099" s="28" t="e">
        <f ca="1">[1]!BexGetData("DP_1","003N8EMH8GTFRIVOG7KG9IQXA","GSON4212820504")</f>
        <v>#NAME?</v>
      </c>
      <c r="N3099" s="23" t="e">
        <f ca="1">[1]!BexGetData("DP_1","003N8EMH8GTFRIVOG7KG9IX8U","GSON4212820504")</f>
        <v>#NAME?</v>
      </c>
      <c r="O3099" s="28" t="e">
        <f ca="1">[1]!BexGetData("DP_1","003N8EMH8GTFRIVOG7KG9J3KE","GSON4212820504")</f>
        <v>#NAME?</v>
      </c>
      <c r="P3099" s="23" t="e">
        <f ca="1">[1]!BexGetData("DP_1","003N8EMH8GTFRIVOG7KG9J9VY","GSON4212820504")</f>
        <v>#NAME?</v>
      </c>
      <c r="Q3099" s="24" t="e">
        <f ca="1">[1]!BexGetData("DP_1","00O2TNJGODT0G5Z4TTKYMM5MT","GSON4212820504")</f>
        <v>#NAME?</v>
      </c>
      <c r="R3099" s="23" t="e">
        <f ca="1">[1]!BexGetData("DP_1","00O2TNJGODT0G5Z4TTKYMMBYD","GSON4212820504")</f>
        <v>#NAME?</v>
      </c>
      <c r="S3099" s="23" t="e">
        <f ca="1">[1]!BexGetData("DP_1","00O2TNJGODT0G5Z4TTKYMMI9X","GSON4212820504")</f>
        <v>#NAME?</v>
      </c>
      <c r="T3099" s="23" t="e">
        <f ca="1">[1]!BexGetData("DP_1","00O2TNJGODT0G5Z4TTKYMMOLH","GSON4212820504")</f>
        <v>#NAME?</v>
      </c>
      <c r="U3099" s="28" t="e">
        <f ca="1">[1]!BexGetData("DP_1","00O2TNJGODT0G5Z4TTKYMMUX1","GSON4212820504")</f>
        <v>#NAME?</v>
      </c>
      <c r="V3099" s="23" t="e">
        <f ca="1">[1]!BexGetData("DP_1","00O2TNJGODT0G5Z4TTKYMN18L","GSON4212820504")</f>
        <v>#NAME?</v>
      </c>
      <c r="W3099" s="28" t="e">
        <f ca="1">[1]!BexGetData("DP_1","00O2TNJGODT0G5Z4TTKYMN7K5","GSON4212820504")</f>
        <v>#NAME?</v>
      </c>
    </row>
    <row r="3100" spans="1:23" x14ac:dyDescent="0.2">
      <c r="A3100" s="36" t="s">
        <v>6438</v>
      </c>
      <c r="B3100" s="27" t="s">
        <v>6439</v>
      </c>
      <c r="C3100" s="23" t="e">
        <f ca="1">[1]!BexGetData("DP_1","003N8EMH8GTFRCSWKMPXRR8GU","GSON4212820505")</f>
        <v>#NAME?</v>
      </c>
      <c r="D3100" s="23" t="e">
        <f ca="1">[1]!BexGetData("DP_1","003N8EMH8GTFRCSWKMPXRRESE","GSON4212820505")</f>
        <v>#NAME?</v>
      </c>
      <c r="E3100" s="23" t="e">
        <f ca="1">[1]!BexGetData("DP_1","003N8EMH8GTFRCSWKMPXRRL3Y","GSON4212820505")</f>
        <v>#NAME?</v>
      </c>
      <c r="F3100" s="24" t="e">
        <f ca="1">[1]!BexGetData("DP_1","003N8EMH8GTFRCSWKMPXRRRFI","GSON4212820505")</f>
        <v>#NAME?</v>
      </c>
      <c r="G3100" s="24" t="e">
        <f ca="1">[1]!BexGetData("DP_1","003N8EMH8GTFRCSWKMPXRRXR2","GSON4212820505")</f>
        <v>#NAME?</v>
      </c>
      <c r="H3100" s="24" t="e">
        <f ca="1">[1]!BexGetData("DP_1","003N8EMH8GTFRCSWKMPXRS42M","GSON4212820505")</f>
        <v>#NAME?</v>
      </c>
      <c r="I3100" s="24" t="e">
        <f ca="1">[1]!BexGetData("DP_1","003N8EMH8GTFRCSWKMPXRSAE6","GSON4212820505")</f>
        <v>#NAME?</v>
      </c>
      <c r="J3100" s="24" t="e">
        <f ca="1">[1]!BexGetData("DP_1","003N8EMH8GTFRCSWKMPXRSGPQ","GSON4212820505")</f>
        <v>#NAME?</v>
      </c>
      <c r="K3100" s="23" t="e">
        <f ca="1">[1]!BexGetData("DP_1","003N8EMH8GTFRIVNUPY288VJH","GSON4212820505")</f>
        <v>#NAME?</v>
      </c>
      <c r="L3100" s="23" t="e">
        <f ca="1">[1]!BexGetData("DP_1","003N8EMH8GTFRIVNUPY2891V1","GSON4212820505")</f>
        <v>#NAME?</v>
      </c>
      <c r="M3100" s="23" t="e">
        <f ca="1">[1]!BexGetData("DP_1","003N8EMH8GTFRIVOG7KG9IQXA","GSON4212820505")</f>
        <v>#NAME?</v>
      </c>
      <c r="N3100" s="28" t="e">
        <f ca="1">[1]!BexGetData("DP_1","003N8EMH8GTFRIVOG7KG9IX8U","GSON4212820505")</f>
        <v>#NAME?</v>
      </c>
      <c r="O3100" s="23" t="e">
        <f ca="1">[1]!BexGetData("DP_1","003N8EMH8GTFRIVOG7KG9J3KE","GSON4212820505")</f>
        <v>#NAME?</v>
      </c>
      <c r="P3100" s="28" t="e">
        <f ca="1">[1]!BexGetData("DP_1","003N8EMH8GTFRIVOG7KG9J9VY","GSON4212820505")</f>
        <v>#NAME?</v>
      </c>
      <c r="Q3100" s="24" t="e">
        <f ca="1">[1]!BexGetData("DP_1","00O2TNJGODT0G5Z4TTKYMM5MT","GSON4212820505")</f>
        <v>#NAME?</v>
      </c>
      <c r="R3100" s="24" t="e">
        <f ca="1">[1]!BexGetData("DP_1","00O2TNJGODT0G5Z4TTKYMMBYD","GSON4212820505")</f>
        <v>#NAME?</v>
      </c>
      <c r="S3100" s="24" t="e">
        <f ca="1">[1]!BexGetData("DP_1","00O2TNJGODT0G5Z4TTKYMMI9X","GSON4212820505")</f>
        <v>#NAME?</v>
      </c>
      <c r="T3100" s="24" t="e">
        <f ca="1">[1]!BexGetData("DP_1","00O2TNJGODT0G5Z4TTKYMMOLH","GSON4212820505")</f>
        <v>#NAME?</v>
      </c>
      <c r="U3100" s="24" t="e">
        <f ca="1">[1]!BexGetData("DP_1","00O2TNJGODT0G5Z4TTKYMMUX1","GSON4212820505")</f>
        <v>#NAME?</v>
      </c>
      <c r="V3100" s="24" t="e">
        <f ca="1">[1]!BexGetData("DP_1","00O2TNJGODT0G5Z4TTKYMN18L","GSON4212820505")</f>
        <v>#NAME?</v>
      </c>
      <c r="W3100" s="24" t="e">
        <f ca="1">[1]!BexGetData("DP_1","00O2TNJGODT0G5Z4TTKYMN7K5","GSON4212820505")</f>
        <v>#NAME?</v>
      </c>
    </row>
    <row r="3101" spans="1:23" x14ac:dyDescent="0.2">
      <c r="A3101" s="36" t="s">
        <v>6440</v>
      </c>
      <c r="B3101" s="27" t="s">
        <v>6441</v>
      </c>
      <c r="C3101" s="23" t="e">
        <f ca="1">[1]!BexGetData("DP_1","003N8EMH8GTFRCSWKMPXRR8GU","GSON4212820506")</f>
        <v>#NAME?</v>
      </c>
      <c r="D3101" s="23" t="e">
        <f ca="1">[1]!BexGetData("DP_1","003N8EMH8GTFRCSWKMPXRRESE","GSON4212820506")</f>
        <v>#NAME?</v>
      </c>
      <c r="E3101" s="23" t="e">
        <f ca="1">[1]!BexGetData("DP_1","003N8EMH8GTFRCSWKMPXRRL3Y","GSON4212820506")</f>
        <v>#NAME?</v>
      </c>
      <c r="F3101" s="24" t="e">
        <f ca="1">[1]!BexGetData("DP_1","003N8EMH8GTFRCSWKMPXRRRFI","GSON4212820506")</f>
        <v>#NAME?</v>
      </c>
      <c r="G3101" s="24" t="e">
        <f ca="1">[1]!BexGetData("DP_1","003N8EMH8GTFRCSWKMPXRRXR2","GSON4212820506")</f>
        <v>#NAME?</v>
      </c>
      <c r="H3101" s="24" t="e">
        <f ca="1">[1]!BexGetData("DP_1","003N8EMH8GTFRCSWKMPXRS42M","GSON4212820506")</f>
        <v>#NAME?</v>
      </c>
      <c r="I3101" s="24" t="e">
        <f ca="1">[1]!BexGetData("DP_1","003N8EMH8GTFRCSWKMPXRSAE6","GSON4212820506")</f>
        <v>#NAME?</v>
      </c>
      <c r="J3101" s="24" t="e">
        <f ca="1">[1]!BexGetData("DP_1","003N8EMH8GTFRCSWKMPXRSGPQ","GSON4212820506")</f>
        <v>#NAME?</v>
      </c>
      <c r="K3101" s="23" t="e">
        <f ca="1">[1]!BexGetData("DP_1","003N8EMH8GTFRIVNUPY288VJH","GSON4212820506")</f>
        <v>#NAME?</v>
      </c>
      <c r="L3101" s="23" t="e">
        <f ca="1">[1]!BexGetData("DP_1","003N8EMH8GTFRIVNUPY2891V1","GSON4212820506")</f>
        <v>#NAME?</v>
      </c>
      <c r="M3101" s="23" t="e">
        <f ca="1">[1]!BexGetData("DP_1","003N8EMH8GTFRIVOG7KG9IQXA","GSON4212820506")</f>
        <v>#NAME?</v>
      </c>
      <c r="N3101" s="28" t="e">
        <f ca="1">[1]!BexGetData("DP_1","003N8EMH8GTFRIVOG7KG9IX8U","GSON4212820506")</f>
        <v>#NAME?</v>
      </c>
      <c r="O3101" s="23" t="e">
        <f ca="1">[1]!BexGetData("DP_1","003N8EMH8GTFRIVOG7KG9J3KE","GSON4212820506")</f>
        <v>#NAME?</v>
      </c>
      <c r="P3101" s="28" t="e">
        <f ca="1">[1]!BexGetData("DP_1","003N8EMH8GTFRIVOG7KG9J9VY","GSON4212820506")</f>
        <v>#NAME?</v>
      </c>
      <c r="Q3101" s="24" t="e">
        <f ca="1">[1]!BexGetData("DP_1","00O2TNJGODT0G5Z4TTKYMM5MT","GSON4212820506")</f>
        <v>#NAME?</v>
      </c>
      <c r="R3101" s="24" t="e">
        <f ca="1">[1]!BexGetData("DP_1","00O2TNJGODT0G5Z4TTKYMMBYD","GSON4212820506")</f>
        <v>#NAME?</v>
      </c>
      <c r="S3101" s="24" t="e">
        <f ca="1">[1]!BexGetData("DP_1","00O2TNJGODT0G5Z4TTKYMMI9X","GSON4212820506")</f>
        <v>#NAME?</v>
      </c>
      <c r="T3101" s="24" t="e">
        <f ca="1">[1]!BexGetData("DP_1","00O2TNJGODT0G5Z4TTKYMMOLH","GSON4212820506")</f>
        <v>#NAME?</v>
      </c>
      <c r="U3101" s="24" t="e">
        <f ca="1">[1]!BexGetData("DP_1","00O2TNJGODT0G5Z4TTKYMMUX1","GSON4212820506")</f>
        <v>#NAME?</v>
      </c>
      <c r="V3101" s="24" t="e">
        <f ca="1">[1]!BexGetData("DP_1","00O2TNJGODT0G5Z4TTKYMN18L","GSON4212820506")</f>
        <v>#NAME?</v>
      </c>
      <c r="W3101" s="24" t="e">
        <f ca="1">[1]!BexGetData("DP_1","00O2TNJGODT0G5Z4TTKYMN7K5","GSON4212820506")</f>
        <v>#NAME?</v>
      </c>
    </row>
    <row r="3102" spans="1:23" x14ac:dyDescent="0.2">
      <c r="A3102" s="36" t="s">
        <v>6442</v>
      </c>
      <c r="B3102" s="27" t="s">
        <v>6443</v>
      </c>
      <c r="C3102" s="23" t="e">
        <f ca="1">[1]!BexGetData("DP_1","003N8EMH8GTFRCSWKMPXRR8GU","GSON4212820507")</f>
        <v>#NAME?</v>
      </c>
      <c r="D3102" s="23" t="e">
        <f ca="1">[1]!BexGetData("DP_1","003N8EMH8GTFRCSWKMPXRRESE","GSON4212820507")</f>
        <v>#NAME?</v>
      </c>
      <c r="E3102" s="23" t="e">
        <f ca="1">[1]!BexGetData("DP_1","003N8EMH8GTFRCSWKMPXRRL3Y","GSON4212820507")</f>
        <v>#NAME?</v>
      </c>
      <c r="F3102" s="24" t="e">
        <f ca="1">[1]!BexGetData("DP_1","003N8EMH8GTFRCSWKMPXRRRFI","GSON4212820507")</f>
        <v>#NAME?</v>
      </c>
      <c r="G3102" s="24" t="e">
        <f ca="1">[1]!BexGetData("DP_1","003N8EMH8GTFRCSWKMPXRRXR2","GSON4212820507")</f>
        <v>#NAME?</v>
      </c>
      <c r="H3102" s="24" t="e">
        <f ca="1">[1]!BexGetData("DP_1","003N8EMH8GTFRCSWKMPXRS42M","GSON4212820507")</f>
        <v>#NAME?</v>
      </c>
      <c r="I3102" s="24" t="e">
        <f ca="1">[1]!BexGetData("DP_1","003N8EMH8GTFRCSWKMPXRSAE6","GSON4212820507")</f>
        <v>#NAME?</v>
      </c>
      <c r="J3102" s="24" t="e">
        <f ca="1">[1]!BexGetData("DP_1","003N8EMH8GTFRCSWKMPXRSGPQ","GSON4212820507")</f>
        <v>#NAME?</v>
      </c>
      <c r="K3102" s="23" t="e">
        <f ca="1">[1]!BexGetData("DP_1","003N8EMH8GTFRIVNUPY288VJH","GSON4212820507")</f>
        <v>#NAME?</v>
      </c>
      <c r="L3102" s="23" t="e">
        <f ca="1">[1]!BexGetData("DP_1","003N8EMH8GTFRIVNUPY2891V1","GSON4212820507")</f>
        <v>#NAME?</v>
      </c>
      <c r="M3102" s="23" t="e">
        <f ca="1">[1]!BexGetData("DP_1","003N8EMH8GTFRIVOG7KG9IQXA","GSON4212820507")</f>
        <v>#NAME?</v>
      </c>
      <c r="N3102" s="28" t="e">
        <f ca="1">[1]!BexGetData("DP_1","003N8EMH8GTFRIVOG7KG9IX8U","GSON4212820507")</f>
        <v>#NAME?</v>
      </c>
      <c r="O3102" s="23" t="e">
        <f ca="1">[1]!BexGetData("DP_1","003N8EMH8GTFRIVOG7KG9J3KE","GSON4212820507")</f>
        <v>#NAME?</v>
      </c>
      <c r="P3102" s="28" t="e">
        <f ca="1">[1]!BexGetData("DP_1","003N8EMH8GTFRIVOG7KG9J9VY","GSON4212820507")</f>
        <v>#NAME?</v>
      </c>
      <c r="Q3102" s="24" t="e">
        <f ca="1">[1]!BexGetData("DP_1","00O2TNJGODT0G5Z4TTKYMM5MT","GSON4212820507")</f>
        <v>#NAME?</v>
      </c>
      <c r="R3102" s="24" t="e">
        <f ca="1">[1]!BexGetData("DP_1","00O2TNJGODT0G5Z4TTKYMMBYD","GSON4212820507")</f>
        <v>#NAME?</v>
      </c>
      <c r="S3102" s="24" t="e">
        <f ca="1">[1]!BexGetData("DP_1","00O2TNJGODT0G5Z4TTKYMMI9X","GSON4212820507")</f>
        <v>#NAME?</v>
      </c>
      <c r="T3102" s="24" t="e">
        <f ca="1">[1]!BexGetData("DP_1","00O2TNJGODT0G5Z4TTKYMMOLH","GSON4212820507")</f>
        <v>#NAME?</v>
      </c>
      <c r="U3102" s="24" t="e">
        <f ca="1">[1]!BexGetData("DP_1","00O2TNJGODT0G5Z4TTKYMMUX1","GSON4212820507")</f>
        <v>#NAME?</v>
      </c>
      <c r="V3102" s="24" t="e">
        <f ca="1">[1]!BexGetData("DP_1","00O2TNJGODT0G5Z4TTKYMN18L","GSON4212820507")</f>
        <v>#NAME?</v>
      </c>
      <c r="W3102" s="24" t="e">
        <f ca="1">[1]!BexGetData("DP_1","00O2TNJGODT0G5Z4TTKYMN7K5","GSON4212820507")</f>
        <v>#NAME?</v>
      </c>
    </row>
    <row r="3103" spans="1:23" x14ac:dyDescent="0.2">
      <c r="A3103" s="36" t="s">
        <v>6444</v>
      </c>
      <c r="B3103" s="27" t="s">
        <v>6445</v>
      </c>
      <c r="C3103" s="23" t="e">
        <f ca="1">[1]!BexGetData("DP_1","003N8EMH8GTFRCSWKMPXRR8GU","GSON4212820601")</f>
        <v>#NAME?</v>
      </c>
      <c r="D3103" s="23" t="e">
        <f ca="1">[1]!BexGetData("DP_1","003N8EMH8GTFRCSWKMPXRRESE","GSON4212820601")</f>
        <v>#NAME?</v>
      </c>
      <c r="E3103" s="23" t="e">
        <f ca="1">[1]!BexGetData("DP_1","003N8EMH8GTFRCSWKMPXRRL3Y","GSON4212820601")</f>
        <v>#NAME?</v>
      </c>
      <c r="F3103" s="23" t="e">
        <f ca="1">[1]!BexGetData("DP_1","003N8EMH8GTFRCSWKMPXRRRFI","GSON4212820601")</f>
        <v>#NAME?</v>
      </c>
      <c r="G3103" s="23" t="e">
        <f ca="1">[1]!BexGetData("DP_1","003N8EMH8GTFRCSWKMPXRRXR2","GSON4212820601")</f>
        <v>#NAME?</v>
      </c>
      <c r="H3103" s="23" t="e">
        <f ca="1">[1]!BexGetData("DP_1","003N8EMH8GTFRCSWKMPXRS42M","GSON4212820601")</f>
        <v>#NAME?</v>
      </c>
      <c r="I3103" s="23" t="e">
        <f ca="1">[1]!BexGetData("DP_1","003N8EMH8GTFRCSWKMPXRSAE6","GSON4212820601")</f>
        <v>#NAME?</v>
      </c>
      <c r="J3103" s="24" t="e">
        <f ca="1">[1]!BexGetData("DP_1","003N8EMH8GTFRCSWKMPXRSGPQ","GSON4212820601")</f>
        <v>#NAME?</v>
      </c>
      <c r="K3103" s="23" t="e">
        <f ca="1">[1]!BexGetData("DP_1","003N8EMH8GTFRIVNUPY288VJH","GSON4212820601")</f>
        <v>#NAME?</v>
      </c>
      <c r="L3103" s="23" t="e">
        <f ca="1">[1]!BexGetData("DP_1","003N8EMH8GTFRIVNUPY2891V1","GSON4212820601")</f>
        <v>#NAME?</v>
      </c>
      <c r="M3103" s="28" t="e">
        <f ca="1">[1]!BexGetData("DP_1","003N8EMH8GTFRIVOG7KG9IQXA","GSON4212820601")</f>
        <v>#NAME?</v>
      </c>
      <c r="N3103" s="23" t="e">
        <f ca="1">[1]!BexGetData("DP_1","003N8EMH8GTFRIVOG7KG9IX8U","GSON4212820601")</f>
        <v>#NAME?</v>
      </c>
      <c r="O3103" s="28" t="e">
        <f ca="1">[1]!BexGetData("DP_1","003N8EMH8GTFRIVOG7KG9J3KE","GSON4212820601")</f>
        <v>#NAME?</v>
      </c>
      <c r="P3103" s="23" t="e">
        <f ca="1">[1]!BexGetData("DP_1","003N8EMH8GTFRIVOG7KG9J9VY","GSON4212820601")</f>
        <v>#NAME?</v>
      </c>
      <c r="Q3103" s="24" t="e">
        <f ca="1">[1]!BexGetData("DP_1","00O2TNJGODT0G5Z4TTKYMM5MT","GSON4212820601")</f>
        <v>#NAME?</v>
      </c>
      <c r="R3103" s="23" t="e">
        <f ca="1">[1]!BexGetData("DP_1","00O2TNJGODT0G5Z4TTKYMMBYD","GSON4212820601")</f>
        <v>#NAME?</v>
      </c>
      <c r="S3103" s="23" t="e">
        <f ca="1">[1]!BexGetData("DP_1","00O2TNJGODT0G5Z4TTKYMMI9X","GSON4212820601")</f>
        <v>#NAME?</v>
      </c>
      <c r="T3103" s="23" t="e">
        <f ca="1">[1]!BexGetData("DP_1","00O2TNJGODT0G5Z4TTKYMMOLH","GSON4212820601")</f>
        <v>#NAME?</v>
      </c>
      <c r="U3103" s="28" t="e">
        <f ca="1">[1]!BexGetData("DP_1","00O2TNJGODT0G5Z4TTKYMMUX1","GSON4212820601")</f>
        <v>#NAME?</v>
      </c>
      <c r="V3103" s="23" t="e">
        <f ca="1">[1]!BexGetData("DP_1","00O2TNJGODT0G5Z4TTKYMN18L","GSON4212820601")</f>
        <v>#NAME?</v>
      </c>
      <c r="W3103" s="28" t="e">
        <f ca="1">[1]!BexGetData("DP_1","00O2TNJGODT0G5Z4TTKYMN7K5","GSON4212820601")</f>
        <v>#NAME?</v>
      </c>
    </row>
    <row r="3104" spans="1:23" x14ac:dyDescent="0.2">
      <c r="A3104" s="36" t="s">
        <v>6446</v>
      </c>
      <c r="B3104" s="27" t="s">
        <v>6447</v>
      </c>
      <c r="C3104" s="23" t="e">
        <f ca="1">[1]!BexGetData("DP_1","003N8EMH8GTFRCSWKMPXRR8GU","GSON4212820701")</f>
        <v>#NAME?</v>
      </c>
      <c r="D3104" s="23" t="e">
        <f ca="1">[1]!BexGetData("DP_1","003N8EMH8GTFRCSWKMPXRRESE","GSON4212820701")</f>
        <v>#NAME?</v>
      </c>
      <c r="E3104" s="23" t="e">
        <f ca="1">[1]!BexGetData("DP_1","003N8EMH8GTFRCSWKMPXRRL3Y","GSON4212820701")</f>
        <v>#NAME?</v>
      </c>
      <c r="F3104" s="23" t="e">
        <f ca="1">[1]!BexGetData("DP_1","003N8EMH8GTFRCSWKMPXRRRFI","GSON4212820701")</f>
        <v>#NAME?</v>
      </c>
      <c r="G3104" s="23" t="e">
        <f ca="1">[1]!BexGetData("DP_1","003N8EMH8GTFRCSWKMPXRRXR2","GSON4212820701")</f>
        <v>#NAME?</v>
      </c>
      <c r="H3104" s="23" t="e">
        <f ca="1">[1]!BexGetData("DP_1","003N8EMH8GTFRCSWKMPXRS42M","GSON4212820701")</f>
        <v>#NAME?</v>
      </c>
      <c r="I3104" s="23" t="e">
        <f ca="1">[1]!BexGetData("DP_1","003N8EMH8GTFRCSWKMPXRSAE6","GSON4212820701")</f>
        <v>#NAME?</v>
      </c>
      <c r="J3104" s="24" t="e">
        <f ca="1">[1]!BexGetData("DP_1","003N8EMH8GTFRCSWKMPXRSGPQ","GSON4212820701")</f>
        <v>#NAME?</v>
      </c>
      <c r="K3104" s="23" t="e">
        <f ca="1">[1]!BexGetData("DP_1","003N8EMH8GTFRIVNUPY288VJH","GSON4212820701")</f>
        <v>#NAME?</v>
      </c>
      <c r="L3104" s="23" t="e">
        <f ca="1">[1]!BexGetData("DP_1","003N8EMH8GTFRIVNUPY2891V1","GSON4212820701")</f>
        <v>#NAME?</v>
      </c>
      <c r="M3104" s="23" t="e">
        <f ca="1">[1]!BexGetData("DP_1","003N8EMH8GTFRIVOG7KG9IQXA","GSON4212820701")</f>
        <v>#NAME?</v>
      </c>
      <c r="N3104" s="28" t="e">
        <f ca="1">[1]!BexGetData("DP_1","003N8EMH8GTFRIVOG7KG9IX8U","GSON4212820701")</f>
        <v>#NAME?</v>
      </c>
      <c r="O3104" s="23" t="e">
        <f ca="1">[1]!BexGetData("DP_1","003N8EMH8GTFRIVOG7KG9J3KE","GSON4212820701")</f>
        <v>#NAME?</v>
      </c>
      <c r="P3104" s="28" t="e">
        <f ca="1">[1]!BexGetData("DP_1","003N8EMH8GTFRIVOG7KG9J9VY","GSON4212820701")</f>
        <v>#NAME?</v>
      </c>
      <c r="Q3104" s="24" t="e">
        <f ca="1">[1]!BexGetData("DP_1","00O2TNJGODT0G5Z4TTKYMM5MT","GSON4212820701")</f>
        <v>#NAME?</v>
      </c>
      <c r="R3104" s="23" t="e">
        <f ca="1">[1]!BexGetData("DP_1","00O2TNJGODT0G5Z4TTKYMMBYD","GSON4212820701")</f>
        <v>#NAME?</v>
      </c>
      <c r="S3104" s="23" t="e">
        <f ca="1">[1]!BexGetData("DP_1","00O2TNJGODT0G5Z4TTKYMMI9X","GSON4212820701")</f>
        <v>#NAME?</v>
      </c>
      <c r="T3104" s="23" t="e">
        <f ca="1">[1]!BexGetData("DP_1","00O2TNJGODT0G5Z4TTKYMMOLH","GSON4212820701")</f>
        <v>#NAME?</v>
      </c>
      <c r="U3104" s="28" t="e">
        <f ca="1">[1]!BexGetData("DP_1","00O2TNJGODT0G5Z4TTKYMMUX1","GSON4212820701")</f>
        <v>#NAME?</v>
      </c>
      <c r="V3104" s="23" t="e">
        <f ca="1">[1]!BexGetData("DP_1","00O2TNJGODT0G5Z4TTKYMN18L","GSON4212820701")</f>
        <v>#NAME?</v>
      </c>
      <c r="W3104" s="28" t="e">
        <f ca="1">[1]!BexGetData("DP_1","00O2TNJGODT0G5Z4TTKYMN7K5","GSON4212820701")</f>
        <v>#NAME?</v>
      </c>
    </row>
    <row r="3105" spans="1:23" x14ac:dyDescent="0.2">
      <c r="A3105" s="36" t="s">
        <v>6448</v>
      </c>
      <c r="B3105" s="27" t="s">
        <v>6449</v>
      </c>
      <c r="C3105" s="28" t="e">
        <f ca="1">[1]!BexGetData("DP_1","003N8EMH8GTFRCSWKMPXRR8GU","GSON4212820702")</f>
        <v>#NAME?</v>
      </c>
      <c r="D3105" s="23" t="e">
        <f ca="1">[1]!BexGetData("DP_1","003N8EMH8GTFRCSWKMPXRRESE","GSON4212820702")</f>
        <v>#NAME?</v>
      </c>
      <c r="E3105" s="23" t="e">
        <f ca="1">[1]!BexGetData("DP_1","003N8EMH8GTFRCSWKMPXRRL3Y","GSON4212820702")</f>
        <v>#NAME?</v>
      </c>
      <c r="F3105" s="23" t="e">
        <f ca="1">[1]!BexGetData("DP_1","003N8EMH8GTFRCSWKMPXRRRFI","GSON4212820702")</f>
        <v>#NAME?</v>
      </c>
      <c r="G3105" s="23" t="e">
        <f ca="1">[1]!BexGetData("DP_1","003N8EMH8GTFRCSWKMPXRRXR2","GSON4212820702")</f>
        <v>#NAME?</v>
      </c>
      <c r="H3105" s="23" t="e">
        <f ca="1">[1]!BexGetData("DP_1","003N8EMH8GTFRCSWKMPXRS42M","GSON4212820702")</f>
        <v>#NAME?</v>
      </c>
      <c r="I3105" s="23" t="e">
        <f ca="1">[1]!BexGetData("DP_1","003N8EMH8GTFRCSWKMPXRSAE6","GSON4212820702")</f>
        <v>#NAME?</v>
      </c>
      <c r="J3105" s="24" t="e">
        <f ca="1">[1]!BexGetData("DP_1","003N8EMH8GTFRCSWKMPXRSGPQ","GSON4212820702")</f>
        <v>#NAME?</v>
      </c>
      <c r="K3105" s="23" t="e">
        <f ca="1">[1]!BexGetData("DP_1","003N8EMH8GTFRIVNUPY288VJH","GSON4212820702")</f>
        <v>#NAME?</v>
      </c>
      <c r="L3105" s="23" t="e">
        <f ca="1">[1]!BexGetData("DP_1","003N8EMH8GTFRIVNUPY2891V1","GSON4212820702")</f>
        <v>#NAME?</v>
      </c>
      <c r="M3105" s="23" t="e">
        <f ca="1">[1]!BexGetData("DP_1","003N8EMH8GTFRIVOG7KG9IQXA","GSON4212820702")</f>
        <v>#NAME?</v>
      </c>
      <c r="N3105" s="28" t="e">
        <f ca="1">[1]!BexGetData("DP_1","003N8EMH8GTFRIVOG7KG9IX8U","GSON4212820702")</f>
        <v>#NAME?</v>
      </c>
      <c r="O3105" s="23" t="e">
        <f ca="1">[1]!BexGetData("DP_1","003N8EMH8GTFRIVOG7KG9J3KE","GSON4212820702")</f>
        <v>#NAME?</v>
      </c>
      <c r="P3105" s="28" t="e">
        <f ca="1">[1]!BexGetData("DP_1","003N8EMH8GTFRIVOG7KG9J9VY","GSON4212820702")</f>
        <v>#NAME?</v>
      </c>
      <c r="Q3105" s="24" t="e">
        <f ca="1">[1]!BexGetData("DP_1","00O2TNJGODT0G5Z4TTKYMM5MT","GSON4212820702")</f>
        <v>#NAME?</v>
      </c>
      <c r="R3105" s="23" t="e">
        <f ca="1">[1]!BexGetData("DP_1","00O2TNJGODT0G5Z4TTKYMMBYD","GSON4212820702")</f>
        <v>#NAME?</v>
      </c>
      <c r="S3105" s="23" t="e">
        <f ca="1">[1]!BexGetData("DP_1","00O2TNJGODT0G5Z4TTKYMMI9X","GSON4212820702")</f>
        <v>#NAME?</v>
      </c>
      <c r="T3105" s="23" t="e">
        <f ca="1">[1]!BexGetData("DP_1","00O2TNJGODT0G5Z4TTKYMMOLH","GSON4212820702")</f>
        <v>#NAME?</v>
      </c>
      <c r="U3105" s="28" t="e">
        <f ca="1">[1]!BexGetData("DP_1","00O2TNJGODT0G5Z4TTKYMMUX1","GSON4212820702")</f>
        <v>#NAME?</v>
      </c>
      <c r="V3105" s="23" t="e">
        <f ca="1">[1]!BexGetData("DP_1","00O2TNJGODT0G5Z4TTKYMN18L","GSON4212820702")</f>
        <v>#NAME?</v>
      </c>
      <c r="W3105" s="28" t="e">
        <f ca="1">[1]!BexGetData("DP_1","00O2TNJGODT0G5Z4TTKYMN7K5","GSON4212820702")</f>
        <v>#NAME?</v>
      </c>
    </row>
    <row r="3106" spans="1:23" x14ac:dyDescent="0.2">
      <c r="A3106" s="36" t="s">
        <v>6450</v>
      </c>
      <c r="B3106" s="27" t="s">
        <v>6451</v>
      </c>
      <c r="C3106" s="23" t="e">
        <f ca="1">[1]!BexGetData("DP_1","003N8EMH8GTFRCSWKMPXRR8GU","GSON4212820801")</f>
        <v>#NAME?</v>
      </c>
      <c r="D3106" s="23" t="e">
        <f ca="1">[1]!BexGetData("DP_1","003N8EMH8GTFRCSWKMPXRRESE","GSON4212820801")</f>
        <v>#NAME?</v>
      </c>
      <c r="E3106" s="23" t="e">
        <f ca="1">[1]!BexGetData("DP_1","003N8EMH8GTFRCSWKMPXRRL3Y","GSON4212820801")</f>
        <v>#NAME?</v>
      </c>
      <c r="F3106" s="23" t="e">
        <f ca="1">[1]!BexGetData("DP_1","003N8EMH8GTFRCSWKMPXRRRFI","GSON4212820801")</f>
        <v>#NAME?</v>
      </c>
      <c r="G3106" s="23" t="e">
        <f ca="1">[1]!BexGetData("DP_1","003N8EMH8GTFRCSWKMPXRRXR2","GSON4212820801")</f>
        <v>#NAME?</v>
      </c>
      <c r="H3106" s="23" t="e">
        <f ca="1">[1]!BexGetData("DP_1","003N8EMH8GTFRCSWKMPXRS42M","GSON4212820801")</f>
        <v>#NAME?</v>
      </c>
      <c r="I3106" s="23" t="e">
        <f ca="1">[1]!BexGetData("DP_1","003N8EMH8GTFRCSWKMPXRSAE6","GSON4212820801")</f>
        <v>#NAME?</v>
      </c>
      <c r="J3106" s="24" t="e">
        <f ca="1">[1]!BexGetData("DP_1","003N8EMH8GTFRCSWKMPXRSGPQ","GSON4212820801")</f>
        <v>#NAME?</v>
      </c>
      <c r="K3106" s="23" t="e">
        <f ca="1">[1]!BexGetData("DP_1","003N8EMH8GTFRIVNUPY288VJH","GSON4212820801")</f>
        <v>#NAME?</v>
      </c>
      <c r="L3106" s="23" t="e">
        <f ca="1">[1]!BexGetData("DP_1","003N8EMH8GTFRIVNUPY2891V1","GSON4212820801")</f>
        <v>#NAME?</v>
      </c>
      <c r="M3106" s="23" t="e">
        <f ca="1">[1]!BexGetData("DP_1","003N8EMH8GTFRIVOG7KG9IQXA","GSON4212820801")</f>
        <v>#NAME?</v>
      </c>
      <c r="N3106" s="28" t="e">
        <f ca="1">[1]!BexGetData("DP_1","003N8EMH8GTFRIVOG7KG9IX8U","GSON4212820801")</f>
        <v>#NAME?</v>
      </c>
      <c r="O3106" s="23" t="e">
        <f ca="1">[1]!BexGetData("DP_1","003N8EMH8GTFRIVOG7KG9J3KE","GSON4212820801")</f>
        <v>#NAME?</v>
      </c>
      <c r="P3106" s="28" t="e">
        <f ca="1">[1]!BexGetData("DP_1","003N8EMH8GTFRIVOG7KG9J9VY","GSON4212820801")</f>
        <v>#NAME?</v>
      </c>
      <c r="Q3106" s="24" t="e">
        <f ca="1">[1]!BexGetData("DP_1","00O2TNJGODT0G5Z4TTKYMM5MT","GSON4212820801")</f>
        <v>#NAME?</v>
      </c>
      <c r="R3106" s="23" t="e">
        <f ca="1">[1]!BexGetData("DP_1","00O2TNJGODT0G5Z4TTKYMMBYD","GSON4212820801")</f>
        <v>#NAME?</v>
      </c>
      <c r="S3106" s="23" t="e">
        <f ca="1">[1]!BexGetData("DP_1","00O2TNJGODT0G5Z4TTKYMMI9X","GSON4212820801")</f>
        <v>#NAME?</v>
      </c>
      <c r="T3106" s="23" t="e">
        <f ca="1">[1]!BexGetData("DP_1","00O2TNJGODT0G5Z4TTKYMMOLH","GSON4212820801")</f>
        <v>#NAME?</v>
      </c>
      <c r="U3106" s="28" t="e">
        <f ca="1">[1]!BexGetData("DP_1","00O2TNJGODT0G5Z4TTKYMMUX1","GSON4212820801")</f>
        <v>#NAME?</v>
      </c>
      <c r="V3106" s="23" t="e">
        <f ca="1">[1]!BexGetData("DP_1","00O2TNJGODT0G5Z4TTKYMN18L","GSON4212820801")</f>
        <v>#NAME?</v>
      </c>
      <c r="W3106" s="28" t="e">
        <f ca="1">[1]!BexGetData("DP_1","00O2TNJGODT0G5Z4TTKYMN7K5","GSON4212820801")</f>
        <v>#NAME?</v>
      </c>
    </row>
    <row r="3107" spans="1:23" x14ac:dyDescent="0.2">
      <c r="A3107" s="35" t="s">
        <v>715</v>
      </c>
      <c r="B3107" s="27" t="s">
        <v>716</v>
      </c>
      <c r="C3107" s="23" t="e">
        <f ca="1">[1]!BexGetData("DP_1","003N8EMH8GTFRCSWKMPXRR8GU","GSON4213")</f>
        <v>#NAME?</v>
      </c>
      <c r="D3107" s="23" t="e">
        <f ca="1">[1]!BexGetData("DP_1","003N8EMH8GTFRCSWKMPXRRESE","GSON4213")</f>
        <v>#NAME?</v>
      </c>
      <c r="E3107" s="23" t="e">
        <f ca="1">[1]!BexGetData("DP_1","003N8EMH8GTFRCSWKMPXRRL3Y","GSON4213")</f>
        <v>#NAME?</v>
      </c>
      <c r="F3107" s="23" t="e">
        <f ca="1">[1]!BexGetData("DP_1","003N8EMH8GTFRCSWKMPXRRRFI","GSON4213")</f>
        <v>#NAME?</v>
      </c>
      <c r="G3107" s="23" t="e">
        <f ca="1">[1]!BexGetData("DP_1","003N8EMH8GTFRCSWKMPXRRXR2","GSON4213")</f>
        <v>#NAME?</v>
      </c>
      <c r="H3107" s="23" t="e">
        <f ca="1">[1]!BexGetData("DP_1","003N8EMH8GTFRCSWKMPXRS42M","GSON4213")</f>
        <v>#NAME?</v>
      </c>
      <c r="I3107" s="23" t="e">
        <f ca="1">[1]!BexGetData("DP_1","003N8EMH8GTFRCSWKMPXRSAE6","GSON4213")</f>
        <v>#NAME?</v>
      </c>
      <c r="J3107" s="24" t="e">
        <f ca="1">[1]!BexGetData("DP_1","003N8EMH8GTFRCSWKMPXRSGPQ","GSON4213")</f>
        <v>#NAME?</v>
      </c>
      <c r="K3107" s="23" t="e">
        <f ca="1">[1]!BexGetData("DP_1","003N8EMH8GTFRIVNUPY288VJH","GSON4213")</f>
        <v>#NAME?</v>
      </c>
      <c r="L3107" s="23" t="e">
        <f ca="1">[1]!BexGetData("DP_1","003N8EMH8GTFRIVNUPY2891V1","GSON4213")</f>
        <v>#NAME?</v>
      </c>
      <c r="M3107" s="23" t="e">
        <f ca="1">[1]!BexGetData("DP_1","003N8EMH8GTFRIVOG7KG9IQXA","GSON4213")</f>
        <v>#NAME?</v>
      </c>
      <c r="N3107" s="28" t="e">
        <f ca="1">[1]!BexGetData("DP_1","003N8EMH8GTFRIVOG7KG9IX8U","GSON4213")</f>
        <v>#NAME?</v>
      </c>
      <c r="O3107" s="23" t="e">
        <f ca="1">[1]!BexGetData("DP_1","003N8EMH8GTFRIVOG7KG9J3KE","GSON4213")</f>
        <v>#NAME?</v>
      </c>
      <c r="P3107" s="28" t="e">
        <f ca="1">[1]!BexGetData("DP_1","003N8EMH8GTFRIVOG7KG9J9VY","GSON4213")</f>
        <v>#NAME?</v>
      </c>
      <c r="Q3107" s="24" t="e">
        <f ca="1">[1]!BexGetData("DP_1","00O2TNJGODT0G5Z4TTKYMM5MT","GSON4213")</f>
        <v>#NAME?</v>
      </c>
      <c r="R3107" s="23" t="e">
        <f ca="1">[1]!BexGetData("DP_1","00O2TNJGODT0G5Z4TTKYMMBYD","GSON4213")</f>
        <v>#NAME?</v>
      </c>
      <c r="S3107" s="23" t="e">
        <f ca="1">[1]!BexGetData("DP_1","00O2TNJGODT0G5Z4TTKYMMI9X","GSON4213")</f>
        <v>#NAME?</v>
      </c>
      <c r="T3107" s="23" t="e">
        <f ca="1">[1]!BexGetData("DP_1","00O2TNJGODT0G5Z4TTKYMMOLH","GSON4213")</f>
        <v>#NAME?</v>
      </c>
      <c r="U3107" s="28" t="e">
        <f ca="1">[1]!BexGetData("DP_1","00O2TNJGODT0G5Z4TTKYMMUX1","GSON4213")</f>
        <v>#NAME?</v>
      </c>
      <c r="V3107" s="23" t="e">
        <f ca="1">[1]!BexGetData("DP_1","00O2TNJGODT0G5Z4TTKYMN18L","GSON4213")</f>
        <v>#NAME?</v>
      </c>
      <c r="W3107" s="28" t="e">
        <f ca="1">[1]!BexGetData("DP_1","00O2TNJGODT0G5Z4TTKYMN7K5","GSON4213")</f>
        <v>#NAME?</v>
      </c>
    </row>
    <row r="3108" spans="1:23" x14ac:dyDescent="0.2">
      <c r="A3108" s="36" t="s">
        <v>6452</v>
      </c>
      <c r="B3108" s="27" t="s">
        <v>717</v>
      </c>
      <c r="C3108" s="23" t="e">
        <f ca="1">[1]!BexGetData("DP_1","003N8EMH8GTFRCSWKMPXRR8GU","GSON4213830101")</f>
        <v>#NAME?</v>
      </c>
      <c r="D3108" s="23" t="e">
        <f ca="1">[1]!BexGetData("DP_1","003N8EMH8GTFRCSWKMPXRRESE","GSON4213830101")</f>
        <v>#NAME?</v>
      </c>
      <c r="E3108" s="23" t="e">
        <f ca="1">[1]!BexGetData("DP_1","003N8EMH8GTFRCSWKMPXRRL3Y","GSON4213830101")</f>
        <v>#NAME?</v>
      </c>
      <c r="F3108" s="23" t="e">
        <f ca="1">[1]!BexGetData("DP_1","003N8EMH8GTFRCSWKMPXRRRFI","GSON4213830101")</f>
        <v>#NAME?</v>
      </c>
      <c r="G3108" s="23" t="e">
        <f ca="1">[1]!BexGetData("DP_1","003N8EMH8GTFRCSWKMPXRRXR2","GSON4213830101")</f>
        <v>#NAME?</v>
      </c>
      <c r="H3108" s="23" t="e">
        <f ca="1">[1]!BexGetData("DP_1","003N8EMH8GTFRCSWKMPXRS42M","GSON4213830101")</f>
        <v>#NAME?</v>
      </c>
      <c r="I3108" s="23" t="e">
        <f ca="1">[1]!BexGetData("DP_1","003N8EMH8GTFRCSWKMPXRSAE6","GSON4213830101")</f>
        <v>#NAME?</v>
      </c>
      <c r="J3108" s="24" t="e">
        <f ca="1">[1]!BexGetData("DP_1","003N8EMH8GTFRCSWKMPXRSGPQ","GSON4213830101")</f>
        <v>#NAME?</v>
      </c>
      <c r="K3108" s="23" t="e">
        <f ca="1">[1]!BexGetData("DP_1","003N8EMH8GTFRIVNUPY288VJH","GSON4213830101")</f>
        <v>#NAME?</v>
      </c>
      <c r="L3108" s="23" t="e">
        <f ca="1">[1]!BexGetData("DP_1","003N8EMH8GTFRIVNUPY2891V1","GSON4213830101")</f>
        <v>#NAME?</v>
      </c>
      <c r="M3108" s="23" t="e">
        <f ca="1">[1]!BexGetData("DP_1","003N8EMH8GTFRIVOG7KG9IQXA","GSON4213830101")</f>
        <v>#NAME?</v>
      </c>
      <c r="N3108" s="28" t="e">
        <f ca="1">[1]!BexGetData("DP_1","003N8EMH8GTFRIVOG7KG9IX8U","GSON4213830101")</f>
        <v>#NAME?</v>
      </c>
      <c r="O3108" s="23" t="e">
        <f ca="1">[1]!BexGetData("DP_1","003N8EMH8GTFRIVOG7KG9J3KE","GSON4213830101")</f>
        <v>#NAME?</v>
      </c>
      <c r="P3108" s="28" t="e">
        <f ca="1">[1]!BexGetData("DP_1","003N8EMH8GTFRIVOG7KG9J9VY","GSON4213830101")</f>
        <v>#NAME?</v>
      </c>
      <c r="Q3108" s="24" t="e">
        <f ca="1">[1]!BexGetData("DP_1","00O2TNJGODT0G5Z4TTKYMM5MT","GSON4213830101")</f>
        <v>#NAME?</v>
      </c>
      <c r="R3108" s="23" t="e">
        <f ca="1">[1]!BexGetData("DP_1","00O2TNJGODT0G5Z4TTKYMMBYD","GSON4213830101")</f>
        <v>#NAME?</v>
      </c>
      <c r="S3108" s="23" t="e">
        <f ca="1">[1]!BexGetData("DP_1","00O2TNJGODT0G5Z4TTKYMMI9X","GSON4213830101")</f>
        <v>#NAME?</v>
      </c>
      <c r="T3108" s="23" t="e">
        <f ca="1">[1]!BexGetData("DP_1","00O2TNJGODT0G5Z4TTKYMMOLH","GSON4213830101")</f>
        <v>#NAME?</v>
      </c>
      <c r="U3108" s="28" t="e">
        <f ca="1">[1]!BexGetData("DP_1","00O2TNJGODT0G5Z4TTKYMMUX1","GSON4213830101")</f>
        <v>#NAME?</v>
      </c>
      <c r="V3108" s="23" t="e">
        <f ca="1">[1]!BexGetData("DP_1","00O2TNJGODT0G5Z4TTKYMN18L","GSON4213830101")</f>
        <v>#NAME?</v>
      </c>
      <c r="W3108" s="28" t="e">
        <f ca="1">[1]!BexGetData("DP_1","00O2TNJGODT0G5Z4TTKYMN7K5","GSON4213830101")</f>
        <v>#NAME?</v>
      </c>
    </row>
    <row r="3109" spans="1:23" x14ac:dyDescent="0.2">
      <c r="A3109" s="34" t="s">
        <v>718</v>
      </c>
      <c r="B3109" s="27" t="s">
        <v>719</v>
      </c>
      <c r="C3109" s="23" t="e">
        <f ca="1">[1]!BexGetData("DP_1","003N8EMH8GTFRCSWKMPXRR8GU","GSON422")</f>
        <v>#NAME?</v>
      </c>
      <c r="D3109" s="23" t="e">
        <f ca="1">[1]!BexGetData("DP_1","003N8EMH8GTFRCSWKMPXRRESE","GSON422")</f>
        <v>#NAME?</v>
      </c>
      <c r="E3109" s="23" t="e">
        <f ca="1">[1]!BexGetData("DP_1","003N8EMH8GTFRCSWKMPXRRL3Y","GSON422")</f>
        <v>#NAME?</v>
      </c>
      <c r="F3109" s="23" t="e">
        <f ca="1">[1]!BexGetData("DP_1","003N8EMH8GTFRCSWKMPXRRRFI","GSON422")</f>
        <v>#NAME?</v>
      </c>
      <c r="G3109" s="23" t="e">
        <f ca="1">[1]!BexGetData("DP_1","003N8EMH8GTFRCSWKMPXRRXR2","GSON422")</f>
        <v>#NAME?</v>
      </c>
      <c r="H3109" s="23" t="e">
        <f ca="1">[1]!BexGetData("DP_1","003N8EMH8GTFRCSWKMPXRS42M","GSON422")</f>
        <v>#NAME?</v>
      </c>
      <c r="I3109" s="23" t="e">
        <f ca="1">[1]!BexGetData("DP_1","003N8EMH8GTFRCSWKMPXRSAE6","GSON422")</f>
        <v>#NAME?</v>
      </c>
      <c r="J3109" s="24" t="e">
        <f ca="1">[1]!BexGetData("DP_1","003N8EMH8GTFRCSWKMPXRSGPQ","GSON422")</f>
        <v>#NAME?</v>
      </c>
      <c r="K3109" s="23" t="e">
        <f ca="1">[1]!BexGetData("DP_1","003N8EMH8GTFRIVNUPY288VJH","GSON422")</f>
        <v>#NAME?</v>
      </c>
      <c r="L3109" s="23" t="e">
        <f ca="1">[1]!BexGetData("DP_1","003N8EMH8GTFRIVNUPY2891V1","GSON422")</f>
        <v>#NAME?</v>
      </c>
      <c r="M3109" s="28" t="e">
        <f ca="1">[1]!BexGetData("DP_1","003N8EMH8GTFRIVOG7KG9IQXA","GSON422")</f>
        <v>#NAME?</v>
      </c>
      <c r="N3109" s="23" t="e">
        <f ca="1">[1]!BexGetData("DP_1","003N8EMH8GTFRIVOG7KG9IX8U","GSON422")</f>
        <v>#NAME?</v>
      </c>
      <c r="O3109" s="28" t="e">
        <f ca="1">[1]!BexGetData("DP_1","003N8EMH8GTFRIVOG7KG9J3KE","GSON422")</f>
        <v>#NAME?</v>
      </c>
      <c r="P3109" s="23" t="e">
        <f ca="1">[1]!BexGetData("DP_1","003N8EMH8GTFRIVOG7KG9J9VY","GSON422")</f>
        <v>#NAME?</v>
      </c>
      <c r="Q3109" s="24" t="e">
        <f ca="1">[1]!BexGetData("DP_1","00O2TNJGODT0G5Z4TTKYMM5MT","GSON422")</f>
        <v>#NAME?</v>
      </c>
      <c r="R3109" s="23" t="e">
        <f ca="1">[1]!BexGetData("DP_1","00O2TNJGODT0G5Z4TTKYMMBYD","GSON422")</f>
        <v>#NAME?</v>
      </c>
      <c r="S3109" s="23" t="e">
        <f ca="1">[1]!BexGetData("DP_1","00O2TNJGODT0G5Z4TTKYMMI9X","GSON422")</f>
        <v>#NAME?</v>
      </c>
      <c r="T3109" s="23" t="e">
        <f ca="1">[1]!BexGetData("DP_1","00O2TNJGODT0G5Z4TTKYMMOLH","GSON422")</f>
        <v>#NAME?</v>
      </c>
      <c r="U3109" s="28" t="e">
        <f ca="1">[1]!BexGetData("DP_1","00O2TNJGODT0G5Z4TTKYMMUX1","GSON422")</f>
        <v>#NAME?</v>
      </c>
      <c r="V3109" s="23" t="e">
        <f ca="1">[1]!BexGetData("DP_1","00O2TNJGODT0G5Z4TTKYMN18L","GSON422")</f>
        <v>#NAME?</v>
      </c>
      <c r="W3109" s="28" t="e">
        <f ca="1">[1]!BexGetData("DP_1","00O2TNJGODT0G5Z4TTKYMN7K5","GSON422")</f>
        <v>#NAME?</v>
      </c>
    </row>
    <row r="3110" spans="1:23" x14ac:dyDescent="0.2">
      <c r="A3110" s="35" t="s">
        <v>6453</v>
      </c>
      <c r="B3110" s="27" t="s">
        <v>6454</v>
      </c>
      <c r="C3110" s="23" t="e">
        <f ca="1">[1]!BexGetData("DP_1","003N8EMH8GTFRCSWKMPXRR8GU","GSON4221")</f>
        <v>#NAME?</v>
      </c>
      <c r="D3110" s="23" t="e">
        <f ca="1">[1]!BexGetData("DP_1","003N8EMH8GTFRCSWKMPXRRESE","GSON4221")</f>
        <v>#NAME?</v>
      </c>
      <c r="E3110" s="23" t="e">
        <f ca="1">[1]!BexGetData("DP_1","003N8EMH8GTFRCSWKMPXRRL3Y","GSON4221")</f>
        <v>#NAME?</v>
      </c>
      <c r="F3110" s="23" t="e">
        <f ca="1">[1]!BexGetData("DP_1","003N8EMH8GTFRCSWKMPXRRRFI","GSON4221")</f>
        <v>#NAME?</v>
      </c>
      <c r="G3110" s="23" t="e">
        <f ca="1">[1]!BexGetData("DP_1","003N8EMH8GTFRCSWKMPXRRXR2","GSON4221")</f>
        <v>#NAME?</v>
      </c>
      <c r="H3110" s="23" t="e">
        <f ca="1">[1]!BexGetData("DP_1","003N8EMH8GTFRCSWKMPXRS42M","GSON4221")</f>
        <v>#NAME?</v>
      </c>
      <c r="I3110" s="23" t="e">
        <f ca="1">[1]!BexGetData("DP_1","003N8EMH8GTFRCSWKMPXRSAE6","GSON4221")</f>
        <v>#NAME?</v>
      </c>
      <c r="J3110" s="24" t="e">
        <f ca="1">[1]!BexGetData("DP_1","003N8EMH8GTFRCSWKMPXRSGPQ","GSON4221")</f>
        <v>#NAME?</v>
      </c>
      <c r="K3110" s="23" t="e">
        <f ca="1">[1]!BexGetData("DP_1","003N8EMH8GTFRIVNUPY288VJH","GSON4221")</f>
        <v>#NAME?</v>
      </c>
      <c r="L3110" s="23" t="e">
        <f ca="1">[1]!BexGetData("DP_1","003N8EMH8GTFRIVNUPY2891V1","GSON4221")</f>
        <v>#NAME?</v>
      </c>
      <c r="M3110" s="23" t="e">
        <f ca="1">[1]!BexGetData("DP_1","003N8EMH8GTFRIVOG7KG9IQXA","GSON4221")</f>
        <v>#NAME?</v>
      </c>
      <c r="N3110" s="28" t="e">
        <f ca="1">[1]!BexGetData("DP_1","003N8EMH8GTFRIVOG7KG9IX8U","GSON4221")</f>
        <v>#NAME?</v>
      </c>
      <c r="O3110" s="23" t="e">
        <f ca="1">[1]!BexGetData("DP_1","003N8EMH8GTFRIVOG7KG9J3KE","GSON4221")</f>
        <v>#NAME?</v>
      </c>
      <c r="P3110" s="28" t="e">
        <f ca="1">[1]!BexGetData("DP_1","003N8EMH8GTFRIVOG7KG9J9VY","GSON4221")</f>
        <v>#NAME?</v>
      </c>
      <c r="Q3110" s="24" t="e">
        <f ca="1">[1]!BexGetData("DP_1","00O2TNJGODT0G5Z4TTKYMM5MT","GSON4221")</f>
        <v>#NAME?</v>
      </c>
      <c r="R3110" s="23" t="e">
        <f ca="1">[1]!BexGetData("DP_1","00O2TNJGODT0G5Z4TTKYMMBYD","GSON4221")</f>
        <v>#NAME?</v>
      </c>
      <c r="S3110" s="23" t="e">
        <f ca="1">[1]!BexGetData("DP_1","00O2TNJGODT0G5Z4TTKYMMI9X","GSON4221")</f>
        <v>#NAME?</v>
      </c>
      <c r="T3110" s="23" t="e">
        <f ca="1">[1]!BexGetData("DP_1","00O2TNJGODT0G5Z4TTKYMMOLH","GSON4221")</f>
        <v>#NAME?</v>
      </c>
      <c r="U3110" s="28" t="e">
        <f ca="1">[1]!BexGetData("DP_1","00O2TNJGODT0G5Z4TTKYMMUX1","GSON4221")</f>
        <v>#NAME?</v>
      </c>
      <c r="V3110" s="23" t="e">
        <f ca="1">[1]!BexGetData("DP_1","00O2TNJGODT0G5Z4TTKYMN18L","GSON4221")</f>
        <v>#NAME?</v>
      </c>
      <c r="W3110" s="28" t="e">
        <f ca="1">[1]!BexGetData("DP_1","00O2TNJGODT0G5Z4TTKYMN7K5","GSON4221")</f>
        <v>#NAME?</v>
      </c>
    </row>
    <row r="3111" spans="1:23" x14ac:dyDescent="0.2">
      <c r="A3111" s="36" t="s">
        <v>6455</v>
      </c>
      <c r="B3111" s="27" t="s">
        <v>6456</v>
      </c>
      <c r="C3111" s="23" t="e">
        <f ca="1">[1]!BexGetData("DP_1","003N8EMH8GTFRCSWKMPXRR8GU","GSON4221910101")</f>
        <v>#NAME?</v>
      </c>
      <c r="D3111" s="23" t="e">
        <f ca="1">[1]!BexGetData("DP_1","003N8EMH8GTFRCSWKMPXRRESE","GSON4221910101")</f>
        <v>#NAME?</v>
      </c>
      <c r="E3111" s="23" t="e">
        <f ca="1">[1]!BexGetData("DP_1","003N8EMH8GTFRCSWKMPXRRL3Y","GSON4221910101")</f>
        <v>#NAME?</v>
      </c>
      <c r="F3111" s="23" t="e">
        <f ca="1">[1]!BexGetData("DP_1","003N8EMH8GTFRCSWKMPXRRRFI","GSON4221910101")</f>
        <v>#NAME?</v>
      </c>
      <c r="G3111" s="23" t="e">
        <f ca="1">[1]!BexGetData("DP_1","003N8EMH8GTFRCSWKMPXRRXR2","GSON4221910101")</f>
        <v>#NAME?</v>
      </c>
      <c r="H3111" s="23" t="e">
        <f ca="1">[1]!BexGetData("DP_1","003N8EMH8GTFRCSWKMPXRS42M","GSON4221910101")</f>
        <v>#NAME?</v>
      </c>
      <c r="I3111" s="23" t="e">
        <f ca="1">[1]!BexGetData("DP_1","003N8EMH8GTFRCSWKMPXRSAE6","GSON4221910101")</f>
        <v>#NAME?</v>
      </c>
      <c r="J3111" s="24" t="e">
        <f ca="1">[1]!BexGetData("DP_1","003N8EMH8GTFRCSWKMPXRSGPQ","GSON4221910101")</f>
        <v>#NAME?</v>
      </c>
      <c r="K3111" s="23" t="e">
        <f ca="1">[1]!BexGetData("DP_1","003N8EMH8GTFRIVNUPY288VJH","GSON4221910101")</f>
        <v>#NAME?</v>
      </c>
      <c r="L3111" s="23" t="e">
        <f ca="1">[1]!BexGetData("DP_1","003N8EMH8GTFRIVNUPY2891V1","GSON4221910101")</f>
        <v>#NAME?</v>
      </c>
      <c r="M3111" s="23" t="e">
        <f ca="1">[1]!BexGetData("DP_1","003N8EMH8GTFRIVOG7KG9IQXA","GSON4221910101")</f>
        <v>#NAME?</v>
      </c>
      <c r="N3111" s="28" t="e">
        <f ca="1">[1]!BexGetData("DP_1","003N8EMH8GTFRIVOG7KG9IX8U","GSON4221910101")</f>
        <v>#NAME?</v>
      </c>
      <c r="O3111" s="23" t="e">
        <f ca="1">[1]!BexGetData("DP_1","003N8EMH8GTFRIVOG7KG9J3KE","GSON4221910101")</f>
        <v>#NAME?</v>
      </c>
      <c r="P3111" s="28" t="e">
        <f ca="1">[1]!BexGetData("DP_1","003N8EMH8GTFRIVOG7KG9J9VY","GSON4221910101")</f>
        <v>#NAME?</v>
      </c>
      <c r="Q3111" s="24" t="e">
        <f ca="1">[1]!BexGetData("DP_1","00O2TNJGODT0G5Z4TTKYMM5MT","GSON4221910101")</f>
        <v>#NAME?</v>
      </c>
      <c r="R3111" s="23" t="e">
        <f ca="1">[1]!BexGetData("DP_1","00O2TNJGODT0G5Z4TTKYMMBYD","GSON4221910101")</f>
        <v>#NAME?</v>
      </c>
      <c r="S3111" s="23" t="e">
        <f ca="1">[1]!BexGetData("DP_1","00O2TNJGODT0G5Z4TTKYMMI9X","GSON4221910101")</f>
        <v>#NAME?</v>
      </c>
      <c r="T3111" s="23" t="e">
        <f ca="1">[1]!BexGetData("DP_1","00O2TNJGODT0G5Z4TTKYMMOLH","GSON4221910101")</f>
        <v>#NAME?</v>
      </c>
      <c r="U3111" s="28" t="e">
        <f ca="1">[1]!BexGetData("DP_1","00O2TNJGODT0G5Z4TTKYMMUX1","GSON4221910101")</f>
        <v>#NAME?</v>
      </c>
      <c r="V3111" s="23" t="e">
        <f ca="1">[1]!BexGetData("DP_1","00O2TNJGODT0G5Z4TTKYMN18L","GSON4221910101")</f>
        <v>#NAME?</v>
      </c>
      <c r="W3111" s="28" t="e">
        <f ca="1">[1]!BexGetData("DP_1","00O2TNJGODT0G5Z4TTKYMN7K5","GSON4221910101")</f>
        <v>#NAME?</v>
      </c>
    </row>
    <row r="3112" spans="1:23" x14ac:dyDescent="0.2">
      <c r="A3112" s="36" t="s">
        <v>6457</v>
      </c>
      <c r="B3112" s="27" t="s">
        <v>6458</v>
      </c>
      <c r="C3112" s="23" t="e">
        <f ca="1">[1]!BexGetData("DP_1","003N8EMH8GTFRCSWKMPXRR8GU","GSON4221910102")</f>
        <v>#NAME?</v>
      </c>
      <c r="D3112" s="23" t="e">
        <f ca="1">[1]!BexGetData("DP_1","003N8EMH8GTFRCSWKMPXRRESE","GSON4221910102")</f>
        <v>#NAME?</v>
      </c>
      <c r="E3112" s="23" t="e">
        <f ca="1">[1]!BexGetData("DP_1","003N8EMH8GTFRCSWKMPXRRL3Y","GSON4221910102")</f>
        <v>#NAME?</v>
      </c>
      <c r="F3112" s="23" t="e">
        <f ca="1">[1]!BexGetData("DP_1","003N8EMH8GTFRCSWKMPXRRRFI","GSON4221910102")</f>
        <v>#NAME?</v>
      </c>
      <c r="G3112" s="28" t="e">
        <f ca="1">[1]!BexGetData("DP_1","003N8EMH8GTFRCSWKMPXRRXR2","GSON4221910102")</f>
        <v>#NAME?</v>
      </c>
      <c r="H3112" s="23" t="e">
        <f ca="1">[1]!BexGetData("DP_1","003N8EMH8GTFRCSWKMPXRS42M","GSON4221910102")</f>
        <v>#NAME?</v>
      </c>
      <c r="I3112" s="23" t="e">
        <f ca="1">[1]!BexGetData("DP_1","003N8EMH8GTFRCSWKMPXRSAE6","GSON4221910102")</f>
        <v>#NAME?</v>
      </c>
      <c r="J3112" s="24" t="e">
        <f ca="1">[1]!BexGetData("DP_1","003N8EMH8GTFRCSWKMPXRSGPQ","GSON4221910102")</f>
        <v>#NAME?</v>
      </c>
      <c r="K3112" s="23" t="e">
        <f ca="1">[1]!BexGetData("DP_1","003N8EMH8GTFRIVNUPY288VJH","GSON4221910102")</f>
        <v>#NAME?</v>
      </c>
      <c r="L3112" s="23" t="e">
        <f ca="1">[1]!BexGetData("DP_1","003N8EMH8GTFRIVNUPY2891V1","GSON4221910102")</f>
        <v>#NAME?</v>
      </c>
      <c r="M3112" s="23" t="e">
        <f ca="1">[1]!BexGetData("DP_1","003N8EMH8GTFRIVOG7KG9IQXA","GSON4221910102")</f>
        <v>#NAME?</v>
      </c>
      <c r="N3112" s="28" t="e">
        <f ca="1">[1]!BexGetData("DP_1","003N8EMH8GTFRIVOG7KG9IX8U","GSON4221910102")</f>
        <v>#NAME?</v>
      </c>
      <c r="O3112" s="23" t="e">
        <f ca="1">[1]!BexGetData("DP_1","003N8EMH8GTFRIVOG7KG9J3KE","GSON4221910102")</f>
        <v>#NAME?</v>
      </c>
      <c r="P3112" s="28" t="e">
        <f ca="1">[1]!BexGetData("DP_1","003N8EMH8GTFRIVOG7KG9J9VY","GSON4221910102")</f>
        <v>#NAME?</v>
      </c>
      <c r="Q3112" s="24" t="e">
        <f ca="1">[1]!BexGetData("DP_1","00O2TNJGODT0G5Z4TTKYMM5MT","GSON4221910102")</f>
        <v>#NAME?</v>
      </c>
      <c r="R3112" s="23" t="e">
        <f ca="1">[1]!BexGetData("DP_1","00O2TNJGODT0G5Z4TTKYMMBYD","GSON4221910102")</f>
        <v>#NAME?</v>
      </c>
      <c r="S3112" s="23" t="e">
        <f ca="1">[1]!BexGetData("DP_1","00O2TNJGODT0G5Z4TTKYMMI9X","GSON4221910102")</f>
        <v>#NAME?</v>
      </c>
      <c r="T3112" s="23" t="e">
        <f ca="1">[1]!BexGetData("DP_1","00O2TNJGODT0G5Z4TTKYMMOLH","GSON4221910102")</f>
        <v>#NAME?</v>
      </c>
      <c r="U3112" s="28" t="e">
        <f ca="1">[1]!BexGetData("DP_1","00O2TNJGODT0G5Z4TTKYMMUX1","GSON4221910102")</f>
        <v>#NAME?</v>
      </c>
      <c r="V3112" s="23" t="e">
        <f ca="1">[1]!BexGetData("DP_1","00O2TNJGODT0G5Z4TTKYMN18L","GSON4221910102")</f>
        <v>#NAME?</v>
      </c>
      <c r="W3112" s="28" t="e">
        <f ca="1">[1]!BexGetData("DP_1","00O2TNJGODT0G5Z4TTKYMN7K5","GSON4221910102")</f>
        <v>#NAME?</v>
      </c>
    </row>
    <row r="3113" spans="1:23" x14ac:dyDescent="0.2">
      <c r="A3113" s="36" t="s">
        <v>6459</v>
      </c>
      <c r="B3113" s="27" t="s">
        <v>6460</v>
      </c>
      <c r="C3113" s="28" t="e">
        <f ca="1">[1]!BexGetData("DP_1","003N8EMH8GTFRCSWKMPXRR8GU","GSON4221910103")</f>
        <v>#NAME?</v>
      </c>
      <c r="D3113" s="23" t="e">
        <f ca="1">[1]!BexGetData("DP_1","003N8EMH8GTFRCSWKMPXRRESE","GSON4221910103")</f>
        <v>#NAME?</v>
      </c>
      <c r="E3113" s="23" t="e">
        <f ca="1">[1]!BexGetData("DP_1","003N8EMH8GTFRCSWKMPXRRL3Y","GSON4221910103")</f>
        <v>#NAME?</v>
      </c>
      <c r="F3113" s="23" t="e">
        <f ca="1">[1]!BexGetData("DP_1","003N8EMH8GTFRCSWKMPXRRRFI","GSON4221910103")</f>
        <v>#NAME?</v>
      </c>
      <c r="G3113" s="28" t="e">
        <f ca="1">[1]!BexGetData("DP_1","003N8EMH8GTFRCSWKMPXRRXR2","GSON4221910103")</f>
        <v>#NAME?</v>
      </c>
      <c r="H3113" s="23" t="e">
        <f ca="1">[1]!BexGetData("DP_1","003N8EMH8GTFRCSWKMPXRS42M","GSON4221910103")</f>
        <v>#NAME?</v>
      </c>
      <c r="I3113" s="23" t="e">
        <f ca="1">[1]!BexGetData("DP_1","003N8EMH8GTFRCSWKMPXRSAE6","GSON4221910103")</f>
        <v>#NAME?</v>
      </c>
      <c r="J3113" s="24" t="e">
        <f ca="1">[1]!BexGetData("DP_1","003N8EMH8GTFRCSWKMPXRSGPQ","GSON4221910103")</f>
        <v>#NAME?</v>
      </c>
      <c r="K3113" s="23" t="e">
        <f ca="1">[1]!BexGetData("DP_1","003N8EMH8GTFRIVNUPY288VJH","GSON4221910103")</f>
        <v>#NAME?</v>
      </c>
      <c r="L3113" s="23" t="e">
        <f ca="1">[1]!BexGetData("DP_1","003N8EMH8GTFRIVNUPY2891V1","GSON4221910103")</f>
        <v>#NAME?</v>
      </c>
      <c r="M3113" s="23" t="e">
        <f ca="1">[1]!BexGetData("DP_1","003N8EMH8GTFRIVOG7KG9IQXA","GSON4221910103")</f>
        <v>#NAME?</v>
      </c>
      <c r="N3113" s="28" t="e">
        <f ca="1">[1]!BexGetData("DP_1","003N8EMH8GTFRIVOG7KG9IX8U","GSON4221910103")</f>
        <v>#NAME?</v>
      </c>
      <c r="O3113" s="23" t="e">
        <f ca="1">[1]!BexGetData("DP_1","003N8EMH8GTFRIVOG7KG9J3KE","GSON4221910103")</f>
        <v>#NAME?</v>
      </c>
      <c r="P3113" s="28" t="e">
        <f ca="1">[1]!BexGetData("DP_1","003N8EMH8GTFRIVOG7KG9J9VY","GSON4221910103")</f>
        <v>#NAME?</v>
      </c>
      <c r="Q3113" s="24" t="e">
        <f ca="1">[1]!BexGetData("DP_1","00O2TNJGODT0G5Z4TTKYMM5MT","GSON4221910103")</f>
        <v>#NAME?</v>
      </c>
      <c r="R3113" s="23" t="e">
        <f ca="1">[1]!BexGetData("DP_1","00O2TNJGODT0G5Z4TTKYMMBYD","GSON4221910103")</f>
        <v>#NAME?</v>
      </c>
      <c r="S3113" s="23" t="e">
        <f ca="1">[1]!BexGetData("DP_1","00O2TNJGODT0G5Z4TTKYMMI9X","GSON4221910103")</f>
        <v>#NAME?</v>
      </c>
      <c r="T3113" s="23" t="e">
        <f ca="1">[1]!BexGetData("DP_1","00O2TNJGODT0G5Z4TTKYMMOLH","GSON4221910103")</f>
        <v>#NAME?</v>
      </c>
      <c r="U3113" s="28" t="e">
        <f ca="1">[1]!BexGetData("DP_1","00O2TNJGODT0G5Z4TTKYMMUX1","GSON4221910103")</f>
        <v>#NAME?</v>
      </c>
      <c r="V3113" s="23" t="e">
        <f ca="1">[1]!BexGetData("DP_1","00O2TNJGODT0G5Z4TTKYMN18L","GSON4221910103")</f>
        <v>#NAME?</v>
      </c>
      <c r="W3113" s="28" t="e">
        <f ca="1">[1]!BexGetData("DP_1","00O2TNJGODT0G5Z4TTKYMN7K5","GSON4221910103")</f>
        <v>#NAME?</v>
      </c>
    </row>
    <row r="3114" spans="1:23" x14ac:dyDescent="0.2">
      <c r="A3114" s="35" t="s">
        <v>6461</v>
      </c>
      <c r="B3114" s="27" t="s">
        <v>6462</v>
      </c>
      <c r="C3114" s="28" t="e">
        <f ca="1">[1]!BexGetData("DP_1","003N8EMH8GTFRCSWKMPXRR8GU","GSON4222")</f>
        <v>#NAME?</v>
      </c>
      <c r="D3114" s="23" t="e">
        <f ca="1">[1]!BexGetData("DP_1","003N8EMH8GTFRCSWKMPXRRESE","GSON4222")</f>
        <v>#NAME?</v>
      </c>
      <c r="E3114" s="23" t="e">
        <f ca="1">[1]!BexGetData("DP_1","003N8EMH8GTFRCSWKMPXRRL3Y","GSON4222")</f>
        <v>#NAME?</v>
      </c>
      <c r="F3114" s="24" t="e">
        <f ca="1">[1]!BexGetData("DP_1","003N8EMH8GTFRCSWKMPXRRRFI","GSON4222")</f>
        <v>#NAME?</v>
      </c>
      <c r="G3114" s="24" t="e">
        <f ca="1">[1]!BexGetData("DP_1","003N8EMH8GTFRCSWKMPXRRXR2","GSON4222")</f>
        <v>#NAME?</v>
      </c>
      <c r="H3114" s="24" t="e">
        <f ca="1">[1]!BexGetData("DP_1","003N8EMH8GTFRCSWKMPXRS42M","GSON4222")</f>
        <v>#NAME?</v>
      </c>
      <c r="I3114" s="24" t="e">
        <f ca="1">[1]!BexGetData("DP_1","003N8EMH8GTFRCSWKMPXRSAE6","GSON4222")</f>
        <v>#NAME?</v>
      </c>
      <c r="J3114" s="24" t="e">
        <f ca="1">[1]!BexGetData("DP_1","003N8EMH8GTFRCSWKMPXRSGPQ","GSON4222")</f>
        <v>#NAME?</v>
      </c>
      <c r="K3114" s="23" t="e">
        <f ca="1">[1]!BexGetData("DP_1","003N8EMH8GTFRIVNUPY288VJH","GSON4222")</f>
        <v>#NAME?</v>
      </c>
      <c r="L3114" s="23" t="e">
        <f ca="1">[1]!BexGetData("DP_1","003N8EMH8GTFRIVNUPY2891V1","GSON4222")</f>
        <v>#NAME?</v>
      </c>
      <c r="M3114" s="23" t="e">
        <f ca="1">[1]!BexGetData("DP_1","003N8EMH8GTFRIVOG7KG9IQXA","GSON4222")</f>
        <v>#NAME?</v>
      </c>
      <c r="N3114" s="28" t="e">
        <f ca="1">[1]!BexGetData("DP_1","003N8EMH8GTFRIVOG7KG9IX8U","GSON4222")</f>
        <v>#NAME?</v>
      </c>
      <c r="O3114" s="23" t="e">
        <f ca="1">[1]!BexGetData("DP_1","003N8EMH8GTFRIVOG7KG9J3KE","GSON4222")</f>
        <v>#NAME?</v>
      </c>
      <c r="P3114" s="28" t="e">
        <f ca="1">[1]!BexGetData("DP_1","003N8EMH8GTFRIVOG7KG9J9VY","GSON4222")</f>
        <v>#NAME?</v>
      </c>
      <c r="Q3114" s="24" t="e">
        <f ca="1">[1]!BexGetData("DP_1","00O2TNJGODT0G5Z4TTKYMM5MT","GSON4222")</f>
        <v>#NAME?</v>
      </c>
      <c r="R3114" s="24" t="e">
        <f ca="1">[1]!BexGetData("DP_1","00O2TNJGODT0G5Z4TTKYMMBYD","GSON4222")</f>
        <v>#NAME?</v>
      </c>
      <c r="S3114" s="24" t="e">
        <f ca="1">[1]!BexGetData("DP_1","00O2TNJGODT0G5Z4TTKYMMI9X","GSON4222")</f>
        <v>#NAME?</v>
      </c>
      <c r="T3114" s="24" t="e">
        <f ca="1">[1]!BexGetData("DP_1","00O2TNJGODT0G5Z4TTKYMMOLH","GSON4222")</f>
        <v>#NAME?</v>
      </c>
      <c r="U3114" s="24" t="e">
        <f ca="1">[1]!BexGetData("DP_1","00O2TNJGODT0G5Z4TTKYMMUX1","GSON4222")</f>
        <v>#NAME?</v>
      </c>
      <c r="V3114" s="24" t="e">
        <f ca="1">[1]!BexGetData("DP_1","00O2TNJGODT0G5Z4TTKYMN18L","GSON4222")</f>
        <v>#NAME?</v>
      </c>
      <c r="W3114" s="24" t="e">
        <f ca="1">[1]!BexGetData("DP_1","00O2TNJGODT0G5Z4TTKYMN7K5","GSON4222")</f>
        <v>#NAME?</v>
      </c>
    </row>
    <row r="3115" spans="1:23" x14ac:dyDescent="0.2">
      <c r="A3115" s="36" t="s">
        <v>6463</v>
      </c>
      <c r="B3115" s="27" t="s">
        <v>6464</v>
      </c>
      <c r="C3115" s="28" t="e">
        <f ca="1">[1]!BexGetData("DP_1","003N8EMH8GTFRCSWKMPXRR8GU","GSON4222960101")</f>
        <v>#NAME?</v>
      </c>
      <c r="D3115" s="23" t="e">
        <f ca="1">[1]!BexGetData("DP_1","003N8EMH8GTFRCSWKMPXRRESE","GSON4222960101")</f>
        <v>#NAME?</v>
      </c>
      <c r="E3115" s="23" t="e">
        <f ca="1">[1]!BexGetData("DP_1","003N8EMH8GTFRCSWKMPXRRL3Y","GSON4222960101")</f>
        <v>#NAME?</v>
      </c>
      <c r="F3115" s="24" t="e">
        <f ca="1">[1]!BexGetData("DP_1","003N8EMH8GTFRCSWKMPXRRRFI","GSON4222960101")</f>
        <v>#NAME?</v>
      </c>
      <c r="G3115" s="24" t="e">
        <f ca="1">[1]!BexGetData("DP_1","003N8EMH8GTFRCSWKMPXRRXR2","GSON4222960101")</f>
        <v>#NAME?</v>
      </c>
      <c r="H3115" s="24" t="e">
        <f ca="1">[1]!BexGetData("DP_1","003N8EMH8GTFRCSWKMPXRS42M","GSON4222960101")</f>
        <v>#NAME?</v>
      </c>
      <c r="I3115" s="24" t="e">
        <f ca="1">[1]!BexGetData("DP_1","003N8EMH8GTFRCSWKMPXRSAE6","GSON4222960101")</f>
        <v>#NAME?</v>
      </c>
      <c r="J3115" s="24" t="e">
        <f ca="1">[1]!BexGetData("DP_1","003N8EMH8GTFRCSWKMPXRSGPQ","GSON4222960101")</f>
        <v>#NAME?</v>
      </c>
      <c r="K3115" s="23" t="e">
        <f ca="1">[1]!BexGetData("DP_1","003N8EMH8GTFRIVNUPY288VJH","GSON4222960101")</f>
        <v>#NAME?</v>
      </c>
      <c r="L3115" s="23" t="e">
        <f ca="1">[1]!BexGetData("DP_1","003N8EMH8GTFRIVNUPY2891V1","GSON4222960101")</f>
        <v>#NAME?</v>
      </c>
      <c r="M3115" s="23" t="e">
        <f ca="1">[1]!BexGetData("DP_1","003N8EMH8GTFRIVOG7KG9IQXA","GSON4222960101")</f>
        <v>#NAME?</v>
      </c>
      <c r="N3115" s="28" t="e">
        <f ca="1">[1]!BexGetData("DP_1","003N8EMH8GTFRIVOG7KG9IX8U","GSON4222960101")</f>
        <v>#NAME?</v>
      </c>
      <c r="O3115" s="23" t="e">
        <f ca="1">[1]!BexGetData("DP_1","003N8EMH8GTFRIVOG7KG9J3KE","GSON4222960101")</f>
        <v>#NAME?</v>
      </c>
      <c r="P3115" s="28" t="e">
        <f ca="1">[1]!BexGetData("DP_1","003N8EMH8GTFRIVOG7KG9J9VY","GSON4222960101")</f>
        <v>#NAME?</v>
      </c>
      <c r="Q3115" s="24" t="e">
        <f ca="1">[1]!BexGetData("DP_1","00O2TNJGODT0G5Z4TTKYMM5MT","GSON4222960101")</f>
        <v>#NAME?</v>
      </c>
      <c r="R3115" s="24" t="e">
        <f ca="1">[1]!BexGetData("DP_1","00O2TNJGODT0G5Z4TTKYMMBYD","GSON4222960101")</f>
        <v>#NAME?</v>
      </c>
      <c r="S3115" s="24" t="e">
        <f ca="1">[1]!BexGetData("DP_1","00O2TNJGODT0G5Z4TTKYMMI9X","GSON4222960101")</f>
        <v>#NAME?</v>
      </c>
      <c r="T3115" s="24" t="e">
        <f ca="1">[1]!BexGetData("DP_1","00O2TNJGODT0G5Z4TTKYMMOLH","GSON4222960101")</f>
        <v>#NAME?</v>
      </c>
      <c r="U3115" s="24" t="e">
        <f ca="1">[1]!BexGetData("DP_1","00O2TNJGODT0G5Z4TTKYMMUX1","GSON4222960101")</f>
        <v>#NAME?</v>
      </c>
      <c r="V3115" s="24" t="e">
        <f ca="1">[1]!BexGetData("DP_1","00O2TNJGODT0G5Z4TTKYMN18L","GSON4222960101")</f>
        <v>#NAME?</v>
      </c>
      <c r="W3115" s="24" t="e">
        <f ca="1">[1]!BexGetData("DP_1","00O2TNJGODT0G5Z4TTKYMN7K5","GSON4222960101")</f>
        <v>#NAME?</v>
      </c>
    </row>
    <row r="3116" spans="1:23" x14ac:dyDescent="0.2">
      <c r="A3116" s="35" t="s">
        <v>720</v>
      </c>
      <c r="B3116" s="27" t="s">
        <v>721</v>
      </c>
      <c r="C3116" s="23" t="e">
        <f ca="1">[1]!BexGetData("DP_1","003N8EMH8GTFRCSWKMPXRR8GU","GSON4223")</f>
        <v>#NAME?</v>
      </c>
      <c r="D3116" s="23" t="e">
        <f ca="1">[1]!BexGetData("DP_1","003N8EMH8GTFRCSWKMPXRRESE","GSON4223")</f>
        <v>#NAME?</v>
      </c>
      <c r="E3116" s="23" t="e">
        <f ca="1">[1]!BexGetData("DP_1","003N8EMH8GTFRCSWKMPXRRL3Y","GSON4223")</f>
        <v>#NAME?</v>
      </c>
      <c r="F3116" s="23" t="e">
        <f ca="1">[1]!BexGetData("DP_1","003N8EMH8GTFRCSWKMPXRRRFI","GSON4223")</f>
        <v>#NAME?</v>
      </c>
      <c r="G3116" s="23" t="e">
        <f ca="1">[1]!BexGetData("DP_1","003N8EMH8GTFRCSWKMPXRRXR2","GSON4223")</f>
        <v>#NAME?</v>
      </c>
      <c r="H3116" s="23" t="e">
        <f ca="1">[1]!BexGetData("DP_1","003N8EMH8GTFRCSWKMPXRS42M","GSON4223")</f>
        <v>#NAME?</v>
      </c>
      <c r="I3116" s="23" t="e">
        <f ca="1">[1]!BexGetData("DP_1","003N8EMH8GTFRCSWKMPXRSAE6","GSON4223")</f>
        <v>#NAME?</v>
      </c>
      <c r="J3116" s="24" t="e">
        <f ca="1">[1]!BexGetData("DP_1","003N8EMH8GTFRCSWKMPXRSGPQ","GSON4223")</f>
        <v>#NAME?</v>
      </c>
      <c r="K3116" s="23" t="e">
        <f ca="1">[1]!BexGetData("DP_1","003N8EMH8GTFRIVNUPY288VJH","GSON4223")</f>
        <v>#NAME?</v>
      </c>
      <c r="L3116" s="23" t="e">
        <f ca="1">[1]!BexGetData("DP_1","003N8EMH8GTFRIVNUPY2891V1","GSON4223")</f>
        <v>#NAME?</v>
      </c>
      <c r="M3116" s="28" t="e">
        <f ca="1">[1]!BexGetData("DP_1","003N8EMH8GTFRIVOG7KG9IQXA","GSON4223")</f>
        <v>#NAME?</v>
      </c>
      <c r="N3116" s="23" t="e">
        <f ca="1">[1]!BexGetData("DP_1","003N8EMH8GTFRIVOG7KG9IX8U","GSON4223")</f>
        <v>#NAME?</v>
      </c>
      <c r="O3116" s="28" t="e">
        <f ca="1">[1]!BexGetData("DP_1","003N8EMH8GTFRIVOG7KG9J3KE","GSON4223")</f>
        <v>#NAME?</v>
      </c>
      <c r="P3116" s="23" t="e">
        <f ca="1">[1]!BexGetData("DP_1","003N8EMH8GTFRIVOG7KG9J9VY","GSON4223")</f>
        <v>#NAME?</v>
      </c>
      <c r="Q3116" s="24" t="e">
        <f ca="1">[1]!BexGetData("DP_1","00O2TNJGODT0G5Z4TTKYMM5MT","GSON4223")</f>
        <v>#NAME?</v>
      </c>
      <c r="R3116" s="23" t="e">
        <f ca="1">[1]!BexGetData("DP_1","00O2TNJGODT0G5Z4TTKYMMBYD","GSON4223")</f>
        <v>#NAME?</v>
      </c>
      <c r="S3116" s="23" t="e">
        <f ca="1">[1]!BexGetData("DP_1","00O2TNJGODT0G5Z4TTKYMMI9X","GSON4223")</f>
        <v>#NAME?</v>
      </c>
      <c r="T3116" s="23" t="e">
        <f ca="1">[1]!BexGetData("DP_1","00O2TNJGODT0G5Z4TTKYMMOLH","GSON4223")</f>
        <v>#NAME?</v>
      </c>
      <c r="U3116" s="28" t="e">
        <f ca="1">[1]!BexGetData("DP_1","00O2TNJGODT0G5Z4TTKYMMUX1","GSON4223")</f>
        <v>#NAME?</v>
      </c>
      <c r="V3116" s="23" t="e">
        <f ca="1">[1]!BexGetData("DP_1","00O2TNJGODT0G5Z4TTKYMN18L","GSON4223")</f>
        <v>#NAME?</v>
      </c>
      <c r="W3116" s="28" t="e">
        <f ca="1">[1]!BexGetData("DP_1","00O2TNJGODT0G5Z4TTKYMN7K5","GSON4223")</f>
        <v>#NAME?</v>
      </c>
    </row>
    <row r="3117" spans="1:23" x14ac:dyDescent="0.2">
      <c r="A3117" s="36" t="s">
        <v>1539</v>
      </c>
      <c r="B3117" s="27" t="s">
        <v>1540</v>
      </c>
      <c r="C3117" s="23" t="e">
        <f ca="1">[1]!BexGetData("DP_1","003N8EMH8GTFRCSWKMPXRR8GU","GSON4223930101")</f>
        <v>#NAME?</v>
      </c>
      <c r="D3117" s="23" t="e">
        <f ca="1">[1]!BexGetData("DP_1","003N8EMH8GTFRCSWKMPXRRESE","GSON4223930101")</f>
        <v>#NAME?</v>
      </c>
      <c r="E3117" s="23" t="e">
        <f ca="1">[1]!BexGetData("DP_1","003N8EMH8GTFRCSWKMPXRRL3Y","GSON4223930101")</f>
        <v>#NAME?</v>
      </c>
      <c r="F3117" s="23" t="e">
        <f ca="1">[1]!BexGetData("DP_1","003N8EMH8GTFRCSWKMPXRRRFI","GSON4223930101")</f>
        <v>#NAME?</v>
      </c>
      <c r="G3117" s="23" t="e">
        <f ca="1">[1]!BexGetData("DP_1","003N8EMH8GTFRCSWKMPXRRXR2","GSON4223930101")</f>
        <v>#NAME?</v>
      </c>
      <c r="H3117" s="23" t="e">
        <f ca="1">[1]!BexGetData("DP_1","003N8EMH8GTFRCSWKMPXRS42M","GSON4223930101")</f>
        <v>#NAME?</v>
      </c>
      <c r="I3117" s="23" t="e">
        <f ca="1">[1]!BexGetData("DP_1","003N8EMH8GTFRCSWKMPXRSAE6","GSON4223930101")</f>
        <v>#NAME?</v>
      </c>
      <c r="J3117" s="24" t="e">
        <f ca="1">[1]!BexGetData("DP_1","003N8EMH8GTFRCSWKMPXRSGPQ","GSON4223930101")</f>
        <v>#NAME?</v>
      </c>
      <c r="K3117" s="23" t="e">
        <f ca="1">[1]!BexGetData("DP_1","003N8EMH8GTFRIVNUPY288VJH","GSON4223930101")</f>
        <v>#NAME?</v>
      </c>
      <c r="L3117" s="23" t="e">
        <f ca="1">[1]!BexGetData("DP_1","003N8EMH8GTFRIVNUPY2891V1","GSON4223930101")</f>
        <v>#NAME?</v>
      </c>
      <c r="M3117" s="28" t="e">
        <f ca="1">[1]!BexGetData("DP_1","003N8EMH8GTFRIVOG7KG9IQXA","GSON4223930101")</f>
        <v>#NAME?</v>
      </c>
      <c r="N3117" s="23" t="e">
        <f ca="1">[1]!BexGetData("DP_1","003N8EMH8GTFRIVOG7KG9IX8U","GSON4223930101")</f>
        <v>#NAME?</v>
      </c>
      <c r="O3117" s="28" t="e">
        <f ca="1">[1]!BexGetData("DP_1","003N8EMH8GTFRIVOG7KG9J3KE","GSON4223930101")</f>
        <v>#NAME?</v>
      </c>
      <c r="P3117" s="23" t="e">
        <f ca="1">[1]!BexGetData("DP_1","003N8EMH8GTFRIVOG7KG9J9VY","GSON4223930101")</f>
        <v>#NAME?</v>
      </c>
      <c r="Q3117" s="24" t="e">
        <f ca="1">[1]!BexGetData("DP_1","00O2TNJGODT0G5Z4TTKYMM5MT","GSON4223930101")</f>
        <v>#NAME?</v>
      </c>
      <c r="R3117" s="23" t="e">
        <f ca="1">[1]!BexGetData("DP_1","00O2TNJGODT0G5Z4TTKYMMBYD","GSON4223930101")</f>
        <v>#NAME?</v>
      </c>
      <c r="S3117" s="23" t="e">
        <f ca="1">[1]!BexGetData("DP_1","00O2TNJGODT0G5Z4TTKYMMI9X","GSON4223930101")</f>
        <v>#NAME?</v>
      </c>
      <c r="T3117" s="23" t="e">
        <f ca="1">[1]!BexGetData("DP_1","00O2TNJGODT0G5Z4TTKYMMOLH","GSON4223930101")</f>
        <v>#NAME?</v>
      </c>
      <c r="U3117" s="28" t="e">
        <f ca="1">[1]!BexGetData("DP_1","00O2TNJGODT0G5Z4TTKYMMUX1","GSON4223930101")</f>
        <v>#NAME?</v>
      </c>
      <c r="V3117" s="23" t="e">
        <f ca="1">[1]!BexGetData("DP_1","00O2TNJGODT0G5Z4TTKYMN18L","GSON4223930101")</f>
        <v>#NAME?</v>
      </c>
      <c r="W3117" s="28" t="e">
        <f ca="1">[1]!BexGetData("DP_1","00O2TNJGODT0G5Z4TTKYMN7K5","GSON4223930101")</f>
        <v>#NAME?</v>
      </c>
    </row>
    <row r="3118" spans="1:23" x14ac:dyDescent="0.2">
      <c r="A3118" s="36" t="s">
        <v>6465</v>
      </c>
      <c r="B3118" s="27" t="s">
        <v>6466</v>
      </c>
      <c r="C3118" s="28" t="e">
        <f ca="1">[1]!BexGetData("DP_1","003N8EMH8GTFRCSWKMPXRR8GU","GSON4223930102")</f>
        <v>#NAME?</v>
      </c>
      <c r="D3118" s="23" t="e">
        <f ca="1">[1]!BexGetData("DP_1","003N8EMH8GTFRCSWKMPXRRESE","GSON4223930102")</f>
        <v>#NAME?</v>
      </c>
      <c r="E3118" s="23" t="e">
        <f ca="1">[1]!BexGetData("DP_1","003N8EMH8GTFRCSWKMPXRRL3Y","GSON4223930102")</f>
        <v>#NAME?</v>
      </c>
      <c r="F3118" s="23" t="e">
        <f ca="1">[1]!BexGetData("DP_1","003N8EMH8GTFRCSWKMPXRRRFI","GSON4223930102")</f>
        <v>#NAME?</v>
      </c>
      <c r="G3118" s="28" t="e">
        <f ca="1">[1]!BexGetData("DP_1","003N8EMH8GTFRCSWKMPXRRXR2","GSON4223930102")</f>
        <v>#NAME?</v>
      </c>
      <c r="H3118" s="23" t="e">
        <f ca="1">[1]!BexGetData("DP_1","003N8EMH8GTFRCSWKMPXRS42M","GSON4223930102")</f>
        <v>#NAME?</v>
      </c>
      <c r="I3118" s="23" t="e">
        <f ca="1">[1]!BexGetData("DP_1","003N8EMH8GTFRCSWKMPXRSAE6","GSON4223930102")</f>
        <v>#NAME?</v>
      </c>
      <c r="J3118" s="24" t="e">
        <f ca="1">[1]!BexGetData("DP_1","003N8EMH8GTFRCSWKMPXRSGPQ","GSON4223930102")</f>
        <v>#NAME?</v>
      </c>
      <c r="K3118" s="23" t="e">
        <f ca="1">[1]!BexGetData("DP_1","003N8EMH8GTFRIVNUPY288VJH","GSON4223930102")</f>
        <v>#NAME?</v>
      </c>
      <c r="L3118" s="23" t="e">
        <f ca="1">[1]!BexGetData("DP_1","003N8EMH8GTFRIVNUPY2891V1","GSON4223930102")</f>
        <v>#NAME?</v>
      </c>
      <c r="M3118" s="28" t="e">
        <f ca="1">[1]!BexGetData("DP_1","003N8EMH8GTFRIVOG7KG9IQXA","GSON4223930102")</f>
        <v>#NAME?</v>
      </c>
      <c r="N3118" s="23" t="e">
        <f ca="1">[1]!BexGetData("DP_1","003N8EMH8GTFRIVOG7KG9IX8U","GSON4223930102")</f>
        <v>#NAME?</v>
      </c>
      <c r="O3118" s="28" t="e">
        <f ca="1">[1]!BexGetData("DP_1","003N8EMH8GTFRIVOG7KG9J3KE","GSON4223930102")</f>
        <v>#NAME?</v>
      </c>
      <c r="P3118" s="23" t="e">
        <f ca="1">[1]!BexGetData("DP_1","003N8EMH8GTFRIVOG7KG9J9VY","GSON4223930102")</f>
        <v>#NAME?</v>
      </c>
      <c r="Q3118" s="24" t="e">
        <f ca="1">[1]!BexGetData("DP_1","00O2TNJGODT0G5Z4TTKYMM5MT","GSON4223930102")</f>
        <v>#NAME?</v>
      </c>
      <c r="R3118" s="23" t="e">
        <f ca="1">[1]!BexGetData("DP_1","00O2TNJGODT0G5Z4TTKYMMBYD","GSON4223930102")</f>
        <v>#NAME?</v>
      </c>
      <c r="S3118" s="23" t="e">
        <f ca="1">[1]!BexGetData("DP_1","00O2TNJGODT0G5Z4TTKYMMI9X","GSON4223930102")</f>
        <v>#NAME?</v>
      </c>
      <c r="T3118" s="23" t="e">
        <f ca="1">[1]!BexGetData("DP_1","00O2TNJGODT0G5Z4TTKYMMOLH","GSON4223930102")</f>
        <v>#NAME?</v>
      </c>
      <c r="U3118" s="28" t="e">
        <f ca="1">[1]!BexGetData("DP_1","00O2TNJGODT0G5Z4TTKYMMUX1","GSON4223930102")</f>
        <v>#NAME?</v>
      </c>
      <c r="V3118" s="23" t="e">
        <f ca="1">[1]!BexGetData("DP_1","00O2TNJGODT0G5Z4TTKYMN18L","GSON4223930102")</f>
        <v>#NAME?</v>
      </c>
      <c r="W3118" s="28" t="e">
        <f ca="1">[1]!BexGetData("DP_1","00O2TNJGODT0G5Z4TTKYMN7K5","GSON4223930102")</f>
        <v>#NAME?</v>
      </c>
    </row>
    <row r="3119" spans="1:23" x14ac:dyDescent="0.2">
      <c r="A3119" s="36" t="s">
        <v>6467</v>
      </c>
      <c r="B3119" s="27" t="s">
        <v>6468</v>
      </c>
      <c r="C3119" s="23" t="e">
        <f ca="1">[1]!BexGetData("DP_1","003N8EMH8GTFRCSWKMPXRR8GU","GSON4223930103")</f>
        <v>#NAME?</v>
      </c>
      <c r="D3119" s="23" t="e">
        <f ca="1">[1]!BexGetData("DP_1","003N8EMH8GTFRCSWKMPXRRESE","GSON4223930103")</f>
        <v>#NAME?</v>
      </c>
      <c r="E3119" s="23" t="e">
        <f ca="1">[1]!BexGetData("DP_1","003N8EMH8GTFRCSWKMPXRRL3Y","GSON4223930103")</f>
        <v>#NAME?</v>
      </c>
      <c r="F3119" s="23" t="e">
        <f ca="1">[1]!BexGetData("DP_1","003N8EMH8GTFRCSWKMPXRRRFI","GSON4223930103")</f>
        <v>#NAME?</v>
      </c>
      <c r="G3119" s="23" t="e">
        <f ca="1">[1]!BexGetData("DP_1","003N8EMH8GTFRCSWKMPXRRXR2","GSON4223930103")</f>
        <v>#NAME?</v>
      </c>
      <c r="H3119" s="23" t="e">
        <f ca="1">[1]!BexGetData("DP_1","003N8EMH8GTFRCSWKMPXRS42M","GSON4223930103")</f>
        <v>#NAME?</v>
      </c>
      <c r="I3119" s="23" t="e">
        <f ca="1">[1]!BexGetData("DP_1","003N8EMH8GTFRCSWKMPXRSAE6","GSON4223930103")</f>
        <v>#NAME?</v>
      </c>
      <c r="J3119" s="24" t="e">
        <f ca="1">[1]!BexGetData("DP_1","003N8EMH8GTFRCSWKMPXRSGPQ","GSON4223930103")</f>
        <v>#NAME?</v>
      </c>
      <c r="K3119" s="23" t="e">
        <f ca="1">[1]!BexGetData("DP_1","003N8EMH8GTFRIVNUPY288VJH","GSON4223930103")</f>
        <v>#NAME?</v>
      </c>
      <c r="L3119" s="23" t="e">
        <f ca="1">[1]!BexGetData("DP_1","003N8EMH8GTFRIVNUPY2891V1","GSON4223930103")</f>
        <v>#NAME?</v>
      </c>
      <c r="M3119" s="28" t="e">
        <f ca="1">[1]!BexGetData("DP_1","003N8EMH8GTFRIVOG7KG9IQXA","GSON4223930103")</f>
        <v>#NAME?</v>
      </c>
      <c r="N3119" s="23" t="e">
        <f ca="1">[1]!BexGetData("DP_1","003N8EMH8GTFRIVOG7KG9IX8U","GSON4223930103")</f>
        <v>#NAME?</v>
      </c>
      <c r="O3119" s="28" t="e">
        <f ca="1">[1]!BexGetData("DP_1","003N8EMH8GTFRIVOG7KG9J3KE","GSON4223930103")</f>
        <v>#NAME?</v>
      </c>
      <c r="P3119" s="23" t="e">
        <f ca="1">[1]!BexGetData("DP_1","003N8EMH8GTFRIVOG7KG9J9VY","GSON4223930103")</f>
        <v>#NAME?</v>
      </c>
      <c r="Q3119" s="24" t="e">
        <f ca="1">[1]!BexGetData("DP_1","00O2TNJGODT0G5Z4TTKYMM5MT","GSON4223930103")</f>
        <v>#NAME?</v>
      </c>
      <c r="R3119" s="23" t="e">
        <f ca="1">[1]!BexGetData("DP_1","00O2TNJGODT0G5Z4TTKYMMBYD","GSON4223930103")</f>
        <v>#NAME?</v>
      </c>
      <c r="S3119" s="23" t="e">
        <f ca="1">[1]!BexGetData("DP_1","00O2TNJGODT0G5Z4TTKYMMI9X","GSON4223930103")</f>
        <v>#NAME?</v>
      </c>
      <c r="T3119" s="23" t="e">
        <f ca="1">[1]!BexGetData("DP_1","00O2TNJGODT0G5Z4TTKYMMOLH","GSON4223930103")</f>
        <v>#NAME?</v>
      </c>
      <c r="U3119" s="28" t="e">
        <f ca="1">[1]!BexGetData("DP_1","00O2TNJGODT0G5Z4TTKYMMUX1","GSON4223930103")</f>
        <v>#NAME?</v>
      </c>
      <c r="V3119" s="23" t="e">
        <f ca="1">[1]!BexGetData("DP_1","00O2TNJGODT0G5Z4TTKYMN18L","GSON4223930103")</f>
        <v>#NAME?</v>
      </c>
      <c r="W3119" s="28" t="e">
        <f ca="1">[1]!BexGetData("DP_1","00O2TNJGODT0G5Z4TTKYMN7K5","GSON4223930103")</f>
        <v>#NAME?</v>
      </c>
    </row>
    <row r="3120" spans="1:23" x14ac:dyDescent="0.2">
      <c r="A3120" s="36" t="s">
        <v>6469</v>
      </c>
      <c r="B3120" s="27" t="s">
        <v>6470</v>
      </c>
      <c r="C3120" s="28" t="e">
        <f ca="1">[1]!BexGetData("DP_1","003N8EMH8GTFRCSWKMPXRR8GU","GSON4223930104")</f>
        <v>#NAME?</v>
      </c>
      <c r="D3120" s="23" t="e">
        <f ca="1">[1]!BexGetData("DP_1","003N8EMH8GTFRCSWKMPXRRESE","GSON4223930104")</f>
        <v>#NAME?</v>
      </c>
      <c r="E3120" s="23" t="e">
        <f ca="1">[1]!BexGetData("DP_1","003N8EMH8GTFRCSWKMPXRRL3Y","GSON4223930104")</f>
        <v>#NAME?</v>
      </c>
      <c r="F3120" s="23" t="e">
        <f ca="1">[1]!BexGetData("DP_1","003N8EMH8GTFRCSWKMPXRRRFI","GSON4223930104")</f>
        <v>#NAME?</v>
      </c>
      <c r="G3120" s="23" t="e">
        <f ca="1">[1]!BexGetData("DP_1","003N8EMH8GTFRCSWKMPXRRXR2","GSON4223930104")</f>
        <v>#NAME?</v>
      </c>
      <c r="H3120" s="23" t="e">
        <f ca="1">[1]!BexGetData("DP_1","003N8EMH8GTFRCSWKMPXRS42M","GSON4223930104")</f>
        <v>#NAME?</v>
      </c>
      <c r="I3120" s="23" t="e">
        <f ca="1">[1]!BexGetData("DP_1","003N8EMH8GTFRCSWKMPXRSAE6","GSON4223930104")</f>
        <v>#NAME?</v>
      </c>
      <c r="J3120" s="24" t="e">
        <f ca="1">[1]!BexGetData("DP_1","003N8EMH8GTFRCSWKMPXRSGPQ","GSON4223930104")</f>
        <v>#NAME?</v>
      </c>
      <c r="K3120" s="23" t="e">
        <f ca="1">[1]!BexGetData("DP_1","003N8EMH8GTFRIVNUPY288VJH","GSON4223930104")</f>
        <v>#NAME?</v>
      </c>
      <c r="L3120" s="23" t="e">
        <f ca="1">[1]!BexGetData("DP_1","003N8EMH8GTFRIVNUPY2891V1","GSON4223930104")</f>
        <v>#NAME?</v>
      </c>
      <c r="M3120" s="28" t="e">
        <f ca="1">[1]!BexGetData("DP_1","003N8EMH8GTFRIVOG7KG9IQXA","GSON4223930104")</f>
        <v>#NAME?</v>
      </c>
      <c r="N3120" s="23" t="e">
        <f ca="1">[1]!BexGetData("DP_1","003N8EMH8GTFRIVOG7KG9IX8U","GSON4223930104")</f>
        <v>#NAME?</v>
      </c>
      <c r="O3120" s="28" t="e">
        <f ca="1">[1]!BexGetData("DP_1","003N8EMH8GTFRIVOG7KG9J3KE","GSON4223930104")</f>
        <v>#NAME?</v>
      </c>
      <c r="P3120" s="23" t="e">
        <f ca="1">[1]!BexGetData("DP_1","003N8EMH8GTFRIVOG7KG9J9VY","GSON4223930104")</f>
        <v>#NAME?</v>
      </c>
      <c r="Q3120" s="24" t="e">
        <f ca="1">[1]!BexGetData("DP_1","00O2TNJGODT0G5Z4TTKYMM5MT","GSON4223930104")</f>
        <v>#NAME?</v>
      </c>
      <c r="R3120" s="23" t="e">
        <f ca="1">[1]!BexGetData("DP_1","00O2TNJGODT0G5Z4TTKYMMBYD","GSON4223930104")</f>
        <v>#NAME?</v>
      </c>
      <c r="S3120" s="23" t="e">
        <f ca="1">[1]!BexGetData("DP_1","00O2TNJGODT0G5Z4TTKYMMI9X","GSON4223930104")</f>
        <v>#NAME?</v>
      </c>
      <c r="T3120" s="23" t="e">
        <f ca="1">[1]!BexGetData("DP_1","00O2TNJGODT0G5Z4TTKYMMOLH","GSON4223930104")</f>
        <v>#NAME?</v>
      </c>
      <c r="U3120" s="28" t="e">
        <f ca="1">[1]!BexGetData("DP_1","00O2TNJGODT0G5Z4TTKYMMUX1","GSON4223930104")</f>
        <v>#NAME?</v>
      </c>
      <c r="V3120" s="23" t="e">
        <f ca="1">[1]!BexGetData("DP_1","00O2TNJGODT0G5Z4TTKYMN18L","GSON4223930104")</f>
        <v>#NAME?</v>
      </c>
      <c r="W3120" s="28" t="e">
        <f ca="1">[1]!BexGetData("DP_1","00O2TNJGODT0G5Z4TTKYMN7K5","GSON4223930104")</f>
        <v>#NAME?</v>
      </c>
    </row>
    <row r="3121" spans="1:23" x14ac:dyDescent="0.2">
      <c r="A3121" s="36" t="s">
        <v>6471</v>
      </c>
      <c r="B3121" s="27" t="s">
        <v>6472</v>
      </c>
      <c r="C3121" s="28" t="e">
        <f ca="1">[1]!BexGetData("DP_1","003N8EMH8GTFRCSWKMPXRR8GU","GSON4223930105")</f>
        <v>#NAME?</v>
      </c>
      <c r="D3121" s="23" t="e">
        <f ca="1">[1]!BexGetData("DP_1","003N8EMH8GTFRCSWKMPXRRESE","GSON4223930105")</f>
        <v>#NAME?</v>
      </c>
      <c r="E3121" s="23" t="e">
        <f ca="1">[1]!BexGetData("DP_1","003N8EMH8GTFRCSWKMPXRRL3Y","GSON4223930105")</f>
        <v>#NAME?</v>
      </c>
      <c r="F3121" s="23" t="e">
        <f ca="1">[1]!BexGetData("DP_1","003N8EMH8GTFRCSWKMPXRRRFI","GSON4223930105")</f>
        <v>#NAME?</v>
      </c>
      <c r="G3121" s="23" t="e">
        <f ca="1">[1]!BexGetData("DP_1","003N8EMH8GTFRCSWKMPXRRXR2","GSON4223930105")</f>
        <v>#NAME?</v>
      </c>
      <c r="H3121" s="23" t="e">
        <f ca="1">[1]!BexGetData("DP_1","003N8EMH8GTFRCSWKMPXRS42M","GSON4223930105")</f>
        <v>#NAME?</v>
      </c>
      <c r="I3121" s="23" t="e">
        <f ca="1">[1]!BexGetData("DP_1","003N8EMH8GTFRCSWKMPXRSAE6","GSON4223930105")</f>
        <v>#NAME?</v>
      </c>
      <c r="J3121" s="24" t="e">
        <f ca="1">[1]!BexGetData("DP_1","003N8EMH8GTFRCSWKMPXRSGPQ","GSON4223930105")</f>
        <v>#NAME?</v>
      </c>
      <c r="K3121" s="23" t="e">
        <f ca="1">[1]!BexGetData("DP_1","003N8EMH8GTFRIVNUPY288VJH","GSON4223930105")</f>
        <v>#NAME?</v>
      </c>
      <c r="L3121" s="23" t="e">
        <f ca="1">[1]!BexGetData("DP_1","003N8EMH8GTFRIVNUPY2891V1","GSON4223930105")</f>
        <v>#NAME?</v>
      </c>
      <c r="M3121" s="28" t="e">
        <f ca="1">[1]!BexGetData("DP_1","003N8EMH8GTFRIVOG7KG9IQXA","GSON4223930105")</f>
        <v>#NAME?</v>
      </c>
      <c r="N3121" s="23" t="e">
        <f ca="1">[1]!BexGetData("DP_1","003N8EMH8GTFRIVOG7KG9IX8U","GSON4223930105")</f>
        <v>#NAME?</v>
      </c>
      <c r="O3121" s="28" t="e">
        <f ca="1">[1]!BexGetData("DP_1","003N8EMH8GTFRIVOG7KG9J3KE","GSON4223930105")</f>
        <v>#NAME?</v>
      </c>
      <c r="P3121" s="23" t="e">
        <f ca="1">[1]!BexGetData("DP_1","003N8EMH8GTFRIVOG7KG9J9VY","GSON4223930105")</f>
        <v>#NAME?</v>
      </c>
      <c r="Q3121" s="24" t="e">
        <f ca="1">[1]!BexGetData("DP_1","00O2TNJGODT0G5Z4TTKYMM5MT","GSON4223930105")</f>
        <v>#NAME?</v>
      </c>
      <c r="R3121" s="23" t="e">
        <f ca="1">[1]!BexGetData("DP_1","00O2TNJGODT0G5Z4TTKYMMBYD","GSON4223930105")</f>
        <v>#NAME?</v>
      </c>
      <c r="S3121" s="23" t="e">
        <f ca="1">[1]!BexGetData("DP_1","00O2TNJGODT0G5Z4TTKYMMI9X","GSON4223930105")</f>
        <v>#NAME?</v>
      </c>
      <c r="T3121" s="23" t="e">
        <f ca="1">[1]!BexGetData("DP_1","00O2TNJGODT0G5Z4TTKYMMOLH","GSON4223930105")</f>
        <v>#NAME?</v>
      </c>
      <c r="U3121" s="28" t="e">
        <f ca="1">[1]!BexGetData("DP_1","00O2TNJGODT0G5Z4TTKYMMUX1","GSON4223930105")</f>
        <v>#NAME?</v>
      </c>
      <c r="V3121" s="23" t="e">
        <f ca="1">[1]!BexGetData("DP_1","00O2TNJGODT0G5Z4TTKYMN18L","GSON4223930105")</f>
        <v>#NAME?</v>
      </c>
      <c r="W3121" s="28" t="e">
        <f ca="1">[1]!BexGetData("DP_1","00O2TNJGODT0G5Z4TTKYMN7K5","GSON4223930105")</f>
        <v>#NAME?</v>
      </c>
    </row>
    <row r="3122" spans="1:23" x14ac:dyDescent="0.2">
      <c r="A3122" s="36" t="s">
        <v>6473</v>
      </c>
      <c r="B3122" s="27" t="s">
        <v>6474</v>
      </c>
      <c r="C3122" s="28" t="e">
        <f ca="1">[1]!BexGetData("DP_1","003N8EMH8GTFRCSWKMPXRR8GU","GSON4223930106")</f>
        <v>#NAME?</v>
      </c>
      <c r="D3122" s="23" t="e">
        <f ca="1">[1]!BexGetData("DP_1","003N8EMH8GTFRCSWKMPXRRESE","GSON4223930106")</f>
        <v>#NAME?</v>
      </c>
      <c r="E3122" s="23" t="e">
        <f ca="1">[1]!BexGetData("DP_1","003N8EMH8GTFRCSWKMPXRRL3Y","GSON4223930106")</f>
        <v>#NAME?</v>
      </c>
      <c r="F3122" s="23" t="e">
        <f ca="1">[1]!BexGetData("DP_1","003N8EMH8GTFRCSWKMPXRRRFI","GSON4223930106")</f>
        <v>#NAME?</v>
      </c>
      <c r="G3122" s="23" t="e">
        <f ca="1">[1]!BexGetData("DP_1","003N8EMH8GTFRCSWKMPXRRXR2","GSON4223930106")</f>
        <v>#NAME?</v>
      </c>
      <c r="H3122" s="23" t="e">
        <f ca="1">[1]!BexGetData("DP_1","003N8EMH8GTFRCSWKMPXRS42M","GSON4223930106")</f>
        <v>#NAME?</v>
      </c>
      <c r="I3122" s="23" t="e">
        <f ca="1">[1]!BexGetData("DP_1","003N8EMH8GTFRCSWKMPXRSAE6","GSON4223930106")</f>
        <v>#NAME?</v>
      </c>
      <c r="J3122" s="24" t="e">
        <f ca="1">[1]!BexGetData("DP_1","003N8EMH8GTFRCSWKMPXRSGPQ","GSON4223930106")</f>
        <v>#NAME?</v>
      </c>
      <c r="K3122" s="23" t="e">
        <f ca="1">[1]!BexGetData("DP_1","003N8EMH8GTFRIVNUPY288VJH","GSON4223930106")</f>
        <v>#NAME?</v>
      </c>
      <c r="L3122" s="23" t="e">
        <f ca="1">[1]!BexGetData("DP_1","003N8EMH8GTFRIVNUPY2891V1","GSON4223930106")</f>
        <v>#NAME?</v>
      </c>
      <c r="M3122" s="28" t="e">
        <f ca="1">[1]!BexGetData("DP_1","003N8EMH8GTFRIVOG7KG9IQXA","GSON4223930106")</f>
        <v>#NAME?</v>
      </c>
      <c r="N3122" s="23" t="e">
        <f ca="1">[1]!BexGetData("DP_1","003N8EMH8GTFRIVOG7KG9IX8U","GSON4223930106")</f>
        <v>#NAME?</v>
      </c>
      <c r="O3122" s="28" t="e">
        <f ca="1">[1]!BexGetData("DP_1","003N8EMH8GTFRIVOG7KG9J3KE","GSON4223930106")</f>
        <v>#NAME?</v>
      </c>
      <c r="P3122" s="23" t="e">
        <f ca="1">[1]!BexGetData("DP_1","003N8EMH8GTFRIVOG7KG9J9VY","GSON4223930106")</f>
        <v>#NAME?</v>
      </c>
      <c r="Q3122" s="24" t="e">
        <f ca="1">[1]!BexGetData("DP_1","00O2TNJGODT0G5Z4TTKYMM5MT","GSON4223930106")</f>
        <v>#NAME?</v>
      </c>
      <c r="R3122" s="23" t="e">
        <f ca="1">[1]!BexGetData("DP_1","00O2TNJGODT0G5Z4TTKYMMBYD","GSON4223930106")</f>
        <v>#NAME?</v>
      </c>
      <c r="S3122" s="23" t="e">
        <f ca="1">[1]!BexGetData("DP_1","00O2TNJGODT0G5Z4TTKYMMI9X","GSON4223930106")</f>
        <v>#NAME?</v>
      </c>
      <c r="T3122" s="23" t="e">
        <f ca="1">[1]!BexGetData("DP_1","00O2TNJGODT0G5Z4TTKYMMOLH","GSON4223930106")</f>
        <v>#NAME?</v>
      </c>
      <c r="U3122" s="28" t="e">
        <f ca="1">[1]!BexGetData("DP_1","00O2TNJGODT0G5Z4TTKYMMUX1","GSON4223930106")</f>
        <v>#NAME?</v>
      </c>
      <c r="V3122" s="23" t="e">
        <f ca="1">[1]!BexGetData("DP_1","00O2TNJGODT0G5Z4TTKYMN18L","GSON4223930106")</f>
        <v>#NAME?</v>
      </c>
      <c r="W3122" s="28" t="e">
        <f ca="1">[1]!BexGetData("DP_1","00O2TNJGODT0G5Z4TTKYMN7K5","GSON4223930106")</f>
        <v>#NAME?</v>
      </c>
    </row>
    <row r="3123" spans="1:23" x14ac:dyDescent="0.2">
      <c r="A3123" s="36" t="s">
        <v>6475</v>
      </c>
      <c r="B3123" s="27" t="s">
        <v>6476</v>
      </c>
      <c r="C3123" s="28" t="e">
        <f ca="1">[1]!BexGetData("DP_1","003N8EMH8GTFRCSWKMPXRR8GU","GSON4223930107")</f>
        <v>#NAME?</v>
      </c>
      <c r="D3123" s="23" t="e">
        <f ca="1">[1]!BexGetData("DP_1","003N8EMH8GTFRCSWKMPXRRESE","GSON4223930107")</f>
        <v>#NAME?</v>
      </c>
      <c r="E3123" s="23" t="e">
        <f ca="1">[1]!BexGetData("DP_1","003N8EMH8GTFRCSWKMPXRRL3Y","GSON4223930107")</f>
        <v>#NAME?</v>
      </c>
      <c r="F3123" s="23" t="e">
        <f ca="1">[1]!BexGetData("DP_1","003N8EMH8GTFRCSWKMPXRRRFI","GSON4223930107")</f>
        <v>#NAME?</v>
      </c>
      <c r="G3123" s="28" t="e">
        <f ca="1">[1]!BexGetData("DP_1","003N8EMH8GTFRCSWKMPXRRXR2","GSON4223930107")</f>
        <v>#NAME?</v>
      </c>
      <c r="H3123" s="23" t="e">
        <f ca="1">[1]!BexGetData("DP_1","003N8EMH8GTFRCSWKMPXRS42M","GSON4223930107")</f>
        <v>#NAME?</v>
      </c>
      <c r="I3123" s="23" t="e">
        <f ca="1">[1]!BexGetData("DP_1","003N8EMH8GTFRCSWKMPXRSAE6","GSON4223930107")</f>
        <v>#NAME?</v>
      </c>
      <c r="J3123" s="24" t="e">
        <f ca="1">[1]!BexGetData("DP_1","003N8EMH8GTFRCSWKMPXRSGPQ","GSON4223930107")</f>
        <v>#NAME?</v>
      </c>
      <c r="K3123" s="23" t="e">
        <f ca="1">[1]!BexGetData("DP_1","003N8EMH8GTFRIVNUPY288VJH","GSON4223930107")</f>
        <v>#NAME?</v>
      </c>
      <c r="L3123" s="23" t="e">
        <f ca="1">[1]!BexGetData("DP_1","003N8EMH8GTFRIVNUPY2891V1","GSON4223930107")</f>
        <v>#NAME?</v>
      </c>
      <c r="M3123" s="28" t="e">
        <f ca="1">[1]!BexGetData("DP_1","003N8EMH8GTFRIVOG7KG9IQXA","GSON4223930107")</f>
        <v>#NAME?</v>
      </c>
      <c r="N3123" s="23" t="e">
        <f ca="1">[1]!BexGetData("DP_1","003N8EMH8GTFRIVOG7KG9IX8U","GSON4223930107")</f>
        <v>#NAME?</v>
      </c>
      <c r="O3123" s="28" t="e">
        <f ca="1">[1]!BexGetData("DP_1","003N8EMH8GTFRIVOG7KG9J3KE","GSON4223930107")</f>
        <v>#NAME?</v>
      </c>
      <c r="P3123" s="23" t="e">
        <f ca="1">[1]!BexGetData("DP_1","003N8EMH8GTFRIVOG7KG9J9VY","GSON4223930107")</f>
        <v>#NAME?</v>
      </c>
      <c r="Q3123" s="24" t="e">
        <f ca="1">[1]!BexGetData("DP_1","00O2TNJGODT0G5Z4TTKYMM5MT","GSON4223930107")</f>
        <v>#NAME?</v>
      </c>
      <c r="R3123" s="23" t="e">
        <f ca="1">[1]!BexGetData("DP_1","00O2TNJGODT0G5Z4TTKYMMBYD","GSON4223930107")</f>
        <v>#NAME?</v>
      </c>
      <c r="S3123" s="23" t="e">
        <f ca="1">[1]!BexGetData("DP_1","00O2TNJGODT0G5Z4TTKYMMI9X","GSON4223930107")</f>
        <v>#NAME?</v>
      </c>
      <c r="T3123" s="23" t="e">
        <f ca="1">[1]!BexGetData("DP_1","00O2TNJGODT0G5Z4TTKYMMOLH","GSON4223930107")</f>
        <v>#NAME?</v>
      </c>
      <c r="U3123" s="28" t="e">
        <f ca="1">[1]!BexGetData("DP_1","00O2TNJGODT0G5Z4TTKYMMUX1","GSON4223930107")</f>
        <v>#NAME?</v>
      </c>
      <c r="V3123" s="23" t="e">
        <f ca="1">[1]!BexGetData("DP_1","00O2TNJGODT0G5Z4TTKYMN18L","GSON4223930107")</f>
        <v>#NAME?</v>
      </c>
      <c r="W3123" s="28" t="e">
        <f ca="1">[1]!BexGetData("DP_1","00O2TNJGODT0G5Z4TTKYMN7K5","GSON4223930107")</f>
        <v>#NAME?</v>
      </c>
    </row>
    <row r="3124" spans="1:23" x14ac:dyDescent="0.2">
      <c r="A3124" s="36" t="s">
        <v>6477</v>
      </c>
      <c r="B3124" s="27" t="s">
        <v>6478</v>
      </c>
      <c r="C3124" s="28" t="e">
        <f ca="1">[1]!BexGetData("DP_1","003N8EMH8GTFRCSWKMPXRR8GU","GSON4223930108")</f>
        <v>#NAME?</v>
      </c>
      <c r="D3124" s="23" t="e">
        <f ca="1">[1]!BexGetData("DP_1","003N8EMH8GTFRCSWKMPXRRESE","GSON4223930108")</f>
        <v>#NAME?</v>
      </c>
      <c r="E3124" s="23" t="e">
        <f ca="1">[1]!BexGetData("DP_1","003N8EMH8GTFRCSWKMPXRRL3Y","GSON4223930108")</f>
        <v>#NAME?</v>
      </c>
      <c r="F3124" s="23" t="e">
        <f ca="1">[1]!BexGetData("DP_1","003N8EMH8GTFRCSWKMPXRRRFI","GSON4223930108")</f>
        <v>#NAME?</v>
      </c>
      <c r="G3124" s="23" t="e">
        <f ca="1">[1]!BexGetData("DP_1","003N8EMH8GTFRCSWKMPXRRXR2","GSON4223930108")</f>
        <v>#NAME?</v>
      </c>
      <c r="H3124" s="23" t="e">
        <f ca="1">[1]!BexGetData("DP_1","003N8EMH8GTFRCSWKMPXRS42M","GSON4223930108")</f>
        <v>#NAME?</v>
      </c>
      <c r="I3124" s="23" t="e">
        <f ca="1">[1]!BexGetData("DP_1","003N8EMH8GTFRCSWKMPXRSAE6","GSON4223930108")</f>
        <v>#NAME?</v>
      </c>
      <c r="J3124" s="24" t="e">
        <f ca="1">[1]!BexGetData("DP_1","003N8EMH8GTFRCSWKMPXRSGPQ","GSON4223930108")</f>
        <v>#NAME?</v>
      </c>
      <c r="K3124" s="23" t="e">
        <f ca="1">[1]!BexGetData("DP_1","003N8EMH8GTFRIVNUPY288VJH","GSON4223930108")</f>
        <v>#NAME?</v>
      </c>
      <c r="L3124" s="23" t="e">
        <f ca="1">[1]!BexGetData("DP_1","003N8EMH8GTFRIVNUPY2891V1","GSON4223930108")</f>
        <v>#NAME?</v>
      </c>
      <c r="M3124" s="28" t="e">
        <f ca="1">[1]!BexGetData("DP_1","003N8EMH8GTFRIVOG7KG9IQXA","GSON4223930108")</f>
        <v>#NAME?</v>
      </c>
      <c r="N3124" s="23" t="e">
        <f ca="1">[1]!BexGetData("DP_1","003N8EMH8GTFRIVOG7KG9IX8U","GSON4223930108")</f>
        <v>#NAME?</v>
      </c>
      <c r="O3124" s="28" t="e">
        <f ca="1">[1]!BexGetData("DP_1","003N8EMH8GTFRIVOG7KG9J3KE","GSON4223930108")</f>
        <v>#NAME?</v>
      </c>
      <c r="P3124" s="23" t="e">
        <f ca="1">[1]!BexGetData("DP_1","003N8EMH8GTFRIVOG7KG9J9VY","GSON4223930108")</f>
        <v>#NAME?</v>
      </c>
      <c r="Q3124" s="24" t="e">
        <f ca="1">[1]!BexGetData("DP_1","00O2TNJGODT0G5Z4TTKYMM5MT","GSON4223930108")</f>
        <v>#NAME?</v>
      </c>
      <c r="R3124" s="23" t="e">
        <f ca="1">[1]!BexGetData("DP_1","00O2TNJGODT0G5Z4TTKYMMBYD","GSON4223930108")</f>
        <v>#NAME?</v>
      </c>
      <c r="S3124" s="23" t="e">
        <f ca="1">[1]!BexGetData("DP_1","00O2TNJGODT0G5Z4TTKYMMI9X","GSON4223930108")</f>
        <v>#NAME?</v>
      </c>
      <c r="T3124" s="23" t="e">
        <f ca="1">[1]!BexGetData("DP_1","00O2TNJGODT0G5Z4TTKYMMOLH","GSON4223930108")</f>
        <v>#NAME?</v>
      </c>
      <c r="U3124" s="28" t="e">
        <f ca="1">[1]!BexGetData("DP_1","00O2TNJGODT0G5Z4TTKYMMUX1","GSON4223930108")</f>
        <v>#NAME?</v>
      </c>
      <c r="V3124" s="23" t="e">
        <f ca="1">[1]!BexGetData("DP_1","00O2TNJGODT0G5Z4TTKYMN18L","GSON4223930108")</f>
        <v>#NAME?</v>
      </c>
      <c r="W3124" s="28" t="e">
        <f ca="1">[1]!BexGetData("DP_1","00O2TNJGODT0G5Z4TTKYMN7K5","GSON4223930108")</f>
        <v>#NAME?</v>
      </c>
    </row>
    <row r="3125" spans="1:23" x14ac:dyDescent="0.2">
      <c r="A3125" s="36" t="s">
        <v>1541</v>
      </c>
      <c r="B3125" s="27" t="s">
        <v>1542</v>
      </c>
      <c r="C3125" s="23" t="e">
        <f ca="1">[1]!BexGetData("DP_1","003N8EMH8GTFRCSWKMPXRR8GU","GSON4223930109")</f>
        <v>#NAME?</v>
      </c>
      <c r="D3125" s="23" t="e">
        <f ca="1">[1]!BexGetData("DP_1","003N8EMH8GTFRCSWKMPXRRESE","GSON4223930109")</f>
        <v>#NAME?</v>
      </c>
      <c r="E3125" s="23" t="e">
        <f ca="1">[1]!BexGetData("DP_1","003N8EMH8GTFRCSWKMPXRRL3Y","GSON4223930109")</f>
        <v>#NAME?</v>
      </c>
      <c r="F3125" s="23" t="e">
        <f ca="1">[1]!BexGetData("DP_1","003N8EMH8GTFRCSWKMPXRRRFI","GSON4223930109")</f>
        <v>#NAME?</v>
      </c>
      <c r="G3125" s="23" t="e">
        <f ca="1">[1]!BexGetData("DP_1","003N8EMH8GTFRCSWKMPXRRXR2","GSON4223930109")</f>
        <v>#NAME?</v>
      </c>
      <c r="H3125" s="23" t="e">
        <f ca="1">[1]!BexGetData("DP_1","003N8EMH8GTFRCSWKMPXRS42M","GSON4223930109")</f>
        <v>#NAME?</v>
      </c>
      <c r="I3125" s="23" t="e">
        <f ca="1">[1]!BexGetData("DP_1","003N8EMH8GTFRCSWKMPXRSAE6","GSON4223930109")</f>
        <v>#NAME?</v>
      </c>
      <c r="J3125" s="24" t="e">
        <f ca="1">[1]!BexGetData("DP_1","003N8EMH8GTFRCSWKMPXRSGPQ","GSON4223930109")</f>
        <v>#NAME?</v>
      </c>
      <c r="K3125" s="23" t="e">
        <f ca="1">[1]!BexGetData("DP_1","003N8EMH8GTFRIVNUPY288VJH","GSON4223930109")</f>
        <v>#NAME?</v>
      </c>
      <c r="L3125" s="23" t="e">
        <f ca="1">[1]!BexGetData("DP_1","003N8EMH8GTFRIVNUPY2891V1","GSON4223930109")</f>
        <v>#NAME?</v>
      </c>
      <c r="M3125" s="23" t="e">
        <f ca="1">[1]!BexGetData("DP_1","003N8EMH8GTFRIVOG7KG9IQXA","GSON4223930109")</f>
        <v>#NAME?</v>
      </c>
      <c r="N3125" s="28" t="e">
        <f ca="1">[1]!BexGetData("DP_1","003N8EMH8GTFRIVOG7KG9IX8U","GSON4223930109")</f>
        <v>#NAME?</v>
      </c>
      <c r="O3125" s="23" t="e">
        <f ca="1">[1]!BexGetData("DP_1","003N8EMH8GTFRIVOG7KG9J3KE","GSON4223930109")</f>
        <v>#NAME?</v>
      </c>
      <c r="P3125" s="28" t="e">
        <f ca="1">[1]!BexGetData("DP_1","003N8EMH8GTFRIVOG7KG9J9VY","GSON4223930109")</f>
        <v>#NAME?</v>
      </c>
      <c r="Q3125" s="24" t="e">
        <f ca="1">[1]!BexGetData("DP_1","00O2TNJGODT0G5Z4TTKYMM5MT","GSON4223930109")</f>
        <v>#NAME?</v>
      </c>
      <c r="R3125" s="23" t="e">
        <f ca="1">[1]!BexGetData("DP_1","00O2TNJGODT0G5Z4TTKYMMBYD","GSON4223930109")</f>
        <v>#NAME?</v>
      </c>
      <c r="S3125" s="23" t="e">
        <f ca="1">[1]!BexGetData("DP_1","00O2TNJGODT0G5Z4TTKYMMI9X","GSON4223930109")</f>
        <v>#NAME?</v>
      </c>
      <c r="T3125" s="23" t="e">
        <f ca="1">[1]!BexGetData("DP_1","00O2TNJGODT0G5Z4TTKYMMOLH","GSON4223930109")</f>
        <v>#NAME?</v>
      </c>
      <c r="U3125" s="28" t="e">
        <f ca="1">[1]!BexGetData("DP_1","00O2TNJGODT0G5Z4TTKYMMUX1","GSON4223930109")</f>
        <v>#NAME?</v>
      </c>
      <c r="V3125" s="23" t="e">
        <f ca="1">[1]!BexGetData("DP_1","00O2TNJGODT0G5Z4TTKYMN18L","GSON4223930109")</f>
        <v>#NAME?</v>
      </c>
      <c r="W3125" s="28" t="e">
        <f ca="1">[1]!BexGetData("DP_1","00O2TNJGODT0G5Z4TTKYMN7K5","GSON4223930109")</f>
        <v>#NAME?</v>
      </c>
    </row>
    <row r="3126" spans="1:23" x14ac:dyDescent="0.2">
      <c r="A3126" s="36" t="s">
        <v>6479</v>
      </c>
      <c r="B3126" s="27" t="s">
        <v>6480</v>
      </c>
      <c r="C3126" s="28" t="e">
        <f ca="1">[1]!BexGetData("DP_1","003N8EMH8GTFRCSWKMPXRR8GU","GSON4223930111")</f>
        <v>#NAME?</v>
      </c>
      <c r="D3126" s="23" t="e">
        <f ca="1">[1]!BexGetData("DP_1","003N8EMH8GTFRCSWKMPXRRESE","GSON4223930111")</f>
        <v>#NAME?</v>
      </c>
      <c r="E3126" s="23" t="e">
        <f ca="1">[1]!BexGetData("DP_1","003N8EMH8GTFRCSWKMPXRRL3Y","GSON4223930111")</f>
        <v>#NAME?</v>
      </c>
      <c r="F3126" s="24" t="e">
        <f ca="1">[1]!BexGetData("DP_1","003N8EMH8GTFRCSWKMPXRRRFI","GSON4223930111")</f>
        <v>#NAME?</v>
      </c>
      <c r="G3126" s="24" t="e">
        <f ca="1">[1]!BexGetData("DP_1","003N8EMH8GTFRCSWKMPXRRXR2","GSON4223930111")</f>
        <v>#NAME?</v>
      </c>
      <c r="H3126" s="24" t="e">
        <f ca="1">[1]!BexGetData("DP_1","003N8EMH8GTFRCSWKMPXRS42M","GSON4223930111")</f>
        <v>#NAME?</v>
      </c>
      <c r="I3126" s="24" t="e">
        <f ca="1">[1]!BexGetData("DP_1","003N8EMH8GTFRCSWKMPXRSAE6","GSON4223930111")</f>
        <v>#NAME?</v>
      </c>
      <c r="J3126" s="24" t="e">
        <f ca="1">[1]!BexGetData("DP_1","003N8EMH8GTFRCSWKMPXRSGPQ","GSON4223930111")</f>
        <v>#NAME?</v>
      </c>
      <c r="K3126" s="23" t="e">
        <f ca="1">[1]!BexGetData("DP_1","003N8EMH8GTFRIVNUPY288VJH","GSON4223930111")</f>
        <v>#NAME?</v>
      </c>
      <c r="L3126" s="23" t="e">
        <f ca="1">[1]!BexGetData("DP_1","003N8EMH8GTFRIVNUPY2891V1","GSON4223930111")</f>
        <v>#NAME?</v>
      </c>
      <c r="M3126" s="23" t="e">
        <f ca="1">[1]!BexGetData("DP_1","003N8EMH8GTFRIVOG7KG9IQXA","GSON4223930111")</f>
        <v>#NAME?</v>
      </c>
      <c r="N3126" s="28" t="e">
        <f ca="1">[1]!BexGetData("DP_1","003N8EMH8GTFRIVOG7KG9IX8U","GSON4223930111")</f>
        <v>#NAME?</v>
      </c>
      <c r="O3126" s="23" t="e">
        <f ca="1">[1]!BexGetData("DP_1","003N8EMH8GTFRIVOG7KG9J3KE","GSON4223930111")</f>
        <v>#NAME?</v>
      </c>
      <c r="P3126" s="28" t="e">
        <f ca="1">[1]!BexGetData("DP_1","003N8EMH8GTFRIVOG7KG9J9VY","GSON4223930111")</f>
        <v>#NAME?</v>
      </c>
      <c r="Q3126" s="24" t="e">
        <f ca="1">[1]!BexGetData("DP_1","00O2TNJGODT0G5Z4TTKYMM5MT","GSON4223930111")</f>
        <v>#NAME?</v>
      </c>
      <c r="R3126" s="24" t="e">
        <f ca="1">[1]!BexGetData("DP_1","00O2TNJGODT0G5Z4TTKYMMBYD","GSON4223930111")</f>
        <v>#NAME?</v>
      </c>
      <c r="S3126" s="24" t="e">
        <f ca="1">[1]!BexGetData("DP_1","00O2TNJGODT0G5Z4TTKYMMI9X","GSON4223930111")</f>
        <v>#NAME?</v>
      </c>
      <c r="T3126" s="24" t="e">
        <f ca="1">[1]!BexGetData("DP_1","00O2TNJGODT0G5Z4TTKYMMOLH","GSON4223930111")</f>
        <v>#NAME?</v>
      </c>
      <c r="U3126" s="24" t="e">
        <f ca="1">[1]!BexGetData("DP_1","00O2TNJGODT0G5Z4TTKYMMUX1","GSON4223930111")</f>
        <v>#NAME?</v>
      </c>
      <c r="V3126" s="24" t="e">
        <f ca="1">[1]!BexGetData("DP_1","00O2TNJGODT0G5Z4TTKYMN18L","GSON4223930111")</f>
        <v>#NAME?</v>
      </c>
      <c r="W3126" s="24" t="e">
        <f ca="1">[1]!BexGetData("DP_1","00O2TNJGODT0G5Z4TTKYMN7K5","GSON4223930111")</f>
        <v>#NAME?</v>
      </c>
    </row>
    <row r="3127" spans="1:23" x14ac:dyDescent="0.2">
      <c r="A3127" s="36" t="s">
        <v>6481</v>
      </c>
      <c r="B3127" s="27" t="s">
        <v>6482</v>
      </c>
      <c r="C3127" s="28" t="e">
        <f ca="1">[1]!BexGetData("DP_1","003N8EMH8GTFRCSWKMPXRR8GU","GSON4223930112")</f>
        <v>#NAME?</v>
      </c>
      <c r="D3127" s="23" t="e">
        <f ca="1">[1]!BexGetData("DP_1","003N8EMH8GTFRCSWKMPXRRESE","GSON4223930112")</f>
        <v>#NAME?</v>
      </c>
      <c r="E3127" s="23" t="e">
        <f ca="1">[1]!BexGetData("DP_1","003N8EMH8GTFRCSWKMPXRRL3Y","GSON4223930112")</f>
        <v>#NAME?</v>
      </c>
      <c r="F3127" s="23" t="e">
        <f ca="1">[1]!BexGetData("DP_1","003N8EMH8GTFRCSWKMPXRRRFI","GSON4223930112")</f>
        <v>#NAME?</v>
      </c>
      <c r="G3127" s="23" t="e">
        <f ca="1">[1]!BexGetData("DP_1","003N8EMH8GTFRCSWKMPXRRXR2","GSON4223930112")</f>
        <v>#NAME?</v>
      </c>
      <c r="H3127" s="23" t="e">
        <f ca="1">[1]!BexGetData("DP_1","003N8EMH8GTFRCSWKMPXRS42M","GSON4223930112")</f>
        <v>#NAME?</v>
      </c>
      <c r="I3127" s="23" t="e">
        <f ca="1">[1]!BexGetData("DP_1","003N8EMH8GTFRCSWKMPXRSAE6","GSON4223930112")</f>
        <v>#NAME?</v>
      </c>
      <c r="J3127" s="24" t="e">
        <f ca="1">[1]!BexGetData("DP_1","003N8EMH8GTFRCSWKMPXRSGPQ","GSON4223930112")</f>
        <v>#NAME?</v>
      </c>
      <c r="K3127" s="23" t="e">
        <f ca="1">[1]!BexGetData("DP_1","003N8EMH8GTFRIVNUPY288VJH","GSON4223930112")</f>
        <v>#NAME?</v>
      </c>
      <c r="L3127" s="23" t="e">
        <f ca="1">[1]!BexGetData("DP_1","003N8EMH8GTFRIVNUPY2891V1","GSON4223930112")</f>
        <v>#NAME?</v>
      </c>
      <c r="M3127" s="23" t="e">
        <f ca="1">[1]!BexGetData("DP_1","003N8EMH8GTFRIVOG7KG9IQXA","GSON4223930112")</f>
        <v>#NAME?</v>
      </c>
      <c r="N3127" s="28" t="e">
        <f ca="1">[1]!BexGetData("DP_1","003N8EMH8GTFRIVOG7KG9IX8U","GSON4223930112")</f>
        <v>#NAME?</v>
      </c>
      <c r="O3127" s="23" t="e">
        <f ca="1">[1]!BexGetData("DP_1","003N8EMH8GTFRIVOG7KG9J3KE","GSON4223930112")</f>
        <v>#NAME?</v>
      </c>
      <c r="P3127" s="28" t="e">
        <f ca="1">[1]!BexGetData("DP_1","003N8EMH8GTFRIVOG7KG9J9VY","GSON4223930112")</f>
        <v>#NAME?</v>
      </c>
      <c r="Q3127" s="24" t="e">
        <f ca="1">[1]!BexGetData("DP_1","00O2TNJGODT0G5Z4TTKYMM5MT","GSON4223930112")</f>
        <v>#NAME?</v>
      </c>
      <c r="R3127" s="23" t="e">
        <f ca="1">[1]!BexGetData("DP_1","00O2TNJGODT0G5Z4TTKYMMBYD","GSON4223930112")</f>
        <v>#NAME?</v>
      </c>
      <c r="S3127" s="23" t="e">
        <f ca="1">[1]!BexGetData("DP_1","00O2TNJGODT0G5Z4TTKYMMI9X","GSON4223930112")</f>
        <v>#NAME?</v>
      </c>
      <c r="T3127" s="23" t="e">
        <f ca="1">[1]!BexGetData("DP_1","00O2TNJGODT0G5Z4TTKYMMOLH","GSON4223930112")</f>
        <v>#NAME?</v>
      </c>
      <c r="U3127" s="28" t="e">
        <f ca="1">[1]!BexGetData("DP_1","00O2TNJGODT0G5Z4TTKYMMUX1","GSON4223930112")</f>
        <v>#NAME?</v>
      </c>
      <c r="V3127" s="23" t="e">
        <f ca="1">[1]!BexGetData("DP_1","00O2TNJGODT0G5Z4TTKYMN18L","GSON4223930112")</f>
        <v>#NAME?</v>
      </c>
      <c r="W3127" s="28" t="e">
        <f ca="1">[1]!BexGetData("DP_1","00O2TNJGODT0G5Z4TTKYMN7K5","GSON4223930112")</f>
        <v>#NAME?</v>
      </c>
    </row>
    <row r="3128" spans="1:23" x14ac:dyDescent="0.2">
      <c r="A3128" s="36" t="s">
        <v>6483</v>
      </c>
      <c r="B3128" s="27" t="s">
        <v>6484</v>
      </c>
      <c r="C3128" s="23" t="e">
        <f ca="1">[1]!BexGetData("DP_1","003N8EMH8GTFRCSWKMPXRR8GU","GSON4223930113")</f>
        <v>#NAME?</v>
      </c>
      <c r="D3128" s="23" t="e">
        <f ca="1">[1]!BexGetData("DP_1","003N8EMH8GTFRCSWKMPXRRESE","GSON4223930113")</f>
        <v>#NAME?</v>
      </c>
      <c r="E3128" s="23" t="e">
        <f ca="1">[1]!BexGetData("DP_1","003N8EMH8GTFRCSWKMPXRRL3Y","GSON4223930113")</f>
        <v>#NAME?</v>
      </c>
      <c r="F3128" s="23" t="e">
        <f ca="1">[1]!BexGetData("DP_1","003N8EMH8GTFRCSWKMPXRRRFI","GSON4223930113")</f>
        <v>#NAME?</v>
      </c>
      <c r="G3128" s="23" t="e">
        <f ca="1">[1]!BexGetData("DP_1","003N8EMH8GTFRCSWKMPXRRXR2","GSON4223930113")</f>
        <v>#NAME?</v>
      </c>
      <c r="H3128" s="23" t="e">
        <f ca="1">[1]!BexGetData("DP_1","003N8EMH8GTFRCSWKMPXRS42M","GSON4223930113")</f>
        <v>#NAME?</v>
      </c>
      <c r="I3128" s="23" t="e">
        <f ca="1">[1]!BexGetData("DP_1","003N8EMH8GTFRCSWKMPXRSAE6","GSON4223930113")</f>
        <v>#NAME?</v>
      </c>
      <c r="J3128" s="24" t="e">
        <f ca="1">[1]!BexGetData("DP_1","003N8EMH8GTFRCSWKMPXRSGPQ","GSON4223930113")</f>
        <v>#NAME?</v>
      </c>
      <c r="K3128" s="23" t="e">
        <f ca="1">[1]!BexGetData("DP_1","003N8EMH8GTFRIVNUPY288VJH","GSON4223930113")</f>
        <v>#NAME?</v>
      </c>
      <c r="L3128" s="23" t="e">
        <f ca="1">[1]!BexGetData("DP_1","003N8EMH8GTFRIVNUPY2891V1","GSON4223930113")</f>
        <v>#NAME?</v>
      </c>
      <c r="M3128" s="28" t="e">
        <f ca="1">[1]!BexGetData("DP_1","003N8EMH8GTFRIVOG7KG9IQXA","GSON4223930113")</f>
        <v>#NAME?</v>
      </c>
      <c r="N3128" s="23" t="e">
        <f ca="1">[1]!BexGetData("DP_1","003N8EMH8GTFRIVOG7KG9IX8U","GSON4223930113")</f>
        <v>#NAME?</v>
      </c>
      <c r="O3128" s="28" t="e">
        <f ca="1">[1]!BexGetData("DP_1","003N8EMH8GTFRIVOG7KG9J3KE","GSON4223930113")</f>
        <v>#NAME?</v>
      </c>
      <c r="P3128" s="23" t="e">
        <f ca="1">[1]!BexGetData("DP_1","003N8EMH8GTFRIVOG7KG9J9VY","GSON4223930113")</f>
        <v>#NAME?</v>
      </c>
      <c r="Q3128" s="24" t="e">
        <f ca="1">[1]!BexGetData("DP_1","00O2TNJGODT0G5Z4TTKYMM5MT","GSON4223930113")</f>
        <v>#NAME?</v>
      </c>
      <c r="R3128" s="23" t="e">
        <f ca="1">[1]!BexGetData("DP_1","00O2TNJGODT0G5Z4TTKYMMBYD","GSON4223930113")</f>
        <v>#NAME?</v>
      </c>
      <c r="S3128" s="23" t="e">
        <f ca="1">[1]!BexGetData("DP_1","00O2TNJGODT0G5Z4TTKYMMI9X","GSON4223930113")</f>
        <v>#NAME?</v>
      </c>
      <c r="T3128" s="23" t="e">
        <f ca="1">[1]!BexGetData("DP_1","00O2TNJGODT0G5Z4TTKYMMOLH","GSON4223930113")</f>
        <v>#NAME?</v>
      </c>
      <c r="U3128" s="28" t="e">
        <f ca="1">[1]!BexGetData("DP_1","00O2TNJGODT0G5Z4TTKYMMUX1","GSON4223930113")</f>
        <v>#NAME?</v>
      </c>
      <c r="V3128" s="23" t="e">
        <f ca="1">[1]!BexGetData("DP_1","00O2TNJGODT0G5Z4TTKYMN18L","GSON4223930113")</f>
        <v>#NAME?</v>
      </c>
      <c r="W3128" s="28" t="e">
        <f ca="1">[1]!BexGetData("DP_1","00O2TNJGODT0G5Z4TTKYMN7K5","GSON4223930113")</f>
        <v>#NAME?</v>
      </c>
    </row>
    <row r="3129" spans="1:23" x14ac:dyDescent="0.2">
      <c r="A3129" s="36" t="s">
        <v>6485</v>
      </c>
      <c r="B3129" s="27" t="s">
        <v>6486</v>
      </c>
      <c r="C3129" s="28" t="e">
        <f ca="1">[1]!BexGetData("DP_1","003N8EMH8GTFRCSWKMPXRR8GU","GSON4223930114")</f>
        <v>#NAME?</v>
      </c>
      <c r="D3129" s="23" t="e">
        <f ca="1">[1]!BexGetData("DP_1","003N8EMH8GTFRCSWKMPXRRESE","GSON4223930114")</f>
        <v>#NAME?</v>
      </c>
      <c r="E3129" s="23" t="e">
        <f ca="1">[1]!BexGetData("DP_1","003N8EMH8GTFRCSWKMPXRRL3Y","GSON4223930114")</f>
        <v>#NAME?</v>
      </c>
      <c r="F3129" s="23" t="e">
        <f ca="1">[1]!BexGetData("DP_1","003N8EMH8GTFRCSWKMPXRRRFI","GSON4223930114")</f>
        <v>#NAME?</v>
      </c>
      <c r="G3129" s="23" t="e">
        <f ca="1">[1]!BexGetData("DP_1","003N8EMH8GTFRCSWKMPXRRXR2","GSON4223930114")</f>
        <v>#NAME?</v>
      </c>
      <c r="H3129" s="23" t="e">
        <f ca="1">[1]!BexGetData("DP_1","003N8EMH8GTFRCSWKMPXRS42M","GSON4223930114")</f>
        <v>#NAME?</v>
      </c>
      <c r="I3129" s="23" t="e">
        <f ca="1">[1]!BexGetData("DP_1","003N8EMH8GTFRCSWKMPXRSAE6","GSON4223930114")</f>
        <v>#NAME?</v>
      </c>
      <c r="J3129" s="24" t="e">
        <f ca="1">[1]!BexGetData("DP_1","003N8EMH8GTFRCSWKMPXRSGPQ","GSON4223930114")</f>
        <v>#NAME?</v>
      </c>
      <c r="K3129" s="23" t="e">
        <f ca="1">[1]!BexGetData("DP_1","003N8EMH8GTFRIVNUPY288VJH","GSON4223930114")</f>
        <v>#NAME?</v>
      </c>
      <c r="L3129" s="23" t="e">
        <f ca="1">[1]!BexGetData("DP_1","003N8EMH8GTFRIVNUPY2891V1","GSON4223930114")</f>
        <v>#NAME?</v>
      </c>
      <c r="M3129" s="28" t="e">
        <f ca="1">[1]!BexGetData("DP_1","003N8EMH8GTFRIVOG7KG9IQXA","GSON4223930114")</f>
        <v>#NAME?</v>
      </c>
      <c r="N3129" s="23" t="e">
        <f ca="1">[1]!BexGetData("DP_1","003N8EMH8GTFRIVOG7KG9IX8U","GSON4223930114")</f>
        <v>#NAME?</v>
      </c>
      <c r="O3129" s="28" t="e">
        <f ca="1">[1]!BexGetData("DP_1","003N8EMH8GTFRIVOG7KG9J3KE","GSON4223930114")</f>
        <v>#NAME?</v>
      </c>
      <c r="P3129" s="23" t="e">
        <f ca="1">[1]!BexGetData("DP_1","003N8EMH8GTFRIVOG7KG9J9VY","GSON4223930114")</f>
        <v>#NAME?</v>
      </c>
      <c r="Q3129" s="24" t="e">
        <f ca="1">[1]!BexGetData("DP_1","00O2TNJGODT0G5Z4TTKYMM5MT","GSON4223930114")</f>
        <v>#NAME?</v>
      </c>
      <c r="R3129" s="23" t="e">
        <f ca="1">[1]!BexGetData("DP_1","00O2TNJGODT0G5Z4TTKYMMBYD","GSON4223930114")</f>
        <v>#NAME?</v>
      </c>
      <c r="S3129" s="23" t="e">
        <f ca="1">[1]!BexGetData("DP_1","00O2TNJGODT0G5Z4TTKYMMI9X","GSON4223930114")</f>
        <v>#NAME?</v>
      </c>
      <c r="T3129" s="23" t="e">
        <f ca="1">[1]!BexGetData("DP_1","00O2TNJGODT0G5Z4TTKYMMOLH","GSON4223930114")</f>
        <v>#NAME?</v>
      </c>
      <c r="U3129" s="28" t="e">
        <f ca="1">[1]!BexGetData("DP_1","00O2TNJGODT0G5Z4TTKYMMUX1","GSON4223930114")</f>
        <v>#NAME?</v>
      </c>
      <c r="V3129" s="23" t="e">
        <f ca="1">[1]!BexGetData("DP_1","00O2TNJGODT0G5Z4TTKYMN18L","GSON4223930114")</f>
        <v>#NAME?</v>
      </c>
      <c r="W3129" s="28" t="e">
        <f ca="1">[1]!BexGetData("DP_1","00O2TNJGODT0G5Z4TTKYMN7K5","GSON4223930114")</f>
        <v>#NAME?</v>
      </c>
    </row>
    <row r="3130" spans="1:23" x14ac:dyDescent="0.2">
      <c r="A3130" s="36" t="s">
        <v>6487</v>
      </c>
      <c r="B3130" s="27" t="s">
        <v>6488</v>
      </c>
      <c r="C3130" s="28" t="e">
        <f ca="1">[1]!BexGetData("DP_1","003N8EMH8GTFRCSWKMPXRR8GU","GSON4223930115")</f>
        <v>#NAME?</v>
      </c>
      <c r="D3130" s="23" t="e">
        <f ca="1">[1]!BexGetData("DP_1","003N8EMH8GTFRCSWKMPXRRESE","GSON4223930115")</f>
        <v>#NAME?</v>
      </c>
      <c r="E3130" s="23" t="e">
        <f ca="1">[1]!BexGetData("DP_1","003N8EMH8GTFRCSWKMPXRRL3Y","GSON4223930115")</f>
        <v>#NAME?</v>
      </c>
      <c r="F3130" s="23" t="e">
        <f ca="1">[1]!BexGetData("DP_1","003N8EMH8GTFRCSWKMPXRRRFI","GSON4223930115")</f>
        <v>#NAME?</v>
      </c>
      <c r="G3130" s="23" t="e">
        <f ca="1">[1]!BexGetData("DP_1","003N8EMH8GTFRCSWKMPXRRXR2","GSON4223930115")</f>
        <v>#NAME?</v>
      </c>
      <c r="H3130" s="23" t="e">
        <f ca="1">[1]!BexGetData("DP_1","003N8EMH8GTFRCSWKMPXRS42M","GSON4223930115")</f>
        <v>#NAME?</v>
      </c>
      <c r="I3130" s="23" t="e">
        <f ca="1">[1]!BexGetData("DP_1","003N8EMH8GTFRCSWKMPXRSAE6","GSON4223930115")</f>
        <v>#NAME?</v>
      </c>
      <c r="J3130" s="24" t="e">
        <f ca="1">[1]!BexGetData("DP_1","003N8EMH8GTFRCSWKMPXRSGPQ","GSON4223930115")</f>
        <v>#NAME?</v>
      </c>
      <c r="K3130" s="23" t="e">
        <f ca="1">[1]!BexGetData("DP_1","003N8EMH8GTFRIVNUPY288VJH","GSON4223930115")</f>
        <v>#NAME?</v>
      </c>
      <c r="L3130" s="23" t="e">
        <f ca="1">[1]!BexGetData("DP_1","003N8EMH8GTFRIVNUPY2891V1","GSON4223930115")</f>
        <v>#NAME?</v>
      </c>
      <c r="M3130" s="28" t="e">
        <f ca="1">[1]!BexGetData("DP_1","003N8EMH8GTFRIVOG7KG9IQXA","GSON4223930115")</f>
        <v>#NAME?</v>
      </c>
      <c r="N3130" s="23" t="e">
        <f ca="1">[1]!BexGetData("DP_1","003N8EMH8GTFRIVOG7KG9IX8U","GSON4223930115")</f>
        <v>#NAME?</v>
      </c>
      <c r="O3130" s="28" t="e">
        <f ca="1">[1]!BexGetData("DP_1","003N8EMH8GTFRIVOG7KG9J3KE","GSON4223930115")</f>
        <v>#NAME?</v>
      </c>
      <c r="P3130" s="23" t="e">
        <f ca="1">[1]!BexGetData("DP_1","003N8EMH8GTFRIVOG7KG9J9VY","GSON4223930115")</f>
        <v>#NAME?</v>
      </c>
      <c r="Q3130" s="24" t="e">
        <f ca="1">[1]!BexGetData("DP_1","00O2TNJGODT0G5Z4TTKYMM5MT","GSON4223930115")</f>
        <v>#NAME?</v>
      </c>
      <c r="R3130" s="23" t="e">
        <f ca="1">[1]!BexGetData("DP_1","00O2TNJGODT0G5Z4TTKYMMBYD","GSON4223930115")</f>
        <v>#NAME?</v>
      </c>
      <c r="S3130" s="23" t="e">
        <f ca="1">[1]!BexGetData("DP_1","00O2TNJGODT0G5Z4TTKYMMI9X","GSON4223930115")</f>
        <v>#NAME?</v>
      </c>
      <c r="T3130" s="23" t="e">
        <f ca="1">[1]!BexGetData("DP_1","00O2TNJGODT0G5Z4TTKYMMOLH","GSON4223930115")</f>
        <v>#NAME?</v>
      </c>
      <c r="U3130" s="28" t="e">
        <f ca="1">[1]!BexGetData("DP_1","00O2TNJGODT0G5Z4TTKYMMUX1","GSON4223930115")</f>
        <v>#NAME?</v>
      </c>
      <c r="V3130" s="23" t="e">
        <f ca="1">[1]!BexGetData("DP_1","00O2TNJGODT0G5Z4TTKYMN18L","GSON4223930115")</f>
        <v>#NAME?</v>
      </c>
      <c r="W3130" s="28" t="e">
        <f ca="1">[1]!BexGetData("DP_1","00O2TNJGODT0G5Z4TTKYMN7K5","GSON4223930115")</f>
        <v>#NAME?</v>
      </c>
    </row>
    <row r="3131" spans="1:23" x14ac:dyDescent="0.2">
      <c r="A3131" s="36" t="s">
        <v>6489</v>
      </c>
      <c r="B3131" s="27" t="s">
        <v>6490</v>
      </c>
      <c r="C3131" s="24" t="e">
        <f ca="1">[1]!BexGetData("DP_1","003N8EMH8GTFRCSWKMPXRR8GU","GSON4223930116")</f>
        <v>#NAME?</v>
      </c>
      <c r="D3131" s="24" t="e">
        <f ca="1">[1]!BexGetData("DP_1","003N8EMH8GTFRCSWKMPXRRESE","GSON4223930116")</f>
        <v>#NAME?</v>
      </c>
      <c r="E3131" s="24" t="e">
        <f ca="1">[1]!BexGetData("DP_1","003N8EMH8GTFRCSWKMPXRRL3Y","GSON4223930116")</f>
        <v>#NAME?</v>
      </c>
      <c r="F3131" s="23" t="e">
        <f ca="1">[1]!BexGetData("DP_1","003N8EMH8GTFRCSWKMPXRRRFI","GSON4223930116")</f>
        <v>#NAME?</v>
      </c>
      <c r="G3131" s="28" t="e">
        <f ca="1">[1]!BexGetData("DP_1","003N8EMH8GTFRCSWKMPXRRXR2","GSON4223930116")</f>
        <v>#NAME?</v>
      </c>
      <c r="H3131" s="23" t="e">
        <f ca="1">[1]!BexGetData("DP_1","003N8EMH8GTFRCSWKMPXRS42M","GSON4223930116")</f>
        <v>#NAME?</v>
      </c>
      <c r="I3131" s="23" t="e">
        <f ca="1">[1]!BexGetData("DP_1","003N8EMH8GTFRCSWKMPXRSAE6","GSON4223930116")</f>
        <v>#NAME?</v>
      </c>
      <c r="J3131" s="24" t="e">
        <f ca="1">[1]!BexGetData("DP_1","003N8EMH8GTFRCSWKMPXRSGPQ","GSON4223930116")</f>
        <v>#NAME?</v>
      </c>
      <c r="K3131" s="23" t="e">
        <f ca="1">[1]!BexGetData("DP_1","003N8EMH8GTFRIVNUPY288VJH","GSON4223930116")</f>
        <v>#NAME?</v>
      </c>
      <c r="L3131" s="23" t="e">
        <f ca="1">[1]!BexGetData("DP_1","003N8EMH8GTFRIVNUPY2891V1","GSON4223930116")</f>
        <v>#NAME?</v>
      </c>
      <c r="M3131" s="28" t="e">
        <f ca="1">[1]!BexGetData("DP_1","003N8EMH8GTFRIVOG7KG9IQXA","GSON4223930116")</f>
        <v>#NAME?</v>
      </c>
      <c r="N3131" s="23" t="e">
        <f ca="1">[1]!BexGetData("DP_1","003N8EMH8GTFRIVOG7KG9IX8U","GSON4223930116")</f>
        <v>#NAME?</v>
      </c>
      <c r="O3131" s="28" t="e">
        <f ca="1">[1]!BexGetData("DP_1","003N8EMH8GTFRIVOG7KG9J3KE","GSON4223930116")</f>
        <v>#NAME?</v>
      </c>
      <c r="P3131" s="23" t="e">
        <f ca="1">[1]!BexGetData("DP_1","003N8EMH8GTFRIVOG7KG9J9VY","GSON4223930116")</f>
        <v>#NAME?</v>
      </c>
      <c r="Q3131" s="24" t="e">
        <f ca="1">[1]!BexGetData("DP_1","00O2TNJGODT0G5Z4TTKYMM5MT","GSON4223930116")</f>
        <v>#NAME?</v>
      </c>
      <c r="R3131" s="23" t="e">
        <f ca="1">[1]!BexGetData("DP_1","00O2TNJGODT0G5Z4TTKYMMBYD","GSON4223930116")</f>
        <v>#NAME?</v>
      </c>
      <c r="S3131" s="23" t="e">
        <f ca="1">[1]!BexGetData("DP_1","00O2TNJGODT0G5Z4TTKYMMI9X","GSON4223930116")</f>
        <v>#NAME?</v>
      </c>
      <c r="T3131" s="23" t="e">
        <f ca="1">[1]!BexGetData("DP_1","00O2TNJGODT0G5Z4TTKYMMOLH","GSON4223930116")</f>
        <v>#NAME?</v>
      </c>
      <c r="U3131" s="28" t="e">
        <f ca="1">[1]!BexGetData("DP_1","00O2TNJGODT0G5Z4TTKYMMUX1","GSON4223930116")</f>
        <v>#NAME?</v>
      </c>
      <c r="V3131" s="23" t="e">
        <f ca="1">[1]!BexGetData("DP_1","00O2TNJGODT0G5Z4TTKYMN18L","GSON4223930116")</f>
        <v>#NAME?</v>
      </c>
      <c r="W3131" s="28" t="e">
        <f ca="1">[1]!BexGetData("DP_1","00O2TNJGODT0G5Z4TTKYMN7K5","GSON4223930116")</f>
        <v>#NAME?</v>
      </c>
    </row>
    <row r="3132" spans="1:23" x14ac:dyDescent="0.2">
      <c r="A3132" s="36" t="s">
        <v>6491</v>
      </c>
      <c r="B3132" s="27" t="s">
        <v>6492</v>
      </c>
      <c r="C3132" s="23" t="e">
        <f ca="1">[1]!BexGetData("DP_1","003N8EMH8GTFRCSWKMPXRR8GU","GSON4223930119")</f>
        <v>#NAME?</v>
      </c>
      <c r="D3132" s="23" t="e">
        <f ca="1">[1]!BexGetData("DP_1","003N8EMH8GTFRCSWKMPXRRESE","GSON4223930119")</f>
        <v>#NAME?</v>
      </c>
      <c r="E3132" s="23" t="e">
        <f ca="1">[1]!BexGetData("DP_1","003N8EMH8GTFRCSWKMPXRRL3Y","GSON4223930119")</f>
        <v>#NAME?</v>
      </c>
      <c r="F3132" s="24" t="e">
        <f ca="1">[1]!BexGetData("DP_1","003N8EMH8GTFRCSWKMPXRRRFI","GSON4223930119")</f>
        <v>#NAME?</v>
      </c>
      <c r="G3132" s="24" t="e">
        <f ca="1">[1]!BexGetData("DP_1","003N8EMH8GTFRCSWKMPXRRXR2","GSON4223930119")</f>
        <v>#NAME?</v>
      </c>
      <c r="H3132" s="24" t="e">
        <f ca="1">[1]!BexGetData("DP_1","003N8EMH8GTFRCSWKMPXRS42M","GSON4223930119")</f>
        <v>#NAME?</v>
      </c>
      <c r="I3132" s="24" t="e">
        <f ca="1">[1]!BexGetData("DP_1","003N8EMH8GTFRCSWKMPXRSAE6","GSON4223930119")</f>
        <v>#NAME?</v>
      </c>
      <c r="J3132" s="24" t="e">
        <f ca="1">[1]!BexGetData("DP_1","003N8EMH8GTFRCSWKMPXRSGPQ","GSON4223930119")</f>
        <v>#NAME?</v>
      </c>
      <c r="K3132" s="23" t="e">
        <f ca="1">[1]!BexGetData("DP_1","003N8EMH8GTFRIVNUPY288VJH","GSON4223930119")</f>
        <v>#NAME?</v>
      </c>
      <c r="L3132" s="23" t="e">
        <f ca="1">[1]!BexGetData("DP_1","003N8EMH8GTFRIVNUPY2891V1","GSON4223930119")</f>
        <v>#NAME?</v>
      </c>
      <c r="M3132" s="23" t="e">
        <f ca="1">[1]!BexGetData("DP_1","003N8EMH8GTFRIVOG7KG9IQXA","GSON4223930119")</f>
        <v>#NAME?</v>
      </c>
      <c r="N3132" s="28" t="e">
        <f ca="1">[1]!BexGetData("DP_1","003N8EMH8GTFRIVOG7KG9IX8U","GSON4223930119")</f>
        <v>#NAME?</v>
      </c>
      <c r="O3132" s="23" t="e">
        <f ca="1">[1]!BexGetData("DP_1","003N8EMH8GTFRIVOG7KG9J3KE","GSON4223930119")</f>
        <v>#NAME?</v>
      </c>
      <c r="P3132" s="28" t="e">
        <f ca="1">[1]!BexGetData("DP_1","003N8EMH8GTFRIVOG7KG9J9VY","GSON4223930119")</f>
        <v>#NAME?</v>
      </c>
      <c r="Q3132" s="24" t="e">
        <f ca="1">[1]!BexGetData("DP_1","00O2TNJGODT0G5Z4TTKYMM5MT","GSON4223930119")</f>
        <v>#NAME?</v>
      </c>
      <c r="R3132" s="24" t="e">
        <f ca="1">[1]!BexGetData("DP_1","00O2TNJGODT0G5Z4TTKYMMBYD","GSON4223930119")</f>
        <v>#NAME?</v>
      </c>
      <c r="S3132" s="24" t="e">
        <f ca="1">[1]!BexGetData("DP_1","00O2TNJGODT0G5Z4TTKYMMI9X","GSON4223930119")</f>
        <v>#NAME?</v>
      </c>
      <c r="T3132" s="24" t="e">
        <f ca="1">[1]!BexGetData("DP_1","00O2TNJGODT0G5Z4TTKYMMOLH","GSON4223930119")</f>
        <v>#NAME?</v>
      </c>
      <c r="U3132" s="24" t="e">
        <f ca="1">[1]!BexGetData("DP_1","00O2TNJGODT0G5Z4TTKYMMUX1","GSON4223930119")</f>
        <v>#NAME?</v>
      </c>
      <c r="V3132" s="24" t="e">
        <f ca="1">[1]!BexGetData("DP_1","00O2TNJGODT0G5Z4TTKYMN18L","GSON4223930119")</f>
        <v>#NAME?</v>
      </c>
      <c r="W3132" s="24" t="e">
        <f ca="1">[1]!BexGetData("DP_1","00O2TNJGODT0G5Z4TTKYMN7K5","GSON4223930119")</f>
        <v>#NAME?</v>
      </c>
    </row>
    <row r="3133" spans="1:23" x14ac:dyDescent="0.2">
      <c r="A3133" s="36" t="s">
        <v>6493</v>
      </c>
      <c r="B3133" s="27" t="s">
        <v>6494</v>
      </c>
      <c r="C3133" s="28" t="e">
        <f ca="1">[1]!BexGetData("DP_1","003N8EMH8GTFRCSWKMPXRR8GU","GSON4223930121")</f>
        <v>#NAME?</v>
      </c>
      <c r="D3133" s="23" t="e">
        <f ca="1">[1]!BexGetData("DP_1","003N8EMH8GTFRCSWKMPXRRESE","GSON4223930121")</f>
        <v>#NAME?</v>
      </c>
      <c r="E3133" s="23" t="e">
        <f ca="1">[1]!BexGetData("DP_1","003N8EMH8GTFRCSWKMPXRRL3Y","GSON4223930121")</f>
        <v>#NAME?</v>
      </c>
      <c r="F3133" s="24" t="e">
        <f ca="1">[1]!BexGetData("DP_1","003N8EMH8GTFRCSWKMPXRRRFI","GSON4223930121")</f>
        <v>#NAME?</v>
      </c>
      <c r="G3133" s="24" t="e">
        <f ca="1">[1]!BexGetData("DP_1","003N8EMH8GTFRCSWKMPXRRXR2","GSON4223930121")</f>
        <v>#NAME?</v>
      </c>
      <c r="H3133" s="24" t="e">
        <f ca="1">[1]!BexGetData("DP_1","003N8EMH8GTFRCSWKMPXRS42M","GSON4223930121")</f>
        <v>#NAME?</v>
      </c>
      <c r="I3133" s="24" t="e">
        <f ca="1">[1]!BexGetData("DP_1","003N8EMH8GTFRCSWKMPXRSAE6","GSON4223930121")</f>
        <v>#NAME?</v>
      </c>
      <c r="J3133" s="24" t="e">
        <f ca="1">[1]!BexGetData("DP_1","003N8EMH8GTFRCSWKMPXRSGPQ","GSON4223930121")</f>
        <v>#NAME?</v>
      </c>
      <c r="K3133" s="23" t="e">
        <f ca="1">[1]!BexGetData("DP_1","003N8EMH8GTFRIVNUPY288VJH","GSON4223930121")</f>
        <v>#NAME?</v>
      </c>
      <c r="L3133" s="23" t="e">
        <f ca="1">[1]!BexGetData("DP_1","003N8EMH8GTFRIVNUPY2891V1","GSON4223930121")</f>
        <v>#NAME?</v>
      </c>
      <c r="M3133" s="23" t="e">
        <f ca="1">[1]!BexGetData("DP_1","003N8EMH8GTFRIVOG7KG9IQXA","GSON4223930121")</f>
        <v>#NAME?</v>
      </c>
      <c r="N3133" s="28" t="e">
        <f ca="1">[1]!BexGetData("DP_1","003N8EMH8GTFRIVOG7KG9IX8U","GSON4223930121")</f>
        <v>#NAME?</v>
      </c>
      <c r="O3133" s="23" t="e">
        <f ca="1">[1]!BexGetData("DP_1","003N8EMH8GTFRIVOG7KG9J3KE","GSON4223930121")</f>
        <v>#NAME?</v>
      </c>
      <c r="P3133" s="28" t="e">
        <f ca="1">[1]!BexGetData("DP_1","003N8EMH8GTFRIVOG7KG9J9VY","GSON4223930121")</f>
        <v>#NAME?</v>
      </c>
      <c r="Q3133" s="24" t="e">
        <f ca="1">[1]!BexGetData("DP_1","00O2TNJGODT0G5Z4TTKYMM5MT","GSON4223930121")</f>
        <v>#NAME?</v>
      </c>
      <c r="R3133" s="24" t="e">
        <f ca="1">[1]!BexGetData("DP_1","00O2TNJGODT0G5Z4TTKYMMBYD","GSON4223930121")</f>
        <v>#NAME?</v>
      </c>
      <c r="S3133" s="24" t="e">
        <f ca="1">[1]!BexGetData("DP_1","00O2TNJGODT0G5Z4TTKYMMI9X","GSON4223930121")</f>
        <v>#NAME?</v>
      </c>
      <c r="T3133" s="24" t="e">
        <f ca="1">[1]!BexGetData("DP_1","00O2TNJGODT0G5Z4TTKYMMOLH","GSON4223930121")</f>
        <v>#NAME?</v>
      </c>
      <c r="U3133" s="24" t="e">
        <f ca="1">[1]!BexGetData("DP_1","00O2TNJGODT0G5Z4TTKYMMUX1","GSON4223930121")</f>
        <v>#NAME?</v>
      </c>
      <c r="V3133" s="24" t="e">
        <f ca="1">[1]!BexGetData("DP_1","00O2TNJGODT0G5Z4TTKYMN18L","GSON4223930121")</f>
        <v>#NAME?</v>
      </c>
      <c r="W3133" s="24" t="e">
        <f ca="1">[1]!BexGetData("DP_1","00O2TNJGODT0G5Z4TTKYMN7K5","GSON4223930121")</f>
        <v>#NAME?</v>
      </c>
    </row>
    <row r="3134" spans="1:23" x14ac:dyDescent="0.2">
      <c r="A3134" s="36" t="s">
        <v>6495</v>
      </c>
      <c r="B3134" s="27" t="s">
        <v>6496</v>
      </c>
      <c r="C3134" s="28" t="e">
        <f ca="1">[1]!BexGetData("DP_1","003N8EMH8GTFRCSWKMPXRR8GU","GSON4223930122")</f>
        <v>#NAME?</v>
      </c>
      <c r="D3134" s="23" t="e">
        <f ca="1">[1]!BexGetData("DP_1","003N8EMH8GTFRCSWKMPXRRESE","GSON4223930122")</f>
        <v>#NAME?</v>
      </c>
      <c r="E3134" s="23" t="e">
        <f ca="1">[1]!BexGetData("DP_1","003N8EMH8GTFRCSWKMPXRRL3Y","GSON4223930122")</f>
        <v>#NAME?</v>
      </c>
      <c r="F3134" s="24" t="e">
        <f ca="1">[1]!BexGetData("DP_1","003N8EMH8GTFRCSWKMPXRRRFI","GSON4223930122")</f>
        <v>#NAME?</v>
      </c>
      <c r="G3134" s="24" t="e">
        <f ca="1">[1]!BexGetData("DP_1","003N8EMH8GTFRCSWKMPXRRXR2","GSON4223930122")</f>
        <v>#NAME?</v>
      </c>
      <c r="H3134" s="24" t="e">
        <f ca="1">[1]!BexGetData("DP_1","003N8EMH8GTFRCSWKMPXRS42M","GSON4223930122")</f>
        <v>#NAME?</v>
      </c>
      <c r="I3134" s="24" t="e">
        <f ca="1">[1]!BexGetData("DP_1","003N8EMH8GTFRCSWKMPXRSAE6","GSON4223930122")</f>
        <v>#NAME?</v>
      </c>
      <c r="J3134" s="24" t="e">
        <f ca="1">[1]!BexGetData("DP_1","003N8EMH8GTFRCSWKMPXRSGPQ","GSON4223930122")</f>
        <v>#NAME?</v>
      </c>
      <c r="K3134" s="23" t="e">
        <f ca="1">[1]!BexGetData("DP_1","003N8EMH8GTFRIVNUPY288VJH","GSON4223930122")</f>
        <v>#NAME?</v>
      </c>
      <c r="L3134" s="23" t="e">
        <f ca="1">[1]!BexGetData("DP_1","003N8EMH8GTFRIVNUPY2891V1","GSON4223930122")</f>
        <v>#NAME?</v>
      </c>
      <c r="M3134" s="23" t="e">
        <f ca="1">[1]!BexGetData("DP_1","003N8EMH8GTFRIVOG7KG9IQXA","GSON4223930122")</f>
        <v>#NAME?</v>
      </c>
      <c r="N3134" s="28" t="e">
        <f ca="1">[1]!BexGetData("DP_1","003N8EMH8GTFRIVOG7KG9IX8U","GSON4223930122")</f>
        <v>#NAME?</v>
      </c>
      <c r="O3134" s="23" t="e">
        <f ca="1">[1]!BexGetData("DP_1","003N8EMH8GTFRIVOG7KG9J3KE","GSON4223930122")</f>
        <v>#NAME?</v>
      </c>
      <c r="P3134" s="28" t="e">
        <f ca="1">[1]!BexGetData("DP_1","003N8EMH8GTFRIVOG7KG9J9VY","GSON4223930122")</f>
        <v>#NAME?</v>
      </c>
      <c r="Q3134" s="24" t="e">
        <f ca="1">[1]!BexGetData("DP_1","00O2TNJGODT0G5Z4TTKYMM5MT","GSON4223930122")</f>
        <v>#NAME?</v>
      </c>
      <c r="R3134" s="24" t="e">
        <f ca="1">[1]!BexGetData("DP_1","00O2TNJGODT0G5Z4TTKYMMBYD","GSON4223930122")</f>
        <v>#NAME?</v>
      </c>
      <c r="S3134" s="24" t="e">
        <f ca="1">[1]!BexGetData("DP_1","00O2TNJGODT0G5Z4TTKYMMI9X","GSON4223930122")</f>
        <v>#NAME?</v>
      </c>
      <c r="T3134" s="24" t="e">
        <f ca="1">[1]!BexGetData("DP_1","00O2TNJGODT0G5Z4TTKYMMOLH","GSON4223930122")</f>
        <v>#NAME?</v>
      </c>
      <c r="U3134" s="24" t="e">
        <f ca="1">[1]!BexGetData("DP_1","00O2TNJGODT0G5Z4TTKYMMUX1","GSON4223930122")</f>
        <v>#NAME?</v>
      </c>
      <c r="V3134" s="24" t="e">
        <f ca="1">[1]!BexGetData("DP_1","00O2TNJGODT0G5Z4TTKYMN18L","GSON4223930122")</f>
        <v>#NAME?</v>
      </c>
      <c r="W3134" s="24" t="e">
        <f ca="1">[1]!BexGetData("DP_1","00O2TNJGODT0G5Z4TTKYMN7K5","GSON4223930122")</f>
        <v>#NAME?</v>
      </c>
    </row>
    <row r="3135" spans="1:23" x14ac:dyDescent="0.2">
      <c r="A3135" s="33" t="s">
        <v>722</v>
      </c>
      <c r="B3135" s="27" t="s">
        <v>723</v>
      </c>
      <c r="C3135" s="23" t="e">
        <f ca="1">[1]!BexGetData("DP_1","003N8EMH8GTFRCSWKMPXRR8GU","GSON43")</f>
        <v>#NAME?</v>
      </c>
      <c r="D3135" s="23" t="e">
        <f ca="1">[1]!BexGetData("DP_1","003N8EMH8GTFRCSWKMPXRRESE","GSON43")</f>
        <v>#NAME?</v>
      </c>
      <c r="E3135" s="23" t="e">
        <f ca="1">[1]!BexGetData("DP_1","003N8EMH8GTFRCSWKMPXRRL3Y","GSON43")</f>
        <v>#NAME?</v>
      </c>
      <c r="F3135" s="23" t="e">
        <f ca="1">[1]!BexGetData("DP_1","003N8EMH8GTFRCSWKMPXRRRFI","GSON43")</f>
        <v>#NAME?</v>
      </c>
      <c r="G3135" s="23" t="e">
        <f ca="1">[1]!BexGetData("DP_1","003N8EMH8GTFRCSWKMPXRRXR2","GSON43")</f>
        <v>#NAME?</v>
      </c>
      <c r="H3135" s="23" t="e">
        <f ca="1">[1]!BexGetData("DP_1","003N8EMH8GTFRCSWKMPXRS42M","GSON43")</f>
        <v>#NAME?</v>
      </c>
      <c r="I3135" s="23" t="e">
        <f ca="1">[1]!BexGetData("DP_1","003N8EMH8GTFRCSWKMPXRSAE6","GSON43")</f>
        <v>#NAME?</v>
      </c>
      <c r="J3135" s="24" t="e">
        <f ca="1">[1]!BexGetData("DP_1","003N8EMH8GTFRCSWKMPXRSGPQ","GSON43")</f>
        <v>#NAME?</v>
      </c>
      <c r="K3135" s="23" t="e">
        <f ca="1">[1]!BexGetData("DP_1","003N8EMH8GTFRIVNUPY288VJH","GSON43")</f>
        <v>#NAME?</v>
      </c>
      <c r="L3135" s="23" t="e">
        <f ca="1">[1]!BexGetData("DP_1","003N8EMH8GTFRIVNUPY2891V1","GSON43")</f>
        <v>#NAME?</v>
      </c>
      <c r="M3135" s="28" t="e">
        <f ca="1">[1]!BexGetData("DP_1","003N8EMH8GTFRIVOG7KG9IQXA","GSON43")</f>
        <v>#NAME?</v>
      </c>
      <c r="N3135" s="23" t="e">
        <f ca="1">[1]!BexGetData("DP_1","003N8EMH8GTFRIVOG7KG9IX8U","GSON43")</f>
        <v>#NAME?</v>
      </c>
      <c r="O3135" s="28" t="e">
        <f ca="1">[1]!BexGetData("DP_1","003N8EMH8GTFRIVOG7KG9J3KE","GSON43")</f>
        <v>#NAME?</v>
      </c>
      <c r="P3135" s="23" t="e">
        <f ca="1">[1]!BexGetData("DP_1","003N8EMH8GTFRIVOG7KG9J9VY","GSON43")</f>
        <v>#NAME?</v>
      </c>
      <c r="Q3135" s="24" t="e">
        <f ca="1">[1]!BexGetData("DP_1","00O2TNJGODT0G5Z4TTKYMM5MT","GSON43")</f>
        <v>#NAME?</v>
      </c>
      <c r="R3135" s="23" t="e">
        <f ca="1">[1]!BexGetData("DP_1","00O2TNJGODT0G5Z4TTKYMMBYD","GSON43")</f>
        <v>#NAME?</v>
      </c>
      <c r="S3135" s="23" t="e">
        <f ca="1">[1]!BexGetData("DP_1","00O2TNJGODT0G5Z4TTKYMMI9X","GSON43")</f>
        <v>#NAME?</v>
      </c>
      <c r="T3135" s="23" t="e">
        <f ca="1">[1]!BexGetData("DP_1","00O2TNJGODT0G5Z4TTKYMMOLH","GSON43")</f>
        <v>#NAME?</v>
      </c>
      <c r="U3135" s="28" t="e">
        <f ca="1">[1]!BexGetData("DP_1","00O2TNJGODT0G5Z4TTKYMMUX1","GSON43")</f>
        <v>#NAME?</v>
      </c>
      <c r="V3135" s="23" t="e">
        <f ca="1">[1]!BexGetData("DP_1","00O2TNJGODT0G5Z4TTKYMN18L","GSON43")</f>
        <v>#NAME?</v>
      </c>
      <c r="W3135" s="28" t="e">
        <f ca="1">[1]!BexGetData("DP_1","00O2TNJGODT0G5Z4TTKYMN7K5","GSON43")</f>
        <v>#NAME?</v>
      </c>
    </row>
    <row r="3136" spans="1:23" x14ac:dyDescent="0.2">
      <c r="A3136" s="34" t="s">
        <v>722</v>
      </c>
      <c r="B3136" s="27" t="s">
        <v>724</v>
      </c>
      <c r="C3136" s="23" t="e">
        <f ca="1">[1]!BexGetData("DP_1","003N8EMH8GTFRCSWKMPXRR8GU","GSON439")</f>
        <v>#NAME?</v>
      </c>
      <c r="D3136" s="23" t="e">
        <f ca="1">[1]!BexGetData("DP_1","003N8EMH8GTFRCSWKMPXRRESE","GSON439")</f>
        <v>#NAME?</v>
      </c>
      <c r="E3136" s="23" t="e">
        <f ca="1">[1]!BexGetData("DP_1","003N8EMH8GTFRCSWKMPXRRL3Y","GSON439")</f>
        <v>#NAME?</v>
      </c>
      <c r="F3136" s="23" t="e">
        <f ca="1">[1]!BexGetData("DP_1","003N8EMH8GTFRCSWKMPXRRRFI","GSON439")</f>
        <v>#NAME?</v>
      </c>
      <c r="G3136" s="23" t="e">
        <f ca="1">[1]!BexGetData("DP_1","003N8EMH8GTFRCSWKMPXRRXR2","GSON439")</f>
        <v>#NAME?</v>
      </c>
      <c r="H3136" s="23" t="e">
        <f ca="1">[1]!BexGetData("DP_1","003N8EMH8GTFRCSWKMPXRS42M","GSON439")</f>
        <v>#NAME?</v>
      </c>
      <c r="I3136" s="23" t="e">
        <f ca="1">[1]!BexGetData("DP_1","003N8EMH8GTFRCSWKMPXRSAE6","GSON439")</f>
        <v>#NAME?</v>
      </c>
      <c r="J3136" s="24" t="e">
        <f ca="1">[1]!BexGetData("DP_1","003N8EMH8GTFRCSWKMPXRSGPQ","GSON439")</f>
        <v>#NAME?</v>
      </c>
      <c r="K3136" s="23" t="e">
        <f ca="1">[1]!BexGetData("DP_1","003N8EMH8GTFRIVNUPY288VJH","GSON439")</f>
        <v>#NAME?</v>
      </c>
      <c r="L3136" s="23" t="e">
        <f ca="1">[1]!BexGetData("DP_1","003N8EMH8GTFRIVNUPY2891V1","GSON439")</f>
        <v>#NAME?</v>
      </c>
      <c r="M3136" s="28" t="e">
        <f ca="1">[1]!BexGetData("DP_1","003N8EMH8GTFRIVOG7KG9IQXA","GSON439")</f>
        <v>#NAME?</v>
      </c>
      <c r="N3136" s="23" t="e">
        <f ca="1">[1]!BexGetData("DP_1","003N8EMH8GTFRIVOG7KG9IX8U","GSON439")</f>
        <v>#NAME?</v>
      </c>
      <c r="O3136" s="28" t="e">
        <f ca="1">[1]!BexGetData("DP_1","003N8EMH8GTFRIVOG7KG9J3KE","GSON439")</f>
        <v>#NAME?</v>
      </c>
      <c r="P3136" s="23" t="e">
        <f ca="1">[1]!BexGetData("DP_1","003N8EMH8GTFRIVOG7KG9J9VY","GSON439")</f>
        <v>#NAME?</v>
      </c>
      <c r="Q3136" s="24" t="e">
        <f ca="1">[1]!BexGetData("DP_1","00O2TNJGODT0G5Z4TTKYMM5MT","GSON439")</f>
        <v>#NAME?</v>
      </c>
      <c r="R3136" s="23" t="e">
        <f ca="1">[1]!BexGetData("DP_1","00O2TNJGODT0G5Z4TTKYMMBYD","GSON439")</f>
        <v>#NAME?</v>
      </c>
      <c r="S3136" s="23" t="e">
        <f ca="1">[1]!BexGetData("DP_1","00O2TNJGODT0G5Z4TTKYMMI9X","GSON439")</f>
        <v>#NAME?</v>
      </c>
      <c r="T3136" s="23" t="e">
        <f ca="1">[1]!BexGetData("DP_1","00O2TNJGODT0G5Z4TTKYMMOLH","GSON439")</f>
        <v>#NAME?</v>
      </c>
      <c r="U3136" s="28" t="e">
        <f ca="1">[1]!BexGetData("DP_1","00O2TNJGODT0G5Z4TTKYMMUX1","GSON439")</f>
        <v>#NAME?</v>
      </c>
      <c r="V3136" s="23" t="e">
        <f ca="1">[1]!BexGetData("DP_1","00O2TNJGODT0G5Z4TTKYMN18L","GSON439")</f>
        <v>#NAME?</v>
      </c>
      <c r="W3136" s="28" t="e">
        <f ca="1">[1]!BexGetData("DP_1","00O2TNJGODT0G5Z4TTKYMN7K5","GSON439")</f>
        <v>#NAME?</v>
      </c>
    </row>
    <row r="3137" spans="1:23" x14ac:dyDescent="0.2">
      <c r="A3137" s="35" t="s">
        <v>6497</v>
      </c>
      <c r="B3137" s="27" t="s">
        <v>6498</v>
      </c>
      <c r="C3137" s="24" t="e">
        <f ca="1">[1]!BexGetData("DP_1","003N8EMH8GTFRCSWKMPXRR8GU","GSON4395")</f>
        <v>#NAME?</v>
      </c>
      <c r="D3137" s="24" t="e">
        <f ca="1">[1]!BexGetData("DP_1","003N8EMH8GTFRCSWKMPXRRESE","GSON4395")</f>
        <v>#NAME?</v>
      </c>
      <c r="E3137" s="24" t="e">
        <f ca="1">[1]!BexGetData("DP_1","003N8EMH8GTFRCSWKMPXRRL3Y","GSON4395")</f>
        <v>#NAME?</v>
      </c>
      <c r="F3137" s="23" t="e">
        <f ca="1">[1]!BexGetData("DP_1","003N8EMH8GTFRCSWKMPXRRRFI","GSON4395")</f>
        <v>#NAME?</v>
      </c>
      <c r="G3137" s="28" t="e">
        <f ca="1">[1]!BexGetData("DP_1","003N8EMH8GTFRCSWKMPXRRXR2","GSON4395")</f>
        <v>#NAME?</v>
      </c>
      <c r="H3137" s="23" t="e">
        <f ca="1">[1]!BexGetData("DP_1","003N8EMH8GTFRCSWKMPXRS42M","GSON4395")</f>
        <v>#NAME?</v>
      </c>
      <c r="I3137" s="23" t="e">
        <f ca="1">[1]!BexGetData("DP_1","003N8EMH8GTFRCSWKMPXRSAE6","GSON4395")</f>
        <v>#NAME?</v>
      </c>
      <c r="J3137" s="24" t="e">
        <f ca="1">[1]!BexGetData("DP_1","003N8EMH8GTFRCSWKMPXRSGPQ","GSON4395")</f>
        <v>#NAME?</v>
      </c>
      <c r="K3137" s="23" t="e">
        <f ca="1">[1]!BexGetData("DP_1","003N8EMH8GTFRIVNUPY288VJH","GSON4395")</f>
        <v>#NAME?</v>
      </c>
      <c r="L3137" s="23" t="e">
        <f ca="1">[1]!BexGetData("DP_1","003N8EMH8GTFRIVNUPY2891V1","GSON4395")</f>
        <v>#NAME?</v>
      </c>
      <c r="M3137" s="28" t="e">
        <f ca="1">[1]!BexGetData("DP_1","003N8EMH8GTFRIVOG7KG9IQXA","GSON4395")</f>
        <v>#NAME?</v>
      </c>
      <c r="N3137" s="23" t="e">
        <f ca="1">[1]!BexGetData("DP_1","003N8EMH8GTFRIVOG7KG9IX8U","GSON4395")</f>
        <v>#NAME?</v>
      </c>
      <c r="O3137" s="28" t="e">
        <f ca="1">[1]!BexGetData("DP_1","003N8EMH8GTFRIVOG7KG9J3KE","GSON4395")</f>
        <v>#NAME?</v>
      </c>
      <c r="P3137" s="23" t="e">
        <f ca="1">[1]!BexGetData("DP_1","003N8EMH8GTFRIVOG7KG9J9VY","GSON4395")</f>
        <v>#NAME?</v>
      </c>
      <c r="Q3137" s="24" t="e">
        <f ca="1">[1]!BexGetData("DP_1","00O2TNJGODT0G5Z4TTKYMM5MT","GSON4395")</f>
        <v>#NAME?</v>
      </c>
      <c r="R3137" s="23" t="e">
        <f ca="1">[1]!BexGetData("DP_1","00O2TNJGODT0G5Z4TTKYMMBYD","GSON4395")</f>
        <v>#NAME?</v>
      </c>
      <c r="S3137" s="23" t="e">
        <f ca="1">[1]!BexGetData("DP_1","00O2TNJGODT0G5Z4TTKYMMI9X","GSON4395")</f>
        <v>#NAME?</v>
      </c>
      <c r="T3137" s="23" t="e">
        <f ca="1">[1]!BexGetData("DP_1","00O2TNJGODT0G5Z4TTKYMMOLH","GSON4395")</f>
        <v>#NAME?</v>
      </c>
      <c r="U3137" s="28" t="e">
        <f ca="1">[1]!BexGetData("DP_1","00O2TNJGODT0G5Z4TTKYMMUX1","GSON4395")</f>
        <v>#NAME?</v>
      </c>
      <c r="V3137" s="23" t="e">
        <f ca="1">[1]!BexGetData("DP_1","00O2TNJGODT0G5Z4TTKYMN18L","GSON4395")</f>
        <v>#NAME?</v>
      </c>
      <c r="W3137" s="28" t="e">
        <f ca="1">[1]!BexGetData("DP_1","00O2TNJGODT0G5Z4TTKYMN7K5","GSON4395")</f>
        <v>#NAME?</v>
      </c>
    </row>
    <row r="3138" spans="1:23" x14ac:dyDescent="0.2">
      <c r="A3138" s="36" t="s">
        <v>6499</v>
      </c>
      <c r="B3138" s="27" t="s">
        <v>6500</v>
      </c>
      <c r="C3138" s="24" t="e">
        <f ca="1">[1]!BexGetData("DP_1","003N8EMH8GTFRCSWKMPXRR8GU","GSON4395100001")</f>
        <v>#NAME?</v>
      </c>
      <c r="D3138" s="24" t="e">
        <f ca="1">[1]!BexGetData("DP_1","003N8EMH8GTFRCSWKMPXRRESE","GSON4395100001")</f>
        <v>#NAME?</v>
      </c>
      <c r="E3138" s="24" t="e">
        <f ca="1">[1]!BexGetData("DP_1","003N8EMH8GTFRCSWKMPXRRL3Y","GSON4395100001")</f>
        <v>#NAME?</v>
      </c>
      <c r="F3138" s="23" t="e">
        <f ca="1">[1]!BexGetData("DP_1","003N8EMH8GTFRCSWKMPXRRRFI","GSON4395100001")</f>
        <v>#NAME?</v>
      </c>
      <c r="G3138" s="28" t="e">
        <f ca="1">[1]!BexGetData("DP_1","003N8EMH8GTFRCSWKMPXRRXR2","GSON4395100001")</f>
        <v>#NAME?</v>
      </c>
      <c r="H3138" s="23" t="e">
        <f ca="1">[1]!BexGetData("DP_1","003N8EMH8GTFRCSWKMPXRS42M","GSON4395100001")</f>
        <v>#NAME?</v>
      </c>
      <c r="I3138" s="23" t="e">
        <f ca="1">[1]!BexGetData("DP_1","003N8EMH8GTFRCSWKMPXRSAE6","GSON4395100001")</f>
        <v>#NAME?</v>
      </c>
      <c r="J3138" s="24" t="e">
        <f ca="1">[1]!BexGetData("DP_1","003N8EMH8GTFRCSWKMPXRSGPQ","GSON4395100001")</f>
        <v>#NAME?</v>
      </c>
      <c r="K3138" s="23" t="e">
        <f ca="1">[1]!BexGetData("DP_1","003N8EMH8GTFRIVNUPY288VJH","GSON4395100001")</f>
        <v>#NAME?</v>
      </c>
      <c r="L3138" s="23" t="e">
        <f ca="1">[1]!BexGetData("DP_1","003N8EMH8GTFRIVNUPY2891V1","GSON4395100001")</f>
        <v>#NAME?</v>
      </c>
      <c r="M3138" s="28" t="e">
        <f ca="1">[1]!BexGetData("DP_1","003N8EMH8GTFRIVOG7KG9IQXA","GSON4395100001")</f>
        <v>#NAME?</v>
      </c>
      <c r="N3138" s="23" t="e">
        <f ca="1">[1]!BexGetData("DP_1","003N8EMH8GTFRIVOG7KG9IX8U","GSON4395100001")</f>
        <v>#NAME?</v>
      </c>
      <c r="O3138" s="28" t="e">
        <f ca="1">[1]!BexGetData("DP_1","003N8EMH8GTFRIVOG7KG9J3KE","GSON4395100001")</f>
        <v>#NAME?</v>
      </c>
      <c r="P3138" s="23" t="e">
        <f ca="1">[1]!BexGetData("DP_1","003N8EMH8GTFRIVOG7KG9J9VY","GSON4395100001")</f>
        <v>#NAME?</v>
      </c>
      <c r="Q3138" s="24" t="e">
        <f ca="1">[1]!BexGetData("DP_1","00O2TNJGODT0G5Z4TTKYMM5MT","GSON4395100001")</f>
        <v>#NAME?</v>
      </c>
      <c r="R3138" s="23" t="e">
        <f ca="1">[1]!BexGetData("DP_1","00O2TNJGODT0G5Z4TTKYMMBYD","GSON4395100001")</f>
        <v>#NAME?</v>
      </c>
      <c r="S3138" s="23" t="e">
        <f ca="1">[1]!BexGetData("DP_1","00O2TNJGODT0G5Z4TTKYMMI9X","GSON4395100001")</f>
        <v>#NAME?</v>
      </c>
      <c r="T3138" s="23" t="e">
        <f ca="1">[1]!BexGetData("DP_1","00O2TNJGODT0G5Z4TTKYMMOLH","GSON4395100001")</f>
        <v>#NAME?</v>
      </c>
      <c r="U3138" s="28" t="e">
        <f ca="1">[1]!BexGetData("DP_1","00O2TNJGODT0G5Z4TTKYMMUX1","GSON4395100001")</f>
        <v>#NAME?</v>
      </c>
      <c r="V3138" s="23" t="e">
        <f ca="1">[1]!BexGetData("DP_1","00O2TNJGODT0G5Z4TTKYMN18L","GSON4395100001")</f>
        <v>#NAME?</v>
      </c>
      <c r="W3138" s="28" t="e">
        <f ca="1">[1]!BexGetData("DP_1","00O2TNJGODT0G5Z4TTKYMN7K5","GSON4395100001")</f>
        <v>#NAME?</v>
      </c>
    </row>
    <row r="3139" spans="1:23" x14ac:dyDescent="0.2">
      <c r="A3139" s="35" t="s">
        <v>6501</v>
      </c>
      <c r="B3139" s="27" t="s">
        <v>6502</v>
      </c>
      <c r="C3139" s="28" t="e">
        <f ca="1">[1]!BexGetData("DP_1","003N8EMH8GTFRCSWKMPXRR8GU","GSON4396")</f>
        <v>#NAME?</v>
      </c>
      <c r="D3139" s="23" t="e">
        <f ca="1">[1]!BexGetData("DP_1","003N8EMH8GTFRCSWKMPXRRESE","GSON4396")</f>
        <v>#NAME?</v>
      </c>
      <c r="E3139" s="23" t="e">
        <f ca="1">[1]!BexGetData("DP_1","003N8EMH8GTFRCSWKMPXRRL3Y","GSON4396")</f>
        <v>#NAME?</v>
      </c>
      <c r="F3139" s="24" t="e">
        <f ca="1">[1]!BexGetData("DP_1","003N8EMH8GTFRCSWKMPXRRRFI","GSON4396")</f>
        <v>#NAME?</v>
      </c>
      <c r="G3139" s="24" t="e">
        <f ca="1">[1]!BexGetData("DP_1","003N8EMH8GTFRCSWKMPXRRXR2","GSON4396")</f>
        <v>#NAME?</v>
      </c>
      <c r="H3139" s="24" t="e">
        <f ca="1">[1]!BexGetData("DP_1","003N8EMH8GTFRCSWKMPXRS42M","GSON4396")</f>
        <v>#NAME?</v>
      </c>
      <c r="I3139" s="24" t="e">
        <f ca="1">[1]!BexGetData("DP_1","003N8EMH8GTFRCSWKMPXRSAE6","GSON4396")</f>
        <v>#NAME?</v>
      </c>
      <c r="J3139" s="24" t="e">
        <f ca="1">[1]!BexGetData("DP_1","003N8EMH8GTFRCSWKMPXRSGPQ","GSON4396")</f>
        <v>#NAME?</v>
      </c>
      <c r="K3139" s="23" t="e">
        <f ca="1">[1]!BexGetData("DP_1","003N8EMH8GTFRIVNUPY288VJH","GSON4396")</f>
        <v>#NAME?</v>
      </c>
      <c r="L3139" s="23" t="e">
        <f ca="1">[1]!BexGetData("DP_1","003N8EMH8GTFRIVNUPY2891V1","GSON4396")</f>
        <v>#NAME?</v>
      </c>
      <c r="M3139" s="23" t="e">
        <f ca="1">[1]!BexGetData("DP_1","003N8EMH8GTFRIVOG7KG9IQXA","GSON4396")</f>
        <v>#NAME?</v>
      </c>
      <c r="N3139" s="28" t="e">
        <f ca="1">[1]!BexGetData("DP_1","003N8EMH8GTFRIVOG7KG9IX8U","GSON4396")</f>
        <v>#NAME?</v>
      </c>
      <c r="O3139" s="23" t="e">
        <f ca="1">[1]!BexGetData("DP_1","003N8EMH8GTFRIVOG7KG9J3KE","GSON4396")</f>
        <v>#NAME?</v>
      </c>
      <c r="P3139" s="28" t="e">
        <f ca="1">[1]!BexGetData("DP_1","003N8EMH8GTFRIVOG7KG9J9VY","GSON4396")</f>
        <v>#NAME?</v>
      </c>
      <c r="Q3139" s="24" t="e">
        <f ca="1">[1]!BexGetData("DP_1","00O2TNJGODT0G5Z4TTKYMM5MT","GSON4396")</f>
        <v>#NAME?</v>
      </c>
      <c r="R3139" s="24" t="e">
        <f ca="1">[1]!BexGetData("DP_1","00O2TNJGODT0G5Z4TTKYMMBYD","GSON4396")</f>
        <v>#NAME?</v>
      </c>
      <c r="S3139" s="24" t="e">
        <f ca="1">[1]!BexGetData("DP_1","00O2TNJGODT0G5Z4TTKYMMI9X","GSON4396")</f>
        <v>#NAME?</v>
      </c>
      <c r="T3139" s="24" t="e">
        <f ca="1">[1]!BexGetData("DP_1","00O2TNJGODT0G5Z4TTKYMMOLH","GSON4396")</f>
        <v>#NAME?</v>
      </c>
      <c r="U3139" s="24" t="e">
        <f ca="1">[1]!BexGetData("DP_1","00O2TNJGODT0G5Z4TTKYMMUX1","GSON4396")</f>
        <v>#NAME?</v>
      </c>
      <c r="V3139" s="24" t="e">
        <f ca="1">[1]!BexGetData("DP_1","00O2TNJGODT0G5Z4TTKYMN18L","GSON4396")</f>
        <v>#NAME?</v>
      </c>
      <c r="W3139" s="24" t="e">
        <f ca="1">[1]!BexGetData("DP_1","00O2TNJGODT0G5Z4TTKYMN7K5","GSON4396")</f>
        <v>#NAME?</v>
      </c>
    </row>
    <row r="3140" spans="1:23" x14ac:dyDescent="0.2">
      <c r="A3140" s="36" t="s">
        <v>6503</v>
      </c>
      <c r="B3140" s="27" t="s">
        <v>6504</v>
      </c>
      <c r="C3140" s="28" t="e">
        <f ca="1">[1]!BexGetData("DP_1","003N8EMH8GTFRCSWKMPXRR8GU","GSON4396100001")</f>
        <v>#NAME?</v>
      </c>
      <c r="D3140" s="23" t="e">
        <f ca="1">[1]!BexGetData("DP_1","003N8EMH8GTFRCSWKMPXRRESE","GSON4396100001")</f>
        <v>#NAME?</v>
      </c>
      <c r="E3140" s="23" t="e">
        <f ca="1">[1]!BexGetData("DP_1","003N8EMH8GTFRCSWKMPXRRL3Y","GSON4396100001")</f>
        <v>#NAME?</v>
      </c>
      <c r="F3140" s="24" t="e">
        <f ca="1">[1]!BexGetData("DP_1","003N8EMH8GTFRCSWKMPXRRRFI","GSON4396100001")</f>
        <v>#NAME?</v>
      </c>
      <c r="G3140" s="24" t="e">
        <f ca="1">[1]!BexGetData("DP_1","003N8EMH8GTFRCSWKMPXRRXR2","GSON4396100001")</f>
        <v>#NAME?</v>
      </c>
      <c r="H3140" s="24" t="e">
        <f ca="1">[1]!BexGetData("DP_1","003N8EMH8GTFRCSWKMPXRS42M","GSON4396100001")</f>
        <v>#NAME?</v>
      </c>
      <c r="I3140" s="24" t="e">
        <f ca="1">[1]!BexGetData("DP_1","003N8EMH8GTFRCSWKMPXRSAE6","GSON4396100001")</f>
        <v>#NAME?</v>
      </c>
      <c r="J3140" s="24" t="e">
        <f ca="1">[1]!BexGetData("DP_1","003N8EMH8GTFRCSWKMPXRSGPQ","GSON4396100001")</f>
        <v>#NAME?</v>
      </c>
      <c r="K3140" s="23" t="e">
        <f ca="1">[1]!BexGetData("DP_1","003N8EMH8GTFRIVNUPY288VJH","GSON4396100001")</f>
        <v>#NAME?</v>
      </c>
      <c r="L3140" s="23" t="e">
        <f ca="1">[1]!BexGetData("DP_1","003N8EMH8GTFRIVNUPY2891V1","GSON4396100001")</f>
        <v>#NAME?</v>
      </c>
      <c r="M3140" s="23" t="e">
        <f ca="1">[1]!BexGetData("DP_1","003N8EMH8GTFRIVOG7KG9IQXA","GSON4396100001")</f>
        <v>#NAME?</v>
      </c>
      <c r="N3140" s="28" t="e">
        <f ca="1">[1]!BexGetData("DP_1","003N8EMH8GTFRIVOG7KG9IX8U","GSON4396100001")</f>
        <v>#NAME?</v>
      </c>
      <c r="O3140" s="23" t="e">
        <f ca="1">[1]!BexGetData("DP_1","003N8EMH8GTFRIVOG7KG9J3KE","GSON4396100001")</f>
        <v>#NAME?</v>
      </c>
      <c r="P3140" s="28" t="e">
        <f ca="1">[1]!BexGetData("DP_1","003N8EMH8GTFRIVOG7KG9J9VY","GSON4396100001")</f>
        <v>#NAME?</v>
      </c>
      <c r="Q3140" s="24" t="e">
        <f ca="1">[1]!BexGetData("DP_1","00O2TNJGODT0G5Z4TTKYMM5MT","GSON4396100001")</f>
        <v>#NAME?</v>
      </c>
      <c r="R3140" s="24" t="e">
        <f ca="1">[1]!BexGetData("DP_1","00O2TNJGODT0G5Z4TTKYMMBYD","GSON4396100001")</f>
        <v>#NAME?</v>
      </c>
      <c r="S3140" s="24" t="e">
        <f ca="1">[1]!BexGetData("DP_1","00O2TNJGODT0G5Z4TTKYMMI9X","GSON4396100001")</f>
        <v>#NAME?</v>
      </c>
      <c r="T3140" s="24" t="e">
        <f ca="1">[1]!BexGetData("DP_1","00O2TNJGODT0G5Z4TTKYMMOLH","GSON4396100001")</f>
        <v>#NAME?</v>
      </c>
      <c r="U3140" s="24" t="e">
        <f ca="1">[1]!BexGetData("DP_1","00O2TNJGODT0G5Z4TTKYMMUX1","GSON4396100001")</f>
        <v>#NAME?</v>
      </c>
      <c r="V3140" s="24" t="e">
        <f ca="1">[1]!BexGetData("DP_1","00O2TNJGODT0G5Z4TTKYMN18L","GSON4396100001")</f>
        <v>#NAME?</v>
      </c>
      <c r="W3140" s="24" t="e">
        <f ca="1">[1]!BexGetData("DP_1","00O2TNJGODT0G5Z4TTKYMN7K5","GSON4396100001")</f>
        <v>#NAME?</v>
      </c>
    </row>
    <row r="3141" spans="1:23" x14ac:dyDescent="0.2">
      <c r="A3141" s="35" t="s">
        <v>722</v>
      </c>
      <c r="B3141" s="27" t="s">
        <v>725</v>
      </c>
      <c r="C3141" s="23" t="e">
        <f ca="1">[1]!BexGetData("DP_1","003N8EMH8GTFRCSWKMPXRR8GU","GSON4399")</f>
        <v>#NAME?</v>
      </c>
      <c r="D3141" s="23" t="e">
        <f ca="1">[1]!BexGetData("DP_1","003N8EMH8GTFRCSWKMPXRRESE","GSON4399")</f>
        <v>#NAME?</v>
      </c>
      <c r="E3141" s="23" t="e">
        <f ca="1">[1]!BexGetData("DP_1","003N8EMH8GTFRCSWKMPXRRL3Y","GSON4399")</f>
        <v>#NAME?</v>
      </c>
      <c r="F3141" s="23" t="e">
        <f ca="1">[1]!BexGetData("DP_1","003N8EMH8GTFRCSWKMPXRRRFI","GSON4399")</f>
        <v>#NAME?</v>
      </c>
      <c r="G3141" s="23" t="e">
        <f ca="1">[1]!BexGetData("DP_1","003N8EMH8GTFRCSWKMPXRRXR2","GSON4399")</f>
        <v>#NAME?</v>
      </c>
      <c r="H3141" s="23" t="e">
        <f ca="1">[1]!BexGetData("DP_1","003N8EMH8GTFRCSWKMPXRS42M","GSON4399")</f>
        <v>#NAME?</v>
      </c>
      <c r="I3141" s="23" t="e">
        <f ca="1">[1]!BexGetData("DP_1","003N8EMH8GTFRCSWKMPXRSAE6","GSON4399")</f>
        <v>#NAME?</v>
      </c>
      <c r="J3141" s="24" t="e">
        <f ca="1">[1]!BexGetData("DP_1","003N8EMH8GTFRCSWKMPXRSGPQ","GSON4399")</f>
        <v>#NAME?</v>
      </c>
      <c r="K3141" s="23" t="e">
        <f ca="1">[1]!BexGetData("DP_1","003N8EMH8GTFRIVNUPY288VJH","GSON4399")</f>
        <v>#NAME?</v>
      </c>
      <c r="L3141" s="23" t="e">
        <f ca="1">[1]!BexGetData("DP_1","003N8EMH8GTFRIVNUPY2891V1","GSON4399")</f>
        <v>#NAME?</v>
      </c>
      <c r="M3141" s="28" t="e">
        <f ca="1">[1]!BexGetData("DP_1","003N8EMH8GTFRIVOG7KG9IQXA","GSON4399")</f>
        <v>#NAME?</v>
      </c>
      <c r="N3141" s="23" t="e">
        <f ca="1">[1]!BexGetData("DP_1","003N8EMH8GTFRIVOG7KG9IX8U","GSON4399")</f>
        <v>#NAME?</v>
      </c>
      <c r="O3141" s="28" t="e">
        <f ca="1">[1]!BexGetData("DP_1","003N8EMH8GTFRIVOG7KG9J3KE","GSON4399")</f>
        <v>#NAME?</v>
      </c>
      <c r="P3141" s="23" t="e">
        <f ca="1">[1]!BexGetData("DP_1","003N8EMH8GTFRIVOG7KG9J9VY","GSON4399")</f>
        <v>#NAME?</v>
      </c>
      <c r="Q3141" s="24" t="e">
        <f ca="1">[1]!BexGetData("DP_1","00O2TNJGODT0G5Z4TTKYMM5MT","GSON4399")</f>
        <v>#NAME?</v>
      </c>
      <c r="R3141" s="23" t="e">
        <f ca="1">[1]!BexGetData("DP_1","00O2TNJGODT0G5Z4TTKYMMBYD","GSON4399")</f>
        <v>#NAME?</v>
      </c>
      <c r="S3141" s="23" t="e">
        <f ca="1">[1]!BexGetData("DP_1","00O2TNJGODT0G5Z4TTKYMMI9X","GSON4399")</f>
        <v>#NAME?</v>
      </c>
      <c r="T3141" s="23" t="e">
        <f ca="1">[1]!BexGetData("DP_1","00O2TNJGODT0G5Z4TTKYMMOLH","GSON4399")</f>
        <v>#NAME?</v>
      </c>
      <c r="U3141" s="28" t="e">
        <f ca="1">[1]!BexGetData("DP_1","00O2TNJGODT0G5Z4TTKYMMUX1","GSON4399")</f>
        <v>#NAME?</v>
      </c>
      <c r="V3141" s="23" t="e">
        <f ca="1">[1]!BexGetData("DP_1","00O2TNJGODT0G5Z4TTKYMN18L","GSON4399")</f>
        <v>#NAME?</v>
      </c>
      <c r="W3141" s="28" t="e">
        <f ca="1">[1]!BexGetData("DP_1","00O2TNJGODT0G5Z4TTKYMN7K5","GSON4399")</f>
        <v>#NAME?</v>
      </c>
    </row>
    <row r="3142" spans="1:23" x14ac:dyDescent="0.2">
      <c r="A3142" s="36" t="s">
        <v>1543</v>
      </c>
      <c r="B3142" s="27" t="s">
        <v>726</v>
      </c>
      <c r="C3142" s="23" t="e">
        <f ca="1">[1]!BexGetData("DP_1","003N8EMH8GTFRCSWKMPXRR8GU","GSON4399520101")</f>
        <v>#NAME?</v>
      </c>
      <c r="D3142" s="23" t="e">
        <f ca="1">[1]!BexGetData("DP_1","003N8EMH8GTFRCSWKMPXRRESE","GSON4399520101")</f>
        <v>#NAME?</v>
      </c>
      <c r="E3142" s="23" t="e">
        <f ca="1">[1]!BexGetData("DP_1","003N8EMH8GTFRCSWKMPXRRL3Y","GSON4399520101")</f>
        <v>#NAME?</v>
      </c>
      <c r="F3142" s="23" t="e">
        <f ca="1">[1]!BexGetData("DP_1","003N8EMH8GTFRCSWKMPXRRRFI","GSON4399520101")</f>
        <v>#NAME?</v>
      </c>
      <c r="G3142" s="23" t="e">
        <f ca="1">[1]!BexGetData("DP_1","003N8EMH8GTFRCSWKMPXRRXR2","GSON4399520101")</f>
        <v>#NAME?</v>
      </c>
      <c r="H3142" s="23" t="e">
        <f ca="1">[1]!BexGetData("DP_1","003N8EMH8GTFRCSWKMPXRS42M","GSON4399520101")</f>
        <v>#NAME?</v>
      </c>
      <c r="I3142" s="23" t="e">
        <f ca="1">[1]!BexGetData("DP_1","003N8EMH8GTFRCSWKMPXRSAE6","GSON4399520101")</f>
        <v>#NAME?</v>
      </c>
      <c r="J3142" s="24" t="e">
        <f ca="1">[1]!BexGetData("DP_1","003N8EMH8GTFRCSWKMPXRSGPQ","GSON4399520101")</f>
        <v>#NAME?</v>
      </c>
      <c r="K3142" s="23" t="e">
        <f ca="1">[1]!BexGetData("DP_1","003N8EMH8GTFRIVNUPY288VJH","GSON4399520101")</f>
        <v>#NAME?</v>
      </c>
      <c r="L3142" s="23" t="e">
        <f ca="1">[1]!BexGetData("DP_1","003N8EMH8GTFRIVNUPY2891V1","GSON4399520101")</f>
        <v>#NAME?</v>
      </c>
      <c r="M3142" s="28" t="e">
        <f ca="1">[1]!BexGetData("DP_1","003N8EMH8GTFRIVOG7KG9IQXA","GSON4399520101")</f>
        <v>#NAME?</v>
      </c>
      <c r="N3142" s="23" t="e">
        <f ca="1">[1]!BexGetData("DP_1","003N8EMH8GTFRIVOG7KG9IX8U","GSON4399520101")</f>
        <v>#NAME?</v>
      </c>
      <c r="O3142" s="28" t="e">
        <f ca="1">[1]!BexGetData("DP_1","003N8EMH8GTFRIVOG7KG9J3KE","GSON4399520101")</f>
        <v>#NAME?</v>
      </c>
      <c r="P3142" s="23" t="e">
        <f ca="1">[1]!BexGetData("DP_1","003N8EMH8GTFRIVOG7KG9J9VY","GSON4399520101")</f>
        <v>#NAME?</v>
      </c>
      <c r="Q3142" s="24" t="e">
        <f ca="1">[1]!BexGetData("DP_1","00O2TNJGODT0G5Z4TTKYMM5MT","GSON4399520101")</f>
        <v>#NAME?</v>
      </c>
      <c r="R3142" s="23" t="e">
        <f ca="1">[1]!BexGetData("DP_1","00O2TNJGODT0G5Z4TTKYMMBYD","GSON4399520101")</f>
        <v>#NAME?</v>
      </c>
      <c r="S3142" s="23" t="e">
        <f ca="1">[1]!BexGetData("DP_1","00O2TNJGODT0G5Z4TTKYMMI9X","GSON4399520101")</f>
        <v>#NAME?</v>
      </c>
      <c r="T3142" s="23" t="e">
        <f ca="1">[1]!BexGetData("DP_1","00O2TNJGODT0G5Z4TTKYMMOLH","GSON4399520101")</f>
        <v>#NAME?</v>
      </c>
      <c r="U3142" s="28" t="e">
        <f ca="1">[1]!BexGetData("DP_1","00O2TNJGODT0G5Z4TTKYMMUX1","GSON4399520101")</f>
        <v>#NAME?</v>
      </c>
      <c r="V3142" s="23" t="e">
        <f ca="1">[1]!BexGetData("DP_1","00O2TNJGODT0G5Z4TTKYMN18L","GSON4399520101")</f>
        <v>#NAME?</v>
      </c>
      <c r="W3142" s="28" t="e">
        <f ca="1">[1]!BexGetData("DP_1","00O2TNJGODT0G5Z4TTKYMN7K5","GSON4399520101")</f>
        <v>#NAME?</v>
      </c>
    </row>
    <row r="3143" spans="1:23" x14ac:dyDescent="0.2">
      <c r="A3143" s="36" t="s">
        <v>6505</v>
      </c>
      <c r="B3143" s="27" t="s">
        <v>6506</v>
      </c>
      <c r="C3143" s="28" t="e">
        <f ca="1">[1]!BexGetData("DP_1","003N8EMH8GTFRCSWKMPXRR8GU","GSON4399520201")</f>
        <v>#NAME?</v>
      </c>
      <c r="D3143" s="23" t="e">
        <f ca="1">[1]!BexGetData("DP_1","003N8EMH8GTFRCSWKMPXRRESE","GSON4399520201")</f>
        <v>#NAME?</v>
      </c>
      <c r="E3143" s="23" t="e">
        <f ca="1">[1]!BexGetData("DP_1","003N8EMH8GTFRCSWKMPXRRL3Y","GSON4399520201")</f>
        <v>#NAME?</v>
      </c>
      <c r="F3143" s="23" t="e">
        <f ca="1">[1]!BexGetData("DP_1","003N8EMH8GTFRCSWKMPXRRRFI","GSON4399520201")</f>
        <v>#NAME?</v>
      </c>
      <c r="G3143" s="28" t="e">
        <f ca="1">[1]!BexGetData("DP_1","003N8EMH8GTFRCSWKMPXRRXR2","GSON4399520201")</f>
        <v>#NAME?</v>
      </c>
      <c r="H3143" s="23" t="e">
        <f ca="1">[1]!BexGetData("DP_1","003N8EMH8GTFRCSWKMPXRS42M","GSON4399520201")</f>
        <v>#NAME?</v>
      </c>
      <c r="I3143" s="23" t="e">
        <f ca="1">[1]!BexGetData("DP_1","003N8EMH8GTFRCSWKMPXRSAE6","GSON4399520201")</f>
        <v>#NAME?</v>
      </c>
      <c r="J3143" s="24" t="e">
        <f ca="1">[1]!BexGetData("DP_1","003N8EMH8GTFRCSWKMPXRSGPQ","GSON4399520201")</f>
        <v>#NAME?</v>
      </c>
      <c r="K3143" s="23" t="e">
        <f ca="1">[1]!BexGetData("DP_1","003N8EMH8GTFRIVNUPY288VJH","GSON4399520201")</f>
        <v>#NAME?</v>
      </c>
      <c r="L3143" s="23" t="e">
        <f ca="1">[1]!BexGetData("DP_1","003N8EMH8GTFRIVNUPY2891V1","GSON4399520201")</f>
        <v>#NAME?</v>
      </c>
      <c r="M3143" s="23" t="e">
        <f ca="1">[1]!BexGetData("DP_1","003N8EMH8GTFRIVOG7KG9IQXA","GSON4399520201")</f>
        <v>#NAME?</v>
      </c>
      <c r="N3143" s="28" t="e">
        <f ca="1">[1]!BexGetData("DP_1","003N8EMH8GTFRIVOG7KG9IX8U","GSON4399520201")</f>
        <v>#NAME?</v>
      </c>
      <c r="O3143" s="23" t="e">
        <f ca="1">[1]!BexGetData("DP_1","003N8EMH8GTFRIVOG7KG9J3KE","GSON4399520201")</f>
        <v>#NAME?</v>
      </c>
      <c r="P3143" s="28" t="e">
        <f ca="1">[1]!BexGetData("DP_1","003N8EMH8GTFRIVOG7KG9J9VY","GSON4399520201")</f>
        <v>#NAME?</v>
      </c>
      <c r="Q3143" s="24" t="e">
        <f ca="1">[1]!BexGetData("DP_1","00O2TNJGODT0G5Z4TTKYMM5MT","GSON4399520201")</f>
        <v>#NAME?</v>
      </c>
      <c r="R3143" s="23" t="e">
        <f ca="1">[1]!BexGetData("DP_1","00O2TNJGODT0G5Z4TTKYMMBYD","GSON4399520201")</f>
        <v>#NAME?</v>
      </c>
      <c r="S3143" s="23" t="e">
        <f ca="1">[1]!BexGetData("DP_1","00O2TNJGODT0G5Z4TTKYMMI9X","GSON4399520201")</f>
        <v>#NAME?</v>
      </c>
      <c r="T3143" s="23" t="e">
        <f ca="1">[1]!BexGetData("DP_1","00O2TNJGODT0G5Z4TTKYMMOLH","GSON4399520201")</f>
        <v>#NAME?</v>
      </c>
      <c r="U3143" s="28" t="e">
        <f ca="1">[1]!BexGetData("DP_1","00O2TNJGODT0G5Z4TTKYMMUX1","GSON4399520201")</f>
        <v>#NAME?</v>
      </c>
      <c r="V3143" s="23" t="e">
        <f ca="1">[1]!BexGetData("DP_1","00O2TNJGODT0G5Z4TTKYMN18L","GSON4399520201")</f>
        <v>#NAME?</v>
      </c>
      <c r="W3143" s="28" t="e">
        <f ca="1">[1]!BexGetData("DP_1","00O2TNJGODT0G5Z4TTKYMN7K5","GSON4399520201")</f>
        <v>#NAME?</v>
      </c>
    </row>
    <row r="3144" spans="1:23" x14ac:dyDescent="0.2">
      <c r="A3144" s="32" t="s">
        <v>105</v>
      </c>
      <c r="B3144" s="26" t="s">
        <v>106</v>
      </c>
      <c r="C3144" s="23" t="e">
        <f ca="1">[1]!BexGetData("DP_1","003N8EMH8GTFRCSWKMPXRR8GU","GSON5")</f>
        <v>#NAME?</v>
      </c>
      <c r="D3144" s="23" t="e">
        <f ca="1">[1]!BexGetData("DP_1","003N8EMH8GTFRCSWKMPXRRESE","GSON5")</f>
        <v>#NAME?</v>
      </c>
      <c r="E3144" s="23" t="e">
        <f ca="1">[1]!BexGetData("DP_1","003N8EMH8GTFRCSWKMPXRRL3Y","GSON5")</f>
        <v>#NAME?</v>
      </c>
      <c r="F3144" s="23" t="e">
        <f ca="1">[1]!BexGetData("DP_1","003N8EMH8GTFRCSWKMPXRRRFI","GSON5")</f>
        <v>#NAME?</v>
      </c>
      <c r="G3144" s="23" t="e">
        <f ca="1">[1]!BexGetData("DP_1","003N8EMH8GTFRCSWKMPXRRXR2","GSON5")</f>
        <v>#NAME?</v>
      </c>
      <c r="H3144" s="23" t="e">
        <f ca="1">[1]!BexGetData("DP_1","003N8EMH8GTFRCSWKMPXRS42M","GSON5")</f>
        <v>#NAME?</v>
      </c>
      <c r="I3144" s="23" t="e">
        <f ca="1">[1]!BexGetData("DP_1","003N8EMH8GTFRCSWKMPXRSAE6","GSON5")</f>
        <v>#NAME?</v>
      </c>
      <c r="J3144" s="24" t="e">
        <f ca="1">[1]!BexGetData("DP_1","003N8EMH8GTFRCSWKMPXRSGPQ","GSON5")</f>
        <v>#NAME?</v>
      </c>
      <c r="K3144" s="23" t="e">
        <f ca="1">[1]!BexGetData("DP_1","003N8EMH8GTFRIVNUPY288VJH","GSON5")</f>
        <v>#NAME?</v>
      </c>
      <c r="L3144" s="23" t="e">
        <f ca="1">[1]!BexGetData("DP_1","003N8EMH8GTFRIVNUPY2891V1","GSON5")</f>
        <v>#NAME?</v>
      </c>
      <c r="M3144" s="28" t="e">
        <f ca="1">[1]!BexGetData("DP_1","003N8EMH8GTFRIVOG7KG9IQXA","GSON5")</f>
        <v>#NAME?</v>
      </c>
      <c r="N3144" s="23" t="e">
        <f ca="1">[1]!BexGetData("DP_1","003N8EMH8GTFRIVOG7KG9IX8U","GSON5")</f>
        <v>#NAME?</v>
      </c>
      <c r="O3144" s="28" t="e">
        <f ca="1">[1]!BexGetData("DP_1","003N8EMH8GTFRIVOG7KG9J3KE","GSON5")</f>
        <v>#NAME?</v>
      </c>
      <c r="P3144" s="23" t="e">
        <f ca="1">[1]!BexGetData("DP_1","003N8EMH8GTFRIVOG7KG9J9VY","GSON5")</f>
        <v>#NAME?</v>
      </c>
      <c r="Q3144" s="24" t="e">
        <f ca="1">[1]!BexGetData("DP_1","00O2TNJGODT0G5Z4TTKYMM5MT","GSON5")</f>
        <v>#NAME?</v>
      </c>
      <c r="R3144" s="23" t="e">
        <f ca="1">[1]!BexGetData("DP_1","00O2TNJGODT0G5Z4TTKYMMBYD","GSON5")</f>
        <v>#NAME?</v>
      </c>
      <c r="S3144" s="23" t="e">
        <f ca="1">[1]!BexGetData("DP_1","00O2TNJGODT0G5Z4TTKYMMI9X","GSON5")</f>
        <v>#NAME?</v>
      </c>
      <c r="T3144" s="28" t="e">
        <f ca="1">[1]!BexGetData("DP_1","00O2TNJGODT0G5Z4TTKYMMOLH","GSON5")</f>
        <v>#NAME?</v>
      </c>
      <c r="U3144" s="23" t="e">
        <f ca="1">[1]!BexGetData("DP_1","00O2TNJGODT0G5Z4TTKYMMUX1","GSON5")</f>
        <v>#NAME?</v>
      </c>
      <c r="V3144" s="28" t="e">
        <f ca="1">[1]!BexGetData("DP_1","00O2TNJGODT0G5Z4TTKYMN18L","GSON5")</f>
        <v>#NAME?</v>
      </c>
      <c r="W3144" s="23" t="e">
        <f ca="1">[1]!BexGetData("DP_1","00O2TNJGODT0G5Z4TTKYMN7K5","GSON5")</f>
        <v>#NAME?</v>
      </c>
    </row>
    <row r="3145" spans="1:23" x14ac:dyDescent="0.2">
      <c r="A3145" s="33" t="s">
        <v>107</v>
      </c>
      <c r="B3145" s="27" t="s">
        <v>108</v>
      </c>
      <c r="C3145" s="23" t="e">
        <f ca="1">[1]!BexGetData("DP_1","003N8EMH8GTFRCSWKMPXRR8GU","GSON51")</f>
        <v>#NAME?</v>
      </c>
      <c r="D3145" s="23" t="e">
        <f ca="1">[1]!BexGetData("DP_1","003N8EMH8GTFRCSWKMPXRRESE","GSON51")</f>
        <v>#NAME?</v>
      </c>
      <c r="E3145" s="23" t="e">
        <f ca="1">[1]!BexGetData("DP_1","003N8EMH8GTFRCSWKMPXRRL3Y","GSON51")</f>
        <v>#NAME?</v>
      </c>
      <c r="F3145" s="23" t="e">
        <f ca="1">[1]!BexGetData("DP_1","003N8EMH8GTFRCSWKMPXRRRFI","GSON51")</f>
        <v>#NAME?</v>
      </c>
      <c r="G3145" s="23" t="e">
        <f ca="1">[1]!BexGetData("DP_1","003N8EMH8GTFRCSWKMPXRRXR2","GSON51")</f>
        <v>#NAME?</v>
      </c>
      <c r="H3145" s="23" t="e">
        <f ca="1">[1]!BexGetData("DP_1","003N8EMH8GTFRCSWKMPXRS42M","GSON51")</f>
        <v>#NAME?</v>
      </c>
      <c r="I3145" s="23" t="e">
        <f ca="1">[1]!BexGetData("DP_1","003N8EMH8GTFRCSWKMPXRSAE6","GSON51")</f>
        <v>#NAME?</v>
      </c>
      <c r="J3145" s="24" t="e">
        <f ca="1">[1]!BexGetData("DP_1","003N8EMH8GTFRCSWKMPXRSGPQ","GSON51")</f>
        <v>#NAME?</v>
      </c>
      <c r="K3145" s="23" t="e">
        <f ca="1">[1]!BexGetData("DP_1","003N8EMH8GTFRIVNUPY288VJH","GSON51")</f>
        <v>#NAME?</v>
      </c>
      <c r="L3145" s="23" t="e">
        <f ca="1">[1]!BexGetData("DP_1","003N8EMH8GTFRIVNUPY2891V1","GSON51")</f>
        <v>#NAME?</v>
      </c>
      <c r="M3145" s="28" t="e">
        <f ca="1">[1]!BexGetData("DP_1","003N8EMH8GTFRIVOG7KG9IQXA","GSON51")</f>
        <v>#NAME?</v>
      </c>
      <c r="N3145" s="23" t="e">
        <f ca="1">[1]!BexGetData("DP_1","003N8EMH8GTFRIVOG7KG9IX8U","GSON51")</f>
        <v>#NAME?</v>
      </c>
      <c r="O3145" s="28" t="e">
        <f ca="1">[1]!BexGetData("DP_1","003N8EMH8GTFRIVOG7KG9J3KE","GSON51")</f>
        <v>#NAME?</v>
      </c>
      <c r="P3145" s="23" t="e">
        <f ca="1">[1]!BexGetData("DP_1","003N8EMH8GTFRIVOG7KG9J9VY","GSON51")</f>
        <v>#NAME?</v>
      </c>
      <c r="Q3145" s="24" t="e">
        <f ca="1">[1]!BexGetData("DP_1","00O2TNJGODT0G5Z4TTKYMM5MT","GSON51")</f>
        <v>#NAME?</v>
      </c>
      <c r="R3145" s="23" t="e">
        <f ca="1">[1]!BexGetData("DP_1","00O2TNJGODT0G5Z4TTKYMMBYD","GSON51")</f>
        <v>#NAME?</v>
      </c>
      <c r="S3145" s="23" t="e">
        <f ca="1">[1]!BexGetData("DP_1","00O2TNJGODT0G5Z4TTKYMMI9X","GSON51")</f>
        <v>#NAME?</v>
      </c>
      <c r="T3145" s="28" t="e">
        <f ca="1">[1]!BexGetData("DP_1","00O2TNJGODT0G5Z4TTKYMMOLH","GSON51")</f>
        <v>#NAME?</v>
      </c>
      <c r="U3145" s="23" t="e">
        <f ca="1">[1]!BexGetData("DP_1","00O2TNJGODT0G5Z4TTKYMMUX1","GSON51")</f>
        <v>#NAME?</v>
      </c>
      <c r="V3145" s="28" t="e">
        <f ca="1">[1]!BexGetData("DP_1","00O2TNJGODT0G5Z4TTKYMN18L","GSON51")</f>
        <v>#NAME?</v>
      </c>
      <c r="W3145" s="23" t="e">
        <f ca="1">[1]!BexGetData("DP_1","00O2TNJGODT0G5Z4TTKYMN7K5","GSON51")</f>
        <v>#NAME?</v>
      </c>
    </row>
    <row r="3146" spans="1:23" x14ac:dyDescent="0.2">
      <c r="A3146" s="34" t="s">
        <v>476</v>
      </c>
      <c r="B3146" s="27" t="s">
        <v>584</v>
      </c>
      <c r="C3146" s="23" t="e">
        <f ca="1">[1]!BexGetData("DP_1","003N8EMH8GTFRCSWKMPXRR8GU","GSON511")</f>
        <v>#NAME?</v>
      </c>
      <c r="D3146" s="23" t="e">
        <f ca="1">[1]!BexGetData("DP_1","003N8EMH8GTFRCSWKMPXRRESE","GSON511")</f>
        <v>#NAME?</v>
      </c>
      <c r="E3146" s="23" t="e">
        <f ca="1">[1]!BexGetData("DP_1","003N8EMH8GTFRCSWKMPXRRL3Y","GSON511")</f>
        <v>#NAME?</v>
      </c>
      <c r="F3146" s="23" t="e">
        <f ca="1">[1]!BexGetData("DP_1","003N8EMH8GTFRCSWKMPXRRRFI","GSON511")</f>
        <v>#NAME?</v>
      </c>
      <c r="G3146" s="23" t="e">
        <f ca="1">[1]!BexGetData("DP_1","003N8EMH8GTFRCSWKMPXRRXR2","GSON511")</f>
        <v>#NAME?</v>
      </c>
      <c r="H3146" s="23" t="e">
        <f ca="1">[1]!BexGetData("DP_1","003N8EMH8GTFRCSWKMPXRS42M","GSON511")</f>
        <v>#NAME?</v>
      </c>
      <c r="I3146" s="23" t="e">
        <f ca="1">[1]!BexGetData("DP_1","003N8EMH8GTFRCSWKMPXRSAE6","GSON511")</f>
        <v>#NAME?</v>
      </c>
      <c r="J3146" s="24" t="e">
        <f ca="1">[1]!BexGetData("DP_1","003N8EMH8GTFRCSWKMPXRSGPQ","GSON511")</f>
        <v>#NAME?</v>
      </c>
      <c r="K3146" s="23" t="e">
        <f ca="1">[1]!BexGetData("DP_1","003N8EMH8GTFRIVNUPY288VJH","GSON511")</f>
        <v>#NAME?</v>
      </c>
      <c r="L3146" s="23" t="e">
        <f ca="1">[1]!BexGetData("DP_1","003N8EMH8GTFRIVNUPY2891V1","GSON511")</f>
        <v>#NAME?</v>
      </c>
      <c r="M3146" s="28" t="e">
        <f ca="1">[1]!BexGetData("DP_1","003N8EMH8GTFRIVOG7KG9IQXA","GSON511")</f>
        <v>#NAME?</v>
      </c>
      <c r="N3146" s="23" t="e">
        <f ca="1">[1]!BexGetData("DP_1","003N8EMH8GTFRIVOG7KG9IX8U","GSON511")</f>
        <v>#NAME?</v>
      </c>
      <c r="O3146" s="28" t="e">
        <f ca="1">[1]!BexGetData("DP_1","003N8EMH8GTFRIVOG7KG9J3KE","GSON511")</f>
        <v>#NAME?</v>
      </c>
      <c r="P3146" s="23" t="e">
        <f ca="1">[1]!BexGetData("DP_1","003N8EMH8GTFRIVOG7KG9J9VY","GSON511")</f>
        <v>#NAME?</v>
      </c>
      <c r="Q3146" s="24" t="e">
        <f ca="1">[1]!BexGetData("DP_1","00O2TNJGODT0G5Z4TTKYMM5MT","GSON511")</f>
        <v>#NAME?</v>
      </c>
      <c r="R3146" s="23" t="e">
        <f ca="1">[1]!BexGetData("DP_1","00O2TNJGODT0G5Z4TTKYMMBYD","GSON511")</f>
        <v>#NAME?</v>
      </c>
      <c r="S3146" s="23" t="e">
        <f ca="1">[1]!BexGetData("DP_1","00O2TNJGODT0G5Z4TTKYMMI9X","GSON511")</f>
        <v>#NAME?</v>
      </c>
      <c r="T3146" s="28" t="e">
        <f ca="1">[1]!BexGetData("DP_1","00O2TNJGODT0G5Z4TTKYMMOLH","GSON511")</f>
        <v>#NAME?</v>
      </c>
      <c r="U3146" s="23" t="e">
        <f ca="1">[1]!BexGetData("DP_1","00O2TNJGODT0G5Z4TTKYMMUX1","GSON511")</f>
        <v>#NAME?</v>
      </c>
      <c r="V3146" s="28" t="e">
        <f ca="1">[1]!BexGetData("DP_1","00O2TNJGODT0G5Z4TTKYMN18L","GSON511")</f>
        <v>#NAME?</v>
      </c>
      <c r="W3146" s="23" t="e">
        <f ca="1">[1]!BexGetData("DP_1","00O2TNJGODT0G5Z4TTKYMN7K5","GSON511")</f>
        <v>#NAME?</v>
      </c>
    </row>
    <row r="3147" spans="1:23" x14ac:dyDescent="0.2">
      <c r="A3147" s="35" t="s">
        <v>585</v>
      </c>
      <c r="B3147" s="27" t="s">
        <v>1544</v>
      </c>
      <c r="C3147" s="23" t="e">
        <f ca="1">[1]!BexGetData("DP_1","003N8EMH8GTFRCSWKMPXRR8GU","GSON5111")</f>
        <v>#NAME?</v>
      </c>
      <c r="D3147" s="23" t="e">
        <f ca="1">[1]!BexGetData("DP_1","003N8EMH8GTFRCSWKMPXRRESE","GSON5111")</f>
        <v>#NAME?</v>
      </c>
      <c r="E3147" s="23" t="e">
        <f ca="1">[1]!BexGetData("DP_1","003N8EMH8GTFRCSWKMPXRRL3Y","GSON5111")</f>
        <v>#NAME?</v>
      </c>
      <c r="F3147" s="23" t="e">
        <f ca="1">[1]!BexGetData("DP_1","003N8EMH8GTFRCSWKMPXRRRFI","GSON5111")</f>
        <v>#NAME?</v>
      </c>
      <c r="G3147" s="23" t="e">
        <f ca="1">[1]!BexGetData("DP_1","003N8EMH8GTFRCSWKMPXRRXR2","GSON5111")</f>
        <v>#NAME?</v>
      </c>
      <c r="H3147" s="23" t="e">
        <f ca="1">[1]!BexGetData("DP_1","003N8EMH8GTFRCSWKMPXRS42M","GSON5111")</f>
        <v>#NAME?</v>
      </c>
      <c r="I3147" s="23" t="e">
        <f ca="1">[1]!BexGetData("DP_1","003N8EMH8GTFRCSWKMPXRSAE6","GSON5111")</f>
        <v>#NAME?</v>
      </c>
      <c r="J3147" s="24" t="e">
        <f ca="1">[1]!BexGetData("DP_1","003N8EMH8GTFRCSWKMPXRSGPQ","GSON5111")</f>
        <v>#NAME?</v>
      </c>
      <c r="K3147" s="23" t="e">
        <f ca="1">[1]!BexGetData("DP_1","003N8EMH8GTFRIVNUPY288VJH","GSON5111")</f>
        <v>#NAME?</v>
      </c>
      <c r="L3147" s="23" t="e">
        <f ca="1">[1]!BexGetData("DP_1","003N8EMH8GTFRIVNUPY2891V1","GSON5111")</f>
        <v>#NAME?</v>
      </c>
      <c r="M3147" s="28" t="e">
        <f ca="1">[1]!BexGetData("DP_1","003N8EMH8GTFRIVOG7KG9IQXA","GSON5111")</f>
        <v>#NAME?</v>
      </c>
      <c r="N3147" s="23" t="e">
        <f ca="1">[1]!BexGetData("DP_1","003N8EMH8GTFRIVOG7KG9IX8U","GSON5111")</f>
        <v>#NAME?</v>
      </c>
      <c r="O3147" s="28" t="e">
        <f ca="1">[1]!BexGetData("DP_1","003N8EMH8GTFRIVOG7KG9J3KE","GSON5111")</f>
        <v>#NAME?</v>
      </c>
      <c r="P3147" s="23" t="e">
        <f ca="1">[1]!BexGetData("DP_1","003N8EMH8GTFRIVOG7KG9J9VY","GSON5111")</f>
        <v>#NAME?</v>
      </c>
      <c r="Q3147" s="24" t="e">
        <f ca="1">[1]!BexGetData("DP_1","00O2TNJGODT0G5Z4TTKYMM5MT","GSON5111")</f>
        <v>#NAME?</v>
      </c>
      <c r="R3147" s="23" t="e">
        <f ca="1">[1]!BexGetData("DP_1","00O2TNJGODT0G5Z4TTKYMMBYD","GSON5111")</f>
        <v>#NAME?</v>
      </c>
      <c r="S3147" s="23" t="e">
        <f ca="1">[1]!BexGetData("DP_1","00O2TNJGODT0G5Z4TTKYMMI9X","GSON5111")</f>
        <v>#NAME?</v>
      </c>
      <c r="T3147" s="28" t="e">
        <f ca="1">[1]!BexGetData("DP_1","00O2TNJGODT0G5Z4TTKYMMOLH","GSON5111")</f>
        <v>#NAME?</v>
      </c>
      <c r="U3147" s="23" t="e">
        <f ca="1">[1]!BexGetData("DP_1","00O2TNJGODT0G5Z4TTKYMMUX1","GSON5111")</f>
        <v>#NAME?</v>
      </c>
      <c r="V3147" s="28" t="e">
        <f ca="1">[1]!BexGetData("DP_1","00O2TNJGODT0G5Z4TTKYMN18L","GSON5111")</f>
        <v>#NAME?</v>
      </c>
      <c r="W3147" s="23" t="e">
        <f ca="1">[1]!BexGetData("DP_1","00O2TNJGODT0G5Z4TTKYMN7K5","GSON5111")</f>
        <v>#NAME?</v>
      </c>
    </row>
    <row r="3148" spans="1:23" x14ac:dyDescent="0.2">
      <c r="A3148" s="36" t="s">
        <v>1545</v>
      </c>
      <c r="B3148" s="27" t="s">
        <v>1546</v>
      </c>
      <c r="C3148" s="23" t="e">
        <f ca="1">[1]!BexGetData("DP_1","003N8EMH8GTFRCSWKMPXRR8GU","GSON5111113011")</f>
        <v>#NAME?</v>
      </c>
      <c r="D3148" s="23" t="e">
        <f ca="1">[1]!BexGetData("DP_1","003N8EMH8GTFRCSWKMPXRRESE","GSON5111113011")</f>
        <v>#NAME?</v>
      </c>
      <c r="E3148" s="23" t="e">
        <f ca="1">[1]!BexGetData("DP_1","003N8EMH8GTFRCSWKMPXRRL3Y","GSON5111113011")</f>
        <v>#NAME?</v>
      </c>
      <c r="F3148" s="23" t="e">
        <f ca="1">[1]!BexGetData("DP_1","003N8EMH8GTFRCSWKMPXRRRFI","GSON5111113011")</f>
        <v>#NAME?</v>
      </c>
      <c r="G3148" s="23" t="e">
        <f ca="1">[1]!BexGetData("DP_1","003N8EMH8GTFRCSWKMPXRRXR2","GSON5111113011")</f>
        <v>#NAME?</v>
      </c>
      <c r="H3148" s="23" t="e">
        <f ca="1">[1]!BexGetData("DP_1","003N8EMH8GTFRCSWKMPXRS42M","GSON5111113011")</f>
        <v>#NAME?</v>
      </c>
      <c r="I3148" s="23" t="e">
        <f ca="1">[1]!BexGetData("DP_1","003N8EMH8GTFRCSWKMPXRSAE6","GSON5111113011")</f>
        <v>#NAME?</v>
      </c>
      <c r="J3148" s="24" t="e">
        <f ca="1">[1]!BexGetData("DP_1","003N8EMH8GTFRCSWKMPXRSGPQ","GSON5111113011")</f>
        <v>#NAME?</v>
      </c>
      <c r="K3148" s="23" t="e">
        <f ca="1">[1]!BexGetData("DP_1","003N8EMH8GTFRIVNUPY288VJH","GSON5111113011")</f>
        <v>#NAME?</v>
      </c>
      <c r="L3148" s="23" t="e">
        <f ca="1">[1]!BexGetData("DP_1","003N8EMH8GTFRIVNUPY2891V1","GSON5111113011")</f>
        <v>#NAME?</v>
      </c>
      <c r="M3148" s="28" t="e">
        <f ca="1">[1]!BexGetData("DP_1","003N8EMH8GTFRIVOG7KG9IQXA","GSON5111113011")</f>
        <v>#NAME?</v>
      </c>
      <c r="N3148" s="23" t="e">
        <f ca="1">[1]!BexGetData("DP_1","003N8EMH8GTFRIVOG7KG9IX8U","GSON5111113011")</f>
        <v>#NAME?</v>
      </c>
      <c r="O3148" s="28" t="e">
        <f ca="1">[1]!BexGetData("DP_1","003N8EMH8GTFRIVOG7KG9J3KE","GSON5111113011")</f>
        <v>#NAME?</v>
      </c>
      <c r="P3148" s="23" t="e">
        <f ca="1">[1]!BexGetData("DP_1","003N8EMH8GTFRIVOG7KG9J9VY","GSON5111113011")</f>
        <v>#NAME?</v>
      </c>
      <c r="Q3148" s="24" t="e">
        <f ca="1">[1]!BexGetData("DP_1","00O2TNJGODT0G5Z4TTKYMM5MT","GSON5111113011")</f>
        <v>#NAME?</v>
      </c>
      <c r="R3148" s="23" t="e">
        <f ca="1">[1]!BexGetData("DP_1","00O2TNJGODT0G5Z4TTKYMMBYD","GSON5111113011")</f>
        <v>#NAME?</v>
      </c>
      <c r="S3148" s="23" t="e">
        <f ca="1">[1]!BexGetData("DP_1","00O2TNJGODT0G5Z4TTKYMMI9X","GSON5111113011")</f>
        <v>#NAME?</v>
      </c>
      <c r="T3148" s="28" t="e">
        <f ca="1">[1]!BexGetData("DP_1","00O2TNJGODT0G5Z4TTKYMMOLH","GSON5111113011")</f>
        <v>#NAME?</v>
      </c>
      <c r="U3148" s="23" t="e">
        <f ca="1">[1]!BexGetData("DP_1","00O2TNJGODT0G5Z4TTKYMMUX1","GSON5111113011")</f>
        <v>#NAME?</v>
      </c>
      <c r="V3148" s="28" t="e">
        <f ca="1">[1]!BexGetData("DP_1","00O2TNJGODT0G5Z4TTKYMN18L","GSON5111113011")</f>
        <v>#NAME?</v>
      </c>
      <c r="W3148" s="23" t="e">
        <f ca="1">[1]!BexGetData("DP_1","00O2TNJGODT0G5Z4TTKYMN7K5","GSON5111113011")</f>
        <v>#NAME?</v>
      </c>
    </row>
    <row r="3149" spans="1:23" x14ac:dyDescent="0.2">
      <c r="A3149" s="36" t="s">
        <v>6507</v>
      </c>
      <c r="B3149" s="27" t="s">
        <v>6508</v>
      </c>
      <c r="C3149" s="23" t="e">
        <f ca="1">[1]!BexGetData("DP_1","003N8EMH8GTFRCSWKMPXRR8GU","GSON5111113021")</f>
        <v>#NAME?</v>
      </c>
      <c r="D3149" s="23" t="e">
        <f ca="1">[1]!BexGetData("DP_1","003N8EMH8GTFRCSWKMPXRRESE","GSON5111113021")</f>
        <v>#NAME?</v>
      </c>
      <c r="E3149" s="23" t="e">
        <f ca="1">[1]!BexGetData("DP_1","003N8EMH8GTFRCSWKMPXRRL3Y","GSON5111113021")</f>
        <v>#NAME?</v>
      </c>
      <c r="F3149" s="23" t="e">
        <f ca="1">[1]!BexGetData("DP_1","003N8EMH8GTFRCSWKMPXRRRFI","GSON5111113021")</f>
        <v>#NAME?</v>
      </c>
      <c r="G3149" s="23" t="e">
        <f ca="1">[1]!BexGetData("DP_1","003N8EMH8GTFRCSWKMPXRRXR2","GSON5111113021")</f>
        <v>#NAME?</v>
      </c>
      <c r="H3149" s="28" t="e">
        <f ca="1">[1]!BexGetData("DP_1","003N8EMH8GTFRCSWKMPXRS42M","GSON5111113021")</f>
        <v>#NAME?</v>
      </c>
      <c r="I3149" s="23" t="e">
        <f ca="1">[1]!BexGetData("DP_1","003N8EMH8GTFRCSWKMPXRSAE6","GSON5111113021")</f>
        <v>#NAME?</v>
      </c>
      <c r="J3149" s="24" t="e">
        <f ca="1">[1]!BexGetData("DP_1","003N8EMH8GTFRCSWKMPXRSGPQ","GSON5111113021")</f>
        <v>#NAME?</v>
      </c>
      <c r="K3149" s="23" t="e">
        <f ca="1">[1]!BexGetData("DP_1","003N8EMH8GTFRIVNUPY288VJH","GSON5111113021")</f>
        <v>#NAME?</v>
      </c>
      <c r="L3149" s="23" t="e">
        <f ca="1">[1]!BexGetData("DP_1","003N8EMH8GTFRIVNUPY2891V1","GSON5111113021")</f>
        <v>#NAME?</v>
      </c>
      <c r="M3149" s="28" t="e">
        <f ca="1">[1]!BexGetData("DP_1","003N8EMH8GTFRIVOG7KG9IQXA","GSON5111113021")</f>
        <v>#NAME?</v>
      </c>
      <c r="N3149" s="23" t="e">
        <f ca="1">[1]!BexGetData("DP_1","003N8EMH8GTFRIVOG7KG9IX8U","GSON5111113021")</f>
        <v>#NAME?</v>
      </c>
      <c r="O3149" s="28" t="e">
        <f ca="1">[1]!BexGetData("DP_1","003N8EMH8GTFRIVOG7KG9J3KE","GSON5111113021")</f>
        <v>#NAME?</v>
      </c>
      <c r="P3149" s="23" t="e">
        <f ca="1">[1]!BexGetData("DP_1","003N8EMH8GTFRIVOG7KG9J9VY","GSON5111113021")</f>
        <v>#NAME?</v>
      </c>
      <c r="Q3149" s="24" t="e">
        <f ca="1">[1]!BexGetData("DP_1","00O2TNJGODT0G5Z4TTKYMM5MT","GSON5111113021")</f>
        <v>#NAME?</v>
      </c>
      <c r="R3149" s="23" t="e">
        <f ca="1">[1]!BexGetData("DP_1","00O2TNJGODT0G5Z4TTKYMMBYD","GSON5111113021")</f>
        <v>#NAME?</v>
      </c>
      <c r="S3149" s="23" t="e">
        <f ca="1">[1]!BexGetData("DP_1","00O2TNJGODT0G5Z4TTKYMMI9X","GSON5111113021")</f>
        <v>#NAME?</v>
      </c>
      <c r="T3149" s="28" t="e">
        <f ca="1">[1]!BexGetData("DP_1","00O2TNJGODT0G5Z4TTKYMMOLH","GSON5111113021")</f>
        <v>#NAME?</v>
      </c>
      <c r="U3149" s="23" t="e">
        <f ca="1">[1]!BexGetData("DP_1","00O2TNJGODT0G5Z4TTKYMMUX1","GSON5111113021")</f>
        <v>#NAME?</v>
      </c>
      <c r="V3149" s="28" t="e">
        <f ca="1">[1]!BexGetData("DP_1","00O2TNJGODT0G5Z4TTKYMN18L","GSON5111113021")</f>
        <v>#NAME?</v>
      </c>
      <c r="W3149" s="23" t="e">
        <f ca="1">[1]!BexGetData("DP_1","00O2TNJGODT0G5Z4TTKYMN7K5","GSON5111113021")</f>
        <v>#NAME?</v>
      </c>
    </row>
    <row r="3150" spans="1:23" x14ac:dyDescent="0.2">
      <c r="A3150" s="36" t="s">
        <v>6509</v>
      </c>
      <c r="B3150" s="27" t="s">
        <v>6510</v>
      </c>
      <c r="C3150" s="23" t="e">
        <f ca="1">[1]!BexGetData("DP_1","003N8EMH8GTFRCSWKMPXRR8GU","GSON5111113031")</f>
        <v>#NAME?</v>
      </c>
      <c r="D3150" s="28" t="e">
        <f ca="1">[1]!BexGetData("DP_1","003N8EMH8GTFRCSWKMPXRRESE","GSON5111113031")</f>
        <v>#NAME?</v>
      </c>
      <c r="E3150" s="23" t="e">
        <f ca="1">[1]!BexGetData("DP_1","003N8EMH8GTFRCSWKMPXRRL3Y","GSON5111113031")</f>
        <v>#NAME?</v>
      </c>
      <c r="F3150" s="24" t="e">
        <f ca="1">[1]!BexGetData("DP_1","003N8EMH8GTFRCSWKMPXRRRFI","GSON5111113031")</f>
        <v>#NAME?</v>
      </c>
      <c r="G3150" s="24" t="e">
        <f ca="1">[1]!BexGetData("DP_1","003N8EMH8GTFRCSWKMPXRRXR2","GSON5111113031")</f>
        <v>#NAME?</v>
      </c>
      <c r="H3150" s="24" t="e">
        <f ca="1">[1]!BexGetData("DP_1","003N8EMH8GTFRCSWKMPXRS42M","GSON5111113031")</f>
        <v>#NAME?</v>
      </c>
      <c r="I3150" s="24" t="e">
        <f ca="1">[1]!BexGetData("DP_1","003N8EMH8GTFRCSWKMPXRSAE6","GSON5111113031")</f>
        <v>#NAME?</v>
      </c>
      <c r="J3150" s="24" t="e">
        <f ca="1">[1]!BexGetData("DP_1","003N8EMH8GTFRCSWKMPXRSGPQ","GSON5111113031")</f>
        <v>#NAME?</v>
      </c>
      <c r="K3150" s="23" t="e">
        <f ca="1">[1]!BexGetData("DP_1","003N8EMH8GTFRIVNUPY288VJH","GSON5111113031")</f>
        <v>#NAME?</v>
      </c>
      <c r="L3150" s="23" t="e">
        <f ca="1">[1]!BexGetData("DP_1","003N8EMH8GTFRIVNUPY2891V1","GSON5111113031")</f>
        <v>#NAME?</v>
      </c>
      <c r="M3150" s="28" t="e">
        <f ca="1">[1]!BexGetData("DP_1","003N8EMH8GTFRIVOG7KG9IQXA","GSON5111113031")</f>
        <v>#NAME?</v>
      </c>
      <c r="N3150" s="23" t="e">
        <f ca="1">[1]!BexGetData("DP_1","003N8EMH8GTFRIVOG7KG9IX8U","GSON5111113031")</f>
        <v>#NAME?</v>
      </c>
      <c r="O3150" s="28" t="e">
        <f ca="1">[1]!BexGetData("DP_1","003N8EMH8GTFRIVOG7KG9J3KE","GSON5111113031")</f>
        <v>#NAME?</v>
      </c>
      <c r="P3150" s="23" t="e">
        <f ca="1">[1]!BexGetData("DP_1","003N8EMH8GTFRIVOG7KG9J9VY","GSON5111113031")</f>
        <v>#NAME?</v>
      </c>
      <c r="Q3150" s="24" t="e">
        <f ca="1">[1]!BexGetData("DP_1","00O2TNJGODT0G5Z4TTKYMM5MT","GSON5111113031")</f>
        <v>#NAME?</v>
      </c>
      <c r="R3150" s="24" t="e">
        <f ca="1">[1]!BexGetData("DP_1","00O2TNJGODT0G5Z4TTKYMMBYD","GSON5111113031")</f>
        <v>#NAME?</v>
      </c>
      <c r="S3150" s="24" t="e">
        <f ca="1">[1]!BexGetData("DP_1","00O2TNJGODT0G5Z4TTKYMMI9X","GSON5111113031")</f>
        <v>#NAME?</v>
      </c>
      <c r="T3150" s="24" t="e">
        <f ca="1">[1]!BexGetData("DP_1","00O2TNJGODT0G5Z4TTKYMMOLH","GSON5111113031")</f>
        <v>#NAME?</v>
      </c>
      <c r="U3150" s="24" t="e">
        <f ca="1">[1]!BexGetData("DP_1","00O2TNJGODT0G5Z4TTKYMMUX1","GSON5111113031")</f>
        <v>#NAME?</v>
      </c>
      <c r="V3150" s="24" t="e">
        <f ca="1">[1]!BexGetData("DP_1","00O2TNJGODT0G5Z4TTKYMN18L","GSON5111113031")</f>
        <v>#NAME?</v>
      </c>
      <c r="W3150" s="24" t="e">
        <f ca="1">[1]!BexGetData("DP_1","00O2TNJGODT0G5Z4TTKYMN7K5","GSON5111113031")</f>
        <v>#NAME?</v>
      </c>
    </row>
    <row r="3151" spans="1:23" x14ac:dyDescent="0.2">
      <c r="A3151" s="36" t="s">
        <v>6511</v>
      </c>
      <c r="B3151" s="27" t="s">
        <v>6512</v>
      </c>
      <c r="C3151" s="23" t="e">
        <f ca="1">[1]!BexGetData("DP_1","003N8EMH8GTFRCSWKMPXRR8GU","GSON5111113041")</f>
        <v>#NAME?</v>
      </c>
      <c r="D3151" s="23" t="e">
        <f ca="1">[1]!BexGetData("DP_1","003N8EMH8GTFRCSWKMPXRRESE","GSON5111113041")</f>
        <v>#NAME?</v>
      </c>
      <c r="E3151" s="23" t="e">
        <f ca="1">[1]!BexGetData("DP_1","003N8EMH8GTFRCSWKMPXRRL3Y","GSON5111113041")</f>
        <v>#NAME?</v>
      </c>
      <c r="F3151" s="23" t="e">
        <f ca="1">[1]!BexGetData("DP_1","003N8EMH8GTFRCSWKMPXRRRFI","GSON5111113041")</f>
        <v>#NAME?</v>
      </c>
      <c r="G3151" s="23" t="e">
        <f ca="1">[1]!BexGetData("DP_1","003N8EMH8GTFRCSWKMPXRRXR2","GSON5111113041")</f>
        <v>#NAME?</v>
      </c>
      <c r="H3151" s="28" t="e">
        <f ca="1">[1]!BexGetData("DP_1","003N8EMH8GTFRCSWKMPXRS42M","GSON5111113041")</f>
        <v>#NAME?</v>
      </c>
      <c r="I3151" s="23" t="e">
        <f ca="1">[1]!BexGetData("DP_1","003N8EMH8GTFRCSWKMPXRSAE6","GSON5111113041")</f>
        <v>#NAME?</v>
      </c>
      <c r="J3151" s="24" t="e">
        <f ca="1">[1]!BexGetData("DP_1","003N8EMH8GTFRCSWKMPXRSGPQ","GSON5111113041")</f>
        <v>#NAME?</v>
      </c>
      <c r="K3151" s="23" t="e">
        <f ca="1">[1]!BexGetData("DP_1","003N8EMH8GTFRIVNUPY288VJH","GSON5111113041")</f>
        <v>#NAME?</v>
      </c>
      <c r="L3151" s="23" t="e">
        <f ca="1">[1]!BexGetData("DP_1","003N8EMH8GTFRIVNUPY2891V1","GSON5111113041")</f>
        <v>#NAME?</v>
      </c>
      <c r="M3151" s="23" t="e">
        <f ca="1">[1]!BexGetData("DP_1","003N8EMH8GTFRIVOG7KG9IQXA","GSON5111113041")</f>
        <v>#NAME?</v>
      </c>
      <c r="N3151" s="28" t="e">
        <f ca="1">[1]!BexGetData("DP_1","003N8EMH8GTFRIVOG7KG9IX8U","GSON5111113041")</f>
        <v>#NAME?</v>
      </c>
      <c r="O3151" s="23" t="e">
        <f ca="1">[1]!BexGetData("DP_1","003N8EMH8GTFRIVOG7KG9J3KE","GSON5111113041")</f>
        <v>#NAME?</v>
      </c>
      <c r="P3151" s="28" t="e">
        <f ca="1">[1]!BexGetData("DP_1","003N8EMH8GTFRIVOG7KG9J9VY","GSON5111113041")</f>
        <v>#NAME?</v>
      </c>
      <c r="Q3151" s="24" t="e">
        <f ca="1">[1]!BexGetData("DP_1","00O2TNJGODT0G5Z4TTKYMM5MT","GSON5111113041")</f>
        <v>#NAME?</v>
      </c>
      <c r="R3151" s="23" t="e">
        <f ca="1">[1]!BexGetData("DP_1","00O2TNJGODT0G5Z4TTKYMMBYD","GSON5111113041")</f>
        <v>#NAME?</v>
      </c>
      <c r="S3151" s="23" t="e">
        <f ca="1">[1]!BexGetData("DP_1","00O2TNJGODT0G5Z4TTKYMMI9X","GSON5111113041")</f>
        <v>#NAME?</v>
      </c>
      <c r="T3151" s="28" t="e">
        <f ca="1">[1]!BexGetData("DP_1","00O2TNJGODT0G5Z4TTKYMMOLH","GSON5111113041")</f>
        <v>#NAME?</v>
      </c>
      <c r="U3151" s="23" t="e">
        <f ca="1">[1]!BexGetData("DP_1","00O2TNJGODT0G5Z4TTKYMMUX1","GSON5111113041")</f>
        <v>#NAME?</v>
      </c>
      <c r="V3151" s="28" t="e">
        <f ca="1">[1]!BexGetData("DP_1","00O2TNJGODT0G5Z4TTKYMN18L","GSON5111113041")</f>
        <v>#NAME?</v>
      </c>
      <c r="W3151" s="23" t="e">
        <f ca="1">[1]!BexGetData("DP_1","00O2TNJGODT0G5Z4TTKYMN7K5","GSON5111113041")</f>
        <v>#NAME?</v>
      </c>
    </row>
    <row r="3152" spans="1:23" x14ac:dyDescent="0.2">
      <c r="A3152" s="36" t="s">
        <v>6513</v>
      </c>
      <c r="B3152" s="27" t="s">
        <v>6514</v>
      </c>
      <c r="C3152" s="23" t="e">
        <f ca="1">[1]!BexGetData("DP_1","003N8EMH8GTFRCSWKMPXRR8GU","GSON5111113051")</f>
        <v>#NAME?</v>
      </c>
      <c r="D3152" s="23" t="e">
        <f ca="1">[1]!BexGetData("DP_1","003N8EMH8GTFRCSWKMPXRRESE","GSON5111113051")</f>
        <v>#NAME?</v>
      </c>
      <c r="E3152" s="23" t="e">
        <f ca="1">[1]!BexGetData("DP_1","003N8EMH8GTFRCSWKMPXRRL3Y","GSON5111113051")</f>
        <v>#NAME?</v>
      </c>
      <c r="F3152" s="23" t="e">
        <f ca="1">[1]!BexGetData("DP_1","003N8EMH8GTFRCSWKMPXRRRFI","GSON5111113051")</f>
        <v>#NAME?</v>
      </c>
      <c r="G3152" s="23" t="e">
        <f ca="1">[1]!BexGetData("DP_1","003N8EMH8GTFRCSWKMPXRRXR2","GSON5111113051")</f>
        <v>#NAME?</v>
      </c>
      <c r="H3152" s="28" t="e">
        <f ca="1">[1]!BexGetData("DP_1","003N8EMH8GTFRCSWKMPXRS42M","GSON5111113051")</f>
        <v>#NAME?</v>
      </c>
      <c r="I3152" s="23" t="e">
        <f ca="1">[1]!BexGetData("DP_1","003N8EMH8GTFRCSWKMPXRSAE6","GSON5111113051")</f>
        <v>#NAME?</v>
      </c>
      <c r="J3152" s="24" t="e">
        <f ca="1">[1]!BexGetData("DP_1","003N8EMH8GTFRCSWKMPXRSGPQ","GSON5111113051")</f>
        <v>#NAME?</v>
      </c>
      <c r="K3152" s="23" t="e">
        <f ca="1">[1]!BexGetData("DP_1","003N8EMH8GTFRIVNUPY288VJH","GSON5111113051")</f>
        <v>#NAME?</v>
      </c>
      <c r="L3152" s="23" t="e">
        <f ca="1">[1]!BexGetData("DP_1","003N8EMH8GTFRIVNUPY2891V1","GSON5111113051")</f>
        <v>#NAME?</v>
      </c>
      <c r="M3152" s="28" t="e">
        <f ca="1">[1]!BexGetData("DP_1","003N8EMH8GTFRIVOG7KG9IQXA","GSON5111113051")</f>
        <v>#NAME?</v>
      </c>
      <c r="N3152" s="23" t="e">
        <f ca="1">[1]!BexGetData("DP_1","003N8EMH8GTFRIVOG7KG9IX8U","GSON5111113051")</f>
        <v>#NAME?</v>
      </c>
      <c r="O3152" s="28" t="e">
        <f ca="1">[1]!BexGetData("DP_1","003N8EMH8GTFRIVOG7KG9J3KE","GSON5111113051")</f>
        <v>#NAME?</v>
      </c>
      <c r="P3152" s="23" t="e">
        <f ca="1">[1]!BexGetData("DP_1","003N8EMH8GTFRIVOG7KG9J9VY","GSON5111113051")</f>
        <v>#NAME?</v>
      </c>
      <c r="Q3152" s="24" t="e">
        <f ca="1">[1]!BexGetData("DP_1","00O2TNJGODT0G5Z4TTKYMM5MT","GSON5111113051")</f>
        <v>#NAME?</v>
      </c>
      <c r="R3152" s="23" t="e">
        <f ca="1">[1]!BexGetData("DP_1","00O2TNJGODT0G5Z4TTKYMMBYD","GSON5111113051")</f>
        <v>#NAME?</v>
      </c>
      <c r="S3152" s="23" t="e">
        <f ca="1">[1]!BexGetData("DP_1","00O2TNJGODT0G5Z4TTKYMMI9X","GSON5111113051")</f>
        <v>#NAME?</v>
      </c>
      <c r="T3152" s="28" t="e">
        <f ca="1">[1]!BexGetData("DP_1","00O2TNJGODT0G5Z4TTKYMMOLH","GSON5111113051")</f>
        <v>#NAME?</v>
      </c>
      <c r="U3152" s="23" t="e">
        <f ca="1">[1]!BexGetData("DP_1","00O2TNJGODT0G5Z4TTKYMMUX1","GSON5111113051")</f>
        <v>#NAME?</v>
      </c>
      <c r="V3152" s="28" t="e">
        <f ca="1">[1]!BexGetData("DP_1","00O2TNJGODT0G5Z4TTKYMN18L","GSON5111113051")</f>
        <v>#NAME?</v>
      </c>
      <c r="W3152" s="23" t="e">
        <f ca="1">[1]!BexGetData("DP_1","00O2TNJGODT0G5Z4TTKYMN7K5","GSON5111113051")</f>
        <v>#NAME?</v>
      </c>
    </row>
    <row r="3153" spans="1:23" x14ac:dyDescent="0.2">
      <c r="A3153" s="36" t="s">
        <v>6515</v>
      </c>
      <c r="B3153" s="27" t="s">
        <v>6516</v>
      </c>
      <c r="C3153" s="23" t="e">
        <f ca="1">[1]!BexGetData("DP_1","003N8EMH8GTFRCSWKMPXRR8GU","GSON5111113061")</f>
        <v>#NAME?</v>
      </c>
      <c r="D3153" s="23" t="e">
        <f ca="1">[1]!BexGetData("DP_1","003N8EMH8GTFRCSWKMPXRRESE","GSON5111113061")</f>
        <v>#NAME?</v>
      </c>
      <c r="E3153" s="23" t="e">
        <f ca="1">[1]!BexGetData("DP_1","003N8EMH8GTFRCSWKMPXRRL3Y","GSON5111113061")</f>
        <v>#NAME?</v>
      </c>
      <c r="F3153" s="23" t="e">
        <f ca="1">[1]!BexGetData("DP_1","003N8EMH8GTFRCSWKMPXRRRFI","GSON5111113061")</f>
        <v>#NAME?</v>
      </c>
      <c r="G3153" s="23" t="e">
        <f ca="1">[1]!BexGetData("DP_1","003N8EMH8GTFRCSWKMPXRRXR2","GSON5111113061")</f>
        <v>#NAME?</v>
      </c>
      <c r="H3153" s="23" t="e">
        <f ca="1">[1]!BexGetData("DP_1","003N8EMH8GTFRCSWKMPXRS42M","GSON5111113061")</f>
        <v>#NAME?</v>
      </c>
      <c r="I3153" s="23" t="e">
        <f ca="1">[1]!BexGetData("DP_1","003N8EMH8GTFRCSWKMPXRSAE6","GSON5111113061")</f>
        <v>#NAME?</v>
      </c>
      <c r="J3153" s="24" t="e">
        <f ca="1">[1]!BexGetData("DP_1","003N8EMH8GTFRCSWKMPXRSGPQ","GSON5111113061")</f>
        <v>#NAME?</v>
      </c>
      <c r="K3153" s="23" t="e">
        <f ca="1">[1]!BexGetData("DP_1","003N8EMH8GTFRIVNUPY288VJH","GSON5111113061")</f>
        <v>#NAME?</v>
      </c>
      <c r="L3153" s="23" t="e">
        <f ca="1">[1]!BexGetData("DP_1","003N8EMH8GTFRIVNUPY2891V1","GSON5111113061")</f>
        <v>#NAME?</v>
      </c>
      <c r="M3153" s="28" t="e">
        <f ca="1">[1]!BexGetData("DP_1","003N8EMH8GTFRIVOG7KG9IQXA","GSON5111113061")</f>
        <v>#NAME?</v>
      </c>
      <c r="N3153" s="23" t="e">
        <f ca="1">[1]!BexGetData("DP_1","003N8EMH8GTFRIVOG7KG9IX8U","GSON5111113061")</f>
        <v>#NAME?</v>
      </c>
      <c r="O3153" s="28" t="e">
        <f ca="1">[1]!BexGetData("DP_1","003N8EMH8GTFRIVOG7KG9J3KE","GSON5111113061")</f>
        <v>#NAME?</v>
      </c>
      <c r="P3153" s="23" t="e">
        <f ca="1">[1]!BexGetData("DP_1","003N8EMH8GTFRIVOG7KG9J9VY","GSON5111113061")</f>
        <v>#NAME?</v>
      </c>
      <c r="Q3153" s="24" t="e">
        <f ca="1">[1]!BexGetData("DP_1","00O2TNJGODT0G5Z4TTKYMM5MT","GSON5111113061")</f>
        <v>#NAME?</v>
      </c>
      <c r="R3153" s="23" t="e">
        <f ca="1">[1]!BexGetData("DP_1","00O2TNJGODT0G5Z4TTKYMMBYD","GSON5111113061")</f>
        <v>#NAME?</v>
      </c>
      <c r="S3153" s="23" t="e">
        <f ca="1">[1]!BexGetData("DP_1","00O2TNJGODT0G5Z4TTKYMMI9X","GSON5111113061")</f>
        <v>#NAME?</v>
      </c>
      <c r="T3153" s="28" t="e">
        <f ca="1">[1]!BexGetData("DP_1","00O2TNJGODT0G5Z4TTKYMMOLH","GSON5111113061")</f>
        <v>#NAME?</v>
      </c>
      <c r="U3153" s="23" t="e">
        <f ca="1">[1]!BexGetData("DP_1","00O2TNJGODT0G5Z4TTKYMMUX1","GSON5111113061")</f>
        <v>#NAME?</v>
      </c>
      <c r="V3153" s="28" t="e">
        <f ca="1">[1]!BexGetData("DP_1","00O2TNJGODT0G5Z4TTKYMN18L","GSON5111113061")</f>
        <v>#NAME?</v>
      </c>
      <c r="W3153" s="23" t="e">
        <f ca="1">[1]!BexGetData("DP_1","00O2TNJGODT0G5Z4TTKYMN7K5","GSON5111113061")</f>
        <v>#NAME?</v>
      </c>
    </row>
    <row r="3154" spans="1:23" x14ac:dyDescent="0.2">
      <c r="A3154" s="36" t="s">
        <v>6517</v>
      </c>
      <c r="B3154" s="27" t="s">
        <v>1547</v>
      </c>
      <c r="C3154" s="24" t="e">
        <f ca="1">[1]!BexGetData("DP_1","003N8EMH8GTFRCSWKMPXRR8GU","GSON5111113062")</f>
        <v>#NAME?</v>
      </c>
      <c r="D3154" s="24" t="e">
        <f ca="1">[1]!BexGetData("DP_1","003N8EMH8GTFRCSWKMPXRRESE","GSON5111113062")</f>
        <v>#NAME?</v>
      </c>
      <c r="E3154" s="24" t="e">
        <f ca="1">[1]!BexGetData("DP_1","003N8EMH8GTFRCSWKMPXRRL3Y","GSON5111113062")</f>
        <v>#NAME?</v>
      </c>
      <c r="F3154" s="28" t="e">
        <f ca="1">[1]!BexGetData("DP_1","003N8EMH8GTFRCSWKMPXRRRFI","GSON5111113062")</f>
        <v>#NAME?</v>
      </c>
      <c r="G3154" s="23" t="e">
        <f ca="1">[1]!BexGetData("DP_1","003N8EMH8GTFRCSWKMPXRRXR2","GSON5111113062")</f>
        <v>#NAME?</v>
      </c>
      <c r="H3154" s="23" t="e">
        <f ca="1">[1]!BexGetData("DP_1","003N8EMH8GTFRCSWKMPXRS42M","GSON5111113062")</f>
        <v>#NAME?</v>
      </c>
      <c r="I3154" s="28" t="e">
        <f ca="1">[1]!BexGetData("DP_1","003N8EMH8GTFRCSWKMPXRSAE6","GSON5111113062")</f>
        <v>#NAME?</v>
      </c>
      <c r="J3154" s="24" t="e">
        <f ca="1">[1]!BexGetData("DP_1","003N8EMH8GTFRCSWKMPXRSGPQ","GSON5111113062")</f>
        <v>#NAME?</v>
      </c>
      <c r="K3154" s="28" t="e">
        <f ca="1">[1]!BexGetData("DP_1","003N8EMH8GTFRIVNUPY288VJH","GSON5111113062")</f>
        <v>#NAME?</v>
      </c>
      <c r="L3154" s="28" t="e">
        <f ca="1">[1]!BexGetData("DP_1","003N8EMH8GTFRIVNUPY2891V1","GSON5111113062")</f>
        <v>#NAME?</v>
      </c>
      <c r="M3154" s="28" t="e">
        <f ca="1">[1]!BexGetData("DP_1","003N8EMH8GTFRIVOG7KG9IQXA","GSON5111113062")</f>
        <v>#NAME?</v>
      </c>
      <c r="N3154" s="28" t="e">
        <f ca="1">[1]!BexGetData("DP_1","003N8EMH8GTFRIVOG7KG9IX8U","GSON5111113062")</f>
        <v>#NAME?</v>
      </c>
      <c r="O3154" s="28" t="e">
        <f ca="1">[1]!BexGetData("DP_1","003N8EMH8GTFRIVOG7KG9J3KE","GSON5111113062")</f>
        <v>#NAME?</v>
      </c>
      <c r="P3154" s="28" t="e">
        <f ca="1">[1]!BexGetData("DP_1","003N8EMH8GTFRIVOG7KG9J9VY","GSON5111113062")</f>
        <v>#NAME?</v>
      </c>
      <c r="Q3154" s="24" t="e">
        <f ca="1">[1]!BexGetData("DP_1","00O2TNJGODT0G5Z4TTKYMM5MT","GSON5111113062")</f>
        <v>#NAME?</v>
      </c>
      <c r="R3154" s="28" t="e">
        <f ca="1">[1]!BexGetData("DP_1","00O2TNJGODT0G5Z4TTKYMMBYD","GSON5111113062")</f>
        <v>#NAME?</v>
      </c>
      <c r="S3154" s="28" t="e">
        <f ca="1">[1]!BexGetData("DP_1","00O2TNJGODT0G5Z4TTKYMMI9X","GSON5111113062")</f>
        <v>#NAME?</v>
      </c>
      <c r="T3154" s="28" t="e">
        <f ca="1">[1]!BexGetData("DP_1","00O2TNJGODT0G5Z4TTKYMMOLH","GSON5111113062")</f>
        <v>#NAME?</v>
      </c>
      <c r="U3154" s="28" t="e">
        <f ca="1">[1]!BexGetData("DP_1","00O2TNJGODT0G5Z4TTKYMMUX1","GSON5111113062")</f>
        <v>#NAME?</v>
      </c>
      <c r="V3154" s="28" t="e">
        <f ca="1">[1]!BexGetData("DP_1","00O2TNJGODT0G5Z4TTKYMN18L","GSON5111113062")</f>
        <v>#NAME?</v>
      </c>
      <c r="W3154" s="28" t="e">
        <f ca="1">[1]!BexGetData("DP_1","00O2TNJGODT0G5Z4TTKYMN7K5","GSON5111113062")</f>
        <v>#NAME?</v>
      </c>
    </row>
    <row r="3155" spans="1:23" x14ac:dyDescent="0.2">
      <c r="A3155" s="36" t="s">
        <v>6518</v>
      </c>
      <c r="B3155" s="27" t="s">
        <v>1548</v>
      </c>
      <c r="C3155" s="23" t="e">
        <f ca="1">[1]!BexGetData("DP_1","003N8EMH8GTFRCSWKMPXRR8GU","GSON5111113071")</f>
        <v>#NAME?</v>
      </c>
      <c r="D3155" s="23" t="e">
        <f ca="1">[1]!BexGetData("DP_1","003N8EMH8GTFRCSWKMPXRRESE","GSON5111113071")</f>
        <v>#NAME?</v>
      </c>
      <c r="E3155" s="23" t="e">
        <f ca="1">[1]!BexGetData("DP_1","003N8EMH8GTFRCSWKMPXRRL3Y","GSON5111113071")</f>
        <v>#NAME?</v>
      </c>
      <c r="F3155" s="23" t="e">
        <f ca="1">[1]!BexGetData("DP_1","003N8EMH8GTFRCSWKMPXRRRFI","GSON5111113071")</f>
        <v>#NAME?</v>
      </c>
      <c r="G3155" s="23" t="e">
        <f ca="1">[1]!BexGetData("DP_1","003N8EMH8GTFRCSWKMPXRRXR2","GSON5111113071")</f>
        <v>#NAME?</v>
      </c>
      <c r="H3155" s="23" t="e">
        <f ca="1">[1]!BexGetData("DP_1","003N8EMH8GTFRCSWKMPXRS42M","GSON5111113071")</f>
        <v>#NAME?</v>
      </c>
      <c r="I3155" s="23" t="e">
        <f ca="1">[1]!BexGetData("DP_1","003N8EMH8GTFRCSWKMPXRSAE6","GSON5111113071")</f>
        <v>#NAME?</v>
      </c>
      <c r="J3155" s="24" t="e">
        <f ca="1">[1]!BexGetData("DP_1","003N8EMH8GTFRCSWKMPXRSGPQ","GSON5111113071")</f>
        <v>#NAME?</v>
      </c>
      <c r="K3155" s="23" t="e">
        <f ca="1">[1]!BexGetData("DP_1","003N8EMH8GTFRIVNUPY288VJH","GSON5111113071")</f>
        <v>#NAME?</v>
      </c>
      <c r="L3155" s="23" t="e">
        <f ca="1">[1]!BexGetData("DP_1","003N8EMH8GTFRIVNUPY2891V1","GSON5111113071")</f>
        <v>#NAME?</v>
      </c>
      <c r="M3155" s="23" t="e">
        <f ca="1">[1]!BexGetData("DP_1","003N8EMH8GTFRIVOG7KG9IQXA","GSON5111113071")</f>
        <v>#NAME?</v>
      </c>
      <c r="N3155" s="28" t="e">
        <f ca="1">[1]!BexGetData("DP_1","003N8EMH8GTFRIVOG7KG9IX8U","GSON5111113071")</f>
        <v>#NAME?</v>
      </c>
      <c r="O3155" s="23" t="e">
        <f ca="1">[1]!BexGetData("DP_1","003N8EMH8GTFRIVOG7KG9J3KE","GSON5111113071")</f>
        <v>#NAME?</v>
      </c>
      <c r="P3155" s="28" t="e">
        <f ca="1">[1]!BexGetData("DP_1","003N8EMH8GTFRIVOG7KG9J9VY","GSON5111113071")</f>
        <v>#NAME?</v>
      </c>
      <c r="Q3155" s="24" t="e">
        <f ca="1">[1]!BexGetData("DP_1","00O2TNJGODT0G5Z4TTKYMM5MT","GSON5111113071")</f>
        <v>#NAME?</v>
      </c>
      <c r="R3155" s="23" t="e">
        <f ca="1">[1]!BexGetData("DP_1","00O2TNJGODT0G5Z4TTKYMMBYD","GSON5111113071")</f>
        <v>#NAME?</v>
      </c>
      <c r="S3155" s="23" t="e">
        <f ca="1">[1]!BexGetData("DP_1","00O2TNJGODT0G5Z4TTKYMMI9X","GSON5111113071")</f>
        <v>#NAME?</v>
      </c>
      <c r="T3155" s="28" t="e">
        <f ca="1">[1]!BexGetData("DP_1","00O2TNJGODT0G5Z4TTKYMMOLH","GSON5111113071")</f>
        <v>#NAME?</v>
      </c>
      <c r="U3155" s="23" t="e">
        <f ca="1">[1]!BexGetData("DP_1","00O2TNJGODT0G5Z4TTKYMMUX1","GSON5111113071")</f>
        <v>#NAME?</v>
      </c>
      <c r="V3155" s="28" t="e">
        <f ca="1">[1]!BexGetData("DP_1","00O2TNJGODT0G5Z4TTKYMN18L","GSON5111113071")</f>
        <v>#NAME?</v>
      </c>
      <c r="W3155" s="23" t="e">
        <f ca="1">[1]!BexGetData("DP_1","00O2TNJGODT0G5Z4TTKYMN7K5","GSON5111113071")</f>
        <v>#NAME?</v>
      </c>
    </row>
    <row r="3156" spans="1:23" x14ac:dyDescent="0.2">
      <c r="A3156" s="36" t="s">
        <v>6519</v>
      </c>
      <c r="B3156" s="27" t="s">
        <v>6520</v>
      </c>
      <c r="C3156" s="23" t="e">
        <f ca="1">[1]!BexGetData("DP_1","003N8EMH8GTFRCSWKMPXRR8GU","GSON5111113101")</f>
        <v>#NAME?</v>
      </c>
      <c r="D3156" s="23" t="e">
        <f ca="1">[1]!BexGetData("DP_1","003N8EMH8GTFRCSWKMPXRRESE","GSON5111113101")</f>
        <v>#NAME?</v>
      </c>
      <c r="E3156" s="23" t="e">
        <f ca="1">[1]!BexGetData("DP_1","003N8EMH8GTFRCSWKMPXRRL3Y","GSON5111113101")</f>
        <v>#NAME?</v>
      </c>
      <c r="F3156" s="23" t="e">
        <f ca="1">[1]!BexGetData("DP_1","003N8EMH8GTFRCSWKMPXRRRFI","GSON5111113101")</f>
        <v>#NAME?</v>
      </c>
      <c r="G3156" s="23" t="e">
        <f ca="1">[1]!BexGetData("DP_1","003N8EMH8GTFRCSWKMPXRRXR2","GSON5111113101")</f>
        <v>#NAME?</v>
      </c>
      <c r="H3156" s="23" t="e">
        <f ca="1">[1]!BexGetData("DP_1","003N8EMH8GTFRCSWKMPXRS42M","GSON5111113101")</f>
        <v>#NAME?</v>
      </c>
      <c r="I3156" s="23" t="e">
        <f ca="1">[1]!BexGetData("DP_1","003N8EMH8GTFRCSWKMPXRSAE6","GSON5111113101")</f>
        <v>#NAME?</v>
      </c>
      <c r="J3156" s="24" t="e">
        <f ca="1">[1]!BexGetData("DP_1","003N8EMH8GTFRCSWKMPXRSGPQ","GSON5111113101")</f>
        <v>#NAME?</v>
      </c>
      <c r="K3156" s="23" t="e">
        <f ca="1">[1]!BexGetData("DP_1","003N8EMH8GTFRIVNUPY288VJH","GSON5111113101")</f>
        <v>#NAME?</v>
      </c>
      <c r="L3156" s="23" t="e">
        <f ca="1">[1]!BexGetData("DP_1","003N8EMH8GTFRIVNUPY2891V1","GSON5111113101")</f>
        <v>#NAME?</v>
      </c>
      <c r="M3156" s="28" t="e">
        <f ca="1">[1]!BexGetData("DP_1","003N8EMH8GTFRIVOG7KG9IQXA","GSON5111113101")</f>
        <v>#NAME?</v>
      </c>
      <c r="N3156" s="23" t="e">
        <f ca="1">[1]!BexGetData("DP_1","003N8EMH8GTFRIVOG7KG9IX8U","GSON5111113101")</f>
        <v>#NAME?</v>
      </c>
      <c r="O3156" s="28" t="e">
        <f ca="1">[1]!BexGetData("DP_1","003N8EMH8GTFRIVOG7KG9J3KE","GSON5111113101")</f>
        <v>#NAME?</v>
      </c>
      <c r="P3156" s="23" t="e">
        <f ca="1">[1]!BexGetData("DP_1","003N8EMH8GTFRIVOG7KG9J9VY","GSON5111113101")</f>
        <v>#NAME?</v>
      </c>
      <c r="Q3156" s="24" t="e">
        <f ca="1">[1]!BexGetData("DP_1","00O2TNJGODT0G5Z4TTKYMM5MT","GSON5111113101")</f>
        <v>#NAME?</v>
      </c>
      <c r="R3156" s="23" t="e">
        <f ca="1">[1]!BexGetData("DP_1","00O2TNJGODT0G5Z4TTKYMMBYD","GSON5111113101")</f>
        <v>#NAME?</v>
      </c>
      <c r="S3156" s="23" t="e">
        <f ca="1">[1]!BexGetData("DP_1","00O2TNJGODT0G5Z4TTKYMMI9X","GSON5111113101")</f>
        <v>#NAME?</v>
      </c>
      <c r="T3156" s="28" t="e">
        <f ca="1">[1]!BexGetData("DP_1","00O2TNJGODT0G5Z4TTKYMMOLH","GSON5111113101")</f>
        <v>#NAME?</v>
      </c>
      <c r="U3156" s="23" t="e">
        <f ca="1">[1]!BexGetData("DP_1","00O2TNJGODT0G5Z4TTKYMMUX1","GSON5111113101")</f>
        <v>#NAME?</v>
      </c>
      <c r="V3156" s="28" t="e">
        <f ca="1">[1]!BexGetData("DP_1","00O2TNJGODT0G5Z4TTKYMN18L","GSON5111113101")</f>
        <v>#NAME?</v>
      </c>
      <c r="W3156" s="23" t="e">
        <f ca="1">[1]!BexGetData("DP_1","00O2TNJGODT0G5Z4TTKYMN7K5","GSON5111113101")</f>
        <v>#NAME?</v>
      </c>
    </row>
    <row r="3157" spans="1:23" x14ac:dyDescent="0.2">
      <c r="A3157" s="36" t="s">
        <v>6521</v>
      </c>
      <c r="B3157" s="27" t="s">
        <v>1549</v>
      </c>
      <c r="C3157" s="23" t="e">
        <f ca="1">[1]!BexGetData("DP_1","003N8EMH8GTFRCSWKMPXRR8GU","GSON5111113131")</f>
        <v>#NAME?</v>
      </c>
      <c r="D3157" s="23" t="e">
        <f ca="1">[1]!BexGetData("DP_1","003N8EMH8GTFRCSWKMPXRRESE","GSON5111113131")</f>
        <v>#NAME?</v>
      </c>
      <c r="E3157" s="23" t="e">
        <f ca="1">[1]!BexGetData("DP_1","003N8EMH8GTFRCSWKMPXRRL3Y","GSON5111113131")</f>
        <v>#NAME?</v>
      </c>
      <c r="F3157" s="23" t="e">
        <f ca="1">[1]!BexGetData("DP_1","003N8EMH8GTFRCSWKMPXRRRFI","GSON5111113131")</f>
        <v>#NAME?</v>
      </c>
      <c r="G3157" s="23" t="e">
        <f ca="1">[1]!BexGetData("DP_1","003N8EMH8GTFRCSWKMPXRRXR2","GSON5111113131")</f>
        <v>#NAME?</v>
      </c>
      <c r="H3157" s="23" t="e">
        <f ca="1">[1]!BexGetData("DP_1","003N8EMH8GTFRCSWKMPXRS42M","GSON5111113131")</f>
        <v>#NAME?</v>
      </c>
      <c r="I3157" s="23" t="e">
        <f ca="1">[1]!BexGetData("DP_1","003N8EMH8GTFRCSWKMPXRSAE6","GSON5111113131")</f>
        <v>#NAME?</v>
      </c>
      <c r="J3157" s="24" t="e">
        <f ca="1">[1]!BexGetData("DP_1","003N8EMH8GTFRCSWKMPXRSGPQ","GSON5111113131")</f>
        <v>#NAME?</v>
      </c>
      <c r="K3157" s="23" t="e">
        <f ca="1">[1]!BexGetData("DP_1","003N8EMH8GTFRIVNUPY288VJH","GSON5111113131")</f>
        <v>#NAME?</v>
      </c>
      <c r="L3157" s="23" t="e">
        <f ca="1">[1]!BexGetData("DP_1","003N8EMH8GTFRIVNUPY2891V1","GSON5111113131")</f>
        <v>#NAME?</v>
      </c>
      <c r="M3157" s="28" t="e">
        <f ca="1">[1]!BexGetData("DP_1","003N8EMH8GTFRIVOG7KG9IQXA","GSON5111113131")</f>
        <v>#NAME?</v>
      </c>
      <c r="N3157" s="23" t="e">
        <f ca="1">[1]!BexGetData("DP_1","003N8EMH8GTFRIVOG7KG9IX8U","GSON5111113131")</f>
        <v>#NAME?</v>
      </c>
      <c r="O3157" s="28" t="e">
        <f ca="1">[1]!BexGetData("DP_1","003N8EMH8GTFRIVOG7KG9J3KE","GSON5111113131")</f>
        <v>#NAME?</v>
      </c>
      <c r="P3157" s="23" t="e">
        <f ca="1">[1]!BexGetData("DP_1","003N8EMH8GTFRIVOG7KG9J9VY","GSON5111113131")</f>
        <v>#NAME?</v>
      </c>
      <c r="Q3157" s="24" t="e">
        <f ca="1">[1]!BexGetData("DP_1","00O2TNJGODT0G5Z4TTKYMM5MT","GSON5111113131")</f>
        <v>#NAME?</v>
      </c>
      <c r="R3157" s="23" t="e">
        <f ca="1">[1]!BexGetData("DP_1","00O2TNJGODT0G5Z4TTKYMMBYD","GSON5111113131")</f>
        <v>#NAME?</v>
      </c>
      <c r="S3157" s="23" t="e">
        <f ca="1">[1]!BexGetData("DP_1","00O2TNJGODT0G5Z4TTKYMMI9X","GSON5111113131")</f>
        <v>#NAME?</v>
      </c>
      <c r="T3157" s="28" t="e">
        <f ca="1">[1]!BexGetData("DP_1","00O2TNJGODT0G5Z4TTKYMMOLH","GSON5111113131")</f>
        <v>#NAME?</v>
      </c>
      <c r="U3157" s="23" t="e">
        <f ca="1">[1]!BexGetData("DP_1","00O2TNJGODT0G5Z4TTKYMMUX1","GSON5111113131")</f>
        <v>#NAME?</v>
      </c>
      <c r="V3157" s="28" t="e">
        <f ca="1">[1]!BexGetData("DP_1","00O2TNJGODT0G5Z4TTKYMN18L","GSON5111113131")</f>
        <v>#NAME?</v>
      </c>
      <c r="W3157" s="23" t="e">
        <f ca="1">[1]!BexGetData("DP_1","00O2TNJGODT0G5Z4TTKYMN7K5","GSON5111113131")</f>
        <v>#NAME?</v>
      </c>
    </row>
    <row r="3158" spans="1:23" x14ac:dyDescent="0.2">
      <c r="A3158" s="35" t="s">
        <v>585</v>
      </c>
      <c r="B3158" s="27" t="s">
        <v>586</v>
      </c>
      <c r="C3158" s="23" t="e">
        <f ca="1">[1]!BexGetData("DP_1","003N8EMH8GTFRCSWKMPXRR8GU","GSON5112")</f>
        <v>#NAME?</v>
      </c>
      <c r="D3158" s="23" t="e">
        <f ca="1">[1]!BexGetData("DP_1","003N8EMH8GTFRCSWKMPXRRESE","GSON5112")</f>
        <v>#NAME?</v>
      </c>
      <c r="E3158" s="23" t="e">
        <f ca="1">[1]!BexGetData("DP_1","003N8EMH8GTFRCSWKMPXRRL3Y","GSON5112")</f>
        <v>#NAME?</v>
      </c>
      <c r="F3158" s="23" t="e">
        <f ca="1">[1]!BexGetData("DP_1","003N8EMH8GTFRCSWKMPXRRRFI","GSON5112")</f>
        <v>#NAME?</v>
      </c>
      <c r="G3158" s="23" t="e">
        <f ca="1">[1]!BexGetData("DP_1","003N8EMH8GTFRCSWKMPXRRXR2","GSON5112")</f>
        <v>#NAME?</v>
      </c>
      <c r="H3158" s="23" t="e">
        <f ca="1">[1]!BexGetData("DP_1","003N8EMH8GTFRCSWKMPXRS42M","GSON5112")</f>
        <v>#NAME?</v>
      </c>
      <c r="I3158" s="23" t="e">
        <f ca="1">[1]!BexGetData("DP_1","003N8EMH8GTFRCSWKMPXRSAE6","GSON5112")</f>
        <v>#NAME?</v>
      </c>
      <c r="J3158" s="24" t="e">
        <f ca="1">[1]!BexGetData("DP_1","003N8EMH8GTFRCSWKMPXRSGPQ","GSON5112")</f>
        <v>#NAME?</v>
      </c>
      <c r="K3158" s="23" t="e">
        <f ca="1">[1]!BexGetData("DP_1","003N8EMH8GTFRIVNUPY288VJH","GSON5112")</f>
        <v>#NAME?</v>
      </c>
      <c r="L3158" s="23" t="e">
        <f ca="1">[1]!BexGetData("DP_1","003N8EMH8GTFRIVNUPY2891V1","GSON5112")</f>
        <v>#NAME?</v>
      </c>
      <c r="M3158" s="28" t="e">
        <f ca="1">[1]!BexGetData("DP_1","003N8EMH8GTFRIVOG7KG9IQXA","GSON5112")</f>
        <v>#NAME?</v>
      </c>
      <c r="N3158" s="23" t="e">
        <f ca="1">[1]!BexGetData("DP_1","003N8EMH8GTFRIVOG7KG9IX8U","GSON5112")</f>
        <v>#NAME?</v>
      </c>
      <c r="O3158" s="28" t="e">
        <f ca="1">[1]!BexGetData("DP_1","003N8EMH8GTFRIVOG7KG9J3KE","GSON5112")</f>
        <v>#NAME?</v>
      </c>
      <c r="P3158" s="23" t="e">
        <f ca="1">[1]!BexGetData("DP_1","003N8EMH8GTFRIVOG7KG9J9VY","GSON5112")</f>
        <v>#NAME?</v>
      </c>
      <c r="Q3158" s="24" t="e">
        <f ca="1">[1]!BexGetData("DP_1","00O2TNJGODT0G5Z4TTKYMM5MT","GSON5112")</f>
        <v>#NAME?</v>
      </c>
      <c r="R3158" s="23" t="e">
        <f ca="1">[1]!BexGetData("DP_1","00O2TNJGODT0G5Z4TTKYMMBYD","GSON5112")</f>
        <v>#NAME?</v>
      </c>
      <c r="S3158" s="23" t="e">
        <f ca="1">[1]!BexGetData("DP_1","00O2TNJGODT0G5Z4TTKYMMI9X","GSON5112")</f>
        <v>#NAME?</v>
      </c>
      <c r="T3158" s="28" t="e">
        <f ca="1">[1]!BexGetData("DP_1","00O2TNJGODT0G5Z4TTKYMMOLH","GSON5112")</f>
        <v>#NAME?</v>
      </c>
      <c r="U3158" s="23" t="e">
        <f ca="1">[1]!BexGetData("DP_1","00O2TNJGODT0G5Z4TTKYMMUX1","GSON5112")</f>
        <v>#NAME?</v>
      </c>
      <c r="V3158" s="28" t="e">
        <f ca="1">[1]!BexGetData("DP_1","00O2TNJGODT0G5Z4TTKYMN18L","GSON5112")</f>
        <v>#NAME?</v>
      </c>
      <c r="W3158" s="23" t="e">
        <f ca="1">[1]!BexGetData("DP_1","00O2TNJGODT0G5Z4TTKYMN7K5","GSON5112")</f>
        <v>#NAME?</v>
      </c>
    </row>
    <row r="3159" spans="1:23" x14ac:dyDescent="0.2">
      <c r="A3159" s="36" t="s">
        <v>587</v>
      </c>
      <c r="B3159" s="27" t="s">
        <v>588</v>
      </c>
      <c r="C3159" s="23" t="e">
        <f ca="1">[1]!BexGetData("DP_1","003N8EMH8GTFRCSWKMPXRR8GU","GSON5112121011")</f>
        <v>#NAME?</v>
      </c>
      <c r="D3159" s="23" t="e">
        <f ca="1">[1]!BexGetData("DP_1","003N8EMH8GTFRCSWKMPXRRESE","GSON5112121011")</f>
        <v>#NAME?</v>
      </c>
      <c r="E3159" s="23" t="e">
        <f ca="1">[1]!BexGetData("DP_1","003N8EMH8GTFRCSWKMPXRRL3Y","GSON5112121011")</f>
        <v>#NAME?</v>
      </c>
      <c r="F3159" s="23" t="e">
        <f ca="1">[1]!BexGetData("DP_1","003N8EMH8GTFRCSWKMPXRRRFI","GSON5112121011")</f>
        <v>#NAME?</v>
      </c>
      <c r="G3159" s="23" t="e">
        <f ca="1">[1]!BexGetData("DP_1","003N8EMH8GTFRCSWKMPXRRXR2","GSON5112121011")</f>
        <v>#NAME?</v>
      </c>
      <c r="H3159" s="23" t="e">
        <f ca="1">[1]!BexGetData("DP_1","003N8EMH8GTFRCSWKMPXRS42M","GSON5112121011")</f>
        <v>#NAME?</v>
      </c>
      <c r="I3159" s="23" t="e">
        <f ca="1">[1]!BexGetData("DP_1","003N8EMH8GTFRCSWKMPXRSAE6","GSON5112121011")</f>
        <v>#NAME?</v>
      </c>
      <c r="J3159" s="24" t="e">
        <f ca="1">[1]!BexGetData("DP_1","003N8EMH8GTFRCSWKMPXRSGPQ","GSON5112121011")</f>
        <v>#NAME?</v>
      </c>
      <c r="K3159" s="23" t="e">
        <f ca="1">[1]!BexGetData("DP_1","003N8EMH8GTFRIVNUPY288VJH","GSON5112121011")</f>
        <v>#NAME?</v>
      </c>
      <c r="L3159" s="23" t="e">
        <f ca="1">[1]!BexGetData("DP_1","003N8EMH8GTFRIVNUPY2891V1","GSON5112121011")</f>
        <v>#NAME?</v>
      </c>
      <c r="M3159" s="28" t="e">
        <f ca="1">[1]!BexGetData("DP_1","003N8EMH8GTFRIVOG7KG9IQXA","GSON5112121011")</f>
        <v>#NAME?</v>
      </c>
      <c r="N3159" s="23" t="e">
        <f ca="1">[1]!BexGetData("DP_1","003N8EMH8GTFRIVOG7KG9IX8U","GSON5112121011")</f>
        <v>#NAME?</v>
      </c>
      <c r="O3159" s="28" t="e">
        <f ca="1">[1]!BexGetData("DP_1","003N8EMH8GTFRIVOG7KG9J3KE","GSON5112121011")</f>
        <v>#NAME?</v>
      </c>
      <c r="P3159" s="23" t="e">
        <f ca="1">[1]!BexGetData("DP_1","003N8EMH8GTFRIVOG7KG9J9VY","GSON5112121011")</f>
        <v>#NAME?</v>
      </c>
      <c r="Q3159" s="24" t="e">
        <f ca="1">[1]!BexGetData("DP_1","00O2TNJGODT0G5Z4TTKYMM5MT","GSON5112121011")</f>
        <v>#NAME?</v>
      </c>
      <c r="R3159" s="23" t="e">
        <f ca="1">[1]!BexGetData("DP_1","00O2TNJGODT0G5Z4TTKYMMBYD","GSON5112121011")</f>
        <v>#NAME?</v>
      </c>
      <c r="S3159" s="23" t="e">
        <f ca="1">[1]!BexGetData("DP_1","00O2TNJGODT0G5Z4TTKYMMI9X","GSON5112121011")</f>
        <v>#NAME?</v>
      </c>
      <c r="T3159" s="28" t="e">
        <f ca="1">[1]!BexGetData("DP_1","00O2TNJGODT0G5Z4TTKYMMOLH","GSON5112121011")</f>
        <v>#NAME?</v>
      </c>
      <c r="U3159" s="23" t="e">
        <f ca="1">[1]!BexGetData("DP_1","00O2TNJGODT0G5Z4TTKYMMUX1","GSON5112121011")</f>
        <v>#NAME?</v>
      </c>
      <c r="V3159" s="28" t="e">
        <f ca="1">[1]!BexGetData("DP_1","00O2TNJGODT0G5Z4TTKYMN18L","GSON5112121011")</f>
        <v>#NAME?</v>
      </c>
      <c r="W3159" s="23" t="e">
        <f ca="1">[1]!BexGetData("DP_1","00O2TNJGODT0G5Z4TTKYMN7K5","GSON5112121011")</f>
        <v>#NAME?</v>
      </c>
    </row>
    <row r="3160" spans="1:23" x14ac:dyDescent="0.2">
      <c r="A3160" s="36" t="s">
        <v>6522</v>
      </c>
      <c r="B3160" s="27" t="s">
        <v>6523</v>
      </c>
      <c r="C3160" s="23" t="e">
        <f ca="1">[1]!BexGetData("DP_1","003N8EMH8GTFRCSWKMPXRR8GU","GSON5112121012")</f>
        <v>#NAME?</v>
      </c>
      <c r="D3160" s="23" t="e">
        <f ca="1">[1]!BexGetData("DP_1","003N8EMH8GTFRCSWKMPXRRESE","GSON5112121012")</f>
        <v>#NAME?</v>
      </c>
      <c r="E3160" s="23" t="e">
        <f ca="1">[1]!BexGetData("DP_1","003N8EMH8GTFRCSWKMPXRRL3Y","GSON5112121012")</f>
        <v>#NAME?</v>
      </c>
      <c r="F3160" s="23" t="e">
        <f ca="1">[1]!BexGetData("DP_1","003N8EMH8GTFRCSWKMPXRRRFI","GSON5112121012")</f>
        <v>#NAME?</v>
      </c>
      <c r="G3160" s="23" t="e">
        <f ca="1">[1]!BexGetData("DP_1","003N8EMH8GTFRCSWKMPXRRXR2","GSON5112121012")</f>
        <v>#NAME?</v>
      </c>
      <c r="H3160" s="23" t="e">
        <f ca="1">[1]!BexGetData("DP_1","003N8EMH8GTFRCSWKMPXRS42M","GSON5112121012")</f>
        <v>#NAME?</v>
      </c>
      <c r="I3160" s="23" t="e">
        <f ca="1">[1]!BexGetData("DP_1","003N8EMH8GTFRCSWKMPXRSAE6","GSON5112121012")</f>
        <v>#NAME?</v>
      </c>
      <c r="J3160" s="24" t="e">
        <f ca="1">[1]!BexGetData("DP_1","003N8EMH8GTFRCSWKMPXRSGPQ","GSON5112121012")</f>
        <v>#NAME?</v>
      </c>
      <c r="K3160" s="23" t="e">
        <f ca="1">[1]!BexGetData("DP_1","003N8EMH8GTFRIVNUPY288VJH","GSON5112121012")</f>
        <v>#NAME?</v>
      </c>
      <c r="L3160" s="23" t="e">
        <f ca="1">[1]!BexGetData("DP_1","003N8EMH8GTFRIVNUPY2891V1","GSON5112121012")</f>
        <v>#NAME?</v>
      </c>
      <c r="M3160" s="28" t="e">
        <f ca="1">[1]!BexGetData("DP_1","003N8EMH8GTFRIVOG7KG9IQXA","GSON5112121012")</f>
        <v>#NAME?</v>
      </c>
      <c r="N3160" s="23" t="e">
        <f ca="1">[1]!BexGetData("DP_1","003N8EMH8GTFRIVOG7KG9IX8U","GSON5112121012")</f>
        <v>#NAME?</v>
      </c>
      <c r="O3160" s="28" t="e">
        <f ca="1">[1]!BexGetData("DP_1","003N8EMH8GTFRIVOG7KG9J3KE","GSON5112121012")</f>
        <v>#NAME?</v>
      </c>
      <c r="P3160" s="23" t="e">
        <f ca="1">[1]!BexGetData("DP_1","003N8EMH8GTFRIVOG7KG9J9VY","GSON5112121012")</f>
        <v>#NAME?</v>
      </c>
      <c r="Q3160" s="24" t="e">
        <f ca="1">[1]!BexGetData("DP_1","00O2TNJGODT0G5Z4TTKYMM5MT","GSON5112121012")</f>
        <v>#NAME?</v>
      </c>
      <c r="R3160" s="23" t="e">
        <f ca="1">[1]!BexGetData("DP_1","00O2TNJGODT0G5Z4TTKYMMBYD","GSON5112121012")</f>
        <v>#NAME?</v>
      </c>
      <c r="S3160" s="23" t="e">
        <f ca="1">[1]!BexGetData("DP_1","00O2TNJGODT0G5Z4TTKYMMI9X","GSON5112121012")</f>
        <v>#NAME?</v>
      </c>
      <c r="T3160" s="28" t="e">
        <f ca="1">[1]!BexGetData("DP_1","00O2TNJGODT0G5Z4TTKYMMOLH","GSON5112121012")</f>
        <v>#NAME?</v>
      </c>
      <c r="U3160" s="23" t="e">
        <f ca="1">[1]!BexGetData("DP_1","00O2TNJGODT0G5Z4TTKYMMUX1","GSON5112121012")</f>
        <v>#NAME?</v>
      </c>
      <c r="V3160" s="28" t="e">
        <f ca="1">[1]!BexGetData("DP_1","00O2TNJGODT0G5Z4TTKYMN18L","GSON5112121012")</f>
        <v>#NAME?</v>
      </c>
      <c r="W3160" s="23" t="e">
        <f ca="1">[1]!BexGetData("DP_1","00O2TNJGODT0G5Z4TTKYMN7K5","GSON5112121012")</f>
        <v>#NAME?</v>
      </c>
    </row>
    <row r="3161" spans="1:23" x14ac:dyDescent="0.2">
      <c r="A3161" s="36" t="s">
        <v>1550</v>
      </c>
      <c r="B3161" s="27" t="s">
        <v>1551</v>
      </c>
      <c r="C3161" s="23" t="e">
        <f ca="1">[1]!BexGetData("DP_1","003N8EMH8GTFRCSWKMPXRR8GU","GSON5112122011")</f>
        <v>#NAME?</v>
      </c>
      <c r="D3161" s="23" t="e">
        <f ca="1">[1]!BexGetData("DP_1","003N8EMH8GTFRCSWKMPXRRESE","GSON5112122011")</f>
        <v>#NAME?</v>
      </c>
      <c r="E3161" s="23" t="e">
        <f ca="1">[1]!BexGetData("DP_1","003N8EMH8GTFRCSWKMPXRRL3Y","GSON5112122011")</f>
        <v>#NAME?</v>
      </c>
      <c r="F3161" s="23" t="e">
        <f ca="1">[1]!BexGetData("DP_1","003N8EMH8GTFRCSWKMPXRRRFI","GSON5112122011")</f>
        <v>#NAME?</v>
      </c>
      <c r="G3161" s="23" t="e">
        <f ca="1">[1]!BexGetData("DP_1","003N8EMH8GTFRCSWKMPXRRXR2","GSON5112122011")</f>
        <v>#NAME?</v>
      </c>
      <c r="H3161" s="28" t="e">
        <f ca="1">[1]!BexGetData("DP_1","003N8EMH8GTFRCSWKMPXRS42M","GSON5112122011")</f>
        <v>#NAME?</v>
      </c>
      <c r="I3161" s="23" t="e">
        <f ca="1">[1]!BexGetData("DP_1","003N8EMH8GTFRCSWKMPXRSAE6","GSON5112122011")</f>
        <v>#NAME?</v>
      </c>
      <c r="J3161" s="24" t="e">
        <f ca="1">[1]!BexGetData("DP_1","003N8EMH8GTFRCSWKMPXRSGPQ","GSON5112122011")</f>
        <v>#NAME?</v>
      </c>
      <c r="K3161" s="23" t="e">
        <f ca="1">[1]!BexGetData("DP_1","003N8EMH8GTFRIVNUPY288VJH","GSON5112122011")</f>
        <v>#NAME?</v>
      </c>
      <c r="L3161" s="23" t="e">
        <f ca="1">[1]!BexGetData("DP_1","003N8EMH8GTFRIVNUPY2891V1","GSON5112122011")</f>
        <v>#NAME?</v>
      </c>
      <c r="M3161" s="28" t="e">
        <f ca="1">[1]!BexGetData("DP_1","003N8EMH8GTFRIVOG7KG9IQXA","GSON5112122011")</f>
        <v>#NAME?</v>
      </c>
      <c r="N3161" s="23" t="e">
        <f ca="1">[1]!BexGetData("DP_1","003N8EMH8GTFRIVOG7KG9IX8U","GSON5112122011")</f>
        <v>#NAME?</v>
      </c>
      <c r="O3161" s="28" t="e">
        <f ca="1">[1]!BexGetData("DP_1","003N8EMH8GTFRIVOG7KG9J3KE","GSON5112122011")</f>
        <v>#NAME?</v>
      </c>
      <c r="P3161" s="23" t="e">
        <f ca="1">[1]!BexGetData("DP_1","003N8EMH8GTFRIVOG7KG9J9VY","GSON5112122011")</f>
        <v>#NAME?</v>
      </c>
      <c r="Q3161" s="24" t="e">
        <f ca="1">[1]!BexGetData("DP_1","00O2TNJGODT0G5Z4TTKYMM5MT","GSON5112122011")</f>
        <v>#NAME?</v>
      </c>
      <c r="R3161" s="23" t="e">
        <f ca="1">[1]!BexGetData("DP_1","00O2TNJGODT0G5Z4TTKYMMBYD","GSON5112122011")</f>
        <v>#NAME?</v>
      </c>
      <c r="S3161" s="23" t="e">
        <f ca="1">[1]!BexGetData("DP_1","00O2TNJGODT0G5Z4TTKYMMI9X","GSON5112122011")</f>
        <v>#NAME?</v>
      </c>
      <c r="T3161" s="28" t="e">
        <f ca="1">[1]!BexGetData("DP_1","00O2TNJGODT0G5Z4TTKYMMOLH","GSON5112122011")</f>
        <v>#NAME?</v>
      </c>
      <c r="U3161" s="23" t="e">
        <f ca="1">[1]!BexGetData("DP_1","00O2TNJGODT0G5Z4TTKYMMUX1","GSON5112122011")</f>
        <v>#NAME?</v>
      </c>
      <c r="V3161" s="28" t="e">
        <f ca="1">[1]!BexGetData("DP_1","00O2TNJGODT0G5Z4TTKYMN18L","GSON5112122011")</f>
        <v>#NAME?</v>
      </c>
      <c r="W3161" s="23" t="e">
        <f ca="1">[1]!BexGetData("DP_1","00O2TNJGODT0G5Z4TTKYMN7K5","GSON5112122011")</f>
        <v>#NAME?</v>
      </c>
    </row>
    <row r="3162" spans="1:23" x14ac:dyDescent="0.2">
      <c r="A3162" s="36" t="s">
        <v>6524</v>
      </c>
      <c r="B3162" s="27" t="s">
        <v>6525</v>
      </c>
      <c r="C3162" s="24" t="e">
        <f ca="1">[1]!BexGetData("DP_1","003N8EMH8GTFRCSWKMPXRR8GU","GSON5112122012")</f>
        <v>#NAME?</v>
      </c>
      <c r="D3162" s="24" t="e">
        <f ca="1">[1]!BexGetData("DP_1","003N8EMH8GTFRCSWKMPXRRESE","GSON5112122012")</f>
        <v>#NAME?</v>
      </c>
      <c r="E3162" s="24" t="e">
        <f ca="1">[1]!BexGetData("DP_1","003N8EMH8GTFRCSWKMPXRRL3Y","GSON5112122012")</f>
        <v>#NAME?</v>
      </c>
      <c r="F3162" s="23" t="e">
        <f ca="1">[1]!BexGetData("DP_1","003N8EMH8GTFRCSWKMPXRRRFI","GSON5112122012")</f>
        <v>#NAME?</v>
      </c>
      <c r="G3162" s="23" t="e">
        <f ca="1">[1]!BexGetData("DP_1","003N8EMH8GTFRCSWKMPXRRXR2","GSON5112122012")</f>
        <v>#NAME?</v>
      </c>
      <c r="H3162" s="23" t="e">
        <f ca="1">[1]!BexGetData("DP_1","003N8EMH8GTFRCSWKMPXRS42M","GSON5112122012")</f>
        <v>#NAME?</v>
      </c>
      <c r="I3162" s="23" t="e">
        <f ca="1">[1]!BexGetData("DP_1","003N8EMH8GTFRCSWKMPXRSAE6","GSON5112122012")</f>
        <v>#NAME?</v>
      </c>
      <c r="J3162" s="24" t="e">
        <f ca="1">[1]!BexGetData("DP_1","003N8EMH8GTFRCSWKMPXRSGPQ","GSON5112122012")</f>
        <v>#NAME?</v>
      </c>
      <c r="K3162" s="23" t="e">
        <f ca="1">[1]!BexGetData("DP_1","003N8EMH8GTFRIVNUPY288VJH","GSON5112122012")</f>
        <v>#NAME?</v>
      </c>
      <c r="L3162" s="23" t="e">
        <f ca="1">[1]!BexGetData("DP_1","003N8EMH8GTFRIVNUPY2891V1","GSON5112122012")</f>
        <v>#NAME?</v>
      </c>
      <c r="M3162" s="23" t="e">
        <f ca="1">[1]!BexGetData("DP_1","003N8EMH8GTFRIVOG7KG9IQXA","GSON5112122012")</f>
        <v>#NAME?</v>
      </c>
      <c r="N3162" s="28" t="e">
        <f ca="1">[1]!BexGetData("DP_1","003N8EMH8GTFRIVOG7KG9IX8U","GSON5112122012")</f>
        <v>#NAME?</v>
      </c>
      <c r="O3162" s="23" t="e">
        <f ca="1">[1]!BexGetData("DP_1","003N8EMH8GTFRIVOG7KG9J3KE","GSON5112122012")</f>
        <v>#NAME?</v>
      </c>
      <c r="P3162" s="28" t="e">
        <f ca="1">[1]!BexGetData("DP_1","003N8EMH8GTFRIVOG7KG9J9VY","GSON5112122012")</f>
        <v>#NAME?</v>
      </c>
      <c r="Q3162" s="24" t="e">
        <f ca="1">[1]!BexGetData("DP_1","00O2TNJGODT0G5Z4TTKYMM5MT","GSON5112122012")</f>
        <v>#NAME?</v>
      </c>
      <c r="R3162" s="23" t="e">
        <f ca="1">[1]!BexGetData("DP_1","00O2TNJGODT0G5Z4TTKYMMBYD","GSON5112122012")</f>
        <v>#NAME?</v>
      </c>
      <c r="S3162" s="23" t="e">
        <f ca="1">[1]!BexGetData("DP_1","00O2TNJGODT0G5Z4TTKYMMI9X","GSON5112122012")</f>
        <v>#NAME?</v>
      </c>
      <c r="T3162" s="28" t="e">
        <f ca="1">[1]!BexGetData("DP_1","00O2TNJGODT0G5Z4TTKYMMOLH","GSON5112122012")</f>
        <v>#NAME?</v>
      </c>
      <c r="U3162" s="23" t="e">
        <f ca="1">[1]!BexGetData("DP_1","00O2TNJGODT0G5Z4TTKYMMUX1","GSON5112122012")</f>
        <v>#NAME?</v>
      </c>
      <c r="V3162" s="28" t="e">
        <f ca="1">[1]!BexGetData("DP_1","00O2TNJGODT0G5Z4TTKYMN18L","GSON5112122012")</f>
        <v>#NAME?</v>
      </c>
      <c r="W3162" s="23" t="e">
        <f ca="1">[1]!BexGetData("DP_1","00O2TNJGODT0G5Z4TTKYMN7K5","GSON5112122012")</f>
        <v>#NAME?</v>
      </c>
    </row>
    <row r="3163" spans="1:23" x14ac:dyDescent="0.2">
      <c r="A3163" s="36" t="s">
        <v>6526</v>
      </c>
      <c r="B3163" s="27" t="s">
        <v>6527</v>
      </c>
      <c r="C3163" s="23" t="e">
        <f ca="1">[1]!BexGetData("DP_1","003N8EMH8GTFRCSWKMPXRR8GU","GSON5112124011")</f>
        <v>#NAME?</v>
      </c>
      <c r="D3163" s="23" t="e">
        <f ca="1">[1]!BexGetData("DP_1","003N8EMH8GTFRCSWKMPXRRESE","GSON5112124011")</f>
        <v>#NAME?</v>
      </c>
      <c r="E3163" s="23" t="e">
        <f ca="1">[1]!BexGetData("DP_1","003N8EMH8GTFRCSWKMPXRRL3Y","GSON5112124011")</f>
        <v>#NAME?</v>
      </c>
      <c r="F3163" s="23" t="e">
        <f ca="1">[1]!BexGetData("DP_1","003N8EMH8GTFRCSWKMPXRRRFI","GSON5112124011")</f>
        <v>#NAME?</v>
      </c>
      <c r="G3163" s="23" t="e">
        <f ca="1">[1]!BexGetData("DP_1","003N8EMH8GTFRCSWKMPXRRXR2","GSON5112124011")</f>
        <v>#NAME?</v>
      </c>
      <c r="H3163" s="28" t="e">
        <f ca="1">[1]!BexGetData("DP_1","003N8EMH8GTFRCSWKMPXRS42M","GSON5112124011")</f>
        <v>#NAME?</v>
      </c>
      <c r="I3163" s="23" t="e">
        <f ca="1">[1]!BexGetData("DP_1","003N8EMH8GTFRCSWKMPXRSAE6","GSON5112124011")</f>
        <v>#NAME?</v>
      </c>
      <c r="J3163" s="24" t="e">
        <f ca="1">[1]!BexGetData("DP_1","003N8EMH8GTFRCSWKMPXRSGPQ","GSON5112124011")</f>
        <v>#NAME?</v>
      </c>
      <c r="K3163" s="23" t="e">
        <f ca="1">[1]!BexGetData("DP_1","003N8EMH8GTFRIVNUPY288VJH","GSON5112124011")</f>
        <v>#NAME?</v>
      </c>
      <c r="L3163" s="23" t="e">
        <f ca="1">[1]!BexGetData("DP_1","003N8EMH8GTFRIVNUPY2891V1","GSON5112124011")</f>
        <v>#NAME?</v>
      </c>
      <c r="M3163" s="28" t="e">
        <f ca="1">[1]!BexGetData("DP_1","003N8EMH8GTFRIVOG7KG9IQXA","GSON5112124011")</f>
        <v>#NAME?</v>
      </c>
      <c r="N3163" s="23" t="e">
        <f ca="1">[1]!BexGetData("DP_1","003N8EMH8GTFRIVOG7KG9IX8U","GSON5112124011")</f>
        <v>#NAME?</v>
      </c>
      <c r="O3163" s="28" t="e">
        <f ca="1">[1]!BexGetData("DP_1","003N8EMH8GTFRIVOG7KG9J3KE","GSON5112124011")</f>
        <v>#NAME?</v>
      </c>
      <c r="P3163" s="23" t="e">
        <f ca="1">[1]!BexGetData("DP_1","003N8EMH8GTFRIVOG7KG9J9VY","GSON5112124011")</f>
        <v>#NAME?</v>
      </c>
      <c r="Q3163" s="24" t="e">
        <f ca="1">[1]!BexGetData("DP_1","00O2TNJGODT0G5Z4TTKYMM5MT","GSON5112124011")</f>
        <v>#NAME?</v>
      </c>
      <c r="R3163" s="23" t="e">
        <f ca="1">[1]!BexGetData("DP_1","00O2TNJGODT0G5Z4TTKYMMBYD","GSON5112124011")</f>
        <v>#NAME?</v>
      </c>
      <c r="S3163" s="23" t="e">
        <f ca="1">[1]!BexGetData("DP_1","00O2TNJGODT0G5Z4TTKYMMI9X","GSON5112124011")</f>
        <v>#NAME?</v>
      </c>
      <c r="T3163" s="28" t="e">
        <f ca="1">[1]!BexGetData("DP_1","00O2TNJGODT0G5Z4TTKYMMOLH","GSON5112124011")</f>
        <v>#NAME?</v>
      </c>
      <c r="U3163" s="23" t="e">
        <f ca="1">[1]!BexGetData("DP_1","00O2TNJGODT0G5Z4TTKYMMUX1","GSON5112124011")</f>
        <v>#NAME?</v>
      </c>
      <c r="V3163" s="28" t="e">
        <f ca="1">[1]!BexGetData("DP_1","00O2TNJGODT0G5Z4TTKYMN18L","GSON5112124011")</f>
        <v>#NAME?</v>
      </c>
      <c r="W3163" s="23" t="e">
        <f ca="1">[1]!BexGetData("DP_1","00O2TNJGODT0G5Z4TTKYMN7K5","GSON5112124011")</f>
        <v>#NAME?</v>
      </c>
    </row>
    <row r="3164" spans="1:23" x14ac:dyDescent="0.2">
      <c r="A3164" s="35" t="s">
        <v>1552</v>
      </c>
      <c r="B3164" s="27" t="s">
        <v>1553</v>
      </c>
      <c r="C3164" s="23" t="e">
        <f ca="1">[1]!BexGetData("DP_1","003N8EMH8GTFRCSWKMPXRR8GU","GSON5113")</f>
        <v>#NAME?</v>
      </c>
      <c r="D3164" s="23" t="e">
        <f ca="1">[1]!BexGetData("DP_1","003N8EMH8GTFRCSWKMPXRRESE","GSON5113")</f>
        <v>#NAME?</v>
      </c>
      <c r="E3164" s="23" t="e">
        <f ca="1">[1]!BexGetData("DP_1","003N8EMH8GTFRCSWKMPXRRL3Y","GSON5113")</f>
        <v>#NAME?</v>
      </c>
      <c r="F3164" s="23" t="e">
        <f ca="1">[1]!BexGetData("DP_1","003N8EMH8GTFRCSWKMPXRRRFI","GSON5113")</f>
        <v>#NAME?</v>
      </c>
      <c r="G3164" s="23" t="e">
        <f ca="1">[1]!BexGetData("DP_1","003N8EMH8GTFRCSWKMPXRRXR2","GSON5113")</f>
        <v>#NAME?</v>
      </c>
      <c r="H3164" s="23" t="e">
        <f ca="1">[1]!BexGetData("DP_1","003N8EMH8GTFRCSWKMPXRS42M","GSON5113")</f>
        <v>#NAME?</v>
      </c>
      <c r="I3164" s="23" t="e">
        <f ca="1">[1]!BexGetData("DP_1","003N8EMH8GTFRCSWKMPXRSAE6","GSON5113")</f>
        <v>#NAME?</v>
      </c>
      <c r="J3164" s="24" t="e">
        <f ca="1">[1]!BexGetData("DP_1","003N8EMH8GTFRCSWKMPXRSGPQ","GSON5113")</f>
        <v>#NAME?</v>
      </c>
      <c r="K3164" s="23" t="e">
        <f ca="1">[1]!BexGetData("DP_1","003N8EMH8GTFRIVNUPY288VJH","GSON5113")</f>
        <v>#NAME?</v>
      </c>
      <c r="L3164" s="23" t="e">
        <f ca="1">[1]!BexGetData("DP_1","003N8EMH8GTFRIVNUPY2891V1","GSON5113")</f>
        <v>#NAME?</v>
      </c>
      <c r="M3164" s="28" t="e">
        <f ca="1">[1]!BexGetData("DP_1","003N8EMH8GTFRIVOG7KG9IQXA","GSON5113")</f>
        <v>#NAME?</v>
      </c>
      <c r="N3164" s="23" t="e">
        <f ca="1">[1]!BexGetData("DP_1","003N8EMH8GTFRIVOG7KG9IX8U","GSON5113")</f>
        <v>#NAME?</v>
      </c>
      <c r="O3164" s="28" t="e">
        <f ca="1">[1]!BexGetData("DP_1","003N8EMH8GTFRIVOG7KG9J3KE","GSON5113")</f>
        <v>#NAME?</v>
      </c>
      <c r="P3164" s="23" t="e">
        <f ca="1">[1]!BexGetData("DP_1","003N8EMH8GTFRIVOG7KG9J9VY","GSON5113")</f>
        <v>#NAME?</v>
      </c>
      <c r="Q3164" s="24" t="e">
        <f ca="1">[1]!BexGetData("DP_1","00O2TNJGODT0G5Z4TTKYMM5MT","GSON5113")</f>
        <v>#NAME?</v>
      </c>
      <c r="R3164" s="23" t="e">
        <f ca="1">[1]!BexGetData("DP_1","00O2TNJGODT0G5Z4TTKYMMBYD","GSON5113")</f>
        <v>#NAME?</v>
      </c>
      <c r="S3164" s="23" t="e">
        <f ca="1">[1]!BexGetData("DP_1","00O2TNJGODT0G5Z4TTKYMMI9X","GSON5113")</f>
        <v>#NAME?</v>
      </c>
      <c r="T3164" s="28" t="e">
        <f ca="1">[1]!BexGetData("DP_1","00O2TNJGODT0G5Z4TTKYMMOLH","GSON5113")</f>
        <v>#NAME?</v>
      </c>
      <c r="U3164" s="23" t="e">
        <f ca="1">[1]!BexGetData("DP_1","00O2TNJGODT0G5Z4TTKYMMUX1","GSON5113")</f>
        <v>#NAME?</v>
      </c>
      <c r="V3164" s="28" t="e">
        <f ca="1">[1]!BexGetData("DP_1","00O2TNJGODT0G5Z4TTKYMN18L","GSON5113")</f>
        <v>#NAME?</v>
      </c>
      <c r="W3164" s="23" t="e">
        <f ca="1">[1]!BexGetData("DP_1","00O2TNJGODT0G5Z4TTKYMN7K5","GSON5113")</f>
        <v>#NAME?</v>
      </c>
    </row>
    <row r="3165" spans="1:23" x14ac:dyDescent="0.2">
      <c r="A3165" s="36" t="s">
        <v>6528</v>
      </c>
      <c r="B3165" s="27" t="s">
        <v>1554</v>
      </c>
      <c r="C3165" s="23" t="e">
        <f ca="1">[1]!BexGetData("DP_1","003N8EMH8GTFRCSWKMPXRR8GU","GSON5113131011")</f>
        <v>#NAME?</v>
      </c>
      <c r="D3165" s="23" t="e">
        <f ca="1">[1]!BexGetData("DP_1","003N8EMH8GTFRCSWKMPXRRESE","GSON5113131011")</f>
        <v>#NAME?</v>
      </c>
      <c r="E3165" s="23" t="e">
        <f ca="1">[1]!BexGetData("DP_1","003N8EMH8GTFRCSWKMPXRRL3Y","GSON5113131011")</f>
        <v>#NAME?</v>
      </c>
      <c r="F3165" s="23" t="e">
        <f ca="1">[1]!BexGetData("DP_1","003N8EMH8GTFRCSWKMPXRRRFI","GSON5113131011")</f>
        <v>#NAME?</v>
      </c>
      <c r="G3165" s="23" t="e">
        <f ca="1">[1]!BexGetData("DP_1","003N8EMH8GTFRCSWKMPXRRXR2","GSON5113131011")</f>
        <v>#NAME?</v>
      </c>
      <c r="H3165" s="23" t="e">
        <f ca="1">[1]!BexGetData("DP_1","003N8EMH8GTFRCSWKMPXRS42M","GSON5113131011")</f>
        <v>#NAME?</v>
      </c>
      <c r="I3165" s="23" t="e">
        <f ca="1">[1]!BexGetData("DP_1","003N8EMH8GTFRCSWKMPXRSAE6","GSON5113131011")</f>
        <v>#NAME?</v>
      </c>
      <c r="J3165" s="24" t="e">
        <f ca="1">[1]!BexGetData("DP_1","003N8EMH8GTFRCSWKMPXRSGPQ","GSON5113131011")</f>
        <v>#NAME?</v>
      </c>
      <c r="K3165" s="23" t="e">
        <f ca="1">[1]!BexGetData("DP_1","003N8EMH8GTFRIVNUPY288VJH","GSON5113131011")</f>
        <v>#NAME?</v>
      </c>
      <c r="L3165" s="23" t="e">
        <f ca="1">[1]!BexGetData("DP_1","003N8EMH8GTFRIVNUPY2891V1","GSON5113131011")</f>
        <v>#NAME?</v>
      </c>
      <c r="M3165" s="28" t="e">
        <f ca="1">[1]!BexGetData("DP_1","003N8EMH8GTFRIVOG7KG9IQXA","GSON5113131011")</f>
        <v>#NAME?</v>
      </c>
      <c r="N3165" s="23" t="e">
        <f ca="1">[1]!BexGetData("DP_1","003N8EMH8GTFRIVOG7KG9IX8U","GSON5113131011")</f>
        <v>#NAME?</v>
      </c>
      <c r="O3165" s="28" t="e">
        <f ca="1">[1]!BexGetData("DP_1","003N8EMH8GTFRIVOG7KG9J3KE","GSON5113131011")</f>
        <v>#NAME?</v>
      </c>
      <c r="P3165" s="23" t="e">
        <f ca="1">[1]!BexGetData("DP_1","003N8EMH8GTFRIVOG7KG9J9VY","GSON5113131011")</f>
        <v>#NAME?</v>
      </c>
      <c r="Q3165" s="24" t="e">
        <f ca="1">[1]!BexGetData("DP_1","00O2TNJGODT0G5Z4TTKYMM5MT","GSON5113131011")</f>
        <v>#NAME?</v>
      </c>
      <c r="R3165" s="23" t="e">
        <f ca="1">[1]!BexGetData("DP_1","00O2TNJGODT0G5Z4TTKYMMBYD","GSON5113131011")</f>
        <v>#NAME?</v>
      </c>
      <c r="S3165" s="23" t="e">
        <f ca="1">[1]!BexGetData("DP_1","00O2TNJGODT0G5Z4TTKYMMI9X","GSON5113131011")</f>
        <v>#NAME?</v>
      </c>
      <c r="T3165" s="28" t="e">
        <f ca="1">[1]!BexGetData("DP_1","00O2TNJGODT0G5Z4TTKYMMOLH","GSON5113131011")</f>
        <v>#NAME?</v>
      </c>
      <c r="U3165" s="23" t="e">
        <f ca="1">[1]!BexGetData("DP_1","00O2TNJGODT0G5Z4TTKYMMUX1","GSON5113131011")</f>
        <v>#NAME?</v>
      </c>
      <c r="V3165" s="28" t="e">
        <f ca="1">[1]!BexGetData("DP_1","00O2TNJGODT0G5Z4TTKYMN18L","GSON5113131011")</f>
        <v>#NAME?</v>
      </c>
      <c r="W3165" s="23" t="e">
        <f ca="1">[1]!BexGetData("DP_1","00O2TNJGODT0G5Z4TTKYMN7K5","GSON5113131011")</f>
        <v>#NAME?</v>
      </c>
    </row>
    <row r="3166" spans="1:23" x14ac:dyDescent="0.2">
      <c r="A3166" s="36" t="s">
        <v>6529</v>
      </c>
      <c r="B3166" s="27" t="s">
        <v>6530</v>
      </c>
      <c r="C3166" s="23" t="e">
        <f ca="1">[1]!BexGetData("DP_1","003N8EMH8GTFRCSWKMPXRR8GU","GSON5113131012")</f>
        <v>#NAME?</v>
      </c>
      <c r="D3166" s="23" t="e">
        <f ca="1">[1]!BexGetData("DP_1","003N8EMH8GTFRCSWKMPXRRESE","GSON5113131012")</f>
        <v>#NAME?</v>
      </c>
      <c r="E3166" s="23" t="e">
        <f ca="1">[1]!BexGetData("DP_1","003N8EMH8GTFRCSWKMPXRRL3Y","GSON5113131012")</f>
        <v>#NAME?</v>
      </c>
      <c r="F3166" s="28" t="e">
        <f ca="1">[1]!BexGetData("DP_1","003N8EMH8GTFRCSWKMPXRRRFI","GSON5113131012")</f>
        <v>#NAME?</v>
      </c>
      <c r="G3166" s="23" t="e">
        <f ca="1">[1]!BexGetData("DP_1","003N8EMH8GTFRCSWKMPXRRXR2","GSON5113131012")</f>
        <v>#NAME?</v>
      </c>
      <c r="H3166" s="23" t="e">
        <f ca="1">[1]!BexGetData("DP_1","003N8EMH8GTFRCSWKMPXRS42M","GSON5113131012")</f>
        <v>#NAME?</v>
      </c>
      <c r="I3166" s="28" t="e">
        <f ca="1">[1]!BexGetData("DP_1","003N8EMH8GTFRCSWKMPXRSAE6","GSON5113131012")</f>
        <v>#NAME?</v>
      </c>
      <c r="J3166" s="24" t="e">
        <f ca="1">[1]!BexGetData("DP_1","003N8EMH8GTFRCSWKMPXRSGPQ","GSON5113131012")</f>
        <v>#NAME?</v>
      </c>
      <c r="K3166" s="23" t="e">
        <f ca="1">[1]!BexGetData("DP_1","003N8EMH8GTFRIVNUPY288VJH","GSON5113131012")</f>
        <v>#NAME?</v>
      </c>
      <c r="L3166" s="23" t="e">
        <f ca="1">[1]!BexGetData("DP_1","003N8EMH8GTFRIVNUPY2891V1","GSON5113131012")</f>
        <v>#NAME?</v>
      </c>
      <c r="M3166" s="28" t="e">
        <f ca="1">[1]!BexGetData("DP_1","003N8EMH8GTFRIVOG7KG9IQXA","GSON5113131012")</f>
        <v>#NAME?</v>
      </c>
      <c r="N3166" s="23" t="e">
        <f ca="1">[1]!BexGetData("DP_1","003N8EMH8GTFRIVOG7KG9IX8U","GSON5113131012")</f>
        <v>#NAME?</v>
      </c>
      <c r="O3166" s="28" t="e">
        <f ca="1">[1]!BexGetData("DP_1","003N8EMH8GTFRIVOG7KG9J3KE","GSON5113131012")</f>
        <v>#NAME?</v>
      </c>
      <c r="P3166" s="23" t="e">
        <f ca="1">[1]!BexGetData("DP_1","003N8EMH8GTFRIVOG7KG9J9VY","GSON5113131012")</f>
        <v>#NAME?</v>
      </c>
      <c r="Q3166" s="24" t="e">
        <f ca="1">[1]!BexGetData("DP_1","00O2TNJGODT0G5Z4TTKYMM5MT","GSON5113131012")</f>
        <v>#NAME?</v>
      </c>
      <c r="R3166" s="28" t="e">
        <f ca="1">[1]!BexGetData("DP_1","00O2TNJGODT0G5Z4TTKYMMBYD","GSON5113131012")</f>
        <v>#NAME?</v>
      </c>
      <c r="S3166" s="28" t="e">
        <f ca="1">[1]!BexGetData("DP_1","00O2TNJGODT0G5Z4TTKYMMI9X","GSON5113131012")</f>
        <v>#NAME?</v>
      </c>
      <c r="T3166" s="28" t="e">
        <f ca="1">[1]!BexGetData("DP_1","00O2TNJGODT0G5Z4TTKYMMOLH","GSON5113131012")</f>
        <v>#NAME?</v>
      </c>
      <c r="U3166" s="28" t="e">
        <f ca="1">[1]!BexGetData("DP_1","00O2TNJGODT0G5Z4TTKYMMUX1","GSON5113131012")</f>
        <v>#NAME?</v>
      </c>
      <c r="V3166" s="28" t="e">
        <f ca="1">[1]!BexGetData("DP_1","00O2TNJGODT0G5Z4TTKYMN18L","GSON5113131012")</f>
        <v>#NAME?</v>
      </c>
      <c r="W3166" s="28" t="e">
        <f ca="1">[1]!BexGetData("DP_1","00O2TNJGODT0G5Z4TTKYMN7K5","GSON5113131012")</f>
        <v>#NAME?</v>
      </c>
    </row>
    <row r="3167" spans="1:23" x14ac:dyDescent="0.2">
      <c r="A3167" s="36" t="s">
        <v>6531</v>
      </c>
      <c r="B3167" s="27" t="s">
        <v>6532</v>
      </c>
      <c r="C3167" s="23" t="e">
        <f ca="1">[1]!BexGetData("DP_1","003N8EMH8GTFRCSWKMPXRR8GU","GSON5113132011")</f>
        <v>#NAME?</v>
      </c>
      <c r="D3167" s="23" t="e">
        <f ca="1">[1]!BexGetData("DP_1","003N8EMH8GTFRCSWKMPXRRESE","GSON5113132011")</f>
        <v>#NAME?</v>
      </c>
      <c r="E3167" s="23" t="e">
        <f ca="1">[1]!BexGetData("DP_1","003N8EMH8GTFRCSWKMPXRRL3Y","GSON5113132011")</f>
        <v>#NAME?</v>
      </c>
      <c r="F3167" s="23" t="e">
        <f ca="1">[1]!BexGetData("DP_1","003N8EMH8GTFRCSWKMPXRRRFI","GSON5113132011")</f>
        <v>#NAME?</v>
      </c>
      <c r="G3167" s="23" t="e">
        <f ca="1">[1]!BexGetData("DP_1","003N8EMH8GTFRCSWKMPXRRXR2","GSON5113132011")</f>
        <v>#NAME?</v>
      </c>
      <c r="H3167" s="23" t="e">
        <f ca="1">[1]!BexGetData("DP_1","003N8EMH8GTFRCSWKMPXRS42M","GSON5113132011")</f>
        <v>#NAME?</v>
      </c>
      <c r="I3167" s="23" t="e">
        <f ca="1">[1]!BexGetData("DP_1","003N8EMH8GTFRCSWKMPXRSAE6","GSON5113132011")</f>
        <v>#NAME?</v>
      </c>
      <c r="J3167" s="24" t="e">
        <f ca="1">[1]!BexGetData("DP_1","003N8EMH8GTFRCSWKMPXRSGPQ","GSON5113132011")</f>
        <v>#NAME?</v>
      </c>
      <c r="K3167" s="23" t="e">
        <f ca="1">[1]!BexGetData("DP_1","003N8EMH8GTFRIVNUPY288VJH","GSON5113132011")</f>
        <v>#NAME?</v>
      </c>
      <c r="L3167" s="23" t="e">
        <f ca="1">[1]!BexGetData("DP_1","003N8EMH8GTFRIVNUPY2891V1","GSON5113132011")</f>
        <v>#NAME?</v>
      </c>
      <c r="M3167" s="28" t="e">
        <f ca="1">[1]!BexGetData("DP_1","003N8EMH8GTFRIVOG7KG9IQXA","GSON5113132011")</f>
        <v>#NAME?</v>
      </c>
      <c r="N3167" s="23" t="e">
        <f ca="1">[1]!BexGetData("DP_1","003N8EMH8GTFRIVOG7KG9IX8U","GSON5113132011")</f>
        <v>#NAME?</v>
      </c>
      <c r="O3167" s="28" t="e">
        <f ca="1">[1]!BexGetData("DP_1","003N8EMH8GTFRIVOG7KG9J3KE","GSON5113132011")</f>
        <v>#NAME?</v>
      </c>
      <c r="P3167" s="23" t="e">
        <f ca="1">[1]!BexGetData("DP_1","003N8EMH8GTFRIVOG7KG9J9VY","GSON5113132011")</f>
        <v>#NAME?</v>
      </c>
      <c r="Q3167" s="24" t="e">
        <f ca="1">[1]!BexGetData("DP_1","00O2TNJGODT0G5Z4TTKYMM5MT","GSON5113132011")</f>
        <v>#NAME?</v>
      </c>
      <c r="R3167" s="23" t="e">
        <f ca="1">[1]!BexGetData("DP_1","00O2TNJGODT0G5Z4TTKYMMBYD","GSON5113132011")</f>
        <v>#NAME?</v>
      </c>
      <c r="S3167" s="23" t="e">
        <f ca="1">[1]!BexGetData("DP_1","00O2TNJGODT0G5Z4TTKYMMI9X","GSON5113132011")</f>
        <v>#NAME?</v>
      </c>
      <c r="T3167" s="28" t="e">
        <f ca="1">[1]!BexGetData("DP_1","00O2TNJGODT0G5Z4TTKYMMOLH","GSON5113132011")</f>
        <v>#NAME?</v>
      </c>
      <c r="U3167" s="23" t="e">
        <f ca="1">[1]!BexGetData("DP_1","00O2TNJGODT0G5Z4TTKYMMUX1","GSON5113132011")</f>
        <v>#NAME?</v>
      </c>
      <c r="V3167" s="28" t="e">
        <f ca="1">[1]!BexGetData("DP_1","00O2TNJGODT0G5Z4TTKYMN18L","GSON5113132011")</f>
        <v>#NAME?</v>
      </c>
      <c r="W3167" s="23" t="e">
        <f ca="1">[1]!BexGetData("DP_1","00O2TNJGODT0G5Z4TTKYMN7K5","GSON5113132011")</f>
        <v>#NAME?</v>
      </c>
    </row>
    <row r="3168" spans="1:23" x14ac:dyDescent="0.2">
      <c r="A3168" s="36" t="s">
        <v>6533</v>
      </c>
      <c r="B3168" s="27" t="s">
        <v>6534</v>
      </c>
      <c r="C3168" s="23" t="e">
        <f ca="1">[1]!BexGetData("DP_1","003N8EMH8GTFRCSWKMPXRR8GU","GSON5113132021")</f>
        <v>#NAME?</v>
      </c>
      <c r="D3168" s="23" t="e">
        <f ca="1">[1]!BexGetData("DP_1","003N8EMH8GTFRCSWKMPXRRESE","GSON5113132021")</f>
        <v>#NAME?</v>
      </c>
      <c r="E3168" s="23" t="e">
        <f ca="1">[1]!BexGetData("DP_1","003N8EMH8GTFRCSWKMPXRRL3Y","GSON5113132021")</f>
        <v>#NAME?</v>
      </c>
      <c r="F3168" s="23" t="e">
        <f ca="1">[1]!BexGetData("DP_1","003N8EMH8GTFRCSWKMPXRRRFI","GSON5113132021")</f>
        <v>#NAME?</v>
      </c>
      <c r="G3168" s="23" t="e">
        <f ca="1">[1]!BexGetData("DP_1","003N8EMH8GTFRCSWKMPXRRXR2","GSON5113132021")</f>
        <v>#NAME?</v>
      </c>
      <c r="H3168" s="23" t="e">
        <f ca="1">[1]!BexGetData("DP_1","003N8EMH8GTFRCSWKMPXRS42M","GSON5113132021")</f>
        <v>#NAME?</v>
      </c>
      <c r="I3168" s="23" t="e">
        <f ca="1">[1]!BexGetData("DP_1","003N8EMH8GTFRCSWKMPXRSAE6","GSON5113132021")</f>
        <v>#NAME?</v>
      </c>
      <c r="J3168" s="24" t="e">
        <f ca="1">[1]!BexGetData("DP_1","003N8EMH8GTFRCSWKMPXRSGPQ","GSON5113132021")</f>
        <v>#NAME?</v>
      </c>
      <c r="K3168" s="23" t="e">
        <f ca="1">[1]!BexGetData("DP_1","003N8EMH8GTFRIVNUPY288VJH","GSON5113132021")</f>
        <v>#NAME?</v>
      </c>
      <c r="L3168" s="23" t="e">
        <f ca="1">[1]!BexGetData("DP_1","003N8EMH8GTFRIVNUPY2891V1","GSON5113132021")</f>
        <v>#NAME?</v>
      </c>
      <c r="M3168" s="23" t="e">
        <f ca="1">[1]!BexGetData("DP_1","003N8EMH8GTFRIVOG7KG9IQXA","GSON5113132021")</f>
        <v>#NAME?</v>
      </c>
      <c r="N3168" s="28" t="e">
        <f ca="1">[1]!BexGetData("DP_1","003N8EMH8GTFRIVOG7KG9IX8U","GSON5113132021")</f>
        <v>#NAME?</v>
      </c>
      <c r="O3168" s="23" t="e">
        <f ca="1">[1]!BexGetData("DP_1","003N8EMH8GTFRIVOG7KG9J3KE","GSON5113132021")</f>
        <v>#NAME?</v>
      </c>
      <c r="P3168" s="28" t="e">
        <f ca="1">[1]!BexGetData("DP_1","003N8EMH8GTFRIVOG7KG9J9VY","GSON5113132021")</f>
        <v>#NAME?</v>
      </c>
      <c r="Q3168" s="24" t="e">
        <f ca="1">[1]!BexGetData("DP_1","00O2TNJGODT0G5Z4TTKYMM5MT","GSON5113132021")</f>
        <v>#NAME?</v>
      </c>
      <c r="R3168" s="23" t="e">
        <f ca="1">[1]!BexGetData("DP_1","00O2TNJGODT0G5Z4TTKYMMBYD","GSON5113132021")</f>
        <v>#NAME?</v>
      </c>
      <c r="S3168" s="23" t="e">
        <f ca="1">[1]!BexGetData("DP_1","00O2TNJGODT0G5Z4TTKYMMI9X","GSON5113132021")</f>
        <v>#NAME?</v>
      </c>
      <c r="T3168" s="28" t="e">
        <f ca="1">[1]!BexGetData("DP_1","00O2TNJGODT0G5Z4TTKYMMOLH","GSON5113132021")</f>
        <v>#NAME?</v>
      </c>
      <c r="U3168" s="23" t="e">
        <f ca="1">[1]!BexGetData("DP_1","00O2TNJGODT0G5Z4TTKYMMUX1","GSON5113132021")</f>
        <v>#NAME?</v>
      </c>
      <c r="V3168" s="28" t="e">
        <f ca="1">[1]!BexGetData("DP_1","00O2TNJGODT0G5Z4TTKYMN18L","GSON5113132021")</f>
        <v>#NAME?</v>
      </c>
      <c r="W3168" s="23" t="e">
        <f ca="1">[1]!BexGetData("DP_1","00O2TNJGODT0G5Z4TTKYMN7K5","GSON5113132021")</f>
        <v>#NAME?</v>
      </c>
    </row>
    <row r="3169" spans="1:23" x14ac:dyDescent="0.2">
      <c r="A3169" s="36" t="s">
        <v>6535</v>
      </c>
      <c r="B3169" s="27" t="s">
        <v>6536</v>
      </c>
      <c r="C3169" s="23" t="e">
        <f ca="1">[1]!BexGetData("DP_1","003N8EMH8GTFRCSWKMPXRR8GU","GSON5113132031")</f>
        <v>#NAME?</v>
      </c>
      <c r="D3169" s="23" t="e">
        <f ca="1">[1]!BexGetData("DP_1","003N8EMH8GTFRCSWKMPXRRESE","GSON5113132031")</f>
        <v>#NAME?</v>
      </c>
      <c r="E3169" s="23" t="e">
        <f ca="1">[1]!BexGetData("DP_1","003N8EMH8GTFRCSWKMPXRRL3Y","GSON5113132031")</f>
        <v>#NAME?</v>
      </c>
      <c r="F3169" s="23" t="e">
        <f ca="1">[1]!BexGetData("DP_1","003N8EMH8GTFRCSWKMPXRRRFI","GSON5113132031")</f>
        <v>#NAME?</v>
      </c>
      <c r="G3169" s="23" t="e">
        <f ca="1">[1]!BexGetData("DP_1","003N8EMH8GTFRCSWKMPXRRXR2","GSON5113132031")</f>
        <v>#NAME?</v>
      </c>
      <c r="H3169" s="23" t="e">
        <f ca="1">[1]!BexGetData("DP_1","003N8EMH8GTFRCSWKMPXRS42M","GSON5113132031")</f>
        <v>#NAME?</v>
      </c>
      <c r="I3169" s="23" t="e">
        <f ca="1">[1]!BexGetData("DP_1","003N8EMH8GTFRCSWKMPXRSAE6","GSON5113132031")</f>
        <v>#NAME?</v>
      </c>
      <c r="J3169" s="24" t="e">
        <f ca="1">[1]!BexGetData("DP_1","003N8EMH8GTFRCSWKMPXRSGPQ","GSON5113132031")</f>
        <v>#NAME?</v>
      </c>
      <c r="K3169" s="23" t="e">
        <f ca="1">[1]!BexGetData("DP_1","003N8EMH8GTFRIVNUPY288VJH","GSON5113132031")</f>
        <v>#NAME?</v>
      </c>
      <c r="L3169" s="23" t="e">
        <f ca="1">[1]!BexGetData("DP_1","003N8EMH8GTFRIVNUPY2891V1","GSON5113132031")</f>
        <v>#NAME?</v>
      </c>
      <c r="M3169" s="23" t="e">
        <f ca="1">[1]!BexGetData("DP_1","003N8EMH8GTFRIVOG7KG9IQXA","GSON5113132031")</f>
        <v>#NAME?</v>
      </c>
      <c r="N3169" s="28" t="e">
        <f ca="1">[1]!BexGetData("DP_1","003N8EMH8GTFRIVOG7KG9IX8U","GSON5113132031")</f>
        <v>#NAME?</v>
      </c>
      <c r="O3169" s="23" t="e">
        <f ca="1">[1]!BexGetData("DP_1","003N8EMH8GTFRIVOG7KG9J3KE","GSON5113132031")</f>
        <v>#NAME?</v>
      </c>
      <c r="P3169" s="28" t="e">
        <f ca="1">[1]!BexGetData("DP_1","003N8EMH8GTFRIVOG7KG9J9VY","GSON5113132031")</f>
        <v>#NAME?</v>
      </c>
      <c r="Q3169" s="24" t="e">
        <f ca="1">[1]!BexGetData("DP_1","00O2TNJGODT0G5Z4TTKYMM5MT","GSON5113132031")</f>
        <v>#NAME?</v>
      </c>
      <c r="R3169" s="23" t="e">
        <f ca="1">[1]!BexGetData("DP_1","00O2TNJGODT0G5Z4TTKYMMBYD","GSON5113132031")</f>
        <v>#NAME?</v>
      </c>
      <c r="S3169" s="23" t="e">
        <f ca="1">[1]!BexGetData("DP_1","00O2TNJGODT0G5Z4TTKYMMI9X","GSON5113132031")</f>
        <v>#NAME?</v>
      </c>
      <c r="T3169" s="28" t="e">
        <f ca="1">[1]!BexGetData("DP_1","00O2TNJGODT0G5Z4TTKYMMOLH","GSON5113132031")</f>
        <v>#NAME?</v>
      </c>
      <c r="U3169" s="23" t="e">
        <f ca="1">[1]!BexGetData("DP_1","00O2TNJGODT0G5Z4TTKYMMUX1","GSON5113132031")</f>
        <v>#NAME?</v>
      </c>
      <c r="V3169" s="28" t="e">
        <f ca="1">[1]!BexGetData("DP_1","00O2TNJGODT0G5Z4TTKYMN18L","GSON5113132031")</f>
        <v>#NAME?</v>
      </c>
      <c r="W3169" s="23" t="e">
        <f ca="1">[1]!BexGetData("DP_1","00O2TNJGODT0G5Z4TTKYMN7K5","GSON5113132031")</f>
        <v>#NAME?</v>
      </c>
    </row>
    <row r="3170" spans="1:23" x14ac:dyDescent="0.2">
      <c r="A3170" s="36" t="s">
        <v>6537</v>
      </c>
      <c r="B3170" s="27" t="s">
        <v>6538</v>
      </c>
      <c r="C3170" s="23" t="e">
        <f ca="1">[1]!BexGetData("DP_1","003N8EMH8GTFRCSWKMPXRR8GU","GSON5113132041")</f>
        <v>#NAME?</v>
      </c>
      <c r="D3170" s="23" t="e">
        <f ca="1">[1]!BexGetData("DP_1","003N8EMH8GTFRCSWKMPXRRESE","GSON5113132041")</f>
        <v>#NAME?</v>
      </c>
      <c r="E3170" s="23" t="e">
        <f ca="1">[1]!BexGetData("DP_1","003N8EMH8GTFRCSWKMPXRRL3Y","GSON5113132041")</f>
        <v>#NAME?</v>
      </c>
      <c r="F3170" s="23" t="e">
        <f ca="1">[1]!BexGetData("DP_1","003N8EMH8GTFRCSWKMPXRRRFI","GSON5113132041")</f>
        <v>#NAME?</v>
      </c>
      <c r="G3170" s="23" t="e">
        <f ca="1">[1]!BexGetData("DP_1","003N8EMH8GTFRCSWKMPXRRXR2","GSON5113132041")</f>
        <v>#NAME?</v>
      </c>
      <c r="H3170" s="23" t="e">
        <f ca="1">[1]!BexGetData("DP_1","003N8EMH8GTFRCSWKMPXRS42M","GSON5113132041")</f>
        <v>#NAME?</v>
      </c>
      <c r="I3170" s="23" t="e">
        <f ca="1">[1]!BexGetData("DP_1","003N8EMH8GTFRCSWKMPXRSAE6","GSON5113132041")</f>
        <v>#NAME?</v>
      </c>
      <c r="J3170" s="24" t="e">
        <f ca="1">[1]!BexGetData("DP_1","003N8EMH8GTFRCSWKMPXRSGPQ","GSON5113132041")</f>
        <v>#NAME?</v>
      </c>
      <c r="K3170" s="23" t="e">
        <f ca="1">[1]!BexGetData("DP_1","003N8EMH8GTFRIVNUPY288VJH","GSON5113132041")</f>
        <v>#NAME?</v>
      </c>
      <c r="L3170" s="23" t="e">
        <f ca="1">[1]!BexGetData("DP_1","003N8EMH8GTFRIVNUPY2891V1","GSON5113132041")</f>
        <v>#NAME?</v>
      </c>
      <c r="M3170" s="23" t="e">
        <f ca="1">[1]!BexGetData("DP_1","003N8EMH8GTFRIVOG7KG9IQXA","GSON5113132041")</f>
        <v>#NAME?</v>
      </c>
      <c r="N3170" s="28" t="e">
        <f ca="1">[1]!BexGetData("DP_1","003N8EMH8GTFRIVOG7KG9IX8U","GSON5113132041")</f>
        <v>#NAME?</v>
      </c>
      <c r="O3170" s="23" t="e">
        <f ca="1">[1]!BexGetData("DP_1","003N8EMH8GTFRIVOG7KG9J3KE","GSON5113132041")</f>
        <v>#NAME?</v>
      </c>
      <c r="P3170" s="28" t="e">
        <f ca="1">[1]!BexGetData("DP_1","003N8EMH8GTFRIVOG7KG9J9VY","GSON5113132041")</f>
        <v>#NAME?</v>
      </c>
      <c r="Q3170" s="24" t="e">
        <f ca="1">[1]!BexGetData("DP_1","00O2TNJGODT0G5Z4TTKYMM5MT","GSON5113132041")</f>
        <v>#NAME?</v>
      </c>
      <c r="R3170" s="23" t="e">
        <f ca="1">[1]!BexGetData("DP_1","00O2TNJGODT0G5Z4TTKYMMBYD","GSON5113132041")</f>
        <v>#NAME?</v>
      </c>
      <c r="S3170" s="23" t="e">
        <f ca="1">[1]!BexGetData("DP_1","00O2TNJGODT0G5Z4TTKYMMI9X","GSON5113132041")</f>
        <v>#NAME?</v>
      </c>
      <c r="T3170" s="28" t="e">
        <f ca="1">[1]!BexGetData("DP_1","00O2TNJGODT0G5Z4TTKYMMOLH","GSON5113132041")</f>
        <v>#NAME?</v>
      </c>
      <c r="U3170" s="23" t="e">
        <f ca="1">[1]!BexGetData("DP_1","00O2TNJGODT0G5Z4TTKYMMUX1","GSON5113132041")</f>
        <v>#NAME?</v>
      </c>
      <c r="V3170" s="28" t="e">
        <f ca="1">[1]!BexGetData("DP_1","00O2TNJGODT0G5Z4TTKYMN18L","GSON5113132041")</f>
        <v>#NAME?</v>
      </c>
      <c r="W3170" s="23" t="e">
        <f ca="1">[1]!BexGetData("DP_1","00O2TNJGODT0G5Z4TTKYMN7K5","GSON5113132041")</f>
        <v>#NAME?</v>
      </c>
    </row>
    <row r="3171" spans="1:23" x14ac:dyDescent="0.2">
      <c r="A3171" s="36" t="s">
        <v>6539</v>
      </c>
      <c r="B3171" s="27" t="s">
        <v>6540</v>
      </c>
      <c r="C3171" s="23" t="e">
        <f ca="1">[1]!BexGetData("DP_1","003N8EMH8GTFRCSWKMPXRR8GU","GSON5113132051")</f>
        <v>#NAME?</v>
      </c>
      <c r="D3171" s="23" t="e">
        <f ca="1">[1]!BexGetData("DP_1","003N8EMH8GTFRCSWKMPXRRESE","GSON5113132051")</f>
        <v>#NAME?</v>
      </c>
      <c r="E3171" s="23" t="e">
        <f ca="1">[1]!BexGetData("DP_1","003N8EMH8GTFRCSWKMPXRRL3Y","GSON5113132051")</f>
        <v>#NAME?</v>
      </c>
      <c r="F3171" s="23" t="e">
        <f ca="1">[1]!BexGetData("DP_1","003N8EMH8GTFRCSWKMPXRRRFI","GSON5113132051")</f>
        <v>#NAME?</v>
      </c>
      <c r="G3171" s="23" t="e">
        <f ca="1">[1]!BexGetData("DP_1","003N8EMH8GTFRCSWKMPXRRXR2","GSON5113132051")</f>
        <v>#NAME?</v>
      </c>
      <c r="H3171" s="23" t="e">
        <f ca="1">[1]!BexGetData("DP_1","003N8EMH8GTFRCSWKMPXRS42M","GSON5113132051")</f>
        <v>#NAME?</v>
      </c>
      <c r="I3171" s="23" t="e">
        <f ca="1">[1]!BexGetData("DP_1","003N8EMH8GTFRCSWKMPXRSAE6","GSON5113132051")</f>
        <v>#NAME?</v>
      </c>
      <c r="J3171" s="24" t="e">
        <f ca="1">[1]!BexGetData("DP_1","003N8EMH8GTFRCSWKMPXRSGPQ","GSON5113132051")</f>
        <v>#NAME?</v>
      </c>
      <c r="K3171" s="23" t="e">
        <f ca="1">[1]!BexGetData("DP_1","003N8EMH8GTFRIVNUPY288VJH","GSON5113132051")</f>
        <v>#NAME?</v>
      </c>
      <c r="L3171" s="23" t="e">
        <f ca="1">[1]!BexGetData("DP_1","003N8EMH8GTFRIVNUPY2891V1","GSON5113132051")</f>
        <v>#NAME?</v>
      </c>
      <c r="M3171" s="23" t="e">
        <f ca="1">[1]!BexGetData("DP_1","003N8EMH8GTFRIVOG7KG9IQXA","GSON5113132051")</f>
        <v>#NAME?</v>
      </c>
      <c r="N3171" s="28" t="e">
        <f ca="1">[1]!BexGetData("DP_1","003N8EMH8GTFRIVOG7KG9IX8U","GSON5113132051")</f>
        <v>#NAME?</v>
      </c>
      <c r="O3171" s="23" t="e">
        <f ca="1">[1]!BexGetData("DP_1","003N8EMH8GTFRIVOG7KG9J3KE","GSON5113132051")</f>
        <v>#NAME?</v>
      </c>
      <c r="P3171" s="28" t="e">
        <f ca="1">[1]!BexGetData("DP_1","003N8EMH8GTFRIVOG7KG9J9VY","GSON5113132051")</f>
        <v>#NAME?</v>
      </c>
      <c r="Q3171" s="24" t="e">
        <f ca="1">[1]!BexGetData("DP_1","00O2TNJGODT0G5Z4TTKYMM5MT","GSON5113132051")</f>
        <v>#NAME?</v>
      </c>
      <c r="R3171" s="23" t="e">
        <f ca="1">[1]!BexGetData("DP_1","00O2TNJGODT0G5Z4TTKYMMBYD","GSON5113132051")</f>
        <v>#NAME?</v>
      </c>
      <c r="S3171" s="23" t="e">
        <f ca="1">[1]!BexGetData("DP_1","00O2TNJGODT0G5Z4TTKYMMI9X","GSON5113132051")</f>
        <v>#NAME?</v>
      </c>
      <c r="T3171" s="28" t="e">
        <f ca="1">[1]!BexGetData("DP_1","00O2TNJGODT0G5Z4TTKYMMOLH","GSON5113132051")</f>
        <v>#NAME?</v>
      </c>
      <c r="U3171" s="23" t="e">
        <f ca="1">[1]!BexGetData("DP_1","00O2TNJGODT0G5Z4TTKYMMUX1","GSON5113132051")</f>
        <v>#NAME?</v>
      </c>
      <c r="V3171" s="28" t="e">
        <f ca="1">[1]!BexGetData("DP_1","00O2TNJGODT0G5Z4TTKYMN18L","GSON5113132051")</f>
        <v>#NAME?</v>
      </c>
      <c r="W3171" s="23" t="e">
        <f ca="1">[1]!BexGetData("DP_1","00O2TNJGODT0G5Z4TTKYMN7K5","GSON5113132051")</f>
        <v>#NAME?</v>
      </c>
    </row>
    <row r="3172" spans="1:23" x14ac:dyDescent="0.2">
      <c r="A3172" s="36" t="s">
        <v>6541</v>
      </c>
      <c r="B3172" s="27" t="s">
        <v>6542</v>
      </c>
      <c r="C3172" s="23" t="e">
        <f ca="1">[1]!BexGetData("DP_1","003N8EMH8GTFRCSWKMPXRR8GU","GSON5113134011")</f>
        <v>#NAME?</v>
      </c>
      <c r="D3172" s="23" t="e">
        <f ca="1">[1]!BexGetData("DP_1","003N8EMH8GTFRCSWKMPXRRESE","GSON5113134011")</f>
        <v>#NAME?</v>
      </c>
      <c r="E3172" s="23" t="e">
        <f ca="1">[1]!BexGetData("DP_1","003N8EMH8GTFRCSWKMPXRRL3Y","GSON5113134011")</f>
        <v>#NAME?</v>
      </c>
      <c r="F3172" s="23" t="e">
        <f ca="1">[1]!BexGetData("DP_1","003N8EMH8GTFRCSWKMPXRRRFI","GSON5113134011")</f>
        <v>#NAME?</v>
      </c>
      <c r="G3172" s="23" t="e">
        <f ca="1">[1]!BexGetData("DP_1","003N8EMH8GTFRCSWKMPXRRXR2","GSON5113134011")</f>
        <v>#NAME?</v>
      </c>
      <c r="H3172" s="23" t="e">
        <f ca="1">[1]!BexGetData("DP_1","003N8EMH8GTFRCSWKMPXRS42M","GSON5113134011")</f>
        <v>#NAME?</v>
      </c>
      <c r="I3172" s="23" t="e">
        <f ca="1">[1]!BexGetData("DP_1","003N8EMH8GTFRCSWKMPXRSAE6","GSON5113134011")</f>
        <v>#NAME?</v>
      </c>
      <c r="J3172" s="24" t="e">
        <f ca="1">[1]!BexGetData("DP_1","003N8EMH8GTFRCSWKMPXRSGPQ","GSON5113134011")</f>
        <v>#NAME?</v>
      </c>
      <c r="K3172" s="23" t="e">
        <f ca="1">[1]!BexGetData("DP_1","003N8EMH8GTFRIVNUPY288VJH","GSON5113134011")</f>
        <v>#NAME?</v>
      </c>
      <c r="L3172" s="23" t="e">
        <f ca="1">[1]!BexGetData("DP_1","003N8EMH8GTFRIVNUPY2891V1","GSON5113134011")</f>
        <v>#NAME?</v>
      </c>
      <c r="M3172" s="28" t="e">
        <f ca="1">[1]!BexGetData("DP_1","003N8EMH8GTFRIVOG7KG9IQXA","GSON5113134011")</f>
        <v>#NAME?</v>
      </c>
      <c r="N3172" s="23" t="e">
        <f ca="1">[1]!BexGetData("DP_1","003N8EMH8GTFRIVOG7KG9IX8U","GSON5113134011")</f>
        <v>#NAME?</v>
      </c>
      <c r="O3172" s="28" t="e">
        <f ca="1">[1]!BexGetData("DP_1","003N8EMH8GTFRIVOG7KG9J3KE","GSON5113134011")</f>
        <v>#NAME?</v>
      </c>
      <c r="P3172" s="23" t="e">
        <f ca="1">[1]!BexGetData("DP_1","003N8EMH8GTFRIVOG7KG9J9VY","GSON5113134011")</f>
        <v>#NAME?</v>
      </c>
      <c r="Q3172" s="24" t="e">
        <f ca="1">[1]!BexGetData("DP_1","00O2TNJGODT0G5Z4TTKYMM5MT","GSON5113134011")</f>
        <v>#NAME?</v>
      </c>
      <c r="R3172" s="23" t="e">
        <f ca="1">[1]!BexGetData("DP_1","00O2TNJGODT0G5Z4TTKYMMBYD","GSON5113134011")</f>
        <v>#NAME?</v>
      </c>
      <c r="S3172" s="23" t="e">
        <f ca="1">[1]!BexGetData("DP_1","00O2TNJGODT0G5Z4TTKYMMI9X","GSON5113134011")</f>
        <v>#NAME?</v>
      </c>
      <c r="T3172" s="28" t="e">
        <f ca="1">[1]!BexGetData("DP_1","00O2TNJGODT0G5Z4TTKYMMOLH","GSON5113134011")</f>
        <v>#NAME?</v>
      </c>
      <c r="U3172" s="23" t="e">
        <f ca="1">[1]!BexGetData("DP_1","00O2TNJGODT0G5Z4TTKYMMUX1","GSON5113134011")</f>
        <v>#NAME?</v>
      </c>
      <c r="V3172" s="28" t="e">
        <f ca="1">[1]!BexGetData("DP_1","00O2TNJGODT0G5Z4TTKYMN18L","GSON5113134011")</f>
        <v>#NAME?</v>
      </c>
      <c r="W3172" s="23" t="e">
        <f ca="1">[1]!BexGetData("DP_1","00O2TNJGODT0G5Z4TTKYMN7K5","GSON5113134011")</f>
        <v>#NAME?</v>
      </c>
    </row>
    <row r="3173" spans="1:23" x14ac:dyDescent="0.2">
      <c r="A3173" s="36" t="s">
        <v>6543</v>
      </c>
      <c r="B3173" s="27" t="s">
        <v>6544</v>
      </c>
      <c r="C3173" s="23" t="e">
        <f ca="1">[1]!BexGetData("DP_1","003N8EMH8GTFRCSWKMPXRR8GU","GSON5113134031")</f>
        <v>#NAME?</v>
      </c>
      <c r="D3173" s="23" t="e">
        <f ca="1">[1]!BexGetData("DP_1","003N8EMH8GTFRCSWKMPXRRESE","GSON5113134031")</f>
        <v>#NAME?</v>
      </c>
      <c r="E3173" s="23" t="e">
        <f ca="1">[1]!BexGetData("DP_1","003N8EMH8GTFRCSWKMPXRRL3Y","GSON5113134031")</f>
        <v>#NAME?</v>
      </c>
      <c r="F3173" s="23" t="e">
        <f ca="1">[1]!BexGetData("DP_1","003N8EMH8GTFRCSWKMPXRRRFI","GSON5113134031")</f>
        <v>#NAME?</v>
      </c>
      <c r="G3173" s="23" t="e">
        <f ca="1">[1]!BexGetData("DP_1","003N8EMH8GTFRCSWKMPXRRXR2","GSON5113134031")</f>
        <v>#NAME?</v>
      </c>
      <c r="H3173" s="23" t="e">
        <f ca="1">[1]!BexGetData("DP_1","003N8EMH8GTFRCSWKMPXRS42M","GSON5113134031")</f>
        <v>#NAME?</v>
      </c>
      <c r="I3173" s="23" t="e">
        <f ca="1">[1]!BexGetData("DP_1","003N8EMH8GTFRCSWKMPXRSAE6","GSON5113134031")</f>
        <v>#NAME?</v>
      </c>
      <c r="J3173" s="24" t="e">
        <f ca="1">[1]!BexGetData("DP_1","003N8EMH8GTFRCSWKMPXRSGPQ","GSON5113134031")</f>
        <v>#NAME?</v>
      </c>
      <c r="K3173" s="23" t="e">
        <f ca="1">[1]!BexGetData("DP_1","003N8EMH8GTFRIVNUPY288VJH","GSON5113134031")</f>
        <v>#NAME?</v>
      </c>
      <c r="L3173" s="23" t="e">
        <f ca="1">[1]!BexGetData("DP_1","003N8EMH8GTFRIVNUPY2891V1","GSON5113134031")</f>
        <v>#NAME?</v>
      </c>
      <c r="M3173" s="23" t="e">
        <f ca="1">[1]!BexGetData("DP_1","003N8EMH8GTFRIVOG7KG9IQXA","GSON5113134031")</f>
        <v>#NAME?</v>
      </c>
      <c r="N3173" s="28" t="e">
        <f ca="1">[1]!BexGetData("DP_1","003N8EMH8GTFRIVOG7KG9IX8U","GSON5113134031")</f>
        <v>#NAME?</v>
      </c>
      <c r="O3173" s="23" t="e">
        <f ca="1">[1]!BexGetData("DP_1","003N8EMH8GTFRIVOG7KG9J3KE","GSON5113134031")</f>
        <v>#NAME?</v>
      </c>
      <c r="P3173" s="28" t="e">
        <f ca="1">[1]!BexGetData("DP_1","003N8EMH8GTFRIVOG7KG9J9VY","GSON5113134031")</f>
        <v>#NAME?</v>
      </c>
      <c r="Q3173" s="24" t="e">
        <f ca="1">[1]!BexGetData("DP_1","00O2TNJGODT0G5Z4TTKYMM5MT","GSON5113134031")</f>
        <v>#NAME?</v>
      </c>
      <c r="R3173" s="23" t="e">
        <f ca="1">[1]!BexGetData("DP_1","00O2TNJGODT0G5Z4TTKYMMBYD","GSON5113134031")</f>
        <v>#NAME?</v>
      </c>
      <c r="S3173" s="23" t="e">
        <f ca="1">[1]!BexGetData("DP_1","00O2TNJGODT0G5Z4TTKYMMI9X","GSON5113134031")</f>
        <v>#NAME?</v>
      </c>
      <c r="T3173" s="28" t="e">
        <f ca="1">[1]!BexGetData("DP_1","00O2TNJGODT0G5Z4TTKYMMOLH","GSON5113134031")</f>
        <v>#NAME?</v>
      </c>
      <c r="U3173" s="23" t="e">
        <f ca="1">[1]!BexGetData("DP_1","00O2TNJGODT0G5Z4TTKYMMUX1","GSON5113134031")</f>
        <v>#NAME?</v>
      </c>
      <c r="V3173" s="28" t="e">
        <f ca="1">[1]!BexGetData("DP_1","00O2TNJGODT0G5Z4TTKYMN18L","GSON5113134031")</f>
        <v>#NAME?</v>
      </c>
      <c r="W3173" s="23" t="e">
        <f ca="1">[1]!BexGetData("DP_1","00O2TNJGODT0G5Z4TTKYMN7K5","GSON5113134031")</f>
        <v>#NAME?</v>
      </c>
    </row>
    <row r="3174" spans="1:23" x14ac:dyDescent="0.2">
      <c r="A3174" s="36" t="s">
        <v>6545</v>
      </c>
      <c r="B3174" s="27" t="s">
        <v>6546</v>
      </c>
      <c r="C3174" s="23" t="e">
        <f ca="1">[1]!BexGetData("DP_1","003N8EMH8GTFRCSWKMPXRR8GU","GSON5113134032")</f>
        <v>#NAME?</v>
      </c>
      <c r="D3174" s="28" t="e">
        <f ca="1">[1]!BexGetData("DP_1","003N8EMH8GTFRCSWKMPXRRESE","GSON5113134032")</f>
        <v>#NAME?</v>
      </c>
      <c r="E3174" s="23" t="e">
        <f ca="1">[1]!BexGetData("DP_1","003N8EMH8GTFRCSWKMPXRRL3Y","GSON5113134032")</f>
        <v>#NAME?</v>
      </c>
      <c r="F3174" s="23" t="e">
        <f ca="1">[1]!BexGetData("DP_1","003N8EMH8GTFRCSWKMPXRRRFI","GSON5113134032")</f>
        <v>#NAME?</v>
      </c>
      <c r="G3174" s="23" t="e">
        <f ca="1">[1]!BexGetData("DP_1","003N8EMH8GTFRCSWKMPXRRXR2","GSON5113134032")</f>
        <v>#NAME?</v>
      </c>
      <c r="H3174" s="28" t="e">
        <f ca="1">[1]!BexGetData("DP_1","003N8EMH8GTFRCSWKMPXRS42M","GSON5113134032")</f>
        <v>#NAME?</v>
      </c>
      <c r="I3174" s="23" t="e">
        <f ca="1">[1]!BexGetData("DP_1","003N8EMH8GTFRCSWKMPXRSAE6","GSON5113134032")</f>
        <v>#NAME?</v>
      </c>
      <c r="J3174" s="24" t="e">
        <f ca="1">[1]!BexGetData("DP_1","003N8EMH8GTFRCSWKMPXRSGPQ","GSON5113134032")</f>
        <v>#NAME?</v>
      </c>
      <c r="K3174" s="23" t="e">
        <f ca="1">[1]!BexGetData("DP_1","003N8EMH8GTFRIVNUPY288VJH","GSON5113134032")</f>
        <v>#NAME?</v>
      </c>
      <c r="L3174" s="23" t="e">
        <f ca="1">[1]!BexGetData("DP_1","003N8EMH8GTFRIVNUPY2891V1","GSON5113134032")</f>
        <v>#NAME?</v>
      </c>
      <c r="M3174" s="28" t="e">
        <f ca="1">[1]!BexGetData("DP_1","003N8EMH8GTFRIVOG7KG9IQXA","GSON5113134032")</f>
        <v>#NAME?</v>
      </c>
      <c r="N3174" s="23" t="e">
        <f ca="1">[1]!BexGetData("DP_1","003N8EMH8GTFRIVOG7KG9IX8U","GSON5113134032")</f>
        <v>#NAME?</v>
      </c>
      <c r="O3174" s="28" t="e">
        <f ca="1">[1]!BexGetData("DP_1","003N8EMH8GTFRIVOG7KG9J3KE","GSON5113134032")</f>
        <v>#NAME?</v>
      </c>
      <c r="P3174" s="23" t="e">
        <f ca="1">[1]!BexGetData("DP_1","003N8EMH8GTFRIVOG7KG9J9VY","GSON5113134032")</f>
        <v>#NAME?</v>
      </c>
      <c r="Q3174" s="24" t="e">
        <f ca="1">[1]!BexGetData("DP_1","00O2TNJGODT0G5Z4TTKYMM5MT","GSON5113134032")</f>
        <v>#NAME?</v>
      </c>
      <c r="R3174" s="23" t="e">
        <f ca="1">[1]!BexGetData("DP_1","00O2TNJGODT0G5Z4TTKYMMBYD","GSON5113134032")</f>
        <v>#NAME?</v>
      </c>
      <c r="S3174" s="23" t="e">
        <f ca="1">[1]!BexGetData("DP_1","00O2TNJGODT0G5Z4TTKYMMI9X","GSON5113134032")</f>
        <v>#NAME?</v>
      </c>
      <c r="T3174" s="28" t="e">
        <f ca="1">[1]!BexGetData("DP_1","00O2TNJGODT0G5Z4TTKYMMOLH","GSON5113134032")</f>
        <v>#NAME?</v>
      </c>
      <c r="U3174" s="23" t="e">
        <f ca="1">[1]!BexGetData("DP_1","00O2TNJGODT0G5Z4TTKYMMUX1","GSON5113134032")</f>
        <v>#NAME?</v>
      </c>
      <c r="V3174" s="28" t="e">
        <f ca="1">[1]!BexGetData("DP_1","00O2TNJGODT0G5Z4TTKYMN18L","GSON5113134032")</f>
        <v>#NAME?</v>
      </c>
      <c r="W3174" s="23" t="e">
        <f ca="1">[1]!BexGetData("DP_1","00O2TNJGODT0G5Z4TTKYMN7K5","GSON5113134032")</f>
        <v>#NAME?</v>
      </c>
    </row>
    <row r="3175" spans="1:23" x14ac:dyDescent="0.2">
      <c r="A3175" s="36" t="s">
        <v>6547</v>
      </c>
      <c r="B3175" s="27" t="s">
        <v>6548</v>
      </c>
      <c r="C3175" s="23" t="e">
        <f ca="1">[1]!BexGetData("DP_1","003N8EMH8GTFRCSWKMPXRR8GU","GSON5113134041")</f>
        <v>#NAME?</v>
      </c>
      <c r="D3175" s="23" t="e">
        <f ca="1">[1]!BexGetData("DP_1","003N8EMH8GTFRCSWKMPXRRESE","GSON5113134041")</f>
        <v>#NAME?</v>
      </c>
      <c r="E3175" s="23" t="e">
        <f ca="1">[1]!BexGetData("DP_1","003N8EMH8GTFRCSWKMPXRRL3Y","GSON5113134041")</f>
        <v>#NAME?</v>
      </c>
      <c r="F3175" s="23" t="e">
        <f ca="1">[1]!BexGetData("DP_1","003N8EMH8GTFRCSWKMPXRRRFI","GSON5113134041")</f>
        <v>#NAME?</v>
      </c>
      <c r="G3175" s="23" t="e">
        <f ca="1">[1]!BexGetData("DP_1","003N8EMH8GTFRCSWKMPXRRXR2","GSON5113134041")</f>
        <v>#NAME?</v>
      </c>
      <c r="H3175" s="23" t="e">
        <f ca="1">[1]!BexGetData("DP_1","003N8EMH8GTFRCSWKMPXRS42M","GSON5113134041")</f>
        <v>#NAME?</v>
      </c>
      <c r="I3175" s="23" t="e">
        <f ca="1">[1]!BexGetData("DP_1","003N8EMH8GTFRCSWKMPXRSAE6","GSON5113134041")</f>
        <v>#NAME?</v>
      </c>
      <c r="J3175" s="24" t="e">
        <f ca="1">[1]!BexGetData("DP_1","003N8EMH8GTFRCSWKMPXRSGPQ","GSON5113134041")</f>
        <v>#NAME?</v>
      </c>
      <c r="K3175" s="23" t="e">
        <f ca="1">[1]!BexGetData("DP_1","003N8EMH8GTFRIVNUPY288VJH","GSON5113134041")</f>
        <v>#NAME?</v>
      </c>
      <c r="L3175" s="23" t="e">
        <f ca="1">[1]!BexGetData("DP_1","003N8EMH8GTFRIVNUPY2891V1","GSON5113134041")</f>
        <v>#NAME?</v>
      </c>
      <c r="M3175" s="23" t="e">
        <f ca="1">[1]!BexGetData("DP_1","003N8EMH8GTFRIVOG7KG9IQXA","GSON5113134041")</f>
        <v>#NAME?</v>
      </c>
      <c r="N3175" s="28" t="e">
        <f ca="1">[1]!BexGetData("DP_1","003N8EMH8GTFRIVOG7KG9IX8U","GSON5113134041")</f>
        <v>#NAME?</v>
      </c>
      <c r="O3175" s="23" t="e">
        <f ca="1">[1]!BexGetData("DP_1","003N8EMH8GTFRIVOG7KG9J3KE","GSON5113134041")</f>
        <v>#NAME?</v>
      </c>
      <c r="P3175" s="28" t="e">
        <f ca="1">[1]!BexGetData("DP_1","003N8EMH8GTFRIVOG7KG9J9VY","GSON5113134041")</f>
        <v>#NAME?</v>
      </c>
      <c r="Q3175" s="24" t="e">
        <f ca="1">[1]!BexGetData("DP_1","00O2TNJGODT0G5Z4TTKYMM5MT","GSON5113134041")</f>
        <v>#NAME?</v>
      </c>
      <c r="R3175" s="23" t="e">
        <f ca="1">[1]!BexGetData("DP_1","00O2TNJGODT0G5Z4TTKYMMBYD","GSON5113134041")</f>
        <v>#NAME?</v>
      </c>
      <c r="S3175" s="23" t="e">
        <f ca="1">[1]!BexGetData("DP_1","00O2TNJGODT0G5Z4TTKYMMI9X","GSON5113134041")</f>
        <v>#NAME?</v>
      </c>
      <c r="T3175" s="28" t="e">
        <f ca="1">[1]!BexGetData("DP_1","00O2TNJGODT0G5Z4TTKYMMOLH","GSON5113134041")</f>
        <v>#NAME?</v>
      </c>
      <c r="U3175" s="23" t="e">
        <f ca="1">[1]!BexGetData("DP_1","00O2TNJGODT0G5Z4TTKYMMUX1","GSON5113134041")</f>
        <v>#NAME?</v>
      </c>
      <c r="V3175" s="28" t="e">
        <f ca="1">[1]!BexGetData("DP_1","00O2TNJGODT0G5Z4TTKYMN18L","GSON5113134041")</f>
        <v>#NAME?</v>
      </c>
      <c r="W3175" s="23" t="e">
        <f ca="1">[1]!BexGetData("DP_1","00O2TNJGODT0G5Z4TTKYMN7K5","GSON5113134041")</f>
        <v>#NAME?</v>
      </c>
    </row>
    <row r="3176" spans="1:23" x14ac:dyDescent="0.2">
      <c r="A3176" s="36" t="s">
        <v>6549</v>
      </c>
      <c r="B3176" s="27" t="s">
        <v>6550</v>
      </c>
      <c r="C3176" s="23" t="e">
        <f ca="1">[1]!BexGetData("DP_1","003N8EMH8GTFRCSWKMPXRR8GU","GSON5113137011")</f>
        <v>#NAME?</v>
      </c>
      <c r="D3176" s="23" t="e">
        <f ca="1">[1]!BexGetData("DP_1","003N8EMH8GTFRCSWKMPXRRESE","GSON5113137011")</f>
        <v>#NAME?</v>
      </c>
      <c r="E3176" s="23" t="e">
        <f ca="1">[1]!BexGetData("DP_1","003N8EMH8GTFRCSWKMPXRRL3Y","GSON5113137011")</f>
        <v>#NAME?</v>
      </c>
      <c r="F3176" s="23" t="e">
        <f ca="1">[1]!BexGetData("DP_1","003N8EMH8GTFRCSWKMPXRRRFI","GSON5113137011")</f>
        <v>#NAME?</v>
      </c>
      <c r="G3176" s="23" t="e">
        <f ca="1">[1]!BexGetData("DP_1","003N8EMH8GTFRCSWKMPXRRXR2","GSON5113137011")</f>
        <v>#NAME?</v>
      </c>
      <c r="H3176" s="28" t="e">
        <f ca="1">[1]!BexGetData("DP_1","003N8EMH8GTFRCSWKMPXRS42M","GSON5113137011")</f>
        <v>#NAME?</v>
      </c>
      <c r="I3176" s="23" t="e">
        <f ca="1">[1]!BexGetData("DP_1","003N8EMH8GTFRCSWKMPXRSAE6","GSON5113137011")</f>
        <v>#NAME?</v>
      </c>
      <c r="J3176" s="24" t="e">
        <f ca="1">[1]!BexGetData("DP_1","003N8EMH8GTFRCSWKMPXRSGPQ","GSON5113137011")</f>
        <v>#NAME?</v>
      </c>
      <c r="K3176" s="23" t="e">
        <f ca="1">[1]!BexGetData("DP_1","003N8EMH8GTFRIVNUPY288VJH","GSON5113137011")</f>
        <v>#NAME?</v>
      </c>
      <c r="L3176" s="23" t="e">
        <f ca="1">[1]!BexGetData("DP_1","003N8EMH8GTFRIVNUPY2891V1","GSON5113137011")</f>
        <v>#NAME?</v>
      </c>
      <c r="M3176" s="28" t="e">
        <f ca="1">[1]!BexGetData("DP_1","003N8EMH8GTFRIVOG7KG9IQXA","GSON5113137011")</f>
        <v>#NAME?</v>
      </c>
      <c r="N3176" s="23" t="e">
        <f ca="1">[1]!BexGetData("DP_1","003N8EMH8GTFRIVOG7KG9IX8U","GSON5113137011")</f>
        <v>#NAME?</v>
      </c>
      <c r="O3176" s="28" t="e">
        <f ca="1">[1]!BexGetData("DP_1","003N8EMH8GTFRIVOG7KG9J3KE","GSON5113137011")</f>
        <v>#NAME?</v>
      </c>
      <c r="P3176" s="23" t="e">
        <f ca="1">[1]!BexGetData("DP_1","003N8EMH8GTFRIVOG7KG9J9VY","GSON5113137011")</f>
        <v>#NAME?</v>
      </c>
      <c r="Q3176" s="24" t="e">
        <f ca="1">[1]!BexGetData("DP_1","00O2TNJGODT0G5Z4TTKYMM5MT","GSON5113137011")</f>
        <v>#NAME?</v>
      </c>
      <c r="R3176" s="23" t="e">
        <f ca="1">[1]!BexGetData("DP_1","00O2TNJGODT0G5Z4TTKYMMBYD","GSON5113137011")</f>
        <v>#NAME?</v>
      </c>
      <c r="S3176" s="23" t="e">
        <f ca="1">[1]!BexGetData("DP_1","00O2TNJGODT0G5Z4TTKYMMI9X","GSON5113137011")</f>
        <v>#NAME?</v>
      </c>
      <c r="T3176" s="28" t="e">
        <f ca="1">[1]!BexGetData("DP_1","00O2TNJGODT0G5Z4TTKYMMOLH","GSON5113137011")</f>
        <v>#NAME?</v>
      </c>
      <c r="U3176" s="23" t="e">
        <f ca="1">[1]!BexGetData("DP_1","00O2TNJGODT0G5Z4TTKYMMUX1","GSON5113137011")</f>
        <v>#NAME?</v>
      </c>
      <c r="V3176" s="28" t="e">
        <f ca="1">[1]!BexGetData("DP_1","00O2TNJGODT0G5Z4TTKYMN18L","GSON5113137011")</f>
        <v>#NAME?</v>
      </c>
      <c r="W3176" s="23" t="e">
        <f ca="1">[1]!BexGetData("DP_1","00O2TNJGODT0G5Z4TTKYMN7K5","GSON5113137011")</f>
        <v>#NAME?</v>
      </c>
    </row>
    <row r="3177" spans="1:23" x14ac:dyDescent="0.2">
      <c r="A3177" s="36" t="s">
        <v>6551</v>
      </c>
      <c r="B3177" s="27" t="s">
        <v>6552</v>
      </c>
      <c r="C3177" s="24" t="e">
        <f ca="1">[1]!BexGetData("DP_1","003N8EMH8GTFRCSWKMPXRR8GU","GSON5113137012")</f>
        <v>#NAME?</v>
      </c>
      <c r="D3177" s="24" t="e">
        <f ca="1">[1]!BexGetData("DP_1","003N8EMH8GTFRCSWKMPXRRESE","GSON5113137012")</f>
        <v>#NAME?</v>
      </c>
      <c r="E3177" s="24" t="e">
        <f ca="1">[1]!BexGetData("DP_1","003N8EMH8GTFRCSWKMPXRRL3Y","GSON5113137012")</f>
        <v>#NAME?</v>
      </c>
      <c r="F3177" s="28" t="e">
        <f ca="1">[1]!BexGetData("DP_1","003N8EMH8GTFRCSWKMPXRRRFI","GSON5113137012")</f>
        <v>#NAME?</v>
      </c>
      <c r="G3177" s="23" t="e">
        <f ca="1">[1]!BexGetData("DP_1","003N8EMH8GTFRCSWKMPXRRXR2","GSON5113137012")</f>
        <v>#NAME?</v>
      </c>
      <c r="H3177" s="23" t="e">
        <f ca="1">[1]!BexGetData("DP_1","003N8EMH8GTFRCSWKMPXRS42M","GSON5113137012")</f>
        <v>#NAME?</v>
      </c>
      <c r="I3177" s="28" t="e">
        <f ca="1">[1]!BexGetData("DP_1","003N8EMH8GTFRCSWKMPXRSAE6","GSON5113137012")</f>
        <v>#NAME?</v>
      </c>
      <c r="J3177" s="24" t="e">
        <f ca="1">[1]!BexGetData("DP_1","003N8EMH8GTFRCSWKMPXRSGPQ","GSON5113137012")</f>
        <v>#NAME?</v>
      </c>
      <c r="K3177" s="28" t="e">
        <f ca="1">[1]!BexGetData("DP_1","003N8EMH8GTFRIVNUPY288VJH","GSON5113137012")</f>
        <v>#NAME?</v>
      </c>
      <c r="L3177" s="28" t="e">
        <f ca="1">[1]!BexGetData("DP_1","003N8EMH8GTFRIVNUPY2891V1","GSON5113137012")</f>
        <v>#NAME?</v>
      </c>
      <c r="M3177" s="28" t="e">
        <f ca="1">[1]!BexGetData("DP_1","003N8EMH8GTFRIVOG7KG9IQXA","GSON5113137012")</f>
        <v>#NAME?</v>
      </c>
      <c r="N3177" s="28" t="e">
        <f ca="1">[1]!BexGetData("DP_1","003N8EMH8GTFRIVOG7KG9IX8U","GSON5113137012")</f>
        <v>#NAME?</v>
      </c>
      <c r="O3177" s="28" t="e">
        <f ca="1">[1]!BexGetData("DP_1","003N8EMH8GTFRIVOG7KG9J3KE","GSON5113137012")</f>
        <v>#NAME?</v>
      </c>
      <c r="P3177" s="28" t="e">
        <f ca="1">[1]!BexGetData("DP_1","003N8EMH8GTFRIVOG7KG9J9VY","GSON5113137012")</f>
        <v>#NAME?</v>
      </c>
      <c r="Q3177" s="24" t="e">
        <f ca="1">[1]!BexGetData("DP_1","00O2TNJGODT0G5Z4TTKYMM5MT","GSON5113137012")</f>
        <v>#NAME?</v>
      </c>
      <c r="R3177" s="28" t="e">
        <f ca="1">[1]!BexGetData("DP_1","00O2TNJGODT0G5Z4TTKYMMBYD","GSON5113137012")</f>
        <v>#NAME?</v>
      </c>
      <c r="S3177" s="28" t="e">
        <f ca="1">[1]!BexGetData("DP_1","00O2TNJGODT0G5Z4TTKYMMI9X","GSON5113137012")</f>
        <v>#NAME?</v>
      </c>
      <c r="T3177" s="28" t="e">
        <f ca="1">[1]!BexGetData("DP_1","00O2TNJGODT0G5Z4TTKYMMOLH","GSON5113137012")</f>
        <v>#NAME?</v>
      </c>
      <c r="U3177" s="28" t="e">
        <f ca="1">[1]!BexGetData("DP_1","00O2TNJGODT0G5Z4TTKYMMUX1","GSON5113137012")</f>
        <v>#NAME?</v>
      </c>
      <c r="V3177" s="28" t="e">
        <f ca="1">[1]!BexGetData("DP_1","00O2TNJGODT0G5Z4TTKYMN18L","GSON5113137012")</f>
        <v>#NAME?</v>
      </c>
      <c r="W3177" s="28" t="e">
        <f ca="1">[1]!BexGetData("DP_1","00O2TNJGODT0G5Z4TTKYMN7K5","GSON5113137012")</f>
        <v>#NAME?</v>
      </c>
    </row>
    <row r="3178" spans="1:23" x14ac:dyDescent="0.2">
      <c r="A3178" s="35" t="s">
        <v>1555</v>
      </c>
      <c r="B3178" s="27" t="s">
        <v>1556</v>
      </c>
      <c r="C3178" s="23" t="e">
        <f ca="1">[1]!BexGetData("DP_1","003N8EMH8GTFRCSWKMPXRR8GU","GSON5114")</f>
        <v>#NAME?</v>
      </c>
      <c r="D3178" s="23" t="e">
        <f ca="1">[1]!BexGetData("DP_1","003N8EMH8GTFRCSWKMPXRRESE","GSON5114")</f>
        <v>#NAME?</v>
      </c>
      <c r="E3178" s="23" t="e">
        <f ca="1">[1]!BexGetData("DP_1","003N8EMH8GTFRCSWKMPXRRL3Y","GSON5114")</f>
        <v>#NAME?</v>
      </c>
      <c r="F3178" s="23" t="e">
        <f ca="1">[1]!BexGetData("DP_1","003N8EMH8GTFRCSWKMPXRRRFI","GSON5114")</f>
        <v>#NAME?</v>
      </c>
      <c r="G3178" s="23" t="e">
        <f ca="1">[1]!BexGetData("DP_1","003N8EMH8GTFRCSWKMPXRRXR2","GSON5114")</f>
        <v>#NAME?</v>
      </c>
      <c r="H3178" s="23" t="e">
        <f ca="1">[1]!BexGetData("DP_1","003N8EMH8GTFRCSWKMPXRS42M","GSON5114")</f>
        <v>#NAME?</v>
      </c>
      <c r="I3178" s="23" t="e">
        <f ca="1">[1]!BexGetData("DP_1","003N8EMH8GTFRCSWKMPXRSAE6","GSON5114")</f>
        <v>#NAME?</v>
      </c>
      <c r="J3178" s="24" t="e">
        <f ca="1">[1]!BexGetData("DP_1","003N8EMH8GTFRCSWKMPXRSGPQ","GSON5114")</f>
        <v>#NAME?</v>
      </c>
      <c r="K3178" s="23" t="e">
        <f ca="1">[1]!BexGetData("DP_1","003N8EMH8GTFRIVNUPY288VJH","GSON5114")</f>
        <v>#NAME?</v>
      </c>
      <c r="L3178" s="23" t="e">
        <f ca="1">[1]!BexGetData("DP_1","003N8EMH8GTFRIVNUPY2891V1","GSON5114")</f>
        <v>#NAME?</v>
      </c>
      <c r="M3178" s="28" t="e">
        <f ca="1">[1]!BexGetData("DP_1","003N8EMH8GTFRIVOG7KG9IQXA","GSON5114")</f>
        <v>#NAME?</v>
      </c>
      <c r="N3178" s="23" t="e">
        <f ca="1">[1]!BexGetData("DP_1","003N8EMH8GTFRIVOG7KG9IX8U","GSON5114")</f>
        <v>#NAME?</v>
      </c>
      <c r="O3178" s="28" t="e">
        <f ca="1">[1]!BexGetData("DP_1","003N8EMH8GTFRIVOG7KG9J3KE","GSON5114")</f>
        <v>#NAME?</v>
      </c>
      <c r="P3178" s="23" t="e">
        <f ca="1">[1]!BexGetData("DP_1","003N8EMH8GTFRIVOG7KG9J9VY","GSON5114")</f>
        <v>#NAME?</v>
      </c>
      <c r="Q3178" s="24" t="e">
        <f ca="1">[1]!BexGetData("DP_1","00O2TNJGODT0G5Z4TTKYMM5MT","GSON5114")</f>
        <v>#NAME?</v>
      </c>
      <c r="R3178" s="23" t="e">
        <f ca="1">[1]!BexGetData("DP_1","00O2TNJGODT0G5Z4TTKYMMBYD","GSON5114")</f>
        <v>#NAME?</v>
      </c>
      <c r="S3178" s="23" t="e">
        <f ca="1">[1]!BexGetData("DP_1","00O2TNJGODT0G5Z4TTKYMMI9X","GSON5114")</f>
        <v>#NAME?</v>
      </c>
      <c r="T3178" s="28" t="e">
        <f ca="1">[1]!BexGetData("DP_1","00O2TNJGODT0G5Z4TTKYMMOLH","GSON5114")</f>
        <v>#NAME?</v>
      </c>
      <c r="U3178" s="23" t="e">
        <f ca="1">[1]!BexGetData("DP_1","00O2TNJGODT0G5Z4TTKYMMUX1","GSON5114")</f>
        <v>#NAME?</v>
      </c>
      <c r="V3178" s="28" t="e">
        <f ca="1">[1]!BexGetData("DP_1","00O2TNJGODT0G5Z4TTKYMN18L","GSON5114")</f>
        <v>#NAME?</v>
      </c>
      <c r="W3178" s="23" t="e">
        <f ca="1">[1]!BexGetData("DP_1","00O2TNJGODT0G5Z4TTKYMN7K5","GSON5114")</f>
        <v>#NAME?</v>
      </c>
    </row>
    <row r="3179" spans="1:23" x14ac:dyDescent="0.2">
      <c r="A3179" s="36" t="s">
        <v>6553</v>
      </c>
      <c r="B3179" s="27" t="s">
        <v>1630</v>
      </c>
      <c r="C3179" s="23" t="e">
        <f ca="1">[1]!BexGetData("DP_1","003N8EMH8GTFRCSWKMPXRR8GU","GSON5114141011")</f>
        <v>#NAME?</v>
      </c>
      <c r="D3179" s="23" t="e">
        <f ca="1">[1]!BexGetData("DP_1","003N8EMH8GTFRCSWKMPXRRESE","GSON5114141011")</f>
        <v>#NAME?</v>
      </c>
      <c r="E3179" s="23" t="e">
        <f ca="1">[1]!BexGetData("DP_1","003N8EMH8GTFRCSWKMPXRRL3Y","GSON5114141011")</f>
        <v>#NAME?</v>
      </c>
      <c r="F3179" s="24" t="e">
        <f ca="1">[1]!BexGetData("DP_1","003N8EMH8GTFRCSWKMPXRRRFI","GSON5114141011")</f>
        <v>#NAME?</v>
      </c>
      <c r="G3179" s="24" t="e">
        <f ca="1">[1]!BexGetData("DP_1","003N8EMH8GTFRCSWKMPXRRXR2","GSON5114141011")</f>
        <v>#NAME?</v>
      </c>
      <c r="H3179" s="24" t="e">
        <f ca="1">[1]!BexGetData("DP_1","003N8EMH8GTFRCSWKMPXRS42M","GSON5114141011")</f>
        <v>#NAME?</v>
      </c>
      <c r="I3179" s="24" t="e">
        <f ca="1">[1]!BexGetData("DP_1","003N8EMH8GTFRCSWKMPXRSAE6","GSON5114141011")</f>
        <v>#NAME?</v>
      </c>
      <c r="J3179" s="24" t="e">
        <f ca="1">[1]!BexGetData("DP_1","003N8EMH8GTFRCSWKMPXRSGPQ","GSON5114141011")</f>
        <v>#NAME?</v>
      </c>
      <c r="K3179" s="23" t="e">
        <f ca="1">[1]!BexGetData("DP_1","003N8EMH8GTFRIVNUPY288VJH","GSON5114141011")</f>
        <v>#NAME?</v>
      </c>
      <c r="L3179" s="23" t="e">
        <f ca="1">[1]!BexGetData("DP_1","003N8EMH8GTFRIVNUPY2891V1","GSON5114141011")</f>
        <v>#NAME?</v>
      </c>
      <c r="M3179" s="28" t="e">
        <f ca="1">[1]!BexGetData("DP_1","003N8EMH8GTFRIVOG7KG9IQXA","GSON5114141011")</f>
        <v>#NAME?</v>
      </c>
      <c r="N3179" s="23" t="e">
        <f ca="1">[1]!BexGetData("DP_1","003N8EMH8GTFRIVOG7KG9IX8U","GSON5114141011")</f>
        <v>#NAME?</v>
      </c>
      <c r="O3179" s="28" t="e">
        <f ca="1">[1]!BexGetData("DP_1","003N8EMH8GTFRIVOG7KG9J3KE","GSON5114141011")</f>
        <v>#NAME?</v>
      </c>
      <c r="P3179" s="23" t="e">
        <f ca="1">[1]!BexGetData("DP_1","003N8EMH8GTFRIVOG7KG9J9VY","GSON5114141011")</f>
        <v>#NAME?</v>
      </c>
      <c r="Q3179" s="24" t="e">
        <f ca="1">[1]!BexGetData("DP_1","00O2TNJGODT0G5Z4TTKYMM5MT","GSON5114141011")</f>
        <v>#NAME?</v>
      </c>
      <c r="R3179" s="24" t="e">
        <f ca="1">[1]!BexGetData("DP_1","00O2TNJGODT0G5Z4TTKYMMBYD","GSON5114141011")</f>
        <v>#NAME?</v>
      </c>
      <c r="S3179" s="24" t="e">
        <f ca="1">[1]!BexGetData("DP_1","00O2TNJGODT0G5Z4TTKYMMI9X","GSON5114141011")</f>
        <v>#NAME?</v>
      </c>
      <c r="T3179" s="24" t="e">
        <f ca="1">[1]!BexGetData("DP_1","00O2TNJGODT0G5Z4TTKYMMOLH","GSON5114141011")</f>
        <v>#NAME?</v>
      </c>
      <c r="U3179" s="24" t="e">
        <f ca="1">[1]!BexGetData("DP_1","00O2TNJGODT0G5Z4TTKYMMUX1","GSON5114141011")</f>
        <v>#NAME?</v>
      </c>
      <c r="V3179" s="24" t="e">
        <f ca="1">[1]!BexGetData("DP_1","00O2TNJGODT0G5Z4TTKYMN18L","GSON5114141011")</f>
        <v>#NAME?</v>
      </c>
      <c r="W3179" s="24" t="e">
        <f ca="1">[1]!BexGetData("DP_1","00O2TNJGODT0G5Z4TTKYMN7K5","GSON5114141011")</f>
        <v>#NAME?</v>
      </c>
    </row>
    <row r="3180" spans="1:23" x14ac:dyDescent="0.2">
      <c r="A3180" s="36" t="s">
        <v>6554</v>
      </c>
      <c r="B3180" s="27" t="s">
        <v>1557</v>
      </c>
      <c r="C3180" s="23" t="e">
        <f ca="1">[1]!BexGetData("DP_1","003N8EMH8GTFRCSWKMPXRR8GU","GSON5114141021")</f>
        <v>#NAME?</v>
      </c>
      <c r="D3180" s="23" t="e">
        <f ca="1">[1]!BexGetData("DP_1","003N8EMH8GTFRCSWKMPXRRESE","GSON5114141021")</f>
        <v>#NAME?</v>
      </c>
      <c r="E3180" s="23" t="e">
        <f ca="1">[1]!BexGetData("DP_1","003N8EMH8GTFRCSWKMPXRRL3Y","GSON5114141021")</f>
        <v>#NAME?</v>
      </c>
      <c r="F3180" s="23" t="e">
        <f ca="1">[1]!BexGetData("DP_1","003N8EMH8GTFRCSWKMPXRRRFI","GSON5114141021")</f>
        <v>#NAME?</v>
      </c>
      <c r="G3180" s="23" t="e">
        <f ca="1">[1]!BexGetData("DP_1","003N8EMH8GTFRCSWKMPXRRXR2","GSON5114141021")</f>
        <v>#NAME?</v>
      </c>
      <c r="H3180" s="23" t="e">
        <f ca="1">[1]!BexGetData("DP_1","003N8EMH8GTFRCSWKMPXRS42M","GSON5114141021")</f>
        <v>#NAME?</v>
      </c>
      <c r="I3180" s="23" t="e">
        <f ca="1">[1]!BexGetData("DP_1","003N8EMH8GTFRCSWKMPXRSAE6","GSON5114141021")</f>
        <v>#NAME?</v>
      </c>
      <c r="J3180" s="24" t="e">
        <f ca="1">[1]!BexGetData("DP_1","003N8EMH8GTFRCSWKMPXRSGPQ","GSON5114141021")</f>
        <v>#NAME?</v>
      </c>
      <c r="K3180" s="23" t="e">
        <f ca="1">[1]!BexGetData("DP_1","003N8EMH8GTFRIVNUPY288VJH","GSON5114141021")</f>
        <v>#NAME?</v>
      </c>
      <c r="L3180" s="23" t="e">
        <f ca="1">[1]!BexGetData("DP_1","003N8EMH8GTFRIVNUPY2891V1","GSON5114141021")</f>
        <v>#NAME?</v>
      </c>
      <c r="M3180" s="28" t="e">
        <f ca="1">[1]!BexGetData("DP_1","003N8EMH8GTFRIVOG7KG9IQXA","GSON5114141021")</f>
        <v>#NAME?</v>
      </c>
      <c r="N3180" s="23" t="e">
        <f ca="1">[1]!BexGetData("DP_1","003N8EMH8GTFRIVOG7KG9IX8U","GSON5114141021")</f>
        <v>#NAME?</v>
      </c>
      <c r="O3180" s="28" t="e">
        <f ca="1">[1]!BexGetData("DP_1","003N8EMH8GTFRIVOG7KG9J3KE","GSON5114141021")</f>
        <v>#NAME?</v>
      </c>
      <c r="P3180" s="23" t="e">
        <f ca="1">[1]!BexGetData("DP_1","003N8EMH8GTFRIVOG7KG9J9VY","GSON5114141021")</f>
        <v>#NAME?</v>
      </c>
      <c r="Q3180" s="24" t="e">
        <f ca="1">[1]!BexGetData("DP_1","00O2TNJGODT0G5Z4TTKYMM5MT","GSON5114141021")</f>
        <v>#NAME?</v>
      </c>
      <c r="R3180" s="23" t="e">
        <f ca="1">[1]!BexGetData("DP_1","00O2TNJGODT0G5Z4TTKYMMBYD","GSON5114141021")</f>
        <v>#NAME?</v>
      </c>
      <c r="S3180" s="23" t="e">
        <f ca="1">[1]!BexGetData("DP_1","00O2TNJGODT0G5Z4TTKYMMI9X","GSON5114141021")</f>
        <v>#NAME?</v>
      </c>
      <c r="T3180" s="28" t="e">
        <f ca="1">[1]!BexGetData("DP_1","00O2TNJGODT0G5Z4TTKYMMOLH","GSON5114141021")</f>
        <v>#NAME?</v>
      </c>
      <c r="U3180" s="23" t="e">
        <f ca="1">[1]!BexGetData("DP_1","00O2TNJGODT0G5Z4TTKYMMUX1","GSON5114141021")</f>
        <v>#NAME?</v>
      </c>
      <c r="V3180" s="28" t="e">
        <f ca="1">[1]!BexGetData("DP_1","00O2TNJGODT0G5Z4TTKYMN18L","GSON5114141021")</f>
        <v>#NAME?</v>
      </c>
      <c r="W3180" s="23" t="e">
        <f ca="1">[1]!BexGetData("DP_1","00O2TNJGODT0G5Z4TTKYMN7K5","GSON5114141021")</f>
        <v>#NAME?</v>
      </c>
    </row>
    <row r="3181" spans="1:23" x14ac:dyDescent="0.2">
      <c r="A3181" s="36" t="s">
        <v>6555</v>
      </c>
      <c r="B3181" s="27" t="s">
        <v>1558</v>
      </c>
      <c r="C3181" s="23" t="e">
        <f ca="1">[1]!BexGetData("DP_1","003N8EMH8GTFRCSWKMPXRR8GU","GSON5114141031")</f>
        <v>#NAME?</v>
      </c>
      <c r="D3181" s="23" t="e">
        <f ca="1">[1]!BexGetData("DP_1","003N8EMH8GTFRCSWKMPXRRESE","GSON5114141031")</f>
        <v>#NAME?</v>
      </c>
      <c r="E3181" s="23" t="e">
        <f ca="1">[1]!BexGetData("DP_1","003N8EMH8GTFRCSWKMPXRRL3Y","GSON5114141031")</f>
        <v>#NAME?</v>
      </c>
      <c r="F3181" s="23" t="e">
        <f ca="1">[1]!BexGetData("DP_1","003N8EMH8GTFRCSWKMPXRRRFI","GSON5114141031")</f>
        <v>#NAME?</v>
      </c>
      <c r="G3181" s="23" t="e">
        <f ca="1">[1]!BexGetData("DP_1","003N8EMH8GTFRCSWKMPXRRXR2","GSON5114141031")</f>
        <v>#NAME?</v>
      </c>
      <c r="H3181" s="23" t="e">
        <f ca="1">[1]!BexGetData("DP_1","003N8EMH8GTFRCSWKMPXRS42M","GSON5114141031")</f>
        <v>#NAME?</v>
      </c>
      <c r="I3181" s="23" t="e">
        <f ca="1">[1]!BexGetData("DP_1","003N8EMH8GTFRCSWKMPXRSAE6","GSON5114141031")</f>
        <v>#NAME?</v>
      </c>
      <c r="J3181" s="24" t="e">
        <f ca="1">[1]!BexGetData("DP_1","003N8EMH8GTFRCSWKMPXRSGPQ","GSON5114141031")</f>
        <v>#NAME?</v>
      </c>
      <c r="K3181" s="23" t="e">
        <f ca="1">[1]!BexGetData("DP_1","003N8EMH8GTFRIVNUPY288VJH","GSON5114141031")</f>
        <v>#NAME?</v>
      </c>
      <c r="L3181" s="23" t="e">
        <f ca="1">[1]!BexGetData("DP_1","003N8EMH8GTFRIVNUPY2891V1","GSON5114141031")</f>
        <v>#NAME?</v>
      </c>
      <c r="M3181" s="28" t="e">
        <f ca="1">[1]!BexGetData("DP_1","003N8EMH8GTFRIVOG7KG9IQXA","GSON5114141031")</f>
        <v>#NAME?</v>
      </c>
      <c r="N3181" s="23" t="e">
        <f ca="1">[1]!BexGetData("DP_1","003N8EMH8GTFRIVOG7KG9IX8U","GSON5114141031")</f>
        <v>#NAME?</v>
      </c>
      <c r="O3181" s="28" t="e">
        <f ca="1">[1]!BexGetData("DP_1","003N8EMH8GTFRIVOG7KG9J3KE","GSON5114141031")</f>
        <v>#NAME?</v>
      </c>
      <c r="P3181" s="23" t="e">
        <f ca="1">[1]!BexGetData("DP_1","003N8EMH8GTFRIVOG7KG9J9VY","GSON5114141031")</f>
        <v>#NAME?</v>
      </c>
      <c r="Q3181" s="24" t="e">
        <f ca="1">[1]!BexGetData("DP_1","00O2TNJGODT0G5Z4TTKYMM5MT","GSON5114141031")</f>
        <v>#NAME?</v>
      </c>
      <c r="R3181" s="23" t="e">
        <f ca="1">[1]!BexGetData("DP_1","00O2TNJGODT0G5Z4TTKYMMBYD","GSON5114141031")</f>
        <v>#NAME?</v>
      </c>
      <c r="S3181" s="23" t="e">
        <f ca="1">[1]!BexGetData("DP_1","00O2TNJGODT0G5Z4TTKYMMI9X","GSON5114141031")</f>
        <v>#NAME?</v>
      </c>
      <c r="T3181" s="28" t="e">
        <f ca="1">[1]!BexGetData("DP_1","00O2TNJGODT0G5Z4TTKYMMOLH","GSON5114141031")</f>
        <v>#NAME?</v>
      </c>
      <c r="U3181" s="23" t="e">
        <f ca="1">[1]!BexGetData("DP_1","00O2TNJGODT0G5Z4TTKYMMUX1","GSON5114141031")</f>
        <v>#NAME?</v>
      </c>
      <c r="V3181" s="28" t="e">
        <f ca="1">[1]!BexGetData("DP_1","00O2TNJGODT0G5Z4TTKYMN18L","GSON5114141031")</f>
        <v>#NAME?</v>
      </c>
      <c r="W3181" s="23" t="e">
        <f ca="1">[1]!BexGetData("DP_1","00O2TNJGODT0G5Z4TTKYMN7K5","GSON5114141031")</f>
        <v>#NAME?</v>
      </c>
    </row>
    <row r="3182" spans="1:23" x14ac:dyDescent="0.2">
      <c r="A3182" s="36" t="s">
        <v>6556</v>
      </c>
      <c r="B3182" s="27" t="s">
        <v>1559</v>
      </c>
      <c r="C3182" s="23" t="e">
        <f ca="1">[1]!BexGetData("DP_1","003N8EMH8GTFRCSWKMPXRR8GU","GSON5114141041")</f>
        <v>#NAME?</v>
      </c>
      <c r="D3182" s="23" t="e">
        <f ca="1">[1]!BexGetData("DP_1","003N8EMH8GTFRCSWKMPXRRESE","GSON5114141041")</f>
        <v>#NAME?</v>
      </c>
      <c r="E3182" s="23" t="e">
        <f ca="1">[1]!BexGetData("DP_1","003N8EMH8GTFRCSWKMPXRRL3Y","GSON5114141041")</f>
        <v>#NAME?</v>
      </c>
      <c r="F3182" s="23" t="e">
        <f ca="1">[1]!BexGetData("DP_1","003N8EMH8GTFRCSWKMPXRRRFI","GSON5114141041")</f>
        <v>#NAME?</v>
      </c>
      <c r="G3182" s="23" t="e">
        <f ca="1">[1]!BexGetData("DP_1","003N8EMH8GTFRCSWKMPXRRXR2","GSON5114141041")</f>
        <v>#NAME?</v>
      </c>
      <c r="H3182" s="23" t="e">
        <f ca="1">[1]!BexGetData("DP_1","003N8EMH8GTFRCSWKMPXRS42M","GSON5114141041")</f>
        <v>#NAME?</v>
      </c>
      <c r="I3182" s="23" t="e">
        <f ca="1">[1]!BexGetData("DP_1","003N8EMH8GTFRCSWKMPXRSAE6","GSON5114141041")</f>
        <v>#NAME?</v>
      </c>
      <c r="J3182" s="24" t="e">
        <f ca="1">[1]!BexGetData("DP_1","003N8EMH8GTFRCSWKMPXRSGPQ","GSON5114141041")</f>
        <v>#NAME?</v>
      </c>
      <c r="K3182" s="23" t="e">
        <f ca="1">[1]!BexGetData("DP_1","003N8EMH8GTFRIVNUPY288VJH","GSON5114141041")</f>
        <v>#NAME?</v>
      </c>
      <c r="L3182" s="23" t="e">
        <f ca="1">[1]!BexGetData("DP_1","003N8EMH8GTFRIVNUPY2891V1","GSON5114141041")</f>
        <v>#NAME?</v>
      </c>
      <c r="M3182" s="28" t="e">
        <f ca="1">[1]!BexGetData("DP_1","003N8EMH8GTFRIVOG7KG9IQXA","GSON5114141041")</f>
        <v>#NAME?</v>
      </c>
      <c r="N3182" s="23" t="e">
        <f ca="1">[1]!BexGetData("DP_1","003N8EMH8GTFRIVOG7KG9IX8U","GSON5114141041")</f>
        <v>#NAME?</v>
      </c>
      <c r="O3182" s="28" t="e">
        <f ca="1">[1]!BexGetData("DP_1","003N8EMH8GTFRIVOG7KG9J3KE","GSON5114141041")</f>
        <v>#NAME?</v>
      </c>
      <c r="P3182" s="23" t="e">
        <f ca="1">[1]!BexGetData("DP_1","003N8EMH8GTFRIVOG7KG9J9VY","GSON5114141041")</f>
        <v>#NAME?</v>
      </c>
      <c r="Q3182" s="24" t="e">
        <f ca="1">[1]!BexGetData("DP_1","00O2TNJGODT0G5Z4TTKYMM5MT","GSON5114141041")</f>
        <v>#NAME?</v>
      </c>
      <c r="R3182" s="23" t="e">
        <f ca="1">[1]!BexGetData("DP_1","00O2TNJGODT0G5Z4TTKYMMBYD","GSON5114141041")</f>
        <v>#NAME?</v>
      </c>
      <c r="S3182" s="23" t="e">
        <f ca="1">[1]!BexGetData("DP_1","00O2TNJGODT0G5Z4TTKYMMI9X","GSON5114141041")</f>
        <v>#NAME?</v>
      </c>
      <c r="T3182" s="28" t="e">
        <f ca="1">[1]!BexGetData("DP_1","00O2TNJGODT0G5Z4TTKYMMOLH","GSON5114141041")</f>
        <v>#NAME?</v>
      </c>
      <c r="U3182" s="23" t="e">
        <f ca="1">[1]!BexGetData("DP_1","00O2TNJGODT0G5Z4TTKYMMUX1","GSON5114141041")</f>
        <v>#NAME?</v>
      </c>
      <c r="V3182" s="28" t="e">
        <f ca="1">[1]!BexGetData("DP_1","00O2TNJGODT0G5Z4TTKYMN18L","GSON5114141041")</f>
        <v>#NAME?</v>
      </c>
      <c r="W3182" s="23" t="e">
        <f ca="1">[1]!BexGetData("DP_1","00O2TNJGODT0G5Z4TTKYMN7K5","GSON5114141041")</f>
        <v>#NAME?</v>
      </c>
    </row>
    <row r="3183" spans="1:23" x14ac:dyDescent="0.2">
      <c r="A3183" s="36" t="s">
        <v>6557</v>
      </c>
      <c r="B3183" s="27" t="s">
        <v>1631</v>
      </c>
      <c r="C3183" s="23" t="e">
        <f ca="1">[1]!BexGetData("DP_1","003N8EMH8GTFRCSWKMPXRR8GU","GSON5114141051")</f>
        <v>#NAME?</v>
      </c>
      <c r="D3183" s="23" t="e">
        <f ca="1">[1]!BexGetData("DP_1","003N8EMH8GTFRCSWKMPXRRESE","GSON5114141051")</f>
        <v>#NAME?</v>
      </c>
      <c r="E3183" s="23" t="e">
        <f ca="1">[1]!BexGetData("DP_1","003N8EMH8GTFRCSWKMPXRRL3Y","GSON5114141051")</f>
        <v>#NAME?</v>
      </c>
      <c r="F3183" s="24" t="e">
        <f ca="1">[1]!BexGetData("DP_1","003N8EMH8GTFRCSWKMPXRRRFI","GSON5114141051")</f>
        <v>#NAME?</v>
      </c>
      <c r="G3183" s="24" t="e">
        <f ca="1">[1]!BexGetData("DP_1","003N8EMH8GTFRCSWKMPXRRXR2","GSON5114141051")</f>
        <v>#NAME?</v>
      </c>
      <c r="H3183" s="24" t="e">
        <f ca="1">[1]!BexGetData("DP_1","003N8EMH8GTFRCSWKMPXRS42M","GSON5114141051")</f>
        <v>#NAME?</v>
      </c>
      <c r="I3183" s="24" t="e">
        <f ca="1">[1]!BexGetData("DP_1","003N8EMH8GTFRCSWKMPXRSAE6","GSON5114141051")</f>
        <v>#NAME?</v>
      </c>
      <c r="J3183" s="24" t="e">
        <f ca="1">[1]!BexGetData("DP_1","003N8EMH8GTFRCSWKMPXRSGPQ","GSON5114141051")</f>
        <v>#NAME?</v>
      </c>
      <c r="K3183" s="23" t="e">
        <f ca="1">[1]!BexGetData("DP_1","003N8EMH8GTFRIVNUPY288VJH","GSON5114141051")</f>
        <v>#NAME?</v>
      </c>
      <c r="L3183" s="23" t="e">
        <f ca="1">[1]!BexGetData("DP_1","003N8EMH8GTFRIVNUPY2891V1","GSON5114141051")</f>
        <v>#NAME?</v>
      </c>
      <c r="M3183" s="28" t="e">
        <f ca="1">[1]!BexGetData("DP_1","003N8EMH8GTFRIVOG7KG9IQXA","GSON5114141051")</f>
        <v>#NAME?</v>
      </c>
      <c r="N3183" s="23" t="e">
        <f ca="1">[1]!BexGetData("DP_1","003N8EMH8GTFRIVOG7KG9IX8U","GSON5114141051")</f>
        <v>#NAME?</v>
      </c>
      <c r="O3183" s="28" t="e">
        <f ca="1">[1]!BexGetData("DP_1","003N8EMH8GTFRIVOG7KG9J3KE","GSON5114141051")</f>
        <v>#NAME?</v>
      </c>
      <c r="P3183" s="23" t="e">
        <f ca="1">[1]!BexGetData("DP_1","003N8EMH8GTFRIVOG7KG9J9VY","GSON5114141051")</f>
        <v>#NAME?</v>
      </c>
      <c r="Q3183" s="24" t="e">
        <f ca="1">[1]!BexGetData("DP_1","00O2TNJGODT0G5Z4TTKYMM5MT","GSON5114141051")</f>
        <v>#NAME?</v>
      </c>
      <c r="R3183" s="24" t="e">
        <f ca="1">[1]!BexGetData("DP_1","00O2TNJGODT0G5Z4TTKYMMBYD","GSON5114141051")</f>
        <v>#NAME?</v>
      </c>
      <c r="S3183" s="24" t="e">
        <f ca="1">[1]!BexGetData("DP_1","00O2TNJGODT0G5Z4TTKYMMI9X","GSON5114141051")</f>
        <v>#NAME?</v>
      </c>
      <c r="T3183" s="24" t="e">
        <f ca="1">[1]!BexGetData("DP_1","00O2TNJGODT0G5Z4TTKYMMOLH","GSON5114141051")</f>
        <v>#NAME?</v>
      </c>
      <c r="U3183" s="24" t="e">
        <f ca="1">[1]!BexGetData("DP_1","00O2TNJGODT0G5Z4TTKYMMUX1","GSON5114141051")</f>
        <v>#NAME?</v>
      </c>
      <c r="V3183" s="24" t="e">
        <f ca="1">[1]!BexGetData("DP_1","00O2TNJGODT0G5Z4TTKYMN18L","GSON5114141051")</f>
        <v>#NAME?</v>
      </c>
      <c r="W3183" s="24" t="e">
        <f ca="1">[1]!BexGetData("DP_1","00O2TNJGODT0G5Z4TTKYMN7K5","GSON5114141051")</f>
        <v>#NAME?</v>
      </c>
    </row>
    <row r="3184" spans="1:23" x14ac:dyDescent="0.2">
      <c r="A3184" s="36" t="s">
        <v>6558</v>
      </c>
      <c r="B3184" s="27" t="s">
        <v>1560</v>
      </c>
      <c r="C3184" s="23" t="e">
        <f ca="1">[1]!BexGetData("DP_1","003N8EMH8GTFRCSWKMPXRR8GU","GSON5114141061")</f>
        <v>#NAME?</v>
      </c>
      <c r="D3184" s="23" t="e">
        <f ca="1">[1]!BexGetData("DP_1","003N8EMH8GTFRCSWKMPXRRESE","GSON5114141061")</f>
        <v>#NAME?</v>
      </c>
      <c r="E3184" s="23" t="e">
        <f ca="1">[1]!BexGetData("DP_1","003N8EMH8GTFRCSWKMPXRRL3Y","GSON5114141061")</f>
        <v>#NAME?</v>
      </c>
      <c r="F3184" s="23" t="e">
        <f ca="1">[1]!BexGetData("DP_1","003N8EMH8GTFRCSWKMPXRRRFI","GSON5114141061")</f>
        <v>#NAME?</v>
      </c>
      <c r="G3184" s="23" t="e">
        <f ca="1">[1]!BexGetData("DP_1","003N8EMH8GTFRCSWKMPXRRXR2","GSON5114141061")</f>
        <v>#NAME?</v>
      </c>
      <c r="H3184" s="23" t="e">
        <f ca="1">[1]!BexGetData("DP_1","003N8EMH8GTFRCSWKMPXRS42M","GSON5114141061")</f>
        <v>#NAME?</v>
      </c>
      <c r="I3184" s="23" t="e">
        <f ca="1">[1]!BexGetData("DP_1","003N8EMH8GTFRCSWKMPXRSAE6","GSON5114141061")</f>
        <v>#NAME?</v>
      </c>
      <c r="J3184" s="24" t="e">
        <f ca="1">[1]!BexGetData("DP_1","003N8EMH8GTFRCSWKMPXRSGPQ","GSON5114141061")</f>
        <v>#NAME?</v>
      </c>
      <c r="K3184" s="23" t="e">
        <f ca="1">[1]!BexGetData("DP_1","003N8EMH8GTFRIVNUPY288VJH","GSON5114141061")</f>
        <v>#NAME?</v>
      </c>
      <c r="L3184" s="23" t="e">
        <f ca="1">[1]!BexGetData("DP_1","003N8EMH8GTFRIVNUPY2891V1","GSON5114141061")</f>
        <v>#NAME?</v>
      </c>
      <c r="M3184" s="28" t="e">
        <f ca="1">[1]!BexGetData("DP_1","003N8EMH8GTFRIVOG7KG9IQXA","GSON5114141061")</f>
        <v>#NAME?</v>
      </c>
      <c r="N3184" s="23" t="e">
        <f ca="1">[1]!BexGetData("DP_1","003N8EMH8GTFRIVOG7KG9IX8U","GSON5114141061")</f>
        <v>#NAME?</v>
      </c>
      <c r="O3184" s="28" t="e">
        <f ca="1">[1]!BexGetData("DP_1","003N8EMH8GTFRIVOG7KG9J3KE","GSON5114141061")</f>
        <v>#NAME?</v>
      </c>
      <c r="P3184" s="23" t="e">
        <f ca="1">[1]!BexGetData("DP_1","003N8EMH8GTFRIVOG7KG9J9VY","GSON5114141061")</f>
        <v>#NAME?</v>
      </c>
      <c r="Q3184" s="24" t="e">
        <f ca="1">[1]!BexGetData("DP_1","00O2TNJGODT0G5Z4TTKYMM5MT","GSON5114141061")</f>
        <v>#NAME?</v>
      </c>
      <c r="R3184" s="23" t="e">
        <f ca="1">[1]!BexGetData("DP_1","00O2TNJGODT0G5Z4TTKYMMBYD","GSON5114141061")</f>
        <v>#NAME?</v>
      </c>
      <c r="S3184" s="23" t="e">
        <f ca="1">[1]!BexGetData("DP_1","00O2TNJGODT0G5Z4TTKYMMI9X","GSON5114141061")</f>
        <v>#NAME?</v>
      </c>
      <c r="T3184" s="28" t="e">
        <f ca="1">[1]!BexGetData("DP_1","00O2TNJGODT0G5Z4TTKYMMOLH","GSON5114141061")</f>
        <v>#NAME?</v>
      </c>
      <c r="U3184" s="23" t="e">
        <f ca="1">[1]!BexGetData("DP_1","00O2TNJGODT0G5Z4TTKYMMUX1","GSON5114141061")</f>
        <v>#NAME?</v>
      </c>
      <c r="V3184" s="28" t="e">
        <f ca="1">[1]!BexGetData("DP_1","00O2TNJGODT0G5Z4TTKYMN18L","GSON5114141061")</f>
        <v>#NAME?</v>
      </c>
      <c r="W3184" s="23" t="e">
        <f ca="1">[1]!BexGetData("DP_1","00O2TNJGODT0G5Z4TTKYMN7K5","GSON5114141061")</f>
        <v>#NAME?</v>
      </c>
    </row>
    <row r="3185" spans="1:23" x14ac:dyDescent="0.2">
      <c r="A3185" s="36" t="s">
        <v>6559</v>
      </c>
      <c r="B3185" s="27" t="s">
        <v>1561</v>
      </c>
      <c r="C3185" s="23" t="e">
        <f ca="1">[1]!BexGetData("DP_1","003N8EMH8GTFRCSWKMPXRR8GU","GSON5114141071")</f>
        <v>#NAME?</v>
      </c>
      <c r="D3185" s="23" t="e">
        <f ca="1">[1]!BexGetData("DP_1","003N8EMH8GTFRCSWKMPXRRESE","GSON5114141071")</f>
        <v>#NAME?</v>
      </c>
      <c r="E3185" s="23" t="e">
        <f ca="1">[1]!BexGetData("DP_1","003N8EMH8GTFRCSWKMPXRRL3Y","GSON5114141071")</f>
        <v>#NAME?</v>
      </c>
      <c r="F3185" s="23" t="e">
        <f ca="1">[1]!BexGetData("DP_1","003N8EMH8GTFRCSWKMPXRRRFI","GSON5114141071")</f>
        <v>#NAME?</v>
      </c>
      <c r="G3185" s="23" t="e">
        <f ca="1">[1]!BexGetData("DP_1","003N8EMH8GTFRCSWKMPXRRXR2","GSON5114141071")</f>
        <v>#NAME?</v>
      </c>
      <c r="H3185" s="23" t="e">
        <f ca="1">[1]!BexGetData("DP_1","003N8EMH8GTFRCSWKMPXRS42M","GSON5114141071")</f>
        <v>#NAME?</v>
      </c>
      <c r="I3185" s="23" t="e">
        <f ca="1">[1]!BexGetData("DP_1","003N8EMH8GTFRCSWKMPXRSAE6","GSON5114141071")</f>
        <v>#NAME?</v>
      </c>
      <c r="J3185" s="24" t="e">
        <f ca="1">[1]!BexGetData("DP_1","003N8EMH8GTFRCSWKMPXRSGPQ","GSON5114141071")</f>
        <v>#NAME?</v>
      </c>
      <c r="K3185" s="23" t="e">
        <f ca="1">[1]!BexGetData("DP_1","003N8EMH8GTFRIVNUPY288VJH","GSON5114141071")</f>
        <v>#NAME?</v>
      </c>
      <c r="L3185" s="23" t="e">
        <f ca="1">[1]!BexGetData("DP_1","003N8EMH8GTFRIVNUPY2891V1","GSON5114141071")</f>
        <v>#NAME?</v>
      </c>
      <c r="M3185" s="28" t="e">
        <f ca="1">[1]!BexGetData("DP_1","003N8EMH8GTFRIVOG7KG9IQXA","GSON5114141071")</f>
        <v>#NAME?</v>
      </c>
      <c r="N3185" s="23" t="e">
        <f ca="1">[1]!BexGetData("DP_1","003N8EMH8GTFRIVOG7KG9IX8U","GSON5114141071")</f>
        <v>#NAME?</v>
      </c>
      <c r="O3185" s="28" t="e">
        <f ca="1">[1]!BexGetData("DP_1","003N8EMH8GTFRIVOG7KG9J3KE","GSON5114141071")</f>
        <v>#NAME?</v>
      </c>
      <c r="P3185" s="23" t="e">
        <f ca="1">[1]!BexGetData("DP_1","003N8EMH8GTFRIVOG7KG9J9VY","GSON5114141071")</f>
        <v>#NAME?</v>
      </c>
      <c r="Q3185" s="24" t="e">
        <f ca="1">[1]!BexGetData("DP_1","00O2TNJGODT0G5Z4TTKYMM5MT","GSON5114141071")</f>
        <v>#NAME?</v>
      </c>
      <c r="R3185" s="23" t="e">
        <f ca="1">[1]!BexGetData("DP_1","00O2TNJGODT0G5Z4TTKYMMBYD","GSON5114141071")</f>
        <v>#NAME?</v>
      </c>
      <c r="S3185" s="23" t="e">
        <f ca="1">[1]!BexGetData("DP_1","00O2TNJGODT0G5Z4TTKYMMI9X","GSON5114141071")</f>
        <v>#NAME?</v>
      </c>
      <c r="T3185" s="28" t="e">
        <f ca="1">[1]!BexGetData("DP_1","00O2TNJGODT0G5Z4TTKYMMOLH","GSON5114141071")</f>
        <v>#NAME?</v>
      </c>
      <c r="U3185" s="23" t="e">
        <f ca="1">[1]!BexGetData("DP_1","00O2TNJGODT0G5Z4TTKYMMUX1","GSON5114141071")</f>
        <v>#NAME?</v>
      </c>
      <c r="V3185" s="28" t="e">
        <f ca="1">[1]!BexGetData("DP_1","00O2TNJGODT0G5Z4TTKYMN18L","GSON5114141071")</f>
        <v>#NAME?</v>
      </c>
      <c r="W3185" s="23" t="e">
        <f ca="1">[1]!BexGetData("DP_1","00O2TNJGODT0G5Z4TTKYMN7K5","GSON5114141071")</f>
        <v>#NAME?</v>
      </c>
    </row>
    <row r="3186" spans="1:23" x14ac:dyDescent="0.2">
      <c r="A3186" s="36" t="s">
        <v>6560</v>
      </c>
      <c r="B3186" s="27" t="s">
        <v>1562</v>
      </c>
      <c r="C3186" s="23" t="e">
        <f ca="1">[1]!BexGetData("DP_1","003N8EMH8GTFRCSWKMPXRR8GU","GSON5114141081")</f>
        <v>#NAME?</v>
      </c>
      <c r="D3186" s="23" t="e">
        <f ca="1">[1]!BexGetData("DP_1","003N8EMH8GTFRCSWKMPXRRESE","GSON5114141081")</f>
        <v>#NAME?</v>
      </c>
      <c r="E3186" s="23" t="e">
        <f ca="1">[1]!BexGetData("DP_1","003N8EMH8GTFRCSWKMPXRRL3Y","GSON5114141081")</f>
        <v>#NAME?</v>
      </c>
      <c r="F3186" s="23" t="e">
        <f ca="1">[1]!BexGetData("DP_1","003N8EMH8GTFRCSWKMPXRRRFI","GSON5114141081")</f>
        <v>#NAME?</v>
      </c>
      <c r="G3186" s="23" t="e">
        <f ca="1">[1]!BexGetData("DP_1","003N8EMH8GTFRCSWKMPXRRXR2","GSON5114141081")</f>
        <v>#NAME?</v>
      </c>
      <c r="H3186" s="23" t="e">
        <f ca="1">[1]!BexGetData("DP_1","003N8EMH8GTFRCSWKMPXRS42M","GSON5114141081")</f>
        <v>#NAME?</v>
      </c>
      <c r="I3186" s="23" t="e">
        <f ca="1">[1]!BexGetData("DP_1","003N8EMH8GTFRCSWKMPXRSAE6","GSON5114141081")</f>
        <v>#NAME?</v>
      </c>
      <c r="J3186" s="24" t="e">
        <f ca="1">[1]!BexGetData("DP_1","003N8EMH8GTFRCSWKMPXRSGPQ","GSON5114141081")</f>
        <v>#NAME?</v>
      </c>
      <c r="K3186" s="23" t="e">
        <f ca="1">[1]!BexGetData("DP_1","003N8EMH8GTFRIVNUPY288VJH","GSON5114141081")</f>
        <v>#NAME?</v>
      </c>
      <c r="L3186" s="23" t="e">
        <f ca="1">[1]!BexGetData("DP_1","003N8EMH8GTFRIVNUPY2891V1","GSON5114141081")</f>
        <v>#NAME?</v>
      </c>
      <c r="M3186" s="28" t="e">
        <f ca="1">[1]!BexGetData("DP_1","003N8EMH8GTFRIVOG7KG9IQXA","GSON5114141081")</f>
        <v>#NAME?</v>
      </c>
      <c r="N3186" s="23" t="e">
        <f ca="1">[1]!BexGetData("DP_1","003N8EMH8GTFRIVOG7KG9IX8U","GSON5114141081")</f>
        <v>#NAME?</v>
      </c>
      <c r="O3186" s="28" t="e">
        <f ca="1">[1]!BexGetData("DP_1","003N8EMH8GTFRIVOG7KG9J3KE","GSON5114141081")</f>
        <v>#NAME?</v>
      </c>
      <c r="P3186" s="23" t="e">
        <f ca="1">[1]!BexGetData("DP_1","003N8EMH8GTFRIVOG7KG9J9VY","GSON5114141081")</f>
        <v>#NAME?</v>
      </c>
      <c r="Q3186" s="24" t="e">
        <f ca="1">[1]!BexGetData("DP_1","00O2TNJGODT0G5Z4TTKYMM5MT","GSON5114141081")</f>
        <v>#NAME?</v>
      </c>
      <c r="R3186" s="23" t="e">
        <f ca="1">[1]!BexGetData("DP_1","00O2TNJGODT0G5Z4TTKYMMBYD","GSON5114141081")</f>
        <v>#NAME?</v>
      </c>
      <c r="S3186" s="23" t="e">
        <f ca="1">[1]!BexGetData("DP_1","00O2TNJGODT0G5Z4TTKYMMI9X","GSON5114141081")</f>
        <v>#NAME?</v>
      </c>
      <c r="T3186" s="28" t="e">
        <f ca="1">[1]!BexGetData("DP_1","00O2TNJGODT0G5Z4TTKYMMOLH","GSON5114141081")</f>
        <v>#NAME?</v>
      </c>
      <c r="U3186" s="23" t="e">
        <f ca="1">[1]!BexGetData("DP_1","00O2TNJGODT0G5Z4TTKYMMUX1","GSON5114141081")</f>
        <v>#NAME?</v>
      </c>
      <c r="V3186" s="28" t="e">
        <f ca="1">[1]!BexGetData("DP_1","00O2TNJGODT0G5Z4TTKYMN18L","GSON5114141081")</f>
        <v>#NAME?</v>
      </c>
      <c r="W3186" s="23" t="e">
        <f ca="1">[1]!BexGetData("DP_1","00O2TNJGODT0G5Z4TTKYMN7K5","GSON5114141081")</f>
        <v>#NAME?</v>
      </c>
    </row>
    <row r="3187" spans="1:23" x14ac:dyDescent="0.2">
      <c r="A3187" s="36" t="s">
        <v>6561</v>
      </c>
      <c r="B3187" s="27" t="s">
        <v>6562</v>
      </c>
      <c r="C3187" s="23" t="e">
        <f ca="1">[1]!BexGetData("DP_1","003N8EMH8GTFRCSWKMPXRR8GU","GSON5114141091")</f>
        <v>#NAME?</v>
      </c>
      <c r="D3187" s="23" t="e">
        <f ca="1">[1]!BexGetData("DP_1","003N8EMH8GTFRCSWKMPXRRESE","GSON5114141091")</f>
        <v>#NAME?</v>
      </c>
      <c r="E3187" s="23" t="e">
        <f ca="1">[1]!BexGetData("DP_1","003N8EMH8GTFRCSWKMPXRRL3Y","GSON5114141091")</f>
        <v>#NAME?</v>
      </c>
      <c r="F3187" s="23" t="e">
        <f ca="1">[1]!BexGetData("DP_1","003N8EMH8GTFRCSWKMPXRRRFI","GSON5114141091")</f>
        <v>#NAME?</v>
      </c>
      <c r="G3187" s="23" t="e">
        <f ca="1">[1]!BexGetData("DP_1","003N8EMH8GTFRCSWKMPXRRXR2","GSON5114141091")</f>
        <v>#NAME?</v>
      </c>
      <c r="H3187" s="23" t="e">
        <f ca="1">[1]!BexGetData("DP_1","003N8EMH8GTFRCSWKMPXRS42M","GSON5114141091")</f>
        <v>#NAME?</v>
      </c>
      <c r="I3187" s="23" t="e">
        <f ca="1">[1]!BexGetData("DP_1","003N8EMH8GTFRCSWKMPXRSAE6","GSON5114141091")</f>
        <v>#NAME?</v>
      </c>
      <c r="J3187" s="24" t="e">
        <f ca="1">[1]!BexGetData("DP_1","003N8EMH8GTFRCSWKMPXRSGPQ","GSON5114141091")</f>
        <v>#NAME?</v>
      </c>
      <c r="K3187" s="23" t="e">
        <f ca="1">[1]!BexGetData("DP_1","003N8EMH8GTFRIVNUPY288VJH","GSON5114141091")</f>
        <v>#NAME?</v>
      </c>
      <c r="L3187" s="23" t="e">
        <f ca="1">[1]!BexGetData("DP_1","003N8EMH8GTFRIVNUPY2891V1","GSON5114141091")</f>
        <v>#NAME?</v>
      </c>
      <c r="M3187" s="28" t="e">
        <f ca="1">[1]!BexGetData("DP_1","003N8EMH8GTFRIVOG7KG9IQXA","GSON5114141091")</f>
        <v>#NAME?</v>
      </c>
      <c r="N3187" s="23" t="e">
        <f ca="1">[1]!BexGetData("DP_1","003N8EMH8GTFRIVOG7KG9IX8U","GSON5114141091")</f>
        <v>#NAME?</v>
      </c>
      <c r="O3187" s="28" t="e">
        <f ca="1">[1]!BexGetData("DP_1","003N8EMH8GTFRIVOG7KG9J3KE","GSON5114141091")</f>
        <v>#NAME?</v>
      </c>
      <c r="P3187" s="23" t="e">
        <f ca="1">[1]!BexGetData("DP_1","003N8EMH8GTFRIVOG7KG9J9VY","GSON5114141091")</f>
        <v>#NAME?</v>
      </c>
      <c r="Q3187" s="24" t="e">
        <f ca="1">[1]!BexGetData("DP_1","00O2TNJGODT0G5Z4TTKYMM5MT","GSON5114141091")</f>
        <v>#NAME?</v>
      </c>
      <c r="R3187" s="23" t="e">
        <f ca="1">[1]!BexGetData("DP_1","00O2TNJGODT0G5Z4TTKYMMBYD","GSON5114141091")</f>
        <v>#NAME?</v>
      </c>
      <c r="S3187" s="23" t="e">
        <f ca="1">[1]!BexGetData("DP_1","00O2TNJGODT0G5Z4TTKYMMI9X","GSON5114141091")</f>
        <v>#NAME?</v>
      </c>
      <c r="T3187" s="28" t="e">
        <f ca="1">[1]!BexGetData("DP_1","00O2TNJGODT0G5Z4TTKYMMOLH","GSON5114141091")</f>
        <v>#NAME?</v>
      </c>
      <c r="U3187" s="23" t="e">
        <f ca="1">[1]!BexGetData("DP_1","00O2TNJGODT0G5Z4TTKYMMUX1","GSON5114141091")</f>
        <v>#NAME?</v>
      </c>
      <c r="V3187" s="28" t="e">
        <f ca="1">[1]!BexGetData("DP_1","00O2TNJGODT0G5Z4TTKYMN18L","GSON5114141091")</f>
        <v>#NAME?</v>
      </c>
      <c r="W3187" s="23" t="e">
        <f ca="1">[1]!BexGetData("DP_1","00O2TNJGODT0G5Z4TTKYMN7K5","GSON5114141091")</f>
        <v>#NAME?</v>
      </c>
    </row>
    <row r="3188" spans="1:23" x14ac:dyDescent="0.2">
      <c r="A3188" s="36" t="s">
        <v>6563</v>
      </c>
      <c r="B3188" s="27" t="s">
        <v>6564</v>
      </c>
      <c r="C3188" s="23" t="e">
        <f ca="1">[1]!BexGetData("DP_1","003N8EMH8GTFRCSWKMPXRR8GU","GSON5114141101")</f>
        <v>#NAME?</v>
      </c>
      <c r="D3188" s="23" t="e">
        <f ca="1">[1]!BexGetData("DP_1","003N8EMH8GTFRCSWKMPXRRESE","GSON5114141101")</f>
        <v>#NAME?</v>
      </c>
      <c r="E3188" s="23" t="e">
        <f ca="1">[1]!BexGetData("DP_1","003N8EMH8GTFRCSWKMPXRRL3Y","GSON5114141101")</f>
        <v>#NAME?</v>
      </c>
      <c r="F3188" s="23" t="e">
        <f ca="1">[1]!BexGetData("DP_1","003N8EMH8GTFRCSWKMPXRRRFI","GSON5114141101")</f>
        <v>#NAME?</v>
      </c>
      <c r="G3188" s="23" t="e">
        <f ca="1">[1]!BexGetData("DP_1","003N8EMH8GTFRCSWKMPXRRXR2","GSON5114141101")</f>
        <v>#NAME?</v>
      </c>
      <c r="H3188" s="23" t="e">
        <f ca="1">[1]!BexGetData("DP_1","003N8EMH8GTFRCSWKMPXRS42M","GSON5114141101")</f>
        <v>#NAME?</v>
      </c>
      <c r="I3188" s="23" t="e">
        <f ca="1">[1]!BexGetData("DP_1","003N8EMH8GTFRCSWKMPXRSAE6","GSON5114141101")</f>
        <v>#NAME?</v>
      </c>
      <c r="J3188" s="24" t="e">
        <f ca="1">[1]!BexGetData("DP_1","003N8EMH8GTFRCSWKMPXRSGPQ","GSON5114141101")</f>
        <v>#NAME?</v>
      </c>
      <c r="K3188" s="23" t="e">
        <f ca="1">[1]!BexGetData("DP_1","003N8EMH8GTFRIVNUPY288VJH","GSON5114141101")</f>
        <v>#NAME?</v>
      </c>
      <c r="L3188" s="23" t="e">
        <f ca="1">[1]!BexGetData("DP_1","003N8EMH8GTFRIVNUPY2891V1","GSON5114141101")</f>
        <v>#NAME?</v>
      </c>
      <c r="M3188" s="28" t="e">
        <f ca="1">[1]!BexGetData("DP_1","003N8EMH8GTFRIVOG7KG9IQXA","GSON5114141101")</f>
        <v>#NAME?</v>
      </c>
      <c r="N3188" s="23" t="e">
        <f ca="1">[1]!BexGetData("DP_1","003N8EMH8GTFRIVOG7KG9IX8U","GSON5114141101")</f>
        <v>#NAME?</v>
      </c>
      <c r="O3188" s="28" t="e">
        <f ca="1">[1]!BexGetData("DP_1","003N8EMH8GTFRIVOG7KG9J3KE","GSON5114141101")</f>
        <v>#NAME?</v>
      </c>
      <c r="P3188" s="23" t="e">
        <f ca="1">[1]!BexGetData("DP_1","003N8EMH8GTFRIVOG7KG9J9VY","GSON5114141101")</f>
        <v>#NAME?</v>
      </c>
      <c r="Q3188" s="24" t="e">
        <f ca="1">[1]!BexGetData("DP_1","00O2TNJGODT0G5Z4TTKYMM5MT","GSON5114141101")</f>
        <v>#NAME?</v>
      </c>
      <c r="R3188" s="23" t="e">
        <f ca="1">[1]!BexGetData("DP_1","00O2TNJGODT0G5Z4TTKYMMBYD","GSON5114141101")</f>
        <v>#NAME?</v>
      </c>
      <c r="S3188" s="23" t="e">
        <f ca="1">[1]!BexGetData("DP_1","00O2TNJGODT0G5Z4TTKYMMI9X","GSON5114141101")</f>
        <v>#NAME?</v>
      </c>
      <c r="T3188" s="28" t="e">
        <f ca="1">[1]!BexGetData("DP_1","00O2TNJGODT0G5Z4TTKYMMOLH","GSON5114141101")</f>
        <v>#NAME?</v>
      </c>
      <c r="U3188" s="23" t="e">
        <f ca="1">[1]!BexGetData("DP_1","00O2TNJGODT0G5Z4TTKYMMUX1","GSON5114141101")</f>
        <v>#NAME?</v>
      </c>
      <c r="V3188" s="28" t="e">
        <f ca="1">[1]!BexGetData("DP_1","00O2TNJGODT0G5Z4TTKYMN18L","GSON5114141101")</f>
        <v>#NAME?</v>
      </c>
      <c r="W3188" s="23" t="e">
        <f ca="1">[1]!BexGetData("DP_1","00O2TNJGODT0G5Z4TTKYMN7K5","GSON5114141101")</f>
        <v>#NAME?</v>
      </c>
    </row>
    <row r="3189" spans="1:23" x14ac:dyDescent="0.2">
      <c r="A3189" s="36" t="s">
        <v>6565</v>
      </c>
      <c r="B3189" s="27" t="s">
        <v>1632</v>
      </c>
      <c r="C3189" s="23" t="e">
        <f ca="1">[1]!BexGetData("DP_1","003N8EMH8GTFRCSWKMPXRR8GU","GSON5114142011")</f>
        <v>#NAME?</v>
      </c>
      <c r="D3189" s="23" t="e">
        <f ca="1">[1]!BexGetData("DP_1","003N8EMH8GTFRCSWKMPXRRESE","GSON5114142011")</f>
        <v>#NAME?</v>
      </c>
      <c r="E3189" s="23" t="e">
        <f ca="1">[1]!BexGetData("DP_1","003N8EMH8GTFRCSWKMPXRRL3Y","GSON5114142011")</f>
        <v>#NAME?</v>
      </c>
      <c r="F3189" s="24" t="e">
        <f ca="1">[1]!BexGetData("DP_1","003N8EMH8GTFRCSWKMPXRRRFI","GSON5114142011")</f>
        <v>#NAME?</v>
      </c>
      <c r="G3189" s="24" t="e">
        <f ca="1">[1]!BexGetData("DP_1","003N8EMH8GTFRCSWKMPXRRXR2","GSON5114142011")</f>
        <v>#NAME?</v>
      </c>
      <c r="H3189" s="24" t="e">
        <f ca="1">[1]!BexGetData("DP_1","003N8EMH8GTFRCSWKMPXRS42M","GSON5114142011")</f>
        <v>#NAME?</v>
      </c>
      <c r="I3189" s="24" t="e">
        <f ca="1">[1]!BexGetData("DP_1","003N8EMH8GTFRCSWKMPXRSAE6","GSON5114142011")</f>
        <v>#NAME?</v>
      </c>
      <c r="J3189" s="24" t="e">
        <f ca="1">[1]!BexGetData("DP_1","003N8EMH8GTFRCSWKMPXRSGPQ","GSON5114142011")</f>
        <v>#NAME?</v>
      </c>
      <c r="K3189" s="23" t="e">
        <f ca="1">[1]!BexGetData("DP_1","003N8EMH8GTFRIVNUPY288VJH","GSON5114142011")</f>
        <v>#NAME?</v>
      </c>
      <c r="L3189" s="23" t="e">
        <f ca="1">[1]!BexGetData("DP_1","003N8EMH8GTFRIVNUPY2891V1","GSON5114142011")</f>
        <v>#NAME?</v>
      </c>
      <c r="M3189" s="28" t="e">
        <f ca="1">[1]!BexGetData("DP_1","003N8EMH8GTFRIVOG7KG9IQXA","GSON5114142011")</f>
        <v>#NAME?</v>
      </c>
      <c r="N3189" s="23" t="e">
        <f ca="1">[1]!BexGetData("DP_1","003N8EMH8GTFRIVOG7KG9IX8U","GSON5114142011")</f>
        <v>#NAME?</v>
      </c>
      <c r="O3189" s="28" t="e">
        <f ca="1">[1]!BexGetData("DP_1","003N8EMH8GTFRIVOG7KG9J3KE","GSON5114142011")</f>
        <v>#NAME?</v>
      </c>
      <c r="P3189" s="23" t="e">
        <f ca="1">[1]!BexGetData("DP_1","003N8EMH8GTFRIVOG7KG9J9VY","GSON5114142011")</f>
        <v>#NAME?</v>
      </c>
      <c r="Q3189" s="24" t="e">
        <f ca="1">[1]!BexGetData("DP_1","00O2TNJGODT0G5Z4TTKYMM5MT","GSON5114142011")</f>
        <v>#NAME?</v>
      </c>
      <c r="R3189" s="24" t="e">
        <f ca="1">[1]!BexGetData("DP_1","00O2TNJGODT0G5Z4TTKYMMBYD","GSON5114142011")</f>
        <v>#NAME?</v>
      </c>
      <c r="S3189" s="24" t="e">
        <f ca="1">[1]!BexGetData("DP_1","00O2TNJGODT0G5Z4TTKYMMI9X","GSON5114142011")</f>
        <v>#NAME?</v>
      </c>
      <c r="T3189" s="24" t="e">
        <f ca="1">[1]!BexGetData("DP_1","00O2TNJGODT0G5Z4TTKYMMOLH","GSON5114142011")</f>
        <v>#NAME?</v>
      </c>
      <c r="U3189" s="24" t="e">
        <f ca="1">[1]!BexGetData("DP_1","00O2TNJGODT0G5Z4TTKYMMUX1","GSON5114142011")</f>
        <v>#NAME?</v>
      </c>
      <c r="V3189" s="24" t="e">
        <f ca="1">[1]!BexGetData("DP_1","00O2TNJGODT0G5Z4TTKYMN18L","GSON5114142011")</f>
        <v>#NAME?</v>
      </c>
      <c r="W3189" s="24" t="e">
        <f ca="1">[1]!BexGetData("DP_1","00O2TNJGODT0G5Z4TTKYMN7K5","GSON5114142011")</f>
        <v>#NAME?</v>
      </c>
    </row>
    <row r="3190" spans="1:23" x14ac:dyDescent="0.2">
      <c r="A3190" s="36" t="s">
        <v>6566</v>
      </c>
      <c r="B3190" s="27" t="s">
        <v>6567</v>
      </c>
      <c r="C3190" s="23" t="e">
        <f ca="1">[1]!BexGetData("DP_1","003N8EMH8GTFRCSWKMPXRR8GU","GSON5114142021")</f>
        <v>#NAME?</v>
      </c>
      <c r="D3190" s="23" t="e">
        <f ca="1">[1]!BexGetData("DP_1","003N8EMH8GTFRCSWKMPXRRESE","GSON5114142021")</f>
        <v>#NAME?</v>
      </c>
      <c r="E3190" s="23" t="e">
        <f ca="1">[1]!BexGetData("DP_1","003N8EMH8GTFRCSWKMPXRRL3Y","GSON5114142021")</f>
        <v>#NAME?</v>
      </c>
      <c r="F3190" s="23" t="e">
        <f ca="1">[1]!BexGetData("DP_1","003N8EMH8GTFRCSWKMPXRRRFI","GSON5114142021")</f>
        <v>#NAME?</v>
      </c>
      <c r="G3190" s="23" t="e">
        <f ca="1">[1]!BexGetData("DP_1","003N8EMH8GTFRCSWKMPXRRXR2","GSON5114142021")</f>
        <v>#NAME?</v>
      </c>
      <c r="H3190" s="23" t="e">
        <f ca="1">[1]!BexGetData("DP_1","003N8EMH8GTFRCSWKMPXRS42M","GSON5114142021")</f>
        <v>#NAME?</v>
      </c>
      <c r="I3190" s="23" t="e">
        <f ca="1">[1]!BexGetData("DP_1","003N8EMH8GTFRCSWKMPXRSAE6","GSON5114142021")</f>
        <v>#NAME?</v>
      </c>
      <c r="J3190" s="24" t="e">
        <f ca="1">[1]!BexGetData("DP_1","003N8EMH8GTFRCSWKMPXRSGPQ","GSON5114142021")</f>
        <v>#NAME?</v>
      </c>
      <c r="K3190" s="23" t="e">
        <f ca="1">[1]!BexGetData("DP_1","003N8EMH8GTFRIVNUPY288VJH","GSON5114142021")</f>
        <v>#NAME?</v>
      </c>
      <c r="L3190" s="23" t="e">
        <f ca="1">[1]!BexGetData("DP_1","003N8EMH8GTFRIVNUPY2891V1","GSON5114142021")</f>
        <v>#NAME?</v>
      </c>
      <c r="M3190" s="28" t="e">
        <f ca="1">[1]!BexGetData("DP_1","003N8EMH8GTFRIVOG7KG9IQXA","GSON5114142021")</f>
        <v>#NAME?</v>
      </c>
      <c r="N3190" s="23" t="e">
        <f ca="1">[1]!BexGetData("DP_1","003N8EMH8GTFRIVOG7KG9IX8U","GSON5114142021")</f>
        <v>#NAME?</v>
      </c>
      <c r="O3190" s="28" t="e">
        <f ca="1">[1]!BexGetData("DP_1","003N8EMH8GTFRIVOG7KG9J3KE","GSON5114142021")</f>
        <v>#NAME?</v>
      </c>
      <c r="P3190" s="23" t="e">
        <f ca="1">[1]!BexGetData("DP_1","003N8EMH8GTFRIVOG7KG9J9VY","GSON5114142021")</f>
        <v>#NAME?</v>
      </c>
      <c r="Q3190" s="24" t="e">
        <f ca="1">[1]!BexGetData("DP_1","00O2TNJGODT0G5Z4TTKYMM5MT","GSON5114142021")</f>
        <v>#NAME?</v>
      </c>
      <c r="R3190" s="23" t="e">
        <f ca="1">[1]!BexGetData("DP_1","00O2TNJGODT0G5Z4TTKYMMBYD","GSON5114142021")</f>
        <v>#NAME?</v>
      </c>
      <c r="S3190" s="23" t="e">
        <f ca="1">[1]!BexGetData("DP_1","00O2TNJGODT0G5Z4TTKYMMI9X","GSON5114142021")</f>
        <v>#NAME?</v>
      </c>
      <c r="T3190" s="28" t="e">
        <f ca="1">[1]!BexGetData("DP_1","00O2TNJGODT0G5Z4TTKYMMOLH","GSON5114142021")</f>
        <v>#NAME?</v>
      </c>
      <c r="U3190" s="23" t="e">
        <f ca="1">[1]!BexGetData("DP_1","00O2TNJGODT0G5Z4TTKYMMUX1","GSON5114142021")</f>
        <v>#NAME?</v>
      </c>
      <c r="V3190" s="28" t="e">
        <f ca="1">[1]!BexGetData("DP_1","00O2TNJGODT0G5Z4TTKYMN18L","GSON5114142021")</f>
        <v>#NAME?</v>
      </c>
      <c r="W3190" s="23" t="e">
        <f ca="1">[1]!BexGetData("DP_1","00O2TNJGODT0G5Z4TTKYMN7K5","GSON5114142021")</f>
        <v>#NAME?</v>
      </c>
    </row>
    <row r="3191" spans="1:23" x14ac:dyDescent="0.2">
      <c r="A3191" s="36" t="s">
        <v>6568</v>
      </c>
      <c r="B3191" s="27" t="s">
        <v>1633</v>
      </c>
      <c r="C3191" s="23" t="e">
        <f ca="1">[1]!BexGetData("DP_1","003N8EMH8GTFRCSWKMPXRR8GU","GSON5114143011")</f>
        <v>#NAME?</v>
      </c>
      <c r="D3191" s="23" t="e">
        <f ca="1">[1]!BexGetData("DP_1","003N8EMH8GTFRCSWKMPXRRESE","GSON5114143011")</f>
        <v>#NAME?</v>
      </c>
      <c r="E3191" s="23" t="e">
        <f ca="1">[1]!BexGetData("DP_1","003N8EMH8GTFRCSWKMPXRRL3Y","GSON5114143011")</f>
        <v>#NAME?</v>
      </c>
      <c r="F3191" s="24" t="e">
        <f ca="1">[1]!BexGetData("DP_1","003N8EMH8GTFRCSWKMPXRRRFI","GSON5114143011")</f>
        <v>#NAME?</v>
      </c>
      <c r="G3191" s="24" t="e">
        <f ca="1">[1]!BexGetData("DP_1","003N8EMH8GTFRCSWKMPXRRXR2","GSON5114143011")</f>
        <v>#NAME?</v>
      </c>
      <c r="H3191" s="24" t="e">
        <f ca="1">[1]!BexGetData("DP_1","003N8EMH8GTFRCSWKMPXRS42M","GSON5114143011")</f>
        <v>#NAME?</v>
      </c>
      <c r="I3191" s="24" t="e">
        <f ca="1">[1]!BexGetData("DP_1","003N8EMH8GTFRCSWKMPXRSAE6","GSON5114143011")</f>
        <v>#NAME?</v>
      </c>
      <c r="J3191" s="24" t="e">
        <f ca="1">[1]!BexGetData("DP_1","003N8EMH8GTFRCSWKMPXRSGPQ","GSON5114143011")</f>
        <v>#NAME?</v>
      </c>
      <c r="K3191" s="23" t="e">
        <f ca="1">[1]!BexGetData("DP_1","003N8EMH8GTFRIVNUPY288VJH","GSON5114143011")</f>
        <v>#NAME?</v>
      </c>
      <c r="L3191" s="23" t="e">
        <f ca="1">[1]!BexGetData("DP_1","003N8EMH8GTFRIVNUPY2891V1","GSON5114143011")</f>
        <v>#NAME?</v>
      </c>
      <c r="M3191" s="28" t="e">
        <f ca="1">[1]!BexGetData("DP_1","003N8EMH8GTFRIVOG7KG9IQXA","GSON5114143011")</f>
        <v>#NAME?</v>
      </c>
      <c r="N3191" s="23" t="e">
        <f ca="1">[1]!BexGetData("DP_1","003N8EMH8GTFRIVOG7KG9IX8U","GSON5114143011")</f>
        <v>#NAME?</v>
      </c>
      <c r="O3191" s="28" t="e">
        <f ca="1">[1]!BexGetData("DP_1","003N8EMH8GTFRIVOG7KG9J3KE","GSON5114143011")</f>
        <v>#NAME?</v>
      </c>
      <c r="P3191" s="23" t="e">
        <f ca="1">[1]!BexGetData("DP_1","003N8EMH8GTFRIVOG7KG9J9VY","GSON5114143011")</f>
        <v>#NAME?</v>
      </c>
      <c r="Q3191" s="24" t="e">
        <f ca="1">[1]!BexGetData("DP_1","00O2TNJGODT0G5Z4TTKYMM5MT","GSON5114143011")</f>
        <v>#NAME?</v>
      </c>
      <c r="R3191" s="24" t="e">
        <f ca="1">[1]!BexGetData("DP_1","00O2TNJGODT0G5Z4TTKYMMBYD","GSON5114143011")</f>
        <v>#NAME?</v>
      </c>
      <c r="S3191" s="24" t="e">
        <f ca="1">[1]!BexGetData("DP_1","00O2TNJGODT0G5Z4TTKYMMI9X","GSON5114143011")</f>
        <v>#NAME?</v>
      </c>
      <c r="T3191" s="24" t="e">
        <f ca="1">[1]!BexGetData("DP_1","00O2TNJGODT0G5Z4TTKYMMOLH","GSON5114143011")</f>
        <v>#NAME?</v>
      </c>
      <c r="U3191" s="24" t="e">
        <f ca="1">[1]!BexGetData("DP_1","00O2TNJGODT0G5Z4TTKYMMUX1","GSON5114143011")</f>
        <v>#NAME?</v>
      </c>
      <c r="V3191" s="24" t="e">
        <f ca="1">[1]!BexGetData("DP_1","00O2TNJGODT0G5Z4TTKYMN18L","GSON5114143011")</f>
        <v>#NAME?</v>
      </c>
      <c r="W3191" s="24" t="e">
        <f ca="1">[1]!BexGetData("DP_1","00O2TNJGODT0G5Z4TTKYMN7K5","GSON5114143011")</f>
        <v>#NAME?</v>
      </c>
    </row>
    <row r="3192" spans="1:23" x14ac:dyDescent="0.2">
      <c r="A3192" s="36" t="s">
        <v>6569</v>
      </c>
      <c r="B3192" s="27" t="s">
        <v>6570</v>
      </c>
      <c r="C3192" s="23" t="e">
        <f ca="1">[1]!BexGetData("DP_1","003N8EMH8GTFRCSWKMPXRR8GU","GSON5114143031")</f>
        <v>#NAME?</v>
      </c>
      <c r="D3192" s="23" t="e">
        <f ca="1">[1]!BexGetData("DP_1","003N8EMH8GTFRCSWKMPXRRESE","GSON5114143031")</f>
        <v>#NAME?</v>
      </c>
      <c r="E3192" s="23" t="e">
        <f ca="1">[1]!BexGetData("DP_1","003N8EMH8GTFRCSWKMPXRRL3Y","GSON5114143031")</f>
        <v>#NAME?</v>
      </c>
      <c r="F3192" s="23" t="e">
        <f ca="1">[1]!BexGetData("DP_1","003N8EMH8GTFRCSWKMPXRRRFI","GSON5114143031")</f>
        <v>#NAME?</v>
      </c>
      <c r="G3192" s="23" t="e">
        <f ca="1">[1]!BexGetData("DP_1","003N8EMH8GTFRCSWKMPXRRXR2","GSON5114143031")</f>
        <v>#NAME?</v>
      </c>
      <c r="H3192" s="23" t="e">
        <f ca="1">[1]!BexGetData("DP_1","003N8EMH8GTFRCSWKMPXRS42M","GSON5114143031")</f>
        <v>#NAME?</v>
      </c>
      <c r="I3192" s="23" t="e">
        <f ca="1">[1]!BexGetData("DP_1","003N8EMH8GTFRCSWKMPXRSAE6","GSON5114143031")</f>
        <v>#NAME?</v>
      </c>
      <c r="J3192" s="24" t="e">
        <f ca="1">[1]!BexGetData("DP_1","003N8EMH8GTFRCSWKMPXRSGPQ","GSON5114143031")</f>
        <v>#NAME?</v>
      </c>
      <c r="K3192" s="23" t="e">
        <f ca="1">[1]!BexGetData("DP_1","003N8EMH8GTFRIVNUPY288VJH","GSON5114143031")</f>
        <v>#NAME?</v>
      </c>
      <c r="L3192" s="23" t="e">
        <f ca="1">[1]!BexGetData("DP_1","003N8EMH8GTFRIVNUPY2891V1","GSON5114143031")</f>
        <v>#NAME?</v>
      </c>
      <c r="M3192" s="28" t="e">
        <f ca="1">[1]!BexGetData("DP_1","003N8EMH8GTFRIVOG7KG9IQXA","GSON5114143031")</f>
        <v>#NAME?</v>
      </c>
      <c r="N3192" s="23" t="e">
        <f ca="1">[1]!BexGetData("DP_1","003N8EMH8GTFRIVOG7KG9IX8U","GSON5114143031")</f>
        <v>#NAME?</v>
      </c>
      <c r="O3192" s="28" t="e">
        <f ca="1">[1]!BexGetData("DP_1","003N8EMH8GTFRIVOG7KG9J3KE","GSON5114143031")</f>
        <v>#NAME?</v>
      </c>
      <c r="P3192" s="23" t="e">
        <f ca="1">[1]!BexGetData("DP_1","003N8EMH8GTFRIVOG7KG9J9VY","GSON5114143031")</f>
        <v>#NAME?</v>
      </c>
      <c r="Q3192" s="24" t="e">
        <f ca="1">[1]!BexGetData("DP_1","00O2TNJGODT0G5Z4TTKYMM5MT","GSON5114143031")</f>
        <v>#NAME?</v>
      </c>
      <c r="R3192" s="23" t="e">
        <f ca="1">[1]!BexGetData("DP_1","00O2TNJGODT0G5Z4TTKYMMBYD","GSON5114143031")</f>
        <v>#NAME?</v>
      </c>
      <c r="S3192" s="23" t="e">
        <f ca="1">[1]!BexGetData("DP_1","00O2TNJGODT0G5Z4TTKYMMI9X","GSON5114143031")</f>
        <v>#NAME?</v>
      </c>
      <c r="T3192" s="28" t="e">
        <f ca="1">[1]!BexGetData("DP_1","00O2TNJGODT0G5Z4TTKYMMOLH","GSON5114143031")</f>
        <v>#NAME?</v>
      </c>
      <c r="U3192" s="23" t="e">
        <f ca="1">[1]!BexGetData("DP_1","00O2TNJGODT0G5Z4TTKYMMUX1","GSON5114143031")</f>
        <v>#NAME?</v>
      </c>
      <c r="V3192" s="28" t="e">
        <f ca="1">[1]!BexGetData("DP_1","00O2TNJGODT0G5Z4TTKYMN18L","GSON5114143031")</f>
        <v>#NAME?</v>
      </c>
      <c r="W3192" s="23" t="e">
        <f ca="1">[1]!BexGetData("DP_1","00O2TNJGODT0G5Z4TTKYMN7K5","GSON5114143031")</f>
        <v>#NAME?</v>
      </c>
    </row>
    <row r="3193" spans="1:23" x14ac:dyDescent="0.2">
      <c r="A3193" s="36" t="s">
        <v>6569</v>
      </c>
      <c r="B3193" s="27" t="s">
        <v>6571</v>
      </c>
      <c r="C3193" s="23" t="e">
        <f ca="1">[1]!BexGetData("DP_1","003N8EMH8GTFRCSWKMPXRR8GU","GSON5114143034")</f>
        <v>#NAME?</v>
      </c>
      <c r="D3193" s="23" t="e">
        <f ca="1">[1]!BexGetData("DP_1","003N8EMH8GTFRCSWKMPXRRESE","GSON5114143034")</f>
        <v>#NAME?</v>
      </c>
      <c r="E3193" s="28" t="e">
        <f ca="1">[1]!BexGetData("DP_1","003N8EMH8GTFRCSWKMPXRRL3Y","GSON5114143034")</f>
        <v>#NAME?</v>
      </c>
      <c r="F3193" s="24" t="e">
        <f ca="1">[1]!BexGetData("DP_1","003N8EMH8GTFRCSWKMPXRRRFI","GSON5114143034")</f>
        <v>#NAME?</v>
      </c>
      <c r="G3193" s="24" t="e">
        <f ca="1">[1]!BexGetData("DP_1","003N8EMH8GTFRCSWKMPXRRXR2","GSON5114143034")</f>
        <v>#NAME?</v>
      </c>
      <c r="H3193" s="24" t="e">
        <f ca="1">[1]!BexGetData("DP_1","003N8EMH8GTFRCSWKMPXRS42M","GSON5114143034")</f>
        <v>#NAME?</v>
      </c>
      <c r="I3193" s="24" t="e">
        <f ca="1">[1]!BexGetData("DP_1","003N8EMH8GTFRCSWKMPXRSAE6","GSON5114143034")</f>
        <v>#NAME?</v>
      </c>
      <c r="J3193" s="24" t="e">
        <f ca="1">[1]!BexGetData("DP_1","003N8EMH8GTFRCSWKMPXRSGPQ","GSON5114143034")</f>
        <v>#NAME?</v>
      </c>
      <c r="K3193" s="28" t="e">
        <f ca="1">[1]!BexGetData("DP_1","003N8EMH8GTFRIVNUPY288VJH","GSON5114143034")</f>
        <v>#NAME?</v>
      </c>
      <c r="L3193" s="28" t="e">
        <f ca="1">[1]!BexGetData("DP_1","003N8EMH8GTFRIVNUPY2891V1","GSON5114143034")</f>
        <v>#NAME?</v>
      </c>
      <c r="M3193" s="28" t="e">
        <f ca="1">[1]!BexGetData("DP_1","003N8EMH8GTFRIVOG7KG9IQXA","GSON5114143034")</f>
        <v>#NAME?</v>
      </c>
      <c r="N3193" s="28" t="e">
        <f ca="1">[1]!BexGetData("DP_1","003N8EMH8GTFRIVOG7KG9IX8U","GSON5114143034")</f>
        <v>#NAME?</v>
      </c>
      <c r="O3193" s="28" t="e">
        <f ca="1">[1]!BexGetData("DP_1","003N8EMH8GTFRIVOG7KG9J3KE","GSON5114143034")</f>
        <v>#NAME?</v>
      </c>
      <c r="P3193" s="28" t="e">
        <f ca="1">[1]!BexGetData("DP_1","003N8EMH8GTFRIVOG7KG9J9VY","GSON5114143034")</f>
        <v>#NAME?</v>
      </c>
      <c r="Q3193" s="24" t="e">
        <f ca="1">[1]!BexGetData("DP_1","00O2TNJGODT0G5Z4TTKYMM5MT","GSON5114143034")</f>
        <v>#NAME?</v>
      </c>
      <c r="R3193" s="24" t="e">
        <f ca="1">[1]!BexGetData("DP_1","00O2TNJGODT0G5Z4TTKYMMBYD","GSON5114143034")</f>
        <v>#NAME?</v>
      </c>
      <c r="S3193" s="24" t="e">
        <f ca="1">[1]!BexGetData("DP_1","00O2TNJGODT0G5Z4TTKYMMI9X","GSON5114143034")</f>
        <v>#NAME?</v>
      </c>
      <c r="T3193" s="24" t="e">
        <f ca="1">[1]!BexGetData("DP_1","00O2TNJGODT0G5Z4TTKYMMOLH","GSON5114143034")</f>
        <v>#NAME?</v>
      </c>
      <c r="U3193" s="24" t="e">
        <f ca="1">[1]!BexGetData("DP_1","00O2TNJGODT0G5Z4TTKYMMUX1","GSON5114143034")</f>
        <v>#NAME?</v>
      </c>
      <c r="V3193" s="24" t="e">
        <f ca="1">[1]!BexGetData("DP_1","00O2TNJGODT0G5Z4TTKYMN18L","GSON5114143034")</f>
        <v>#NAME?</v>
      </c>
      <c r="W3193" s="24" t="e">
        <f ca="1">[1]!BexGetData("DP_1","00O2TNJGODT0G5Z4TTKYMN7K5","GSON5114143034")</f>
        <v>#NAME?</v>
      </c>
    </row>
    <row r="3194" spans="1:23" x14ac:dyDescent="0.2">
      <c r="A3194" s="36" t="s">
        <v>6572</v>
      </c>
      <c r="B3194" s="27" t="s">
        <v>1563</v>
      </c>
      <c r="C3194" s="23" t="e">
        <f ca="1">[1]!BexGetData("DP_1","003N8EMH8GTFRCSWKMPXRR8GU","GSON5114144021")</f>
        <v>#NAME?</v>
      </c>
      <c r="D3194" s="28" t="e">
        <f ca="1">[1]!BexGetData("DP_1","003N8EMH8GTFRCSWKMPXRRESE","GSON5114144021")</f>
        <v>#NAME?</v>
      </c>
      <c r="E3194" s="23" t="e">
        <f ca="1">[1]!BexGetData("DP_1","003N8EMH8GTFRCSWKMPXRRL3Y","GSON5114144021")</f>
        <v>#NAME?</v>
      </c>
      <c r="F3194" s="23" t="e">
        <f ca="1">[1]!BexGetData("DP_1","003N8EMH8GTFRCSWKMPXRRRFI","GSON5114144021")</f>
        <v>#NAME?</v>
      </c>
      <c r="G3194" s="23" t="e">
        <f ca="1">[1]!BexGetData("DP_1","003N8EMH8GTFRCSWKMPXRRXR2","GSON5114144021")</f>
        <v>#NAME?</v>
      </c>
      <c r="H3194" s="23" t="e">
        <f ca="1">[1]!BexGetData("DP_1","003N8EMH8GTFRCSWKMPXRS42M","GSON5114144021")</f>
        <v>#NAME?</v>
      </c>
      <c r="I3194" s="23" t="e">
        <f ca="1">[1]!BexGetData("DP_1","003N8EMH8GTFRCSWKMPXRSAE6","GSON5114144021")</f>
        <v>#NAME?</v>
      </c>
      <c r="J3194" s="24" t="e">
        <f ca="1">[1]!BexGetData("DP_1","003N8EMH8GTFRCSWKMPXRSGPQ","GSON5114144021")</f>
        <v>#NAME?</v>
      </c>
      <c r="K3194" s="23" t="e">
        <f ca="1">[1]!BexGetData("DP_1","003N8EMH8GTFRIVNUPY288VJH","GSON5114144021")</f>
        <v>#NAME?</v>
      </c>
      <c r="L3194" s="23" t="e">
        <f ca="1">[1]!BexGetData("DP_1","003N8EMH8GTFRIVNUPY2891V1","GSON5114144021")</f>
        <v>#NAME?</v>
      </c>
      <c r="M3194" s="28" t="e">
        <f ca="1">[1]!BexGetData("DP_1","003N8EMH8GTFRIVOG7KG9IQXA","GSON5114144021")</f>
        <v>#NAME?</v>
      </c>
      <c r="N3194" s="23" t="e">
        <f ca="1">[1]!BexGetData("DP_1","003N8EMH8GTFRIVOG7KG9IX8U","GSON5114144021")</f>
        <v>#NAME?</v>
      </c>
      <c r="O3194" s="28" t="e">
        <f ca="1">[1]!BexGetData("DP_1","003N8EMH8GTFRIVOG7KG9J3KE","GSON5114144021")</f>
        <v>#NAME?</v>
      </c>
      <c r="P3194" s="23" t="e">
        <f ca="1">[1]!BexGetData("DP_1","003N8EMH8GTFRIVOG7KG9J9VY","GSON5114144021")</f>
        <v>#NAME?</v>
      </c>
      <c r="Q3194" s="24" t="e">
        <f ca="1">[1]!BexGetData("DP_1","00O2TNJGODT0G5Z4TTKYMM5MT","GSON5114144021")</f>
        <v>#NAME?</v>
      </c>
      <c r="R3194" s="23" t="e">
        <f ca="1">[1]!BexGetData("DP_1","00O2TNJGODT0G5Z4TTKYMMBYD","GSON5114144021")</f>
        <v>#NAME?</v>
      </c>
      <c r="S3194" s="23" t="e">
        <f ca="1">[1]!BexGetData("DP_1","00O2TNJGODT0G5Z4TTKYMMI9X","GSON5114144021")</f>
        <v>#NAME?</v>
      </c>
      <c r="T3194" s="28" t="e">
        <f ca="1">[1]!BexGetData("DP_1","00O2TNJGODT0G5Z4TTKYMMOLH","GSON5114144021")</f>
        <v>#NAME?</v>
      </c>
      <c r="U3194" s="23" t="e">
        <f ca="1">[1]!BexGetData("DP_1","00O2TNJGODT0G5Z4TTKYMMUX1","GSON5114144021")</f>
        <v>#NAME?</v>
      </c>
      <c r="V3194" s="28" t="e">
        <f ca="1">[1]!BexGetData("DP_1","00O2TNJGODT0G5Z4TTKYMN18L","GSON5114144021")</f>
        <v>#NAME?</v>
      </c>
      <c r="W3194" s="23" t="e">
        <f ca="1">[1]!BexGetData("DP_1","00O2TNJGODT0G5Z4TTKYMN7K5","GSON5114144021")</f>
        <v>#NAME?</v>
      </c>
    </row>
    <row r="3195" spans="1:23" x14ac:dyDescent="0.2">
      <c r="A3195" s="36" t="s">
        <v>6573</v>
      </c>
      <c r="B3195" s="27" t="s">
        <v>6574</v>
      </c>
      <c r="C3195" s="23" t="e">
        <f ca="1">[1]!BexGetData("DP_1","003N8EMH8GTFRCSWKMPXRR8GU","GSON5114144031")</f>
        <v>#NAME?</v>
      </c>
      <c r="D3195" s="28" t="e">
        <f ca="1">[1]!BexGetData("DP_1","003N8EMH8GTFRCSWKMPXRRESE","GSON5114144031")</f>
        <v>#NAME?</v>
      </c>
      <c r="E3195" s="23" t="e">
        <f ca="1">[1]!BexGetData("DP_1","003N8EMH8GTFRCSWKMPXRRL3Y","GSON5114144031")</f>
        <v>#NAME?</v>
      </c>
      <c r="F3195" s="23" t="e">
        <f ca="1">[1]!BexGetData("DP_1","003N8EMH8GTFRCSWKMPXRRRFI","GSON5114144031")</f>
        <v>#NAME?</v>
      </c>
      <c r="G3195" s="23" t="e">
        <f ca="1">[1]!BexGetData("DP_1","003N8EMH8GTFRCSWKMPXRRXR2","GSON5114144031")</f>
        <v>#NAME?</v>
      </c>
      <c r="H3195" s="28" t="e">
        <f ca="1">[1]!BexGetData("DP_1","003N8EMH8GTFRCSWKMPXRS42M","GSON5114144031")</f>
        <v>#NAME?</v>
      </c>
      <c r="I3195" s="23" t="e">
        <f ca="1">[1]!BexGetData("DP_1","003N8EMH8GTFRCSWKMPXRSAE6","GSON5114144031")</f>
        <v>#NAME?</v>
      </c>
      <c r="J3195" s="24" t="e">
        <f ca="1">[1]!BexGetData("DP_1","003N8EMH8GTFRCSWKMPXRSGPQ","GSON5114144031")</f>
        <v>#NAME?</v>
      </c>
      <c r="K3195" s="23" t="e">
        <f ca="1">[1]!BexGetData("DP_1","003N8EMH8GTFRIVNUPY288VJH","GSON5114144031")</f>
        <v>#NAME?</v>
      </c>
      <c r="L3195" s="23" t="e">
        <f ca="1">[1]!BexGetData("DP_1","003N8EMH8GTFRIVNUPY2891V1","GSON5114144031")</f>
        <v>#NAME?</v>
      </c>
      <c r="M3195" s="23" t="e">
        <f ca="1">[1]!BexGetData("DP_1","003N8EMH8GTFRIVOG7KG9IQXA","GSON5114144031")</f>
        <v>#NAME?</v>
      </c>
      <c r="N3195" s="28" t="e">
        <f ca="1">[1]!BexGetData("DP_1","003N8EMH8GTFRIVOG7KG9IX8U","GSON5114144031")</f>
        <v>#NAME?</v>
      </c>
      <c r="O3195" s="23" t="e">
        <f ca="1">[1]!BexGetData("DP_1","003N8EMH8GTFRIVOG7KG9J3KE","GSON5114144031")</f>
        <v>#NAME?</v>
      </c>
      <c r="P3195" s="28" t="e">
        <f ca="1">[1]!BexGetData("DP_1","003N8EMH8GTFRIVOG7KG9J9VY","GSON5114144031")</f>
        <v>#NAME?</v>
      </c>
      <c r="Q3195" s="24" t="e">
        <f ca="1">[1]!BexGetData("DP_1","00O2TNJGODT0G5Z4TTKYMM5MT","GSON5114144031")</f>
        <v>#NAME?</v>
      </c>
      <c r="R3195" s="23" t="e">
        <f ca="1">[1]!BexGetData("DP_1","00O2TNJGODT0G5Z4TTKYMMBYD","GSON5114144031")</f>
        <v>#NAME?</v>
      </c>
      <c r="S3195" s="23" t="e">
        <f ca="1">[1]!BexGetData("DP_1","00O2TNJGODT0G5Z4TTKYMMI9X","GSON5114144031")</f>
        <v>#NAME?</v>
      </c>
      <c r="T3195" s="28" t="e">
        <f ca="1">[1]!BexGetData("DP_1","00O2TNJGODT0G5Z4TTKYMMOLH","GSON5114144031")</f>
        <v>#NAME?</v>
      </c>
      <c r="U3195" s="23" t="e">
        <f ca="1">[1]!BexGetData("DP_1","00O2TNJGODT0G5Z4TTKYMMUX1","GSON5114144031")</f>
        <v>#NAME?</v>
      </c>
      <c r="V3195" s="28" t="e">
        <f ca="1">[1]!BexGetData("DP_1","00O2TNJGODT0G5Z4TTKYMN18L","GSON5114144031")</f>
        <v>#NAME?</v>
      </c>
      <c r="W3195" s="23" t="e">
        <f ca="1">[1]!BexGetData("DP_1","00O2TNJGODT0G5Z4TTKYMN7K5","GSON5114144031")</f>
        <v>#NAME?</v>
      </c>
    </row>
    <row r="3196" spans="1:23" x14ac:dyDescent="0.2">
      <c r="A3196" s="36" t="s">
        <v>6575</v>
      </c>
      <c r="B3196" s="27" t="s">
        <v>6576</v>
      </c>
      <c r="C3196" s="23" t="e">
        <f ca="1">[1]!BexGetData("DP_1","003N8EMH8GTFRCSWKMPXRR8GU","GSON5114144041")</f>
        <v>#NAME?</v>
      </c>
      <c r="D3196" s="23" t="e">
        <f ca="1">[1]!BexGetData("DP_1","003N8EMH8GTFRCSWKMPXRRESE","GSON5114144041")</f>
        <v>#NAME?</v>
      </c>
      <c r="E3196" s="23" t="e">
        <f ca="1">[1]!BexGetData("DP_1","003N8EMH8GTFRCSWKMPXRRL3Y","GSON5114144041")</f>
        <v>#NAME?</v>
      </c>
      <c r="F3196" s="23" t="e">
        <f ca="1">[1]!BexGetData("DP_1","003N8EMH8GTFRCSWKMPXRRRFI","GSON5114144041")</f>
        <v>#NAME?</v>
      </c>
      <c r="G3196" s="23" t="e">
        <f ca="1">[1]!BexGetData("DP_1","003N8EMH8GTFRCSWKMPXRRXR2","GSON5114144041")</f>
        <v>#NAME?</v>
      </c>
      <c r="H3196" s="28" t="e">
        <f ca="1">[1]!BexGetData("DP_1","003N8EMH8GTFRCSWKMPXRS42M","GSON5114144041")</f>
        <v>#NAME?</v>
      </c>
      <c r="I3196" s="23" t="e">
        <f ca="1">[1]!BexGetData("DP_1","003N8EMH8GTFRCSWKMPXRSAE6","GSON5114144041")</f>
        <v>#NAME?</v>
      </c>
      <c r="J3196" s="24" t="e">
        <f ca="1">[1]!BexGetData("DP_1","003N8EMH8GTFRCSWKMPXRSGPQ","GSON5114144041")</f>
        <v>#NAME?</v>
      </c>
      <c r="K3196" s="23" t="e">
        <f ca="1">[1]!BexGetData("DP_1","003N8EMH8GTFRIVNUPY288VJH","GSON5114144041")</f>
        <v>#NAME?</v>
      </c>
      <c r="L3196" s="23" t="e">
        <f ca="1">[1]!BexGetData("DP_1","003N8EMH8GTFRIVNUPY2891V1","GSON5114144041")</f>
        <v>#NAME?</v>
      </c>
      <c r="M3196" s="28" t="e">
        <f ca="1">[1]!BexGetData("DP_1","003N8EMH8GTFRIVOG7KG9IQXA","GSON5114144041")</f>
        <v>#NAME?</v>
      </c>
      <c r="N3196" s="23" t="e">
        <f ca="1">[1]!BexGetData("DP_1","003N8EMH8GTFRIVOG7KG9IX8U","GSON5114144041")</f>
        <v>#NAME?</v>
      </c>
      <c r="O3196" s="28" t="e">
        <f ca="1">[1]!BexGetData("DP_1","003N8EMH8GTFRIVOG7KG9J3KE","GSON5114144041")</f>
        <v>#NAME?</v>
      </c>
      <c r="P3196" s="23" t="e">
        <f ca="1">[1]!BexGetData("DP_1","003N8EMH8GTFRIVOG7KG9J9VY","GSON5114144041")</f>
        <v>#NAME?</v>
      </c>
      <c r="Q3196" s="24" t="e">
        <f ca="1">[1]!BexGetData("DP_1","00O2TNJGODT0G5Z4TTKYMM5MT","GSON5114144041")</f>
        <v>#NAME?</v>
      </c>
      <c r="R3196" s="23" t="e">
        <f ca="1">[1]!BexGetData("DP_1","00O2TNJGODT0G5Z4TTKYMMBYD","GSON5114144041")</f>
        <v>#NAME?</v>
      </c>
      <c r="S3196" s="23" t="e">
        <f ca="1">[1]!BexGetData("DP_1","00O2TNJGODT0G5Z4TTKYMMI9X","GSON5114144041")</f>
        <v>#NAME?</v>
      </c>
      <c r="T3196" s="28" t="e">
        <f ca="1">[1]!BexGetData("DP_1","00O2TNJGODT0G5Z4TTKYMMOLH","GSON5114144041")</f>
        <v>#NAME?</v>
      </c>
      <c r="U3196" s="23" t="e">
        <f ca="1">[1]!BexGetData("DP_1","00O2TNJGODT0G5Z4TTKYMMUX1","GSON5114144041")</f>
        <v>#NAME?</v>
      </c>
      <c r="V3196" s="28" t="e">
        <f ca="1">[1]!BexGetData("DP_1","00O2TNJGODT0G5Z4TTKYMN18L","GSON5114144041")</f>
        <v>#NAME?</v>
      </c>
      <c r="W3196" s="23" t="e">
        <f ca="1">[1]!BexGetData("DP_1","00O2TNJGODT0G5Z4TTKYMN7K5","GSON5114144041")</f>
        <v>#NAME?</v>
      </c>
    </row>
    <row r="3197" spans="1:23" x14ac:dyDescent="0.2">
      <c r="A3197" s="36" t="s">
        <v>6577</v>
      </c>
      <c r="B3197" s="27" t="s">
        <v>6578</v>
      </c>
      <c r="C3197" s="23" t="e">
        <f ca="1">[1]!BexGetData("DP_1","003N8EMH8GTFRCSWKMPXRR8GU","GSON5114144061")</f>
        <v>#NAME?</v>
      </c>
      <c r="D3197" s="28" t="e">
        <f ca="1">[1]!BexGetData("DP_1","003N8EMH8GTFRCSWKMPXRRESE","GSON5114144061")</f>
        <v>#NAME?</v>
      </c>
      <c r="E3197" s="23" t="e">
        <f ca="1">[1]!BexGetData("DP_1","003N8EMH8GTFRCSWKMPXRRL3Y","GSON5114144061")</f>
        <v>#NAME?</v>
      </c>
      <c r="F3197" s="23" t="e">
        <f ca="1">[1]!BexGetData("DP_1","003N8EMH8GTFRCSWKMPXRRRFI","GSON5114144061")</f>
        <v>#NAME?</v>
      </c>
      <c r="G3197" s="23" t="e">
        <f ca="1">[1]!BexGetData("DP_1","003N8EMH8GTFRCSWKMPXRRXR2","GSON5114144061")</f>
        <v>#NAME?</v>
      </c>
      <c r="H3197" s="28" t="e">
        <f ca="1">[1]!BexGetData("DP_1","003N8EMH8GTFRCSWKMPXRS42M","GSON5114144061")</f>
        <v>#NAME?</v>
      </c>
      <c r="I3197" s="23" t="e">
        <f ca="1">[1]!BexGetData("DP_1","003N8EMH8GTFRCSWKMPXRSAE6","GSON5114144061")</f>
        <v>#NAME?</v>
      </c>
      <c r="J3197" s="24" t="e">
        <f ca="1">[1]!BexGetData("DP_1","003N8EMH8GTFRCSWKMPXRSGPQ","GSON5114144061")</f>
        <v>#NAME?</v>
      </c>
      <c r="K3197" s="23" t="e">
        <f ca="1">[1]!BexGetData("DP_1","003N8EMH8GTFRIVNUPY288VJH","GSON5114144061")</f>
        <v>#NAME?</v>
      </c>
      <c r="L3197" s="23" t="e">
        <f ca="1">[1]!BexGetData("DP_1","003N8EMH8GTFRIVNUPY2891V1","GSON5114144061")</f>
        <v>#NAME?</v>
      </c>
      <c r="M3197" s="23" t="e">
        <f ca="1">[1]!BexGetData("DP_1","003N8EMH8GTFRIVOG7KG9IQXA","GSON5114144061")</f>
        <v>#NAME?</v>
      </c>
      <c r="N3197" s="28" t="e">
        <f ca="1">[1]!BexGetData("DP_1","003N8EMH8GTFRIVOG7KG9IX8U","GSON5114144061")</f>
        <v>#NAME?</v>
      </c>
      <c r="O3197" s="23" t="e">
        <f ca="1">[1]!BexGetData("DP_1","003N8EMH8GTFRIVOG7KG9J3KE","GSON5114144061")</f>
        <v>#NAME?</v>
      </c>
      <c r="P3197" s="28" t="e">
        <f ca="1">[1]!BexGetData("DP_1","003N8EMH8GTFRIVOG7KG9J9VY","GSON5114144061")</f>
        <v>#NAME?</v>
      </c>
      <c r="Q3197" s="24" t="e">
        <f ca="1">[1]!BexGetData("DP_1","00O2TNJGODT0G5Z4TTKYMM5MT","GSON5114144061")</f>
        <v>#NAME?</v>
      </c>
      <c r="R3197" s="23" t="e">
        <f ca="1">[1]!BexGetData("DP_1","00O2TNJGODT0G5Z4TTKYMMBYD","GSON5114144061")</f>
        <v>#NAME?</v>
      </c>
      <c r="S3197" s="23" t="e">
        <f ca="1">[1]!BexGetData("DP_1","00O2TNJGODT0G5Z4TTKYMMI9X","GSON5114144061")</f>
        <v>#NAME?</v>
      </c>
      <c r="T3197" s="28" t="e">
        <f ca="1">[1]!BexGetData("DP_1","00O2TNJGODT0G5Z4TTKYMMOLH","GSON5114144061")</f>
        <v>#NAME?</v>
      </c>
      <c r="U3197" s="23" t="e">
        <f ca="1">[1]!BexGetData("DP_1","00O2TNJGODT0G5Z4TTKYMMUX1","GSON5114144061")</f>
        <v>#NAME?</v>
      </c>
      <c r="V3197" s="28" t="e">
        <f ca="1">[1]!BexGetData("DP_1","00O2TNJGODT0G5Z4TTKYMN18L","GSON5114144061")</f>
        <v>#NAME?</v>
      </c>
      <c r="W3197" s="23" t="e">
        <f ca="1">[1]!BexGetData("DP_1","00O2TNJGODT0G5Z4TTKYMN7K5","GSON5114144061")</f>
        <v>#NAME?</v>
      </c>
    </row>
    <row r="3198" spans="1:23" x14ac:dyDescent="0.2">
      <c r="A3198" s="35" t="s">
        <v>1564</v>
      </c>
      <c r="B3198" s="27" t="s">
        <v>1565</v>
      </c>
      <c r="C3198" s="23" t="e">
        <f ca="1">[1]!BexGetData("DP_1","003N8EMH8GTFRCSWKMPXRR8GU","GSON5115")</f>
        <v>#NAME?</v>
      </c>
      <c r="D3198" s="23" t="e">
        <f ca="1">[1]!BexGetData("DP_1","003N8EMH8GTFRCSWKMPXRRESE","GSON5115")</f>
        <v>#NAME?</v>
      </c>
      <c r="E3198" s="23" t="e">
        <f ca="1">[1]!BexGetData("DP_1","003N8EMH8GTFRCSWKMPXRRL3Y","GSON5115")</f>
        <v>#NAME?</v>
      </c>
      <c r="F3198" s="23" t="e">
        <f ca="1">[1]!BexGetData("DP_1","003N8EMH8GTFRCSWKMPXRRRFI","GSON5115")</f>
        <v>#NAME?</v>
      </c>
      <c r="G3198" s="23" t="e">
        <f ca="1">[1]!BexGetData("DP_1","003N8EMH8GTFRCSWKMPXRRXR2","GSON5115")</f>
        <v>#NAME?</v>
      </c>
      <c r="H3198" s="23" t="e">
        <f ca="1">[1]!BexGetData("DP_1","003N8EMH8GTFRCSWKMPXRS42M","GSON5115")</f>
        <v>#NAME?</v>
      </c>
      <c r="I3198" s="23" t="e">
        <f ca="1">[1]!BexGetData("DP_1","003N8EMH8GTFRCSWKMPXRSAE6","GSON5115")</f>
        <v>#NAME?</v>
      </c>
      <c r="J3198" s="24" t="e">
        <f ca="1">[1]!BexGetData("DP_1","003N8EMH8GTFRCSWKMPXRSGPQ","GSON5115")</f>
        <v>#NAME?</v>
      </c>
      <c r="K3198" s="23" t="e">
        <f ca="1">[1]!BexGetData("DP_1","003N8EMH8GTFRIVNUPY288VJH","GSON5115")</f>
        <v>#NAME?</v>
      </c>
      <c r="L3198" s="23" t="e">
        <f ca="1">[1]!BexGetData("DP_1","003N8EMH8GTFRIVNUPY2891V1","GSON5115")</f>
        <v>#NAME?</v>
      </c>
      <c r="M3198" s="23" t="e">
        <f ca="1">[1]!BexGetData("DP_1","003N8EMH8GTFRIVOG7KG9IQXA","GSON5115")</f>
        <v>#NAME?</v>
      </c>
      <c r="N3198" s="28" t="e">
        <f ca="1">[1]!BexGetData("DP_1","003N8EMH8GTFRIVOG7KG9IX8U","GSON5115")</f>
        <v>#NAME?</v>
      </c>
      <c r="O3198" s="23" t="e">
        <f ca="1">[1]!BexGetData("DP_1","003N8EMH8GTFRIVOG7KG9J3KE","GSON5115")</f>
        <v>#NAME?</v>
      </c>
      <c r="P3198" s="28" t="e">
        <f ca="1">[1]!BexGetData("DP_1","003N8EMH8GTFRIVOG7KG9J9VY","GSON5115")</f>
        <v>#NAME?</v>
      </c>
      <c r="Q3198" s="24" t="e">
        <f ca="1">[1]!BexGetData("DP_1","00O2TNJGODT0G5Z4TTKYMM5MT","GSON5115")</f>
        <v>#NAME?</v>
      </c>
      <c r="R3198" s="23" t="e">
        <f ca="1">[1]!BexGetData("DP_1","00O2TNJGODT0G5Z4TTKYMMBYD","GSON5115")</f>
        <v>#NAME?</v>
      </c>
      <c r="S3198" s="23" t="e">
        <f ca="1">[1]!BexGetData("DP_1","00O2TNJGODT0G5Z4TTKYMMI9X","GSON5115")</f>
        <v>#NAME?</v>
      </c>
      <c r="T3198" s="28" t="e">
        <f ca="1">[1]!BexGetData("DP_1","00O2TNJGODT0G5Z4TTKYMMOLH","GSON5115")</f>
        <v>#NAME?</v>
      </c>
      <c r="U3198" s="23" t="e">
        <f ca="1">[1]!BexGetData("DP_1","00O2TNJGODT0G5Z4TTKYMMUX1","GSON5115")</f>
        <v>#NAME?</v>
      </c>
      <c r="V3198" s="28" t="e">
        <f ca="1">[1]!BexGetData("DP_1","00O2TNJGODT0G5Z4TTKYMN18L","GSON5115")</f>
        <v>#NAME?</v>
      </c>
      <c r="W3198" s="23" t="e">
        <f ca="1">[1]!BexGetData("DP_1","00O2TNJGODT0G5Z4TTKYMN7K5","GSON5115")</f>
        <v>#NAME?</v>
      </c>
    </row>
    <row r="3199" spans="1:23" x14ac:dyDescent="0.2">
      <c r="A3199" s="36" t="s">
        <v>6579</v>
      </c>
      <c r="B3199" s="27" t="s">
        <v>1566</v>
      </c>
      <c r="C3199" s="23" t="e">
        <f ca="1">[1]!BexGetData("DP_1","003N8EMH8GTFRCSWKMPXRR8GU","GSON5115151011")</f>
        <v>#NAME?</v>
      </c>
      <c r="D3199" s="28" t="e">
        <f ca="1">[1]!BexGetData("DP_1","003N8EMH8GTFRCSWKMPXRRESE","GSON5115151011")</f>
        <v>#NAME?</v>
      </c>
      <c r="E3199" s="23" t="e">
        <f ca="1">[1]!BexGetData("DP_1","003N8EMH8GTFRCSWKMPXRRL3Y","GSON5115151011")</f>
        <v>#NAME?</v>
      </c>
      <c r="F3199" s="23" t="e">
        <f ca="1">[1]!BexGetData("DP_1","003N8EMH8GTFRCSWKMPXRRRFI","GSON5115151011")</f>
        <v>#NAME?</v>
      </c>
      <c r="G3199" s="23" t="e">
        <f ca="1">[1]!BexGetData("DP_1","003N8EMH8GTFRCSWKMPXRRXR2","GSON5115151011")</f>
        <v>#NAME?</v>
      </c>
      <c r="H3199" s="28" t="e">
        <f ca="1">[1]!BexGetData("DP_1","003N8EMH8GTFRCSWKMPXRS42M","GSON5115151011")</f>
        <v>#NAME?</v>
      </c>
      <c r="I3199" s="23" t="e">
        <f ca="1">[1]!BexGetData("DP_1","003N8EMH8GTFRCSWKMPXRSAE6","GSON5115151011")</f>
        <v>#NAME?</v>
      </c>
      <c r="J3199" s="24" t="e">
        <f ca="1">[1]!BexGetData("DP_1","003N8EMH8GTFRCSWKMPXRSGPQ","GSON5115151011")</f>
        <v>#NAME?</v>
      </c>
      <c r="K3199" s="23" t="e">
        <f ca="1">[1]!BexGetData("DP_1","003N8EMH8GTFRIVNUPY288VJH","GSON5115151011")</f>
        <v>#NAME?</v>
      </c>
      <c r="L3199" s="23" t="e">
        <f ca="1">[1]!BexGetData("DP_1","003N8EMH8GTFRIVNUPY2891V1","GSON5115151011")</f>
        <v>#NAME?</v>
      </c>
      <c r="M3199" s="28" t="e">
        <f ca="1">[1]!BexGetData("DP_1","003N8EMH8GTFRIVOG7KG9IQXA","GSON5115151011")</f>
        <v>#NAME?</v>
      </c>
      <c r="N3199" s="23" t="e">
        <f ca="1">[1]!BexGetData("DP_1","003N8EMH8GTFRIVOG7KG9IX8U","GSON5115151011")</f>
        <v>#NAME?</v>
      </c>
      <c r="O3199" s="28" t="e">
        <f ca="1">[1]!BexGetData("DP_1","003N8EMH8GTFRIVOG7KG9J3KE","GSON5115151011")</f>
        <v>#NAME?</v>
      </c>
      <c r="P3199" s="23" t="e">
        <f ca="1">[1]!BexGetData("DP_1","003N8EMH8GTFRIVOG7KG9J9VY","GSON5115151011")</f>
        <v>#NAME?</v>
      </c>
      <c r="Q3199" s="24" t="e">
        <f ca="1">[1]!BexGetData("DP_1","00O2TNJGODT0G5Z4TTKYMM5MT","GSON5115151011")</f>
        <v>#NAME?</v>
      </c>
      <c r="R3199" s="23" t="e">
        <f ca="1">[1]!BexGetData("DP_1","00O2TNJGODT0G5Z4TTKYMMBYD","GSON5115151011")</f>
        <v>#NAME?</v>
      </c>
      <c r="S3199" s="23" t="e">
        <f ca="1">[1]!BexGetData("DP_1","00O2TNJGODT0G5Z4TTKYMMI9X","GSON5115151011")</f>
        <v>#NAME?</v>
      </c>
      <c r="T3199" s="28" t="e">
        <f ca="1">[1]!BexGetData("DP_1","00O2TNJGODT0G5Z4TTKYMMOLH","GSON5115151011")</f>
        <v>#NAME?</v>
      </c>
      <c r="U3199" s="23" t="e">
        <f ca="1">[1]!BexGetData("DP_1","00O2TNJGODT0G5Z4TTKYMMUX1","GSON5115151011")</f>
        <v>#NAME?</v>
      </c>
      <c r="V3199" s="28" t="e">
        <f ca="1">[1]!BexGetData("DP_1","00O2TNJGODT0G5Z4TTKYMN18L","GSON5115151011")</f>
        <v>#NAME?</v>
      </c>
      <c r="W3199" s="23" t="e">
        <f ca="1">[1]!BexGetData("DP_1","00O2TNJGODT0G5Z4TTKYMN7K5","GSON5115151011")</f>
        <v>#NAME?</v>
      </c>
    </row>
    <row r="3200" spans="1:23" x14ac:dyDescent="0.2">
      <c r="A3200" s="36" t="s">
        <v>6580</v>
      </c>
      <c r="B3200" s="27" t="s">
        <v>6581</v>
      </c>
      <c r="C3200" s="23" t="e">
        <f ca="1">[1]!BexGetData("DP_1","003N8EMH8GTFRCSWKMPXRR8GU","GSON5115152011")</f>
        <v>#NAME?</v>
      </c>
      <c r="D3200" s="28" t="e">
        <f ca="1">[1]!BexGetData("DP_1","003N8EMH8GTFRCSWKMPXRRESE","GSON5115152011")</f>
        <v>#NAME?</v>
      </c>
      <c r="E3200" s="23" t="e">
        <f ca="1">[1]!BexGetData("DP_1","003N8EMH8GTFRCSWKMPXRRL3Y","GSON5115152011")</f>
        <v>#NAME?</v>
      </c>
      <c r="F3200" s="23" t="e">
        <f ca="1">[1]!BexGetData("DP_1","003N8EMH8GTFRCSWKMPXRRRFI","GSON5115152011")</f>
        <v>#NAME?</v>
      </c>
      <c r="G3200" s="23" t="e">
        <f ca="1">[1]!BexGetData("DP_1","003N8EMH8GTFRCSWKMPXRRXR2","GSON5115152011")</f>
        <v>#NAME?</v>
      </c>
      <c r="H3200" s="28" t="e">
        <f ca="1">[1]!BexGetData("DP_1","003N8EMH8GTFRCSWKMPXRS42M","GSON5115152011")</f>
        <v>#NAME?</v>
      </c>
      <c r="I3200" s="23" t="e">
        <f ca="1">[1]!BexGetData("DP_1","003N8EMH8GTFRCSWKMPXRSAE6","GSON5115152011")</f>
        <v>#NAME?</v>
      </c>
      <c r="J3200" s="24" t="e">
        <f ca="1">[1]!BexGetData("DP_1","003N8EMH8GTFRCSWKMPXRSGPQ","GSON5115152011")</f>
        <v>#NAME?</v>
      </c>
      <c r="K3200" s="23" t="e">
        <f ca="1">[1]!BexGetData("DP_1","003N8EMH8GTFRIVNUPY288VJH","GSON5115152011")</f>
        <v>#NAME?</v>
      </c>
      <c r="L3200" s="23" t="e">
        <f ca="1">[1]!BexGetData("DP_1","003N8EMH8GTFRIVNUPY2891V1","GSON5115152011")</f>
        <v>#NAME?</v>
      </c>
      <c r="M3200" s="23" t="e">
        <f ca="1">[1]!BexGetData("DP_1","003N8EMH8GTFRIVOG7KG9IQXA","GSON5115152011")</f>
        <v>#NAME?</v>
      </c>
      <c r="N3200" s="28" t="e">
        <f ca="1">[1]!BexGetData("DP_1","003N8EMH8GTFRIVOG7KG9IX8U","GSON5115152011")</f>
        <v>#NAME?</v>
      </c>
      <c r="O3200" s="23" t="e">
        <f ca="1">[1]!BexGetData("DP_1","003N8EMH8GTFRIVOG7KG9J3KE","GSON5115152011")</f>
        <v>#NAME?</v>
      </c>
      <c r="P3200" s="28" t="e">
        <f ca="1">[1]!BexGetData("DP_1","003N8EMH8GTFRIVOG7KG9J9VY","GSON5115152011")</f>
        <v>#NAME?</v>
      </c>
      <c r="Q3200" s="24" t="e">
        <f ca="1">[1]!BexGetData("DP_1","00O2TNJGODT0G5Z4TTKYMM5MT","GSON5115152011")</f>
        <v>#NAME?</v>
      </c>
      <c r="R3200" s="23" t="e">
        <f ca="1">[1]!BexGetData("DP_1","00O2TNJGODT0G5Z4TTKYMMBYD","GSON5115152011")</f>
        <v>#NAME?</v>
      </c>
      <c r="S3200" s="23" t="e">
        <f ca="1">[1]!BexGetData("DP_1","00O2TNJGODT0G5Z4TTKYMMI9X","GSON5115152011")</f>
        <v>#NAME?</v>
      </c>
      <c r="T3200" s="28" t="e">
        <f ca="1">[1]!BexGetData("DP_1","00O2TNJGODT0G5Z4TTKYMMOLH","GSON5115152011")</f>
        <v>#NAME?</v>
      </c>
      <c r="U3200" s="23" t="e">
        <f ca="1">[1]!BexGetData("DP_1","00O2TNJGODT0G5Z4TTKYMMUX1","GSON5115152011")</f>
        <v>#NAME?</v>
      </c>
      <c r="V3200" s="28" t="e">
        <f ca="1">[1]!BexGetData("DP_1","00O2TNJGODT0G5Z4TTKYMN18L","GSON5115152011")</f>
        <v>#NAME?</v>
      </c>
      <c r="W3200" s="23" t="e">
        <f ca="1">[1]!BexGetData("DP_1","00O2TNJGODT0G5Z4TTKYMN7K5","GSON5115152011")</f>
        <v>#NAME?</v>
      </c>
    </row>
    <row r="3201" spans="1:23" x14ac:dyDescent="0.2">
      <c r="A3201" s="36" t="s">
        <v>6582</v>
      </c>
      <c r="B3201" s="27" t="s">
        <v>6583</v>
      </c>
      <c r="C3201" s="23" t="e">
        <f ca="1">[1]!BexGetData("DP_1","003N8EMH8GTFRCSWKMPXRR8GU","GSON5115152021")</f>
        <v>#NAME?</v>
      </c>
      <c r="D3201" s="23" t="e">
        <f ca="1">[1]!BexGetData("DP_1","003N8EMH8GTFRCSWKMPXRRESE","GSON5115152021")</f>
        <v>#NAME?</v>
      </c>
      <c r="E3201" s="23" t="e">
        <f ca="1">[1]!BexGetData("DP_1","003N8EMH8GTFRCSWKMPXRRL3Y","GSON5115152021")</f>
        <v>#NAME?</v>
      </c>
      <c r="F3201" s="23" t="e">
        <f ca="1">[1]!BexGetData("DP_1","003N8EMH8GTFRCSWKMPXRRRFI","GSON5115152021")</f>
        <v>#NAME?</v>
      </c>
      <c r="G3201" s="23" t="e">
        <f ca="1">[1]!BexGetData("DP_1","003N8EMH8GTFRCSWKMPXRRXR2","GSON5115152021")</f>
        <v>#NAME?</v>
      </c>
      <c r="H3201" s="23" t="e">
        <f ca="1">[1]!BexGetData("DP_1","003N8EMH8GTFRCSWKMPXRS42M","GSON5115152021")</f>
        <v>#NAME?</v>
      </c>
      <c r="I3201" s="23" t="e">
        <f ca="1">[1]!BexGetData("DP_1","003N8EMH8GTFRCSWKMPXRSAE6","GSON5115152021")</f>
        <v>#NAME?</v>
      </c>
      <c r="J3201" s="24" t="e">
        <f ca="1">[1]!BexGetData("DP_1","003N8EMH8GTFRCSWKMPXRSGPQ","GSON5115152021")</f>
        <v>#NAME?</v>
      </c>
      <c r="K3201" s="23" t="e">
        <f ca="1">[1]!BexGetData("DP_1","003N8EMH8GTFRIVNUPY288VJH","GSON5115152021")</f>
        <v>#NAME?</v>
      </c>
      <c r="L3201" s="23" t="e">
        <f ca="1">[1]!BexGetData("DP_1","003N8EMH8GTFRIVNUPY2891V1","GSON5115152021")</f>
        <v>#NAME?</v>
      </c>
      <c r="M3201" s="23" t="e">
        <f ca="1">[1]!BexGetData("DP_1","003N8EMH8GTFRIVOG7KG9IQXA","GSON5115152021")</f>
        <v>#NAME?</v>
      </c>
      <c r="N3201" s="28" t="e">
        <f ca="1">[1]!BexGetData("DP_1","003N8EMH8GTFRIVOG7KG9IX8U","GSON5115152021")</f>
        <v>#NAME?</v>
      </c>
      <c r="O3201" s="23" t="e">
        <f ca="1">[1]!BexGetData("DP_1","003N8EMH8GTFRIVOG7KG9J3KE","GSON5115152021")</f>
        <v>#NAME?</v>
      </c>
      <c r="P3201" s="28" t="e">
        <f ca="1">[1]!BexGetData("DP_1","003N8EMH8GTFRIVOG7KG9J9VY","GSON5115152021")</f>
        <v>#NAME?</v>
      </c>
      <c r="Q3201" s="24" t="e">
        <f ca="1">[1]!BexGetData("DP_1","00O2TNJGODT0G5Z4TTKYMM5MT","GSON5115152021")</f>
        <v>#NAME?</v>
      </c>
      <c r="R3201" s="23" t="e">
        <f ca="1">[1]!BexGetData("DP_1","00O2TNJGODT0G5Z4TTKYMMBYD","GSON5115152021")</f>
        <v>#NAME?</v>
      </c>
      <c r="S3201" s="23" t="e">
        <f ca="1">[1]!BexGetData("DP_1","00O2TNJGODT0G5Z4TTKYMMI9X","GSON5115152021")</f>
        <v>#NAME?</v>
      </c>
      <c r="T3201" s="28" t="e">
        <f ca="1">[1]!BexGetData("DP_1","00O2TNJGODT0G5Z4TTKYMMOLH","GSON5115152021")</f>
        <v>#NAME?</v>
      </c>
      <c r="U3201" s="23" t="e">
        <f ca="1">[1]!BexGetData("DP_1","00O2TNJGODT0G5Z4TTKYMMUX1","GSON5115152021")</f>
        <v>#NAME?</v>
      </c>
      <c r="V3201" s="28" t="e">
        <f ca="1">[1]!BexGetData("DP_1","00O2TNJGODT0G5Z4TTKYMN18L","GSON5115152021")</f>
        <v>#NAME?</v>
      </c>
      <c r="W3201" s="23" t="e">
        <f ca="1">[1]!BexGetData("DP_1","00O2TNJGODT0G5Z4TTKYMN7K5","GSON5115152021")</f>
        <v>#NAME?</v>
      </c>
    </row>
    <row r="3202" spans="1:23" x14ac:dyDescent="0.2">
      <c r="A3202" s="36" t="s">
        <v>6584</v>
      </c>
      <c r="B3202" s="27" t="s">
        <v>6585</v>
      </c>
      <c r="C3202" s="23" t="e">
        <f ca="1">[1]!BexGetData("DP_1","003N8EMH8GTFRCSWKMPXRR8GU","GSON5115153011")</f>
        <v>#NAME?</v>
      </c>
      <c r="D3202" s="28" t="e">
        <f ca="1">[1]!BexGetData("DP_1","003N8EMH8GTFRCSWKMPXRRESE","GSON5115153011")</f>
        <v>#NAME?</v>
      </c>
      <c r="E3202" s="23" t="e">
        <f ca="1">[1]!BexGetData("DP_1","003N8EMH8GTFRCSWKMPXRRL3Y","GSON5115153011")</f>
        <v>#NAME?</v>
      </c>
      <c r="F3202" s="23" t="e">
        <f ca="1">[1]!BexGetData("DP_1","003N8EMH8GTFRCSWKMPXRRRFI","GSON5115153011")</f>
        <v>#NAME?</v>
      </c>
      <c r="G3202" s="23" t="e">
        <f ca="1">[1]!BexGetData("DP_1","003N8EMH8GTFRCSWKMPXRRXR2","GSON5115153011")</f>
        <v>#NAME?</v>
      </c>
      <c r="H3202" s="23" t="e">
        <f ca="1">[1]!BexGetData("DP_1","003N8EMH8GTFRCSWKMPXRS42M","GSON5115153011")</f>
        <v>#NAME?</v>
      </c>
      <c r="I3202" s="23" t="e">
        <f ca="1">[1]!BexGetData("DP_1","003N8EMH8GTFRCSWKMPXRSAE6","GSON5115153011")</f>
        <v>#NAME?</v>
      </c>
      <c r="J3202" s="24" t="e">
        <f ca="1">[1]!BexGetData("DP_1","003N8EMH8GTFRCSWKMPXRSGPQ","GSON5115153011")</f>
        <v>#NAME?</v>
      </c>
      <c r="K3202" s="23" t="e">
        <f ca="1">[1]!BexGetData("DP_1","003N8EMH8GTFRIVNUPY288VJH","GSON5115153011")</f>
        <v>#NAME?</v>
      </c>
      <c r="L3202" s="23" t="e">
        <f ca="1">[1]!BexGetData("DP_1","003N8EMH8GTFRIVNUPY2891V1","GSON5115153011")</f>
        <v>#NAME?</v>
      </c>
      <c r="M3202" s="23" t="e">
        <f ca="1">[1]!BexGetData("DP_1","003N8EMH8GTFRIVOG7KG9IQXA","GSON5115153011")</f>
        <v>#NAME?</v>
      </c>
      <c r="N3202" s="28" t="e">
        <f ca="1">[1]!BexGetData("DP_1","003N8EMH8GTFRIVOG7KG9IX8U","GSON5115153011")</f>
        <v>#NAME?</v>
      </c>
      <c r="O3202" s="23" t="e">
        <f ca="1">[1]!BexGetData("DP_1","003N8EMH8GTFRIVOG7KG9J3KE","GSON5115153011")</f>
        <v>#NAME?</v>
      </c>
      <c r="P3202" s="28" t="e">
        <f ca="1">[1]!BexGetData("DP_1","003N8EMH8GTFRIVOG7KG9J9VY","GSON5115153011")</f>
        <v>#NAME?</v>
      </c>
      <c r="Q3202" s="24" t="e">
        <f ca="1">[1]!BexGetData("DP_1","00O2TNJGODT0G5Z4TTKYMM5MT","GSON5115153011")</f>
        <v>#NAME?</v>
      </c>
      <c r="R3202" s="23" t="e">
        <f ca="1">[1]!BexGetData("DP_1","00O2TNJGODT0G5Z4TTKYMMBYD","GSON5115153011")</f>
        <v>#NAME?</v>
      </c>
      <c r="S3202" s="23" t="e">
        <f ca="1">[1]!BexGetData("DP_1","00O2TNJGODT0G5Z4TTKYMMI9X","GSON5115153011")</f>
        <v>#NAME?</v>
      </c>
      <c r="T3202" s="28" t="e">
        <f ca="1">[1]!BexGetData("DP_1","00O2TNJGODT0G5Z4TTKYMMOLH","GSON5115153011")</f>
        <v>#NAME?</v>
      </c>
      <c r="U3202" s="23" t="e">
        <f ca="1">[1]!BexGetData("DP_1","00O2TNJGODT0G5Z4TTKYMMUX1","GSON5115153011")</f>
        <v>#NAME?</v>
      </c>
      <c r="V3202" s="28" t="e">
        <f ca="1">[1]!BexGetData("DP_1","00O2TNJGODT0G5Z4TTKYMN18L","GSON5115153011")</f>
        <v>#NAME?</v>
      </c>
      <c r="W3202" s="23" t="e">
        <f ca="1">[1]!BexGetData("DP_1","00O2TNJGODT0G5Z4TTKYMN7K5","GSON5115153011")</f>
        <v>#NAME?</v>
      </c>
    </row>
    <row r="3203" spans="1:23" x14ac:dyDescent="0.2">
      <c r="A3203" s="36" t="s">
        <v>6586</v>
      </c>
      <c r="B3203" s="27" t="s">
        <v>6587</v>
      </c>
      <c r="C3203" s="23" t="e">
        <f ca="1">[1]!BexGetData("DP_1","003N8EMH8GTFRCSWKMPXRR8GU","GSON5115154021")</f>
        <v>#NAME?</v>
      </c>
      <c r="D3203" s="23" t="e">
        <f ca="1">[1]!BexGetData("DP_1","003N8EMH8GTFRCSWKMPXRRESE","GSON5115154021")</f>
        <v>#NAME?</v>
      </c>
      <c r="E3203" s="23" t="e">
        <f ca="1">[1]!BexGetData("DP_1","003N8EMH8GTFRCSWKMPXRRL3Y","GSON5115154021")</f>
        <v>#NAME?</v>
      </c>
      <c r="F3203" s="23" t="e">
        <f ca="1">[1]!BexGetData("DP_1","003N8EMH8GTFRCSWKMPXRRRFI","GSON5115154021")</f>
        <v>#NAME?</v>
      </c>
      <c r="G3203" s="23" t="e">
        <f ca="1">[1]!BexGetData("DP_1","003N8EMH8GTFRCSWKMPXRRXR2","GSON5115154021")</f>
        <v>#NAME?</v>
      </c>
      <c r="H3203" s="23" t="e">
        <f ca="1">[1]!BexGetData("DP_1","003N8EMH8GTFRCSWKMPXRS42M","GSON5115154021")</f>
        <v>#NAME?</v>
      </c>
      <c r="I3203" s="23" t="e">
        <f ca="1">[1]!BexGetData("DP_1","003N8EMH8GTFRCSWKMPXRSAE6","GSON5115154021")</f>
        <v>#NAME?</v>
      </c>
      <c r="J3203" s="24" t="e">
        <f ca="1">[1]!BexGetData("DP_1","003N8EMH8GTFRCSWKMPXRSGPQ","GSON5115154021")</f>
        <v>#NAME?</v>
      </c>
      <c r="K3203" s="23" t="e">
        <f ca="1">[1]!BexGetData("DP_1","003N8EMH8GTFRIVNUPY288VJH","GSON5115154021")</f>
        <v>#NAME?</v>
      </c>
      <c r="L3203" s="23" t="e">
        <f ca="1">[1]!BexGetData("DP_1","003N8EMH8GTFRIVNUPY2891V1","GSON5115154021")</f>
        <v>#NAME?</v>
      </c>
      <c r="M3203" s="28" t="e">
        <f ca="1">[1]!BexGetData("DP_1","003N8EMH8GTFRIVOG7KG9IQXA","GSON5115154021")</f>
        <v>#NAME?</v>
      </c>
      <c r="N3203" s="23" t="e">
        <f ca="1">[1]!BexGetData("DP_1","003N8EMH8GTFRIVOG7KG9IX8U","GSON5115154021")</f>
        <v>#NAME?</v>
      </c>
      <c r="O3203" s="28" t="e">
        <f ca="1">[1]!BexGetData("DP_1","003N8EMH8GTFRIVOG7KG9J3KE","GSON5115154021")</f>
        <v>#NAME?</v>
      </c>
      <c r="P3203" s="23" t="e">
        <f ca="1">[1]!BexGetData("DP_1","003N8EMH8GTFRIVOG7KG9J9VY","GSON5115154021")</f>
        <v>#NAME?</v>
      </c>
      <c r="Q3203" s="24" t="e">
        <f ca="1">[1]!BexGetData("DP_1","00O2TNJGODT0G5Z4TTKYMM5MT","GSON5115154021")</f>
        <v>#NAME?</v>
      </c>
      <c r="R3203" s="23" t="e">
        <f ca="1">[1]!BexGetData("DP_1","00O2TNJGODT0G5Z4TTKYMMBYD","GSON5115154021")</f>
        <v>#NAME?</v>
      </c>
      <c r="S3203" s="23" t="e">
        <f ca="1">[1]!BexGetData("DP_1","00O2TNJGODT0G5Z4TTKYMMI9X","GSON5115154021")</f>
        <v>#NAME?</v>
      </c>
      <c r="T3203" s="28" t="e">
        <f ca="1">[1]!BexGetData("DP_1","00O2TNJGODT0G5Z4TTKYMMOLH","GSON5115154021")</f>
        <v>#NAME?</v>
      </c>
      <c r="U3203" s="23" t="e">
        <f ca="1">[1]!BexGetData("DP_1","00O2TNJGODT0G5Z4TTKYMMUX1","GSON5115154021")</f>
        <v>#NAME?</v>
      </c>
      <c r="V3203" s="28" t="e">
        <f ca="1">[1]!BexGetData("DP_1","00O2TNJGODT0G5Z4TTKYMN18L","GSON5115154021")</f>
        <v>#NAME?</v>
      </c>
      <c r="W3203" s="23" t="e">
        <f ca="1">[1]!BexGetData("DP_1","00O2TNJGODT0G5Z4TTKYMN7K5","GSON5115154021")</f>
        <v>#NAME?</v>
      </c>
    </row>
    <row r="3204" spans="1:23" x14ac:dyDescent="0.2">
      <c r="A3204" s="36" t="s">
        <v>6588</v>
      </c>
      <c r="B3204" s="27" t="s">
        <v>6589</v>
      </c>
      <c r="C3204" s="23" t="e">
        <f ca="1">[1]!BexGetData("DP_1","003N8EMH8GTFRCSWKMPXRR8GU","GSON5115154031")</f>
        <v>#NAME?</v>
      </c>
      <c r="D3204" s="23" t="e">
        <f ca="1">[1]!BexGetData("DP_1","003N8EMH8GTFRCSWKMPXRRESE","GSON5115154031")</f>
        <v>#NAME?</v>
      </c>
      <c r="E3204" s="23" t="e">
        <f ca="1">[1]!BexGetData("DP_1","003N8EMH8GTFRCSWKMPXRRL3Y","GSON5115154031")</f>
        <v>#NAME?</v>
      </c>
      <c r="F3204" s="23" t="e">
        <f ca="1">[1]!BexGetData("DP_1","003N8EMH8GTFRCSWKMPXRRRFI","GSON5115154031")</f>
        <v>#NAME?</v>
      </c>
      <c r="G3204" s="23" t="e">
        <f ca="1">[1]!BexGetData("DP_1","003N8EMH8GTFRCSWKMPXRRXR2","GSON5115154031")</f>
        <v>#NAME?</v>
      </c>
      <c r="H3204" s="23" t="e">
        <f ca="1">[1]!BexGetData("DP_1","003N8EMH8GTFRCSWKMPXRS42M","GSON5115154031")</f>
        <v>#NAME?</v>
      </c>
      <c r="I3204" s="23" t="e">
        <f ca="1">[1]!BexGetData("DP_1","003N8EMH8GTFRCSWKMPXRSAE6","GSON5115154031")</f>
        <v>#NAME?</v>
      </c>
      <c r="J3204" s="24" t="e">
        <f ca="1">[1]!BexGetData("DP_1","003N8EMH8GTFRCSWKMPXRSGPQ","GSON5115154031")</f>
        <v>#NAME?</v>
      </c>
      <c r="K3204" s="23" t="e">
        <f ca="1">[1]!BexGetData("DP_1","003N8EMH8GTFRIVNUPY288VJH","GSON5115154031")</f>
        <v>#NAME?</v>
      </c>
      <c r="L3204" s="23" t="e">
        <f ca="1">[1]!BexGetData("DP_1","003N8EMH8GTFRIVNUPY2891V1","GSON5115154031")</f>
        <v>#NAME?</v>
      </c>
      <c r="M3204" s="23" t="e">
        <f ca="1">[1]!BexGetData("DP_1","003N8EMH8GTFRIVOG7KG9IQXA","GSON5115154031")</f>
        <v>#NAME?</v>
      </c>
      <c r="N3204" s="28" t="e">
        <f ca="1">[1]!BexGetData("DP_1","003N8EMH8GTFRIVOG7KG9IX8U","GSON5115154031")</f>
        <v>#NAME?</v>
      </c>
      <c r="O3204" s="23" t="e">
        <f ca="1">[1]!BexGetData("DP_1","003N8EMH8GTFRIVOG7KG9J3KE","GSON5115154031")</f>
        <v>#NAME?</v>
      </c>
      <c r="P3204" s="28" t="e">
        <f ca="1">[1]!BexGetData("DP_1","003N8EMH8GTFRIVOG7KG9J9VY","GSON5115154031")</f>
        <v>#NAME?</v>
      </c>
      <c r="Q3204" s="24" t="e">
        <f ca="1">[1]!BexGetData("DP_1","00O2TNJGODT0G5Z4TTKYMM5MT","GSON5115154031")</f>
        <v>#NAME?</v>
      </c>
      <c r="R3204" s="23" t="e">
        <f ca="1">[1]!BexGetData("DP_1","00O2TNJGODT0G5Z4TTKYMMBYD","GSON5115154031")</f>
        <v>#NAME?</v>
      </c>
      <c r="S3204" s="23" t="e">
        <f ca="1">[1]!BexGetData("DP_1","00O2TNJGODT0G5Z4TTKYMMI9X","GSON5115154031")</f>
        <v>#NAME?</v>
      </c>
      <c r="T3204" s="28" t="e">
        <f ca="1">[1]!BexGetData("DP_1","00O2TNJGODT0G5Z4TTKYMMOLH","GSON5115154031")</f>
        <v>#NAME?</v>
      </c>
      <c r="U3204" s="23" t="e">
        <f ca="1">[1]!BexGetData("DP_1","00O2TNJGODT0G5Z4TTKYMMUX1","GSON5115154031")</f>
        <v>#NAME?</v>
      </c>
      <c r="V3204" s="28" t="e">
        <f ca="1">[1]!BexGetData("DP_1","00O2TNJGODT0G5Z4TTKYMN18L","GSON5115154031")</f>
        <v>#NAME?</v>
      </c>
      <c r="W3204" s="23" t="e">
        <f ca="1">[1]!BexGetData("DP_1","00O2TNJGODT0G5Z4TTKYMN7K5","GSON5115154031")</f>
        <v>#NAME?</v>
      </c>
    </row>
    <row r="3205" spans="1:23" x14ac:dyDescent="0.2">
      <c r="A3205" s="36" t="s">
        <v>6590</v>
      </c>
      <c r="B3205" s="27" t="s">
        <v>6591</v>
      </c>
      <c r="C3205" s="23" t="e">
        <f ca="1">[1]!BexGetData("DP_1","003N8EMH8GTFRCSWKMPXRR8GU","GSON5115154041")</f>
        <v>#NAME?</v>
      </c>
      <c r="D3205" s="23" t="e">
        <f ca="1">[1]!BexGetData("DP_1","003N8EMH8GTFRCSWKMPXRRESE","GSON5115154041")</f>
        <v>#NAME?</v>
      </c>
      <c r="E3205" s="23" t="e">
        <f ca="1">[1]!BexGetData("DP_1","003N8EMH8GTFRCSWKMPXRRL3Y","GSON5115154041")</f>
        <v>#NAME?</v>
      </c>
      <c r="F3205" s="23" t="e">
        <f ca="1">[1]!BexGetData("DP_1","003N8EMH8GTFRCSWKMPXRRRFI","GSON5115154041")</f>
        <v>#NAME?</v>
      </c>
      <c r="G3205" s="23" t="e">
        <f ca="1">[1]!BexGetData("DP_1","003N8EMH8GTFRCSWKMPXRRXR2","GSON5115154041")</f>
        <v>#NAME?</v>
      </c>
      <c r="H3205" s="23" t="e">
        <f ca="1">[1]!BexGetData("DP_1","003N8EMH8GTFRCSWKMPXRS42M","GSON5115154041")</f>
        <v>#NAME?</v>
      </c>
      <c r="I3205" s="23" t="e">
        <f ca="1">[1]!BexGetData("DP_1","003N8EMH8GTFRCSWKMPXRSAE6","GSON5115154041")</f>
        <v>#NAME?</v>
      </c>
      <c r="J3205" s="24" t="e">
        <f ca="1">[1]!BexGetData("DP_1","003N8EMH8GTFRCSWKMPXRSGPQ","GSON5115154041")</f>
        <v>#NAME?</v>
      </c>
      <c r="K3205" s="23" t="e">
        <f ca="1">[1]!BexGetData("DP_1","003N8EMH8GTFRIVNUPY288VJH","GSON5115154041")</f>
        <v>#NAME?</v>
      </c>
      <c r="L3205" s="23" t="e">
        <f ca="1">[1]!BexGetData("DP_1","003N8EMH8GTFRIVNUPY2891V1","GSON5115154041")</f>
        <v>#NAME?</v>
      </c>
      <c r="M3205" s="28" t="e">
        <f ca="1">[1]!BexGetData("DP_1","003N8EMH8GTFRIVOG7KG9IQXA","GSON5115154041")</f>
        <v>#NAME?</v>
      </c>
      <c r="N3205" s="23" t="e">
        <f ca="1">[1]!BexGetData("DP_1","003N8EMH8GTFRIVOG7KG9IX8U","GSON5115154041")</f>
        <v>#NAME?</v>
      </c>
      <c r="O3205" s="28" t="e">
        <f ca="1">[1]!BexGetData("DP_1","003N8EMH8GTFRIVOG7KG9J3KE","GSON5115154041")</f>
        <v>#NAME?</v>
      </c>
      <c r="P3205" s="23" t="e">
        <f ca="1">[1]!BexGetData("DP_1","003N8EMH8GTFRIVOG7KG9J9VY","GSON5115154041")</f>
        <v>#NAME?</v>
      </c>
      <c r="Q3205" s="24" t="e">
        <f ca="1">[1]!BexGetData("DP_1","00O2TNJGODT0G5Z4TTKYMM5MT","GSON5115154041")</f>
        <v>#NAME?</v>
      </c>
      <c r="R3205" s="23" t="e">
        <f ca="1">[1]!BexGetData("DP_1","00O2TNJGODT0G5Z4TTKYMMBYD","GSON5115154041")</f>
        <v>#NAME?</v>
      </c>
      <c r="S3205" s="23" t="e">
        <f ca="1">[1]!BexGetData("DP_1","00O2TNJGODT0G5Z4TTKYMMI9X","GSON5115154041")</f>
        <v>#NAME?</v>
      </c>
      <c r="T3205" s="28" t="e">
        <f ca="1">[1]!BexGetData("DP_1","00O2TNJGODT0G5Z4TTKYMMOLH","GSON5115154041")</f>
        <v>#NAME?</v>
      </c>
      <c r="U3205" s="23" t="e">
        <f ca="1">[1]!BexGetData("DP_1","00O2TNJGODT0G5Z4TTKYMMUX1","GSON5115154041")</f>
        <v>#NAME?</v>
      </c>
      <c r="V3205" s="28" t="e">
        <f ca="1">[1]!BexGetData("DP_1","00O2TNJGODT0G5Z4TTKYMN18L","GSON5115154041")</f>
        <v>#NAME?</v>
      </c>
      <c r="W3205" s="23" t="e">
        <f ca="1">[1]!BexGetData("DP_1","00O2TNJGODT0G5Z4TTKYMN7K5","GSON5115154041")</f>
        <v>#NAME?</v>
      </c>
    </row>
    <row r="3206" spans="1:23" x14ac:dyDescent="0.2">
      <c r="A3206" s="36" t="s">
        <v>6592</v>
      </c>
      <c r="B3206" s="27" t="s">
        <v>6593</v>
      </c>
      <c r="C3206" s="23" t="e">
        <f ca="1">[1]!BexGetData("DP_1","003N8EMH8GTFRCSWKMPXRR8GU","GSON5115154051")</f>
        <v>#NAME?</v>
      </c>
      <c r="D3206" s="23" t="e">
        <f ca="1">[1]!BexGetData("DP_1","003N8EMH8GTFRCSWKMPXRRESE","GSON5115154051")</f>
        <v>#NAME?</v>
      </c>
      <c r="E3206" s="23" t="e">
        <f ca="1">[1]!BexGetData("DP_1","003N8EMH8GTFRCSWKMPXRRL3Y","GSON5115154051")</f>
        <v>#NAME?</v>
      </c>
      <c r="F3206" s="23" t="e">
        <f ca="1">[1]!BexGetData("DP_1","003N8EMH8GTFRCSWKMPXRRRFI","GSON5115154051")</f>
        <v>#NAME?</v>
      </c>
      <c r="G3206" s="23" t="e">
        <f ca="1">[1]!BexGetData("DP_1","003N8EMH8GTFRCSWKMPXRRXR2","GSON5115154051")</f>
        <v>#NAME?</v>
      </c>
      <c r="H3206" s="28" t="e">
        <f ca="1">[1]!BexGetData("DP_1","003N8EMH8GTFRCSWKMPXRS42M","GSON5115154051")</f>
        <v>#NAME?</v>
      </c>
      <c r="I3206" s="23" t="e">
        <f ca="1">[1]!BexGetData("DP_1","003N8EMH8GTFRCSWKMPXRSAE6","GSON5115154051")</f>
        <v>#NAME?</v>
      </c>
      <c r="J3206" s="24" t="e">
        <f ca="1">[1]!BexGetData("DP_1","003N8EMH8GTFRCSWKMPXRSGPQ","GSON5115154051")</f>
        <v>#NAME?</v>
      </c>
      <c r="K3206" s="23" t="e">
        <f ca="1">[1]!BexGetData("DP_1","003N8EMH8GTFRIVNUPY288VJH","GSON5115154051")</f>
        <v>#NAME?</v>
      </c>
      <c r="L3206" s="23" t="e">
        <f ca="1">[1]!BexGetData("DP_1","003N8EMH8GTFRIVNUPY2891V1","GSON5115154051")</f>
        <v>#NAME?</v>
      </c>
      <c r="M3206" s="28" t="e">
        <f ca="1">[1]!BexGetData("DP_1","003N8EMH8GTFRIVOG7KG9IQXA","GSON5115154051")</f>
        <v>#NAME?</v>
      </c>
      <c r="N3206" s="23" t="e">
        <f ca="1">[1]!BexGetData("DP_1","003N8EMH8GTFRIVOG7KG9IX8U","GSON5115154051")</f>
        <v>#NAME?</v>
      </c>
      <c r="O3206" s="28" t="e">
        <f ca="1">[1]!BexGetData("DP_1","003N8EMH8GTFRIVOG7KG9J3KE","GSON5115154051")</f>
        <v>#NAME?</v>
      </c>
      <c r="P3206" s="23" t="e">
        <f ca="1">[1]!BexGetData("DP_1","003N8EMH8GTFRIVOG7KG9J9VY","GSON5115154051")</f>
        <v>#NAME?</v>
      </c>
      <c r="Q3206" s="24" t="e">
        <f ca="1">[1]!BexGetData("DP_1","00O2TNJGODT0G5Z4TTKYMM5MT","GSON5115154051")</f>
        <v>#NAME?</v>
      </c>
      <c r="R3206" s="23" t="e">
        <f ca="1">[1]!BexGetData("DP_1","00O2TNJGODT0G5Z4TTKYMMBYD","GSON5115154051")</f>
        <v>#NAME?</v>
      </c>
      <c r="S3206" s="23" t="e">
        <f ca="1">[1]!BexGetData("DP_1","00O2TNJGODT0G5Z4TTKYMMI9X","GSON5115154051")</f>
        <v>#NAME?</v>
      </c>
      <c r="T3206" s="28" t="e">
        <f ca="1">[1]!BexGetData("DP_1","00O2TNJGODT0G5Z4TTKYMMOLH","GSON5115154051")</f>
        <v>#NAME?</v>
      </c>
      <c r="U3206" s="23" t="e">
        <f ca="1">[1]!BexGetData("DP_1","00O2TNJGODT0G5Z4TTKYMMUX1","GSON5115154051")</f>
        <v>#NAME?</v>
      </c>
      <c r="V3206" s="28" t="e">
        <f ca="1">[1]!BexGetData("DP_1","00O2TNJGODT0G5Z4TTKYMN18L","GSON5115154051")</f>
        <v>#NAME?</v>
      </c>
      <c r="W3206" s="23" t="e">
        <f ca="1">[1]!BexGetData("DP_1","00O2TNJGODT0G5Z4TTKYMN7K5","GSON5115154051")</f>
        <v>#NAME?</v>
      </c>
    </row>
    <row r="3207" spans="1:23" x14ac:dyDescent="0.2">
      <c r="A3207" s="36" t="s">
        <v>6594</v>
      </c>
      <c r="B3207" s="27" t="s">
        <v>6595</v>
      </c>
      <c r="C3207" s="23" t="e">
        <f ca="1">[1]!BexGetData("DP_1","003N8EMH8GTFRCSWKMPXRR8GU","GSON5115154061")</f>
        <v>#NAME?</v>
      </c>
      <c r="D3207" s="23" t="e">
        <f ca="1">[1]!BexGetData("DP_1","003N8EMH8GTFRCSWKMPXRRESE","GSON5115154061")</f>
        <v>#NAME?</v>
      </c>
      <c r="E3207" s="23" t="e">
        <f ca="1">[1]!BexGetData("DP_1","003N8EMH8GTFRCSWKMPXRRL3Y","GSON5115154061")</f>
        <v>#NAME?</v>
      </c>
      <c r="F3207" s="23" t="e">
        <f ca="1">[1]!BexGetData("DP_1","003N8EMH8GTFRCSWKMPXRRRFI","GSON5115154061")</f>
        <v>#NAME?</v>
      </c>
      <c r="G3207" s="23" t="e">
        <f ca="1">[1]!BexGetData("DP_1","003N8EMH8GTFRCSWKMPXRRXR2","GSON5115154061")</f>
        <v>#NAME?</v>
      </c>
      <c r="H3207" s="23" t="e">
        <f ca="1">[1]!BexGetData("DP_1","003N8EMH8GTFRCSWKMPXRS42M","GSON5115154061")</f>
        <v>#NAME?</v>
      </c>
      <c r="I3207" s="23" t="e">
        <f ca="1">[1]!BexGetData("DP_1","003N8EMH8GTFRCSWKMPXRSAE6","GSON5115154061")</f>
        <v>#NAME?</v>
      </c>
      <c r="J3207" s="24" t="e">
        <f ca="1">[1]!BexGetData("DP_1","003N8EMH8GTFRCSWKMPXRSGPQ","GSON5115154061")</f>
        <v>#NAME?</v>
      </c>
      <c r="K3207" s="23" t="e">
        <f ca="1">[1]!BexGetData("DP_1","003N8EMH8GTFRIVNUPY288VJH","GSON5115154061")</f>
        <v>#NAME?</v>
      </c>
      <c r="L3207" s="23" t="e">
        <f ca="1">[1]!BexGetData("DP_1","003N8EMH8GTFRIVNUPY2891V1","GSON5115154061")</f>
        <v>#NAME?</v>
      </c>
      <c r="M3207" s="23" t="e">
        <f ca="1">[1]!BexGetData("DP_1","003N8EMH8GTFRIVOG7KG9IQXA","GSON5115154061")</f>
        <v>#NAME?</v>
      </c>
      <c r="N3207" s="28" t="e">
        <f ca="1">[1]!BexGetData("DP_1","003N8EMH8GTFRIVOG7KG9IX8U","GSON5115154061")</f>
        <v>#NAME?</v>
      </c>
      <c r="O3207" s="23" t="e">
        <f ca="1">[1]!BexGetData("DP_1","003N8EMH8GTFRIVOG7KG9J3KE","GSON5115154061")</f>
        <v>#NAME?</v>
      </c>
      <c r="P3207" s="28" t="e">
        <f ca="1">[1]!BexGetData("DP_1","003N8EMH8GTFRIVOG7KG9J9VY","GSON5115154061")</f>
        <v>#NAME?</v>
      </c>
      <c r="Q3207" s="24" t="e">
        <f ca="1">[1]!BexGetData("DP_1","00O2TNJGODT0G5Z4TTKYMM5MT","GSON5115154061")</f>
        <v>#NAME?</v>
      </c>
      <c r="R3207" s="23" t="e">
        <f ca="1">[1]!BexGetData("DP_1","00O2TNJGODT0G5Z4TTKYMMBYD","GSON5115154061")</f>
        <v>#NAME?</v>
      </c>
      <c r="S3207" s="23" t="e">
        <f ca="1">[1]!BexGetData("DP_1","00O2TNJGODT0G5Z4TTKYMMI9X","GSON5115154061")</f>
        <v>#NAME?</v>
      </c>
      <c r="T3207" s="28" t="e">
        <f ca="1">[1]!BexGetData("DP_1","00O2TNJGODT0G5Z4TTKYMMOLH","GSON5115154061")</f>
        <v>#NAME?</v>
      </c>
      <c r="U3207" s="23" t="e">
        <f ca="1">[1]!BexGetData("DP_1","00O2TNJGODT0G5Z4TTKYMMUX1","GSON5115154061")</f>
        <v>#NAME?</v>
      </c>
      <c r="V3207" s="28" t="e">
        <f ca="1">[1]!BexGetData("DP_1","00O2TNJGODT0G5Z4TTKYMN18L","GSON5115154061")</f>
        <v>#NAME?</v>
      </c>
      <c r="W3207" s="23" t="e">
        <f ca="1">[1]!BexGetData("DP_1","00O2TNJGODT0G5Z4TTKYMN7K5","GSON5115154061")</f>
        <v>#NAME?</v>
      </c>
    </row>
    <row r="3208" spans="1:23" x14ac:dyDescent="0.2">
      <c r="A3208" s="36" t="s">
        <v>6596</v>
      </c>
      <c r="B3208" s="27" t="s">
        <v>6597</v>
      </c>
      <c r="C3208" s="23" t="e">
        <f ca="1">[1]!BexGetData("DP_1","003N8EMH8GTFRCSWKMPXRR8GU","GSON5115154071")</f>
        <v>#NAME?</v>
      </c>
      <c r="D3208" s="23" t="e">
        <f ca="1">[1]!BexGetData("DP_1","003N8EMH8GTFRCSWKMPXRRESE","GSON5115154071")</f>
        <v>#NAME?</v>
      </c>
      <c r="E3208" s="23" t="e">
        <f ca="1">[1]!BexGetData("DP_1","003N8EMH8GTFRCSWKMPXRRL3Y","GSON5115154071")</f>
        <v>#NAME?</v>
      </c>
      <c r="F3208" s="23" t="e">
        <f ca="1">[1]!BexGetData("DP_1","003N8EMH8GTFRCSWKMPXRRRFI","GSON5115154071")</f>
        <v>#NAME?</v>
      </c>
      <c r="G3208" s="23" t="e">
        <f ca="1">[1]!BexGetData("DP_1","003N8EMH8GTFRCSWKMPXRRXR2","GSON5115154071")</f>
        <v>#NAME?</v>
      </c>
      <c r="H3208" s="23" t="e">
        <f ca="1">[1]!BexGetData("DP_1","003N8EMH8GTFRCSWKMPXRS42M","GSON5115154071")</f>
        <v>#NAME?</v>
      </c>
      <c r="I3208" s="23" t="e">
        <f ca="1">[1]!BexGetData("DP_1","003N8EMH8GTFRCSWKMPXRSAE6","GSON5115154071")</f>
        <v>#NAME?</v>
      </c>
      <c r="J3208" s="24" t="e">
        <f ca="1">[1]!BexGetData("DP_1","003N8EMH8GTFRCSWKMPXRSGPQ","GSON5115154071")</f>
        <v>#NAME?</v>
      </c>
      <c r="K3208" s="23" t="e">
        <f ca="1">[1]!BexGetData("DP_1","003N8EMH8GTFRIVNUPY288VJH","GSON5115154071")</f>
        <v>#NAME?</v>
      </c>
      <c r="L3208" s="23" t="e">
        <f ca="1">[1]!BexGetData("DP_1","003N8EMH8GTFRIVNUPY2891V1","GSON5115154071")</f>
        <v>#NAME?</v>
      </c>
      <c r="M3208" s="23" t="e">
        <f ca="1">[1]!BexGetData("DP_1","003N8EMH8GTFRIVOG7KG9IQXA","GSON5115154071")</f>
        <v>#NAME?</v>
      </c>
      <c r="N3208" s="28" t="e">
        <f ca="1">[1]!BexGetData("DP_1","003N8EMH8GTFRIVOG7KG9IX8U","GSON5115154071")</f>
        <v>#NAME?</v>
      </c>
      <c r="O3208" s="23" t="e">
        <f ca="1">[1]!BexGetData("DP_1","003N8EMH8GTFRIVOG7KG9J3KE","GSON5115154071")</f>
        <v>#NAME?</v>
      </c>
      <c r="P3208" s="28" t="e">
        <f ca="1">[1]!BexGetData("DP_1","003N8EMH8GTFRIVOG7KG9J9VY","GSON5115154071")</f>
        <v>#NAME?</v>
      </c>
      <c r="Q3208" s="24" t="e">
        <f ca="1">[1]!BexGetData("DP_1","00O2TNJGODT0G5Z4TTKYMM5MT","GSON5115154071")</f>
        <v>#NAME?</v>
      </c>
      <c r="R3208" s="23" t="e">
        <f ca="1">[1]!BexGetData("DP_1","00O2TNJGODT0G5Z4TTKYMMBYD","GSON5115154071")</f>
        <v>#NAME?</v>
      </c>
      <c r="S3208" s="23" t="e">
        <f ca="1">[1]!BexGetData("DP_1","00O2TNJGODT0G5Z4TTKYMMI9X","GSON5115154071")</f>
        <v>#NAME?</v>
      </c>
      <c r="T3208" s="28" t="e">
        <f ca="1">[1]!BexGetData("DP_1","00O2TNJGODT0G5Z4TTKYMMOLH","GSON5115154071")</f>
        <v>#NAME?</v>
      </c>
      <c r="U3208" s="23" t="e">
        <f ca="1">[1]!BexGetData("DP_1","00O2TNJGODT0G5Z4TTKYMMUX1","GSON5115154071")</f>
        <v>#NAME?</v>
      </c>
      <c r="V3208" s="28" t="e">
        <f ca="1">[1]!BexGetData("DP_1","00O2TNJGODT0G5Z4TTKYMN18L","GSON5115154071")</f>
        <v>#NAME?</v>
      </c>
      <c r="W3208" s="23" t="e">
        <f ca="1">[1]!BexGetData("DP_1","00O2TNJGODT0G5Z4TTKYMN7K5","GSON5115154071")</f>
        <v>#NAME?</v>
      </c>
    </row>
    <row r="3209" spans="1:23" x14ac:dyDescent="0.2">
      <c r="A3209" s="36" t="s">
        <v>6598</v>
      </c>
      <c r="B3209" s="27" t="s">
        <v>6599</v>
      </c>
      <c r="C3209" s="23" t="e">
        <f ca="1">[1]!BexGetData("DP_1","003N8EMH8GTFRCSWKMPXRR8GU","GSON5115154091")</f>
        <v>#NAME?</v>
      </c>
      <c r="D3209" s="23" t="e">
        <f ca="1">[1]!BexGetData("DP_1","003N8EMH8GTFRCSWKMPXRRESE","GSON5115154091")</f>
        <v>#NAME?</v>
      </c>
      <c r="E3209" s="23" t="e">
        <f ca="1">[1]!BexGetData("DP_1","003N8EMH8GTFRCSWKMPXRRL3Y","GSON5115154091")</f>
        <v>#NAME?</v>
      </c>
      <c r="F3209" s="23" t="e">
        <f ca="1">[1]!BexGetData("DP_1","003N8EMH8GTFRCSWKMPXRRRFI","GSON5115154091")</f>
        <v>#NAME?</v>
      </c>
      <c r="G3209" s="23" t="e">
        <f ca="1">[1]!BexGetData("DP_1","003N8EMH8GTFRCSWKMPXRRXR2","GSON5115154091")</f>
        <v>#NAME?</v>
      </c>
      <c r="H3209" s="28" t="e">
        <f ca="1">[1]!BexGetData("DP_1","003N8EMH8GTFRCSWKMPXRS42M","GSON5115154091")</f>
        <v>#NAME?</v>
      </c>
      <c r="I3209" s="23" t="e">
        <f ca="1">[1]!BexGetData("DP_1","003N8EMH8GTFRCSWKMPXRSAE6","GSON5115154091")</f>
        <v>#NAME?</v>
      </c>
      <c r="J3209" s="24" t="e">
        <f ca="1">[1]!BexGetData("DP_1","003N8EMH8GTFRCSWKMPXRSGPQ","GSON5115154091")</f>
        <v>#NAME?</v>
      </c>
      <c r="K3209" s="23" t="e">
        <f ca="1">[1]!BexGetData("DP_1","003N8EMH8GTFRIVNUPY288VJH","GSON5115154091")</f>
        <v>#NAME?</v>
      </c>
      <c r="L3209" s="23" t="e">
        <f ca="1">[1]!BexGetData("DP_1","003N8EMH8GTFRIVNUPY2891V1","GSON5115154091")</f>
        <v>#NAME?</v>
      </c>
      <c r="M3209" s="28" t="e">
        <f ca="1">[1]!BexGetData("DP_1","003N8EMH8GTFRIVOG7KG9IQXA","GSON5115154091")</f>
        <v>#NAME?</v>
      </c>
      <c r="N3209" s="23" t="e">
        <f ca="1">[1]!BexGetData("DP_1","003N8EMH8GTFRIVOG7KG9IX8U","GSON5115154091")</f>
        <v>#NAME?</v>
      </c>
      <c r="O3209" s="28" t="e">
        <f ca="1">[1]!BexGetData("DP_1","003N8EMH8GTFRIVOG7KG9J3KE","GSON5115154091")</f>
        <v>#NAME?</v>
      </c>
      <c r="P3209" s="23" t="e">
        <f ca="1">[1]!BexGetData("DP_1","003N8EMH8GTFRIVOG7KG9J9VY","GSON5115154091")</f>
        <v>#NAME?</v>
      </c>
      <c r="Q3209" s="24" t="e">
        <f ca="1">[1]!BexGetData("DP_1","00O2TNJGODT0G5Z4TTKYMM5MT","GSON5115154091")</f>
        <v>#NAME?</v>
      </c>
      <c r="R3209" s="23" t="e">
        <f ca="1">[1]!BexGetData("DP_1","00O2TNJGODT0G5Z4TTKYMMBYD","GSON5115154091")</f>
        <v>#NAME?</v>
      </c>
      <c r="S3209" s="23" t="e">
        <f ca="1">[1]!BexGetData("DP_1","00O2TNJGODT0G5Z4TTKYMMI9X","GSON5115154091")</f>
        <v>#NAME?</v>
      </c>
      <c r="T3209" s="28" t="e">
        <f ca="1">[1]!BexGetData("DP_1","00O2TNJGODT0G5Z4TTKYMMOLH","GSON5115154091")</f>
        <v>#NAME?</v>
      </c>
      <c r="U3209" s="23" t="e">
        <f ca="1">[1]!BexGetData("DP_1","00O2TNJGODT0G5Z4TTKYMMUX1","GSON5115154091")</f>
        <v>#NAME?</v>
      </c>
      <c r="V3209" s="28" t="e">
        <f ca="1">[1]!BexGetData("DP_1","00O2TNJGODT0G5Z4TTKYMN18L","GSON5115154091")</f>
        <v>#NAME?</v>
      </c>
      <c r="W3209" s="23" t="e">
        <f ca="1">[1]!BexGetData("DP_1","00O2TNJGODT0G5Z4TTKYMN7K5","GSON5115154091")</f>
        <v>#NAME?</v>
      </c>
    </row>
    <row r="3210" spans="1:23" x14ac:dyDescent="0.2">
      <c r="A3210" s="36" t="s">
        <v>6600</v>
      </c>
      <c r="B3210" s="27" t="s">
        <v>6601</v>
      </c>
      <c r="C3210" s="23" t="e">
        <f ca="1">[1]!BexGetData("DP_1","003N8EMH8GTFRCSWKMPXRR8GU","GSON5115154111")</f>
        <v>#NAME?</v>
      </c>
      <c r="D3210" s="23" t="e">
        <f ca="1">[1]!BexGetData("DP_1","003N8EMH8GTFRCSWKMPXRRESE","GSON5115154111")</f>
        <v>#NAME?</v>
      </c>
      <c r="E3210" s="23" t="e">
        <f ca="1">[1]!BexGetData("DP_1","003N8EMH8GTFRCSWKMPXRRL3Y","GSON5115154111")</f>
        <v>#NAME?</v>
      </c>
      <c r="F3210" s="23" t="e">
        <f ca="1">[1]!BexGetData("DP_1","003N8EMH8GTFRCSWKMPXRRRFI","GSON5115154111")</f>
        <v>#NAME?</v>
      </c>
      <c r="G3210" s="23" t="e">
        <f ca="1">[1]!BexGetData("DP_1","003N8EMH8GTFRCSWKMPXRRXR2","GSON5115154111")</f>
        <v>#NAME?</v>
      </c>
      <c r="H3210" s="23" t="e">
        <f ca="1">[1]!BexGetData("DP_1","003N8EMH8GTFRCSWKMPXRS42M","GSON5115154111")</f>
        <v>#NAME?</v>
      </c>
      <c r="I3210" s="23" t="e">
        <f ca="1">[1]!BexGetData("DP_1","003N8EMH8GTFRCSWKMPXRSAE6","GSON5115154111")</f>
        <v>#NAME?</v>
      </c>
      <c r="J3210" s="24" t="e">
        <f ca="1">[1]!BexGetData("DP_1","003N8EMH8GTFRCSWKMPXRSGPQ","GSON5115154111")</f>
        <v>#NAME?</v>
      </c>
      <c r="K3210" s="23" t="e">
        <f ca="1">[1]!BexGetData("DP_1","003N8EMH8GTFRIVNUPY288VJH","GSON5115154111")</f>
        <v>#NAME?</v>
      </c>
      <c r="L3210" s="23" t="e">
        <f ca="1">[1]!BexGetData("DP_1","003N8EMH8GTFRIVNUPY2891V1","GSON5115154111")</f>
        <v>#NAME?</v>
      </c>
      <c r="M3210" s="23" t="e">
        <f ca="1">[1]!BexGetData("DP_1","003N8EMH8GTFRIVOG7KG9IQXA","GSON5115154111")</f>
        <v>#NAME?</v>
      </c>
      <c r="N3210" s="28" t="e">
        <f ca="1">[1]!BexGetData("DP_1","003N8EMH8GTFRIVOG7KG9IX8U","GSON5115154111")</f>
        <v>#NAME?</v>
      </c>
      <c r="O3210" s="23" t="e">
        <f ca="1">[1]!BexGetData("DP_1","003N8EMH8GTFRIVOG7KG9J3KE","GSON5115154111")</f>
        <v>#NAME?</v>
      </c>
      <c r="P3210" s="28" t="e">
        <f ca="1">[1]!BexGetData("DP_1","003N8EMH8GTFRIVOG7KG9J9VY","GSON5115154111")</f>
        <v>#NAME?</v>
      </c>
      <c r="Q3210" s="24" t="e">
        <f ca="1">[1]!BexGetData("DP_1","00O2TNJGODT0G5Z4TTKYMM5MT","GSON5115154111")</f>
        <v>#NAME?</v>
      </c>
      <c r="R3210" s="23" t="e">
        <f ca="1">[1]!BexGetData("DP_1","00O2TNJGODT0G5Z4TTKYMMBYD","GSON5115154111")</f>
        <v>#NAME?</v>
      </c>
      <c r="S3210" s="23" t="e">
        <f ca="1">[1]!BexGetData("DP_1","00O2TNJGODT0G5Z4TTKYMMI9X","GSON5115154111")</f>
        <v>#NAME?</v>
      </c>
      <c r="T3210" s="28" t="e">
        <f ca="1">[1]!BexGetData("DP_1","00O2TNJGODT0G5Z4TTKYMMOLH","GSON5115154111")</f>
        <v>#NAME?</v>
      </c>
      <c r="U3210" s="23" t="e">
        <f ca="1">[1]!BexGetData("DP_1","00O2TNJGODT0G5Z4TTKYMMUX1","GSON5115154111")</f>
        <v>#NAME?</v>
      </c>
      <c r="V3210" s="28" t="e">
        <f ca="1">[1]!BexGetData("DP_1","00O2TNJGODT0G5Z4TTKYMN18L","GSON5115154111")</f>
        <v>#NAME?</v>
      </c>
      <c r="W3210" s="23" t="e">
        <f ca="1">[1]!BexGetData("DP_1","00O2TNJGODT0G5Z4TTKYMN7K5","GSON5115154111")</f>
        <v>#NAME?</v>
      </c>
    </row>
    <row r="3211" spans="1:23" x14ac:dyDescent="0.2">
      <c r="A3211" s="36" t="s">
        <v>6602</v>
      </c>
      <c r="B3211" s="27" t="s">
        <v>6603</v>
      </c>
      <c r="C3211" s="23" t="e">
        <f ca="1">[1]!BexGetData("DP_1","003N8EMH8GTFRCSWKMPXRR8GU","GSON5115154121")</f>
        <v>#NAME?</v>
      </c>
      <c r="D3211" s="23" t="e">
        <f ca="1">[1]!BexGetData("DP_1","003N8EMH8GTFRCSWKMPXRRESE","GSON5115154121")</f>
        <v>#NAME?</v>
      </c>
      <c r="E3211" s="23" t="e">
        <f ca="1">[1]!BexGetData("DP_1","003N8EMH8GTFRCSWKMPXRRL3Y","GSON5115154121")</f>
        <v>#NAME?</v>
      </c>
      <c r="F3211" s="23" t="e">
        <f ca="1">[1]!BexGetData("DP_1","003N8EMH8GTFRCSWKMPXRRRFI","GSON5115154121")</f>
        <v>#NAME?</v>
      </c>
      <c r="G3211" s="23" t="e">
        <f ca="1">[1]!BexGetData("DP_1","003N8EMH8GTFRCSWKMPXRRXR2","GSON5115154121")</f>
        <v>#NAME?</v>
      </c>
      <c r="H3211" s="23" t="e">
        <f ca="1">[1]!BexGetData("DP_1","003N8EMH8GTFRCSWKMPXRS42M","GSON5115154121")</f>
        <v>#NAME?</v>
      </c>
      <c r="I3211" s="23" t="e">
        <f ca="1">[1]!BexGetData("DP_1","003N8EMH8GTFRCSWKMPXRSAE6","GSON5115154121")</f>
        <v>#NAME?</v>
      </c>
      <c r="J3211" s="24" t="e">
        <f ca="1">[1]!BexGetData("DP_1","003N8EMH8GTFRCSWKMPXRSGPQ","GSON5115154121")</f>
        <v>#NAME?</v>
      </c>
      <c r="K3211" s="23" t="e">
        <f ca="1">[1]!BexGetData("DP_1","003N8EMH8GTFRIVNUPY288VJH","GSON5115154121")</f>
        <v>#NAME?</v>
      </c>
      <c r="L3211" s="23" t="e">
        <f ca="1">[1]!BexGetData("DP_1","003N8EMH8GTFRIVNUPY2891V1","GSON5115154121")</f>
        <v>#NAME?</v>
      </c>
      <c r="M3211" s="28" t="e">
        <f ca="1">[1]!BexGetData("DP_1","003N8EMH8GTFRIVOG7KG9IQXA","GSON5115154121")</f>
        <v>#NAME?</v>
      </c>
      <c r="N3211" s="23" t="e">
        <f ca="1">[1]!BexGetData("DP_1","003N8EMH8GTFRIVOG7KG9IX8U","GSON5115154121")</f>
        <v>#NAME?</v>
      </c>
      <c r="O3211" s="28" t="e">
        <f ca="1">[1]!BexGetData("DP_1","003N8EMH8GTFRIVOG7KG9J3KE","GSON5115154121")</f>
        <v>#NAME?</v>
      </c>
      <c r="P3211" s="23" t="e">
        <f ca="1">[1]!BexGetData("DP_1","003N8EMH8GTFRIVOG7KG9J9VY","GSON5115154121")</f>
        <v>#NAME?</v>
      </c>
      <c r="Q3211" s="24" t="e">
        <f ca="1">[1]!BexGetData("DP_1","00O2TNJGODT0G5Z4TTKYMM5MT","GSON5115154121")</f>
        <v>#NAME?</v>
      </c>
      <c r="R3211" s="23" t="e">
        <f ca="1">[1]!BexGetData("DP_1","00O2TNJGODT0G5Z4TTKYMMBYD","GSON5115154121")</f>
        <v>#NAME?</v>
      </c>
      <c r="S3211" s="23" t="e">
        <f ca="1">[1]!BexGetData("DP_1","00O2TNJGODT0G5Z4TTKYMMI9X","GSON5115154121")</f>
        <v>#NAME?</v>
      </c>
      <c r="T3211" s="28" t="e">
        <f ca="1">[1]!BexGetData("DP_1","00O2TNJGODT0G5Z4TTKYMMOLH","GSON5115154121")</f>
        <v>#NAME?</v>
      </c>
      <c r="U3211" s="23" t="e">
        <f ca="1">[1]!BexGetData("DP_1","00O2TNJGODT0G5Z4TTKYMMUX1","GSON5115154121")</f>
        <v>#NAME?</v>
      </c>
      <c r="V3211" s="28" t="e">
        <f ca="1">[1]!BexGetData("DP_1","00O2TNJGODT0G5Z4TTKYMN18L","GSON5115154121")</f>
        <v>#NAME?</v>
      </c>
      <c r="W3211" s="23" t="e">
        <f ca="1">[1]!BexGetData("DP_1","00O2TNJGODT0G5Z4TTKYMN7K5","GSON5115154121")</f>
        <v>#NAME?</v>
      </c>
    </row>
    <row r="3212" spans="1:23" x14ac:dyDescent="0.2">
      <c r="A3212" s="36" t="s">
        <v>6604</v>
      </c>
      <c r="B3212" s="27" t="s">
        <v>6605</v>
      </c>
      <c r="C3212" s="23" t="e">
        <f ca="1">[1]!BexGetData("DP_1","003N8EMH8GTFRCSWKMPXRR8GU","GSON5115154141")</f>
        <v>#NAME?</v>
      </c>
      <c r="D3212" s="23" t="e">
        <f ca="1">[1]!BexGetData("DP_1","003N8EMH8GTFRCSWKMPXRRESE","GSON5115154141")</f>
        <v>#NAME?</v>
      </c>
      <c r="E3212" s="23" t="e">
        <f ca="1">[1]!BexGetData("DP_1","003N8EMH8GTFRCSWKMPXRRL3Y","GSON5115154141")</f>
        <v>#NAME?</v>
      </c>
      <c r="F3212" s="23" t="e">
        <f ca="1">[1]!BexGetData("DP_1","003N8EMH8GTFRCSWKMPXRRRFI","GSON5115154141")</f>
        <v>#NAME?</v>
      </c>
      <c r="G3212" s="23" t="e">
        <f ca="1">[1]!BexGetData("DP_1","003N8EMH8GTFRCSWKMPXRRXR2","GSON5115154141")</f>
        <v>#NAME?</v>
      </c>
      <c r="H3212" s="23" t="e">
        <f ca="1">[1]!BexGetData("DP_1","003N8EMH8GTFRCSWKMPXRS42M","GSON5115154141")</f>
        <v>#NAME?</v>
      </c>
      <c r="I3212" s="23" t="e">
        <f ca="1">[1]!BexGetData("DP_1","003N8EMH8GTFRCSWKMPXRSAE6","GSON5115154141")</f>
        <v>#NAME?</v>
      </c>
      <c r="J3212" s="24" t="e">
        <f ca="1">[1]!BexGetData("DP_1","003N8EMH8GTFRCSWKMPXRSGPQ","GSON5115154141")</f>
        <v>#NAME?</v>
      </c>
      <c r="K3212" s="23" t="e">
        <f ca="1">[1]!BexGetData("DP_1","003N8EMH8GTFRIVNUPY288VJH","GSON5115154141")</f>
        <v>#NAME?</v>
      </c>
      <c r="L3212" s="23" t="e">
        <f ca="1">[1]!BexGetData("DP_1","003N8EMH8GTFRIVNUPY2891V1","GSON5115154141")</f>
        <v>#NAME?</v>
      </c>
      <c r="M3212" s="28" t="e">
        <f ca="1">[1]!BexGetData("DP_1","003N8EMH8GTFRIVOG7KG9IQXA","GSON5115154141")</f>
        <v>#NAME?</v>
      </c>
      <c r="N3212" s="23" t="e">
        <f ca="1">[1]!BexGetData("DP_1","003N8EMH8GTFRIVOG7KG9IX8U","GSON5115154141")</f>
        <v>#NAME?</v>
      </c>
      <c r="O3212" s="28" t="e">
        <f ca="1">[1]!BexGetData("DP_1","003N8EMH8GTFRIVOG7KG9J3KE","GSON5115154141")</f>
        <v>#NAME?</v>
      </c>
      <c r="P3212" s="23" t="e">
        <f ca="1">[1]!BexGetData("DP_1","003N8EMH8GTFRIVOG7KG9J9VY","GSON5115154141")</f>
        <v>#NAME?</v>
      </c>
      <c r="Q3212" s="24" t="e">
        <f ca="1">[1]!BexGetData("DP_1","00O2TNJGODT0G5Z4TTKYMM5MT","GSON5115154141")</f>
        <v>#NAME?</v>
      </c>
      <c r="R3212" s="23" t="e">
        <f ca="1">[1]!BexGetData("DP_1","00O2TNJGODT0G5Z4TTKYMMBYD","GSON5115154141")</f>
        <v>#NAME?</v>
      </c>
      <c r="S3212" s="23" t="e">
        <f ca="1">[1]!BexGetData("DP_1","00O2TNJGODT0G5Z4TTKYMMI9X","GSON5115154141")</f>
        <v>#NAME?</v>
      </c>
      <c r="T3212" s="28" t="e">
        <f ca="1">[1]!BexGetData("DP_1","00O2TNJGODT0G5Z4TTKYMMOLH","GSON5115154141")</f>
        <v>#NAME?</v>
      </c>
      <c r="U3212" s="23" t="e">
        <f ca="1">[1]!BexGetData("DP_1","00O2TNJGODT0G5Z4TTKYMMUX1","GSON5115154141")</f>
        <v>#NAME?</v>
      </c>
      <c r="V3212" s="28" t="e">
        <f ca="1">[1]!BexGetData("DP_1","00O2TNJGODT0G5Z4TTKYMN18L","GSON5115154141")</f>
        <v>#NAME?</v>
      </c>
      <c r="W3212" s="23" t="e">
        <f ca="1">[1]!BexGetData("DP_1","00O2TNJGODT0G5Z4TTKYMN7K5","GSON5115154141")</f>
        <v>#NAME?</v>
      </c>
    </row>
    <row r="3213" spans="1:23" x14ac:dyDescent="0.2">
      <c r="A3213" s="36" t="s">
        <v>6606</v>
      </c>
      <c r="B3213" s="27" t="s">
        <v>6607</v>
      </c>
      <c r="C3213" s="23" t="e">
        <f ca="1">[1]!BexGetData("DP_1","003N8EMH8GTFRCSWKMPXRR8GU","GSON5115154151")</f>
        <v>#NAME?</v>
      </c>
      <c r="D3213" s="23" t="e">
        <f ca="1">[1]!BexGetData("DP_1","003N8EMH8GTFRCSWKMPXRRESE","GSON5115154151")</f>
        <v>#NAME?</v>
      </c>
      <c r="E3213" s="23" t="e">
        <f ca="1">[1]!BexGetData("DP_1","003N8EMH8GTFRCSWKMPXRRL3Y","GSON5115154151")</f>
        <v>#NAME?</v>
      </c>
      <c r="F3213" s="23" t="e">
        <f ca="1">[1]!BexGetData("DP_1","003N8EMH8GTFRCSWKMPXRRRFI","GSON5115154151")</f>
        <v>#NAME?</v>
      </c>
      <c r="G3213" s="23" t="e">
        <f ca="1">[1]!BexGetData("DP_1","003N8EMH8GTFRCSWKMPXRRXR2","GSON5115154151")</f>
        <v>#NAME?</v>
      </c>
      <c r="H3213" s="23" t="e">
        <f ca="1">[1]!BexGetData("DP_1","003N8EMH8GTFRCSWKMPXRS42M","GSON5115154151")</f>
        <v>#NAME?</v>
      </c>
      <c r="I3213" s="23" t="e">
        <f ca="1">[1]!BexGetData("DP_1","003N8EMH8GTFRCSWKMPXRSAE6","GSON5115154151")</f>
        <v>#NAME?</v>
      </c>
      <c r="J3213" s="24" t="e">
        <f ca="1">[1]!BexGetData("DP_1","003N8EMH8GTFRCSWKMPXRSGPQ","GSON5115154151")</f>
        <v>#NAME?</v>
      </c>
      <c r="K3213" s="23" t="e">
        <f ca="1">[1]!BexGetData("DP_1","003N8EMH8GTFRIVNUPY288VJH","GSON5115154151")</f>
        <v>#NAME?</v>
      </c>
      <c r="L3213" s="23" t="e">
        <f ca="1">[1]!BexGetData("DP_1","003N8EMH8GTFRIVNUPY2891V1","GSON5115154151")</f>
        <v>#NAME?</v>
      </c>
      <c r="M3213" s="28" t="e">
        <f ca="1">[1]!BexGetData("DP_1","003N8EMH8GTFRIVOG7KG9IQXA","GSON5115154151")</f>
        <v>#NAME?</v>
      </c>
      <c r="N3213" s="23" t="e">
        <f ca="1">[1]!BexGetData("DP_1","003N8EMH8GTFRIVOG7KG9IX8U","GSON5115154151")</f>
        <v>#NAME?</v>
      </c>
      <c r="O3213" s="28" t="e">
        <f ca="1">[1]!BexGetData("DP_1","003N8EMH8GTFRIVOG7KG9J3KE","GSON5115154151")</f>
        <v>#NAME?</v>
      </c>
      <c r="P3213" s="23" t="e">
        <f ca="1">[1]!BexGetData("DP_1","003N8EMH8GTFRIVOG7KG9J9VY","GSON5115154151")</f>
        <v>#NAME?</v>
      </c>
      <c r="Q3213" s="24" t="e">
        <f ca="1">[1]!BexGetData("DP_1","00O2TNJGODT0G5Z4TTKYMM5MT","GSON5115154151")</f>
        <v>#NAME?</v>
      </c>
      <c r="R3213" s="23" t="e">
        <f ca="1">[1]!BexGetData("DP_1","00O2TNJGODT0G5Z4TTKYMMBYD","GSON5115154151")</f>
        <v>#NAME?</v>
      </c>
      <c r="S3213" s="23" t="e">
        <f ca="1">[1]!BexGetData("DP_1","00O2TNJGODT0G5Z4TTKYMMI9X","GSON5115154151")</f>
        <v>#NAME?</v>
      </c>
      <c r="T3213" s="28" t="e">
        <f ca="1">[1]!BexGetData("DP_1","00O2TNJGODT0G5Z4TTKYMMOLH","GSON5115154151")</f>
        <v>#NAME?</v>
      </c>
      <c r="U3213" s="23" t="e">
        <f ca="1">[1]!BexGetData("DP_1","00O2TNJGODT0G5Z4TTKYMMUX1","GSON5115154151")</f>
        <v>#NAME?</v>
      </c>
      <c r="V3213" s="28" t="e">
        <f ca="1">[1]!BexGetData("DP_1","00O2TNJGODT0G5Z4TTKYMN18L","GSON5115154151")</f>
        <v>#NAME?</v>
      </c>
      <c r="W3213" s="23" t="e">
        <f ca="1">[1]!BexGetData("DP_1","00O2TNJGODT0G5Z4TTKYMN7K5","GSON5115154151")</f>
        <v>#NAME?</v>
      </c>
    </row>
    <row r="3214" spans="1:23" x14ac:dyDescent="0.2">
      <c r="A3214" s="36" t="s">
        <v>6608</v>
      </c>
      <c r="B3214" s="27" t="s">
        <v>6609</v>
      </c>
      <c r="C3214" s="23" t="e">
        <f ca="1">[1]!BexGetData("DP_1","003N8EMH8GTFRCSWKMPXRR8GU","GSON5115154161")</f>
        <v>#NAME?</v>
      </c>
      <c r="D3214" s="28" t="e">
        <f ca="1">[1]!BexGetData("DP_1","003N8EMH8GTFRCSWKMPXRRESE","GSON5115154161")</f>
        <v>#NAME?</v>
      </c>
      <c r="E3214" s="23" t="e">
        <f ca="1">[1]!BexGetData("DP_1","003N8EMH8GTFRCSWKMPXRRL3Y","GSON5115154161")</f>
        <v>#NAME?</v>
      </c>
      <c r="F3214" s="23" t="e">
        <f ca="1">[1]!BexGetData("DP_1","003N8EMH8GTFRCSWKMPXRRRFI","GSON5115154161")</f>
        <v>#NAME?</v>
      </c>
      <c r="G3214" s="23" t="e">
        <f ca="1">[1]!BexGetData("DP_1","003N8EMH8GTFRCSWKMPXRRXR2","GSON5115154161")</f>
        <v>#NAME?</v>
      </c>
      <c r="H3214" s="23" t="e">
        <f ca="1">[1]!BexGetData("DP_1","003N8EMH8GTFRCSWKMPXRS42M","GSON5115154161")</f>
        <v>#NAME?</v>
      </c>
      <c r="I3214" s="23" t="e">
        <f ca="1">[1]!BexGetData("DP_1","003N8EMH8GTFRCSWKMPXRSAE6","GSON5115154161")</f>
        <v>#NAME?</v>
      </c>
      <c r="J3214" s="24" t="e">
        <f ca="1">[1]!BexGetData("DP_1","003N8EMH8GTFRCSWKMPXRSGPQ","GSON5115154161")</f>
        <v>#NAME?</v>
      </c>
      <c r="K3214" s="23" t="e">
        <f ca="1">[1]!BexGetData("DP_1","003N8EMH8GTFRIVNUPY288VJH","GSON5115154161")</f>
        <v>#NAME?</v>
      </c>
      <c r="L3214" s="23" t="e">
        <f ca="1">[1]!BexGetData("DP_1","003N8EMH8GTFRIVNUPY2891V1","GSON5115154161")</f>
        <v>#NAME?</v>
      </c>
      <c r="M3214" s="28" t="e">
        <f ca="1">[1]!BexGetData("DP_1","003N8EMH8GTFRIVOG7KG9IQXA","GSON5115154161")</f>
        <v>#NAME?</v>
      </c>
      <c r="N3214" s="23" t="e">
        <f ca="1">[1]!BexGetData("DP_1","003N8EMH8GTFRIVOG7KG9IX8U","GSON5115154161")</f>
        <v>#NAME?</v>
      </c>
      <c r="O3214" s="28" t="e">
        <f ca="1">[1]!BexGetData("DP_1","003N8EMH8GTFRIVOG7KG9J3KE","GSON5115154161")</f>
        <v>#NAME?</v>
      </c>
      <c r="P3214" s="23" t="e">
        <f ca="1">[1]!BexGetData("DP_1","003N8EMH8GTFRIVOG7KG9J9VY","GSON5115154161")</f>
        <v>#NAME?</v>
      </c>
      <c r="Q3214" s="24" t="e">
        <f ca="1">[1]!BexGetData("DP_1","00O2TNJGODT0G5Z4TTKYMM5MT","GSON5115154161")</f>
        <v>#NAME?</v>
      </c>
      <c r="R3214" s="23" t="e">
        <f ca="1">[1]!BexGetData("DP_1","00O2TNJGODT0G5Z4TTKYMMBYD","GSON5115154161")</f>
        <v>#NAME?</v>
      </c>
      <c r="S3214" s="23" t="e">
        <f ca="1">[1]!BexGetData("DP_1","00O2TNJGODT0G5Z4TTKYMMI9X","GSON5115154161")</f>
        <v>#NAME?</v>
      </c>
      <c r="T3214" s="28" t="e">
        <f ca="1">[1]!BexGetData("DP_1","00O2TNJGODT0G5Z4TTKYMMOLH","GSON5115154161")</f>
        <v>#NAME?</v>
      </c>
      <c r="U3214" s="23" t="e">
        <f ca="1">[1]!BexGetData("DP_1","00O2TNJGODT0G5Z4TTKYMMUX1","GSON5115154161")</f>
        <v>#NAME?</v>
      </c>
      <c r="V3214" s="28" t="e">
        <f ca="1">[1]!BexGetData("DP_1","00O2TNJGODT0G5Z4TTKYMN18L","GSON5115154161")</f>
        <v>#NAME?</v>
      </c>
      <c r="W3214" s="23" t="e">
        <f ca="1">[1]!BexGetData("DP_1","00O2TNJGODT0G5Z4TTKYMN7K5","GSON5115154161")</f>
        <v>#NAME?</v>
      </c>
    </row>
    <row r="3215" spans="1:23" x14ac:dyDescent="0.2">
      <c r="A3215" s="36" t="s">
        <v>6610</v>
      </c>
      <c r="B3215" s="27" t="s">
        <v>6611</v>
      </c>
      <c r="C3215" s="23" t="e">
        <f ca="1">[1]!BexGetData("DP_1","003N8EMH8GTFRCSWKMPXRR8GU","GSON5115154181")</f>
        <v>#NAME?</v>
      </c>
      <c r="D3215" s="23" t="e">
        <f ca="1">[1]!BexGetData("DP_1","003N8EMH8GTFRCSWKMPXRRESE","GSON5115154181")</f>
        <v>#NAME?</v>
      </c>
      <c r="E3215" s="23" t="e">
        <f ca="1">[1]!BexGetData("DP_1","003N8EMH8GTFRCSWKMPXRRL3Y","GSON5115154181")</f>
        <v>#NAME?</v>
      </c>
      <c r="F3215" s="23" t="e">
        <f ca="1">[1]!BexGetData("DP_1","003N8EMH8GTFRCSWKMPXRRRFI","GSON5115154181")</f>
        <v>#NAME?</v>
      </c>
      <c r="G3215" s="23" t="e">
        <f ca="1">[1]!BexGetData("DP_1","003N8EMH8GTFRCSWKMPXRRXR2","GSON5115154181")</f>
        <v>#NAME?</v>
      </c>
      <c r="H3215" s="28" t="e">
        <f ca="1">[1]!BexGetData("DP_1","003N8EMH8GTFRCSWKMPXRS42M","GSON5115154181")</f>
        <v>#NAME?</v>
      </c>
      <c r="I3215" s="23" t="e">
        <f ca="1">[1]!BexGetData("DP_1","003N8EMH8GTFRCSWKMPXRSAE6","GSON5115154181")</f>
        <v>#NAME?</v>
      </c>
      <c r="J3215" s="24" t="e">
        <f ca="1">[1]!BexGetData("DP_1","003N8EMH8GTFRCSWKMPXRSGPQ","GSON5115154181")</f>
        <v>#NAME?</v>
      </c>
      <c r="K3215" s="23" t="e">
        <f ca="1">[1]!BexGetData("DP_1","003N8EMH8GTFRIVNUPY288VJH","GSON5115154181")</f>
        <v>#NAME?</v>
      </c>
      <c r="L3215" s="23" t="e">
        <f ca="1">[1]!BexGetData("DP_1","003N8EMH8GTFRIVNUPY2891V1","GSON5115154181")</f>
        <v>#NAME?</v>
      </c>
      <c r="M3215" s="28" t="e">
        <f ca="1">[1]!BexGetData("DP_1","003N8EMH8GTFRIVOG7KG9IQXA","GSON5115154181")</f>
        <v>#NAME?</v>
      </c>
      <c r="N3215" s="23" t="e">
        <f ca="1">[1]!BexGetData("DP_1","003N8EMH8GTFRIVOG7KG9IX8U","GSON5115154181")</f>
        <v>#NAME?</v>
      </c>
      <c r="O3215" s="28" t="e">
        <f ca="1">[1]!BexGetData("DP_1","003N8EMH8GTFRIVOG7KG9J3KE","GSON5115154181")</f>
        <v>#NAME?</v>
      </c>
      <c r="P3215" s="23" t="e">
        <f ca="1">[1]!BexGetData("DP_1","003N8EMH8GTFRIVOG7KG9J9VY","GSON5115154181")</f>
        <v>#NAME?</v>
      </c>
      <c r="Q3215" s="24" t="e">
        <f ca="1">[1]!BexGetData("DP_1","00O2TNJGODT0G5Z4TTKYMM5MT","GSON5115154181")</f>
        <v>#NAME?</v>
      </c>
      <c r="R3215" s="23" t="e">
        <f ca="1">[1]!BexGetData("DP_1","00O2TNJGODT0G5Z4TTKYMMBYD","GSON5115154181")</f>
        <v>#NAME?</v>
      </c>
      <c r="S3215" s="23" t="e">
        <f ca="1">[1]!BexGetData("DP_1","00O2TNJGODT0G5Z4TTKYMMI9X","GSON5115154181")</f>
        <v>#NAME?</v>
      </c>
      <c r="T3215" s="28" t="e">
        <f ca="1">[1]!BexGetData("DP_1","00O2TNJGODT0G5Z4TTKYMMOLH","GSON5115154181")</f>
        <v>#NAME?</v>
      </c>
      <c r="U3215" s="23" t="e">
        <f ca="1">[1]!BexGetData("DP_1","00O2TNJGODT0G5Z4TTKYMMUX1","GSON5115154181")</f>
        <v>#NAME?</v>
      </c>
      <c r="V3215" s="28" t="e">
        <f ca="1">[1]!BexGetData("DP_1","00O2TNJGODT0G5Z4TTKYMN18L","GSON5115154181")</f>
        <v>#NAME?</v>
      </c>
      <c r="W3215" s="23" t="e">
        <f ca="1">[1]!BexGetData("DP_1","00O2TNJGODT0G5Z4TTKYMN7K5","GSON5115154181")</f>
        <v>#NAME?</v>
      </c>
    </row>
    <row r="3216" spans="1:23" x14ac:dyDescent="0.2">
      <c r="A3216" s="36" t="s">
        <v>6612</v>
      </c>
      <c r="B3216" s="27" t="s">
        <v>6613</v>
      </c>
      <c r="C3216" s="23" t="e">
        <f ca="1">[1]!BexGetData("DP_1","003N8EMH8GTFRCSWKMPXRR8GU","GSON5115154211")</f>
        <v>#NAME?</v>
      </c>
      <c r="D3216" s="28" t="e">
        <f ca="1">[1]!BexGetData("DP_1","003N8EMH8GTFRCSWKMPXRRESE","GSON5115154211")</f>
        <v>#NAME?</v>
      </c>
      <c r="E3216" s="23" t="e">
        <f ca="1">[1]!BexGetData("DP_1","003N8EMH8GTFRCSWKMPXRRL3Y","GSON5115154211")</f>
        <v>#NAME?</v>
      </c>
      <c r="F3216" s="23" t="e">
        <f ca="1">[1]!BexGetData("DP_1","003N8EMH8GTFRCSWKMPXRRRFI","GSON5115154211")</f>
        <v>#NAME?</v>
      </c>
      <c r="G3216" s="23" t="e">
        <f ca="1">[1]!BexGetData("DP_1","003N8EMH8GTFRCSWKMPXRRXR2","GSON5115154211")</f>
        <v>#NAME?</v>
      </c>
      <c r="H3216" s="28" t="e">
        <f ca="1">[1]!BexGetData("DP_1","003N8EMH8GTFRCSWKMPXRS42M","GSON5115154211")</f>
        <v>#NAME?</v>
      </c>
      <c r="I3216" s="23" t="e">
        <f ca="1">[1]!BexGetData("DP_1","003N8EMH8GTFRCSWKMPXRSAE6","GSON5115154211")</f>
        <v>#NAME?</v>
      </c>
      <c r="J3216" s="24" t="e">
        <f ca="1">[1]!BexGetData("DP_1","003N8EMH8GTFRCSWKMPXRSGPQ","GSON5115154211")</f>
        <v>#NAME?</v>
      </c>
      <c r="K3216" s="23" t="e">
        <f ca="1">[1]!BexGetData("DP_1","003N8EMH8GTFRIVNUPY288VJH","GSON5115154211")</f>
        <v>#NAME?</v>
      </c>
      <c r="L3216" s="23" t="e">
        <f ca="1">[1]!BexGetData("DP_1","003N8EMH8GTFRIVNUPY2891V1","GSON5115154211")</f>
        <v>#NAME?</v>
      </c>
      <c r="M3216" s="23" t="e">
        <f ca="1">[1]!BexGetData("DP_1","003N8EMH8GTFRIVOG7KG9IQXA","GSON5115154211")</f>
        <v>#NAME?</v>
      </c>
      <c r="N3216" s="28" t="e">
        <f ca="1">[1]!BexGetData("DP_1","003N8EMH8GTFRIVOG7KG9IX8U","GSON5115154211")</f>
        <v>#NAME?</v>
      </c>
      <c r="O3216" s="23" t="e">
        <f ca="1">[1]!BexGetData("DP_1","003N8EMH8GTFRIVOG7KG9J3KE","GSON5115154211")</f>
        <v>#NAME?</v>
      </c>
      <c r="P3216" s="28" t="e">
        <f ca="1">[1]!BexGetData("DP_1","003N8EMH8GTFRIVOG7KG9J9VY","GSON5115154211")</f>
        <v>#NAME?</v>
      </c>
      <c r="Q3216" s="24" t="e">
        <f ca="1">[1]!BexGetData("DP_1","00O2TNJGODT0G5Z4TTKYMM5MT","GSON5115154211")</f>
        <v>#NAME?</v>
      </c>
      <c r="R3216" s="23" t="e">
        <f ca="1">[1]!BexGetData("DP_1","00O2TNJGODT0G5Z4TTKYMMBYD","GSON5115154211")</f>
        <v>#NAME?</v>
      </c>
      <c r="S3216" s="23" t="e">
        <f ca="1">[1]!BexGetData("DP_1","00O2TNJGODT0G5Z4TTKYMMI9X","GSON5115154211")</f>
        <v>#NAME?</v>
      </c>
      <c r="T3216" s="28" t="e">
        <f ca="1">[1]!BexGetData("DP_1","00O2TNJGODT0G5Z4TTKYMMOLH","GSON5115154211")</f>
        <v>#NAME?</v>
      </c>
      <c r="U3216" s="23" t="e">
        <f ca="1">[1]!BexGetData("DP_1","00O2TNJGODT0G5Z4TTKYMMUX1","GSON5115154211")</f>
        <v>#NAME?</v>
      </c>
      <c r="V3216" s="28" t="e">
        <f ca="1">[1]!BexGetData("DP_1","00O2TNJGODT0G5Z4TTKYMN18L","GSON5115154211")</f>
        <v>#NAME?</v>
      </c>
      <c r="W3216" s="23" t="e">
        <f ca="1">[1]!BexGetData("DP_1","00O2TNJGODT0G5Z4TTKYMN7K5","GSON5115154211")</f>
        <v>#NAME?</v>
      </c>
    </row>
    <row r="3217" spans="1:23" x14ac:dyDescent="0.2">
      <c r="A3217" s="36" t="s">
        <v>6614</v>
      </c>
      <c r="B3217" s="27" t="s">
        <v>6615</v>
      </c>
      <c r="C3217" s="23" t="e">
        <f ca="1">[1]!BexGetData("DP_1","003N8EMH8GTFRCSWKMPXRR8GU","GSON5115154221")</f>
        <v>#NAME?</v>
      </c>
      <c r="D3217" s="23" t="e">
        <f ca="1">[1]!BexGetData("DP_1","003N8EMH8GTFRCSWKMPXRRESE","GSON5115154221")</f>
        <v>#NAME?</v>
      </c>
      <c r="E3217" s="23" t="e">
        <f ca="1">[1]!BexGetData("DP_1","003N8EMH8GTFRCSWKMPXRRL3Y","GSON5115154221")</f>
        <v>#NAME?</v>
      </c>
      <c r="F3217" s="23" t="e">
        <f ca="1">[1]!BexGetData("DP_1","003N8EMH8GTFRCSWKMPXRRRFI","GSON5115154221")</f>
        <v>#NAME?</v>
      </c>
      <c r="G3217" s="23" t="e">
        <f ca="1">[1]!BexGetData("DP_1","003N8EMH8GTFRCSWKMPXRRXR2","GSON5115154221")</f>
        <v>#NAME?</v>
      </c>
      <c r="H3217" s="23" t="e">
        <f ca="1">[1]!BexGetData("DP_1","003N8EMH8GTFRCSWKMPXRS42M","GSON5115154221")</f>
        <v>#NAME?</v>
      </c>
      <c r="I3217" s="23" t="e">
        <f ca="1">[1]!BexGetData("DP_1","003N8EMH8GTFRCSWKMPXRSAE6","GSON5115154221")</f>
        <v>#NAME?</v>
      </c>
      <c r="J3217" s="24" t="e">
        <f ca="1">[1]!BexGetData("DP_1","003N8EMH8GTFRCSWKMPXRSGPQ","GSON5115154221")</f>
        <v>#NAME?</v>
      </c>
      <c r="K3217" s="23" t="e">
        <f ca="1">[1]!BexGetData("DP_1","003N8EMH8GTFRIVNUPY288VJH","GSON5115154221")</f>
        <v>#NAME?</v>
      </c>
      <c r="L3217" s="23" t="e">
        <f ca="1">[1]!BexGetData("DP_1","003N8EMH8GTFRIVNUPY2891V1","GSON5115154221")</f>
        <v>#NAME?</v>
      </c>
      <c r="M3217" s="28" t="e">
        <f ca="1">[1]!BexGetData("DP_1","003N8EMH8GTFRIVOG7KG9IQXA","GSON5115154221")</f>
        <v>#NAME?</v>
      </c>
      <c r="N3217" s="23" t="e">
        <f ca="1">[1]!BexGetData("DP_1","003N8EMH8GTFRIVOG7KG9IX8U","GSON5115154221")</f>
        <v>#NAME?</v>
      </c>
      <c r="O3217" s="28" t="e">
        <f ca="1">[1]!BexGetData("DP_1","003N8EMH8GTFRIVOG7KG9J3KE","GSON5115154221")</f>
        <v>#NAME?</v>
      </c>
      <c r="P3217" s="23" t="e">
        <f ca="1">[1]!BexGetData("DP_1","003N8EMH8GTFRIVOG7KG9J9VY","GSON5115154221")</f>
        <v>#NAME?</v>
      </c>
      <c r="Q3217" s="24" t="e">
        <f ca="1">[1]!BexGetData("DP_1","00O2TNJGODT0G5Z4TTKYMM5MT","GSON5115154221")</f>
        <v>#NAME?</v>
      </c>
      <c r="R3217" s="23" t="e">
        <f ca="1">[1]!BexGetData("DP_1","00O2TNJGODT0G5Z4TTKYMMBYD","GSON5115154221")</f>
        <v>#NAME?</v>
      </c>
      <c r="S3217" s="23" t="e">
        <f ca="1">[1]!BexGetData("DP_1","00O2TNJGODT0G5Z4TTKYMMI9X","GSON5115154221")</f>
        <v>#NAME?</v>
      </c>
      <c r="T3217" s="28" t="e">
        <f ca="1">[1]!BexGetData("DP_1","00O2TNJGODT0G5Z4TTKYMMOLH","GSON5115154221")</f>
        <v>#NAME?</v>
      </c>
      <c r="U3217" s="23" t="e">
        <f ca="1">[1]!BexGetData("DP_1","00O2TNJGODT0G5Z4TTKYMMUX1","GSON5115154221")</f>
        <v>#NAME?</v>
      </c>
      <c r="V3217" s="28" t="e">
        <f ca="1">[1]!BexGetData("DP_1","00O2TNJGODT0G5Z4TTKYMN18L","GSON5115154221")</f>
        <v>#NAME?</v>
      </c>
      <c r="W3217" s="23" t="e">
        <f ca="1">[1]!BexGetData("DP_1","00O2TNJGODT0G5Z4TTKYMN7K5","GSON5115154221")</f>
        <v>#NAME?</v>
      </c>
    </row>
    <row r="3218" spans="1:23" x14ac:dyDescent="0.2">
      <c r="A3218" s="36" t="s">
        <v>6616</v>
      </c>
      <c r="B3218" s="27" t="s">
        <v>6617</v>
      </c>
      <c r="C3218" s="23" t="e">
        <f ca="1">[1]!BexGetData("DP_1","003N8EMH8GTFRCSWKMPXRR8GU","GSON5115154231")</f>
        <v>#NAME?</v>
      </c>
      <c r="D3218" s="28" t="e">
        <f ca="1">[1]!BexGetData("DP_1","003N8EMH8GTFRCSWKMPXRRESE","GSON5115154231")</f>
        <v>#NAME?</v>
      </c>
      <c r="E3218" s="23" t="e">
        <f ca="1">[1]!BexGetData("DP_1","003N8EMH8GTFRCSWKMPXRRL3Y","GSON5115154231")</f>
        <v>#NAME?</v>
      </c>
      <c r="F3218" s="24" t="e">
        <f ca="1">[1]!BexGetData("DP_1","003N8EMH8GTFRCSWKMPXRRRFI","GSON5115154231")</f>
        <v>#NAME?</v>
      </c>
      <c r="G3218" s="24" t="e">
        <f ca="1">[1]!BexGetData("DP_1","003N8EMH8GTFRCSWKMPXRRXR2","GSON5115154231")</f>
        <v>#NAME?</v>
      </c>
      <c r="H3218" s="24" t="e">
        <f ca="1">[1]!BexGetData("DP_1","003N8EMH8GTFRCSWKMPXRS42M","GSON5115154231")</f>
        <v>#NAME?</v>
      </c>
      <c r="I3218" s="24" t="e">
        <f ca="1">[1]!BexGetData("DP_1","003N8EMH8GTFRCSWKMPXRSAE6","GSON5115154231")</f>
        <v>#NAME?</v>
      </c>
      <c r="J3218" s="24" t="e">
        <f ca="1">[1]!BexGetData("DP_1","003N8EMH8GTFRCSWKMPXRSGPQ","GSON5115154231")</f>
        <v>#NAME?</v>
      </c>
      <c r="K3218" s="23" t="e">
        <f ca="1">[1]!BexGetData("DP_1","003N8EMH8GTFRIVNUPY288VJH","GSON5115154231")</f>
        <v>#NAME?</v>
      </c>
      <c r="L3218" s="23" t="e">
        <f ca="1">[1]!BexGetData("DP_1","003N8EMH8GTFRIVNUPY2891V1","GSON5115154231")</f>
        <v>#NAME?</v>
      </c>
      <c r="M3218" s="28" t="e">
        <f ca="1">[1]!BexGetData("DP_1","003N8EMH8GTFRIVOG7KG9IQXA","GSON5115154231")</f>
        <v>#NAME?</v>
      </c>
      <c r="N3218" s="23" t="e">
        <f ca="1">[1]!BexGetData("DP_1","003N8EMH8GTFRIVOG7KG9IX8U","GSON5115154231")</f>
        <v>#NAME?</v>
      </c>
      <c r="O3218" s="28" t="e">
        <f ca="1">[1]!BexGetData("DP_1","003N8EMH8GTFRIVOG7KG9J3KE","GSON5115154231")</f>
        <v>#NAME?</v>
      </c>
      <c r="P3218" s="23" t="e">
        <f ca="1">[1]!BexGetData("DP_1","003N8EMH8GTFRIVOG7KG9J9VY","GSON5115154231")</f>
        <v>#NAME?</v>
      </c>
      <c r="Q3218" s="24" t="e">
        <f ca="1">[1]!BexGetData("DP_1","00O2TNJGODT0G5Z4TTKYMM5MT","GSON5115154231")</f>
        <v>#NAME?</v>
      </c>
      <c r="R3218" s="24" t="e">
        <f ca="1">[1]!BexGetData("DP_1","00O2TNJGODT0G5Z4TTKYMMBYD","GSON5115154231")</f>
        <v>#NAME?</v>
      </c>
      <c r="S3218" s="24" t="e">
        <f ca="1">[1]!BexGetData("DP_1","00O2TNJGODT0G5Z4TTKYMMI9X","GSON5115154231")</f>
        <v>#NAME?</v>
      </c>
      <c r="T3218" s="24" t="e">
        <f ca="1">[1]!BexGetData("DP_1","00O2TNJGODT0G5Z4TTKYMMOLH","GSON5115154231")</f>
        <v>#NAME?</v>
      </c>
      <c r="U3218" s="24" t="e">
        <f ca="1">[1]!BexGetData("DP_1","00O2TNJGODT0G5Z4TTKYMMUX1","GSON5115154231")</f>
        <v>#NAME?</v>
      </c>
      <c r="V3218" s="24" t="e">
        <f ca="1">[1]!BexGetData("DP_1","00O2TNJGODT0G5Z4TTKYMN18L","GSON5115154231")</f>
        <v>#NAME?</v>
      </c>
      <c r="W3218" s="24" t="e">
        <f ca="1">[1]!BexGetData("DP_1","00O2TNJGODT0G5Z4TTKYMN7K5","GSON5115154231")</f>
        <v>#NAME?</v>
      </c>
    </row>
    <row r="3219" spans="1:23" x14ac:dyDescent="0.2">
      <c r="A3219" s="36" t="s">
        <v>6618</v>
      </c>
      <c r="B3219" s="27" t="s">
        <v>6619</v>
      </c>
      <c r="C3219" s="23" t="e">
        <f ca="1">[1]!BexGetData("DP_1","003N8EMH8GTFRCSWKMPXRR8GU","GSON5115155021")</f>
        <v>#NAME?</v>
      </c>
      <c r="D3219" s="28" t="e">
        <f ca="1">[1]!BexGetData("DP_1","003N8EMH8GTFRCSWKMPXRRESE","GSON5115155021")</f>
        <v>#NAME?</v>
      </c>
      <c r="E3219" s="23" t="e">
        <f ca="1">[1]!BexGetData("DP_1","003N8EMH8GTFRCSWKMPXRRL3Y","GSON5115155021")</f>
        <v>#NAME?</v>
      </c>
      <c r="F3219" s="24" t="e">
        <f ca="1">[1]!BexGetData("DP_1","003N8EMH8GTFRCSWKMPXRRRFI","GSON5115155021")</f>
        <v>#NAME?</v>
      </c>
      <c r="G3219" s="24" t="e">
        <f ca="1">[1]!BexGetData("DP_1","003N8EMH8GTFRCSWKMPXRRXR2","GSON5115155021")</f>
        <v>#NAME?</v>
      </c>
      <c r="H3219" s="24" t="e">
        <f ca="1">[1]!BexGetData("DP_1","003N8EMH8GTFRCSWKMPXRS42M","GSON5115155021")</f>
        <v>#NAME?</v>
      </c>
      <c r="I3219" s="24" t="e">
        <f ca="1">[1]!BexGetData("DP_1","003N8EMH8GTFRCSWKMPXRSAE6","GSON5115155021")</f>
        <v>#NAME?</v>
      </c>
      <c r="J3219" s="24" t="e">
        <f ca="1">[1]!BexGetData("DP_1","003N8EMH8GTFRCSWKMPXRSGPQ","GSON5115155021")</f>
        <v>#NAME?</v>
      </c>
      <c r="K3219" s="23" t="e">
        <f ca="1">[1]!BexGetData("DP_1","003N8EMH8GTFRIVNUPY288VJH","GSON5115155021")</f>
        <v>#NAME?</v>
      </c>
      <c r="L3219" s="23" t="e">
        <f ca="1">[1]!BexGetData("DP_1","003N8EMH8GTFRIVNUPY2891V1","GSON5115155021")</f>
        <v>#NAME?</v>
      </c>
      <c r="M3219" s="28" t="e">
        <f ca="1">[1]!BexGetData("DP_1","003N8EMH8GTFRIVOG7KG9IQXA","GSON5115155021")</f>
        <v>#NAME?</v>
      </c>
      <c r="N3219" s="23" t="e">
        <f ca="1">[1]!BexGetData("DP_1","003N8EMH8GTFRIVOG7KG9IX8U","GSON5115155021")</f>
        <v>#NAME?</v>
      </c>
      <c r="O3219" s="28" t="e">
        <f ca="1">[1]!BexGetData("DP_1","003N8EMH8GTFRIVOG7KG9J3KE","GSON5115155021")</f>
        <v>#NAME?</v>
      </c>
      <c r="P3219" s="23" t="e">
        <f ca="1">[1]!BexGetData("DP_1","003N8EMH8GTFRIVOG7KG9J9VY","GSON5115155021")</f>
        <v>#NAME?</v>
      </c>
      <c r="Q3219" s="24" t="e">
        <f ca="1">[1]!BexGetData("DP_1","00O2TNJGODT0G5Z4TTKYMM5MT","GSON5115155021")</f>
        <v>#NAME?</v>
      </c>
      <c r="R3219" s="24" t="e">
        <f ca="1">[1]!BexGetData("DP_1","00O2TNJGODT0G5Z4TTKYMMBYD","GSON5115155021")</f>
        <v>#NAME?</v>
      </c>
      <c r="S3219" s="24" t="e">
        <f ca="1">[1]!BexGetData("DP_1","00O2TNJGODT0G5Z4TTKYMMI9X","GSON5115155021")</f>
        <v>#NAME?</v>
      </c>
      <c r="T3219" s="24" t="e">
        <f ca="1">[1]!BexGetData("DP_1","00O2TNJGODT0G5Z4TTKYMMOLH","GSON5115155021")</f>
        <v>#NAME?</v>
      </c>
      <c r="U3219" s="24" t="e">
        <f ca="1">[1]!BexGetData("DP_1","00O2TNJGODT0G5Z4TTKYMMUX1","GSON5115155021")</f>
        <v>#NAME?</v>
      </c>
      <c r="V3219" s="24" t="e">
        <f ca="1">[1]!BexGetData("DP_1","00O2TNJGODT0G5Z4TTKYMN18L","GSON5115155021")</f>
        <v>#NAME?</v>
      </c>
      <c r="W3219" s="24" t="e">
        <f ca="1">[1]!BexGetData("DP_1","00O2TNJGODT0G5Z4TTKYMN7K5","GSON5115155021")</f>
        <v>#NAME?</v>
      </c>
    </row>
    <row r="3220" spans="1:23" x14ac:dyDescent="0.2">
      <c r="A3220" s="36" t="s">
        <v>6620</v>
      </c>
      <c r="B3220" s="27" t="s">
        <v>1567</v>
      </c>
      <c r="C3220" s="23" t="e">
        <f ca="1">[1]!BexGetData("DP_1","003N8EMH8GTFRCSWKMPXRR8GU","GSON5115159011")</f>
        <v>#NAME?</v>
      </c>
      <c r="D3220" s="23" t="e">
        <f ca="1">[1]!BexGetData("DP_1","003N8EMH8GTFRCSWKMPXRRESE","GSON5115159011")</f>
        <v>#NAME?</v>
      </c>
      <c r="E3220" s="23" t="e">
        <f ca="1">[1]!BexGetData("DP_1","003N8EMH8GTFRCSWKMPXRRL3Y","GSON5115159011")</f>
        <v>#NAME?</v>
      </c>
      <c r="F3220" s="23" t="e">
        <f ca="1">[1]!BexGetData("DP_1","003N8EMH8GTFRCSWKMPXRRRFI","GSON5115159011")</f>
        <v>#NAME?</v>
      </c>
      <c r="G3220" s="23" t="e">
        <f ca="1">[1]!BexGetData("DP_1","003N8EMH8GTFRCSWKMPXRRXR2","GSON5115159011")</f>
        <v>#NAME?</v>
      </c>
      <c r="H3220" s="23" t="e">
        <f ca="1">[1]!BexGetData("DP_1","003N8EMH8GTFRCSWKMPXRS42M","GSON5115159011")</f>
        <v>#NAME?</v>
      </c>
      <c r="I3220" s="23" t="e">
        <f ca="1">[1]!BexGetData("DP_1","003N8EMH8GTFRCSWKMPXRSAE6","GSON5115159011")</f>
        <v>#NAME?</v>
      </c>
      <c r="J3220" s="24" t="e">
        <f ca="1">[1]!BexGetData("DP_1","003N8EMH8GTFRCSWKMPXRSGPQ","GSON5115159011")</f>
        <v>#NAME?</v>
      </c>
      <c r="K3220" s="23" t="e">
        <f ca="1">[1]!BexGetData("DP_1","003N8EMH8GTFRIVNUPY288VJH","GSON5115159011")</f>
        <v>#NAME?</v>
      </c>
      <c r="L3220" s="23" t="e">
        <f ca="1">[1]!BexGetData("DP_1","003N8EMH8GTFRIVNUPY2891V1","GSON5115159011")</f>
        <v>#NAME?</v>
      </c>
      <c r="M3220" s="28" t="e">
        <f ca="1">[1]!BexGetData("DP_1","003N8EMH8GTFRIVOG7KG9IQXA","GSON5115159011")</f>
        <v>#NAME?</v>
      </c>
      <c r="N3220" s="23" t="e">
        <f ca="1">[1]!BexGetData("DP_1","003N8EMH8GTFRIVOG7KG9IX8U","GSON5115159011")</f>
        <v>#NAME?</v>
      </c>
      <c r="O3220" s="28" t="e">
        <f ca="1">[1]!BexGetData("DP_1","003N8EMH8GTFRIVOG7KG9J3KE","GSON5115159011")</f>
        <v>#NAME?</v>
      </c>
      <c r="P3220" s="23" t="e">
        <f ca="1">[1]!BexGetData("DP_1","003N8EMH8GTFRIVOG7KG9J9VY","GSON5115159011")</f>
        <v>#NAME?</v>
      </c>
      <c r="Q3220" s="24" t="e">
        <f ca="1">[1]!BexGetData("DP_1","00O2TNJGODT0G5Z4TTKYMM5MT","GSON5115159011")</f>
        <v>#NAME?</v>
      </c>
      <c r="R3220" s="23" t="e">
        <f ca="1">[1]!BexGetData("DP_1","00O2TNJGODT0G5Z4TTKYMMBYD","GSON5115159011")</f>
        <v>#NAME?</v>
      </c>
      <c r="S3220" s="23" t="e">
        <f ca="1">[1]!BexGetData("DP_1","00O2TNJGODT0G5Z4TTKYMMI9X","GSON5115159011")</f>
        <v>#NAME?</v>
      </c>
      <c r="T3220" s="28" t="e">
        <f ca="1">[1]!BexGetData("DP_1","00O2TNJGODT0G5Z4TTKYMMOLH","GSON5115159011")</f>
        <v>#NAME?</v>
      </c>
      <c r="U3220" s="23" t="e">
        <f ca="1">[1]!BexGetData("DP_1","00O2TNJGODT0G5Z4TTKYMMUX1","GSON5115159011")</f>
        <v>#NAME?</v>
      </c>
      <c r="V3220" s="28" t="e">
        <f ca="1">[1]!BexGetData("DP_1","00O2TNJGODT0G5Z4TTKYMN18L","GSON5115159011")</f>
        <v>#NAME?</v>
      </c>
      <c r="W3220" s="23" t="e">
        <f ca="1">[1]!BexGetData("DP_1","00O2TNJGODT0G5Z4TTKYMN7K5","GSON5115159011")</f>
        <v>#NAME?</v>
      </c>
    </row>
    <row r="3221" spans="1:23" x14ac:dyDescent="0.2">
      <c r="A3221" s="36" t="s">
        <v>6621</v>
      </c>
      <c r="B3221" s="27" t="s">
        <v>6622</v>
      </c>
      <c r="C3221" s="23" t="e">
        <f ca="1">[1]!BexGetData("DP_1","003N8EMH8GTFRCSWKMPXRR8GU","GSON5115159021")</f>
        <v>#NAME?</v>
      </c>
      <c r="D3221" s="23" t="e">
        <f ca="1">[1]!BexGetData("DP_1","003N8EMH8GTFRCSWKMPXRRESE","GSON5115159021")</f>
        <v>#NAME?</v>
      </c>
      <c r="E3221" s="23" t="e">
        <f ca="1">[1]!BexGetData("DP_1","003N8EMH8GTFRCSWKMPXRRL3Y","GSON5115159021")</f>
        <v>#NAME?</v>
      </c>
      <c r="F3221" s="23" t="e">
        <f ca="1">[1]!BexGetData("DP_1","003N8EMH8GTFRCSWKMPXRRRFI","GSON5115159021")</f>
        <v>#NAME?</v>
      </c>
      <c r="G3221" s="23" t="e">
        <f ca="1">[1]!BexGetData("DP_1","003N8EMH8GTFRCSWKMPXRRXR2","GSON5115159021")</f>
        <v>#NAME?</v>
      </c>
      <c r="H3221" s="28" t="e">
        <f ca="1">[1]!BexGetData("DP_1","003N8EMH8GTFRCSWKMPXRS42M","GSON5115159021")</f>
        <v>#NAME?</v>
      </c>
      <c r="I3221" s="23" t="e">
        <f ca="1">[1]!BexGetData("DP_1","003N8EMH8GTFRCSWKMPXRSAE6","GSON5115159021")</f>
        <v>#NAME?</v>
      </c>
      <c r="J3221" s="24" t="e">
        <f ca="1">[1]!BexGetData("DP_1","003N8EMH8GTFRCSWKMPXRSGPQ","GSON5115159021")</f>
        <v>#NAME?</v>
      </c>
      <c r="K3221" s="23" t="e">
        <f ca="1">[1]!BexGetData("DP_1","003N8EMH8GTFRIVNUPY288VJH","GSON5115159021")</f>
        <v>#NAME?</v>
      </c>
      <c r="L3221" s="23" t="e">
        <f ca="1">[1]!BexGetData("DP_1","003N8EMH8GTFRIVNUPY2891V1","GSON5115159021")</f>
        <v>#NAME?</v>
      </c>
      <c r="M3221" s="23" t="e">
        <f ca="1">[1]!BexGetData("DP_1","003N8EMH8GTFRIVOG7KG9IQXA","GSON5115159021")</f>
        <v>#NAME?</v>
      </c>
      <c r="N3221" s="28" t="e">
        <f ca="1">[1]!BexGetData("DP_1","003N8EMH8GTFRIVOG7KG9IX8U","GSON5115159021")</f>
        <v>#NAME?</v>
      </c>
      <c r="O3221" s="23" t="e">
        <f ca="1">[1]!BexGetData("DP_1","003N8EMH8GTFRIVOG7KG9J3KE","GSON5115159021")</f>
        <v>#NAME?</v>
      </c>
      <c r="P3221" s="28" t="e">
        <f ca="1">[1]!BexGetData("DP_1","003N8EMH8GTFRIVOG7KG9J9VY","GSON5115159021")</f>
        <v>#NAME?</v>
      </c>
      <c r="Q3221" s="24" t="e">
        <f ca="1">[1]!BexGetData("DP_1","00O2TNJGODT0G5Z4TTKYMM5MT","GSON5115159021")</f>
        <v>#NAME?</v>
      </c>
      <c r="R3221" s="23" t="e">
        <f ca="1">[1]!BexGetData("DP_1","00O2TNJGODT0G5Z4TTKYMMBYD","GSON5115159021")</f>
        <v>#NAME?</v>
      </c>
      <c r="S3221" s="23" t="e">
        <f ca="1">[1]!BexGetData("DP_1","00O2TNJGODT0G5Z4TTKYMMI9X","GSON5115159021")</f>
        <v>#NAME?</v>
      </c>
      <c r="T3221" s="28" t="e">
        <f ca="1">[1]!BexGetData("DP_1","00O2TNJGODT0G5Z4TTKYMMOLH","GSON5115159021")</f>
        <v>#NAME?</v>
      </c>
      <c r="U3221" s="23" t="e">
        <f ca="1">[1]!BexGetData("DP_1","00O2TNJGODT0G5Z4TTKYMMUX1","GSON5115159021")</f>
        <v>#NAME?</v>
      </c>
      <c r="V3221" s="28" t="e">
        <f ca="1">[1]!BexGetData("DP_1","00O2TNJGODT0G5Z4TTKYMN18L","GSON5115159021")</f>
        <v>#NAME?</v>
      </c>
      <c r="W3221" s="23" t="e">
        <f ca="1">[1]!BexGetData("DP_1","00O2TNJGODT0G5Z4TTKYMN7K5","GSON5115159021")</f>
        <v>#NAME?</v>
      </c>
    </row>
    <row r="3222" spans="1:23" x14ac:dyDescent="0.2">
      <c r="A3222" s="36" t="s">
        <v>6623</v>
      </c>
      <c r="B3222" s="27" t="s">
        <v>6624</v>
      </c>
      <c r="C3222" s="24" t="e">
        <f ca="1">[1]!BexGetData("DP_1","003N8EMH8GTFRCSWKMPXRR8GU","GSON5115159022")</f>
        <v>#NAME?</v>
      </c>
      <c r="D3222" s="24" t="e">
        <f ca="1">[1]!BexGetData("DP_1","003N8EMH8GTFRCSWKMPXRRESE","GSON5115159022")</f>
        <v>#NAME?</v>
      </c>
      <c r="E3222" s="24" t="e">
        <f ca="1">[1]!BexGetData("DP_1","003N8EMH8GTFRCSWKMPXRRL3Y","GSON5115159022")</f>
        <v>#NAME?</v>
      </c>
      <c r="F3222" s="28" t="e">
        <f ca="1">[1]!BexGetData("DP_1","003N8EMH8GTFRCSWKMPXRRRFI","GSON5115159022")</f>
        <v>#NAME?</v>
      </c>
      <c r="G3222" s="23" t="e">
        <f ca="1">[1]!BexGetData("DP_1","003N8EMH8GTFRCSWKMPXRRXR2","GSON5115159022")</f>
        <v>#NAME?</v>
      </c>
      <c r="H3222" s="23" t="e">
        <f ca="1">[1]!BexGetData("DP_1","003N8EMH8GTFRCSWKMPXRS42M","GSON5115159022")</f>
        <v>#NAME?</v>
      </c>
      <c r="I3222" s="28" t="e">
        <f ca="1">[1]!BexGetData("DP_1","003N8EMH8GTFRCSWKMPXRSAE6","GSON5115159022")</f>
        <v>#NAME?</v>
      </c>
      <c r="J3222" s="24" t="e">
        <f ca="1">[1]!BexGetData("DP_1","003N8EMH8GTFRCSWKMPXRSGPQ","GSON5115159022")</f>
        <v>#NAME?</v>
      </c>
      <c r="K3222" s="28" t="e">
        <f ca="1">[1]!BexGetData("DP_1","003N8EMH8GTFRIVNUPY288VJH","GSON5115159022")</f>
        <v>#NAME?</v>
      </c>
      <c r="L3222" s="28" t="e">
        <f ca="1">[1]!BexGetData("DP_1","003N8EMH8GTFRIVNUPY2891V1","GSON5115159022")</f>
        <v>#NAME?</v>
      </c>
      <c r="M3222" s="28" t="e">
        <f ca="1">[1]!BexGetData("DP_1","003N8EMH8GTFRIVOG7KG9IQXA","GSON5115159022")</f>
        <v>#NAME?</v>
      </c>
      <c r="N3222" s="28" t="e">
        <f ca="1">[1]!BexGetData("DP_1","003N8EMH8GTFRIVOG7KG9IX8U","GSON5115159022")</f>
        <v>#NAME?</v>
      </c>
      <c r="O3222" s="28" t="e">
        <f ca="1">[1]!BexGetData("DP_1","003N8EMH8GTFRIVOG7KG9J3KE","GSON5115159022")</f>
        <v>#NAME?</v>
      </c>
      <c r="P3222" s="28" t="e">
        <f ca="1">[1]!BexGetData("DP_1","003N8EMH8GTFRIVOG7KG9J9VY","GSON5115159022")</f>
        <v>#NAME?</v>
      </c>
      <c r="Q3222" s="24" t="e">
        <f ca="1">[1]!BexGetData("DP_1","00O2TNJGODT0G5Z4TTKYMM5MT","GSON5115159022")</f>
        <v>#NAME?</v>
      </c>
      <c r="R3222" s="28" t="e">
        <f ca="1">[1]!BexGetData("DP_1","00O2TNJGODT0G5Z4TTKYMMBYD","GSON5115159022")</f>
        <v>#NAME?</v>
      </c>
      <c r="S3222" s="28" t="e">
        <f ca="1">[1]!BexGetData("DP_1","00O2TNJGODT0G5Z4TTKYMMI9X","GSON5115159022")</f>
        <v>#NAME?</v>
      </c>
      <c r="T3222" s="28" t="e">
        <f ca="1">[1]!BexGetData("DP_1","00O2TNJGODT0G5Z4TTKYMMOLH","GSON5115159022")</f>
        <v>#NAME?</v>
      </c>
      <c r="U3222" s="28" t="e">
        <f ca="1">[1]!BexGetData("DP_1","00O2TNJGODT0G5Z4TTKYMMUX1","GSON5115159022")</f>
        <v>#NAME?</v>
      </c>
      <c r="V3222" s="28" t="e">
        <f ca="1">[1]!BexGetData("DP_1","00O2TNJGODT0G5Z4TTKYMN18L","GSON5115159022")</f>
        <v>#NAME?</v>
      </c>
      <c r="W3222" s="28" t="e">
        <f ca="1">[1]!BexGetData("DP_1","00O2TNJGODT0G5Z4TTKYMN7K5","GSON5115159022")</f>
        <v>#NAME?</v>
      </c>
    </row>
    <row r="3223" spans="1:23" x14ac:dyDescent="0.2">
      <c r="A3223" s="35" t="s">
        <v>6625</v>
      </c>
      <c r="B3223" s="27" t="s">
        <v>6626</v>
      </c>
      <c r="C3223" s="23" t="e">
        <f ca="1">[1]!BexGetData("DP_1","003N8EMH8GTFRCSWKMPXRR8GU","GSON5116")</f>
        <v>#NAME?</v>
      </c>
      <c r="D3223" s="23" t="e">
        <f ca="1">[1]!BexGetData("DP_1","003N8EMH8GTFRCSWKMPXRRESE","GSON5116")</f>
        <v>#NAME?</v>
      </c>
      <c r="E3223" s="23" t="e">
        <f ca="1">[1]!BexGetData("DP_1","003N8EMH8GTFRCSWKMPXRRL3Y","GSON5116")</f>
        <v>#NAME?</v>
      </c>
      <c r="F3223" s="23" t="e">
        <f ca="1">[1]!BexGetData("DP_1","003N8EMH8GTFRCSWKMPXRRRFI","GSON5116")</f>
        <v>#NAME?</v>
      </c>
      <c r="G3223" s="23" t="e">
        <f ca="1">[1]!BexGetData("DP_1","003N8EMH8GTFRCSWKMPXRRXR2","GSON5116")</f>
        <v>#NAME?</v>
      </c>
      <c r="H3223" s="23" t="e">
        <f ca="1">[1]!BexGetData("DP_1","003N8EMH8GTFRCSWKMPXRS42M","GSON5116")</f>
        <v>#NAME?</v>
      </c>
      <c r="I3223" s="23" t="e">
        <f ca="1">[1]!BexGetData("DP_1","003N8EMH8GTFRCSWKMPXRSAE6","GSON5116")</f>
        <v>#NAME?</v>
      </c>
      <c r="J3223" s="24" t="e">
        <f ca="1">[1]!BexGetData("DP_1","003N8EMH8GTFRCSWKMPXRSGPQ","GSON5116")</f>
        <v>#NAME?</v>
      </c>
      <c r="K3223" s="23" t="e">
        <f ca="1">[1]!BexGetData("DP_1","003N8EMH8GTFRIVNUPY288VJH","GSON5116")</f>
        <v>#NAME?</v>
      </c>
      <c r="L3223" s="23" t="e">
        <f ca="1">[1]!BexGetData("DP_1","003N8EMH8GTFRIVNUPY2891V1","GSON5116")</f>
        <v>#NAME?</v>
      </c>
      <c r="M3223" s="28" t="e">
        <f ca="1">[1]!BexGetData("DP_1","003N8EMH8GTFRIVOG7KG9IQXA","GSON5116")</f>
        <v>#NAME?</v>
      </c>
      <c r="N3223" s="23" t="e">
        <f ca="1">[1]!BexGetData("DP_1","003N8EMH8GTFRIVOG7KG9IX8U","GSON5116")</f>
        <v>#NAME?</v>
      </c>
      <c r="O3223" s="28" t="e">
        <f ca="1">[1]!BexGetData("DP_1","003N8EMH8GTFRIVOG7KG9J3KE","GSON5116")</f>
        <v>#NAME?</v>
      </c>
      <c r="P3223" s="23" t="e">
        <f ca="1">[1]!BexGetData("DP_1","003N8EMH8GTFRIVOG7KG9J9VY","GSON5116")</f>
        <v>#NAME?</v>
      </c>
      <c r="Q3223" s="24" t="e">
        <f ca="1">[1]!BexGetData("DP_1","00O2TNJGODT0G5Z4TTKYMM5MT","GSON5116")</f>
        <v>#NAME?</v>
      </c>
      <c r="R3223" s="23" t="e">
        <f ca="1">[1]!BexGetData("DP_1","00O2TNJGODT0G5Z4TTKYMMBYD","GSON5116")</f>
        <v>#NAME?</v>
      </c>
      <c r="S3223" s="23" t="e">
        <f ca="1">[1]!BexGetData("DP_1","00O2TNJGODT0G5Z4TTKYMMI9X","GSON5116")</f>
        <v>#NAME?</v>
      </c>
      <c r="T3223" s="28" t="e">
        <f ca="1">[1]!BexGetData("DP_1","00O2TNJGODT0G5Z4TTKYMMOLH","GSON5116")</f>
        <v>#NAME?</v>
      </c>
      <c r="U3223" s="23" t="e">
        <f ca="1">[1]!BexGetData("DP_1","00O2TNJGODT0G5Z4TTKYMMUX1","GSON5116")</f>
        <v>#NAME?</v>
      </c>
      <c r="V3223" s="28" t="e">
        <f ca="1">[1]!BexGetData("DP_1","00O2TNJGODT0G5Z4TTKYMN18L","GSON5116")</f>
        <v>#NAME?</v>
      </c>
      <c r="W3223" s="23" t="e">
        <f ca="1">[1]!BexGetData("DP_1","00O2TNJGODT0G5Z4TTKYMN7K5","GSON5116")</f>
        <v>#NAME?</v>
      </c>
    </row>
    <row r="3224" spans="1:23" x14ac:dyDescent="0.2">
      <c r="A3224" s="36" t="s">
        <v>6627</v>
      </c>
      <c r="B3224" s="27" t="s">
        <v>6628</v>
      </c>
      <c r="C3224" s="23" t="e">
        <f ca="1">[1]!BexGetData("DP_1","003N8EMH8GTFRCSWKMPXRR8GU","GSON5116171011")</f>
        <v>#NAME?</v>
      </c>
      <c r="D3224" s="23" t="e">
        <f ca="1">[1]!BexGetData("DP_1","003N8EMH8GTFRCSWKMPXRRESE","GSON5116171011")</f>
        <v>#NAME?</v>
      </c>
      <c r="E3224" s="23" t="e">
        <f ca="1">[1]!BexGetData("DP_1","003N8EMH8GTFRCSWKMPXRRL3Y","GSON5116171011")</f>
        <v>#NAME?</v>
      </c>
      <c r="F3224" s="23" t="e">
        <f ca="1">[1]!BexGetData("DP_1","003N8EMH8GTFRCSWKMPXRRRFI","GSON5116171011")</f>
        <v>#NAME?</v>
      </c>
      <c r="G3224" s="23" t="e">
        <f ca="1">[1]!BexGetData("DP_1","003N8EMH8GTFRCSWKMPXRRXR2","GSON5116171011")</f>
        <v>#NAME?</v>
      </c>
      <c r="H3224" s="23" t="e">
        <f ca="1">[1]!BexGetData("DP_1","003N8EMH8GTFRCSWKMPXRS42M","GSON5116171011")</f>
        <v>#NAME?</v>
      </c>
      <c r="I3224" s="23" t="e">
        <f ca="1">[1]!BexGetData("DP_1","003N8EMH8GTFRCSWKMPXRSAE6","GSON5116171011")</f>
        <v>#NAME?</v>
      </c>
      <c r="J3224" s="24" t="e">
        <f ca="1">[1]!BexGetData("DP_1","003N8EMH8GTFRCSWKMPXRSGPQ","GSON5116171011")</f>
        <v>#NAME?</v>
      </c>
      <c r="K3224" s="23" t="e">
        <f ca="1">[1]!BexGetData("DP_1","003N8EMH8GTFRIVNUPY288VJH","GSON5116171011")</f>
        <v>#NAME?</v>
      </c>
      <c r="L3224" s="23" t="e">
        <f ca="1">[1]!BexGetData("DP_1","003N8EMH8GTFRIVNUPY2891V1","GSON5116171011")</f>
        <v>#NAME?</v>
      </c>
      <c r="M3224" s="23" t="e">
        <f ca="1">[1]!BexGetData("DP_1","003N8EMH8GTFRIVOG7KG9IQXA","GSON5116171011")</f>
        <v>#NAME?</v>
      </c>
      <c r="N3224" s="28" t="e">
        <f ca="1">[1]!BexGetData("DP_1","003N8EMH8GTFRIVOG7KG9IX8U","GSON5116171011")</f>
        <v>#NAME?</v>
      </c>
      <c r="O3224" s="23" t="e">
        <f ca="1">[1]!BexGetData("DP_1","003N8EMH8GTFRIVOG7KG9J3KE","GSON5116171011")</f>
        <v>#NAME?</v>
      </c>
      <c r="P3224" s="28" t="e">
        <f ca="1">[1]!BexGetData("DP_1","003N8EMH8GTFRIVOG7KG9J9VY","GSON5116171011")</f>
        <v>#NAME?</v>
      </c>
      <c r="Q3224" s="24" t="e">
        <f ca="1">[1]!BexGetData("DP_1","00O2TNJGODT0G5Z4TTKYMM5MT","GSON5116171011")</f>
        <v>#NAME?</v>
      </c>
      <c r="R3224" s="23" t="e">
        <f ca="1">[1]!BexGetData("DP_1","00O2TNJGODT0G5Z4TTKYMMBYD","GSON5116171011")</f>
        <v>#NAME?</v>
      </c>
      <c r="S3224" s="23" t="e">
        <f ca="1">[1]!BexGetData("DP_1","00O2TNJGODT0G5Z4TTKYMMI9X","GSON5116171011")</f>
        <v>#NAME?</v>
      </c>
      <c r="T3224" s="28" t="e">
        <f ca="1">[1]!BexGetData("DP_1","00O2TNJGODT0G5Z4TTKYMMOLH","GSON5116171011")</f>
        <v>#NAME?</v>
      </c>
      <c r="U3224" s="23" t="e">
        <f ca="1">[1]!BexGetData("DP_1","00O2TNJGODT0G5Z4TTKYMMUX1","GSON5116171011")</f>
        <v>#NAME?</v>
      </c>
      <c r="V3224" s="28" t="e">
        <f ca="1">[1]!BexGetData("DP_1","00O2TNJGODT0G5Z4TTKYMN18L","GSON5116171011")</f>
        <v>#NAME?</v>
      </c>
      <c r="W3224" s="23" t="e">
        <f ca="1">[1]!BexGetData("DP_1","00O2TNJGODT0G5Z4TTKYMN7K5","GSON5116171011")</f>
        <v>#NAME?</v>
      </c>
    </row>
    <row r="3225" spans="1:23" x14ac:dyDescent="0.2">
      <c r="A3225" s="36" t="s">
        <v>6614</v>
      </c>
      <c r="B3225" s="27" t="s">
        <v>6629</v>
      </c>
      <c r="C3225" s="23" t="e">
        <f ca="1">[1]!BexGetData("DP_1","003N8EMH8GTFRCSWKMPXRR8GU","GSON5116171021")</f>
        <v>#NAME?</v>
      </c>
      <c r="D3225" s="23" t="e">
        <f ca="1">[1]!BexGetData("DP_1","003N8EMH8GTFRCSWKMPXRRESE","GSON5116171021")</f>
        <v>#NAME?</v>
      </c>
      <c r="E3225" s="23" t="e">
        <f ca="1">[1]!BexGetData("DP_1","003N8EMH8GTFRCSWKMPXRRL3Y","GSON5116171021")</f>
        <v>#NAME?</v>
      </c>
      <c r="F3225" s="23" t="e">
        <f ca="1">[1]!BexGetData("DP_1","003N8EMH8GTFRCSWKMPXRRRFI","GSON5116171021")</f>
        <v>#NAME?</v>
      </c>
      <c r="G3225" s="23" t="e">
        <f ca="1">[1]!BexGetData("DP_1","003N8EMH8GTFRCSWKMPXRRXR2","GSON5116171021")</f>
        <v>#NAME?</v>
      </c>
      <c r="H3225" s="23" t="e">
        <f ca="1">[1]!BexGetData("DP_1","003N8EMH8GTFRCSWKMPXRS42M","GSON5116171021")</f>
        <v>#NAME?</v>
      </c>
      <c r="I3225" s="23" t="e">
        <f ca="1">[1]!BexGetData("DP_1","003N8EMH8GTFRCSWKMPXRSAE6","GSON5116171021")</f>
        <v>#NAME?</v>
      </c>
      <c r="J3225" s="24" t="e">
        <f ca="1">[1]!BexGetData("DP_1","003N8EMH8GTFRCSWKMPXRSGPQ","GSON5116171021")</f>
        <v>#NAME?</v>
      </c>
      <c r="K3225" s="23" t="e">
        <f ca="1">[1]!BexGetData("DP_1","003N8EMH8GTFRIVNUPY288VJH","GSON5116171021")</f>
        <v>#NAME?</v>
      </c>
      <c r="L3225" s="23" t="e">
        <f ca="1">[1]!BexGetData("DP_1","003N8EMH8GTFRIVNUPY2891V1","GSON5116171021")</f>
        <v>#NAME?</v>
      </c>
      <c r="M3225" s="28" t="e">
        <f ca="1">[1]!BexGetData("DP_1","003N8EMH8GTFRIVOG7KG9IQXA","GSON5116171021")</f>
        <v>#NAME?</v>
      </c>
      <c r="N3225" s="23" t="e">
        <f ca="1">[1]!BexGetData("DP_1","003N8EMH8GTFRIVOG7KG9IX8U","GSON5116171021")</f>
        <v>#NAME?</v>
      </c>
      <c r="O3225" s="28" t="e">
        <f ca="1">[1]!BexGetData("DP_1","003N8EMH8GTFRIVOG7KG9J3KE","GSON5116171021")</f>
        <v>#NAME?</v>
      </c>
      <c r="P3225" s="23" t="e">
        <f ca="1">[1]!BexGetData("DP_1","003N8EMH8GTFRIVOG7KG9J9VY","GSON5116171021")</f>
        <v>#NAME?</v>
      </c>
      <c r="Q3225" s="24" t="e">
        <f ca="1">[1]!BexGetData("DP_1","00O2TNJGODT0G5Z4TTKYMM5MT","GSON5116171021")</f>
        <v>#NAME?</v>
      </c>
      <c r="R3225" s="23" t="e">
        <f ca="1">[1]!BexGetData("DP_1","00O2TNJGODT0G5Z4TTKYMMBYD","GSON5116171021")</f>
        <v>#NAME?</v>
      </c>
      <c r="S3225" s="23" t="e">
        <f ca="1">[1]!BexGetData("DP_1","00O2TNJGODT0G5Z4TTKYMMI9X","GSON5116171021")</f>
        <v>#NAME?</v>
      </c>
      <c r="T3225" s="28" t="e">
        <f ca="1">[1]!BexGetData("DP_1","00O2TNJGODT0G5Z4TTKYMMOLH","GSON5116171021")</f>
        <v>#NAME?</v>
      </c>
      <c r="U3225" s="23" t="e">
        <f ca="1">[1]!BexGetData("DP_1","00O2TNJGODT0G5Z4TTKYMMUX1","GSON5116171021")</f>
        <v>#NAME?</v>
      </c>
      <c r="V3225" s="28" t="e">
        <f ca="1">[1]!BexGetData("DP_1","00O2TNJGODT0G5Z4TTKYMN18L","GSON5116171021")</f>
        <v>#NAME?</v>
      </c>
      <c r="W3225" s="23" t="e">
        <f ca="1">[1]!BexGetData("DP_1","00O2TNJGODT0G5Z4TTKYMN7K5","GSON5116171021")</f>
        <v>#NAME?</v>
      </c>
    </row>
    <row r="3226" spans="1:23" x14ac:dyDescent="0.2">
      <c r="A3226" s="36" t="s">
        <v>6630</v>
      </c>
      <c r="B3226" s="27" t="s">
        <v>6631</v>
      </c>
      <c r="C3226" s="23" t="e">
        <f ca="1">[1]!BexGetData("DP_1","003N8EMH8GTFRCSWKMPXRR8GU","GSON5116171031")</f>
        <v>#NAME?</v>
      </c>
      <c r="D3226" s="23" t="e">
        <f ca="1">[1]!BexGetData("DP_1","003N8EMH8GTFRCSWKMPXRRESE","GSON5116171031")</f>
        <v>#NAME?</v>
      </c>
      <c r="E3226" s="23" t="e">
        <f ca="1">[1]!BexGetData("DP_1","003N8EMH8GTFRCSWKMPXRRL3Y","GSON5116171031")</f>
        <v>#NAME?</v>
      </c>
      <c r="F3226" s="23" t="e">
        <f ca="1">[1]!BexGetData("DP_1","003N8EMH8GTFRCSWKMPXRRRFI","GSON5116171031")</f>
        <v>#NAME?</v>
      </c>
      <c r="G3226" s="23" t="e">
        <f ca="1">[1]!BexGetData("DP_1","003N8EMH8GTFRCSWKMPXRRXR2","GSON5116171031")</f>
        <v>#NAME?</v>
      </c>
      <c r="H3226" s="23" t="e">
        <f ca="1">[1]!BexGetData("DP_1","003N8EMH8GTFRCSWKMPXRS42M","GSON5116171031")</f>
        <v>#NAME?</v>
      </c>
      <c r="I3226" s="23" t="e">
        <f ca="1">[1]!BexGetData("DP_1","003N8EMH8GTFRCSWKMPXRSAE6","GSON5116171031")</f>
        <v>#NAME?</v>
      </c>
      <c r="J3226" s="24" t="e">
        <f ca="1">[1]!BexGetData("DP_1","003N8EMH8GTFRCSWKMPXRSGPQ","GSON5116171031")</f>
        <v>#NAME?</v>
      </c>
      <c r="K3226" s="23" t="e">
        <f ca="1">[1]!BexGetData("DP_1","003N8EMH8GTFRIVNUPY288VJH","GSON5116171031")</f>
        <v>#NAME?</v>
      </c>
      <c r="L3226" s="23" t="e">
        <f ca="1">[1]!BexGetData("DP_1","003N8EMH8GTFRIVNUPY2891V1","GSON5116171031")</f>
        <v>#NAME?</v>
      </c>
      <c r="M3226" s="28" t="e">
        <f ca="1">[1]!BexGetData("DP_1","003N8EMH8GTFRIVOG7KG9IQXA","GSON5116171031")</f>
        <v>#NAME?</v>
      </c>
      <c r="N3226" s="23" t="e">
        <f ca="1">[1]!BexGetData("DP_1","003N8EMH8GTFRIVOG7KG9IX8U","GSON5116171031")</f>
        <v>#NAME?</v>
      </c>
      <c r="O3226" s="28" t="e">
        <f ca="1">[1]!BexGetData("DP_1","003N8EMH8GTFRIVOG7KG9J3KE","GSON5116171031")</f>
        <v>#NAME?</v>
      </c>
      <c r="P3226" s="23" t="e">
        <f ca="1">[1]!BexGetData("DP_1","003N8EMH8GTFRIVOG7KG9J9VY","GSON5116171031")</f>
        <v>#NAME?</v>
      </c>
      <c r="Q3226" s="24" t="e">
        <f ca="1">[1]!BexGetData("DP_1","00O2TNJGODT0G5Z4TTKYMM5MT","GSON5116171031")</f>
        <v>#NAME?</v>
      </c>
      <c r="R3226" s="23" t="e">
        <f ca="1">[1]!BexGetData("DP_1","00O2TNJGODT0G5Z4TTKYMMBYD","GSON5116171031")</f>
        <v>#NAME?</v>
      </c>
      <c r="S3226" s="23" t="e">
        <f ca="1">[1]!BexGetData("DP_1","00O2TNJGODT0G5Z4TTKYMMI9X","GSON5116171031")</f>
        <v>#NAME?</v>
      </c>
      <c r="T3226" s="28" t="e">
        <f ca="1">[1]!BexGetData("DP_1","00O2TNJGODT0G5Z4TTKYMMOLH","GSON5116171031")</f>
        <v>#NAME?</v>
      </c>
      <c r="U3226" s="23" t="e">
        <f ca="1">[1]!BexGetData("DP_1","00O2TNJGODT0G5Z4TTKYMMUX1","GSON5116171031")</f>
        <v>#NAME?</v>
      </c>
      <c r="V3226" s="28" t="e">
        <f ca="1">[1]!BexGetData("DP_1","00O2TNJGODT0G5Z4TTKYMN18L","GSON5116171031")</f>
        <v>#NAME?</v>
      </c>
      <c r="W3226" s="23" t="e">
        <f ca="1">[1]!BexGetData("DP_1","00O2TNJGODT0G5Z4TTKYMN7K5","GSON5116171031")</f>
        <v>#NAME?</v>
      </c>
    </row>
    <row r="3227" spans="1:23" x14ac:dyDescent="0.2">
      <c r="A3227" s="36" t="s">
        <v>6632</v>
      </c>
      <c r="B3227" s="27" t="s">
        <v>6633</v>
      </c>
      <c r="C3227" s="23" t="e">
        <f ca="1">[1]!BexGetData("DP_1","003N8EMH8GTFRCSWKMPXRR8GU","GSON5116171041")</f>
        <v>#NAME?</v>
      </c>
      <c r="D3227" s="23" t="e">
        <f ca="1">[1]!BexGetData("DP_1","003N8EMH8GTFRCSWKMPXRRESE","GSON5116171041")</f>
        <v>#NAME?</v>
      </c>
      <c r="E3227" s="23" t="e">
        <f ca="1">[1]!BexGetData("DP_1","003N8EMH8GTFRCSWKMPXRRL3Y","GSON5116171041")</f>
        <v>#NAME?</v>
      </c>
      <c r="F3227" s="23" t="e">
        <f ca="1">[1]!BexGetData("DP_1","003N8EMH8GTFRCSWKMPXRRRFI","GSON5116171041")</f>
        <v>#NAME?</v>
      </c>
      <c r="G3227" s="23" t="e">
        <f ca="1">[1]!BexGetData("DP_1","003N8EMH8GTFRCSWKMPXRRXR2","GSON5116171041")</f>
        <v>#NAME?</v>
      </c>
      <c r="H3227" s="23" t="e">
        <f ca="1">[1]!BexGetData("DP_1","003N8EMH8GTFRCSWKMPXRS42M","GSON5116171041")</f>
        <v>#NAME?</v>
      </c>
      <c r="I3227" s="23" t="e">
        <f ca="1">[1]!BexGetData("DP_1","003N8EMH8GTFRCSWKMPXRSAE6","GSON5116171041")</f>
        <v>#NAME?</v>
      </c>
      <c r="J3227" s="24" t="e">
        <f ca="1">[1]!BexGetData("DP_1","003N8EMH8GTFRCSWKMPXRSGPQ","GSON5116171041")</f>
        <v>#NAME?</v>
      </c>
      <c r="K3227" s="23" t="e">
        <f ca="1">[1]!BexGetData("DP_1","003N8EMH8GTFRIVNUPY288VJH","GSON5116171041")</f>
        <v>#NAME?</v>
      </c>
      <c r="L3227" s="23" t="e">
        <f ca="1">[1]!BexGetData("DP_1","003N8EMH8GTFRIVNUPY2891V1","GSON5116171041")</f>
        <v>#NAME?</v>
      </c>
      <c r="M3227" s="28" t="e">
        <f ca="1">[1]!BexGetData("DP_1","003N8EMH8GTFRIVOG7KG9IQXA","GSON5116171041")</f>
        <v>#NAME?</v>
      </c>
      <c r="N3227" s="23" t="e">
        <f ca="1">[1]!BexGetData("DP_1","003N8EMH8GTFRIVOG7KG9IX8U","GSON5116171041")</f>
        <v>#NAME?</v>
      </c>
      <c r="O3227" s="28" t="e">
        <f ca="1">[1]!BexGetData("DP_1","003N8EMH8GTFRIVOG7KG9J3KE","GSON5116171041")</f>
        <v>#NAME?</v>
      </c>
      <c r="P3227" s="23" t="e">
        <f ca="1">[1]!BexGetData("DP_1","003N8EMH8GTFRIVOG7KG9J9VY","GSON5116171041")</f>
        <v>#NAME?</v>
      </c>
      <c r="Q3227" s="24" t="e">
        <f ca="1">[1]!BexGetData("DP_1","00O2TNJGODT0G5Z4TTKYMM5MT","GSON5116171041")</f>
        <v>#NAME?</v>
      </c>
      <c r="R3227" s="23" t="e">
        <f ca="1">[1]!BexGetData("DP_1","00O2TNJGODT0G5Z4TTKYMMBYD","GSON5116171041")</f>
        <v>#NAME?</v>
      </c>
      <c r="S3227" s="23" t="e">
        <f ca="1">[1]!BexGetData("DP_1","00O2TNJGODT0G5Z4TTKYMMI9X","GSON5116171041")</f>
        <v>#NAME?</v>
      </c>
      <c r="T3227" s="28" t="e">
        <f ca="1">[1]!BexGetData("DP_1","00O2TNJGODT0G5Z4TTKYMMOLH","GSON5116171041")</f>
        <v>#NAME?</v>
      </c>
      <c r="U3227" s="23" t="e">
        <f ca="1">[1]!BexGetData("DP_1","00O2TNJGODT0G5Z4TTKYMMUX1","GSON5116171041")</f>
        <v>#NAME?</v>
      </c>
      <c r="V3227" s="28" t="e">
        <f ca="1">[1]!BexGetData("DP_1","00O2TNJGODT0G5Z4TTKYMN18L","GSON5116171041")</f>
        <v>#NAME?</v>
      </c>
      <c r="W3227" s="23" t="e">
        <f ca="1">[1]!BexGetData("DP_1","00O2TNJGODT0G5Z4TTKYMN7K5","GSON5116171041")</f>
        <v>#NAME?</v>
      </c>
    </row>
    <row r="3228" spans="1:23" x14ac:dyDescent="0.2">
      <c r="A3228" s="34" t="s">
        <v>109</v>
      </c>
      <c r="B3228" s="27" t="s">
        <v>110</v>
      </c>
      <c r="C3228" s="23" t="e">
        <f ca="1">[1]!BexGetData("DP_1","003N8EMH8GTFRCSWKMPXRR8GU","GSON512")</f>
        <v>#NAME?</v>
      </c>
      <c r="D3228" s="23" t="e">
        <f ca="1">[1]!BexGetData("DP_1","003N8EMH8GTFRCSWKMPXRRESE","GSON512")</f>
        <v>#NAME?</v>
      </c>
      <c r="E3228" s="23" t="e">
        <f ca="1">[1]!BexGetData("DP_1","003N8EMH8GTFRCSWKMPXRRL3Y","GSON512")</f>
        <v>#NAME?</v>
      </c>
      <c r="F3228" s="23" t="e">
        <f ca="1">[1]!BexGetData("DP_1","003N8EMH8GTFRCSWKMPXRRRFI","GSON512")</f>
        <v>#NAME?</v>
      </c>
      <c r="G3228" s="23" t="e">
        <f ca="1">[1]!BexGetData("DP_1","003N8EMH8GTFRCSWKMPXRRXR2","GSON512")</f>
        <v>#NAME?</v>
      </c>
      <c r="H3228" s="23" t="e">
        <f ca="1">[1]!BexGetData("DP_1","003N8EMH8GTFRCSWKMPXRS42M","GSON512")</f>
        <v>#NAME?</v>
      </c>
      <c r="I3228" s="23" t="e">
        <f ca="1">[1]!BexGetData("DP_1","003N8EMH8GTFRCSWKMPXRSAE6","GSON512")</f>
        <v>#NAME?</v>
      </c>
      <c r="J3228" s="24" t="e">
        <f ca="1">[1]!BexGetData("DP_1","003N8EMH8GTFRCSWKMPXRSGPQ","GSON512")</f>
        <v>#NAME?</v>
      </c>
      <c r="K3228" s="23" t="e">
        <f ca="1">[1]!BexGetData("DP_1","003N8EMH8GTFRIVNUPY288VJH","GSON512")</f>
        <v>#NAME?</v>
      </c>
      <c r="L3228" s="23" t="e">
        <f ca="1">[1]!BexGetData("DP_1","003N8EMH8GTFRIVNUPY2891V1","GSON512")</f>
        <v>#NAME?</v>
      </c>
      <c r="M3228" s="23" t="e">
        <f ca="1">[1]!BexGetData("DP_1","003N8EMH8GTFRIVOG7KG9IQXA","GSON512")</f>
        <v>#NAME?</v>
      </c>
      <c r="N3228" s="28" t="e">
        <f ca="1">[1]!BexGetData("DP_1","003N8EMH8GTFRIVOG7KG9IX8U","GSON512")</f>
        <v>#NAME?</v>
      </c>
      <c r="O3228" s="23" t="e">
        <f ca="1">[1]!BexGetData("DP_1","003N8EMH8GTFRIVOG7KG9J3KE","GSON512")</f>
        <v>#NAME?</v>
      </c>
      <c r="P3228" s="28" t="e">
        <f ca="1">[1]!BexGetData("DP_1","003N8EMH8GTFRIVOG7KG9J9VY","GSON512")</f>
        <v>#NAME?</v>
      </c>
      <c r="Q3228" s="24" t="e">
        <f ca="1">[1]!BexGetData("DP_1","00O2TNJGODT0G5Z4TTKYMM5MT","GSON512")</f>
        <v>#NAME?</v>
      </c>
      <c r="R3228" s="23" t="e">
        <f ca="1">[1]!BexGetData("DP_1","00O2TNJGODT0G5Z4TTKYMMBYD","GSON512")</f>
        <v>#NAME?</v>
      </c>
      <c r="S3228" s="23" t="e">
        <f ca="1">[1]!BexGetData("DP_1","00O2TNJGODT0G5Z4TTKYMMI9X","GSON512")</f>
        <v>#NAME?</v>
      </c>
      <c r="T3228" s="28" t="e">
        <f ca="1">[1]!BexGetData("DP_1","00O2TNJGODT0G5Z4TTKYMMOLH","GSON512")</f>
        <v>#NAME?</v>
      </c>
      <c r="U3228" s="23" t="e">
        <f ca="1">[1]!BexGetData("DP_1","00O2TNJGODT0G5Z4TTKYMMUX1","GSON512")</f>
        <v>#NAME?</v>
      </c>
      <c r="V3228" s="28" t="e">
        <f ca="1">[1]!BexGetData("DP_1","00O2TNJGODT0G5Z4TTKYMN18L","GSON512")</f>
        <v>#NAME?</v>
      </c>
      <c r="W3228" s="23" t="e">
        <f ca="1">[1]!BexGetData("DP_1","00O2TNJGODT0G5Z4TTKYMN7K5","GSON512")</f>
        <v>#NAME?</v>
      </c>
    </row>
    <row r="3229" spans="1:23" x14ac:dyDescent="0.2">
      <c r="A3229" s="35" t="s">
        <v>111</v>
      </c>
      <c r="B3229" s="27" t="s">
        <v>112</v>
      </c>
      <c r="C3229" s="23" t="e">
        <f ca="1">[1]!BexGetData("DP_1","003N8EMH8GTFRCSWKMPXRR8GU","GSON5121")</f>
        <v>#NAME?</v>
      </c>
      <c r="D3229" s="23" t="e">
        <f ca="1">[1]!BexGetData("DP_1","003N8EMH8GTFRCSWKMPXRRESE","GSON5121")</f>
        <v>#NAME?</v>
      </c>
      <c r="E3229" s="23" t="e">
        <f ca="1">[1]!BexGetData("DP_1","003N8EMH8GTFRCSWKMPXRRL3Y","GSON5121")</f>
        <v>#NAME?</v>
      </c>
      <c r="F3229" s="23" t="e">
        <f ca="1">[1]!BexGetData("DP_1","003N8EMH8GTFRCSWKMPXRRRFI","GSON5121")</f>
        <v>#NAME?</v>
      </c>
      <c r="G3229" s="23" t="e">
        <f ca="1">[1]!BexGetData("DP_1","003N8EMH8GTFRCSWKMPXRRXR2","GSON5121")</f>
        <v>#NAME?</v>
      </c>
      <c r="H3229" s="23" t="e">
        <f ca="1">[1]!BexGetData("DP_1","003N8EMH8GTFRCSWKMPXRS42M","GSON5121")</f>
        <v>#NAME?</v>
      </c>
      <c r="I3229" s="23" t="e">
        <f ca="1">[1]!BexGetData("DP_1","003N8EMH8GTFRCSWKMPXRSAE6","GSON5121")</f>
        <v>#NAME?</v>
      </c>
      <c r="J3229" s="24" t="e">
        <f ca="1">[1]!BexGetData("DP_1","003N8EMH8GTFRCSWKMPXRSGPQ","GSON5121")</f>
        <v>#NAME?</v>
      </c>
      <c r="K3229" s="23" t="e">
        <f ca="1">[1]!BexGetData("DP_1","003N8EMH8GTFRIVNUPY288VJH","GSON5121")</f>
        <v>#NAME?</v>
      </c>
      <c r="L3229" s="23" t="e">
        <f ca="1">[1]!BexGetData("DP_1","003N8EMH8GTFRIVNUPY2891V1","GSON5121")</f>
        <v>#NAME?</v>
      </c>
      <c r="M3229" s="23" t="e">
        <f ca="1">[1]!BexGetData("DP_1","003N8EMH8GTFRIVOG7KG9IQXA","GSON5121")</f>
        <v>#NAME?</v>
      </c>
      <c r="N3229" s="28" t="e">
        <f ca="1">[1]!BexGetData("DP_1","003N8EMH8GTFRIVOG7KG9IX8U","GSON5121")</f>
        <v>#NAME?</v>
      </c>
      <c r="O3229" s="23" t="e">
        <f ca="1">[1]!BexGetData("DP_1","003N8EMH8GTFRIVOG7KG9J3KE","GSON5121")</f>
        <v>#NAME?</v>
      </c>
      <c r="P3229" s="28" t="e">
        <f ca="1">[1]!BexGetData("DP_1","003N8EMH8GTFRIVOG7KG9J9VY","GSON5121")</f>
        <v>#NAME?</v>
      </c>
      <c r="Q3229" s="24" t="e">
        <f ca="1">[1]!BexGetData("DP_1","00O2TNJGODT0G5Z4TTKYMM5MT","GSON5121")</f>
        <v>#NAME?</v>
      </c>
      <c r="R3229" s="23" t="e">
        <f ca="1">[1]!BexGetData("DP_1","00O2TNJGODT0G5Z4TTKYMMBYD","GSON5121")</f>
        <v>#NAME?</v>
      </c>
      <c r="S3229" s="23" t="e">
        <f ca="1">[1]!BexGetData("DP_1","00O2TNJGODT0G5Z4TTKYMMI9X","GSON5121")</f>
        <v>#NAME?</v>
      </c>
      <c r="T3229" s="28" t="e">
        <f ca="1">[1]!BexGetData("DP_1","00O2TNJGODT0G5Z4TTKYMMOLH","GSON5121")</f>
        <v>#NAME?</v>
      </c>
      <c r="U3229" s="23" t="e">
        <f ca="1">[1]!BexGetData("DP_1","00O2TNJGODT0G5Z4TTKYMMUX1","GSON5121")</f>
        <v>#NAME?</v>
      </c>
      <c r="V3229" s="28" t="e">
        <f ca="1">[1]!BexGetData("DP_1","00O2TNJGODT0G5Z4TTKYMN18L","GSON5121")</f>
        <v>#NAME?</v>
      </c>
      <c r="W3229" s="23" t="e">
        <f ca="1">[1]!BexGetData("DP_1","00O2TNJGODT0G5Z4TTKYMN7K5","GSON5121")</f>
        <v>#NAME?</v>
      </c>
    </row>
    <row r="3230" spans="1:23" x14ac:dyDescent="0.2">
      <c r="A3230" s="36" t="s">
        <v>6634</v>
      </c>
      <c r="B3230" s="27" t="s">
        <v>382</v>
      </c>
      <c r="C3230" s="23" t="e">
        <f ca="1">[1]!BexGetData("DP_1","003N8EMH8GTFRCSWKMPXRR8GU","GSON5121211011")</f>
        <v>#NAME?</v>
      </c>
      <c r="D3230" s="23" t="e">
        <f ca="1">[1]!BexGetData("DP_1","003N8EMH8GTFRCSWKMPXRRESE","GSON5121211011")</f>
        <v>#NAME?</v>
      </c>
      <c r="E3230" s="23" t="e">
        <f ca="1">[1]!BexGetData("DP_1","003N8EMH8GTFRCSWKMPXRRL3Y","GSON5121211011")</f>
        <v>#NAME?</v>
      </c>
      <c r="F3230" s="23" t="e">
        <f ca="1">[1]!BexGetData("DP_1","003N8EMH8GTFRCSWKMPXRRRFI","GSON5121211011")</f>
        <v>#NAME?</v>
      </c>
      <c r="G3230" s="23" t="e">
        <f ca="1">[1]!BexGetData("DP_1","003N8EMH8GTFRCSWKMPXRRXR2","GSON5121211011")</f>
        <v>#NAME?</v>
      </c>
      <c r="H3230" s="23" t="e">
        <f ca="1">[1]!BexGetData("DP_1","003N8EMH8GTFRCSWKMPXRS42M","GSON5121211011")</f>
        <v>#NAME?</v>
      </c>
      <c r="I3230" s="23" t="e">
        <f ca="1">[1]!BexGetData("DP_1","003N8EMH8GTFRCSWKMPXRSAE6","GSON5121211011")</f>
        <v>#NAME?</v>
      </c>
      <c r="J3230" s="24" t="e">
        <f ca="1">[1]!BexGetData("DP_1","003N8EMH8GTFRCSWKMPXRSGPQ","GSON5121211011")</f>
        <v>#NAME?</v>
      </c>
      <c r="K3230" s="23" t="e">
        <f ca="1">[1]!BexGetData("DP_1","003N8EMH8GTFRIVNUPY288VJH","GSON5121211011")</f>
        <v>#NAME?</v>
      </c>
      <c r="L3230" s="23" t="e">
        <f ca="1">[1]!BexGetData("DP_1","003N8EMH8GTFRIVNUPY2891V1","GSON5121211011")</f>
        <v>#NAME?</v>
      </c>
      <c r="M3230" s="28" t="e">
        <f ca="1">[1]!BexGetData("DP_1","003N8EMH8GTFRIVOG7KG9IQXA","GSON5121211011")</f>
        <v>#NAME?</v>
      </c>
      <c r="N3230" s="23" t="e">
        <f ca="1">[1]!BexGetData("DP_1","003N8EMH8GTFRIVOG7KG9IX8U","GSON5121211011")</f>
        <v>#NAME?</v>
      </c>
      <c r="O3230" s="28" t="e">
        <f ca="1">[1]!BexGetData("DP_1","003N8EMH8GTFRIVOG7KG9J3KE","GSON5121211011")</f>
        <v>#NAME?</v>
      </c>
      <c r="P3230" s="23" t="e">
        <f ca="1">[1]!BexGetData("DP_1","003N8EMH8GTFRIVOG7KG9J9VY","GSON5121211011")</f>
        <v>#NAME?</v>
      </c>
      <c r="Q3230" s="24" t="e">
        <f ca="1">[1]!BexGetData("DP_1","00O2TNJGODT0G5Z4TTKYMM5MT","GSON5121211011")</f>
        <v>#NAME?</v>
      </c>
      <c r="R3230" s="23" t="e">
        <f ca="1">[1]!BexGetData("DP_1","00O2TNJGODT0G5Z4TTKYMMBYD","GSON5121211011")</f>
        <v>#NAME?</v>
      </c>
      <c r="S3230" s="23" t="e">
        <f ca="1">[1]!BexGetData("DP_1","00O2TNJGODT0G5Z4TTKYMMI9X","GSON5121211011")</f>
        <v>#NAME?</v>
      </c>
      <c r="T3230" s="28" t="e">
        <f ca="1">[1]!BexGetData("DP_1","00O2TNJGODT0G5Z4TTKYMMOLH","GSON5121211011")</f>
        <v>#NAME?</v>
      </c>
      <c r="U3230" s="23" t="e">
        <f ca="1">[1]!BexGetData("DP_1","00O2TNJGODT0G5Z4TTKYMMUX1","GSON5121211011")</f>
        <v>#NAME?</v>
      </c>
      <c r="V3230" s="28" t="e">
        <f ca="1">[1]!BexGetData("DP_1","00O2TNJGODT0G5Z4TTKYMN18L","GSON5121211011")</f>
        <v>#NAME?</v>
      </c>
      <c r="W3230" s="23" t="e">
        <f ca="1">[1]!BexGetData("DP_1","00O2TNJGODT0G5Z4TTKYMN7K5","GSON5121211011")</f>
        <v>#NAME?</v>
      </c>
    </row>
    <row r="3231" spans="1:23" x14ac:dyDescent="0.2">
      <c r="A3231" s="36" t="s">
        <v>6634</v>
      </c>
      <c r="B3231" s="27" t="s">
        <v>6635</v>
      </c>
      <c r="C3231" s="23" t="e">
        <f ca="1">[1]!BexGetData("DP_1","003N8EMH8GTFRCSWKMPXRR8GU","GSON5121211012")</f>
        <v>#NAME?</v>
      </c>
      <c r="D3231" s="28" t="e">
        <f ca="1">[1]!BexGetData("DP_1","003N8EMH8GTFRCSWKMPXRRESE","GSON5121211012")</f>
        <v>#NAME?</v>
      </c>
      <c r="E3231" s="23" t="e">
        <f ca="1">[1]!BexGetData("DP_1","003N8EMH8GTFRCSWKMPXRRL3Y","GSON5121211012")</f>
        <v>#NAME?</v>
      </c>
      <c r="F3231" s="24" t="e">
        <f ca="1">[1]!BexGetData("DP_1","003N8EMH8GTFRCSWKMPXRRRFI","GSON5121211012")</f>
        <v>#NAME?</v>
      </c>
      <c r="G3231" s="24" t="e">
        <f ca="1">[1]!BexGetData("DP_1","003N8EMH8GTFRCSWKMPXRRXR2","GSON5121211012")</f>
        <v>#NAME?</v>
      </c>
      <c r="H3231" s="24" t="e">
        <f ca="1">[1]!BexGetData("DP_1","003N8EMH8GTFRCSWKMPXRS42M","GSON5121211012")</f>
        <v>#NAME?</v>
      </c>
      <c r="I3231" s="24" t="e">
        <f ca="1">[1]!BexGetData("DP_1","003N8EMH8GTFRCSWKMPXRSAE6","GSON5121211012")</f>
        <v>#NAME?</v>
      </c>
      <c r="J3231" s="24" t="e">
        <f ca="1">[1]!BexGetData("DP_1","003N8EMH8GTFRCSWKMPXRSGPQ","GSON5121211012")</f>
        <v>#NAME?</v>
      </c>
      <c r="K3231" s="23" t="e">
        <f ca="1">[1]!BexGetData("DP_1","003N8EMH8GTFRIVNUPY288VJH","GSON5121211012")</f>
        <v>#NAME?</v>
      </c>
      <c r="L3231" s="23" t="e">
        <f ca="1">[1]!BexGetData("DP_1","003N8EMH8GTFRIVNUPY2891V1","GSON5121211012")</f>
        <v>#NAME?</v>
      </c>
      <c r="M3231" s="28" t="e">
        <f ca="1">[1]!BexGetData("DP_1","003N8EMH8GTFRIVOG7KG9IQXA","GSON5121211012")</f>
        <v>#NAME?</v>
      </c>
      <c r="N3231" s="23" t="e">
        <f ca="1">[1]!BexGetData("DP_1","003N8EMH8GTFRIVOG7KG9IX8U","GSON5121211012")</f>
        <v>#NAME?</v>
      </c>
      <c r="O3231" s="28" t="e">
        <f ca="1">[1]!BexGetData("DP_1","003N8EMH8GTFRIVOG7KG9J3KE","GSON5121211012")</f>
        <v>#NAME?</v>
      </c>
      <c r="P3231" s="23" t="e">
        <f ca="1">[1]!BexGetData("DP_1","003N8EMH8GTFRIVOG7KG9J9VY","GSON5121211012")</f>
        <v>#NAME?</v>
      </c>
      <c r="Q3231" s="24" t="e">
        <f ca="1">[1]!BexGetData("DP_1","00O2TNJGODT0G5Z4TTKYMM5MT","GSON5121211012")</f>
        <v>#NAME?</v>
      </c>
      <c r="R3231" s="24" t="e">
        <f ca="1">[1]!BexGetData("DP_1","00O2TNJGODT0G5Z4TTKYMMBYD","GSON5121211012")</f>
        <v>#NAME?</v>
      </c>
      <c r="S3231" s="24" t="e">
        <f ca="1">[1]!BexGetData("DP_1","00O2TNJGODT0G5Z4TTKYMMI9X","GSON5121211012")</f>
        <v>#NAME?</v>
      </c>
      <c r="T3231" s="24" t="e">
        <f ca="1">[1]!BexGetData("DP_1","00O2TNJGODT0G5Z4TTKYMMOLH","GSON5121211012")</f>
        <v>#NAME?</v>
      </c>
      <c r="U3231" s="24" t="e">
        <f ca="1">[1]!BexGetData("DP_1","00O2TNJGODT0G5Z4TTKYMMUX1","GSON5121211012")</f>
        <v>#NAME?</v>
      </c>
      <c r="V3231" s="24" t="e">
        <f ca="1">[1]!BexGetData("DP_1","00O2TNJGODT0G5Z4TTKYMN18L","GSON5121211012")</f>
        <v>#NAME?</v>
      </c>
      <c r="W3231" s="24" t="e">
        <f ca="1">[1]!BexGetData("DP_1","00O2TNJGODT0G5Z4TTKYMN7K5","GSON5121211012")</f>
        <v>#NAME?</v>
      </c>
    </row>
    <row r="3232" spans="1:23" x14ac:dyDescent="0.2">
      <c r="A3232" s="36" t="s">
        <v>6636</v>
      </c>
      <c r="B3232" s="27" t="s">
        <v>383</v>
      </c>
      <c r="C3232" s="23" t="e">
        <f ca="1">[1]!BexGetData("DP_1","003N8EMH8GTFRCSWKMPXRR8GU","GSON5121212011")</f>
        <v>#NAME?</v>
      </c>
      <c r="D3232" s="23" t="e">
        <f ca="1">[1]!BexGetData("DP_1","003N8EMH8GTFRCSWKMPXRRESE","GSON5121212011")</f>
        <v>#NAME?</v>
      </c>
      <c r="E3232" s="23" t="e">
        <f ca="1">[1]!BexGetData("DP_1","003N8EMH8GTFRCSWKMPXRRL3Y","GSON5121212011")</f>
        <v>#NAME?</v>
      </c>
      <c r="F3232" s="23" t="e">
        <f ca="1">[1]!BexGetData("DP_1","003N8EMH8GTFRCSWKMPXRRRFI","GSON5121212011")</f>
        <v>#NAME?</v>
      </c>
      <c r="G3232" s="23" t="e">
        <f ca="1">[1]!BexGetData("DP_1","003N8EMH8GTFRCSWKMPXRRXR2","GSON5121212011")</f>
        <v>#NAME?</v>
      </c>
      <c r="H3232" s="23" t="e">
        <f ca="1">[1]!BexGetData("DP_1","003N8EMH8GTFRCSWKMPXRS42M","GSON5121212011")</f>
        <v>#NAME?</v>
      </c>
      <c r="I3232" s="23" t="e">
        <f ca="1">[1]!BexGetData("DP_1","003N8EMH8GTFRCSWKMPXRSAE6","GSON5121212011")</f>
        <v>#NAME?</v>
      </c>
      <c r="J3232" s="24" t="e">
        <f ca="1">[1]!BexGetData("DP_1","003N8EMH8GTFRCSWKMPXRSGPQ","GSON5121212011")</f>
        <v>#NAME?</v>
      </c>
      <c r="K3232" s="23" t="e">
        <f ca="1">[1]!BexGetData("DP_1","003N8EMH8GTFRIVNUPY288VJH","GSON5121212011")</f>
        <v>#NAME?</v>
      </c>
      <c r="L3232" s="23" t="e">
        <f ca="1">[1]!BexGetData("DP_1","003N8EMH8GTFRIVNUPY2891V1","GSON5121212011")</f>
        <v>#NAME?</v>
      </c>
      <c r="M3232" s="23" t="e">
        <f ca="1">[1]!BexGetData("DP_1","003N8EMH8GTFRIVOG7KG9IQXA","GSON5121212011")</f>
        <v>#NAME?</v>
      </c>
      <c r="N3232" s="28" t="e">
        <f ca="1">[1]!BexGetData("DP_1","003N8EMH8GTFRIVOG7KG9IX8U","GSON5121212011")</f>
        <v>#NAME?</v>
      </c>
      <c r="O3232" s="23" t="e">
        <f ca="1">[1]!BexGetData("DP_1","003N8EMH8GTFRIVOG7KG9J3KE","GSON5121212011")</f>
        <v>#NAME?</v>
      </c>
      <c r="P3232" s="28" t="e">
        <f ca="1">[1]!BexGetData("DP_1","003N8EMH8GTFRIVOG7KG9J9VY","GSON5121212011")</f>
        <v>#NAME?</v>
      </c>
      <c r="Q3232" s="24" t="e">
        <f ca="1">[1]!BexGetData("DP_1","00O2TNJGODT0G5Z4TTKYMM5MT","GSON5121212011")</f>
        <v>#NAME?</v>
      </c>
      <c r="R3232" s="23" t="e">
        <f ca="1">[1]!BexGetData("DP_1","00O2TNJGODT0G5Z4TTKYMMBYD","GSON5121212011")</f>
        <v>#NAME?</v>
      </c>
      <c r="S3232" s="23" t="e">
        <f ca="1">[1]!BexGetData("DP_1","00O2TNJGODT0G5Z4TTKYMMI9X","GSON5121212011")</f>
        <v>#NAME?</v>
      </c>
      <c r="T3232" s="28" t="e">
        <f ca="1">[1]!BexGetData("DP_1","00O2TNJGODT0G5Z4TTKYMMOLH","GSON5121212011")</f>
        <v>#NAME?</v>
      </c>
      <c r="U3232" s="23" t="e">
        <f ca="1">[1]!BexGetData("DP_1","00O2TNJGODT0G5Z4TTKYMMUX1","GSON5121212011")</f>
        <v>#NAME?</v>
      </c>
      <c r="V3232" s="28" t="e">
        <f ca="1">[1]!BexGetData("DP_1","00O2TNJGODT0G5Z4TTKYMN18L","GSON5121212011")</f>
        <v>#NAME?</v>
      </c>
      <c r="W3232" s="23" t="e">
        <f ca="1">[1]!BexGetData("DP_1","00O2TNJGODT0G5Z4TTKYMN7K5","GSON5121212011")</f>
        <v>#NAME?</v>
      </c>
    </row>
    <row r="3233" spans="1:23" x14ac:dyDescent="0.2">
      <c r="A3233" s="36" t="s">
        <v>6636</v>
      </c>
      <c r="B3233" s="27" t="s">
        <v>6637</v>
      </c>
      <c r="C3233" s="23" t="e">
        <f ca="1">[1]!BexGetData("DP_1","003N8EMH8GTFRCSWKMPXRR8GU","GSON5121212012")</f>
        <v>#NAME?</v>
      </c>
      <c r="D3233" s="28" t="e">
        <f ca="1">[1]!BexGetData("DP_1","003N8EMH8GTFRCSWKMPXRRESE","GSON5121212012")</f>
        <v>#NAME?</v>
      </c>
      <c r="E3233" s="23" t="e">
        <f ca="1">[1]!BexGetData("DP_1","003N8EMH8GTFRCSWKMPXRRL3Y","GSON5121212012")</f>
        <v>#NAME?</v>
      </c>
      <c r="F3233" s="24" t="e">
        <f ca="1">[1]!BexGetData("DP_1","003N8EMH8GTFRCSWKMPXRRRFI","GSON5121212012")</f>
        <v>#NAME?</v>
      </c>
      <c r="G3233" s="24" t="e">
        <f ca="1">[1]!BexGetData("DP_1","003N8EMH8GTFRCSWKMPXRRXR2","GSON5121212012")</f>
        <v>#NAME?</v>
      </c>
      <c r="H3233" s="24" t="e">
        <f ca="1">[1]!BexGetData("DP_1","003N8EMH8GTFRCSWKMPXRS42M","GSON5121212012")</f>
        <v>#NAME?</v>
      </c>
      <c r="I3233" s="24" t="e">
        <f ca="1">[1]!BexGetData("DP_1","003N8EMH8GTFRCSWKMPXRSAE6","GSON5121212012")</f>
        <v>#NAME?</v>
      </c>
      <c r="J3233" s="24" t="e">
        <f ca="1">[1]!BexGetData("DP_1","003N8EMH8GTFRCSWKMPXRSGPQ","GSON5121212012")</f>
        <v>#NAME?</v>
      </c>
      <c r="K3233" s="23" t="e">
        <f ca="1">[1]!BexGetData("DP_1","003N8EMH8GTFRIVNUPY288VJH","GSON5121212012")</f>
        <v>#NAME?</v>
      </c>
      <c r="L3233" s="23" t="e">
        <f ca="1">[1]!BexGetData("DP_1","003N8EMH8GTFRIVNUPY2891V1","GSON5121212012")</f>
        <v>#NAME?</v>
      </c>
      <c r="M3233" s="28" t="e">
        <f ca="1">[1]!BexGetData("DP_1","003N8EMH8GTFRIVOG7KG9IQXA","GSON5121212012")</f>
        <v>#NAME?</v>
      </c>
      <c r="N3233" s="23" t="e">
        <f ca="1">[1]!BexGetData("DP_1","003N8EMH8GTFRIVOG7KG9IX8U","GSON5121212012")</f>
        <v>#NAME?</v>
      </c>
      <c r="O3233" s="28" t="e">
        <f ca="1">[1]!BexGetData("DP_1","003N8EMH8GTFRIVOG7KG9J3KE","GSON5121212012")</f>
        <v>#NAME?</v>
      </c>
      <c r="P3233" s="23" t="e">
        <f ca="1">[1]!BexGetData("DP_1","003N8EMH8GTFRIVOG7KG9J9VY","GSON5121212012")</f>
        <v>#NAME?</v>
      </c>
      <c r="Q3233" s="24" t="e">
        <f ca="1">[1]!BexGetData("DP_1","00O2TNJGODT0G5Z4TTKYMM5MT","GSON5121212012")</f>
        <v>#NAME?</v>
      </c>
      <c r="R3233" s="24" t="e">
        <f ca="1">[1]!BexGetData("DP_1","00O2TNJGODT0G5Z4TTKYMMBYD","GSON5121212012")</f>
        <v>#NAME?</v>
      </c>
      <c r="S3233" s="24" t="e">
        <f ca="1">[1]!BexGetData("DP_1","00O2TNJGODT0G5Z4TTKYMMI9X","GSON5121212012")</f>
        <v>#NAME?</v>
      </c>
      <c r="T3233" s="24" t="e">
        <f ca="1">[1]!BexGetData("DP_1","00O2TNJGODT0G5Z4TTKYMMOLH","GSON5121212012")</f>
        <v>#NAME?</v>
      </c>
      <c r="U3233" s="24" t="e">
        <f ca="1">[1]!BexGetData("DP_1","00O2TNJGODT0G5Z4TTKYMMUX1","GSON5121212012")</f>
        <v>#NAME?</v>
      </c>
      <c r="V3233" s="24" t="e">
        <f ca="1">[1]!BexGetData("DP_1","00O2TNJGODT0G5Z4TTKYMN18L","GSON5121212012")</f>
        <v>#NAME?</v>
      </c>
      <c r="W3233" s="24" t="e">
        <f ca="1">[1]!BexGetData("DP_1","00O2TNJGODT0G5Z4TTKYMN7K5","GSON5121212012")</f>
        <v>#NAME?</v>
      </c>
    </row>
    <row r="3234" spans="1:23" x14ac:dyDescent="0.2">
      <c r="A3234" s="36" t="s">
        <v>6638</v>
      </c>
      <c r="B3234" s="27" t="s">
        <v>6639</v>
      </c>
      <c r="C3234" s="23" t="e">
        <f ca="1">[1]!BexGetData("DP_1","003N8EMH8GTFRCSWKMPXRR8GU","GSON5121213011")</f>
        <v>#NAME?</v>
      </c>
      <c r="D3234" s="28" t="e">
        <f ca="1">[1]!BexGetData("DP_1","003N8EMH8GTFRCSWKMPXRRESE","GSON5121213011")</f>
        <v>#NAME?</v>
      </c>
      <c r="E3234" s="23" t="e">
        <f ca="1">[1]!BexGetData("DP_1","003N8EMH8GTFRCSWKMPXRRL3Y","GSON5121213011")</f>
        <v>#NAME?</v>
      </c>
      <c r="F3234" s="24" t="e">
        <f ca="1">[1]!BexGetData("DP_1","003N8EMH8GTFRCSWKMPXRRRFI","GSON5121213011")</f>
        <v>#NAME?</v>
      </c>
      <c r="G3234" s="24" t="e">
        <f ca="1">[1]!BexGetData("DP_1","003N8EMH8GTFRCSWKMPXRRXR2","GSON5121213011")</f>
        <v>#NAME?</v>
      </c>
      <c r="H3234" s="24" t="e">
        <f ca="1">[1]!BexGetData("DP_1","003N8EMH8GTFRCSWKMPXRS42M","GSON5121213011")</f>
        <v>#NAME?</v>
      </c>
      <c r="I3234" s="24" t="e">
        <f ca="1">[1]!BexGetData("DP_1","003N8EMH8GTFRCSWKMPXRSAE6","GSON5121213011")</f>
        <v>#NAME?</v>
      </c>
      <c r="J3234" s="24" t="e">
        <f ca="1">[1]!BexGetData("DP_1","003N8EMH8GTFRCSWKMPXRSGPQ","GSON5121213011")</f>
        <v>#NAME?</v>
      </c>
      <c r="K3234" s="23" t="e">
        <f ca="1">[1]!BexGetData("DP_1","003N8EMH8GTFRIVNUPY288VJH","GSON5121213011")</f>
        <v>#NAME?</v>
      </c>
      <c r="L3234" s="23" t="e">
        <f ca="1">[1]!BexGetData("DP_1","003N8EMH8GTFRIVNUPY2891V1","GSON5121213011")</f>
        <v>#NAME?</v>
      </c>
      <c r="M3234" s="28" t="e">
        <f ca="1">[1]!BexGetData("DP_1","003N8EMH8GTFRIVOG7KG9IQXA","GSON5121213011")</f>
        <v>#NAME?</v>
      </c>
      <c r="N3234" s="23" t="e">
        <f ca="1">[1]!BexGetData("DP_1","003N8EMH8GTFRIVOG7KG9IX8U","GSON5121213011")</f>
        <v>#NAME?</v>
      </c>
      <c r="O3234" s="28" t="e">
        <f ca="1">[1]!BexGetData("DP_1","003N8EMH8GTFRIVOG7KG9J3KE","GSON5121213011")</f>
        <v>#NAME?</v>
      </c>
      <c r="P3234" s="23" t="e">
        <f ca="1">[1]!BexGetData("DP_1","003N8EMH8GTFRIVOG7KG9J9VY","GSON5121213011")</f>
        <v>#NAME?</v>
      </c>
      <c r="Q3234" s="24" t="e">
        <f ca="1">[1]!BexGetData("DP_1","00O2TNJGODT0G5Z4TTKYMM5MT","GSON5121213011")</f>
        <v>#NAME?</v>
      </c>
      <c r="R3234" s="24" t="e">
        <f ca="1">[1]!BexGetData("DP_1","00O2TNJGODT0G5Z4TTKYMMBYD","GSON5121213011")</f>
        <v>#NAME?</v>
      </c>
      <c r="S3234" s="24" t="e">
        <f ca="1">[1]!BexGetData("DP_1","00O2TNJGODT0G5Z4TTKYMMI9X","GSON5121213011")</f>
        <v>#NAME?</v>
      </c>
      <c r="T3234" s="24" t="e">
        <f ca="1">[1]!BexGetData("DP_1","00O2TNJGODT0G5Z4TTKYMMOLH","GSON5121213011")</f>
        <v>#NAME?</v>
      </c>
      <c r="U3234" s="24" t="e">
        <f ca="1">[1]!BexGetData("DP_1","00O2TNJGODT0G5Z4TTKYMMUX1","GSON5121213011")</f>
        <v>#NAME?</v>
      </c>
      <c r="V3234" s="24" t="e">
        <f ca="1">[1]!BexGetData("DP_1","00O2TNJGODT0G5Z4TTKYMN18L","GSON5121213011")</f>
        <v>#NAME?</v>
      </c>
      <c r="W3234" s="24" t="e">
        <f ca="1">[1]!BexGetData("DP_1","00O2TNJGODT0G5Z4TTKYMN7K5","GSON5121213011")</f>
        <v>#NAME?</v>
      </c>
    </row>
    <row r="3235" spans="1:23" x14ac:dyDescent="0.2">
      <c r="A3235" s="36" t="s">
        <v>6640</v>
      </c>
      <c r="B3235" s="27" t="s">
        <v>589</v>
      </c>
      <c r="C3235" s="23" t="e">
        <f ca="1">[1]!BexGetData("DP_1","003N8EMH8GTFRCSWKMPXRR8GU","GSON5121214011")</f>
        <v>#NAME?</v>
      </c>
      <c r="D3235" s="23" t="e">
        <f ca="1">[1]!BexGetData("DP_1","003N8EMH8GTFRCSWKMPXRRESE","GSON5121214011")</f>
        <v>#NAME?</v>
      </c>
      <c r="E3235" s="23" t="e">
        <f ca="1">[1]!BexGetData("DP_1","003N8EMH8GTFRCSWKMPXRRL3Y","GSON5121214011")</f>
        <v>#NAME?</v>
      </c>
      <c r="F3235" s="23" t="e">
        <f ca="1">[1]!BexGetData("DP_1","003N8EMH8GTFRCSWKMPXRRRFI","GSON5121214011")</f>
        <v>#NAME?</v>
      </c>
      <c r="G3235" s="23" t="e">
        <f ca="1">[1]!BexGetData("DP_1","003N8EMH8GTFRCSWKMPXRRXR2","GSON5121214011")</f>
        <v>#NAME?</v>
      </c>
      <c r="H3235" s="23" t="e">
        <f ca="1">[1]!BexGetData("DP_1","003N8EMH8GTFRCSWKMPXRS42M","GSON5121214011")</f>
        <v>#NAME?</v>
      </c>
      <c r="I3235" s="23" t="e">
        <f ca="1">[1]!BexGetData("DP_1","003N8EMH8GTFRCSWKMPXRSAE6","GSON5121214011")</f>
        <v>#NAME?</v>
      </c>
      <c r="J3235" s="24" t="e">
        <f ca="1">[1]!BexGetData("DP_1","003N8EMH8GTFRCSWKMPXRSGPQ","GSON5121214011")</f>
        <v>#NAME?</v>
      </c>
      <c r="K3235" s="23" t="e">
        <f ca="1">[1]!BexGetData("DP_1","003N8EMH8GTFRIVNUPY288VJH","GSON5121214011")</f>
        <v>#NAME?</v>
      </c>
      <c r="L3235" s="23" t="e">
        <f ca="1">[1]!BexGetData("DP_1","003N8EMH8GTFRIVNUPY2891V1","GSON5121214011")</f>
        <v>#NAME?</v>
      </c>
      <c r="M3235" s="28" t="e">
        <f ca="1">[1]!BexGetData("DP_1","003N8EMH8GTFRIVOG7KG9IQXA","GSON5121214011")</f>
        <v>#NAME?</v>
      </c>
      <c r="N3235" s="23" t="e">
        <f ca="1">[1]!BexGetData("DP_1","003N8EMH8GTFRIVOG7KG9IX8U","GSON5121214011")</f>
        <v>#NAME?</v>
      </c>
      <c r="O3235" s="28" t="e">
        <f ca="1">[1]!BexGetData("DP_1","003N8EMH8GTFRIVOG7KG9J3KE","GSON5121214011")</f>
        <v>#NAME?</v>
      </c>
      <c r="P3235" s="23" t="e">
        <f ca="1">[1]!BexGetData("DP_1","003N8EMH8GTFRIVOG7KG9J9VY","GSON5121214011")</f>
        <v>#NAME?</v>
      </c>
      <c r="Q3235" s="24" t="e">
        <f ca="1">[1]!BexGetData("DP_1","00O2TNJGODT0G5Z4TTKYMM5MT","GSON5121214011")</f>
        <v>#NAME?</v>
      </c>
      <c r="R3235" s="23" t="e">
        <f ca="1">[1]!BexGetData("DP_1","00O2TNJGODT0G5Z4TTKYMMBYD","GSON5121214011")</f>
        <v>#NAME?</v>
      </c>
      <c r="S3235" s="23" t="e">
        <f ca="1">[1]!BexGetData("DP_1","00O2TNJGODT0G5Z4TTKYMMI9X","GSON5121214011")</f>
        <v>#NAME?</v>
      </c>
      <c r="T3235" s="28" t="e">
        <f ca="1">[1]!BexGetData("DP_1","00O2TNJGODT0G5Z4TTKYMMOLH","GSON5121214011")</f>
        <v>#NAME?</v>
      </c>
      <c r="U3235" s="23" t="e">
        <f ca="1">[1]!BexGetData("DP_1","00O2TNJGODT0G5Z4TTKYMMUX1","GSON5121214011")</f>
        <v>#NAME?</v>
      </c>
      <c r="V3235" s="28" t="e">
        <f ca="1">[1]!BexGetData("DP_1","00O2TNJGODT0G5Z4TTKYMN18L","GSON5121214011")</f>
        <v>#NAME?</v>
      </c>
      <c r="W3235" s="23" t="e">
        <f ca="1">[1]!BexGetData("DP_1","00O2TNJGODT0G5Z4TTKYMN7K5","GSON5121214011")</f>
        <v>#NAME?</v>
      </c>
    </row>
    <row r="3236" spans="1:23" x14ac:dyDescent="0.2">
      <c r="A3236" s="36" t="s">
        <v>6640</v>
      </c>
      <c r="B3236" s="27" t="s">
        <v>6641</v>
      </c>
      <c r="C3236" s="23" t="e">
        <f ca="1">[1]!BexGetData("DP_1","003N8EMH8GTFRCSWKMPXRR8GU","GSON5121214012")</f>
        <v>#NAME?</v>
      </c>
      <c r="D3236" s="23" t="e">
        <f ca="1">[1]!BexGetData("DP_1","003N8EMH8GTFRCSWKMPXRRESE","GSON5121214012")</f>
        <v>#NAME?</v>
      </c>
      <c r="E3236" s="23" t="e">
        <f ca="1">[1]!BexGetData("DP_1","003N8EMH8GTFRCSWKMPXRRL3Y","GSON5121214012")</f>
        <v>#NAME?</v>
      </c>
      <c r="F3236" s="24" t="e">
        <f ca="1">[1]!BexGetData("DP_1","003N8EMH8GTFRCSWKMPXRRRFI","GSON5121214012")</f>
        <v>#NAME?</v>
      </c>
      <c r="G3236" s="24" t="e">
        <f ca="1">[1]!BexGetData("DP_1","003N8EMH8GTFRCSWKMPXRRXR2","GSON5121214012")</f>
        <v>#NAME?</v>
      </c>
      <c r="H3236" s="24" t="e">
        <f ca="1">[1]!BexGetData("DP_1","003N8EMH8GTFRCSWKMPXRS42M","GSON5121214012")</f>
        <v>#NAME?</v>
      </c>
      <c r="I3236" s="24" t="e">
        <f ca="1">[1]!BexGetData("DP_1","003N8EMH8GTFRCSWKMPXRSAE6","GSON5121214012")</f>
        <v>#NAME?</v>
      </c>
      <c r="J3236" s="24" t="e">
        <f ca="1">[1]!BexGetData("DP_1","003N8EMH8GTFRCSWKMPXRSGPQ","GSON5121214012")</f>
        <v>#NAME?</v>
      </c>
      <c r="K3236" s="23" t="e">
        <f ca="1">[1]!BexGetData("DP_1","003N8EMH8GTFRIVNUPY288VJH","GSON5121214012")</f>
        <v>#NAME?</v>
      </c>
      <c r="L3236" s="23" t="e">
        <f ca="1">[1]!BexGetData("DP_1","003N8EMH8GTFRIVNUPY2891V1","GSON5121214012")</f>
        <v>#NAME?</v>
      </c>
      <c r="M3236" s="28" t="e">
        <f ca="1">[1]!BexGetData("DP_1","003N8EMH8GTFRIVOG7KG9IQXA","GSON5121214012")</f>
        <v>#NAME?</v>
      </c>
      <c r="N3236" s="23" t="e">
        <f ca="1">[1]!BexGetData("DP_1","003N8EMH8GTFRIVOG7KG9IX8U","GSON5121214012")</f>
        <v>#NAME?</v>
      </c>
      <c r="O3236" s="28" t="e">
        <f ca="1">[1]!BexGetData("DP_1","003N8EMH8GTFRIVOG7KG9J3KE","GSON5121214012")</f>
        <v>#NAME?</v>
      </c>
      <c r="P3236" s="23" t="e">
        <f ca="1">[1]!BexGetData("DP_1","003N8EMH8GTFRIVOG7KG9J9VY","GSON5121214012")</f>
        <v>#NAME?</v>
      </c>
      <c r="Q3236" s="24" t="e">
        <f ca="1">[1]!BexGetData("DP_1","00O2TNJGODT0G5Z4TTKYMM5MT","GSON5121214012")</f>
        <v>#NAME?</v>
      </c>
      <c r="R3236" s="24" t="e">
        <f ca="1">[1]!BexGetData("DP_1","00O2TNJGODT0G5Z4TTKYMMBYD","GSON5121214012")</f>
        <v>#NAME?</v>
      </c>
      <c r="S3236" s="24" t="e">
        <f ca="1">[1]!BexGetData("DP_1","00O2TNJGODT0G5Z4TTKYMMI9X","GSON5121214012")</f>
        <v>#NAME?</v>
      </c>
      <c r="T3236" s="24" t="e">
        <f ca="1">[1]!BexGetData("DP_1","00O2TNJGODT0G5Z4TTKYMMOLH","GSON5121214012")</f>
        <v>#NAME?</v>
      </c>
      <c r="U3236" s="24" t="e">
        <f ca="1">[1]!BexGetData("DP_1","00O2TNJGODT0G5Z4TTKYMMUX1","GSON5121214012")</f>
        <v>#NAME?</v>
      </c>
      <c r="V3236" s="24" t="e">
        <f ca="1">[1]!BexGetData("DP_1","00O2TNJGODT0G5Z4TTKYMN18L","GSON5121214012")</f>
        <v>#NAME?</v>
      </c>
      <c r="W3236" s="24" t="e">
        <f ca="1">[1]!BexGetData("DP_1","00O2TNJGODT0G5Z4TTKYMN7K5","GSON5121214012")</f>
        <v>#NAME?</v>
      </c>
    </row>
    <row r="3237" spans="1:23" x14ac:dyDescent="0.2">
      <c r="A3237" s="36" t="s">
        <v>6642</v>
      </c>
      <c r="B3237" s="27" t="s">
        <v>6643</v>
      </c>
      <c r="C3237" s="23" t="e">
        <f ca="1">[1]!BexGetData("DP_1","003N8EMH8GTFRCSWKMPXRR8GU","GSON5121215011")</f>
        <v>#NAME?</v>
      </c>
      <c r="D3237" s="23" t="e">
        <f ca="1">[1]!BexGetData("DP_1","003N8EMH8GTFRCSWKMPXRRESE","GSON5121215011")</f>
        <v>#NAME?</v>
      </c>
      <c r="E3237" s="23" t="e">
        <f ca="1">[1]!BexGetData("DP_1","003N8EMH8GTFRCSWKMPXRRL3Y","GSON5121215011")</f>
        <v>#NAME?</v>
      </c>
      <c r="F3237" s="23" t="e">
        <f ca="1">[1]!BexGetData("DP_1","003N8EMH8GTFRCSWKMPXRRRFI","GSON5121215011")</f>
        <v>#NAME?</v>
      </c>
      <c r="G3237" s="23" t="e">
        <f ca="1">[1]!BexGetData("DP_1","003N8EMH8GTFRCSWKMPXRRXR2","GSON5121215011")</f>
        <v>#NAME?</v>
      </c>
      <c r="H3237" s="23" t="e">
        <f ca="1">[1]!BexGetData("DP_1","003N8EMH8GTFRCSWKMPXRS42M","GSON5121215011")</f>
        <v>#NAME?</v>
      </c>
      <c r="I3237" s="23" t="e">
        <f ca="1">[1]!BexGetData("DP_1","003N8EMH8GTFRCSWKMPXRSAE6","GSON5121215011")</f>
        <v>#NAME?</v>
      </c>
      <c r="J3237" s="24" t="e">
        <f ca="1">[1]!BexGetData("DP_1","003N8EMH8GTFRCSWKMPXRSGPQ","GSON5121215011")</f>
        <v>#NAME?</v>
      </c>
      <c r="K3237" s="23" t="e">
        <f ca="1">[1]!BexGetData("DP_1","003N8EMH8GTFRIVNUPY288VJH","GSON5121215011")</f>
        <v>#NAME?</v>
      </c>
      <c r="L3237" s="23" t="e">
        <f ca="1">[1]!BexGetData("DP_1","003N8EMH8GTFRIVNUPY2891V1","GSON5121215011")</f>
        <v>#NAME?</v>
      </c>
      <c r="M3237" s="23" t="e">
        <f ca="1">[1]!BexGetData("DP_1","003N8EMH8GTFRIVOG7KG9IQXA","GSON5121215011")</f>
        <v>#NAME?</v>
      </c>
      <c r="N3237" s="28" t="e">
        <f ca="1">[1]!BexGetData("DP_1","003N8EMH8GTFRIVOG7KG9IX8U","GSON5121215011")</f>
        <v>#NAME?</v>
      </c>
      <c r="O3237" s="23" t="e">
        <f ca="1">[1]!BexGetData("DP_1","003N8EMH8GTFRIVOG7KG9J3KE","GSON5121215011")</f>
        <v>#NAME?</v>
      </c>
      <c r="P3237" s="28" t="e">
        <f ca="1">[1]!BexGetData("DP_1","003N8EMH8GTFRIVOG7KG9J9VY","GSON5121215011")</f>
        <v>#NAME?</v>
      </c>
      <c r="Q3237" s="24" t="e">
        <f ca="1">[1]!BexGetData("DP_1","00O2TNJGODT0G5Z4TTKYMM5MT","GSON5121215011")</f>
        <v>#NAME?</v>
      </c>
      <c r="R3237" s="23" t="e">
        <f ca="1">[1]!BexGetData("DP_1","00O2TNJGODT0G5Z4TTKYMMBYD","GSON5121215011")</f>
        <v>#NAME?</v>
      </c>
      <c r="S3237" s="23" t="e">
        <f ca="1">[1]!BexGetData("DP_1","00O2TNJGODT0G5Z4TTKYMMI9X","GSON5121215011")</f>
        <v>#NAME?</v>
      </c>
      <c r="T3237" s="28" t="e">
        <f ca="1">[1]!BexGetData("DP_1","00O2TNJGODT0G5Z4TTKYMMOLH","GSON5121215011")</f>
        <v>#NAME?</v>
      </c>
      <c r="U3237" s="23" t="e">
        <f ca="1">[1]!BexGetData("DP_1","00O2TNJGODT0G5Z4TTKYMMUX1","GSON5121215011")</f>
        <v>#NAME?</v>
      </c>
      <c r="V3237" s="28" t="e">
        <f ca="1">[1]!BexGetData("DP_1","00O2TNJGODT0G5Z4TTKYMN18L","GSON5121215011")</f>
        <v>#NAME?</v>
      </c>
      <c r="W3237" s="23" t="e">
        <f ca="1">[1]!BexGetData("DP_1","00O2TNJGODT0G5Z4TTKYMN7K5","GSON5121215011")</f>
        <v>#NAME?</v>
      </c>
    </row>
    <row r="3238" spans="1:23" x14ac:dyDescent="0.2">
      <c r="A3238" s="36" t="s">
        <v>6644</v>
      </c>
      <c r="B3238" s="27" t="s">
        <v>384</v>
      </c>
      <c r="C3238" s="23" t="e">
        <f ca="1">[1]!BexGetData("DP_1","003N8EMH8GTFRCSWKMPXRR8GU","GSON5121216011")</f>
        <v>#NAME?</v>
      </c>
      <c r="D3238" s="23" t="e">
        <f ca="1">[1]!BexGetData("DP_1","003N8EMH8GTFRCSWKMPXRRESE","GSON5121216011")</f>
        <v>#NAME?</v>
      </c>
      <c r="E3238" s="23" t="e">
        <f ca="1">[1]!BexGetData("DP_1","003N8EMH8GTFRCSWKMPXRRL3Y","GSON5121216011")</f>
        <v>#NAME?</v>
      </c>
      <c r="F3238" s="23" t="e">
        <f ca="1">[1]!BexGetData("DP_1","003N8EMH8GTFRCSWKMPXRRRFI","GSON5121216011")</f>
        <v>#NAME?</v>
      </c>
      <c r="G3238" s="23" t="e">
        <f ca="1">[1]!BexGetData("DP_1","003N8EMH8GTFRCSWKMPXRRXR2","GSON5121216011")</f>
        <v>#NAME?</v>
      </c>
      <c r="H3238" s="23" t="e">
        <f ca="1">[1]!BexGetData("DP_1","003N8EMH8GTFRCSWKMPXRS42M","GSON5121216011")</f>
        <v>#NAME?</v>
      </c>
      <c r="I3238" s="23" t="e">
        <f ca="1">[1]!BexGetData("DP_1","003N8EMH8GTFRCSWKMPXRSAE6","GSON5121216011")</f>
        <v>#NAME?</v>
      </c>
      <c r="J3238" s="24" t="e">
        <f ca="1">[1]!BexGetData("DP_1","003N8EMH8GTFRCSWKMPXRSGPQ","GSON5121216011")</f>
        <v>#NAME?</v>
      </c>
      <c r="K3238" s="23" t="e">
        <f ca="1">[1]!BexGetData("DP_1","003N8EMH8GTFRIVNUPY288VJH","GSON5121216011")</f>
        <v>#NAME?</v>
      </c>
      <c r="L3238" s="23" t="e">
        <f ca="1">[1]!BexGetData("DP_1","003N8EMH8GTFRIVNUPY2891V1","GSON5121216011")</f>
        <v>#NAME?</v>
      </c>
      <c r="M3238" s="23" t="e">
        <f ca="1">[1]!BexGetData("DP_1","003N8EMH8GTFRIVOG7KG9IQXA","GSON5121216011")</f>
        <v>#NAME?</v>
      </c>
      <c r="N3238" s="28" t="e">
        <f ca="1">[1]!BexGetData("DP_1","003N8EMH8GTFRIVOG7KG9IX8U","GSON5121216011")</f>
        <v>#NAME?</v>
      </c>
      <c r="O3238" s="23" t="e">
        <f ca="1">[1]!BexGetData("DP_1","003N8EMH8GTFRIVOG7KG9J3KE","GSON5121216011")</f>
        <v>#NAME?</v>
      </c>
      <c r="P3238" s="28" t="e">
        <f ca="1">[1]!BexGetData("DP_1","003N8EMH8GTFRIVOG7KG9J9VY","GSON5121216011")</f>
        <v>#NAME?</v>
      </c>
      <c r="Q3238" s="24" t="e">
        <f ca="1">[1]!BexGetData("DP_1","00O2TNJGODT0G5Z4TTKYMM5MT","GSON5121216011")</f>
        <v>#NAME?</v>
      </c>
      <c r="R3238" s="23" t="e">
        <f ca="1">[1]!BexGetData("DP_1","00O2TNJGODT0G5Z4TTKYMMBYD","GSON5121216011")</f>
        <v>#NAME?</v>
      </c>
      <c r="S3238" s="23" t="e">
        <f ca="1">[1]!BexGetData("DP_1","00O2TNJGODT0G5Z4TTKYMMI9X","GSON5121216011")</f>
        <v>#NAME?</v>
      </c>
      <c r="T3238" s="28" t="e">
        <f ca="1">[1]!BexGetData("DP_1","00O2TNJGODT0G5Z4TTKYMMOLH","GSON5121216011")</f>
        <v>#NAME?</v>
      </c>
      <c r="U3238" s="23" t="e">
        <f ca="1">[1]!BexGetData("DP_1","00O2TNJGODT0G5Z4TTKYMMUX1","GSON5121216011")</f>
        <v>#NAME?</v>
      </c>
      <c r="V3238" s="28" t="e">
        <f ca="1">[1]!BexGetData("DP_1","00O2TNJGODT0G5Z4TTKYMN18L","GSON5121216011")</f>
        <v>#NAME?</v>
      </c>
      <c r="W3238" s="23" t="e">
        <f ca="1">[1]!BexGetData("DP_1","00O2TNJGODT0G5Z4TTKYMN7K5","GSON5121216011")</f>
        <v>#NAME?</v>
      </c>
    </row>
    <row r="3239" spans="1:23" x14ac:dyDescent="0.2">
      <c r="A3239" s="36" t="s">
        <v>6645</v>
      </c>
      <c r="B3239" s="27" t="s">
        <v>1568</v>
      </c>
      <c r="C3239" s="23" t="e">
        <f ca="1">[1]!BexGetData("DP_1","003N8EMH8GTFRCSWKMPXRR8GU","GSON5121217011")</f>
        <v>#NAME?</v>
      </c>
      <c r="D3239" s="23" t="e">
        <f ca="1">[1]!BexGetData("DP_1","003N8EMH8GTFRCSWKMPXRRESE","GSON5121217011")</f>
        <v>#NAME?</v>
      </c>
      <c r="E3239" s="23" t="e">
        <f ca="1">[1]!BexGetData("DP_1","003N8EMH8GTFRCSWKMPXRRL3Y","GSON5121217011")</f>
        <v>#NAME?</v>
      </c>
      <c r="F3239" s="23" t="e">
        <f ca="1">[1]!BexGetData("DP_1","003N8EMH8GTFRCSWKMPXRRRFI","GSON5121217011")</f>
        <v>#NAME?</v>
      </c>
      <c r="G3239" s="23" t="e">
        <f ca="1">[1]!BexGetData("DP_1","003N8EMH8GTFRCSWKMPXRRXR2","GSON5121217011")</f>
        <v>#NAME?</v>
      </c>
      <c r="H3239" s="28" t="e">
        <f ca="1">[1]!BexGetData("DP_1","003N8EMH8GTFRCSWKMPXRS42M","GSON5121217011")</f>
        <v>#NAME?</v>
      </c>
      <c r="I3239" s="23" t="e">
        <f ca="1">[1]!BexGetData("DP_1","003N8EMH8GTFRCSWKMPXRSAE6","GSON5121217011")</f>
        <v>#NAME?</v>
      </c>
      <c r="J3239" s="24" t="e">
        <f ca="1">[1]!BexGetData("DP_1","003N8EMH8GTFRCSWKMPXRSGPQ","GSON5121217011")</f>
        <v>#NAME?</v>
      </c>
      <c r="K3239" s="23" t="e">
        <f ca="1">[1]!BexGetData("DP_1","003N8EMH8GTFRIVNUPY288VJH","GSON5121217011")</f>
        <v>#NAME?</v>
      </c>
      <c r="L3239" s="23" t="e">
        <f ca="1">[1]!BexGetData("DP_1","003N8EMH8GTFRIVNUPY2891V1","GSON5121217011")</f>
        <v>#NAME?</v>
      </c>
      <c r="M3239" s="23" t="e">
        <f ca="1">[1]!BexGetData("DP_1","003N8EMH8GTFRIVOG7KG9IQXA","GSON5121217011")</f>
        <v>#NAME?</v>
      </c>
      <c r="N3239" s="28" t="e">
        <f ca="1">[1]!BexGetData("DP_1","003N8EMH8GTFRIVOG7KG9IX8U","GSON5121217011")</f>
        <v>#NAME?</v>
      </c>
      <c r="O3239" s="23" t="e">
        <f ca="1">[1]!BexGetData("DP_1","003N8EMH8GTFRIVOG7KG9J3KE","GSON5121217011")</f>
        <v>#NAME?</v>
      </c>
      <c r="P3239" s="28" t="e">
        <f ca="1">[1]!BexGetData("DP_1","003N8EMH8GTFRIVOG7KG9J9VY","GSON5121217011")</f>
        <v>#NAME?</v>
      </c>
      <c r="Q3239" s="24" t="e">
        <f ca="1">[1]!BexGetData("DP_1","00O2TNJGODT0G5Z4TTKYMM5MT","GSON5121217011")</f>
        <v>#NAME?</v>
      </c>
      <c r="R3239" s="23" t="e">
        <f ca="1">[1]!BexGetData("DP_1","00O2TNJGODT0G5Z4TTKYMMBYD","GSON5121217011")</f>
        <v>#NAME?</v>
      </c>
      <c r="S3239" s="23" t="e">
        <f ca="1">[1]!BexGetData("DP_1","00O2TNJGODT0G5Z4TTKYMMI9X","GSON5121217011")</f>
        <v>#NAME?</v>
      </c>
      <c r="T3239" s="28" t="e">
        <f ca="1">[1]!BexGetData("DP_1","00O2TNJGODT0G5Z4TTKYMMOLH","GSON5121217011")</f>
        <v>#NAME?</v>
      </c>
      <c r="U3239" s="23" t="e">
        <f ca="1">[1]!BexGetData("DP_1","00O2TNJGODT0G5Z4TTKYMMUX1","GSON5121217011")</f>
        <v>#NAME?</v>
      </c>
      <c r="V3239" s="28" t="e">
        <f ca="1">[1]!BexGetData("DP_1","00O2TNJGODT0G5Z4TTKYMN18L","GSON5121217011")</f>
        <v>#NAME?</v>
      </c>
      <c r="W3239" s="23" t="e">
        <f ca="1">[1]!BexGetData("DP_1","00O2TNJGODT0G5Z4TTKYMN7K5","GSON5121217011")</f>
        <v>#NAME?</v>
      </c>
    </row>
    <row r="3240" spans="1:23" x14ac:dyDescent="0.2">
      <c r="A3240" s="36" t="s">
        <v>6646</v>
      </c>
      <c r="B3240" s="27" t="s">
        <v>1634</v>
      </c>
      <c r="C3240" s="23" t="e">
        <f ca="1">[1]!BexGetData("DP_1","003N8EMH8GTFRCSWKMPXRR8GU","GSON5121217021")</f>
        <v>#NAME?</v>
      </c>
      <c r="D3240" s="23" t="e">
        <f ca="1">[1]!BexGetData("DP_1","003N8EMH8GTFRCSWKMPXRRESE","GSON5121217021")</f>
        <v>#NAME?</v>
      </c>
      <c r="E3240" s="23" t="e">
        <f ca="1">[1]!BexGetData("DP_1","003N8EMH8GTFRCSWKMPXRRL3Y","GSON5121217021")</f>
        <v>#NAME?</v>
      </c>
      <c r="F3240" s="23" t="e">
        <f ca="1">[1]!BexGetData("DP_1","003N8EMH8GTFRCSWKMPXRRRFI","GSON5121217021")</f>
        <v>#NAME?</v>
      </c>
      <c r="G3240" s="23" t="e">
        <f ca="1">[1]!BexGetData("DP_1","003N8EMH8GTFRCSWKMPXRRXR2","GSON5121217021")</f>
        <v>#NAME?</v>
      </c>
      <c r="H3240" s="28" t="e">
        <f ca="1">[1]!BexGetData("DP_1","003N8EMH8GTFRCSWKMPXRS42M","GSON5121217021")</f>
        <v>#NAME?</v>
      </c>
      <c r="I3240" s="23" t="e">
        <f ca="1">[1]!BexGetData("DP_1","003N8EMH8GTFRCSWKMPXRSAE6","GSON5121217021")</f>
        <v>#NAME?</v>
      </c>
      <c r="J3240" s="24" t="e">
        <f ca="1">[1]!BexGetData("DP_1","003N8EMH8GTFRCSWKMPXRSGPQ","GSON5121217021")</f>
        <v>#NAME?</v>
      </c>
      <c r="K3240" s="23" t="e">
        <f ca="1">[1]!BexGetData("DP_1","003N8EMH8GTFRIVNUPY288VJH","GSON5121217021")</f>
        <v>#NAME?</v>
      </c>
      <c r="L3240" s="23" t="e">
        <f ca="1">[1]!BexGetData("DP_1","003N8EMH8GTFRIVNUPY2891V1","GSON5121217021")</f>
        <v>#NAME?</v>
      </c>
      <c r="M3240" s="28" t="e">
        <f ca="1">[1]!BexGetData("DP_1","003N8EMH8GTFRIVOG7KG9IQXA","GSON5121217021")</f>
        <v>#NAME?</v>
      </c>
      <c r="N3240" s="23" t="e">
        <f ca="1">[1]!BexGetData("DP_1","003N8EMH8GTFRIVOG7KG9IX8U","GSON5121217021")</f>
        <v>#NAME?</v>
      </c>
      <c r="O3240" s="28" t="e">
        <f ca="1">[1]!BexGetData("DP_1","003N8EMH8GTFRIVOG7KG9J3KE","GSON5121217021")</f>
        <v>#NAME?</v>
      </c>
      <c r="P3240" s="23" t="e">
        <f ca="1">[1]!BexGetData("DP_1","003N8EMH8GTFRIVOG7KG9J9VY","GSON5121217021")</f>
        <v>#NAME?</v>
      </c>
      <c r="Q3240" s="24" t="e">
        <f ca="1">[1]!BexGetData("DP_1","00O2TNJGODT0G5Z4TTKYMM5MT","GSON5121217021")</f>
        <v>#NAME?</v>
      </c>
      <c r="R3240" s="23" t="e">
        <f ca="1">[1]!BexGetData("DP_1","00O2TNJGODT0G5Z4TTKYMMBYD","GSON5121217021")</f>
        <v>#NAME?</v>
      </c>
      <c r="S3240" s="23" t="e">
        <f ca="1">[1]!BexGetData("DP_1","00O2TNJGODT0G5Z4TTKYMMI9X","GSON5121217021")</f>
        <v>#NAME?</v>
      </c>
      <c r="T3240" s="28" t="e">
        <f ca="1">[1]!BexGetData("DP_1","00O2TNJGODT0G5Z4TTKYMMOLH","GSON5121217021")</f>
        <v>#NAME?</v>
      </c>
      <c r="U3240" s="23" t="e">
        <f ca="1">[1]!BexGetData("DP_1","00O2TNJGODT0G5Z4TTKYMMUX1","GSON5121217021")</f>
        <v>#NAME?</v>
      </c>
      <c r="V3240" s="28" t="e">
        <f ca="1">[1]!BexGetData("DP_1","00O2TNJGODT0G5Z4TTKYMN18L","GSON5121217021")</f>
        <v>#NAME?</v>
      </c>
      <c r="W3240" s="23" t="e">
        <f ca="1">[1]!BexGetData("DP_1","00O2TNJGODT0G5Z4TTKYMN7K5","GSON5121217021")</f>
        <v>#NAME?</v>
      </c>
    </row>
    <row r="3241" spans="1:23" x14ac:dyDescent="0.2">
      <c r="A3241" s="36" t="s">
        <v>6647</v>
      </c>
      <c r="B3241" s="27" t="s">
        <v>6648</v>
      </c>
      <c r="C3241" s="23" t="e">
        <f ca="1">[1]!BexGetData("DP_1","003N8EMH8GTFRCSWKMPXRR8GU","GSON5121218011")</f>
        <v>#NAME?</v>
      </c>
      <c r="D3241" s="23" t="e">
        <f ca="1">[1]!BexGetData("DP_1","003N8EMH8GTFRCSWKMPXRRESE","GSON5121218011")</f>
        <v>#NAME?</v>
      </c>
      <c r="E3241" s="23" t="e">
        <f ca="1">[1]!BexGetData("DP_1","003N8EMH8GTFRCSWKMPXRRL3Y","GSON5121218011")</f>
        <v>#NAME?</v>
      </c>
      <c r="F3241" s="23" t="e">
        <f ca="1">[1]!BexGetData("DP_1","003N8EMH8GTFRCSWKMPXRRRFI","GSON5121218011")</f>
        <v>#NAME?</v>
      </c>
      <c r="G3241" s="23" t="e">
        <f ca="1">[1]!BexGetData("DP_1","003N8EMH8GTFRCSWKMPXRRXR2","GSON5121218011")</f>
        <v>#NAME?</v>
      </c>
      <c r="H3241" s="23" t="e">
        <f ca="1">[1]!BexGetData("DP_1","003N8EMH8GTFRCSWKMPXRS42M","GSON5121218011")</f>
        <v>#NAME?</v>
      </c>
      <c r="I3241" s="23" t="e">
        <f ca="1">[1]!BexGetData("DP_1","003N8EMH8GTFRCSWKMPXRSAE6","GSON5121218011")</f>
        <v>#NAME?</v>
      </c>
      <c r="J3241" s="24" t="e">
        <f ca="1">[1]!BexGetData("DP_1","003N8EMH8GTFRCSWKMPXRSGPQ","GSON5121218011")</f>
        <v>#NAME?</v>
      </c>
      <c r="K3241" s="23" t="e">
        <f ca="1">[1]!BexGetData("DP_1","003N8EMH8GTFRIVNUPY288VJH","GSON5121218011")</f>
        <v>#NAME?</v>
      </c>
      <c r="L3241" s="23" t="e">
        <f ca="1">[1]!BexGetData("DP_1","003N8EMH8GTFRIVNUPY2891V1","GSON5121218011")</f>
        <v>#NAME?</v>
      </c>
      <c r="M3241" s="23" t="e">
        <f ca="1">[1]!BexGetData("DP_1","003N8EMH8GTFRIVOG7KG9IQXA","GSON5121218011")</f>
        <v>#NAME?</v>
      </c>
      <c r="N3241" s="28" t="e">
        <f ca="1">[1]!BexGetData("DP_1","003N8EMH8GTFRIVOG7KG9IX8U","GSON5121218011")</f>
        <v>#NAME?</v>
      </c>
      <c r="O3241" s="23" t="e">
        <f ca="1">[1]!BexGetData("DP_1","003N8EMH8GTFRIVOG7KG9J3KE","GSON5121218011")</f>
        <v>#NAME?</v>
      </c>
      <c r="P3241" s="28" t="e">
        <f ca="1">[1]!BexGetData("DP_1","003N8EMH8GTFRIVOG7KG9J9VY","GSON5121218011")</f>
        <v>#NAME?</v>
      </c>
      <c r="Q3241" s="24" t="e">
        <f ca="1">[1]!BexGetData("DP_1","00O2TNJGODT0G5Z4TTKYMM5MT","GSON5121218011")</f>
        <v>#NAME?</v>
      </c>
      <c r="R3241" s="23" t="e">
        <f ca="1">[1]!BexGetData("DP_1","00O2TNJGODT0G5Z4TTKYMMBYD","GSON5121218011")</f>
        <v>#NAME?</v>
      </c>
      <c r="S3241" s="23" t="e">
        <f ca="1">[1]!BexGetData("DP_1","00O2TNJGODT0G5Z4TTKYMMI9X","GSON5121218011")</f>
        <v>#NAME?</v>
      </c>
      <c r="T3241" s="28" t="e">
        <f ca="1">[1]!BexGetData("DP_1","00O2TNJGODT0G5Z4TTKYMMOLH","GSON5121218011")</f>
        <v>#NAME?</v>
      </c>
      <c r="U3241" s="23" t="e">
        <f ca="1">[1]!BexGetData("DP_1","00O2TNJGODT0G5Z4TTKYMMUX1","GSON5121218011")</f>
        <v>#NAME?</v>
      </c>
      <c r="V3241" s="28" t="e">
        <f ca="1">[1]!BexGetData("DP_1","00O2TNJGODT0G5Z4TTKYMN18L","GSON5121218011")</f>
        <v>#NAME?</v>
      </c>
      <c r="W3241" s="23" t="e">
        <f ca="1">[1]!BexGetData("DP_1","00O2TNJGODT0G5Z4TTKYMN7K5","GSON5121218011")</f>
        <v>#NAME?</v>
      </c>
    </row>
    <row r="3242" spans="1:23" x14ac:dyDescent="0.2">
      <c r="A3242" s="36" t="s">
        <v>6649</v>
      </c>
      <c r="B3242" s="27" t="s">
        <v>6650</v>
      </c>
      <c r="C3242" s="23" t="e">
        <f ca="1">[1]!BexGetData("DP_1","003N8EMH8GTFRCSWKMPXRR8GU","GSON5121218021")</f>
        <v>#NAME?</v>
      </c>
      <c r="D3242" s="23" t="e">
        <f ca="1">[1]!BexGetData("DP_1","003N8EMH8GTFRCSWKMPXRRESE","GSON5121218021")</f>
        <v>#NAME?</v>
      </c>
      <c r="E3242" s="23" t="e">
        <f ca="1">[1]!BexGetData("DP_1","003N8EMH8GTFRCSWKMPXRRL3Y","GSON5121218021")</f>
        <v>#NAME?</v>
      </c>
      <c r="F3242" s="23" t="e">
        <f ca="1">[1]!BexGetData("DP_1","003N8EMH8GTFRCSWKMPXRRRFI","GSON5121218021")</f>
        <v>#NAME?</v>
      </c>
      <c r="G3242" s="23" t="e">
        <f ca="1">[1]!BexGetData("DP_1","003N8EMH8GTFRCSWKMPXRRXR2","GSON5121218021")</f>
        <v>#NAME?</v>
      </c>
      <c r="H3242" s="23" t="e">
        <f ca="1">[1]!BexGetData("DP_1","003N8EMH8GTFRCSWKMPXRS42M","GSON5121218021")</f>
        <v>#NAME?</v>
      </c>
      <c r="I3242" s="23" t="e">
        <f ca="1">[1]!BexGetData("DP_1","003N8EMH8GTFRCSWKMPXRSAE6","GSON5121218021")</f>
        <v>#NAME?</v>
      </c>
      <c r="J3242" s="24" t="e">
        <f ca="1">[1]!BexGetData("DP_1","003N8EMH8GTFRCSWKMPXRSGPQ","GSON5121218021")</f>
        <v>#NAME?</v>
      </c>
      <c r="K3242" s="23" t="e">
        <f ca="1">[1]!BexGetData("DP_1","003N8EMH8GTFRIVNUPY288VJH","GSON5121218021")</f>
        <v>#NAME?</v>
      </c>
      <c r="L3242" s="23" t="e">
        <f ca="1">[1]!BexGetData("DP_1","003N8EMH8GTFRIVNUPY2891V1","GSON5121218021")</f>
        <v>#NAME?</v>
      </c>
      <c r="M3242" s="23" t="e">
        <f ca="1">[1]!BexGetData("DP_1","003N8EMH8GTFRIVOG7KG9IQXA","GSON5121218021")</f>
        <v>#NAME?</v>
      </c>
      <c r="N3242" s="28" t="e">
        <f ca="1">[1]!BexGetData("DP_1","003N8EMH8GTFRIVOG7KG9IX8U","GSON5121218021")</f>
        <v>#NAME?</v>
      </c>
      <c r="O3242" s="23" t="e">
        <f ca="1">[1]!BexGetData("DP_1","003N8EMH8GTFRIVOG7KG9J3KE","GSON5121218021")</f>
        <v>#NAME?</v>
      </c>
      <c r="P3242" s="28" t="e">
        <f ca="1">[1]!BexGetData("DP_1","003N8EMH8GTFRIVOG7KG9J9VY","GSON5121218021")</f>
        <v>#NAME?</v>
      </c>
      <c r="Q3242" s="24" t="e">
        <f ca="1">[1]!BexGetData("DP_1","00O2TNJGODT0G5Z4TTKYMM5MT","GSON5121218021")</f>
        <v>#NAME?</v>
      </c>
      <c r="R3242" s="23" t="e">
        <f ca="1">[1]!BexGetData("DP_1","00O2TNJGODT0G5Z4TTKYMMBYD","GSON5121218021")</f>
        <v>#NAME?</v>
      </c>
      <c r="S3242" s="23" t="e">
        <f ca="1">[1]!BexGetData("DP_1","00O2TNJGODT0G5Z4TTKYMMI9X","GSON5121218021")</f>
        <v>#NAME?</v>
      </c>
      <c r="T3242" s="28" t="e">
        <f ca="1">[1]!BexGetData("DP_1","00O2TNJGODT0G5Z4TTKYMMOLH","GSON5121218021")</f>
        <v>#NAME?</v>
      </c>
      <c r="U3242" s="23" t="e">
        <f ca="1">[1]!BexGetData("DP_1","00O2TNJGODT0G5Z4TTKYMMUX1","GSON5121218021")</f>
        <v>#NAME?</v>
      </c>
      <c r="V3242" s="28" t="e">
        <f ca="1">[1]!BexGetData("DP_1","00O2TNJGODT0G5Z4TTKYMN18L","GSON5121218021")</f>
        <v>#NAME?</v>
      </c>
      <c r="W3242" s="23" t="e">
        <f ca="1">[1]!BexGetData("DP_1","00O2TNJGODT0G5Z4TTKYMN7K5","GSON5121218021")</f>
        <v>#NAME?</v>
      </c>
    </row>
    <row r="3243" spans="1:23" x14ac:dyDescent="0.2">
      <c r="A3243" s="35" t="s">
        <v>6651</v>
      </c>
      <c r="B3243" s="27" t="s">
        <v>6652</v>
      </c>
      <c r="C3243" s="23" t="e">
        <f ca="1">[1]!BexGetData("DP_1","003N8EMH8GTFRCSWKMPXRR8GU","GSON5122")</f>
        <v>#NAME?</v>
      </c>
      <c r="D3243" s="23" t="e">
        <f ca="1">[1]!BexGetData("DP_1","003N8EMH8GTFRCSWKMPXRRESE","GSON5122")</f>
        <v>#NAME?</v>
      </c>
      <c r="E3243" s="23" t="e">
        <f ca="1">[1]!BexGetData("DP_1","003N8EMH8GTFRCSWKMPXRRL3Y","GSON5122")</f>
        <v>#NAME?</v>
      </c>
      <c r="F3243" s="23" t="e">
        <f ca="1">[1]!BexGetData("DP_1","003N8EMH8GTFRCSWKMPXRRRFI","GSON5122")</f>
        <v>#NAME?</v>
      </c>
      <c r="G3243" s="23" t="e">
        <f ca="1">[1]!BexGetData("DP_1","003N8EMH8GTFRCSWKMPXRRXR2","GSON5122")</f>
        <v>#NAME?</v>
      </c>
      <c r="H3243" s="23" t="e">
        <f ca="1">[1]!BexGetData("DP_1","003N8EMH8GTFRCSWKMPXRS42M","GSON5122")</f>
        <v>#NAME?</v>
      </c>
      <c r="I3243" s="23" t="e">
        <f ca="1">[1]!BexGetData("DP_1","003N8EMH8GTFRCSWKMPXRSAE6","GSON5122")</f>
        <v>#NAME?</v>
      </c>
      <c r="J3243" s="24" t="e">
        <f ca="1">[1]!BexGetData("DP_1","003N8EMH8GTFRCSWKMPXRSGPQ","GSON5122")</f>
        <v>#NAME?</v>
      </c>
      <c r="K3243" s="23" t="e">
        <f ca="1">[1]!BexGetData("DP_1","003N8EMH8GTFRIVNUPY288VJH","GSON5122")</f>
        <v>#NAME?</v>
      </c>
      <c r="L3243" s="23" t="e">
        <f ca="1">[1]!BexGetData("DP_1","003N8EMH8GTFRIVNUPY2891V1","GSON5122")</f>
        <v>#NAME?</v>
      </c>
      <c r="M3243" s="23" t="e">
        <f ca="1">[1]!BexGetData("DP_1","003N8EMH8GTFRIVOG7KG9IQXA","GSON5122")</f>
        <v>#NAME?</v>
      </c>
      <c r="N3243" s="28" t="e">
        <f ca="1">[1]!BexGetData("DP_1","003N8EMH8GTFRIVOG7KG9IX8U","GSON5122")</f>
        <v>#NAME?</v>
      </c>
      <c r="O3243" s="23" t="e">
        <f ca="1">[1]!BexGetData("DP_1","003N8EMH8GTFRIVOG7KG9J3KE","GSON5122")</f>
        <v>#NAME?</v>
      </c>
      <c r="P3243" s="28" t="e">
        <f ca="1">[1]!BexGetData("DP_1","003N8EMH8GTFRIVOG7KG9J9VY","GSON5122")</f>
        <v>#NAME?</v>
      </c>
      <c r="Q3243" s="24" t="e">
        <f ca="1">[1]!BexGetData("DP_1","00O2TNJGODT0G5Z4TTKYMM5MT","GSON5122")</f>
        <v>#NAME?</v>
      </c>
      <c r="R3243" s="23" t="e">
        <f ca="1">[1]!BexGetData("DP_1","00O2TNJGODT0G5Z4TTKYMMBYD","GSON5122")</f>
        <v>#NAME?</v>
      </c>
      <c r="S3243" s="23" t="e">
        <f ca="1">[1]!BexGetData("DP_1","00O2TNJGODT0G5Z4TTKYMMI9X","GSON5122")</f>
        <v>#NAME?</v>
      </c>
      <c r="T3243" s="28" t="e">
        <f ca="1">[1]!BexGetData("DP_1","00O2TNJGODT0G5Z4TTKYMMOLH","GSON5122")</f>
        <v>#NAME?</v>
      </c>
      <c r="U3243" s="23" t="e">
        <f ca="1">[1]!BexGetData("DP_1","00O2TNJGODT0G5Z4TTKYMMUX1","GSON5122")</f>
        <v>#NAME?</v>
      </c>
      <c r="V3243" s="28" t="e">
        <f ca="1">[1]!BexGetData("DP_1","00O2TNJGODT0G5Z4TTKYMN18L","GSON5122")</f>
        <v>#NAME?</v>
      </c>
      <c r="W3243" s="23" t="e">
        <f ca="1">[1]!BexGetData("DP_1","00O2TNJGODT0G5Z4TTKYMN7K5","GSON5122")</f>
        <v>#NAME?</v>
      </c>
    </row>
    <row r="3244" spans="1:23" x14ac:dyDescent="0.2">
      <c r="A3244" s="36" t="s">
        <v>6653</v>
      </c>
      <c r="B3244" s="27" t="s">
        <v>6654</v>
      </c>
      <c r="C3244" s="23" t="e">
        <f ca="1">[1]!BexGetData("DP_1","003N8EMH8GTFRCSWKMPXRR8GU","GSON5122221011")</f>
        <v>#NAME?</v>
      </c>
      <c r="D3244" s="23" t="e">
        <f ca="1">[1]!BexGetData("DP_1","003N8EMH8GTFRCSWKMPXRRESE","GSON5122221011")</f>
        <v>#NAME?</v>
      </c>
      <c r="E3244" s="23" t="e">
        <f ca="1">[1]!BexGetData("DP_1","003N8EMH8GTFRCSWKMPXRRL3Y","GSON5122221011")</f>
        <v>#NAME?</v>
      </c>
      <c r="F3244" s="23" t="e">
        <f ca="1">[1]!BexGetData("DP_1","003N8EMH8GTFRCSWKMPXRRRFI","GSON5122221011")</f>
        <v>#NAME?</v>
      </c>
      <c r="G3244" s="23" t="e">
        <f ca="1">[1]!BexGetData("DP_1","003N8EMH8GTFRCSWKMPXRRXR2","GSON5122221011")</f>
        <v>#NAME?</v>
      </c>
      <c r="H3244" s="23" t="e">
        <f ca="1">[1]!BexGetData("DP_1","003N8EMH8GTFRCSWKMPXRS42M","GSON5122221011")</f>
        <v>#NAME?</v>
      </c>
      <c r="I3244" s="23" t="e">
        <f ca="1">[1]!BexGetData("DP_1","003N8EMH8GTFRCSWKMPXRSAE6","GSON5122221011")</f>
        <v>#NAME?</v>
      </c>
      <c r="J3244" s="24" t="e">
        <f ca="1">[1]!BexGetData("DP_1","003N8EMH8GTFRCSWKMPXRSGPQ","GSON5122221011")</f>
        <v>#NAME?</v>
      </c>
      <c r="K3244" s="23" t="e">
        <f ca="1">[1]!BexGetData("DP_1","003N8EMH8GTFRIVNUPY288VJH","GSON5122221011")</f>
        <v>#NAME?</v>
      </c>
      <c r="L3244" s="23" t="e">
        <f ca="1">[1]!BexGetData("DP_1","003N8EMH8GTFRIVNUPY2891V1","GSON5122221011")</f>
        <v>#NAME?</v>
      </c>
      <c r="M3244" s="28" t="e">
        <f ca="1">[1]!BexGetData("DP_1","003N8EMH8GTFRIVOG7KG9IQXA","GSON5122221011")</f>
        <v>#NAME?</v>
      </c>
      <c r="N3244" s="23" t="e">
        <f ca="1">[1]!BexGetData("DP_1","003N8EMH8GTFRIVOG7KG9IX8U","GSON5122221011")</f>
        <v>#NAME?</v>
      </c>
      <c r="O3244" s="28" t="e">
        <f ca="1">[1]!BexGetData("DP_1","003N8EMH8GTFRIVOG7KG9J3KE","GSON5122221011")</f>
        <v>#NAME?</v>
      </c>
      <c r="P3244" s="23" t="e">
        <f ca="1">[1]!BexGetData("DP_1","003N8EMH8GTFRIVOG7KG9J9VY","GSON5122221011")</f>
        <v>#NAME?</v>
      </c>
      <c r="Q3244" s="24" t="e">
        <f ca="1">[1]!BexGetData("DP_1","00O2TNJGODT0G5Z4TTKYMM5MT","GSON5122221011")</f>
        <v>#NAME?</v>
      </c>
      <c r="R3244" s="23" t="e">
        <f ca="1">[1]!BexGetData("DP_1","00O2TNJGODT0G5Z4TTKYMMBYD","GSON5122221011")</f>
        <v>#NAME?</v>
      </c>
      <c r="S3244" s="23" t="e">
        <f ca="1">[1]!BexGetData("DP_1","00O2TNJGODT0G5Z4TTKYMMI9X","GSON5122221011")</f>
        <v>#NAME?</v>
      </c>
      <c r="T3244" s="28" t="e">
        <f ca="1">[1]!BexGetData("DP_1","00O2TNJGODT0G5Z4TTKYMMOLH","GSON5122221011")</f>
        <v>#NAME?</v>
      </c>
      <c r="U3244" s="23" t="e">
        <f ca="1">[1]!BexGetData("DP_1","00O2TNJGODT0G5Z4TTKYMMUX1","GSON5122221011")</f>
        <v>#NAME?</v>
      </c>
      <c r="V3244" s="28" t="e">
        <f ca="1">[1]!BexGetData("DP_1","00O2TNJGODT0G5Z4TTKYMN18L","GSON5122221011")</f>
        <v>#NAME?</v>
      </c>
      <c r="W3244" s="23" t="e">
        <f ca="1">[1]!BexGetData("DP_1","00O2TNJGODT0G5Z4TTKYMN7K5","GSON5122221011")</f>
        <v>#NAME?</v>
      </c>
    </row>
    <row r="3245" spans="1:23" x14ac:dyDescent="0.2">
      <c r="A3245" s="36" t="s">
        <v>6655</v>
      </c>
      <c r="B3245" s="27" t="s">
        <v>6656</v>
      </c>
      <c r="C3245" s="23" t="e">
        <f ca="1">[1]!BexGetData("DP_1","003N8EMH8GTFRCSWKMPXRR8GU","GSON5122221021")</f>
        <v>#NAME?</v>
      </c>
      <c r="D3245" s="23" t="e">
        <f ca="1">[1]!BexGetData("DP_1","003N8EMH8GTFRCSWKMPXRRESE","GSON5122221021")</f>
        <v>#NAME?</v>
      </c>
      <c r="E3245" s="23" t="e">
        <f ca="1">[1]!BexGetData("DP_1","003N8EMH8GTFRCSWKMPXRRL3Y","GSON5122221021")</f>
        <v>#NAME?</v>
      </c>
      <c r="F3245" s="23" t="e">
        <f ca="1">[1]!BexGetData("DP_1","003N8EMH8GTFRCSWKMPXRRRFI","GSON5122221021")</f>
        <v>#NAME?</v>
      </c>
      <c r="G3245" s="23" t="e">
        <f ca="1">[1]!BexGetData("DP_1","003N8EMH8GTFRCSWKMPXRRXR2","GSON5122221021")</f>
        <v>#NAME?</v>
      </c>
      <c r="H3245" s="23" t="e">
        <f ca="1">[1]!BexGetData("DP_1","003N8EMH8GTFRCSWKMPXRS42M","GSON5122221021")</f>
        <v>#NAME?</v>
      </c>
      <c r="I3245" s="23" t="e">
        <f ca="1">[1]!BexGetData("DP_1","003N8EMH8GTFRCSWKMPXRSAE6","GSON5122221021")</f>
        <v>#NAME?</v>
      </c>
      <c r="J3245" s="24" t="e">
        <f ca="1">[1]!BexGetData("DP_1","003N8EMH8GTFRCSWKMPXRSGPQ","GSON5122221021")</f>
        <v>#NAME?</v>
      </c>
      <c r="K3245" s="23" t="e">
        <f ca="1">[1]!BexGetData("DP_1","003N8EMH8GTFRIVNUPY288VJH","GSON5122221021")</f>
        <v>#NAME?</v>
      </c>
      <c r="L3245" s="23" t="e">
        <f ca="1">[1]!BexGetData("DP_1","003N8EMH8GTFRIVNUPY2891V1","GSON5122221021")</f>
        <v>#NAME?</v>
      </c>
      <c r="M3245" s="23" t="e">
        <f ca="1">[1]!BexGetData("DP_1","003N8EMH8GTFRIVOG7KG9IQXA","GSON5122221021")</f>
        <v>#NAME?</v>
      </c>
      <c r="N3245" s="28" t="e">
        <f ca="1">[1]!BexGetData("DP_1","003N8EMH8GTFRIVOG7KG9IX8U","GSON5122221021")</f>
        <v>#NAME?</v>
      </c>
      <c r="O3245" s="23" t="e">
        <f ca="1">[1]!BexGetData("DP_1","003N8EMH8GTFRIVOG7KG9J3KE","GSON5122221021")</f>
        <v>#NAME?</v>
      </c>
      <c r="P3245" s="28" t="e">
        <f ca="1">[1]!BexGetData("DP_1","003N8EMH8GTFRIVOG7KG9J9VY","GSON5122221021")</f>
        <v>#NAME?</v>
      </c>
      <c r="Q3245" s="24" t="e">
        <f ca="1">[1]!BexGetData("DP_1","00O2TNJGODT0G5Z4TTKYMM5MT","GSON5122221021")</f>
        <v>#NAME?</v>
      </c>
      <c r="R3245" s="23" t="e">
        <f ca="1">[1]!BexGetData("DP_1","00O2TNJGODT0G5Z4TTKYMMBYD","GSON5122221021")</f>
        <v>#NAME?</v>
      </c>
      <c r="S3245" s="23" t="e">
        <f ca="1">[1]!BexGetData("DP_1","00O2TNJGODT0G5Z4TTKYMMI9X","GSON5122221021")</f>
        <v>#NAME?</v>
      </c>
      <c r="T3245" s="28" t="e">
        <f ca="1">[1]!BexGetData("DP_1","00O2TNJGODT0G5Z4TTKYMMOLH","GSON5122221021")</f>
        <v>#NAME?</v>
      </c>
      <c r="U3245" s="23" t="e">
        <f ca="1">[1]!BexGetData("DP_1","00O2TNJGODT0G5Z4TTKYMMUX1","GSON5122221021")</f>
        <v>#NAME?</v>
      </c>
      <c r="V3245" s="28" t="e">
        <f ca="1">[1]!BexGetData("DP_1","00O2TNJGODT0G5Z4TTKYMN18L","GSON5122221021")</f>
        <v>#NAME?</v>
      </c>
      <c r="W3245" s="23" t="e">
        <f ca="1">[1]!BexGetData("DP_1","00O2TNJGODT0G5Z4TTKYMN7K5","GSON5122221021")</f>
        <v>#NAME?</v>
      </c>
    </row>
    <row r="3246" spans="1:23" x14ac:dyDescent="0.2">
      <c r="A3246" s="36" t="s">
        <v>6657</v>
      </c>
      <c r="B3246" s="27" t="s">
        <v>6658</v>
      </c>
      <c r="C3246" s="23" t="e">
        <f ca="1">[1]!BexGetData("DP_1","003N8EMH8GTFRCSWKMPXRR8GU","GSON5122221041")</f>
        <v>#NAME?</v>
      </c>
      <c r="D3246" s="28" t="e">
        <f ca="1">[1]!BexGetData("DP_1","003N8EMH8GTFRCSWKMPXRRESE","GSON5122221041")</f>
        <v>#NAME?</v>
      </c>
      <c r="E3246" s="23" t="e">
        <f ca="1">[1]!BexGetData("DP_1","003N8EMH8GTFRCSWKMPXRRL3Y","GSON5122221041")</f>
        <v>#NAME?</v>
      </c>
      <c r="F3246" s="23" t="e">
        <f ca="1">[1]!BexGetData("DP_1","003N8EMH8GTFRCSWKMPXRRRFI","GSON5122221041")</f>
        <v>#NAME?</v>
      </c>
      <c r="G3246" s="23" t="e">
        <f ca="1">[1]!BexGetData("DP_1","003N8EMH8GTFRCSWKMPXRRXR2","GSON5122221041")</f>
        <v>#NAME?</v>
      </c>
      <c r="H3246" s="23" t="e">
        <f ca="1">[1]!BexGetData("DP_1","003N8EMH8GTFRCSWKMPXRS42M","GSON5122221041")</f>
        <v>#NAME?</v>
      </c>
      <c r="I3246" s="23" t="e">
        <f ca="1">[1]!BexGetData("DP_1","003N8EMH8GTFRCSWKMPXRSAE6","GSON5122221041")</f>
        <v>#NAME?</v>
      </c>
      <c r="J3246" s="24" t="e">
        <f ca="1">[1]!BexGetData("DP_1","003N8EMH8GTFRCSWKMPXRSGPQ","GSON5122221041")</f>
        <v>#NAME?</v>
      </c>
      <c r="K3246" s="23" t="e">
        <f ca="1">[1]!BexGetData("DP_1","003N8EMH8GTFRIVNUPY288VJH","GSON5122221041")</f>
        <v>#NAME?</v>
      </c>
      <c r="L3246" s="23" t="e">
        <f ca="1">[1]!BexGetData("DP_1","003N8EMH8GTFRIVNUPY2891V1","GSON5122221041")</f>
        <v>#NAME?</v>
      </c>
      <c r="M3246" s="23" t="e">
        <f ca="1">[1]!BexGetData("DP_1","003N8EMH8GTFRIVOG7KG9IQXA","GSON5122221041")</f>
        <v>#NAME?</v>
      </c>
      <c r="N3246" s="28" t="e">
        <f ca="1">[1]!BexGetData("DP_1","003N8EMH8GTFRIVOG7KG9IX8U","GSON5122221041")</f>
        <v>#NAME?</v>
      </c>
      <c r="O3246" s="23" t="e">
        <f ca="1">[1]!BexGetData("DP_1","003N8EMH8GTFRIVOG7KG9J3KE","GSON5122221041")</f>
        <v>#NAME?</v>
      </c>
      <c r="P3246" s="28" t="e">
        <f ca="1">[1]!BexGetData("DP_1","003N8EMH8GTFRIVOG7KG9J9VY","GSON5122221041")</f>
        <v>#NAME?</v>
      </c>
      <c r="Q3246" s="24" t="e">
        <f ca="1">[1]!BexGetData("DP_1","00O2TNJGODT0G5Z4TTKYMM5MT","GSON5122221041")</f>
        <v>#NAME?</v>
      </c>
      <c r="R3246" s="23" t="e">
        <f ca="1">[1]!BexGetData("DP_1","00O2TNJGODT0G5Z4TTKYMMBYD","GSON5122221041")</f>
        <v>#NAME?</v>
      </c>
      <c r="S3246" s="23" t="e">
        <f ca="1">[1]!BexGetData("DP_1","00O2TNJGODT0G5Z4TTKYMMI9X","GSON5122221041")</f>
        <v>#NAME?</v>
      </c>
      <c r="T3246" s="28" t="e">
        <f ca="1">[1]!BexGetData("DP_1","00O2TNJGODT0G5Z4TTKYMMOLH","GSON5122221041")</f>
        <v>#NAME?</v>
      </c>
      <c r="U3246" s="23" t="e">
        <f ca="1">[1]!BexGetData("DP_1","00O2TNJGODT0G5Z4TTKYMMUX1","GSON5122221041")</f>
        <v>#NAME?</v>
      </c>
      <c r="V3246" s="28" t="e">
        <f ca="1">[1]!BexGetData("DP_1","00O2TNJGODT0G5Z4TTKYMN18L","GSON5122221041")</f>
        <v>#NAME?</v>
      </c>
      <c r="W3246" s="23" t="e">
        <f ca="1">[1]!BexGetData("DP_1","00O2TNJGODT0G5Z4TTKYMN7K5","GSON5122221041")</f>
        <v>#NAME?</v>
      </c>
    </row>
    <row r="3247" spans="1:23" x14ac:dyDescent="0.2">
      <c r="A3247" s="36" t="s">
        <v>6659</v>
      </c>
      <c r="B3247" s="27" t="s">
        <v>6660</v>
      </c>
      <c r="C3247" s="23" t="e">
        <f ca="1">[1]!BexGetData("DP_1","003N8EMH8GTFRCSWKMPXRR8GU","GSON5122221051")</f>
        <v>#NAME?</v>
      </c>
      <c r="D3247" s="23" t="e">
        <f ca="1">[1]!BexGetData("DP_1","003N8EMH8GTFRCSWKMPXRRESE","GSON5122221051")</f>
        <v>#NAME?</v>
      </c>
      <c r="E3247" s="23" t="e">
        <f ca="1">[1]!BexGetData("DP_1","003N8EMH8GTFRCSWKMPXRRL3Y","GSON5122221051")</f>
        <v>#NAME?</v>
      </c>
      <c r="F3247" s="23" t="e">
        <f ca="1">[1]!BexGetData("DP_1","003N8EMH8GTFRCSWKMPXRRRFI","GSON5122221051")</f>
        <v>#NAME?</v>
      </c>
      <c r="G3247" s="23" t="e">
        <f ca="1">[1]!BexGetData("DP_1","003N8EMH8GTFRCSWKMPXRRXR2","GSON5122221051")</f>
        <v>#NAME?</v>
      </c>
      <c r="H3247" s="23" t="e">
        <f ca="1">[1]!BexGetData("DP_1","003N8EMH8GTFRCSWKMPXRS42M","GSON5122221051")</f>
        <v>#NAME?</v>
      </c>
      <c r="I3247" s="23" t="e">
        <f ca="1">[1]!BexGetData("DP_1","003N8EMH8GTFRCSWKMPXRSAE6","GSON5122221051")</f>
        <v>#NAME?</v>
      </c>
      <c r="J3247" s="24" t="e">
        <f ca="1">[1]!BexGetData("DP_1","003N8EMH8GTFRCSWKMPXRSGPQ","GSON5122221051")</f>
        <v>#NAME?</v>
      </c>
      <c r="K3247" s="23" t="e">
        <f ca="1">[1]!BexGetData("DP_1","003N8EMH8GTFRIVNUPY288VJH","GSON5122221051")</f>
        <v>#NAME?</v>
      </c>
      <c r="L3247" s="23" t="e">
        <f ca="1">[1]!BexGetData("DP_1","003N8EMH8GTFRIVNUPY2891V1","GSON5122221051")</f>
        <v>#NAME?</v>
      </c>
      <c r="M3247" s="23" t="e">
        <f ca="1">[1]!BexGetData("DP_1","003N8EMH8GTFRIVOG7KG9IQXA","GSON5122221051")</f>
        <v>#NAME?</v>
      </c>
      <c r="N3247" s="28" t="e">
        <f ca="1">[1]!BexGetData("DP_1","003N8EMH8GTFRIVOG7KG9IX8U","GSON5122221051")</f>
        <v>#NAME?</v>
      </c>
      <c r="O3247" s="23" t="e">
        <f ca="1">[1]!BexGetData("DP_1","003N8EMH8GTFRIVOG7KG9J3KE","GSON5122221051")</f>
        <v>#NAME?</v>
      </c>
      <c r="P3247" s="28" t="e">
        <f ca="1">[1]!BexGetData("DP_1","003N8EMH8GTFRIVOG7KG9J9VY","GSON5122221051")</f>
        <v>#NAME?</v>
      </c>
      <c r="Q3247" s="24" t="e">
        <f ca="1">[1]!BexGetData("DP_1","00O2TNJGODT0G5Z4TTKYMM5MT","GSON5122221051")</f>
        <v>#NAME?</v>
      </c>
      <c r="R3247" s="23" t="e">
        <f ca="1">[1]!BexGetData("DP_1","00O2TNJGODT0G5Z4TTKYMMBYD","GSON5122221051")</f>
        <v>#NAME?</v>
      </c>
      <c r="S3247" s="23" t="e">
        <f ca="1">[1]!BexGetData("DP_1","00O2TNJGODT0G5Z4TTKYMMI9X","GSON5122221051")</f>
        <v>#NAME?</v>
      </c>
      <c r="T3247" s="28" t="e">
        <f ca="1">[1]!BexGetData("DP_1","00O2TNJGODT0G5Z4TTKYMMOLH","GSON5122221051")</f>
        <v>#NAME?</v>
      </c>
      <c r="U3247" s="23" t="e">
        <f ca="1">[1]!BexGetData("DP_1","00O2TNJGODT0G5Z4TTKYMMUX1","GSON5122221051")</f>
        <v>#NAME?</v>
      </c>
      <c r="V3247" s="28" t="e">
        <f ca="1">[1]!BexGetData("DP_1","00O2TNJGODT0G5Z4TTKYMN18L","GSON5122221051")</f>
        <v>#NAME?</v>
      </c>
      <c r="W3247" s="23" t="e">
        <f ca="1">[1]!BexGetData("DP_1","00O2TNJGODT0G5Z4TTKYMN7K5","GSON5122221051")</f>
        <v>#NAME?</v>
      </c>
    </row>
    <row r="3248" spans="1:23" x14ac:dyDescent="0.2">
      <c r="A3248" s="36" t="s">
        <v>6661</v>
      </c>
      <c r="B3248" s="27" t="s">
        <v>6662</v>
      </c>
      <c r="C3248" s="23" t="e">
        <f ca="1">[1]!BexGetData("DP_1","003N8EMH8GTFRCSWKMPXRR8GU","GSON5122221061")</f>
        <v>#NAME?</v>
      </c>
      <c r="D3248" s="23" t="e">
        <f ca="1">[1]!BexGetData("DP_1","003N8EMH8GTFRCSWKMPXRRESE","GSON5122221061")</f>
        <v>#NAME?</v>
      </c>
      <c r="E3248" s="23" t="e">
        <f ca="1">[1]!BexGetData("DP_1","003N8EMH8GTFRCSWKMPXRRL3Y","GSON5122221061")</f>
        <v>#NAME?</v>
      </c>
      <c r="F3248" s="23" t="e">
        <f ca="1">[1]!BexGetData("DP_1","003N8EMH8GTFRCSWKMPXRRRFI","GSON5122221061")</f>
        <v>#NAME?</v>
      </c>
      <c r="G3248" s="23" t="e">
        <f ca="1">[1]!BexGetData("DP_1","003N8EMH8GTFRCSWKMPXRRXR2","GSON5122221061")</f>
        <v>#NAME?</v>
      </c>
      <c r="H3248" s="23" t="e">
        <f ca="1">[1]!BexGetData("DP_1","003N8EMH8GTFRCSWKMPXRS42M","GSON5122221061")</f>
        <v>#NAME?</v>
      </c>
      <c r="I3248" s="23" t="e">
        <f ca="1">[1]!BexGetData("DP_1","003N8EMH8GTFRCSWKMPXRSAE6","GSON5122221061")</f>
        <v>#NAME?</v>
      </c>
      <c r="J3248" s="24" t="e">
        <f ca="1">[1]!BexGetData("DP_1","003N8EMH8GTFRCSWKMPXRSGPQ","GSON5122221061")</f>
        <v>#NAME?</v>
      </c>
      <c r="K3248" s="23" t="e">
        <f ca="1">[1]!BexGetData("DP_1","003N8EMH8GTFRIVNUPY288VJH","GSON5122221061")</f>
        <v>#NAME?</v>
      </c>
      <c r="L3248" s="23" t="e">
        <f ca="1">[1]!BexGetData("DP_1","003N8EMH8GTFRIVNUPY2891V1","GSON5122221061")</f>
        <v>#NAME?</v>
      </c>
      <c r="M3248" s="28" t="e">
        <f ca="1">[1]!BexGetData("DP_1","003N8EMH8GTFRIVOG7KG9IQXA","GSON5122221061")</f>
        <v>#NAME?</v>
      </c>
      <c r="N3248" s="23" t="e">
        <f ca="1">[1]!BexGetData("DP_1","003N8EMH8GTFRIVOG7KG9IX8U","GSON5122221061")</f>
        <v>#NAME?</v>
      </c>
      <c r="O3248" s="28" t="e">
        <f ca="1">[1]!BexGetData("DP_1","003N8EMH8GTFRIVOG7KG9J3KE","GSON5122221061")</f>
        <v>#NAME?</v>
      </c>
      <c r="P3248" s="23" t="e">
        <f ca="1">[1]!BexGetData("DP_1","003N8EMH8GTFRIVOG7KG9J9VY","GSON5122221061")</f>
        <v>#NAME?</v>
      </c>
      <c r="Q3248" s="24" t="e">
        <f ca="1">[1]!BexGetData("DP_1","00O2TNJGODT0G5Z4TTKYMM5MT","GSON5122221061")</f>
        <v>#NAME?</v>
      </c>
      <c r="R3248" s="23" t="e">
        <f ca="1">[1]!BexGetData("DP_1","00O2TNJGODT0G5Z4TTKYMMBYD","GSON5122221061")</f>
        <v>#NAME?</v>
      </c>
      <c r="S3248" s="23" t="e">
        <f ca="1">[1]!BexGetData("DP_1","00O2TNJGODT0G5Z4TTKYMMI9X","GSON5122221061")</f>
        <v>#NAME?</v>
      </c>
      <c r="T3248" s="28" t="e">
        <f ca="1">[1]!BexGetData("DP_1","00O2TNJGODT0G5Z4TTKYMMOLH","GSON5122221061")</f>
        <v>#NAME?</v>
      </c>
      <c r="U3248" s="23" t="e">
        <f ca="1">[1]!BexGetData("DP_1","00O2TNJGODT0G5Z4TTKYMMUX1","GSON5122221061")</f>
        <v>#NAME?</v>
      </c>
      <c r="V3248" s="28" t="e">
        <f ca="1">[1]!BexGetData("DP_1","00O2TNJGODT0G5Z4TTKYMN18L","GSON5122221061")</f>
        <v>#NAME?</v>
      </c>
      <c r="W3248" s="23" t="e">
        <f ca="1">[1]!BexGetData("DP_1","00O2TNJGODT0G5Z4TTKYMN7K5","GSON5122221061")</f>
        <v>#NAME?</v>
      </c>
    </row>
    <row r="3249" spans="1:23" x14ac:dyDescent="0.2">
      <c r="A3249" s="36" t="s">
        <v>6663</v>
      </c>
      <c r="B3249" s="27" t="s">
        <v>6664</v>
      </c>
      <c r="C3249" s="23" t="e">
        <f ca="1">[1]!BexGetData("DP_1","003N8EMH8GTFRCSWKMPXRR8GU","GSON5122221081")</f>
        <v>#NAME?</v>
      </c>
      <c r="D3249" s="23" t="e">
        <f ca="1">[1]!BexGetData("DP_1","003N8EMH8GTFRCSWKMPXRRESE","GSON5122221081")</f>
        <v>#NAME?</v>
      </c>
      <c r="E3249" s="23" t="e">
        <f ca="1">[1]!BexGetData("DP_1","003N8EMH8GTFRCSWKMPXRRL3Y","GSON5122221081")</f>
        <v>#NAME?</v>
      </c>
      <c r="F3249" s="23" t="e">
        <f ca="1">[1]!BexGetData("DP_1","003N8EMH8GTFRCSWKMPXRRRFI","GSON5122221081")</f>
        <v>#NAME?</v>
      </c>
      <c r="G3249" s="23" t="e">
        <f ca="1">[1]!BexGetData("DP_1","003N8EMH8GTFRCSWKMPXRRXR2","GSON5122221081")</f>
        <v>#NAME?</v>
      </c>
      <c r="H3249" s="23" t="e">
        <f ca="1">[1]!BexGetData("DP_1","003N8EMH8GTFRCSWKMPXRS42M","GSON5122221081")</f>
        <v>#NAME?</v>
      </c>
      <c r="I3249" s="23" t="e">
        <f ca="1">[1]!BexGetData("DP_1","003N8EMH8GTFRCSWKMPXRSAE6","GSON5122221081")</f>
        <v>#NAME?</v>
      </c>
      <c r="J3249" s="24" t="e">
        <f ca="1">[1]!BexGetData("DP_1","003N8EMH8GTFRCSWKMPXRSGPQ","GSON5122221081")</f>
        <v>#NAME?</v>
      </c>
      <c r="K3249" s="23" t="e">
        <f ca="1">[1]!BexGetData("DP_1","003N8EMH8GTFRIVNUPY288VJH","GSON5122221081")</f>
        <v>#NAME?</v>
      </c>
      <c r="L3249" s="23" t="e">
        <f ca="1">[1]!BexGetData("DP_1","003N8EMH8GTFRIVNUPY2891V1","GSON5122221081")</f>
        <v>#NAME?</v>
      </c>
      <c r="M3249" s="23" t="e">
        <f ca="1">[1]!BexGetData("DP_1","003N8EMH8GTFRIVOG7KG9IQXA","GSON5122221081")</f>
        <v>#NAME?</v>
      </c>
      <c r="N3249" s="28" t="e">
        <f ca="1">[1]!BexGetData("DP_1","003N8EMH8GTFRIVOG7KG9IX8U","GSON5122221081")</f>
        <v>#NAME?</v>
      </c>
      <c r="O3249" s="23" t="e">
        <f ca="1">[1]!BexGetData("DP_1","003N8EMH8GTFRIVOG7KG9J3KE","GSON5122221081")</f>
        <v>#NAME?</v>
      </c>
      <c r="P3249" s="28" t="e">
        <f ca="1">[1]!BexGetData("DP_1","003N8EMH8GTFRIVOG7KG9J9VY","GSON5122221081")</f>
        <v>#NAME?</v>
      </c>
      <c r="Q3249" s="24" t="e">
        <f ca="1">[1]!BexGetData("DP_1","00O2TNJGODT0G5Z4TTKYMM5MT","GSON5122221081")</f>
        <v>#NAME?</v>
      </c>
      <c r="R3249" s="23" t="e">
        <f ca="1">[1]!BexGetData("DP_1","00O2TNJGODT0G5Z4TTKYMMBYD","GSON5122221081")</f>
        <v>#NAME?</v>
      </c>
      <c r="S3249" s="23" t="e">
        <f ca="1">[1]!BexGetData("DP_1","00O2TNJGODT0G5Z4TTKYMMI9X","GSON5122221081")</f>
        <v>#NAME?</v>
      </c>
      <c r="T3249" s="28" t="e">
        <f ca="1">[1]!BexGetData("DP_1","00O2TNJGODT0G5Z4TTKYMMOLH","GSON5122221081")</f>
        <v>#NAME?</v>
      </c>
      <c r="U3249" s="23" t="e">
        <f ca="1">[1]!BexGetData("DP_1","00O2TNJGODT0G5Z4TTKYMMUX1","GSON5122221081")</f>
        <v>#NAME?</v>
      </c>
      <c r="V3249" s="28" t="e">
        <f ca="1">[1]!BexGetData("DP_1","00O2TNJGODT0G5Z4TTKYMN18L","GSON5122221081")</f>
        <v>#NAME?</v>
      </c>
      <c r="W3249" s="23" t="e">
        <f ca="1">[1]!BexGetData("DP_1","00O2TNJGODT0G5Z4TTKYMN7K5","GSON5122221081")</f>
        <v>#NAME?</v>
      </c>
    </row>
    <row r="3250" spans="1:23" x14ac:dyDescent="0.2">
      <c r="A3250" s="36" t="s">
        <v>6665</v>
      </c>
      <c r="B3250" s="27" t="s">
        <v>6666</v>
      </c>
      <c r="C3250" s="23" t="e">
        <f ca="1">[1]!BexGetData("DP_1","003N8EMH8GTFRCSWKMPXRR8GU","GSON5122222011")</f>
        <v>#NAME?</v>
      </c>
      <c r="D3250" s="23" t="e">
        <f ca="1">[1]!BexGetData("DP_1","003N8EMH8GTFRCSWKMPXRRESE","GSON5122222011")</f>
        <v>#NAME?</v>
      </c>
      <c r="E3250" s="23" t="e">
        <f ca="1">[1]!BexGetData("DP_1","003N8EMH8GTFRCSWKMPXRRL3Y","GSON5122222011")</f>
        <v>#NAME?</v>
      </c>
      <c r="F3250" s="23" t="e">
        <f ca="1">[1]!BexGetData("DP_1","003N8EMH8GTFRCSWKMPXRRRFI","GSON5122222011")</f>
        <v>#NAME?</v>
      </c>
      <c r="G3250" s="23" t="e">
        <f ca="1">[1]!BexGetData("DP_1","003N8EMH8GTFRCSWKMPXRRXR2","GSON5122222011")</f>
        <v>#NAME?</v>
      </c>
      <c r="H3250" s="28" t="e">
        <f ca="1">[1]!BexGetData("DP_1","003N8EMH8GTFRCSWKMPXRS42M","GSON5122222011")</f>
        <v>#NAME?</v>
      </c>
      <c r="I3250" s="23" t="e">
        <f ca="1">[1]!BexGetData("DP_1","003N8EMH8GTFRCSWKMPXRSAE6","GSON5122222011")</f>
        <v>#NAME?</v>
      </c>
      <c r="J3250" s="24" t="e">
        <f ca="1">[1]!BexGetData("DP_1","003N8EMH8GTFRCSWKMPXRSGPQ","GSON5122222011")</f>
        <v>#NAME?</v>
      </c>
      <c r="K3250" s="23" t="e">
        <f ca="1">[1]!BexGetData("DP_1","003N8EMH8GTFRIVNUPY288VJH","GSON5122222011")</f>
        <v>#NAME?</v>
      </c>
      <c r="L3250" s="23" t="e">
        <f ca="1">[1]!BexGetData("DP_1","003N8EMH8GTFRIVNUPY2891V1","GSON5122222011")</f>
        <v>#NAME?</v>
      </c>
      <c r="M3250" s="23" t="e">
        <f ca="1">[1]!BexGetData("DP_1","003N8EMH8GTFRIVOG7KG9IQXA","GSON5122222011")</f>
        <v>#NAME?</v>
      </c>
      <c r="N3250" s="28" t="e">
        <f ca="1">[1]!BexGetData("DP_1","003N8EMH8GTFRIVOG7KG9IX8U","GSON5122222011")</f>
        <v>#NAME?</v>
      </c>
      <c r="O3250" s="23" t="e">
        <f ca="1">[1]!BexGetData("DP_1","003N8EMH8GTFRIVOG7KG9J3KE","GSON5122222011")</f>
        <v>#NAME?</v>
      </c>
      <c r="P3250" s="28" t="e">
        <f ca="1">[1]!BexGetData("DP_1","003N8EMH8GTFRIVOG7KG9J9VY","GSON5122222011")</f>
        <v>#NAME?</v>
      </c>
      <c r="Q3250" s="24" t="e">
        <f ca="1">[1]!BexGetData("DP_1","00O2TNJGODT0G5Z4TTKYMM5MT","GSON5122222011")</f>
        <v>#NAME?</v>
      </c>
      <c r="R3250" s="23" t="e">
        <f ca="1">[1]!BexGetData("DP_1","00O2TNJGODT0G5Z4TTKYMMBYD","GSON5122222011")</f>
        <v>#NAME?</v>
      </c>
      <c r="S3250" s="23" t="e">
        <f ca="1">[1]!BexGetData("DP_1","00O2TNJGODT0G5Z4TTKYMMI9X","GSON5122222011")</f>
        <v>#NAME?</v>
      </c>
      <c r="T3250" s="28" t="e">
        <f ca="1">[1]!BexGetData("DP_1","00O2TNJGODT0G5Z4TTKYMMOLH","GSON5122222011")</f>
        <v>#NAME?</v>
      </c>
      <c r="U3250" s="23" t="e">
        <f ca="1">[1]!BexGetData("DP_1","00O2TNJGODT0G5Z4TTKYMMUX1","GSON5122222011")</f>
        <v>#NAME?</v>
      </c>
      <c r="V3250" s="28" t="e">
        <f ca="1">[1]!BexGetData("DP_1","00O2TNJGODT0G5Z4TTKYMN18L","GSON5122222011")</f>
        <v>#NAME?</v>
      </c>
      <c r="W3250" s="23" t="e">
        <f ca="1">[1]!BexGetData("DP_1","00O2TNJGODT0G5Z4TTKYMN7K5","GSON5122222011")</f>
        <v>#NAME?</v>
      </c>
    </row>
    <row r="3251" spans="1:23" x14ac:dyDescent="0.2">
      <c r="A3251" s="36" t="s">
        <v>6667</v>
      </c>
      <c r="B3251" s="27" t="s">
        <v>6668</v>
      </c>
      <c r="C3251" s="23" t="e">
        <f ca="1">[1]!BexGetData("DP_1","003N8EMH8GTFRCSWKMPXRR8GU","GSON5122223011")</f>
        <v>#NAME?</v>
      </c>
      <c r="D3251" s="23" t="e">
        <f ca="1">[1]!BexGetData("DP_1","003N8EMH8GTFRCSWKMPXRRESE","GSON5122223011")</f>
        <v>#NAME?</v>
      </c>
      <c r="E3251" s="23" t="e">
        <f ca="1">[1]!BexGetData("DP_1","003N8EMH8GTFRCSWKMPXRRL3Y","GSON5122223011")</f>
        <v>#NAME?</v>
      </c>
      <c r="F3251" s="23" t="e">
        <f ca="1">[1]!BexGetData("DP_1","003N8EMH8GTFRCSWKMPXRRRFI","GSON5122223011")</f>
        <v>#NAME?</v>
      </c>
      <c r="G3251" s="23" t="e">
        <f ca="1">[1]!BexGetData("DP_1","003N8EMH8GTFRCSWKMPXRRXR2","GSON5122223011")</f>
        <v>#NAME?</v>
      </c>
      <c r="H3251" s="23" t="e">
        <f ca="1">[1]!BexGetData("DP_1","003N8EMH8GTFRCSWKMPXRS42M","GSON5122223011")</f>
        <v>#NAME?</v>
      </c>
      <c r="I3251" s="23" t="e">
        <f ca="1">[1]!BexGetData("DP_1","003N8EMH8GTFRCSWKMPXRSAE6","GSON5122223011")</f>
        <v>#NAME?</v>
      </c>
      <c r="J3251" s="24" t="e">
        <f ca="1">[1]!BexGetData("DP_1","003N8EMH8GTFRCSWKMPXRSGPQ","GSON5122223011")</f>
        <v>#NAME?</v>
      </c>
      <c r="K3251" s="23" t="e">
        <f ca="1">[1]!BexGetData("DP_1","003N8EMH8GTFRIVNUPY288VJH","GSON5122223011")</f>
        <v>#NAME?</v>
      </c>
      <c r="L3251" s="23" t="e">
        <f ca="1">[1]!BexGetData("DP_1","003N8EMH8GTFRIVNUPY2891V1","GSON5122223011")</f>
        <v>#NAME?</v>
      </c>
      <c r="M3251" s="28" t="e">
        <f ca="1">[1]!BexGetData("DP_1","003N8EMH8GTFRIVOG7KG9IQXA","GSON5122223011")</f>
        <v>#NAME?</v>
      </c>
      <c r="N3251" s="23" t="e">
        <f ca="1">[1]!BexGetData("DP_1","003N8EMH8GTFRIVOG7KG9IX8U","GSON5122223011")</f>
        <v>#NAME?</v>
      </c>
      <c r="O3251" s="28" t="e">
        <f ca="1">[1]!BexGetData("DP_1","003N8EMH8GTFRIVOG7KG9J3KE","GSON5122223011")</f>
        <v>#NAME?</v>
      </c>
      <c r="P3251" s="23" t="e">
        <f ca="1">[1]!BexGetData("DP_1","003N8EMH8GTFRIVOG7KG9J9VY","GSON5122223011")</f>
        <v>#NAME?</v>
      </c>
      <c r="Q3251" s="24" t="e">
        <f ca="1">[1]!BexGetData("DP_1","00O2TNJGODT0G5Z4TTKYMM5MT","GSON5122223011")</f>
        <v>#NAME?</v>
      </c>
      <c r="R3251" s="23" t="e">
        <f ca="1">[1]!BexGetData("DP_1","00O2TNJGODT0G5Z4TTKYMMBYD","GSON5122223011")</f>
        <v>#NAME?</v>
      </c>
      <c r="S3251" s="23" t="e">
        <f ca="1">[1]!BexGetData("DP_1","00O2TNJGODT0G5Z4TTKYMMI9X","GSON5122223011")</f>
        <v>#NAME?</v>
      </c>
      <c r="T3251" s="28" t="e">
        <f ca="1">[1]!BexGetData("DP_1","00O2TNJGODT0G5Z4TTKYMMOLH","GSON5122223011")</f>
        <v>#NAME?</v>
      </c>
      <c r="U3251" s="23" t="e">
        <f ca="1">[1]!BexGetData("DP_1","00O2TNJGODT0G5Z4TTKYMMUX1","GSON5122223011")</f>
        <v>#NAME?</v>
      </c>
      <c r="V3251" s="28" t="e">
        <f ca="1">[1]!BexGetData("DP_1","00O2TNJGODT0G5Z4TTKYMN18L","GSON5122223011")</f>
        <v>#NAME?</v>
      </c>
      <c r="W3251" s="23" t="e">
        <f ca="1">[1]!BexGetData("DP_1","00O2TNJGODT0G5Z4TTKYMN7K5","GSON5122223011")</f>
        <v>#NAME?</v>
      </c>
    </row>
    <row r="3252" spans="1:23" x14ac:dyDescent="0.2">
      <c r="A3252" s="35" t="s">
        <v>385</v>
      </c>
      <c r="B3252" s="27" t="s">
        <v>386</v>
      </c>
      <c r="C3252" s="23" t="e">
        <f ca="1">[1]!BexGetData("DP_1","003N8EMH8GTFRCSWKMPXRR8GU","GSON5124")</f>
        <v>#NAME?</v>
      </c>
      <c r="D3252" s="23" t="e">
        <f ca="1">[1]!BexGetData("DP_1","003N8EMH8GTFRCSWKMPXRRESE","GSON5124")</f>
        <v>#NAME?</v>
      </c>
      <c r="E3252" s="23" t="e">
        <f ca="1">[1]!BexGetData("DP_1","003N8EMH8GTFRCSWKMPXRRL3Y","GSON5124")</f>
        <v>#NAME?</v>
      </c>
      <c r="F3252" s="23" t="e">
        <f ca="1">[1]!BexGetData("DP_1","003N8EMH8GTFRCSWKMPXRRRFI","GSON5124")</f>
        <v>#NAME?</v>
      </c>
      <c r="G3252" s="23" t="e">
        <f ca="1">[1]!BexGetData("DP_1","003N8EMH8GTFRCSWKMPXRRXR2","GSON5124")</f>
        <v>#NAME?</v>
      </c>
      <c r="H3252" s="23" t="e">
        <f ca="1">[1]!BexGetData("DP_1","003N8EMH8GTFRCSWKMPXRS42M","GSON5124")</f>
        <v>#NAME?</v>
      </c>
      <c r="I3252" s="23" t="e">
        <f ca="1">[1]!BexGetData("DP_1","003N8EMH8GTFRCSWKMPXRSAE6","GSON5124")</f>
        <v>#NAME?</v>
      </c>
      <c r="J3252" s="24" t="e">
        <f ca="1">[1]!BexGetData("DP_1","003N8EMH8GTFRCSWKMPXRSGPQ","GSON5124")</f>
        <v>#NAME?</v>
      </c>
      <c r="K3252" s="23" t="e">
        <f ca="1">[1]!BexGetData("DP_1","003N8EMH8GTFRIVNUPY288VJH","GSON5124")</f>
        <v>#NAME?</v>
      </c>
      <c r="L3252" s="23" t="e">
        <f ca="1">[1]!BexGetData("DP_1","003N8EMH8GTFRIVNUPY2891V1","GSON5124")</f>
        <v>#NAME?</v>
      </c>
      <c r="M3252" s="28" t="e">
        <f ca="1">[1]!BexGetData("DP_1","003N8EMH8GTFRIVOG7KG9IQXA","GSON5124")</f>
        <v>#NAME?</v>
      </c>
      <c r="N3252" s="23" t="e">
        <f ca="1">[1]!BexGetData("DP_1","003N8EMH8GTFRIVOG7KG9IX8U","GSON5124")</f>
        <v>#NAME?</v>
      </c>
      <c r="O3252" s="28" t="e">
        <f ca="1">[1]!BexGetData("DP_1","003N8EMH8GTFRIVOG7KG9J3KE","GSON5124")</f>
        <v>#NAME?</v>
      </c>
      <c r="P3252" s="23" t="e">
        <f ca="1">[1]!BexGetData("DP_1","003N8EMH8GTFRIVOG7KG9J9VY","GSON5124")</f>
        <v>#NAME?</v>
      </c>
      <c r="Q3252" s="24" t="e">
        <f ca="1">[1]!BexGetData("DP_1","00O2TNJGODT0G5Z4TTKYMM5MT","GSON5124")</f>
        <v>#NAME?</v>
      </c>
      <c r="R3252" s="23" t="e">
        <f ca="1">[1]!BexGetData("DP_1","00O2TNJGODT0G5Z4TTKYMMBYD","GSON5124")</f>
        <v>#NAME?</v>
      </c>
      <c r="S3252" s="23" t="e">
        <f ca="1">[1]!BexGetData("DP_1","00O2TNJGODT0G5Z4TTKYMMI9X","GSON5124")</f>
        <v>#NAME?</v>
      </c>
      <c r="T3252" s="28" t="e">
        <f ca="1">[1]!BexGetData("DP_1","00O2TNJGODT0G5Z4TTKYMMOLH","GSON5124")</f>
        <v>#NAME?</v>
      </c>
      <c r="U3252" s="23" t="e">
        <f ca="1">[1]!BexGetData("DP_1","00O2TNJGODT0G5Z4TTKYMMUX1","GSON5124")</f>
        <v>#NAME?</v>
      </c>
      <c r="V3252" s="28" t="e">
        <f ca="1">[1]!BexGetData("DP_1","00O2TNJGODT0G5Z4TTKYMN18L","GSON5124")</f>
        <v>#NAME?</v>
      </c>
      <c r="W3252" s="23" t="e">
        <f ca="1">[1]!BexGetData("DP_1","00O2TNJGODT0G5Z4TTKYMN7K5","GSON5124")</f>
        <v>#NAME?</v>
      </c>
    </row>
    <row r="3253" spans="1:23" x14ac:dyDescent="0.2">
      <c r="A3253" s="36" t="s">
        <v>6669</v>
      </c>
      <c r="B3253" s="27" t="s">
        <v>6670</v>
      </c>
      <c r="C3253" s="23" t="e">
        <f ca="1">[1]!BexGetData("DP_1","003N8EMH8GTFRCSWKMPXRR8GU","GSON5124241011")</f>
        <v>#NAME?</v>
      </c>
      <c r="D3253" s="23" t="e">
        <f ca="1">[1]!BexGetData("DP_1","003N8EMH8GTFRCSWKMPXRRESE","GSON5124241011")</f>
        <v>#NAME?</v>
      </c>
      <c r="E3253" s="23" t="e">
        <f ca="1">[1]!BexGetData("DP_1","003N8EMH8GTFRCSWKMPXRRL3Y","GSON5124241011")</f>
        <v>#NAME?</v>
      </c>
      <c r="F3253" s="23" t="e">
        <f ca="1">[1]!BexGetData("DP_1","003N8EMH8GTFRCSWKMPXRRRFI","GSON5124241011")</f>
        <v>#NAME?</v>
      </c>
      <c r="G3253" s="23" t="e">
        <f ca="1">[1]!BexGetData("DP_1","003N8EMH8GTFRCSWKMPXRRXR2","GSON5124241011")</f>
        <v>#NAME?</v>
      </c>
      <c r="H3253" s="28" t="e">
        <f ca="1">[1]!BexGetData("DP_1","003N8EMH8GTFRCSWKMPXRS42M","GSON5124241011")</f>
        <v>#NAME?</v>
      </c>
      <c r="I3253" s="23" t="e">
        <f ca="1">[1]!BexGetData("DP_1","003N8EMH8GTFRCSWKMPXRSAE6","GSON5124241011")</f>
        <v>#NAME?</v>
      </c>
      <c r="J3253" s="24" t="e">
        <f ca="1">[1]!BexGetData("DP_1","003N8EMH8GTFRCSWKMPXRSGPQ","GSON5124241011")</f>
        <v>#NAME?</v>
      </c>
      <c r="K3253" s="23" t="e">
        <f ca="1">[1]!BexGetData("DP_1","003N8EMH8GTFRIVNUPY288VJH","GSON5124241011")</f>
        <v>#NAME?</v>
      </c>
      <c r="L3253" s="23" t="e">
        <f ca="1">[1]!BexGetData("DP_1","003N8EMH8GTFRIVNUPY2891V1","GSON5124241011")</f>
        <v>#NAME?</v>
      </c>
      <c r="M3253" s="28" t="e">
        <f ca="1">[1]!BexGetData("DP_1","003N8EMH8GTFRIVOG7KG9IQXA","GSON5124241011")</f>
        <v>#NAME?</v>
      </c>
      <c r="N3253" s="23" t="e">
        <f ca="1">[1]!BexGetData("DP_1","003N8EMH8GTFRIVOG7KG9IX8U","GSON5124241011")</f>
        <v>#NAME?</v>
      </c>
      <c r="O3253" s="28" t="e">
        <f ca="1">[1]!BexGetData("DP_1","003N8EMH8GTFRIVOG7KG9J3KE","GSON5124241011")</f>
        <v>#NAME?</v>
      </c>
      <c r="P3253" s="23" t="e">
        <f ca="1">[1]!BexGetData("DP_1","003N8EMH8GTFRIVOG7KG9J9VY","GSON5124241011")</f>
        <v>#NAME?</v>
      </c>
      <c r="Q3253" s="24" t="e">
        <f ca="1">[1]!BexGetData("DP_1","00O2TNJGODT0G5Z4TTKYMM5MT","GSON5124241011")</f>
        <v>#NAME?</v>
      </c>
      <c r="R3253" s="23" t="e">
        <f ca="1">[1]!BexGetData("DP_1","00O2TNJGODT0G5Z4TTKYMMBYD","GSON5124241011")</f>
        <v>#NAME?</v>
      </c>
      <c r="S3253" s="23" t="e">
        <f ca="1">[1]!BexGetData("DP_1","00O2TNJGODT0G5Z4TTKYMMI9X","GSON5124241011")</f>
        <v>#NAME?</v>
      </c>
      <c r="T3253" s="28" t="e">
        <f ca="1">[1]!BexGetData("DP_1","00O2TNJGODT0G5Z4TTKYMMOLH","GSON5124241011")</f>
        <v>#NAME?</v>
      </c>
      <c r="U3253" s="23" t="e">
        <f ca="1">[1]!BexGetData("DP_1","00O2TNJGODT0G5Z4TTKYMMUX1","GSON5124241011")</f>
        <v>#NAME?</v>
      </c>
      <c r="V3253" s="28" t="e">
        <f ca="1">[1]!BexGetData("DP_1","00O2TNJGODT0G5Z4TTKYMN18L","GSON5124241011")</f>
        <v>#NAME?</v>
      </c>
      <c r="W3253" s="23" t="e">
        <f ca="1">[1]!BexGetData("DP_1","00O2TNJGODT0G5Z4TTKYMN7K5","GSON5124241011")</f>
        <v>#NAME?</v>
      </c>
    </row>
    <row r="3254" spans="1:23" x14ac:dyDescent="0.2">
      <c r="A3254" s="36" t="s">
        <v>6671</v>
      </c>
      <c r="B3254" s="27" t="s">
        <v>6672</v>
      </c>
      <c r="C3254" s="23" t="e">
        <f ca="1">[1]!BexGetData("DP_1","003N8EMH8GTFRCSWKMPXRR8GU","GSON5124242011")</f>
        <v>#NAME?</v>
      </c>
      <c r="D3254" s="23" t="e">
        <f ca="1">[1]!BexGetData("DP_1","003N8EMH8GTFRCSWKMPXRRESE","GSON5124242011")</f>
        <v>#NAME?</v>
      </c>
      <c r="E3254" s="23" t="e">
        <f ca="1">[1]!BexGetData("DP_1","003N8EMH8GTFRCSWKMPXRRL3Y","GSON5124242011")</f>
        <v>#NAME?</v>
      </c>
      <c r="F3254" s="23" t="e">
        <f ca="1">[1]!BexGetData("DP_1","003N8EMH8GTFRCSWKMPXRRRFI","GSON5124242011")</f>
        <v>#NAME?</v>
      </c>
      <c r="G3254" s="23" t="e">
        <f ca="1">[1]!BexGetData("DP_1","003N8EMH8GTFRCSWKMPXRRXR2","GSON5124242011")</f>
        <v>#NAME?</v>
      </c>
      <c r="H3254" s="28" t="e">
        <f ca="1">[1]!BexGetData("DP_1","003N8EMH8GTFRCSWKMPXRS42M","GSON5124242011")</f>
        <v>#NAME?</v>
      </c>
      <c r="I3254" s="23" t="e">
        <f ca="1">[1]!BexGetData("DP_1","003N8EMH8GTFRCSWKMPXRSAE6","GSON5124242011")</f>
        <v>#NAME?</v>
      </c>
      <c r="J3254" s="24" t="e">
        <f ca="1">[1]!BexGetData("DP_1","003N8EMH8GTFRCSWKMPXRSGPQ","GSON5124242011")</f>
        <v>#NAME?</v>
      </c>
      <c r="K3254" s="23" t="e">
        <f ca="1">[1]!BexGetData("DP_1","003N8EMH8GTFRIVNUPY288VJH","GSON5124242011")</f>
        <v>#NAME?</v>
      </c>
      <c r="L3254" s="23" t="e">
        <f ca="1">[1]!BexGetData("DP_1","003N8EMH8GTFRIVNUPY2891V1","GSON5124242011")</f>
        <v>#NAME?</v>
      </c>
      <c r="M3254" s="28" t="e">
        <f ca="1">[1]!BexGetData("DP_1","003N8EMH8GTFRIVOG7KG9IQXA","GSON5124242011")</f>
        <v>#NAME?</v>
      </c>
      <c r="N3254" s="23" t="e">
        <f ca="1">[1]!BexGetData("DP_1","003N8EMH8GTFRIVOG7KG9IX8U","GSON5124242011")</f>
        <v>#NAME?</v>
      </c>
      <c r="O3254" s="28" t="e">
        <f ca="1">[1]!BexGetData("DP_1","003N8EMH8GTFRIVOG7KG9J3KE","GSON5124242011")</f>
        <v>#NAME?</v>
      </c>
      <c r="P3254" s="23" t="e">
        <f ca="1">[1]!BexGetData("DP_1","003N8EMH8GTFRIVOG7KG9J9VY","GSON5124242011")</f>
        <v>#NAME?</v>
      </c>
      <c r="Q3254" s="24" t="e">
        <f ca="1">[1]!BexGetData("DP_1","00O2TNJGODT0G5Z4TTKYMM5MT","GSON5124242011")</f>
        <v>#NAME?</v>
      </c>
      <c r="R3254" s="23" t="e">
        <f ca="1">[1]!BexGetData("DP_1","00O2TNJGODT0G5Z4TTKYMMBYD","GSON5124242011")</f>
        <v>#NAME?</v>
      </c>
      <c r="S3254" s="23" t="e">
        <f ca="1">[1]!BexGetData("DP_1","00O2TNJGODT0G5Z4TTKYMMI9X","GSON5124242011")</f>
        <v>#NAME?</v>
      </c>
      <c r="T3254" s="28" t="e">
        <f ca="1">[1]!BexGetData("DP_1","00O2TNJGODT0G5Z4TTKYMMOLH","GSON5124242011")</f>
        <v>#NAME?</v>
      </c>
      <c r="U3254" s="23" t="e">
        <f ca="1">[1]!BexGetData("DP_1","00O2TNJGODT0G5Z4TTKYMMUX1","GSON5124242011")</f>
        <v>#NAME?</v>
      </c>
      <c r="V3254" s="28" t="e">
        <f ca="1">[1]!BexGetData("DP_1","00O2TNJGODT0G5Z4TTKYMN18L","GSON5124242011")</f>
        <v>#NAME?</v>
      </c>
      <c r="W3254" s="23" t="e">
        <f ca="1">[1]!BexGetData("DP_1","00O2TNJGODT0G5Z4TTKYMN7K5","GSON5124242011")</f>
        <v>#NAME?</v>
      </c>
    </row>
    <row r="3255" spans="1:23" x14ac:dyDescent="0.2">
      <c r="A3255" s="36" t="s">
        <v>6673</v>
      </c>
      <c r="B3255" s="27" t="s">
        <v>6674</v>
      </c>
      <c r="C3255" s="23" t="e">
        <f ca="1">[1]!BexGetData("DP_1","003N8EMH8GTFRCSWKMPXRR8GU","GSON5124243011")</f>
        <v>#NAME?</v>
      </c>
      <c r="D3255" s="28" t="e">
        <f ca="1">[1]!BexGetData("DP_1","003N8EMH8GTFRCSWKMPXRRESE","GSON5124243011")</f>
        <v>#NAME?</v>
      </c>
      <c r="E3255" s="23" t="e">
        <f ca="1">[1]!BexGetData("DP_1","003N8EMH8GTFRCSWKMPXRRL3Y","GSON5124243011")</f>
        <v>#NAME?</v>
      </c>
      <c r="F3255" s="23" t="e">
        <f ca="1">[1]!BexGetData("DP_1","003N8EMH8GTFRCSWKMPXRRRFI","GSON5124243011")</f>
        <v>#NAME?</v>
      </c>
      <c r="G3255" s="23" t="e">
        <f ca="1">[1]!BexGetData("DP_1","003N8EMH8GTFRCSWKMPXRRXR2","GSON5124243011")</f>
        <v>#NAME?</v>
      </c>
      <c r="H3255" s="28" t="e">
        <f ca="1">[1]!BexGetData("DP_1","003N8EMH8GTFRCSWKMPXRS42M","GSON5124243011")</f>
        <v>#NAME?</v>
      </c>
      <c r="I3255" s="23" t="e">
        <f ca="1">[1]!BexGetData("DP_1","003N8EMH8GTFRCSWKMPXRSAE6","GSON5124243011")</f>
        <v>#NAME?</v>
      </c>
      <c r="J3255" s="24" t="e">
        <f ca="1">[1]!BexGetData("DP_1","003N8EMH8GTFRCSWKMPXRSGPQ","GSON5124243011")</f>
        <v>#NAME?</v>
      </c>
      <c r="K3255" s="23" t="e">
        <f ca="1">[1]!BexGetData("DP_1","003N8EMH8GTFRIVNUPY288VJH","GSON5124243011")</f>
        <v>#NAME?</v>
      </c>
      <c r="L3255" s="23" t="e">
        <f ca="1">[1]!BexGetData("DP_1","003N8EMH8GTFRIVNUPY2891V1","GSON5124243011")</f>
        <v>#NAME?</v>
      </c>
      <c r="M3255" s="28" t="e">
        <f ca="1">[1]!BexGetData("DP_1","003N8EMH8GTFRIVOG7KG9IQXA","GSON5124243011")</f>
        <v>#NAME?</v>
      </c>
      <c r="N3255" s="23" t="e">
        <f ca="1">[1]!BexGetData("DP_1","003N8EMH8GTFRIVOG7KG9IX8U","GSON5124243011")</f>
        <v>#NAME?</v>
      </c>
      <c r="O3255" s="28" t="e">
        <f ca="1">[1]!BexGetData("DP_1","003N8EMH8GTFRIVOG7KG9J3KE","GSON5124243011")</f>
        <v>#NAME?</v>
      </c>
      <c r="P3255" s="23" t="e">
        <f ca="1">[1]!BexGetData("DP_1","003N8EMH8GTFRIVOG7KG9J9VY","GSON5124243011")</f>
        <v>#NAME?</v>
      </c>
      <c r="Q3255" s="24" t="e">
        <f ca="1">[1]!BexGetData("DP_1","00O2TNJGODT0G5Z4TTKYMM5MT","GSON5124243011")</f>
        <v>#NAME?</v>
      </c>
      <c r="R3255" s="23" t="e">
        <f ca="1">[1]!BexGetData("DP_1","00O2TNJGODT0G5Z4TTKYMMBYD","GSON5124243011")</f>
        <v>#NAME?</v>
      </c>
      <c r="S3255" s="23" t="e">
        <f ca="1">[1]!BexGetData("DP_1","00O2TNJGODT0G5Z4TTKYMMI9X","GSON5124243011")</f>
        <v>#NAME?</v>
      </c>
      <c r="T3255" s="28" t="e">
        <f ca="1">[1]!BexGetData("DP_1","00O2TNJGODT0G5Z4TTKYMMOLH","GSON5124243011")</f>
        <v>#NAME?</v>
      </c>
      <c r="U3255" s="23" t="e">
        <f ca="1">[1]!BexGetData("DP_1","00O2TNJGODT0G5Z4TTKYMMUX1","GSON5124243011")</f>
        <v>#NAME?</v>
      </c>
      <c r="V3255" s="28" t="e">
        <f ca="1">[1]!BexGetData("DP_1","00O2TNJGODT0G5Z4TTKYMN18L","GSON5124243011")</f>
        <v>#NAME?</v>
      </c>
      <c r="W3255" s="23" t="e">
        <f ca="1">[1]!BexGetData("DP_1","00O2TNJGODT0G5Z4TTKYMN7K5","GSON5124243011")</f>
        <v>#NAME?</v>
      </c>
    </row>
    <row r="3256" spans="1:23" x14ac:dyDescent="0.2">
      <c r="A3256" s="36" t="s">
        <v>6675</v>
      </c>
      <c r="B3256" s="27" t="s">
        <v>6676</v>
      </c>
      <c r="C3256" s="23" t="e">
        <f ca="1">[1]!BexGetData("DP_1","003N8EMH8GTFRCSWKMPXRR8GU","GSON5124244011")</f>
        <v>#NAME?</v>
      </c>
      <c r="D3256" s="23" t="e">
        <f ca="1">[1]!BexGetData("DP_1","003N8EMH8GTFRCSWKMPXRRESE","GSON5124244011")</f>
        <v>#NAME?</v>
      </c>
      <c r="E3256" s="23" t="e">
        <f ca="1">[1]!BexGetData("DP_1","003N8EMH8GTFRCSWKMPXRRL3Y","GSON5124244011")</f>
        <v>#NAME?</v>
      </c>
      <c r="F3256" s="23" t="e">
        <f ca="1">[1]!BexGetData("DP_1","003N8EMH8GTFRCSWKMPXRRRFI","GSON5124244011")</f>
        <v>#NAME?</v>
      </c>
      <c r="G3256" s="23" t="e">
        <f ca="1">[1]!BexGetData("DP_1","003N8EMH8GTFRCSWKMPXRRXR2","GSON5124244011")</f>
        <v>#NAME?</v>
      </c>
      <c r="H3256" s="28" t="e">
        <f ca="1">[1]!BexGetData("DP_1","003N8EMH8GTFRCSWKMPXRS42M","GSON5124244011")</f>
        <v>#NAME?</v>
      </c>
      <c r="I3256" s="23" t="e">
        <f ca="1">[1]!BexGetData("DP_1","003N8EMH8GTFRCSWKMPXRSAE6","GSON5124244011")</f>
        <v>#NAME?</v>
      </c>
      <c r="J3256" s="24" t="e">
        <f ca="1">[1]!BexGetData("DP_1","003N8EMH8GTFRCSWKMPXRSGPQ","GSON5124244011")</f>
        <v>#NAME?</v>
      </c>
      <c r="K3256" s="23" t="e">
        <f ca="1">[1]!BexGetData("DP_1","003N8EMH8GTFRIVNUPY288VJH","GSON5124244011")</f>
        <v>#NAME?</v>
      </c>
      <c r="L3256" s="23" t="e">
        <f ca="1">[1]!BexGetData("DP_1","003N8EMH8GTFRIVNUPY2891V1","GSON5124244011")</f>
        <v>#NAME?</v>
      </c>
      <c r="M3256" s="28" t="e">
        <f ca="1">[1]!BexGetData("DP_1","003N8EMH8GTFRIVOG7KG9IQXA","GSON5124244011")</f>
        <v>#NAME?</v>
      </c>
      <c r="N3256" s="23" t="e">
        <f ca="1">[1]!BexGetData("DP_1","003N8EMH8GTFRIVOG7KG9IX8U","GSON5124244011")</f>
        <v>#NAME?</v>
      </c>
      <c r="O3256" s="28" t="e">
        <f ca="1">[1]!BexGetData("DP_1","003N8EMH8GTFRIVOG7KG9J3KE","GSON5124244011")</f>
        <v>#NAME?</v>
      </c>
      <c r="P3256" s="23" t="e">
        <f ca="1">[1]!BexGetData("DP_1","003N8EMH8GTFRIVOG7KG9J9VY","GSON5124244011")</f>
        <v>#NAME?</v>
      </c>
      <c r="Q3256" s="24" t="e">
        <f ca="1">[1]!BexGetData("DP_1","00O2TNJGODT0G5Z4TTKYMM5MT","GSON5124244011")</f>
        <v>#NAME?</v>
      </c>
      <c r="R3256" s="23" t="e">
        <f ca="1">[1]!BexGetData("DP_1","00O2TNJGODT0G5Z4TTKYMMBYD","GSON5124244011")</f>
        <v>#NAME?</v>
      </c>
      <c r="S3256" s="23" t="e">
        <f ca="1">[1]!BexGetData("DP_1","00O2TNJGODT0G5Z4TTKYMMI9X","GSON5124244011")</f>
        <v>#NAME?</v>
      </c>
      <c r="T3256" s="28" t="e">
        <f ca="1">[1]!BexGetData("DP_1","00O2TNJGODT0G5Z4TTKYMMOLH","GSON5124244011")</f>
        <v>#NAME?</v>
      </c>
      <c r="U3256" s="23" t="e">
        <f ca="1">[1]!BexGetData("DP_1","00O2TNJGODT0G5Z4TTKYMMUX1","GSON5124244011")</f>
        <v>#NAME?</v>
      </c>
      <c r="V3256" s="28" t="e">
        <f ca="1">[1]!BexGetData("DP_1","00O2TNJGODT0G5Z4TTKYMN18L","GSON5124244011")</f>
        <v>#NAME?</v>
      </c>
      <c r="W3256" s="23" t="e">
        <f ca="1">[1]!BexGetData("DP_1","00O2TNJGODT0G5Z4TTKYMN7K5","GSON5124244011")</f>
        <v>#NAME?</v>
      </c>
    </row>
    <row r="3257" spans="1:23" x14ac:dyDescent="0.2">
      <c r="A3257" s="36" t="s">
        <v>6677</v>
      </c>
      <c r="B3257" s="27" t="s">
        <v>6678</v>
      </c>
      <c r="C3257" s="23" t="e">
        <f ca="1">[1]!BexGetData("DP_1","003N8EMH8GTFRCSWKMPXRR8GU","GSON5124245011")</f>
        <v>#NAME?</v>
      </c>
      <c r="D3257" s="28" t="e">
        <f ca="1">[1]!BexGetData("DP_1","003N8EMH8GTFRCSWKMPXRRESE","GSON5124245011")</f>
        <v>#NAME?</v>
      </c>
      <c r="E3257" s="23" t="e">
        <f ca="1">[1]!BexGetData("DP_1","003N8EMH8GTFRCSWKMPXRRL3Y","GSON5124245011")</f>
        <v>#NAME?</v>
      </c>
      <c r="F3257" s="23" t="e">
        <f ca="1">[1]!BexGetData("DP_1","003N8EMH8GTFRCSWKMPXRRRFI","GSON5124245011")</f>
        <v>#NAME?</v>
      </c>
      <c r="G3257" s="23" t="e">
        <f ca="1">[1]!BexGetData("DP_1","003N8EMH8GTFRCSWKMPXRRXR2","GSON5124245011")</f>
        <v>#NAME?</v>
      </c>
      <c r="H3257" s="28" t="e">
        <f ca="1">[1]!BexGetData("DP_1","003N8EMH8GTFRCSWKMPXRS42M","GSON5124245011")</f>
        <v>#NAME?</v>
      </c>
      <c r="I3257" s="23" t="e">
        <f ca="1">[1]!BexGetData("DP_1","003N8EMH8GTFRCSWKMPXRSAE6","GSON5124245011")</f>
        <v>#NAME?</v>
      </c>
      <c r="J3257" s="24" t="e">
        <f ca="1">[1]!BexGetData("DP_1","003N8EMH8GTFRCSWKMPXRSGPQ","GSON5124245011")</f>
        <v>#NAME?</v>
      </c>
      <c r="K3257" s="23" t="e">
        <f ca="1">[1]!BexGetData("DP_1","003N8EMH8GTFRIVNUPY288VJH","GSON5124245011")</f>
        <v>#NAME?</v>
      </c>
      <c r="L3257" s="23" t="e">
        <f ca="1">[1]!BexGetData("DP_1","003N8EMH8GTFRIVNUPY2891V1","GSON5124245011")</f>
        <v>#NAME?</v>
      </c>
      <c r="M3257" s="28" t="e">
        <f ca="1">[1]!BexGetData("DP_1","003N8EMH8GTFRIVOG7KG9IQXA","GSON5124245011")</f>
        <v>#NAME?</v>
      </c>
      <c r="N3257" s="23" t="e">
        <f ca="1">[1]!BexGetData("DP_1","003N8EMH8GTFRIVOG7KG9IX8U","GSON5124245011")</f>
        <v>#NAME?</v>
      </c>
      <c r="O3257" s="28" t="e">
        <f ca="1">[1]!BexGetData("DP_1","003N8EMH8GTFRIVOG7KG9J3KE","GSON5124245011")</f>
        <v>#NAME?</v>
      </c>
      <c r="P3257" s="23" t="e">
        <f ca="1">[1]!BexGetData("DP_1","003N8EMH8GTFRIVOG7KG9J9VY","GSON5124245011")</f>
        <v>#NAME?</v>
      </c>
      <c r="Q3257" s="24" t="e">
        <f ca="1">[1]!BexGetData("DP_1","00O2TNJGODT0G5Z4TTKYMM5MT","GSON5124245011")</f>
        <v>#NAME?</v>
      </c>
      <c r="R3257" s="23" t="e">
        <f ca="1">[1]!BexGetData("DP_1","00O2TNJGODT0G5Z4TTKYMMBYD","GSON5124245011")</f>
        <v>#NAME?</v>
      </c>
      <c r="S3257" s="23" t="e">
        <f ca="1">[1]!BexGetData("DP_1","00O2TNJGODT0G5Z4TTKYMMI9X","GSON5124245011")</f>
        <v>#NAME?</v>
      </c>
      <c r="T3257" s="28" t="e">
        <f ca="1">[1]!BexGetData("DP_1","00O2TNJGODT0G5Z4TTKYMMOLH","GSON5124245011")</f>
        <v>#NAME?</v>
      </c>
      <c r="U3257" s="23" t="e">
        <f ca="1">[1]!BexGetData("DP_1","00O2TNJGODT0G5Z4TTKYMMUX1","GSON5124245011")</f>
        <v>#NAME?</v>
      </c>
      <c r="V3257" s="28" t="e">
        <f ca="1">[1]!BexGetData("DP_1","00O2TNJGODT0G5Z4TTKYMN18L","GSON5124245011")</f>
        <v>#NAME?</v>
      </c>
      <c r="W3257" s="23" t="e">
        <f ca="1">[1]!BexGetData("DP_1","00O2TNJGODT0G5Z4TTKYMN7K5","GSON5124245011")</f>
        <v>#NAME?</v>
      </c>
    </row>
    <row r="3258" spans="1:23" x14ac:dyDescent="0.2">
      <c r="A3258" s="36" t="s">
        <v>6679</v>
      </c>
      <c r="B3258" s="27" t="s">
        <v>6680</v>
      </c>
      <c r="C3258" s="23" t="e">
        <f ca="1">[1]!BexGetData("DP_1","003N8EMH8GTFRCSWKMPXRR8GU","GSON5124246011")</f>
        <v>#NAME?</v>
      </c>
      <c r="D3258" s="23" t="e">
        <f ca="1">[1]!BexGetData("DP_1","003N8EMH8GTFRCSWKMPXRRESE","GSON5124246011")</f>
        <v>#NAME?</v>
      </c>
      <c r="E3258" s="23" t="e">
        <f ca="1">[1]!BexGetData("DP_1","003N8EMH8GTFRCSWKMPXRRL3Y","GSON5124246011")</f>
        <v>#NAME?</v>
      </c>
      <c r="F3258" s="23" t="e">
        <f ca="1">[1]!BexGetData("DP_1","003N8EMH8GTFRCSWKMPXRRRFI","GSON5124246011")</f>
        <v>#NAME?</v>
      </c>
      <c r="G3258" s="23" t="e">
        <f ca="1">[1]!BexGetData("DP_1","003N8EMH8GTFRCSWKMPXRRXR2","GSON5124246011")</f>
        <v>#NAME?</v>
      </c>
      <c r="H3258" s="23" t="e">
        <f ca="1">[1]!BexGetData("DP_1","003N8EMH8GTFRCSWKMPXRS42M","GSON5124246011")</f>
        <v>#NAME?</v>
      </c>
      <c r="I3258" s="23" t="e">
        <f ca="1">[1]!BexGetData("DP_1","003N8EMH8GTFRCSWKMPXRSAE6","GSON5124246011")</f>
        <v>#NAME?</v>
      </c>
      <c r="J3258" s="24" t="e">
        <f ca="1">[1]!BexGetData("DP_1","003N8EMH8GTFRCSWKMPXRSGPQ","GSON5124246011")</f>
        <v>#NAME?</v>
      </c>
      <c r="K3258" s="23" t="e">
        <f ca="1">[1]!BexGetData("DP_1","003N8EMH8GTFRIVNUPY288VJH","GSON5124246011")</f>
        <v>#NAME?</v>
      </c>
      <c r="L3258" s="23" t="e">
        <f ca="1">[1]!BexGetData("DP_1","003N8EMH8GTFRIVNUPY2891V1","GSON5124246011")</f>
        <v>#NAME?</v>
      </c>
      <c r="M3258" s="28" t="e">
        <f ca="1">[1]!BexGetData("DP_1","003N8EMH8GTFRIVOG7KG9IQXA","GSON5124246011")</f>
        <v>#NAME?</v>
      </c>
      <c r="N3258" s="23" t="e">
        <f ca="1">[1]!BexGetData("DP_1","003N8EMH8GTFRIVOG7KG9IX8U","GSON5124246011")</f>
        <v>#NAME?</v>
      </c>
      <c r="O3258" s="28" t="e">
        <f ca="1">[1]!BexGetData("DP_1","003N8EMH8GTFRIVOG7KG9J3KE","GSON5124246011")</f>
        <v>#NAME?</v>
      </c>
      <c r="P3258" s="23" t="e">
        <f ca="1">[1]!BexGetData("DP_1","003N8EMH8GTFRIVOG7KG9J9VY","GSON5124246011")</f>
        <v>#NAME?</v>
      </c>
      <c r="Q3258" s="24" t="e">
        <f ca="1">[1]!BexGetData("DP_1","00O2TNJGODT0G5Z4TTKYMM5MT","GSON5124246011")</f>
        <v>#NAME?</v>
      </c>
      <c r="R3258" s="23" t="e">
        <f ca="1">[1]!BexGetData("DP_1","00O2TNJGODT0G5Z4TTKYMMBYD","GSON5124246011")</f>
        <v>#NAME?</v>
      </c>
      <c r="S3258" s="23" t="e">
        <f ca="1">[1]!BexGetData("DP_1","00O2TNJGODT0G5Z4TTKYMMI9X","GSON5124246011")</f>
        <v>#NAME?</v>
      </c>
      <c r="T3258" s="28" t="e">
        <f ca="1">[1]!BexGetData("DP_1","00O2TNJGODT0G5Z4TTKYMMOLH","GSON5124246011")</f>
        <v>#NAME?</v>
      </c>
      <c r="U3258" s="23" t="e">
        <f ca="1">[1]!BexGetData("DP_1","00O2TNJGODT0G5Z4TTKYMMUX1","GSON5124246011")</f>
        <v>#NAME?</v>
      </c>
      <c r="V3258" s="28" t="e">
        <f ca="1">[1]!BexGetData("DP_1","00O2TNJGODT0G5Z4TTKYMN18L","GSON5124246011")</f>
        <v>#NAME?</v>
      </c>
      <c r="W3258" s="23" t="e">
        <f ca="1">[1]!BexGetData("DP_1","00O2TNJGODT0G5Z4TTKYMN7K5","GSON5124246011")</f>
        <v>#NAME?</v>
      </c>
    </row>
    <row r="3259" spans="1:23" x14ac:dyDescent="0.2">
      <c r="A3259" s="36" t="s">
        <v>6681</v>
      </c>
      <c r="B3259" s="27" t="s">
        <v>6682</v>
      </c>
      <c r="C3259" s="23" t="e">
        <f ca="1">[1]!BexGetData("DP_1","003N8EMH8GTFRCSWKMPXRR8GU","GSON5124247011")</f>
        <v>#NAME?</v>
      </c>
      <c r="D3259" s="23" t="e">
        <f ca="1">[1]!BexGetData("DP_1","003N8EMH8GTFRCSWKMPXRRESE","GSON5124247011")</f>
        <v>#NAME?</v>
      </c>
      <c r="E3259" s="23" t="e">
        <f ca="1">[1]!BexGetData("DP_1","003N8EMH8GTFRCSWKMPXRRL3Y","GSON5124247011")</f>
        <v>#NAME?</v>
      </c>
      <c r="F3259" s="23" t="e">
        <f ca="1">[1]!BexGetData("DP_1","003N8EMH8GTFRCSWKMPXRRRFI","GSON5124247011")</f>
        <v>#NAME?</v>
      </c>
      <c r="G3259" s="23" t="e">
        <f ca="1">[1]!BexGetData("DP_1","003N8EMH8GTFRCSWKMPXRRXR2","GSON5124247011")</f>
        <v>#NAME?</v>
      </c>
      <c r="H3259" s="23" t="e">
        <f ca="1">[1]!BexGetData("DP_1","003N8EMH8GTFRCSWKMPXRS42M","GSON5124247011")</f>
        <v>#NAME?</v>
      </c>
      <c r="I3259" s="23" t="e">
        <f ca="1">[1]!BexGetData("DP_1","003N8EMH8GTFRCSWKMPXRSAE6","GSON5124247011")</f>
        <v>#NAME?</v>
      </c>
      <c r="J3259" s="24" t="e">
        <f ca="1">[1]!BexGetData("DP_1","003N8EMH8GTFRCSWKMPXRSGPQ","GSON5124247011")</f>
        <v>#NAME?</v>
      </c>
      <c r="K3259" s="23" t="e">
        <f ca="1">[1]!BexGetData("DP_1","003N8EMH8GTFRIVNUPY288VJH","GSON5124247011")</f>
        <v>#NAME?</v>
      </c>
      <c r="L3259" s="23" t="e">
        <f ca="1">[1]!BexGetData("DP_1","003N8EMH8GTFRIVNUPY2891V1","GSON5124247011")</f>
        <v>#NAME?</v>
      </c>
      <c r="M3259" s="28" t="e">
        <f ca="1">[1]!BexGetData("DP_1","003N8EMH8GTFRIVOG7KG9IQXA","GSON5124247011")</f>
        <v>#NAME?</v>
      </c>
      <c r="N3259" s="23" t="e">
        <f ca="1">[1]!BexGetData("DP_1","003N8EMH8GTFRIVOG7KG9IX8U","GSON5124247011")</f>
        <v>#NAME?</v>
      </c>
      <c r="O3259" s="28" t="e">
        <f ca="1">[1]!BexGetData("DP_1","003N8EMH8GTFRIVOG7KG9J3KE","GSON5124247011")</f>
        <v>#NAME?</v>
      </c>
      <c r="P3259" s="23" t="e">
        <f ca="1">[1]!BexGetData("DP_1","003N8EMH8GTFRIVOG7KG9J9VY","GSON5124247011")</f>
        <v>#NAME?</v>
      </c>
      <c r="Q3259" s="24" t="e">
        <f ca="1">[1]!BexGetData("DP_1","00O2TNJGODT0G5Z4TTKYMM5MT","GSON5124247011")</f>
        <v>#NAME?</v>
      </c>
      <c r="R3259" s="23" t="e">
        <f ca="1">[1]!BexGetData("DP_1","00O2TNJGODT0G5Z4TTKYMMBYD","GSON5124247011")</f>
        <v>#NAME?</v>
      </c>
      <c r="S3259" s="23" t="e">
        <f ca="1">[1]!BexGetData("DP_1","00O2TNJGODT0G5Z4TTKYMMI9X","GSON5124247011")</f>
        <v>#NAME?</v>
      </c>
      <c r="T3259" s="28" t="e">
        <f ca="1">[1]!BexGetData("DP_1","00O2TNJGODT0G5Z4TTKYMMOLH","GSON5124247011")</f>
        <v>#NAME?</v>
      </c>
      <c r="U3259" s="23" t="e">
        <f ca="1">[1]!BexGetData("DP_1","00O2TNJGODT0G5Z4TTKYMMUX1","GSON5124247011")</f>
        <v>#NAME?</v>
      </c>
      <c r="V3259" s="28" t="e">
        <f ca="1">[1]!BexGetData("DP_1","00O2TNJGODT0G5Z4TTKYMN18L","GSON5124247011")</f>
        <v>#NAME?</v>
      </c>
      <c r="W3259" s="23" t="e">
        <f ca="1">[1]!BexGetData("DP_1","00O2TNJGODT0G5Z4TTKYMN7K5","GSON5124247011")</f>
        <v>#NAME?</v>
      </c>
    </row>
    <row r="3260" spans="1:23" x14ac:dyDescent="0.2">
      <c r="A3260" s="36" t="s">
        <v>6683</v>
      </c>
      <c r="B3260" s="27" t="s">
        <v>6684</v>
      </c>
      <c r="C3260" s="23" t="e">
        <f ca="1">[1]!BexGetData("DP_1","003N8EMH8GTFRCSWKMPXRR8GU","GSON5124248011")</f>
        <v>#NAME?</v>
      </c>
      <c r="D3260" s="23" t="e">
        <f ca="1">[1]!BexGetData("DP_1","003N8EMH8GTFRCSWKMPXRRESE","GSON5124248011")</f>
        <v>#NAME?</v>
      </c>
      <c r="E3260" s="23" t="e">
        <f ca="1">[1]!BexGetData("DP_1","003N8EMH8GTFRCSWKMPXRRL3Y","GSON5124248011")</f>
        <v>#NAME?</v>
      </c>
      <c r="F3260" s="23" t="e">
        <f ca="1">[1]!BexGetData("DP_1","003N8EMH8GTFRCSWKMPXRRRFI","GSON5124248011")</f>
        <v>#NAME?</v>
      </c>
      <c r="G3260" s="23" t="e">
        <f ca="1">[1]!BexGetData("DP_1","003N8EMH8GTFRCSWKMPXRRXR2","GSON5124248011")</f>
        <v>#NAME?</v>
      </c>
      <c r="H3260" s="23" t="e">
        <f ca="1">[1]!BexGetData("DP_1","003N8EMH8GTFRCSWKMPXRS42M","GSON5124248011")</f>
        <v>#NAME?</v>
      </c>
      <c r="I3260" s="23" t="e">
        <f ca="1">[1]!BexGetData("DP_1","003N8EMH8GTFRCSWKMPXRSAE6","GSON5124248011")</f>
        <v>#NAME?</v>
      </c>
      <c r="J3260" s="24" t="e">
        <f ca="1">[1]!BexGetData("DP_1","003N8EMH8GTFRCSWKMPXRSGPQ","GSON5124248011")</f>
        <v>#NAME?</v>
      </c>
      <c r="K3260" s="23" t="e">
        <f ca="1">[1]!BexGetData("DP_1","003N8EMH8GTFRIVNUPY288VJH","GSON5124248011")</f>
        <v>#NAME?</v>
      </c>
      <c r="L3260" s="23" t="e">
        <f ca="1">[1]!BexGetData("DP_1","003N8EMH8GTFRIVNUPY2891V1","GSON5124248011")</f>
        <v>#NAME?</v>
      </c>
      <c r="M3260" s="28" t="e">
        <f ca="1">[1]!BexGetData("DP_1","003N8EMH8GTFRIVOG7KG9IQXA","GSON5124248011")</f>
        <v>#NAME?</v>
      </c>
      <c r="N3260" s="23" t="e">
        <f ca="1">[1]!BexGetData("DP_1","003N8EMH8GTFRIVOG7KG9IX8U","GSON5124248011")</f>
        <v>#NAME?</v>
      </c>
      <c r="O3260" s="28" t="e">
        <f ca="1">[1]!BexGetData("DP_1","003N8EMH8GTFRIVOG7KG9J3KE","GSON5124248011")</f>
        <v>#NAME?</v>
      </c>
      <c r="P3260" s="23" t="e">
        <f ca="1">[1]!BexGetData("DP_1","003N8EMH8GTFRIVOG7KG9J9VY","GSON5124248011")</f>
        <v>#NAME?</v>
      </c>
      <c r="Q3260" s="24" t="e">
        <f ca="1">[1]!BexGetData("DP_1","00O2TNJGODT0G5Z4TTKYMM5MT","GSON5124248011")</f>
        <v>#NAME?</v>
      </c>
      <c r="R3260" s="23" t="e">
        <f ca="1">[1]!BexGetData("DP_1","00O2TNJGODT0G5Z4TTKYMMBYD","GSON5124248011")</f>
        <v>#NAME?</v>
      </c>
      <c r="S3260" s="23" t="e">
        <f ca="1">[1]!BexGetData("DP_1","00O2TNJGODT0G5Z4TTKYMMI9X","GSON5124248011")</f>
        <v>#NAME?</v>
      </c>
      <c r="T3260" s="28" t="e">
        <f ca="1">[1]!BexGetData("DP_1","00O2TNJGODT0G5Z4TTKYMMOLH","GSON5124248011")</f>
        <v>#NAME?</v>
      </c>
      <c r="U3260" s="23" t="e">
        <f ca="1">[1]!BexGetData("DP_1","00O2TNJGODT0G5Z4TTKYMMUX1","GSON5124248011")</f>
        <v>#NAME?</v>
      </c>
      <c r="V3260" s="28" t="e">
        <f ca="1">[1]!BexGetData("DP_1","00O2TNJGODT0G5Z4TTKYMN18L","GSON5124248011")</f>
        <v>#NAME?</v>
      </c>
      <c r="W3260" s="23" t="e">
        <f ca="1">[1]!BexGetData("DP_1","00O2TNJGODT0G5Z4TTKYMN7K5","GSON5124248011")</f>
        <v>#NAME?</v>
      </c>
    </row>
    <row r="3261" spans="1:23" x14ac:dyDescent="0.2">
      <c r="A3261" s="36" t="s">
        <v>6685</v>
      </c>
      <c r="B3261" s="27" t="s">
        <v>6686</v>
      </c>
      <c r="C3261" s="23" t="e">
        <f ca="1">[1]!BexGetData("DP_1","003N8EMH8GTFRCSWKMPXRR8GU","GSON5124249011")</f>
        <v>#NAME?</v>
      </c>
      <c r="D3261" s="23" t="e">
        <f ca="1">[1]!BexGetData("DP_1","003N8EMH8GTFRCSWKMPXRRESE","GSON5124249011")</f>
        <v>#NAME?</v>
      </c>
      <c r="E3261" s="23" t="e">
        <f ca="1">[1]!BexGetData("DP_1","003N8EMH8GTFRCSWKMPXRRL3Y","GSON5124249011")</f>
        <v>#NAME?</v>
      </c>
      <c r="F3261" s="23" t="e">
        <f ca="1">[1]!BexGetData("DP_1","003N8EMH8GTFRCSWKMPXRRRFI","GSON5124249011")</f>
        <v>#NAME?</v>
      </c>
      <c r="G3261" s="23" t="e">
        <f ca="1">[1]!BexGetData("DP_1","003N8EMH8GTFRCSWKMPXRRXR2","GSON5124249011")</f>
        <v>#NAME?</v>
      </c>
      <c r="H3261" s="23" t="e">
        <f ca="1">[1]!BexGetData("DP_1","003N8EMH8GTFRCSWKMPXRS42M","GSON5124249011")</f>
        <v>#NAME?</v>
      </c>
      <c r="I3261" s="23" t="e">
        <f ca="1">[1]!BexGetData("DP_1","003N8EMH8GTFRCSWKMPXRSAE6","GSON5124249011")</f>
        <v>#NAME?</v>
      </c>
      <c r="J3261" s="24" t="e">
        <f ca="1">[1]!BexGetData("DP_1","003N8EMH8GTFRCSWKMPXRSGPQ","GSON5124249011")</f>
        <v>#NAME?</v>
      </c>
      <c r="K3261" s="23" t="e">
        <f ca="1">[1]!BexGetData("DP_1","003N8EMH8GTFRIVNUPY288VJH","GSON5124249011")</f>
        <v>#NAME?</v>
      </c>
      <c r="L3261" s="23" t="e">
        <f ca="1">[1]!BexGetData("DP_1","003N8EMH8GTFRIVNUPY2891V1","GSON5124249011")</f>
        <v>#NAME?</v>
      </c>
      <c r="M3261" s="28" t="e">
        <f ca="1">[1]!BexGetData("DP_1","003N8EMH8GTFRIVOG7KG9IQXA","GSON5124249011")</f>
        <v>#NAME?</v>
      </c>
      <c r="N3261" s="23" t="e">
        <f ca="1">[1]!BexGetData("DP_1","003N8EMH8GTFRIVOG7KG9IX8U","GSON5124249011")</f>
        <v>#NAME?</v>
      </c>
      <c r="O3261" s="28" t="e">
        <f ca="1">[1]!BexGetData("DP_1","003N8EMH8GTFRIVOG7KG9J3KE","GSON5124249011")</f>
        <v>#NAME?</v>
      </c>
      <c r="P3261" s="23" t="e">
        <f ca="1">[1]!BexGetData("DP_1","003N8EMH8GTFRIVOG7KG9J9VY","GSON5124249011")</f>
        <v>#NAME?</v>
      </c>
      <c r="Q3261" s="24" t="e">
        <f ca="1">[1]!BexGetData("DP_1","00O2TNJGODT0G5Z4TTKYMM5MT","GSON5124249011")</f>
        <v>#NAME?</v>
      </c>
      <c r="R3261" s="23" t="e">
        <f ca="1">[1]!BexGetData("DP_1","00O2TNJGODT0G5Z4TTKYMMBYD","GSON5124249011")</f>
        <v>#NAME?</v>
      </c>
      <c r="S3261" s="23" t="e">
        <f ca="1">[1]!BexGetData("DP_1","00O2TNJGODT0G5Z4TTKYMMI9X","GSON5124249011")</f>
        <v>#NAME?</v>
      </c>
      <c r="T3261" s="28" t="e">
        <f ca="1">[1]!BexGetData("DP_1","00O2TNJGODT0G5Z4TTKYMMOLH","GSON5124249011")</f>
        <v>#NAME?</v>
      </c>
      <c r="U3261" s="23" t="e">
        <f ca="1">[1]!BexGetData("DP_1","00O2TNJGODT0G5Z4TTKYMMUX1","GSON5124249011")</f>
        <v>#NAME?</v>
      </c>
      <c r="V3261" s="28" t="e">
        <f ca="1">[1]!BexGetData("DP_1","00O2TNJGODT0G5Z4TTKYMN18L","GSON5124249011")</f>
        <v>#NAME?</v>
      </c>
      <c r="W3261" s="23" t="e">
        <f ca="1">[1]!BexGetData("DP_1","00O2TNJGODT0G5Z4TTKYMN7K5","GSON5124249011")</f>
        <v>#NAME?</v>
      </c>
    </row>
    <row r="3262" spans="1:23" x14ac:dyDescent="0.2">
      <c r="A3262" s="35" t="s">
        <v>6687</v>
      </c>
      <c r="B3262" s="27" t="s">
        <v>6688</v>
      </c>
      <c r="C3262" s="23" t="e">
        <f ca="1">[1]!BexGetData("DP_1","003N8EMH8GTFRCSWKMPXRR8GU","GSON5125")</f>
        <v>#NAME?</v>
      </c>
      <c r="D3262" s="23" t="e">
        <f ca="1">[1]!BexGetData("DP_1","003N8EMH8GTFRCSWKMPXRRESE","GSON5125")</f>
        <v>#NAME?</v>
      </c>
      <c r="E3262" s="23" t="e">
        <f ca="1">[1]!BexGetData("DP_1","003N8EMH8GTFRCSWKMPXRRL3Y","GSON5125")</f>
        <v>#NAME?</v>
      </c>
      <c r="F3262" s="23" t="e">
        <f ca="1">[1]!BexGetData("DP_1","003N8EMH8GTFRCSWKMPXRRRFI","GSON5125")</f>
        <v>#NAME?</v>
      </c>
      <c r="G3262" s="23" t="e">
        <f ca="1">[1]!BexGetData("DP_1","003N8EMH8GTFRCSWKMPXRRXR2","GSON5125")</f>
        <v>#NAME?</v>
      </c>
      <c r="H3262" s="23" t="e">
        <f ca="1">[1]!BexGetData("DP_1","003N8EMH8GTFRCSWKMPXRS42M","GSON5125")</f>
        <v>#NAME?</v>
      </c>
      <c r="I3262" s="23" t="e">
        <f ca="1">[1]!BexGetData("DP_1","003N8EMH8GTFRCSWKMPXRSAE6","GSON5125")</f>
        <v>#NAME?</v>
      </c>
      <c r="J3262" s="24" t="e">
        <f ca="1">[1]!BexGetData("DP_1","003N8EMH8GTFRCSWKMPXRSGPQ","GSON5125")</f>
        <v>#NAME?</v>
      </c>
      <c r="K3262" s="23" t="e">
        <f ca="1">[1]!BexGetData("DP_1","003N8EMH8GTFRIVNUPY288VJH","GSON5125")</f>
        <v>#NAME?</v>
      </c>
      <c r="L3262" s="23" t="e">
        <f ca="1">[1]!BexGetData("DP_1","003N8EMH8GTFRIVNUPY2891V1","GSON5125")</f>
        <v>#NAME?</v>
      </c>
      <c r="M3262" s="28" t="e">
        <f ca="1">[1]!BexGetData("DP_1","003N8EMH8GTFRIVOG7KG9IQXA","GSON5125")</f>
        <v>#NAME?</v>
      </c>
      <c r="N3262" s="23" t="e">
        <f ca="1">[1]!BexGetData("DP_1","003N8EMH8GTFRIVOG7KG9IX8U","GSON5125")</f>
        <v>#NAME?</v>
      </c>
      <c r="O3262" s="28" t="e">
        <f ca="1">[1]!BexGetData("DP_1","003N8EMH8GTFRIVOG7KG9J3KE","GSON5125")</f>
        <v>#NAME?</v>
      </c>
      <c r="P3262" s="23" t="e">
        <f ca="1">[1]!BexGetData("DP_1","003N8EMH8GTFRIVOG7KG9J9VY","GSON5125")</f>
        <v>#NAME?</v>
      </c>
      <c r="Q3262" s="24" t="e">
        <f ca="1">[1]!BexGetData("DP_1","00O2TNJGODT0G5Z4TTKYMM5MT","GSON5125")</f>
        <v>#NAME?</v>
      </c>
      <c r="R3262" s="23" t="e">
        <f ca="1">[1]!BexGetData("DP_1","00O2TNJGODT0G5Z4TTKYMMBYD","GSON5125")</f>
        <v>#NAME?</v>
      </c>
      <c r="S3262" s="23" t="e">
        <f ca="1">[1]!BexGetData("DP_1","00O2TNJGODT0G5Z4TTKYMMI9X","GSON5125")</f>
        <v>#NAME?</v>
      </c>
      <c r="T3262" s="28" t="e">
        <f ca="1">[1]!BexGetData("DP_1","00O2TNJGODT0G5Z4TTKYMMOLH","GSON5125")</f>
        <v>#NAME?</v>
      </c>
      <c r="U3262" s="23" t="e">
        <f ca="1">[1]!BexGetData("DP_1","00O2TNJGODT0G5Z4TTKYMMUX1","GSON5125")</f>
        <v>#NAME?</v>
      </c>
      <c r="V3262" s="28" t="e">
        <f ca="1">[1]!BexGetData("DP_1","00O2TNJGODT0G5Z4TTKYMN18L","GSON5125")</f>
        <v>#NAME?</v>
      </c>
      <c r="W3262" s="23" t="e">
        <f ca="1">[1]!BexGetData("DP_1","00O2TNJGODT0G5Z4TTKYMN7K5","GSON5125")</f>
        <v>#NAME?</v>
      </c>
    </row>
    <row r="3263" spans="1:23" x14ac:dyDescent="0.2">
      <c r="A3263" s="36" t="s">
        <v>6689</v>
      </c>
      <c r="B3263" s="27" t="s">
        <v>6690</v>
      </c>
      <c r="C3263" s="23" t="e">
        <f ca="1">[1]!BexGetData("DP_1","003N8EMH8GTFRCSWKMPXRR8GU","GSON5125251011")</f>
        <v>#NAME?</v>
      </c>
      <c r="D3263" s="28" t="e">
        <f ca="1">[1]!BexGetData("DP_1","003N8EMH8GTFRCSWKMPXRRESE","GSON5125251011")</f>
        <v>#NAME?</v>
      </c>
      <c r="E3263" s="23" t="e">
        <f ca="1">[1]!BexGetData("DP_1","003N8EMH8GTFRCSWKMPXRRL3Y","GSON5125251011")</f>
        <v>#NAME?</v>
      </c>
      <c r="F3263" s="23" t="e">
        <f ca="1">[1]!BexGetData("DP_1","003N8EMH8GTFRCSWKMPXRRRFI","GSON5125251011")</f>
        <v>#NAME?</v>
      </c>
      <c r="G3263" s="23" t="e">
        <f ca="1">[1]!BexGetData("DP_1","003N8EMH8GTFRCSWKMPXRRXR2","GSON5125251011")</f>
        <v>#NAME?</v>
      </c>
      <c r="H3263" s="23" t="e">
        <f ca="1">[1]!BexGetData("DP_1","003N8EMH8GTFRCSWKMPXRS42M","GSON5125251011")</f>
        <v>#NAME?</v>
      </c>
      <c r="I3263" s="23" t="e">
        <f ca="1">[1]!BexGetData("DP_1","003N8EMH8GTFRCSWKMPXRSAE6","GSON5125251011")</f>
        <v>#NAME?</v>
      </c>
      <c r="J3263" s="24" t="e">
        <f ca="1">[1]!BexGetData("DP_1","003N8EMH8GTFRCSWKMPXRSGPQ","GSON5125251011")</f>
        <v>#NAME?</v>
      </c>
      <c r="K3263" s="23" t="e">
        <f ca="1">[1]!BexGetData("DP_1","003N8EMH8GTFRIVNUPY288VJH","GSON5125251011")</f>
        <v>#NAME?</v>
      </c>
      <c r="L3263" s="23" t="e">
        <f ca="1">[1]!BexGetData("DP_1","003N8EMH8GTFRIVNUPY2891V1","GSON5125251011")</f>
        <v>#NAME?</v>
      </c>
      <c r="M3263" s="23" t="e">
        <f ca="1">[1]!BexGetData("DP_1","003N8EMH8GTFRIVOG7KG9IQXA","GSON5125251011")</f>
        <v>#NAME?</v>
      </c>
      <c r="N3263" s="28" t="e">
        <f ca="1">[1]!BexGetData("DP_1","003N8EMH8GTFRIVOG7KG9IX8U","GSON5125251011")</f>
        <v>#NAME?</v>
      </c>
      <c r="O3263" s="23" t="e">
        <f ca="1">[1]!BexGetData("DP_1","003N8EMH8GTFRIVOG7KG9J3KE","GSON5125251011")</f>
        <v>#NAME?</v>
      </c>
      <c r="P3263" s="28" t="e">
        <f ca="1">[1]!BexGetData("DP_1","003N8EMH8GTFRIVOG7KG9J9VY","GSON5125251011")</f>
        <v>#NAME?</v>
      </c>
      <c r="Q3263" s="24" t="e">
        <f ca="1">[1]!BexGetData("DP_1","00O2TNJGODT0G5Z4TTKYMM5MT","GSON5125251011")</f>
        <v>#NAME?</v>
      </c>
      <c r="R3263" s="23" t="e">
        <f ca="1">[1]!BexGetData("DP_1","00O2TNJGODT0G5Z4TTKYMMBYD","GSON5125251011")</f>
        <v>#NAME?</v>
      </c>
      <c r="S3263" s="23" t="e">
        <f ca="1">[1]!BexGetData("DP_1","00O2TNJGODT0G5Z4TTKYMMI9X","GSON5125251011")</f>
        <v>#NAME?</v>
      </c>
      <c r="T3263" s="28" t="e">
        <f ca="1">[1]!BexGetData("DP_1","00O2TNJGODT0G5Z4TTKYMMOLH","GSON5125251011")</f>
        <v>#NAME?</v>
      </c>
      <c r="U3263" s="23" t="e">
        <f ca="1">[1]!BexGetData("DP_1","00O2TNJGODT0G5Z4TTKYMMUX1","GSON5125251011")</f>
        <v>#NAME?</v>
      </c>
      <c r="V3263" s="28" t="e">
        <f ca="1">[1]!BexGetData("DP_1","00O2TNJGODT0G5Z4TTKYMN18L","GSON5125251011")</f>
        <v>#NAME?</v>
      </c>
      <c r="W3263" s="23" t="e">
        <f ca="1">[1]!BexGetData("DP_1","00O2TNJGODT0G5Z4TTKYMN7K5","GSON5125251011")</f>
        <v>#NAME?</v>
      </c>
    </row>
    <row r="3264" spans="1:23" x14ac:dyDescent="0.2">
      <c r="A3264" s="36" t="s">
        <v>6691</v>
      </c>
      <c r="B3264" s="27" t="s">
        <v>6692</v>
      </c>
      <c r="C3264" s="23" t="e">
        <f ca="1">[1]!BexGetData("DP_1","003N8EMH8GTFRCSWKMPXRR8GU","GSON5125252011")</f>
        <v>#NAME?</v>
      </c>
      <c r="D3264" s="23" t="e">
        <f ca="1">[1]!BexGetData("DP_1","003N8EMH8GTFRCSWKMPXRRESE","GSON5125252011")</f>
        <v>#NAME?</v>
      </c>
      <c r="E3264" s="23" t="e">
        <f ca="1">[1]!BexGetData("DP_1","003N8EMH8GTFRCSWKMPXRRL3Y","GSON5125252011")</f>
        <v>#NAME?</v>
      </c>
      <c r="F3264" s="23" t="e">
        <f ca="1">[1]!BexGetData("DP_1","003N8EMH8GTFRCSWKMPXRRRFI","GSON5125252011")</f>
        <v>#NAME?</v>
      </c>
      <c r="G3264" s="23" t="e">
        <f ca="1">[1]!BexGetData("DP_1","003N8EMH8GTFRCSWKMPXRRXR2","GSON5125252011")</f>
        <v>#NAME?</v>
      </c>
      <c r="H3264" s="23" t="e">
        <f ca="1">[1]!BexGetData("DP_1","003N8EMH8GTFRCSWKMPXRS42M","GSON5125252011")</f>
        <v>#NAME?</v>
      </c>
      <c r="I3264" s="23" t="e">
        <f ca="1">[1]!BexGetData("DP_1","003N8EMH8GTFRCSWKMPXRSAE6","GSON5125252011")</f>
        <v>#NAME?</v>
      </c>
      <c r="J3264" s="24" t="e">
        <f ca="1">[1]!BexGetData("DP_1","003N8EMH8GTFRCSWKMPXRSGPQ","GSON5125252011")</f>
        <v>#NAME?</v>
      </c>
      <c r="K3264" s="23" t="e">
        <f ca="1">[1]!BexGetData("DP_1","003N8EMH8GTFRIVNUPY288VJH","GSON5125252011")</f>
        <v>#NAME?</v>
      </c>
      <c r="L3264" s="23" t="e">
        <f ca="1">[1]!BexGetData("DP_1","003N8EMH8GTFRIVNUPY2891V1","GSON5125252011")</f>
        <v>#NAME?</v>
      </c>
      <c r="M3264" s="28" t="e">
        <f ca="1">[1]!BexGetData("DP_1","003N8EMH8GTFRIVOG7KG9IQXA","GSON5125252011")</f>
        <v>#NAME?</v>
      </c>
      <c r="N3264" s="23" t="e">
        <f ca="1">[1]!BexGetData("DP_1","003N8EMH8GTFRIVOG7KG9IX8U","GSON5125252011")</f>
        <v>#NAME?</v>
      </c>
      <c r="O3264" s="28" t="e">
        <f ca="1">[1]!BexGetData("DP_1","003N8EMH8GTFRIVOG7KG9J3KE","GSON5125252011")</f>
        <v>#NAME?</v>
      </c>
      <c r="P3264" s="23" t="e">
        <f ca="1">[1]!BexGetData("DP_1","003N8EMH8GTFRIVOG7KG9J9VY","GSON5125252011")</f>
        <v>#NAME?</v>
      </c>
      <c r="Q3264" s="24" t="e">
        <f ca="1">[1]!BexGetData("DP_1","00O2TNJGODT0G5Z4TTKYMM5MT","GSON5125252011")</f>
        <v>#NAME?</v>
      </c>
      <c r="R3264" s="23" t="e">
        <f ca="1">[1]!BexGetData("DP_1","00O2TNJGODT0G5Z4TTKYMMBYD","GSON5125252011")</f>
        <v>#NAME?</v>
      </c>
      <c r="S3264" s="23" t="e">
        <f ca="1">[1]!BexGetData("DP_1","00O2TNJGODT0G5Z4TTKYMMI9X","GSON5125252011")</f>
        <v>#NAME?</v>
      </c>
      <c r="T3264" s="28" t="e">
        <f ca="1">[1]!BexGetData("DP_1","00O2TNJGODT0G5Z4TTKYMMOLH","GSON5125252011")</f>
        <v>#NAME?</v>
      </c>
      <c r="U3264" s="23" t="e">
        <f ca="1">[1]!BexGetData("DP_1","00O2TNJGODT0G5Z4TTKYMMUX1","GSON5125252011")</f>
        <v>#NAME?</v>
      </c>
      <c r="V3264" s="28" t="e">
        <f ca="1">[1]!BexGetData("DP_1","00O2TNJGODT0G5Z4TTKYMN18L","GSON5125252011")</f>
        <v>#NAME?</v>
      </c>
      <c r="W3264" s="23" t="e">
        <f ca="1">[1]!BexGetData("DP_1","00O2TNJGODT0G5Z4TTKYMN7K5","GSON5125252011")</f>
        <v>#NAME?</v>
      </c>
    </row>
    <row r="3265" spans="1:23" x14ac:dyDescent="0.2">
      <c r="A3265" s="36" t="s">
        <v>6693</v>
      </c>
      <c r="B3265" s="27" t="s">
        <v>6694</v>
      </c>
      <c r="C3265" s="23" t="e">
        <f ca="1">[1]!BexGetData("DP_1","003N8EMH8GTFRCSWKMPXRR8GU","GSON5125253011")</f>
        <v>#NAME?</v>
      </c>
      <c r="D3265" s="23" t="e">
        <f ca="1">[1]!BexGetData("DP_1","003N8EMH8GTFRCSWKMPXRRESE","GSON5125253011")</f>
        <v>#NAME?</v>
      </c>
      <c r="E3265" s="23" t="e">
        <f ca="1">[1]!BexGetData("DP_1","003N8EMH8GTFRCSWKMPXRRL3Y","GSON5125253011")</f>
        <v>#NAME?</v>
      </c>
      <c r="F3265" s="23" t="e">
        <f ca="1">[1]!BexGetData("DP_1","003N8EMH8GTFRCSWKMPXRRRFI","GSON5125253011")</f>
        <v>#NAME?</v>
      </c>
      <c r="G3265" s="23" t="e">
        <f ca="1">[1]!BexGetData("DP_1","003N8EMH8GTFRCSWKMPXRRXR2","GSON5125253011")</f>
        <v>#NAME?</v>
      </c>
      <c r="H3265" s="23" t="e">
        <f ca="1">[1]!BexGetData("DP_1","003N8EMH8GTFRCSWKMPXRS42M","GSON5125253011")</f>
        <v>#NAME?</v>
      </c>
      <c r="I3265" s="23" t="e">
        <f ca="1">[1]!BexGetData("DP_1","003N8EMH8GTFRCSWKMPXRSAE6","GSON5125253011")</f>
        <v>#NAME?</v>
      </c>
      <c r="J3265" s="24" t="e">
        <f ca="1">[1]!BexGetData("DP_1","003N8EMH8GTFRCSWKMPXRSGPQ","GSON5125253011")</f>
        <v>#NAME?</v>
      </c>
      <c r="K3265" s="23" t="e">
        <f ca="1">[1]!BexGetData("DP_1","003N8EMH8GTFRIVNUPY288VJH","GSON5125253011")</f>
        <v>#NAME?</v>
      </c>
      <c r="L3265" s="23" t="e">
        <f ca="1">[1]!BexGetData("DP_1","003N8EMH8GTFRIVNUPY2891V1","GSON5125253011")</f>
        <v>#NAME?</v>
      </c>
      <c r="M3265" s="23" t="e">
        <f ca="1">[1]!BexGetData("DP_1","003N8EMH8GTFRIVOG7KG9IQXA","GSON5125253011")</f>
        <v>#NAME?</v>
      </c>
      <c r="N3265" s="28" t="e">
        <f ca="1">[1]!BexGetData("DP_1","003N8EMH8GTFRIVOG7KG9IX8U","GSON5125253011")</f>
        <v>#NAME?</v>
      </c>
      <c r="O3265" s="23" t="e">
        <f ca="1">[1]!BexGetData("DP_1","003N8EMH8GTFRIVOG7KG9J3KE","GSON5125253011")</f>
        <v>#NAME?</v>
      </c>
      <c r="P3265" s="28" t="e">
        <f ca="1">[1]!BexGetData("DP_1","003N8EMH8GTFRIVOG7KG9J9VY","GSON5125253011")</f>
        <v>#NAME?</v>
      </c>
      <c r="Q3265" s="24" t="e">
        <f ca="1">[1]!BexGetData("DP_1","00O2TNJGODT0G5Z4TTKYMM5MT","GSON5125253011")</f>
        <v>#NAME?</v>
      </c>
      <c r="R3265" s="23" t="e">
        <f ca="1">[1]!BexGetData("DP_1","00O2TNJGODT0G5Z4TTKYMMBYD","GSON5125253011")</f>
        <v>#NAME?</v>
      </c>
      <c r="S3265" s="23" t="e">
        <f ca="1">[1]!BexGetData("DP_1","00O2TNJGODT0G5Z4TTKYMMI9X","GSON5125253011")</f>
        <v>#NAME?</v>
      </c>
      <c r="T3265" s="28" t="e">
        <f ca="1">[1]!BexGetData("DP_1","00O2TNJGODT0G5Z4TTKYMMOLH","GSON5125253011")</f>
        <v>#NAME?</v>
      </c>
      <c r="U3265" s="23" t="e">
        <f ca="1">[1]!BexGetData("DP_1","00O2TNJGODT0G5Z4TTKYMMUX1","GSON5125253011")</f>
        <v>#NAME?</v>
      </c>
      <c r="V3265" s="28" t="e">
        <f ca="1">[1]!BexGetData("DP_1","00O2TNJGODT0G5Z4TTKYMN18L","GSON5125253011")</f>
        <v>#NAME?</v>
      </c>
      <c r="W3265" s="23" t="e">
        <f ca="1">[1]!BexGetData("DP_1","00O2TNJGODT0G5Z4TTKYMN7K5","GSON5125253011")</f>
        <v>#NAME?</v>
      </c>
    </row>
    <row r="3266" spans="1:23" x14ac:dyDescent="0.2">
      <c r="A3266" s="36" t="s">
        <v>6695</v>
      </c>
      <c r="B3266" s="27" t="s">
        <v>6696</v>
      </c>
      <c r="C3266" s="23" t="e">
        <f ca="1">[1]!BexGetData("DP_1","003N8EMH8GTFRCSWKMPXRR8GU","GSON5125253021")</f>
        <v>#NAME?</v>
      </c>
      <c r="D3266" s="28" t="e">
        <f ca="1">[1]!BexGetData("DP_1","003N8EMH8GTFRCSWKMPXRRESE","GSON5125253021")</f>
        <v>#NAME?</v>
      </c>
      <c r="E3266" s="23" t="e">
        <f ca="1">[1]!BexGetData("DP_1","003N8EMH8GTFRCSWKMPXRRL3Y","GSON5125253021")</f>
        <v>#NAME?</v>
      </c>
      <c r="F3266" s="24" t="e">
        <f ca="1">[1]!BexGetData("DP_1","003N8EMH8GTFRCSWKMPXRRRFI","GSON5125253021")</f>
        <v>#NAME?</v>
      </c>
      <c r="G3266" s="24" t="e">
        <f ca="1">[1]!BexGetData("DP_1","003N8EMH8GTFRCSWKMPXRRXR2","GSON5125253021")</f>
        <v>#NAME?</v>
      </c>
      <c r="H3266" s="24" t="e">
        <f ca="1">[1]!BexGetData("DP_1","003N8EMH8GTFRCSWKMPXRS42M","GSON5125253021")</f>
        <v>#NAME?</v>
      </c>
      <c r="I3266" s="24" t="e">
        <f ca="1">[1]!BexGetData("DP_1","003N8EMH8GTFRCSWKMPXRSAE6","GSON5125253021")</f>
        <v>#NAME?</v>
      </c>
      <c r="J3266" s="24" t="e">
        <f ca="1">[1]!BexGetData("DP_1","003N8EMH8GTFRCSWKMPXRSGPQ","GSON5125253021")</f>
        <v>#NAME?</v>
      </c>
      <c r="K3266" s="23" t="e">
        <f ca="1">[1]!BexGetData("DP_1","003N8EMH8GTFRIVNUPY288VJH","GSON5125253021")</f>
        <v>#NAME?</v>
      </c>
      <c r="L3266" s="23" t="e">
        <f ca="1">[1]!BexGetData("DP_1","003N8EMH8GTFRIVNUPY2891V1","GSON5125253021")</f>
        <v>#NAME?</v>
      </c>
      <c r="M3266" s="28" t="e">
        <f ca="1">[1]!BexGetData("DP_1","003N8EMH8GTFRIVOG7KG9IQXA","GSON5125253021")</f>
        <v>#NAME?</v>
      </c>
      <c r="N3266" s="23" t="e">
        <f ca="1">[1]!BexGetData("DP_1","003N8EMH8GTFRIVOG7KG9IX8U","GSON5125253021")</f>
        <v>#NAME?</v>
      </c>
      <c r="O3266" s="28" t="e">
        <f ca="1">[1]!BexGetData("DP_1","003N8EMH8GTFRIVOG7KG9J3KE","GSON5125253021")</f>
        <v>#NAME?</v>
      </c>
      <c r="P3266" s="23" t="e">
        <f ca="1">[1]!BexGetData("DP_1","003N8EMH8GTFRIVOG7KG9J9VY","GSON5125253021")</f>
        <v>#NAME?</v>
      </c>
      <c r="Q3266" s="24" t="e">
        <f ca="1">[1]!BexGetData("DP_1","00O2TNJGODT0G5Z4TTKYMM5MT","GSON5125253021")</f>
        <v>#NAME?</v>
      </c>
      <c r="R3266" s="24" t="e">
        <f ca="1">[1]!BexGetData("DP_1","00O2TNJGODT0G5Z4TTKYMMBYD","GSON5125253021")</f>
        <v>#NAME?</v>
      </c>
      <c r="S3266" s="24" t="e">
        <f ca="1">[1]!BexGetData("DP_1","00O2TNJGODT0G5Z4TTKYMMI9X","GSON5125253021")</f>
        <v>#NAME?</v>
      </c>
      <c r="T3266" s="24" t="e">
        <f ca="1">[1]!BexGetData("DP_1","00O2TNJGODT0G5Z4TTKYMMOLH","GSON5125253021")</f>
        <v>#NAME?</v>
      </c>
      <c r="U3266" s="24" t="e">
        <f ca="1">[1]!BexGetData("DP_1","00O2TNJGODT0G5Z4TTKYMMUX1","GSON5125253021")</f>
        <v>#NAME?</v>
      </c>
      <c r="V3266" s="24" t="e">
        <f ca="1">[1]!BexGetData("DP_1","00O2TNJGODT0G5Z4TTKYMN18L","GSON5125253021")</f>
        <v>#NAME?</v>
      </c>
      <c r="W3266" s="24" t="e">
        <f ca="1">[1]!BexGetData("DP_1","00O2TNJGODT0G5Z4TTKYMN7K5","GSON5125253021")</f>
        <v>#NAME?</v>
      </c>
    </row>
    <row r="3267" spans="1:23" x14ac:dyDescent="0.2">
      <c r="A3267" s="36" t="s">
        <v>6697</v>
      </c>
      <c r="B3267" s="27" t="s">
        <v>6698</v>
      </c>
      <c r="C3267" s="23" t="e">
        <f ca="1">[1]!BexGetData("DP_1","003N8EMH8GTFRCSWKMPXRR8GU","GSON5125254011")</f>
        <v>#NAME?</v>
      </c>
      <c r="D3267" s="23" t="e">
        <f ca="1">[1]!BexGetData("DP_1","003N8EMH8GTFRCSWKMPXRRESE","GSON5125254011")</f>
        <v>#NAME?</v>
      </c>
      <c r="E3267" s="23" t="e">
        <f ca="1">[1]!BexGetData("DP_1","003N8EMH8GTFRCSWKMPXRRL3Y","GSON5125254011")</f>
        <v>#NAME?</v>
      </c>
      <c r="F3267" s="23" t="e">
        <f ca="1">[1]!BexGetData("DP_1","003N8EMH8GTFRCSWKMPXRRRFI","GSON5125254011")</f>
        <v>#NAME?</v>
      </c>
      <c r="G3267" s="23" t="e">
        <f ca="1">[1]!BexGetData("DP_1","003N8EMH8GTFRCSWKMPXRRXR2","GSON5125254011")</f>
        <v>#NAME?</v>
      </c>
      <c r="H3267" s="23" t="e">
        <f ca="1">[1]!BexGetData("DP_1","003N8EMH8GTFRCSWKMPXRS42M","GSON5125254011")</f>
        <v>#NAME?</v>
      </c>
      <c r="I3267" s="23" t="e">
        <f ca="1">[1]!BexGetData("DP_1","003N8EMH8GTFRCSWKMPXRSAE6","GSON5125254011")</f>
        <v>#NAME?</v>
      </c>
      <c r="J3267" s="24" t="e">
        <f ca="1">[1]!BexGetData("DP_1","003N8EMH8GTFRCSWKMPXRSGPQ","GSON5125254011")</f>
        <v>#NAME?</v>
      </c>
      <c r="K3267" s="23" t="e">
        <f ca="1">[1]!BexGetData("DP_1","003N8EMH8GTFRIVNUPY288VJH","GSON5125254011")</f>
        <v>#NAME?</v>
      </c>
      <c r="L3267" s="23" t="e">
        <f ca="1">[1]!BexGetData("DP_1","003N8EMH8GTFRIVNUPY2891V1","GSON5125254011")</f>
        <v>#NAME?</v>
      </c>
      <c r="M3267" s="23" t="e">
        <f ca="1">[1]!BexGetData("DP_1","003N8EMH8GTFRIVOG7KG9IQXA","GSON5125254011")</f>
        <v>#NAME?</v>
      </c>
      <c r="N3267" s="28" t="e">
        <f ca="1">[1]!BexGetData("DP_1","003N8EMH8GTFRIVOG7KG9IX8U","GSON5125254011")</f>
        <v>#NAME?</v>
      </c>
      <c r="O3267" s="23" t="e">
        <f ca="1">[1]!BexGetData("DP_1","003N8EMH8GTFRIVOG7KG9J3KE","GSON5125254011")</f>
        <v>#NAME?</v>
      </c>
      <c r="P3267" s="28" t="e">
        <f ca="1">[1]!BexGetData("DP_1","003N8EMH8GTFRIVOG7KG9J9VY","GSON5125254011")</f>
        <v>#NAME?</v>
      </c>
      <c r="Q3267" s="24" t="e">
        <f ca="1">[1]!BexGetData("DP_1","00O2TNJGODT0G5Z4TTKYMM5MT","GSON5125254011")</f>
        <v>#NAME?</v>
      </c>
      <c r="R3267" s="23" t="e">
        <f ca="1">[1]!BexGetData("DP_1","00O2TNJGODT0G5Z4TTKYMMBYD","GSON5125254011")</f>
        <v>#NAME?</v>
      </c>
      <c r="S3267" s="23" t="e">
        <f ca="1">[1]!BexGetData("DP_1","00O2TNJGODT0G5Z4TTKYMMI9X","GSON5125254011")</f>
        <v>#NAME?</v>
      </c>
      <c r="T3267" s="28" t="e">
        <f ca="1">[1]!BexGetData("DP_1","00O2TNJGODT0G5Z4TTKYMMOLH","GSON5125254011")</f>
        <v>#NAME?</v>
      </c>
      <c r="U3267" s="23" t="e">
        <f ca="1">[1]!BexGetData("DP_1","00O2TNJGODT0G5Z4TTKYMMUX1","GSON5125254011")</f>
        <v>#NAME?</v>
      </c>
      <c r="V3267" s="28" t="e">
        <f ca="1">[1]!BexGetData("DP_1","00O2TNJGODT0G5Z4TTKYMN18L","GSON5125254011")</f>
        <v>#NAME?</v>
      </c>
      <c r="W3267" s="23" t="e">
        <f ca="1">[1]!BexGetData("DP_1","00O2TNJGODT0G5Z4TTKYMN7K5","GSON5125254011")</f>
        <v>#NAME?</v>
      </c>
    </row>
    <row r="3268" spans="1:23" x14ac:dyDescent="0.2">
      <c r="A3268" s="36" t="s">
        <v>6699</v>
      </c>
      <c r="B3268" s="27" t="s">
        <v>6700</v>
      </c>
      <c r="C3268" s="23" t="e">
        <f ca="1">[1]!BexGetData("DP_1","003N8EMH8GTFRCSWKMPXRR8GU","GSON5125255011")</f>
        <v>#NAME?</v>
      </c>
      <c r="D3268" s="23" t="e">
        <f ca="1">[1]!BexGetData("DP_1","003N8EMH8GTFRCSWKMPXRRESE","GSON5125255011")</f>
        <v>#NAME?</v>
      </c>
      <c r="E3268" s="23" t="e">
        <f ca="1">[1]!BexGetData("DP_1","003N8EMH8GTFRCSWKMPXRRL3Y","GSON5125255011")</f>
        <v>#NAME?</v>
      </c>
      <c r="F3268" s="23" t="e">
        <f ca="1">[1]!BexGetData("DP_1","003N8EMH8GTFRCSWKMPXRRRFI","GSON5125255011")</f>
        <v>#NAME?</v>
      </c>
      <c r="G3268" s="23" t="e">
        <f ca="1">[1]!BexGetData("DP_1","003N8EMH8GTFRCSWKMPXRRXR2","GSON5125255011")</f>
        <v>#NAME?</v>
      </c>
      <c r="H3268" s="23" t="e">
        <f ca="1">[1]!BexGetData("DP_1","003N8EMH8GTFRCSWKMPXRS42M","GSON5125255011")</f>
        <v>#NAME?</v>
      </c>
      <c r="I3268" s="23" t="e">
        <f ca="1">[1]!BexGetData("DP_1","003N8EMH8GTFRCSWKMPXRSAE6","GSON5125255011")</f>
        <v>#NAME?</v>
      </c>
      <c r="J3268" s="24" t="e">
        <f ca="1">[1]!BexGetData("DP_1","003N8EMH8GTFRCSWKMPXRSGPQ","GSON5125255011")</f>
        <v>#NAME?</v>
      </c>
      <c r="K3268" s="23" t="e">
        <f ca="1">[1]!BexGetData("DP_1","003N8EMH8GTFRIVNUPY288VJH","GSON5125255011")</f>
        <v>#NAME?</v>
      </c>
      <c r="L3268" s="23" t="e">
        <f ca="1">[1]!BexGetData("DP_1","003N8EMH8GTFRIVNUPY2891V1","GSON5125255011")</f>
        <v>#NAME?</v>
      </c>
      <c r="M3268" s="28" t="e">
        <f ca="1">[1]!BexGetData("DP_1","003N8EMH8GTFRIVOG7KG9IQXA","GSON5125255011")</f>
        <v>#NAME?</v>
      </c>
      <c r="N3268" s="23" t="e">
        <f ca="1">[1]!BexGetData("DP_1","003N8EMH8GTFRIVOG7KG9IX8U","GSON5125255011")</f>
        <v>#NAME?</v>
      </c>
      <c r="O3268" s="28" t="e">
        <f ca="1">[1]!BexGetData("DP_1","003N8EMH8GTFRIVOG7KG9J3KE","GSON5125255011")</f>
        <v>#NAME?</v>
      </c>
      <c r="P3268" s="23" t="e">
        <f ca="1">[1]!BexGetData("DP_1","003N8EMH8GTFRIVOG7KG9J9VY","GSON5125255011")</f>
        <v>#NAME?</v>
      </c>
      <c r="Q3268" s="24" t="e">
        <f ca="1">[1]!BexGetData("DP_1","00O2TNJGODT0G5Z4TTKYMM5MT","GSON5125255011")</f>
        <v>#NAME?</v>
      </c>
      <c r="R3268" s="23" t="e">
        <f ca="1">[1]!BexGetData("DP_1","00O2TNJGODT0G5Z4TTKYMMBYD","GSON5125255011")</f>
        <v>#NAME?</v>
      </c>
      <c r="S3268" s="23" t="e">
        <f ca="1">[1]!BexGetData("DP_1","00O2TNJGODT0G5Z4TTKYMMI9X","GSON5125255011")</f>
        <v>#NAME?</v>
      </c>
      <c r="T3268" s="28" t="e">
        <f ca="1">[1]!BexGetData("DP_1","00O2TNJGODT0G5Z4TTKYMMOLH","GSON5125255011")</f>
        <v>#NAME?</v>
      </c>
      <c r="U3268" s="23" t="e">
        <f ca="1">[1]!BexGetData("DP_1","00O2TNJGODT0G5Z4TTKYMMUX1","GSON5125255011")</f>
        <v>#NAME?</v>
      </c>
      <c r="V3268" s="28" t="e">
        <f ca="1">[1]!BexGetData("DP_1","00O2TNJGODT0G5Z4TTKYMN18L","GSON5125255011")</f>
        <v>#NAME?</v>
      </c>
      <c r="W3268" s="23" t="e">
        <f ca="1">[1]!BexGetData("DP_1","00O2TNJGODT0G5Z4TTKYMN7K5","GSON5125255011")</f>
        <v>#NAME?</v>
      </c>
    </row>
    <row r="3269" spans="1:23" x14ac:dyDescent="0.2">
      <c r="A3269" s="36" t="s">
        <v>6701</v>
      </c>
      <c r="B3269" s="27" t="s">
        <v>6702</v>
      </c>
      <c r="C3269" s="23" t="e">
        <f ca="1">[1]!BexGetData("DP_1","003N8EMH8GTFRCSWKMPXRR8GU","GSON5125256011")</f>
        <v>#NAME?</v>
      </c>
      <c r="D3269" s="23" t="e">
        <f ca="1">[1]!BexGetData("DP_1","003N8EMH8GTFRCSWKMPXRRESE","GSON5125256011")</f>
        <v>#NAME?</v>
      </c>
      <c r="E3269" s="23" t="e">
        <f ca="1">[1]!BexGetData("DP_1","003N8EMH8GTFRCSWKMPXRRL3Y","GSON5125256011")</f>
        <v>#NAME?</v>
      </c>
      <c r="F3269" s="23" t="e">
        <f ca="1">[1]!BexGetData("DP_1","003N8EMH8GTFRCSWKMPXRRRFI","GSON5125256011")</f>
        <v>#NAME?</v>
      </c>
      <c r="G3269" s="23" t="e">
        <f ca="1">[1]!BexGetData("DP_1","003N8EMH8GTFRCSWKMPXRRXR2","GSON5125256011")</f>
        <v>#NAME?</v>
      </c>
      <c r="H3269" s="23" t="e">
        <f ca="1">[1]!BexGetData("DP_1","003N8EMH8GTFRCSWKMPXRS42M","GSON5125256011")</f>
        <v>#NAME?</v>
      </c>
      <c r="I3269" s="23" t="e">
        <f ca="1">[1]!BexGetData("DP_1","003N8EMH8GTFRCSWKMPXRSAE6","GSON5125256011")</f>
        <v>#NAME?</v>
      </c>
      <c r="J3269" s="24" t="e">
        <f ca="1">[1]!BexGetData("DP_1","003N8EMH8GTFRCSWKMPXRSGPQ","GSON5125256011")</f>
        <v>#NAME?</v>
      </c>
      <c r="K3269" s="23" t="e">
        <f ca="1">[1]!BexGetData("DP_1","003N8EMH8GTFRIVNUPY288VJH","GSON5125256011")</f>
        <v>#NAME?</v>
      </c>
      <c r="L3269" s="23" t="e">
        <f ca="1">[1]!BexGetData("DP_1","003N8EMH8GTFRIVNUPY2891V1","GSON5125256011")</f>
        <v>#NAME?</v>
      </c>
      <c r="M3269" s="28" t="e">
        <f ca="1">[1]!BexGetData("DP_1","003N8EMH8GTFRIVOG7KG9IQXA","GSON5125256011")</f>
        <v>#NAME?</v>
      </c>
      <c r="N3269" s="23" t="e">
        <f ca="1">[1]!BexGetData("DP_1","003N8EMH8GTFRIVOG7KG9IX8U","GSON5125256011")</f>
        <v>#NAME?</v>
      </c>
      <c r="O3269" s="28" t="e">
        <f ca="1">[1]!BexGetData("DP_1","003N8EMH8GTFRIVOG7KG9J3KE","GSON5125256011")</f>
        <v>#NAME?</v>
      </c>
      <c r="P3269" s="23" t="e">
        <f ca="1">[1]!BexGetData("DP_1","003N8EMH8GTFRIVOG7KG9J9VY","GSON5125256011")</f>
        <v>#NAME?</v>
      </c>
      <c r="Q3269" s="24" t="e">
        <f ca="1">[1]!BexGetData("DP_1","00O2TNJGODT0G5Z4TTKYMM5MT","GSON5125256011")</f>
        <v>#NAME?</v>
      </c>
      <c r="R3269" s="23" t="e">
        <f ca="1">[1]!BexGetData("DP_1","00O2TNJGODT0G5Z4TTKYMMBYD","GSON5125256011")</f>
        <v>#NAME?</v>
      </c>
      <c r="S3269" s="23" t="e">
        <f ca="1">[1]!BexGetData("DP_1","00O2TNJGODT0G5Z4TTKYMMI9X","GSON5125256011")</f>
        <v>#NAME?</v>
      </c>
      <c r="T3269" s="28" t="e">
        <f ca="1">[1]!BexGetData("DP_1","00O2TNJGODT0G5Z4TTKYMMOLH","GSON5125256011")</f>
        <v>#NAME?</v>
      </c>
      <c r="U3269" s="23" t="e">
        <f ca="1">[1]!BexGetData("DP_1","00O2TNJGODT0G5Z4TTKYMMUX1","GSON5125256011")</f>
        <v>#NAME?</v>
      </c>
      <c r="V3269" s="28" t="e">
        <f ca="1">[1]!BexGetData("DP_1","00O2TNJGODT0G5Z4TTKYMN18L","GSON5125256011")</f>
        <v>#NAME?</v>
      </c>
      <c r="W3269" s="23" t="e">
        <f ca="1">[1]!BexGetData("DP_1","00O2TNJGODT0G5Z4TTKYMN7K5","GSON5125256011")</f>
        <v>#NAME?</v>
      </c>
    </row>
    <row r="3270" spans="1:23" x14ac:dyDescent="0.2">
      <c r="A3270" s="36" t="s">
        <v>6703</v>
      </c>
      <c r="B3270" s="27" t="s">
        <v>6704</v>
      </c>
      <c r="C3270" s="23" t="e">
        <f ca="1">[1]!BexGetData("DP_1","003N8EMH8GTFRCSWKMPXRR8GU","GSON5125259011")</f>
        <v>#NAME?</v>
      </c>
      <c r="D3270" s="23" t="e">
        <f ca="1">[1]!BexGetData("DP_1","003N8EMH8GTFRCSWKMPXRRESE","GSON5125259011")</f>
        <v>#NAME?</v>
      </c>
      <c r="E3270" s="23" t="e">
        <f ca="1">[1]!BexGetData("DP_1","003N8EMH8GTFRCSWKMPXRRL3Y","GSON5125259011")</f>
        <v>#NAME?</v>
      </c>
      <c r="F3270" s="24" t="e">
        <f ca="1">[1]!BexGetData("DP_1","003N8EMH8GTFRCSWKMPXRRRFI","GSON5125259011")</f>
        <v>#NAME?</v>
      </c>
      <c r="G3270" s="24" t="e">
        <f ca="1">[1]!BexGetData("DP_1","003N8EMH8GTFRCSWKMPXRRXR2","GSON5125259011")</f>
        <v>#NAME?</v>
      </c>
      <c r="H3270" s="24" t="e">
        <f ca="1">[1]!BexGetData("DP_1","003N8EMH8GTFRCSWKMPXRS42M","GSON5125259011")</f>
        <v>#NAME?</v>
      </c>
      <c r="I3270" s="24" t="e">
        <f ca="1">[1]!BexGetData("DP_1","003N8EMH8GTFRCSWKMPXRSAE6","GSON5125259011")</f>
        <v>#NAME?</v>
      </c>
      <c r="J3270" s="24" t="e">
        <f ca="1">[1]!BexGetData("DP_1","003N8EMH8GTFRCSWKMPXRSGPQ","GSON5125259011")</f>
        <v>#NAME?</v>
      </c>
      <c r="K3270" s="23" t="e">
        <f ca="1">[1]!BexGetData("DP_1","003N8EMH8GTFRIVNUPY288VJH","GSON5125259011")</f>
        <v>#NAME?</v>
      </c>
      <c r="L3270" s="23" t="e">
        <f ca="1">[1]!BexGetData("DP_1","003N8EMH8GTFRIVNUPY2891V1","GSON5125259011")</f>
        <v>#NAME?</v>
      </c>
      <c r="M3270" s="28" t="e">
        <f ca="1">[1]!BexGetData("DP_1","003N8EMH8GTFRIVOG7KG9IQXA","GSON5125259011")</f>
        <v>#NAME?</v>
      </c>
      <c r="N3270" s="23" t="e">
        <f ca="1">[1]!BexGetData("DP_1","003N8EMH8GTFRIVOG7KG9IX8U","GSON5125259011")</f>
        <v>#NAME?</v>
      </c>
      <c r="O3270" s="28" t="e">
        <f ca="1">[1]!BexGetData("DP_1","003N8EMH8GTFRIVOG7KG9J3KE","GSON5125259011")</f>
        <v>#NAME?</v>
      </c>
      <c r="P3270" s="23" t="e">
        <f ca="1">[1]!BexGetData("DP_1","003N8EMH8GTFRIVOG7KG9J9VY","GSON5125259011")</f>
        <v>#NAME?</v>
      </c>
      <c r="Q3270" s="24" t="e">
        <f ca="1">[1]!BexGetData("DP_1","00O2TNJGODT0G5Z4TTKYMM5MT","GSON5125259011")</f>
        <v>#NAME?</v>
      </c>
      <c r="R3270" s="24" t="e">
        <f ca="1">[1]!BexGetData("DP_1","00O2TNJGODT0G5Z4TTKYMMBYD","GSON5125259011")</f>
        <v>#NAME?</v>
      </c>
      <c r="S3270" s="24" t="e">
        <f ca="1">[1]!BexGetData("DP_1","00O2TNJGODT0G5Z4TTKYMMI9X","GSON5125259011")</f>
        <v>#NAME?</v>
      </c>
      <c r="T3270" s="24" t="e">
        <f ca="1">[1]!BexGetData("DP_1","00O2TNJGODT0G5Z4TTKYMMOLH","GSON5125259011")</f>
        <v>#NAME?</v>
      </c>
      <c r="U3270" s="24" t="e">
        <f ca="1">[1]!BexGetData("DP_1","00O2TNJGODT0G5Z4TTKYMMUX1","GSON5125259011")</f>
        <v>#NAME?</v>
      </c>
      <c r="V3270" s="24" t="e">
        <f ca="1">[1]!BexGetData("DP_1","00O2TNJGODT0G5Z4TTKYMN18L","GSON5125259011")</f>
        <v>#NAME?</v>
      </c>
      <c r="W3270" s="24" t="e">
        <f ca="1">[1]!BexGetData("DP_1","00O2TNJGODT0G5Z4TTKYMN7K5","GSON5125259011")</f>
        <v>#NAME?</v>
      </c>
    </row>
    <row r="3271" spans="1:23" x14ac:dyDescent="0.2">
      <c r="A3271" s="35" t="s">
        <v>387</v>
      </c>
      <c r="B3271" s="27" t="s">
        <v>388</v>
      </c>
      <c r="C3271" s="23" t="e">
        <f ca="1">[1]!BexGetData("DP_1","003N8EMH8GTFRCSWKMPXRR8GU","GSON5126")</f>
        <v>#NAME?</v>
      </c>
      <c r="D3271" s="23" t="e">
        <f ca="1">[1]!BexGetData("DP_1","003N8EMH8GTFRCSWKMPXRRESE","GSON5126")</f>
        <v>#NAME?</v>
      </c>
      <c r="E3271" s="23" t="e">
        <f ca="1">[1]!BexGetData("DP_1","003N8EMH8GTFRCSWKMPXRRL3Y","GSON5126")</f>
        <v>#NAME?</v>
      </c>
      <c r="F3271" s="23" t="e">
        <f ca="1">[1]!BexGetData("DP_1","003N8EMH8GTFRCSWKMPXRRRFI","GSON5126")</f>
        <v>#NAME?</v>
      </c>
      <c r="G3271" s="23" t="e">
        <f ca="1">[1]!BexGetData("DP_1","003N8EMH8GTFRCSWKMPXRRXR2","GSON5126")</f>
        <v>#NAME?</v>
      </c>
      <c r="H3271" s="23" t="e">
        <f ca="1">[1]!BexGetData("DP_1","003N8EMH8GTFRCSWKMPXRS42M","GSON5126")</f>
        <v>#NAME?</v>
      </c>
      <c r="I3271" s="23" t="e">
        <f ca="1">[1]!BexGetData("DP_1","003N8EMH8GTFRCSWKMPXRSAE6","GSON5126")</f>
        <v>#NAME?</v>
      </c>
      <c r="J3271" s="24" t="e">
        <f ca="1">[1]!BexGetData("DP_1","003N8EMH8GTFRCSWKMPXRSGPQ","GSON5126")</f>
        <v>#NAME?</v>
      </c>
      <c r="K3271" s="23" t="e">
        <f ca="1">[1]!BexGetData("DP_1","003N8EMH8GTFRIVNUPY288VJH","GSON5126")</f>
        <v>#NAME?</v>
      </c>
      <c r="L3271" s="23" t="e">
        <f ca="1">[1]!BexGetData("DP_1","003N8EMH8GTFRIVNUPY2891V1","GSON5126")</f>
        <v>#NAME?</v>
      </c>
      <c r="M3271" s="28" t="e">
        <f ca="1">[1]!BexGetData("DP_1","003N8EMH8GTFRIVOG7KG9IQXA","GSON5126")</f>
        <v>#NAME?</v>
      </c>
      <c r="N3271" s="23" t="e">
        <f ca="1">[1]!BexGetData("DP_1","003N8EMH8GTFRIVOG7KG9IX8U","GSON5126")</f>
        <v>#NAME?</v>
      </c>
      <c r="O3271" s="28" t="e">
        <f ca="1">[1]!BexGetData("DP_1","003N8EMH8GTFRIVOG7KG9J3KE","GSON5126")</f>
        <v>#NAME?</v>
      </c>
      <c r="P3271" s="23" t="e">
        <f ca="1">[1]!BexGetData("DP_1","003N8EMH8GTFRIVOG7KG9J9VY","GSON5126")</f>
        <v>#NAME?</v>
      </c>
      <c r="Q3271" s="24" t="e">
        <f ca="1">[1]!BexGetData("DP_1","00O2TNJGODT0G5Z4TTKYMM5MT","GSON5126")</f>
        <v>#NAME?</v>
      </c>
      <c r="R3271" s="23" t="e">
        <f ca="1">[1]!BexGetData("DP_1","00O2TNJGODT0G5Z4TTKYMMBYD","GSON5126")</f>
        <v>#NAME?</v>
      </c>
      <c r="S3271" s="23" t="e">
        <f ca="1">[1]!BexGetData("DP_1","00O2TNJGODT0G5Z4TTKYMMI9X","GSON5126")</f>
        <v>#NAME?</v>
      </c>
      <c r="T3271" s="28" t="e">
        <f ca="1">[1]!BexGetData("DP_1","00O2TNJGODT0G5Z4TTKYMMOLH","GSON5126")</f>
        <v>#NAME?</v>
      </c>
      <c r="U3271" s="23" t="e">
        <f ca="1">[1]!BexGetData("DP_1","00O2TNJGODT0G5Z4TTKYMMUX1","GSON5126")</f>
        <v>#NAME?</v>
      </c>
      <c r="V3271" s="28" t="e">
        <f ca="1">[1]!BexGetData("DP_1","00O2TNJGODT0G5Z4TTKYMN18L","GSON5126")</f>
        <v>#NAME?</v>
      </c>
      <c r="W3271" s="23" t="e">
        <f ca="1">[1]!BexGetData("DP_1","00O2TNJGODT0G5Z4TTKYMN7K5","GSON5126")</f>
        <v>#NAME?</v>
      </c>
    </row>
    <row r="3272" spans="1:23" x14ac:dyDescent="0.2">
      <c r="A3272" s="36" t="s">
        <v>389</v>
      </c>
      <c r="B3272" s="27" t="s">
        <v>390</v>
      </c>
      <c r="C3272" s="23" t="e">
        <f ca="1">[1]!BexGetData("DP_1","003N8EMH8GTFRCSWKMPXRR8GU","GSON5126261011")</f>
        <v>#NAME?</v>
      </c>
      <c r="D3272" s="23" t="e">
        <f ca="1">[1]!BexGetData("DP_1","003N8EMH8GTFRCSWKMPXRRESE","GSON5126261011")</f>
        <v>#NAME?</v>
      </c>
      <c r="E3272" s="23" t="e">
        <f ca="1">[1]!BexGetData("DP_1","003N8EMH8GTFRCSWKMPXRRL3Y","GSON5126261011")</f>
        <v>#NAME?</v>
      </c>
      <c r="F3272" s="23" t="e">
        <f ca="1">[1]!BexGetData("DP_1","003N8EMH8GTFRCSWKMPXRRRFI","GSON5126261011")</f>
        <v>#NAME?</v>
      </c>
      <c r="G3272" s="23" t="e">
        <f ca="1">[1]!BexGetData("DP_1","003N8EMH8GTFRCSWKMPXRRXR2","GSON5126261011")</f>
        <v>#NAME?</v>
      </c>
      <c r="H3272" s="23" t="e">
        <f ca="1">[1]!BexGetData("DP_1","003N8EMH8GTFRCSWKMPXRS42M","GSON5126261011")</f>
        <v>#NAME?</v>
      </c>
      <c r="I3272" s="23" t="e">
        <f ca="1">[1]!BexGetData("DP_1","003N8EMH8GTFRCSWKMPXRSAE6","GSON5126261011")</f>
        <v>#NAME?</v>
      </c>
      <c r="J3272" s="24" t="e">
        <f ca="1">[1]!BexGetData("DP_1","003N8EMH8GTFRCSWKMPXRSGPQ","GSON5126261011")</f>
        <v>#NAME?</v>
      </c>
      <c r="K3272" s="23" t="e">
        <f ca="1">[1]!BexGetData("DP_1","003N8EMH8GTFRIVNUPY288VJH","GSON5126261011")</f>
        <v>#NAME?</v>
      </c>
      <c r="L3272" s="23" t="e">
        <f ca="1">[1]!BexGetData("DP_1","003N8EMH8GTFRIVNUPY2891V1","GSON5126261011")</f>
        <v>#NAME?</v>
      </c>
      <c r="M3272" s="28" t="e">
        <f ca="1">[1]!BexGetData("DP_1","003N8EMH8GTFRIVOG7KG9IQXA","GSON5126261011")</f>
        <v>#NAME?</v>
      </c>
      <c r="N3272" s="23" t="e">
        <f ca="1">[1]!BexGetData("DP_1","003N8EMH8GTFRIVOG7KG9IX8U","GSON5126261011")</f>
        <v>#NAME?</v>
      </c>
      <c r="O3272" s="28" t="e">
        <f ca="1">[1]!BexGetData("DP_1","003N8EMH8GTFRIVOG7KG9J3KE","GSON5126261011")</f>
        <v>#NAME?</v>
      </c>
      <c r="P3272" s="23" t="e">
        <f ca="1">[1]!BexGetData("DP_1","003N8EMH8GTFRIVOG7KG9J9VY","GSON5126261011")</f>
        <v>#NAME?</v>
      </c>
      <c r="Q3272" s="24" t="e">
        <f ca="1">[1]!BexGetData("DP_1","00O2TNJGODT0G5Z4TTKYMM5MT","GSON5126261011")</f>
        <v>#NAME?</v>
      </c>
      <c r="R3272" s="23" t="e">
        <f ca="1">[1]!BexGetData("DP_1","00O2TNJGODT0G5Z4TTKYMMBYD","GSON5126261011")</f>
        <v>#NAME?</v>
      </c>
      <c r="S3272" s="23" t="e">
        <f ca="1">[1]!BexGetData("DP_1","00O2TNJGODT0G5Z4TTKYMMI9X","GSON5126261011")</f>
        <v>#NAME?</v>
      </c>
      <c r="T3272" s="28" t="e">
        <f ca="1">[1]!BexGetData("DP_1","00O2TNJGODT0G5Z4TTKYMMOLH","GSON5126261011")</f>
        <v>#NAME?</v>
      </c>
      <c r="U3272" s="23" t="e">
        <f ca="1">[1]!BexGetData("DP_1","00O2TNJGODT0G5Z4TTKYMMUX1","GSON5126261011")</f>
        <v>#NAME?</v>
      </c>
      <c r="V3272" s="28" t="e">
        <f ca="1">[1]!BexGetData("DP_1","00O2TNJGODT0G5Z4TTKYMN18L","GSON5126261011")</f>
        <v>#NAME?</v>
      </c>
      <c r="W3272" s="23" t="e">
        <f ca="1">[1]!BexGetData("DP_1","00O2TNJGODT0G5Z4TTKYMN7K5","GSON5126261011")</f>
        <v>#NAME?</v>
      </c>
    </row>
    <row r="3273" spans="1:23" x14ac:dyDescent="0.2">
      <c r="A3273" s="36" t="s">
        <v>6705</v>
      </c>
      <c r="B3273" s="27" t="s">
        <v>6706</v>
      </c>
      <c r="C3273" s="23" t="e">
        <f ca="1">[1]!BexGetData("DP_1","003N8EMH8GTFRCSWKMPXRR8GU","GSON5126261012")</f>
        <v>#NAME?</v>
      </c>
      <c r="D3273" s="23" t="e">
        <f ca="1">[1]!BexGetData("DP_1","003N8EMH8GTFRCSWKMPXRRESE","GSON5126261012")</f>
        <v>#NAME?</v>
      </c>
      <c r="E3273" s="23" t="e">
        <f ca="1">[1]!BexGetData("DP_1","003N8EMH8GTFRCSWKMPXRRL3Y","GSON5126261012")</f>
        <v>#NAME?</v>
      </c>
      <c r="F3273" s="23" t="e">
        <f ca="1">[1]!BexGetData("DP_1","003N8EMH8GTFRCSWKMPXRRRFI","GSON5126261012")</f>
        <v>#NAME?</v>
      </c>
      <c r="G3273" s="23" t="e">
        <f ca="1">[1]!BexGetData("DP_1","003N8EMH8GTFRCSWKMPXRRXR2","GSON5126261012")</f>
        <v>#NAME?</v>
      </c>
      <c r="H3273" s="23" t="e">
        <f ca="1">[1]!BexGetData("DP_1","003N8EMH8GTFRCSWKMPXRS42M","GSON5126261012")</f>
        <v>#NAME?</v>
      </c>
      <c r="I3273" s="23" t="e">
        <f ca="1">[1]!BexGetData("DP_1","003N8EMH8GTFRCSWKMPXRSAE6","GSON5126261012")</f>
        <v>#NAME?</v>
      </c>
      <c r="J3273" s="24" t="e">
        <f ca="1">[1]!BexGetData("DP_1","003N8EMH8GTFRCSWKMPXRSGPQ","GSON5126261012")</f>
        <v>#NAME?</v>
      </c>
      <c r="K3273" s="23" t="e">
        <f ca="1">[1]!BexGetData("DP_1","003N8EMH8GTFRIVNUPY288VJH","GSON5126261012")</f>
        <v>#NAME?</v>
      </c>
      <c r="L3273" s="23" t="e">
        <f ca="1">[1]!BexGetData("DP_1","003N8EMH8GTFRIVNUPY2891V1","GSON5126261012")</f>
        <v>#NAME?</v>
      </c>
      <c r="M3273" s="28" t="e">
        <f ca="1">[1]!BexGetData("DP_1","003N8EMH8GTFRIVOG7KG9IQXA","GSON5126261012")</f>
        <v>#NAME?</v>
      </c>
      <c r="N3273" s="23" t="e">
        <f ca="1">[1]!BexGetData("DP_1","003N8EMH8GTFRIVOG7KG9IX8U","GSON5126261012")</f>
        <v>#NAME?</v>
      </c>
      <c r="O3273" s="28" t="e">
        <f ca="1">[1]!BexGetData("DP_1","003N8EMH8GTFRIVOG7KG9J3KE","GSON5126261012")</f>
        <v>#NAME?</v>
      </c>
      <c r="P3273" s="23" t="e">
        <f ca="1">[1]!BexGetData("DP_1","003N8EMH8GTFRIVOG7KG9J9VY","GSON5126261012")</f>
        <v>#NAME?</v>
      </c>
      <c r="Q3273" s="24" t="e">
        <f ca="1">[1]!BexGetData("DP_1","00O2TNJGODT0G5Z4TTKYMM5MT","GSON5126261012")</f>
        <v>#NAME?</v>
      </c>
      <c r="R3273" s="23" t="e">
        <f ca="1">[1]!BexGetData("DP_1","00O2TNJGODT0G5Z4TTKYMMBYD","GSON5126261012")</f>
        <v>#NAME?</v>
      </c>
      <c r="S3273" s="23" t="e">
        <f ca="1">[1]!BexGetData("DP_1","00O2TNJGODT0G5Z4TTKYMMI9X","GSON5126261012")</f>
        <v>#NAME?</v>
      </c>
      <c r="T3273" s="28" t="e">
        <f ca="1">[1]!BexGetData("DP_1","00O2TNJGODT0G5Z4TTKYMMOLH","GSON5126261012")</f>
        <v>#NAME?</v>
      </c>
      <c r="U3273" s="23" t="e">
        <f ca="1">[1]!BexGetData("DP_1","00O2TNJGODT0G5Z4TTKYMMUX1","GSON5126261012")</f>
        <v>#NAME?</v>
      </c>
      <c r="V3273" s="28" t="e">
        <f ca="1">[1]!BexGetData("DP_1","00O2TNJGODT0G5Z4TTKYMN18L","GSON5126261012")</f>
        <v>#NAME?</v>
      </c>
      <c r="W3273" s="23" t="e">
        <f ca="1">[1]!BexGetData("DP_1","00O2TNJGODT0G5Z4TTKYMN7K5","GSON5126261012")</f>
        <v>#NAME?</v>
      </c>
    </row>
    <row r="3274" spans="1:23" x14ac:dyDescent="0.2">
      <c r="A3274" s="36" t="s">
        <v>6707</v>
      </c>
      <c r="B3274" s="27" t="s">
        <v>6708</v>
      </c>
      <c r="C3274" s="23" t="e">
        <f ca="1">[1]!BexGetData("DP_1","003N8EMH8GTFRCSWKMPXRR8GU","GSON5126261021")</f>
        <v>#NAME?</v>
      </c>
      <c r="D3274" s="23" t="e">
        <f ca="1">[1]!BexGetData("DP_1","003N8EMH8GTFRCSWKMPXRRESE","GSON5126261021")</f>
        <v>#NAME?</v>
      </c>
      <c r="E3274" s="23" t="e">
        <f ca="1">[1]!BexGetData("DP_1","003N8EMH8GTFRCSWKMPXRRL3Y","GSON5126261021")</f>
        <v>#NAME?</v>
      </c>
      <c r="F3274" s="23" t="e">
        <f ca="1">[1]!BexGetData("DP_1","003N8EMH8GTFRCSWKMPXRRRFI","GSON5126261021")</f>
        <v>#NAME?</v>
      </c>
      <c r="G3274" s="23" t="e">
        <f ca="1">[1]!BexGetData("DP_1","003N8EMH8GTFRCSWKMPXRRXR2","GSON5126261021")</f>
        <v>#NAME?</v>
      </c>
      <c r="H3274" s="23" t="e">
        <f ca="1">[1]!BexGetData("DP_1","003N8EMH8GTFRCSWKMPXRS42M","GSON5126261021")</f>
        <v>#NAME?</v>
      </c>
      <c r="I3274" s="23" t="e">
        <f ca="1">[1]!BexGetData("DP_1","003N8EMH8GTFRCSWKMPXRSAE6","GSON5126261021")</f>
        <v>#NAME?</v>
      </c>
      <c r="J3274" s="24" t="e">
        <f ca="1">[1]!BexGetData("DP_1","003N8EMH8GTFRCSWKMPXRSGPQ","GSON5126261021")</f>
        <v>#NAME?</v>
      </c>
      <c r="K3274" s="23" t="e">
        <f ca="1">[1]!BexGetData("DP_1","003N8EMH8GTFRIVNUPY288VJH","GSON5126261021")</f>
        <v>#NAME?</v>
      </c>
      <c r="L3274" s="23" t="e">
        <f ca="1">[1]!BexGetData("DP_1","003N8EMH8GTFRIVNUPY2891V1","GSON5126261021")</f>
        <v>#NAME?</v>
      </c>
      <c r="M3274" s="28" t="e">
        <f ca="1">[1]!BexGetData("DP_1","003N8EMH8GTFRIVOG7KG9IQXA","GSON5126261021")</f>
        <v>#NAME?</v>
      </c>
      <c r="N3274" s="23" t="e">
        <f ca="1">[1]!BexGetData("DP_1","003N8EMH8GTFRIVOG7KG9IX8U","GSON5126261021")</f>
        <v>#NAME?</v>
      </c>
      <c r="O3274" s="28" t="e">
        <f ca="1">[1]!BexGetData("DP_1","003N8EMH8GTFRIVOG7KG9J3KE","GSON5126261021")</f>
        <v>#NAME?</v>
      </c>
      <c r="P3274" s="23" t="e">
        <f ca="1">[1]!BexGetData("DP_1","003N8EMH8GTFRIVOG7KG9J9VY","GSON5126261021")</f>
        <v>#NAME?</v>
      </c>
      <c r="Q3274" s="24" t="e">
        <f ca="1">[1]!BexGetData("DP_1","00O2TNJGODT0G5Z4TTKYMM5MT","GSON5126261021")</f>
        <v>#NAME?</v>
      </c>
      <c r="R3274" s="23" t="e">
        <f ca="1">[1]!BexGetData("DP_1","00O2TNJGODT0G5Z4TTKYMMBYD","GSON5126261021")</f>
        <v>#NAME?</v>
      </c>
      <c r="S3274" s="23" t="e">
        <f ca="1">[1]!BexGetData("DP_1","00O2TNJGODT0G5Z4TTKYMMI9X","GSON5126261021")</f>
        <v>#NAME?</v>
      </c>
      <c r="T3274" s="28" t="e">
        <f ca="1">[1]!BexGetData("DP_1","00O2TNJGODT0G5Z4TTKYMMOLH","GSON5126261021")</f>
        <v>#NAME?</v>
      </c>
      <c r="U3274" s="23" t="e">
        <f ca="1">[1]!BexGetData("DP_1","00O2TNJGODT0G5Z4TTKYMMUX1","GSON5126261021")</f>
        <v>#NAME?</v>
      </c>
      <c r="V3274" s="28" t="e">
        <f ca="1">[1]!BexGetData("DP_1","00O2TNJGODT0G5Z4TTKYMN18L","GSON5126261021")</f>
        <v>#NAME?</v>
      </c>
      <c r="W3274" s="23" t="e">
        <f ca="1">[1]!BexGetData("DP_1","00O2TNJGODT0G5Z4TTKYMN7K5","GSON5126261021")</f>
        <v>#NAME?</v>
      </c>
    </row>
    <row r="3275" spans="1:23" x14ac:dyDescent="0.2">
      <c r="A3275" s="35" t="s">
        <v>6709</v>
      </c>
      <c r="B3275" s="27" t="s">
        <v>6710</v>
      </c>
      <c r="C3275" s="23" t="e">
        <f ca="1">[1]!BexGetData("DP_1","003N8EMH8GTFRCSWKMPXRR8GU","GSON5127")</f>
        <v>#NAME?</v>
      </c>
      <c r="D3275" s="23" t="e">
        <f ca="1">[1]!BexGetData("DP_1","003N8EMH8GTFRCSWKMPXRRESE","GSON5127")</f>
        <v>#NAME?</v>
      </c>
      <c r="E3275" s="23" t="e">
        <f ca="1">[1]!BexGetData("DP_1","003N8EMH8GTFRCSWKMPXRRL3Y","GSON5127")</f>
        <v>#NAME?</v>
      </c>
      <c r="F3275" s="23" t="e">
        <f ca="1">[1]!BexGetData("DP_1","003N8EMH8GTFRCSWKMPXRRRFI","GSON5127")</f>
        <v>#NAME?</v>
      </c>
      <c r="G3275" s="23" t="e">
        <f ca="1">[1]!BexGetData("DP_1","003N8EMH8GTFRCSWKMPXRRXR2","GSON5127")</f>
        <v>#NAME?</v>
      </c>
      <c r="H3275" s="23" t="e">
        <f ca="1">[1]!BexGetData("DP_1","003N8EMH8GTFRCSWKMPXRS42M","GSON5127")</f>
        <v>#NAME?</v>
      </c>
      <c r="I3275" s="23" t="e">
        <f ca="1">[1]!BexGetData("DP_1","003N8EMH8GTFRCSWKMPXRSAE6","GSON5127")</f>
        <v>#NAME?</v>
      </c>
      <c r="J3275" s="24" t="e">
        <f ca="1">[1]!BexGetData("DP_1","003N8EMH8GTFRCSWKMPXRSGPQ","GSON5127")</f>
        <v>#NAME?</v>
      </c>
      <c r="K3275" s="23" t="e">
        <f ca="1">[1]!BexGetData("DP_1","003N8EMH8GTFRIVNUPY288VJH","GSON5127")</f>
        <v>#NAME?</v>
      </c>
      <c r="L3275" s="23" t="e">
        <f ca="1">[1]!BexGetData("DP_1","003N8EMH8GTFRIVNUPY2891V1","GSON5127")</f>
        <v>#NAME?</v>
      </c>
      <c r="M3275" s="28" t="e">
        <f ca="1">[1]!BexGetData("DP_1","003N8EMH8GTFRIVOG7KG9IQXA","GSON5127")</f>
        <v>#NAME?</v>
      </c>
      <c r="N3275" s="23" t="e">
        <f ca="1">[1]!BexGetData("DP_1","003N8EMH8GTFRIVOG7KG9IX8U","GSON5127")</f>
        <v>#NAME?</v>
      </c>
      <c r="O3275" s="28" t="e">
        <f ca="1">[1]!BexGetData("DP_1","003N8EMH8GTFRIVOG7KG9J3KE","GSON5127")</f>
        <v>#NAME?</v>
      </c>
      <c r="P3275" s="23" t="e">
        <f ca="1">[1]!BexGetData("DP_1","003N8EMH8GTFRIVOG7KG9J9VY","GSON5127")</f>
        <v>#NAME?</v>
      </c>
      <c r="Q3275" s="24" t="e">
        <f ca="1">[1]!BexGetData("DP_1","00O2TNJGODT0G5Z4TTKYMM5MT","GSON5127")</f>
        <v>#NAME?</v>
      </c>
      <c r="R3275" s="23" t="e">
        <f ca="1">[1]!BexGetData("DP_1","00O2TNJGODT0G5Z4TTKYMMBYD","GSON5127")</f>
        <v>#NAME?</v>
      </c>
      <c r="S3275" s="23" t="e">
        <f ca="1">[1]!BexGetData("DP_1","00O2TNJGODT0G5Z4TTKYMMI9X","GSON5127")</f>
        <v>#NAME?</v>
      </c>
      <c r="T3275" s="28" t="e">
        <f ca="1">[1]!BexGetData("DP_1","00O2TNJGODT0G5Z4TTKYMMOLH","GSON5127")</f>
        <v>#NAME?</v>
      </c>
      <c r="U3275" s="23" t="e">
        <f ca="1">[1]!BexGetData("DP_1","00O2TNJGODT0G5Z4TTKYMMUX1","GSON5127")</f>
        <v>#NAME?</v>
      </c>
      <c r="V3275" s="28" t="e">
        <f ca="1">[1]!BexGetData("DP_1","00O2TNJGODT0G5Z4TTKYMN18L","GSON5127")</f>
        <v>#NAME?</v>
      </c>
      <c r="W3275" s="23" t="e">
        <f ca="1">[1]!BexGetData("DP_1","00O2TNJGODT0G5Z4TTKYMN7K5","GSON5127")</f>
        <v>#NAME?</v>
      </c>
    </row>
    <row r="3276" spans="1:23" x14ac:dyDescent="0.2">
      <c r="A3276" s="36" t="s">
        <v>6711</v>
      </c>
      <c r="B3276" s="27" t="s">
        <v>6712</v>
      </c>
      <c r="C3276" s="23" t="e">
        <f ca="1">[1]!BexGetData("DP_1","003N8EMH8GTFRCSWKMPXRR8GU","GSON5127271011")</f>
        <v>#NAME?</v>
      </c>
      <c r="D3276" s="23" t="e">
        <f ca="1">[1]!BexGetData("DP_1","003N8EMH8GTFRCSWKMPXRRESE","GSON5127271011")</f>
        <v>#NAME?</v>
      </c>
      <c r="E3276" s="23" t="e">
        <f ca="1">[1]!BexGetData("DP_1","003N8EMH8GTFRCSWKMPXRRL3Y","GSON5127271011")</f>
        <v>#NAME?</v>
      </c>
      <c r="F3276" s="23" t="e">
        <f ca="1">[1]!BexGetData("DP_1","003N8EMH8GTFRCSWKMPXRRRFI","GSON5127271011")</f>
        <v>#NAME?</v>
      </c>
      <c r="G3276" s="23" t="e">
        <f ca="1">[1]!BexGetData("DP_1","003N8EMH8GTFRCSWKMPXRRXR2","GSON5127271011")</f>
        <v>#NAME?</v>
      </c>
      <c r="H3276" s="23" t="e">
        <f ca="1">[1]!BexGetData("DP_1","003N8EMH8GTFRCSWKMPXRS42M","GSON5127271011")</f>
        <v>#NAME?</v>
      </c>
      <c r="I3276" s="23" t="e">
        <f ca="1">[1]!BexGetData("DP_1","003N8EMH8GTFRCSWKMPXRSAE6","GSON5127271011")</f>
        <v>#NAME?</v>
      </c>
      <c r="J3276" s="24" t="e">
        <f ca="1">[1]!BexGetData("DP_1","003N8EMH8GTFRCSWKMPXRSGPQ","GSON5127271011")</f>
        <v>#NAME?</v>
      </c>
      <c r="K3276" s="23" t="e">
        <f ca="1">[1]!BexGetData("DP_1","003N8EMH8GTFRIVNUPY288VJH","GSON5127271011")</f>
        <v>#NAME?</v>
      </c>
      <c r="L3276" s="23" t="e">
        <f ca="1">[1]!BexGetData("DP_1","003N8EMH8GTFRIVNUPY2891V1","GSON5127271011")</f>
        <v>#NAME?</v>
      </c>
      <c r="M3276" s="28" t="e">
        <f ca="1">[1]!BexGetData("DP_1","003N8EMH8GTFRIVOG7KG9IQXA","GSON5127271011")</f>
        <v>#NAME?</v>
      </c>
      <c r="N3276" s="23" t="e">
        <f ca="1">[1]!BexGetData("DP_1","003N8EMH8GTFRIVOG7KG9IX8U","GSON5127271011")</f>
        <v>#NAME?</v>
      </c>
      <c r="O3276" s="28" t="e">
        <f ca="1">[1]!BexGetData("DP_1","003N8EMH8GTFRIVOG7KG9J3KE","GSON5127271011")</f>
        <v>#NAME?</v>
      </c>
      <c r="P3276" s="23" t="e">
        <f ca="1">[1]!BexGetData("DP_1","003N8EMH8GTFRIVOG7KG9J9VY","GSON5127271011")</f>
        <v>#NAME?</v>
      </c>
      <c r="Q3276" s="24" t="e">
        <f ca="1">[1]!BexGetData("DP_1","00O2TNJGODT0G5Z4TTKYMM5MT","GSON5127271011")</f>
        <v>#NAME?</v>
      </c>
      <c r="R3276" s="23" t="e">
        <f ca="1">[1]!BexGetData("DP_1","00O2TNJGODT0G5Z4TTKYMMBYD","GSON5127271011")</f>
        <v>#NAME?</v>
      </c>
      <c r="S3276" s="23" t="e">
        <f ca="1">[1]!BexGetData("DP_1","00O2TNJGODT0G5Z4TTKYMMI9X","GSON5127271011")</f>
        <v>#NAME?</v>
      </c>
      <c r="T3276" s="28" t="e">
        <f ca="1">[1]!BexGetData("DP_1","00O2TNJGODT0G5Z4TTKYMMOLH","GSON5127271011")</f>
        <v>#NAME?</v>
      </c>
      <c r="U3276" s="23" t="e">
        <f ca="1">[1]!BexGetData("DP_1","00O2TNJGODT0G5Z4TTKYMMUX1","GSON5127271011")</f>
        <v>#NAME?</v>
      </c>
      <c r="V3276" s="28" t="e">
        <f ca="1">[1]!BexGetData("DP_1","00O2TNJGODT0G5Z4TTKYMN18L","GSON5127271011")</f>
        <v>#NAME?</v>
      </c>
      <c r="W3276" s="23" t="e">
        <f ca="1">[1]!BexGetData("DP_1","00O2TNJGODT0G5Z4TTKYMN7K5","GSON5127271011")</f>
        <v>#NAME?</v>
      </c>
    </row>
    <row r="3277" spans="1:23" x14ac:dyDescent="0.2">
      <c r="A3277" s="36" t="s">
        <v>6713</v>
      </c>
      <c r="B3277" s="27" t="s">
        <v>6714</v>
      </c>
      <c r="C3277" s="23" t="e">
        <f ca="1">[1]!BexGetData("DP_1","003N8EMH8GTFRCSWKMPXRR8GU","GSON5127272011")</f>
        <v>#NAME?</v>
      </c>
      <c r="D3277" s="23" t="e">
        <f ca="1">[1]!BexGetData("DP_1","003N8EMH8GTFRCSWKMPXRRESE","GSON5127272011")</f>
        <v>#NAME?</v>
      </c>
      <c r="E3277" s="23" t="e">
        <f ca="1">[1]!BexGetData("DP_1","003N8EMH8GTFRCSWKMPXRRL3Y","GSON5127272011")</f>
        <v>#NAME?</v>
      </c>
      <c r="F3277" s="23" t="e">
        <f ca="1">[1]!BexGetData("DP_1","003N8EMH8GTFRCSWKMPXRRRFI","GSON5127272011")</f>
        <v>#NAME?</v>
      </c>
      <c r="G3277" s="23" t="e">
        <f ca="1">[1]!BexGetData("DP_1","003N8EMH8GTFRCSWKMPXRRXR2","GSON5127272011")</f>
        <v>#NAME?</v>
      </c>
      <c r="H3277" s="23" t="e">
        <f ca="1">[1]!BexGetData("DP_1","003N8EMH8GTFRCSWKMPXRS42M","GSON5127272011")</f>
        <v>#NAME?</v>
      </c>
      <c r="I3277" s="23" t="e">
        <f ca="1">[1]!BexGetData("DP_1","003N8EMH8GTFRCSWKMPXRSAE6","GSON5127272011")</f>
        <v>#NAME?</v>
      </c>
      <c r="J3277" s="24" t="e">
        <f ca="1">[1]!BexGetData("DP_1","003N8EMH8GTFRCSWKMPXRSGPQ","GSON5127272011")</f>
        <v>#NAME?</v>
      </c>
      <c r="K3277" s="23" t="e">
        <f ca="1">[1]!BexGetData("DP_1","003N8EMH8GTFRIVNUPY288VJH","GSON5127272011")</f>
        <v>#NAME?</v>
      </c>
      <c r="L3277" s="23" t="e">
        <f ca="1">[1]!BexGetData("DP_1","003N8EMH8GTFRIVNUPY2891V1","GSON5127272011")</f>
        <v>#NAME?</v>
      </c>
      <c r="M3277" s="28" t="e">
        <f ca="1">[1]!BexGetData("DP_1","003N8EMH8GTFRIVOG7KG9IQXA","GSON5127272011")</f>
        <v>#NAME?</v>
      </c>
      <c r="N3277" s="23" t="e">
        <f ca="1">[1]!BexGetData("DP_1","003N8EMH8GTFRIVOG7KG9IX8U","GSON5127272011")</f>
        <v>#NAME?</v>
      </c>
      <c r="O3277" s="28" t="e">
        <f ca="1">[1]!BexGetData("DP_1","003N8EMH8GTFRIVOG7KG9J3KE","GSON5127272011")</f>
        <v>#NAME?</v>
      </c>
      <c r="P3277" s="23" t="e">
        <f ca="1">[1]!BexGetData("DP_1","003N8EMH8GTFRIVOG7KG9J9VY","GSON5127272011")</f>
        <v>#NAME?</v>
      </c>
      <c r="Q3277" s="24" t="e">
        <f ca="1">[1]!BexGetData("DP_1","00O2TNJGODT0G5Z4TTKYMM5MT","GSON5127272011")</f>
        <v>#NAME?</v>
      </c>
      <c r="R3277" s="23" t="e">
        <f ca="1">[1]!BexGetData("DP_1","00O2TNJGODT0G5Z4TTKYMMBYD","GSON5127272011")</f>
        <v>#NAME?</v>
      </c>
      <c r="S3277" s="23" t="e">
        <f ca="1">[1]!BexGetData("DP_1","00O2TNJGODT0G5Z4TTKYMMI9X","GSON5127272011")</f>
        <v>#NAME?</v>
      </c>
      <c r="T3277" s="28" t="e">
        <f ca="1">[1]!BexGetData("DP_1","00O2TNJGODT0G5Z4TTKYMMOLH","GSON5127272011")</f>
        <v>#NAME?</v>
      </c>
      <c r="U3277" s="23" t="e">
        <f ca="1">[1]!BexGetData("DP_1","00O2TNJGODT0G5Z4TTKYMMUX1","GSON5127272011")</f>
        <v>#NAME?</v>
      </c>
      <c r="V3277" s="28" t="e">
        <f ca="1">[1]!BexGetData("DP_1","00O2TNJGODT0G5Z4TTKYMN18L","GSON5127272011")</f>
        <v>#NAME?</v>
      </c>
      <c r="W3277" s="23" t="e">
        <f ca="1">[1]!BexGetData("DP_1","00O2TNJGODT0G5Z4TTKYMN7K5","GSON5127272011")</f>
        <v>#NAME?</v>
      </c>
    </row>
    <row r="3278" spans="1:23" x14ac:dyDescent="0.2">
      <c r="A3278" s="36" t="s">
        <v>6715</v>
      </c>
      <c r="B3278" s="27" t="s">
        <v>6716</v>
      </c>
      <c r="C3278" s="23" t="e">
        <f ca="1">[1]!BexGetData("DP_1","003N8EMH8GTFRCSWKMPXRR8GU","GSON5127273011")</f>
        <v>#NAME?</v>
      </c>
      <c r="D3278" s="23" t="e">
        <f ca="1">[1]!BexGetData("DP_1","003N8EMH8GTFRCSWKMPXRRESE","GSON5127273011")</f>
        <v>#NAME?</v>
      </c>
      <c r="E3278" s="23" t="e">
        <f ca="1">[1]!BexGetData("DP_1","003N8EMH8GTFRCSWKMPXRRL3Y","GSON5127273011")</f>
        <v>#NAME?</v>
      </c>
      <c r="F3278" s="23" t="e">
        <f ca="1">[1]!BexGetData("DP_1","003N8EMH8GTFRCSWKMPXRRRFI","GSON5127273011")</f>
        <v>#NAME?</v>
      </c>
      <c r="G3278" s="23" t="e">
        <f ca="1">[1]!BexGetData("DP_1","003N8EMH8GTFRCSWKMPXRRXR2","GSON5127273011")</f>
        <v>#NAME?</v>
      </c>
      <c r="H3278" s="28" t="e">
        <f ca="1">[1]!BexGetData("DP_1","003N8EMH8GTFRCSWKMPXRS42M","GSON5127273011")</f>
        <v>#NAME?</v>
      </c>
      <c r="I3278" s="23" t="e">
        <f ca="1">[1]!BexGetData("DP_1","003N8EMH8GTFRCSWKMPXRSAE6","GSON5127273011")</f>
        <v>#NAME?</v>
      </c>
      <c r="J3278" s="24" t="e">
        <f ca="1">[1]!BexGetData("DP_1","003N8EMH8GTFRCSWKMPXRSGPQ","GSON5127273011")</f>
        <v>#NAME?</v>
      </c>
      <c r="K3278" s="23" t="e">
        <f ca="1">[1]!BexGetData("DP_1","003N8EMH8GTFRIVNUPY288VJH","GSON5127273011")</f>
        <v>#NAME?</v>
      </c>
      <c r="L3278" s="23" t="e">
        <f ca="1">[1]!BexGetData("DP_1","003N8EMH8GTFRIVNUPY2891V1","GSON5127273011")</f>
        <v>#NAME?</v>
      </c>
      <c r="M3278" s="23" t="e">
        <f ca="1">[1]!BexGetData("DP_1","003N8EMH8GTFRIVOG7KG9IQXA","GSON5127273011")</f>
        <v>#NAME?</v>
      </c>
      <c r="N3278" s="28" t="e">
        <f ca="1">[1]!BexGetData("DP_1","003N8EMH8GTFRIVOG7KG9IX8U","GSON5127273011")</f>
        <v>#NAME?</v>
      </c>
      <c r="O3278" s="23" t="e">
        <f ca="1">[1]!BexGetData("DP_1","003N8EMH8GTFRIVOG7KG9J3KE","GSON5127273011")</f>
        <v>#NAME?</v>
      </c>
      <c r="P3278" s="28" t="e">
        <f ca="1">[1]!BexGetData("DP_1","003N8EMH8GTFRIVOG7KG9J9VY","GSON5127273011")</f>
        <v>#NAME?</v>
      </c>
      <c r="Q3278" s="24" t="e">
        <f ca="1">[1]!BexGetData("DP_1","00O2TNJGODT0G5Z4TTKYMM5MT","GSON5127273011")</f>
        <v>#NAME?</v>
      </c>
      <c r="R3278" s="23" t="e">
        <f ca="1">[1]!BexGetData("DP_1","00O2TNJGODT0G5Z4TTKYMMBYD","GSON5127273011")</f>
        <v>#NAME?</v>
      </c>
      <c r="S3278" s="23" t="e">
        <f ca="1">[1]!BexGetData("DP_1","00O2TNJGODT0G5Z4TTKYMMI9X","GSON5127273011")</f>
        <v>#NAME?</v>
      </c>
      <c r="T3278" s="28" t="e">
        <f ca="1">[1]!BexGetData("DP_1","00O2TNJGODT0G5Z4TTKYMMOLH","GSON5127273011")</f>
        <v>#NAME?</v>
      </c>
      <c r="U3278" s="23" t="e">
        <f ca="1">[1]!BexGetData("DP_1","00O2TNJGODT0G5Z4TTKYMMUX1","GSON5127273011")</f>
        <v>#NAME?</v>
      </c>
      <c r="V3278" s="28" t="e">
        <f ca="1">[1]!BexGetData("DP_1","00O2TNJGODT0G5Z4TTKYMN18L","GSON5127273011")</f>
        <v>#NAME?</v>
      </c>
      <c r="W3278" s="23" t="e">
        <f ca="1">[1]!BexGetData("DP_1","00O2TNJGODT0G5Z4TTKYMN7K5","GSON5127273011")</f>
        <v>#NAME?</v>
      </c>
    </row>
    <row r="3279" spans="1:23" x14ac:dyDescent="0.2">
      <c r="A3279" s="36" t="s">
        <v>6717</v>
      </c>
      <c r="B3279" s="27" t="s">
        <v>6718</v>
      </c>
      <c r="C3279" s="23" t="e">
        <f ca="1">[1]!BexGetData("DP_1","003N8EMH8GTFRCSWKMPXRR8GU","GSON5127274011")</f>
        <v>#NAME?</v>
      </c>
      <c r="D3279" s="28" t="e">
        <f ca="1">[1]!BexGetData("DP_1","003N8EMH8GTFRCSWKMPXRRESE","GSON5127274011")</f>
        <v>#NAME?</v>
      </c>
      <c r="E3279" s="23" t="e">
        <f ca="1">[1]!BexGetData("DP_1","003N8EMH8GTFRCSWKMPXRRL3Y","GSON5127274011")</f>
        <v>#NAME?</v>
      </c>
      <c r="F3279" s="23" t="e">
        <f ca="1">[1]!BexGetData("DP_1","003N8EMH8GTFRCSWKMPXRRRFI","GSON5127274011")</f>
        <v>#NAME?</v>
      </c>
      <c r="G3279" s="23" t="e">
        <f ca="1">[1]!BexGetData("DP_1","003N8EMH8GTFRCSWKMPXRRXR2","GSON5127274011")</f>
        <v>#NAME?</v>
      </c>
      <c r="H3279" s="23" t="e">
        <f ca="1">[1]!BexGetData("DP_1","003N8EMH8GTFRCSWKMPXRS42M","GSON5127274011")</f>
        <v>#NAME?</v>
      </c>
      <c r="I3279" s="23" t="e">
        <f ca="1">[1]!BexGetData("DP_1","003N8EMH8GTFRCSWKMPXRSAE6","GSON5127274011")</f>
        <v>#NAME?</v>
      </c>
      <c r="J3279" s="24" t="e">
        <f ca="1">[1]!BexGetData("DP_1","003N8EMH8GTFRCSWKMPXRSGPQ","GSON5127274011")</f>
        <v>#NAME?</v>
      </c>
      <c r="K3279" s="23" t="e">
        <f ca="1">[1]!BexGetData("DP_1","003N8EMH8GTFRIVNUPY288VJH","GSON5127274011")</f>
        <v>#NAME?</v>
      </c>
      <c r="L3279" s="23" t="e">
        <f ca="1">[1]!BexGetData("DP_1","003N8EMH8GTFRIVNUPY2891V1","GSON5127274011")</f>
        <v>#NAME?</v>
      </c>
      <c r="M3279" s="28" t="e">
        <f ca="1">[1]!BexGetData("DP_1","003N8EMH8GTFRIVOG7KG9IQXA","GSON5127274011")</f>
        <v>#NAME?</v>
      </c>
      <c r="N3279" s="23" t="e">
        <f ca="1">[1]!BexGetData("DP_1","003N8EMH8GTFRIVOG7KG9IX8U","GSON5127274011")</f>
        <v>#NAME?</v>
      </c>
      <c r="O3279" s="28" t="e">
        <f ca="1">[1]!BexGetData("DP_1","003N8EMH8GTFRIVOG7KG9J3KE","GSON5127274011")</f>
        <v>#NAME?</v>
      </c>
      <c r="P3279" s="23" t="e">
        <f ca="1">[1]!BexGetData("DP_1","003N8EMH8GTFRIVOG7KG9J9VY","GSON5127274011")</f>
        <v>#NAME?</v>
      </c>
      <c r="Q3279" s="24" t="e">
        <f ca="1">[1]!BexGetData("DP_1","00O2TNJGODT0G5Z4TTKYMM5MT","GSON5127274011")</f>
        <v>#NAME?</v>
      </c>
      <c r="R3279" s="23" t="e">
        <f ca="1">[1]!BexGetData("DP_1","00O2TNJGODT0G5Z4TTKYMMBYD","GSON5127274011")</f>
        <v>#NAME?</v>
      </c>
      <c r="S3279" s="23" t="e">
        <f ca="1">[1]!BexGetData("DP_1","00O2TNJGODT0G5Z4TTKYMMI9X","GSON5127274011")</f>
        <v>#NAME?</v>
      </c>
      <c r="T3279" s="28" t="e">
        <f ca="1">[1]!BexGetData("DP_1","00O2TNJGODT0G5Z4TTKYMMOLH","GSON5127274011")</f>
        <v>#NAME?</v>
      </c>
      <c r="U3279" s="23" t="e">
        <f ca="1">[1]!BexGetData("DP_1","00O2TNJGODT0G5Z4TTKYMMUX1","GSON5127274011")</f>
        <v>#NAME?</v>
      </c>
      <c r="V3279" s="28" t="e">
        <f ca="1">[1]!BexGetData("DP_1","00O2TNJGODT0G5Z4TTKYMN18L","GSON5127274011")</f>
        <v>#NAME?</v>
      </c>
      <c r="W3279" s="23" t="e">
        <f ca="1">[1]!BexGetData("DP_1","00O2TNJGODT0G5Z4TTKYMN7K5","GSON5127274011")</f>
        <v>#NAME?</v>
      </c>
    </row>
    <row r="3280" spans="1:23" x14ac:dyDescent="0.2">
      <c r="A3280" s="36" t="s">
        <v>6719</v>
      </c>
      <c r="B3280" s="27" t="s">
        <v>6720</v>
      </c>
      <c r="C3280" s="23" t="e">
        <f ca="1">[1]!BexGetData("DP_1","003N8EMH8GTFRCSWKMPXRR8GU","GSON5127275011")</f>
        <v>#NAME?</v>
      </c>
      <c r="D3280" s="28" t="e">
        <f ca="1">[1]!BexGetData("DP_1","003N8EMH8GTFRCSWKMPXRRESE","GSON5127275011")</f>
        <v>#NAME?</v>
      </c>
      <c r="E3280" s="23" t="e">
        <f ca="1">[1]!BexGetData("DP_1","003N8EMH8GTFRCSWKMPXRRL3Y","GSON5127275011")</f>
        <v>#NAME?</v>
      </c>
      <c r="F3280" s="24" t="e">
        <f ca="1">[1]!BexGetData("DP_1","003N8EMH8GTFRCSWKMPXRRRFI","GSON5127275011")</f>
        <v>#NAME?</v>
      </c>
      <c r="G3280" s="24" t="e">
        <f ca="1">[1]!BexGetData("DP_1","003N8EMH8GTFRCSWKMPXRRXR2","GSON5127275011")</f>
        <v>#NAME?</v>
      </c>
      <c r="H3280" s="24" t="e">
        <f ca="1">[1]!BexGetData("DP_1","003N8EMH8GTFRCSWKMPXRS42M","GSON5127275011")</f>
        <v>#NAME?</v>
      </c>
      <c r="I3280" s="24" t="e">
        <f ca="1">[1]!BexGetData("DP_1","003N8EMH8GTFRCSWKMPXRSAE6","GSON5127275011")</f>
        <v>#NAME?</v>
      </c>
      <c r="J3280" s="24" t="e">
        <f ca="1">[1]!BexGetData("DP_1","003N8EMH8GTFRCSWKMPXRSGPQ","GSON5127275011")</f>
        <v>#NAME?</v>
      </c>
      <c r="K3280" s="23" t="e">
        <f ca="1">[1]!BexGetData("DP_1","003N8EMH8GTFRIVNUPY288VJH","GSON5127275011")</f>
        <v>#NAME?</v>
      </c>
      <c r="L3280" s="23" t="e">
        <f ca="1">[1]!BexGetData("DP_1","003N8EMH8GTFRIVNUPY2891V1","GSON5127275011")</f>
        <v>#NAME?</v>
      </c>
      <c r="M3280" s="28" t="e">
        <f ca="1">[1]!BexGetData("DP_1","003N8EMH8GTFRIVOG7KG9IQXA","GSON5127275011")</f>
        <v>#NAME?</v>
      </c>
      <c r="N3280" s="23" t="e">
        <f ca="1">[1]!BexGetData("DP_1","003N8EMH8GTFRIVOG7KG9IX8U","GSON5127275011")</f>
        <v>#NAME?</v>
      </c>
      <c r="O3280" s="28" t="e">
        <f ca="1">[1]!BexGetData("DP_1","003N8EMH8GTFRIVOG7KG9J3KE","GSON5127275011")</f>
        <v>#NAME?</v>
      </c>
      <c r="P3280" s="23" t="e">
        <f ca="1">[1]!BexGetData("DP_1","003N8EMH8GTFRIVOG7KG9J9VY","GSON5127275011")</f>
        <v>#NAME?</v>
      </c>
      <c r="Q3280" s="24" t="e">
        <f ca="1">[1]!BexGetData("DP_1","00O2TNJGODT0G5Z4TTKYMM5MT","GSON5127275011")</f>
        <v>#NAME?</v>
      </c>
      <c r="R3280" s="24" t="e">
        <f ca="1">[1]!BexGetData("DP_1","00O2TNJGODT0G5Z4TTKYMMBYD","GSON5127275011")</f>
        <v>#NAME?</v>
      </c>
      <c r="S3280" s="24" t="e">
        <f ca="1">[1]!BexGetData("DP_1","00O2TNJGODT0G5Z4TTKYMMI9X","GSON5127275011")</f>
        <v>#NAME?</v>
      </c>
      <c r="T3280" s="24" t="e">
        <f ca="1">[1]!BexGetData("DP_1","00O2TNJGODT0G5Z4TTKYMMOLH","GSON5127275011")</f>
        <v>#NAME?</v>
      </c>
      <c r="U3280" s="24" t="e">
        <f ca="1">[1]!BexGetData("DP_1","00O2TNJGODT0G5Z4TTKYMMUX1","GSON5127275011")</f>
        <v>#NAME?</v>
      </c>
      <c r="V3280" s="24" t="e">
        <f ca="1">[1]!BexGetData("DP_1","00O2TNJGODT0G5Z4TTKYMN18L","GSON5127275011")</f>
        <v>#NAME?</v>
      </c>
      <c r="W3280" s="24" t="e">
        <f ca="1">[1]!BexGetData("DP_1","00O2TNJGODT0G5Z4TTKYMN7K5","GSON5127275011")</f>
        <v>#NAME?</v>
      </c>
    </row>
    <row r="3281" spans="1:23" x14ac:dyDescent="0.2">
      <c r="A3281" s="35" t="s">
        <v>109</v>
      </c>
      <c r="B3281" s="27" t="s">
        <v>6721</v>
      </c>
      <c r="C3281" s="23" t="e">
        <f ca="1">[1]!BexGetData("DP_1","003N8EMH8GTFRCSWKMPXRR8GU","GSON5128")</f>
        <v>#NAME?</v>
      </c>
      <c r="D3281" s="28" t="e">
        <f ca="1">[1]!BexGetData("DP_1","003N8EMH8GTFRCSWKMPXRRESE","GSON5128")</f>
        <v>#NAME?</v>
      </c>
      <c r="E3281" s="23" t="e">
        <f ca="1">[1]!BexGetData("DP_1","003N8EMH8GTFRCSWKMPXRRL3Y","GSON5128")</f>
        <v>#NAME?</v>
      </c>
      <c r="F3281" s="23" t="e">
        <f ca="1">[1]!BexGetData("DP_1","003N8EMH8GTFRCSWKMPXRRRFI","GSON5128")</f>
        <v>#NAME?</v>
      </c>
      <c r="G3281" s="23" t="e">
        <f ca="1">[1]!BexGetData("DP_1","003N8EMH8GTFRCSWKMPXRRXR2","GSON5128")</f>
        <v>#NAME?</v>
      </c>
      <c r="H3281" s="23" t="e">
        <f ca="1">[1]!BexGetData("DP_1","003N8EMH8GTFRCSWKMPXRS42M","GSON5128")</f>
        <v>#NAME?</v>
      </c>
      <c r="I3281" s="23" t="e">
        <f ca="1">[1]!BexGetData("DP_1","003N8EMH8GTFRCSWKMPXRSAE6","GSON5128")</f>
        <v>#NAME?</v>
      </c>
      <c r="J3281" s="24" t="e">
        <f ca="1">[1]!BexGetData("DP_1","003N8EMH8GTFRCSWKMPXRSGPQ","GSON5128")</f>
        <v>#NAME?</v>
      </c>
      <c r="K3281" s="23" t="e">
        <f ca="1">[1]!BexGetData("DP_1","003N8EMH8GTFRIVNUPY288VJH","GSON5128")</f>
        <v>#NAME?</v>
      </c>
      <c r="L3281" s="23" t="e">
        <f ca="1">[1]!BexGetData("DP_1","003N8EMH8GTFRIVNUPY2891V1","GSON5128")</f>
        <v>#NAME?</v>
      </c>
      <c r="M3281" s="23" t="e">
        <f ca="1">[1]!BexGetData("DP_1","003N8EMH8GTFRIVOG7KG9IQXA","GSON5128")</f>
        <v>#NAME?</v>
      </c>
      <c r="N3281" s="28" t="e">
        <f ca="1">[1]!BexGetData("DP_1","003N8EMH8GTFRIVOG7KG9IX8U","GSON5128")</f>
        <v>#NAME?</v>
      </c>
      <c r="O3281" s="23" t="e">
        <f ca="1">[1]!BexGetData("DP_1","003N8EMH8GTFRIVOG7KG9J3KE","GSON5128")</f>
        <v>#NAME?</v>
      </c>
      <c r="P3281" s="28" t="e">
        <f ca="1">[1]!BexGetData("DP_1","003N8EMH8GTFRIVOG7KG9J9VY","GSON5128")</f>
        <v>#NAME?</v>
      </c>
      <c r="Q3281" s="24" t="e">
        <f ca="1">[1]!BexGetData("DP_1","00O2TNJGODT0G5Z4TTKYMM5MT","GSON5128")</f>
        <v>#NAME?</v>
      </c>
      <c r="R3281" s="23" t="e">
        <f ca="1">[1]!BexGetData("DP_1","00O2TNJGODT0G5Z4TTKYMMBYD","GSON5128")</f>
        <v>#NAME?</v>
      </c>
      <c r="S3281" s="23" t="e">
        <f ca="1">[1]!BexGetData("DP_1","00O2TNJGODT0G5Z4TTKYMMI9X","GSON5128")</f>
        <v>#NAME?</v>
      </c>
      <c r="T3281" s="28" t="e">
        <f ca="1">[1]!BexGetData("DP_1","00O2TNJGODT0G5Z4TTKYMMOLH","GSON5128")</f>
        <v>#NAME?</v>
      </c>
      <c r="U3281" s="23" t="e">
        <f ca="1">[1]!BexGetData("DP_1","00O2TNJGODT0G5Z4TTKYMMUX1","GSON5128")</f>
        <v>#NAME?</v>
      </c>
      <c r="V3281" s="28" t="e">
        <f ca="1">[1]!BexGetData("DP_1","00O2TNJGODT0G5Z4TTKYMN18L","GSON5128")</f>
        <v>#NAME?</v>
      </c>
      <c r="W3281" s="23" t="e">
        <f ca="1">[1]!BexGetData("DP_1","00O2TNJGODT0G5Z4TTKYMN7K5","GSON5128")</f>
        <v>#NAME?</v>
      </c>
    </row>
    <row r="3282" spans="1:23" x14ac:dyDescent="0.2">
      <c r="A3282" s="36" t="s">
        <v>6722</v>
      </c>
      <c r="B3282" s="27" t="s">
        <v>6723</v>
      </c>
      <c r="C3282" s="23" t="e">
        <f ca="1">[1]!BexGetData("DP_1","003N8EMH8GTFRCSWKMPXRR8GU","GSON5128281011")</f>
        <v>#NAME?</v>
      </c>
      <c r="D3282" s="28" t="e">
        <f ca="1">[1]!BexGetData("DP_1","003N8EMH8GTFRCSWKMPXRRESE","GSON5128281011")</f>
        <v>#NAME?</v>
      </c>
      <c r="E3282" s="23" t="e">
        <f ca="1">[1]!BexGetData("DP_1","003N8EMH8GTFRCSWKMPXRRL3Y","GSON5128281011")</f>
        <v>#NAME?</v>
      </c>
      <c r="F3282" s="24" t="e">
        <f ca="1">[1]!BexGetData("DP_1","003N8EMH8GTFRCSWKMPXRRRFI","GSON5128281011")</f>
        <v>#NAME?</v>
      </c>
      <c r="G3282" s="24" t="e">
        <f ca="1">[1]!BexGetData("DP_1","003N8EMH8GTFRCSWKMPXRRXR2","GSON5128281011")</f>
        <v>#NAME?</v>
      </c>
      <c r="H3282" s="24" t="e">
        <f ca="1">[1]!BexGetData("DP_1","003N8EMH8GTFRCSWKMPXRS42M","GSON5128281011")</f>
        <v>#NAME?</v>
      </c>
      <c r="I3282" s="24" t="e">
        <f ca="1">[1]!BexGetData("DP_1","003N8EMH8GTFRCSWKMPXRSAE6","GSON5128281011")</f>
        <v>#NAME?</v>
      </c>
      <c r="J3282" s="24" t="e">
        <f ca="1">[1]!BexGetData("DP_1","003N8EMH8GTFRCSWKMPXRSGPQ","GSON5128281011")</f>
        <v>#NAME?</v>
      </c>
      <c r="K3282" s="23" t="e">
        <f ca="1">[1]!BexGetData("DP_1","003N8EMH8GTFRIVNUPY288VJH","GSON5128281011")</f>
        <v>#NAME?</v>
      </c>
      <c r="L3282" s="23" t="e">
        <f ca="1">[1]!BexGetData("DP_1","003N8EMH8GTFRIVNUPY2891V1","GSON5128281011")</f>
        <v>#NAME?</v>
      </c>
      <c r="M3282" s="28" t="e">
        <f ca="1">[1]!BexGetData("DP_1","003N8EMH8GTFRIVOG7KG9IQXA","GSON5128281011")</f>
        <v>#NAME?</v>
      </c>
      <c r="N3282" s="23" t="e">
        <f ca="1">[1]!BexGetData("DP_1","003N8EMH8GTFRIVOG7KG9IX8U","GSON5128281011")</f>
        <v>#NAME?</v>
      </c>
      <c r="O3282" s="28" t="e">
        <f ca="1">[1]!BexGetData("DP_1","003N8EMH8GTFRIVOG7KG9J3KE","GSON5128281011")</f>
        <v>#NAME?</v>
      </c>
      <c r="P3282" s="23" t="e">
        <f ca="1">[1]!BexGetData("DP_1","003N8EMH8GTFRIVOG7KG9J9VY","GSON5128281011")</f>
        <v>#NAME?</v>
      </c>
      <c r="Q3282" s="24" t="e">
        <f ca="1">[1]!BexGetData("DP_1","00O2TNJGODT0G5Z4TTKYMM5MT","GSON5128281011")</f>
        <v>#NAME?</v>
      </c>
      <c r="R3282" s="24" t="e">
        <f ca="1">[1]!BexGetData("DP_1","00O2TNJGODT0G5Z4TTKYMMBYD","GSON5128281011")</f>
        <v>#NAME?</v>
      </c>
      <c r="S3282" s="24" t="e">
        <f ca="1">[1]!BexGetData("DP_1","00O2TNJGODT0G5Z4TTKYMMI9X","GSON5128281011")</f>
        <v>#NAME?</v>
      </c>
      <c r="T3282" s="24" t="e">
        <f ca="1">[1]!BexGetData("DP_1","00O2TNJGODT0G5Z4TTKYMMOLH","GSON5128281011")</f>
        <v>#NAME?</v>
      </c>
      <c r="U3282" s="24" t="e">
        <f ca="1">[1]!BexGetData("DP_1","00O2TNJGODT0G5Z4TTKYMMUX1","GSON5128281011")</f>
        <v>#NAME?</v>
      </c>
      <c r="V3282" s="24" t="e">
        <f ca="1">[1]!BexGetData("DP_1","00O2TNJGODT0G5Z4TTKYMN18L","GSON5128281011")</f>
        <v>#NAME?</v>
      </c>
      <c r="W3282" s="24" t="e">
        <f ca="1">[1]!BexGetData("DP_1","00O2TNJGODT0G5Z4TTKYMN7K5","GSON5128281011")</f>
        <v>#NAME?</v>
      </c>
    </row>
    <row r="3283" spans="1:23" x14ac:dyDescent="0.2">
      <c r="A3283" s="36" t="s">
        <v>6724</v>
      </c>
      <c r="B3283" s="27" t="s">
        <v>6725</v>
      </c>
      <c r="C3283" s="23" t="e">
        <f ca="1">[1]!BexGetData("DP_1","003N8EMH8GTFRCSWKMPXRR8GU","GSON5128282011")</f>
        <v>#NAME?</v>
      </c>
      <c r="D3283" s="28" t="e">
        <f ca="1">[1]!BexGetData("DP_1","003N8EMH8GTFRCSWKMPXRRESE","GSON5128282011")</f>
        <v>#NAME?</v>
      </c>
      <c r="E3283" s="23" t="e">
        <f ca="1">[1]!BexGetData("DP_1","003N8EMH8GTFRCSWKMPXRRL3Y","GSON5128282011")</f>
        <v>#NAME?</v>
      </c>
      <c r="F3283" s="23" t="e">
        <f ca="1">[1]!BexGetData("DP_1","003N8EMH8GTFRCSWKMPXRRRFI","GSON5128282011")</f>
        <v>#NAME?</v>
      </c>
      <c r="G3283" s="23" t="e">
        <f ca="1">[1]!BexGetData("DP_1","003N8EMH8GTFRCSWKMPXRRXR2","GSON5128282011")</f>
        <v>#NAME?</v>
      </c>
      <c r="H3283" s="23" t="e">
        <f ca="1">[1]!BexGetData("DP_1","003N8EMH8GTFRCSWKMPXRS42M","GSON5128282011")</f>
        <v>#NAME?</v>
      </c>
      <c r="I3283" s="23" t="e">
        <f ca="1">[1]!BexGetData("DP_1","003N8EMH8GTFRCSWKMPXRSAE6","GSON5128282011")</f>
        <v>#NAME?</v>
      </c>
      <c r="J3283" s="24" t="e">
        <f ca="1">[1]!BexGetData("DP_1","003N8EMH8GTFRCSWKMPXRSGPQ","GSON5128282011")</f>
        <v>#NAME?</v>
      </c>
      <c r="K3283" s="23" t="e">
        <f ca="1">[1]!BexGetData("DP_1","003N8EMH8GTFRIVNUPY288VJH","GSON5128282011")</f>
        <v>#NAME?</v>
      </c>
      <c r="L3283" s="23" t="e">
        <f ca="1">[1]!BexGetData("DP_1","003N8EMH8GTFRIVNUPY2891V1","GSON5128282011")</f>
        <v>#NAME?</v>
      </c>
      <c r="M3283" s="23" t="e">
        <f ca="1">[1]!BexGetData("DP_1","003N8EMH8GTFRIVOG7KG9IQXA","GSON5128282011")</f>
        <v>#NAME?</v>
      </c>
      <c r="N3283" s="28" t="e">
        <f ca="1">[1]!BexGetData("DP_1","003N8EMH8GTFRIVOG7KG9IX8U","GSON5128282011")</f>
        <v>#NAME?</v>
      </c>
      <c r="O3283" s="23" t="e">
        <f ca="1">[1]!BexGetData("DP_1","003N8EMH8GTFRIVOG7KG9J3KE","GSON5128282011")</f>
        <v>#NAME?</v>
      </c>
      <c r="P3283" s="28" t="e">
        <f ca="1">[1]!BexGetData("DP_1","003N8EMH8GTFRIVOG7KG9J9VY","GSON5128282011")</f>
        <v>#NAME?</v>
      </c>
      <c r="Q3283" s="24" t="e">
        <f ca="1">[1]!BexGetData("DP_1","00O2TNJGODT0G5Z4TTKYMM5MT","GSON5128282011")</f>
        <v>#NAME?</v>
      </c>
      <c r="R3283" s="23" t="e">
        <f ca="1">[1]!BexGetData("DP_1","00O2TNJGODT0G5Z4TTKYMMBYD","GSON5128282011")</f>
        <v>#NAME?</v>
      </c>
      <c r="S3283" s="23" t="e">
        <f ca="1">[1]!BexGetData("DP_1","00O2TNJGODT0G5Z4TTKYMMI9X","GSON5128282011")</f>
        <v>#NAME?</v>
      </c>
      <c r="T3283" s="28" t="e">
        <f ca="1">[1]!BexGetData("DP_1","00O2TNJGODT0G5Z4TTKYMMOLH","GSON5128282011")</f>
        <v>#NAME?</v>
      </c>
      <c r="U3283" s="23" t="e">
        <f ca="1">[1]!BexGetData("DP_1","00O2TNJGODT0G5Z4TTKYMMUX1","GSON5128282011")</f>
        <v>#NAME?</v>
      </c>
      <c r="V3283" s="28" t="e">
        <f ca="1">[1]!BexGetData("DP_1","00O2TNJGODT0G5Z4TTKYMN18L","GSON5128282011")</f>
        <v>#NAME?</v>
      </c>
      <c r="W3283" s="23" t="e">
        <f ca="1">[1]!BexGetData("DP_1","00O2TNJGODT0G5Z4TTKYMN7K5","GSON5128282011")</f>
        <v>#NAME?</v>
      </c>
    </row>
    <row r="3284" spans="1:23" x14ac:dyDescent="0.2">
      <c r="A3284" s="36" t="s">
        <v>6726</v>
      </c>
      <c r="B3284" s="27" t="s">
        <v>6727</v>
      </c>
      <c r="C3284" s="23" t="e">
        <f ca="1">[1]!BexGetData("DP_1","003N8EMH8GTFRCSWKMPXRR8GU","GSON5128283011")</f>
        <v>#NAME?</v>
      </c>
      <c r="D3284" s="28" t="e">
        <f ca="1">[1]!BexGetData("DP_1","003N8EMH8GTFRCSWKMPXRRESE","GSON5128283011")</f>
        <v>#NAME?</v>
      </c>
      <c r="E3284" s="23" t="e">
        <f ca="1">[1]!BexGetData("DP_1","003N8EMH8GTFRCSWKMPXRRL3Y","GSON5128283011")</f>
        <v>#NAME?</v>
      </c>
      <c r="F3284" s="23" t="e">
        <f ca="1">[1]!BexGetData("DP_1","003N8EMH8GTFRCSWKMPXRRRFI","GSON5128283011")</f>
        <v>#NAME?</v>
      </c>
      <c r="G3284" s="23" t="e">
        <f ca="1">[1]!BexGetData("DP_1","003N8EMH8GTFRCSWKMPXRRXR2","GSON5128283011")</f>
        <v>#NAME?</v>
      </c>
      <c r="H3284" s="28" t="e">
        <f ca="1">[1]!BexGetData("DP_1","003N8EMH8GTFRCSWKMPXRS42M","GSON5128283011")</f>
        <v>#NAME?</v>
      </c>
      <c r="I3284" s="23" t="e">
        <f ca="1">[1]!BexGetData("DP_1","003N8EMH8GTFRCSWKMPXRSAE6","GSON5128283011")</f>
        <v>#NAME?</v>
      </c>
      <c r="J3284" s="24" t="e">
        <f ca="1">[1]!BexGetData("DP_1","003N8EMH8GTFRCSWKMPXRSGPQ","GSON5128283011")</f>
        <v>#NAME?</v>
      </c>
      <c r="K3284" s="23" t="e">
        <f ca="1">[1]!BexGetData("DP_1","003N8EMH8GTFRIVNUPY288VJH","GSON5128283011")</f>
        <v>#NAME?</v>
      </c>
      <c r="L3284" s="23" t="e">
        <f ca="1">[1]!BexGetData("DP_1","003N8EMH8GTFRIVNUPY2891V1","GSON5128283011")</f>
        <v>#NAME?</v>
      </c>
      <c r="M3284" s="23" t="e">
        <f ca="1">[1]!BexGetData("DP_1","003N8EMH8GTFRIVOG7KG9IQXA","GSON5128283011")</f>
        <v>#NAME?</v>
      </c>
      <c r="N3284" s="28" t="e">
        <f ca="1">[1]!BexGetData("DP_1","003N8EMH8GTFRIVOG7KG9IX8U","GSON5128283011")</f>
        <v>#NAME?</v>
      </c>
      <c r="O3284" s="23" t="e">
        <f ca="1">[1]!BexGetData("DP_1","003N8EMH8GTFRIVOG7KG9J3KE","GSON5128283011")</f>
        <v>#NAME?</v>
      </c>
      <c r="P3284" s="28" t="e">
        <f ca="1">[1]!BexGetData("DP_1","003N8EMH8GTFRIVOG7KG9J9VY","GSON5128283011")</f>
        <v>#NAME?</v>
      </c>
      <c r="Q3284" s="24" t="e">
        <f ca="1">[1]!BexGetData("DP_1","00O2TNJGODT0G5Z4TTKYMM5MT","GSON5128283011")</f>
        <v>#NAME?</v>
      </c>
      <c r="R3284" s="23" t="e">
        <f ca="1">[1]!BexGetData("DP_1","00O2TNJGODT0G5Z4TTKYMMBYD","GSON5128283011")</f>
        <v>#NAME?</v>
      </c>
      <c r="S3284" s="23" t="e">
        <f ca="1">[1]!BexGetData("DP_1","00O2TNJGODT0G5Z4TTKYMMI9X","GSON5128283011")</f>
        <v>#NAME?</v>
      </c>
      <c r="T3284" s="28" t="e">
        <f ca="1">[1]!BexGetData("DP_1","00O2TNJGODT0G5Z4TTKYMMOLH","GSON5128283011")</f>
        <v>#NAME?</v>
      </c>
      <c r="U3284" s="23" t="e">
        <f ca="1">[1]!BexGetData("DP_1","00O2TNJGODT0G5Z4TTKYMMUX1","GSON5128283011")</f>
        <v>#NAME?</v>
      </c>
      <c r="V3284" s="28" t="e">
        <f ca="1">[1]!BexGetData("DP_1","00O2TNJGODT0G5Z4TTKYMN18L","GSON5128283011")</f>
        <v>#NAME?</v>
      </c>
      <c r="W3284" s="23" t="e">
        <f ca="1">[1]!BexGetData("DP_1","00O2TNJGODT0G5Z4TTKYMN7K5","GSON5128283011")</f>
        <v>#NAME?</v>
      </c>
    </row>
    <row r="3285" spans="1:23" x14ac:dyDescent="0.2">
      <c r="A3285" s="35" t="s">
        <v>6728</v>
      </c>
      <c r="B3285" s="27" t="s">
        <v>6729</v>
      </c>
      <c r="C3285" s="23" t="e">
        <f ca="1">[1]!BexGetData("DP_1","003N8EMH8GTFRCSWKMPXRR8GU","GSON5129")</f>
        <v>#NAME?</v>
      </c>
      <c r="D3285" s="23" t="e">
        <f ca="1">[1]!BexGetData("DP_1","003N8EMH8GTFRCSWKMPXRRESE","GSON5129")</f>
        <v>#NAME?</v>
      </c>
      <c r="E3285" s="23" t="e">
        <f ca="1">[1]!BexGetData("DP_1","003N8EMH8GTFRCSWKMPXRRL3Y","GSON5129")</f>
        <v>#NAME?</v>
      </c>
      <c r="F3285" s="23" t="e">
        <f ca="1">[1]!BexGetData("DP_1","003N8EMH8GTFRCSWKMPXRRRFI","GSON5129")</f>
        <v>#NAME?</v>
      </c>
      <c r="G3285" s="23" t="e">
        <f ca="1">[1]!BexGetData("DP_1","003N8EMH8GTFRCSWKMPXRRXR2","GSON5129")</f>
        <v>#NAME?</v>
      </c>
      <c r="H3285" s="23" t="e">
        <f ca="1">[1]!BexGetData("DP_1","003N8EMH8GTFRCSWKMPXRS42M","GSON5129")</f>
        <v>#NAME?</v>
      </c>
      <c r="I3285" s="23" t="e">
        <f ca="1">[1]!BexGetData("DP_1","003N8EMH8GTFRCSWKMPXRSAE6","GSON5129")</f>
        <v>#NAME?</v>
      </c>
      <c r="J3285" s="24" t="e">
        <f ca="1">[1]!BexGetData("DP_1","003N8EMH8GTFRCSWKMPXRSGPQ","GSON5129")</f>
        <v>#NAME?</v>
      </c>
      <c r="K3285" s="23" t="e">
        <f ca="1">[1]!BexGetData("DP_1","003N8EMH8GTFRIVNUPY288VJH","GSON5129")</f>
        <v>#NAME?</v>
      </c>
      <c r="L3285" s="23" t="e">
        <f ca="1">[1]!BexGetData("DP_1","003N8EMH8GTFRIVNUPY2891V1","GSON5129")</f>
        <v>#NAME?</v>
      </c>
      <c r="M3285" s="28" t="e">
        <f ca="1">[1]!BexGetData("DP_1","003N8EMH8GTFRIVOG7KG9IQXA","GSON5129")</f>
        <v>#NAME?</v>
      </c>
      <c r="N3285" s="23" t="e">
        <f ca="1">[1]!BexGetData("DP_1","003N8EMH8GTFRIVOG7KG9IX8U","GSON5129")</f>
        <v>#NAME?</v>
      </c>
      <c r="O3285" s="28" t="e">
        <f ca="1">[1]!BexGetData("DP_1","003N8EMH8GTFRIVOG7KG9J3KE","GSON5129")</f>
        <v>#NAME?</v>
      </c>
      <c r="P3285" s="23" t="e">
        <f ca="1">[1]!BexGetData("DP_1","003N8EMH8GTFRIVOG7KG9J9VY","GSON5129")</f>
        <v>#NAME?</v>
      </c>
      <c r="Q3285" s="24" t="e">
        <f ca="1">[1]!BexGetData("DP_1","00O2TNJGODT0G5Z4TTKYMM5MT","GSON5129")</f>
        <v>#NAME?</v>
      </c>
      <c r="R3285" s="23" t="e">
        <f ca="1">[1]!BexGetData("DP_1","00O2TNJGODT0G5Z4TTKYMMBYD","GSON5129")</f>
        <v>#NAME?</v>
      </c>
      <c r="S3285" s="23" t="e">
        <f ca="1">[1]!BexGetData("DP_1","00O2TNJGODT0G5Z4TTKYMMI9X","GSON5129")</f>
        <v>#NAME?</v>
      </c>
      <c r="T3285" s="28" t="e">
        <f ca="1">[1]!BexGetData("DP_1","00O2TNJGODT0G5Z4TTKYMMOLH","GSON5129")</f>
        <v>#NAME?</v>
      </c>
      <c r="U3285" s="23" t="e">
        <f ca="1">[1]!BexGetData("DP_1","00O2TNJGODT0G5Z4TTKYMMUX1","GSON5129")</f>
        <v>#NAME?</v>
      </c>
      <c r="V3285" s="28" t="e">
        <f ca="1">[1]!BexGetData("DP_1","00O2TNJGODT0G5Z4TTKYMN18L","GSON5129")</f>
        <v>#NAME?</v>
      </c>
      <c r="W3285" s="23" t="e">
        <f ca="1">[1]!BexGetData("DP_1","00O2TNJGODT0G5Z4TTKYMN7K5","GSON5129")</f>
        <v>#NAME?</v>
      </c>
    </row>
    <row r="3286" spans="1:23" x14ac:dyDescent="0.2">
      <c r="A3286" s="36" t="s">
        <v>6730</v>
      </c>
      <c r="B3286" s="27" t="s">
        <v>6731</v>
      </c>
      <c r="C3286" s="23" t="e">
        <f ca="1">[1]!BexGetData("DP_1","003N8EMH8GTFRCSWKMPXRR8GU","GSON5129291011")</f>
        <v>#NAME?</v>
      </c>
      <c r="D3286" s="23" t="e">
        <f ca="1">[1]!BexGetData("DP_1","003N8EMH8GTFRCSWKMPXRRESE","GSON5129291011")</f>
        <v>#NAME?</v>
      </c>
      <c r="E3286" s="23" t="e">
        <f ca="1">[1]!BexGetData("DP_1","003N8EMH8GTFRCSWKMPXRRL3Y","GSON5129291011")</f>
        <v>#NAME?</v>
      </c>
      <c r="F3286" s="23" t="e">
        <f ca="1">[1]!BexGetData("DP_1","003N8EMH8GTFRCSWKMPXRRRFI","GSON5129291011")</f>
        <v>#NAME?</v>
      </c>
      <c r="G3286" s="23" t="e">
        <f ca="1">[1]!BexGetData("DP_1","003N8EMH8GTFRCSWKMPXRRXR2","GSON5129291011")</f>
        <v>#NAME?</v>
      </c>
      <c r="H3286" s="23" t="e">
        <f ca="1">[1]!BexGetData("DP_1","003N8EMH8GTFRCSWKMPXRS42M","GSON5129291011")</f>
        <v>#NAME?</v>
      </c>
      <c r="I3286" s="23" t="e">
        <f ca="1">[1]!BexGetData("DP_1","003N8EMH8GTFRCSWKMPXRSAE6","GSON5129291011")</f>
        <v>#NAME?</v>
      </c>
      <c r="J3286" s="24" t="e">
        <f ca="1">[1]!BexGetData("DP_1","003N8EMH8GTFRCSWKMPXRSGPQ","GSON5129291011")</f>
        <v>#NAME?</v>
      </c>
      <c r="K3286" s="23" t="e">
        <f ca="1">[1]!BexGetData("DP_1","003N8EMH8GTFRIVNUPY288VJH","GSON5129291011")</f>
        <v>#NAME?</v>
      </c>
      <c r="L3286" s="23" t="e">
        <f ca="1">[1]!BexGetData("DP_1","003N8EMH8GTFRIVNUPY2891V1","GSON5129291011")</f>
        <v>#NAME?</v>
      </c>
      <c r="M3286" s="28" t="e">
        <f ca="1">[1]!BexGetData("DP_1","003N8EMH8GTFRIVOG7KG9IQXA","GSON5129291011")</f>
        <v>#NAME?</v>
      </c>
      <c r="N3286" s="23" t="e">
        <f ca="1">[1]!BexGetData("DP_1","003N8EMH8GTFRIVOG7KG9IX8U","GSON5129291011")</f>
        <v>#NAME?</v>
      </c>
      <c r="O3286" s="28" t="e">
        <f ca="1">[1]!BexGetData("DP_1","003N8EMH8GTFRIVOG7KG9J3KE","GSON5129291011")</f>
        <v>#NAME?</v>
      </c>
      <c r="P3286" s="23" t="e">
        <f ca="1">[1]!BexGetData("DP_1","003N8EMH8GTFRIVOG7KG9J9VY","GSON5129291011")</f>
        <v>#NAME?</v>
      </c>
      <c r="Q3286" s="24" t="e">
        <f ca="1">[1]!BexGetData("DP_1","00O2TNJGODT0G5Z4TTKYMM5MT","GSON5129291011")</f>
        <v>#NAME?</v>
      </c>
      <c r="R3286" s="23" t="e">
        <f ca="1">[1]!BexGetData("DP_1","00O2TNJGODT0G5Z4TTKYMMBYD","GSON5129291011")</f>
        <v>#NAME?</v>
      </c>
      <c r="S3286" s="23" t="e">
        <f ca="1">[1]!BexGetData("DP_1","00O2TNJGODT0G5Z4TTKYMMI9X","GSON5129291011")</f>
        <v>#NAME?</v>
      </c>
      <c r="T3286" s="28" t="e">
        <f ca="1">[1]!BexGetData("DP_1","00O2TNJGODT0G5Z4TTKYMMOLH","GSON5129291011")</f>
        <v>#NAME?</v>
      </c>
      <c r="U3286" s="23" t="e">
        <f ca="1">[1]!BexGetData("DP_1","00O2TNJGODT0G5Z4TTKYMMUX1","GSON5129291011")</f>
        <v>#NAME?</v>
      </c>
      <c r="V3286" s="28" t="e">
        <f ca="1">[1]!BexGetData("DP_1","00O2TNJGODT0G5Z4TTKYMN18L","GSON5129291011")</f>
        <v>#NAME?</v>
      </c>
      <c r="W3286" s="23" t="e">
        <f ca="1">[1]!BexGetData("DP_1","00O2TNJGODT0G5Z4TTKYMN7K5","GSON5129291011")</f>
        <v>#NAME?</v>
      </c>
    </row>
    <row r="3287" spans="1:23" x14ac:dyDescent="0.2">
      <c r="A3287" s="36" t="s">
        <v>6732</v>
      </c>
      <c r="B3287" s="27" t="s">
        <v>6733</v>
      </c>
      <c r="C3287" s="23" t="e">
        <f ca="1">[1]!BexGetData("DP_1","003N8EMH8GTFRCSWKMPXRR8GU","GSON5129292011")</f>
        <v>#NAME?</v>
      </c>
      <c r="D3287" s="23" t="e">
        <f ca="1">[1]!BexGetData("DP_1","003N8EMH8GTFRCSWKMPXRRESE","GSON5129292011")</f>
        <v>#NAME?</v>
      </c>
      <c r="E3287" s="23" t="e">
        <f ca="1">[1]!BexGetData("DP_1","003N8EMH8GTFRCSWKMPXRRL3Y","GSON5129292011")</f>
        <v>#NAME?</v>
      </c>
      <c r="F3287" s="23" t="e">
        <f ca="1">[1]!BexGetData("DP_1","003N8EMH8GTFRCSWKMPXRRRFI","GSON5129292011")</f>
        <v>#NAME?</v>
      </c>
      <c r="G3287" s="23" t="e">
        <f ca="1">[1]!BexGetData("DP_1","003N8EMH8GTFRCSWKMPXRRXR2","GSON5129292011")</f>
        <v>#NAME?</v>
      </c>
      <c r="H3287" s="23" t="e">
        <f ca="1">[1]!BexGetData("DP_1","003N8EMH8GTFRCSWKMPXRS42M","GSON5129292011")</f>
        <v>#NAME?</v>
      </c>
      <c r="I3287" s="23" t="e">
        <f ca="1">[1]!BexGetData("DP_1","003N8EMH8GTFRCSWKMPXRSAE6","GSON5129292011")</f>
        <v>#NAME?</v>
      </c>
      <c r="J3287" s="24" t="e">
        <f ca="1">[1]!BexGetData("DP_1","003N8EMH8GTFRCSWKMPXRSGPQ","GSON5129292011")</f>
        <v>#NAME?</v>
      </c>
      <c r="K3287" s="23" t="e">
        <f ca="1">[1]!BexGetData("DP_1","003N8EMH8GTFRIVNUPY288VJH","GSON5129292011")</f>
        <v>#NAME?</v>
      </c>
      <c r="L3287" s="23" t="e">
        <f ca="1">[1]!BexGetData("DP_1","003N8EMH8GTFRIVNUPY2891V1","GSON5129292011")</f>
        <v>#NAME?</v>
      </c>
      <c r="M3287" s="28" t="e">
        <f ca="1">[1]!BexGetData("DP_1","003N8EMH8GTFRIVOG7KG9IQXA","GSON5129292011")</f>
        <v>#NAME?</v>
      </c>
      <c r="N3287" s="23" t="e">
        <f ca="1">[1]!BexGetData("DP_1","003N8EMH8GTFRIVOG7KG9IX8U","GSON5129292011")</f>
        <v>#NAME?</v>
      </c>
      <c r="O3287" s="28" t="e">
        <f ca="1">[1]!BexGetData("DP_1","003N8EMH8GTFRIVOG7KG9J3KE","GSON5129292011")</f>
        <v>#NAME?</v>
      </c>
      <c r="P3287" s="23" t="e">
        <f ca="1">[1]!BexGetData("DP_1","003N8EMH8GTFRIVOG7KG9J9VY","GSON5129292011")</f>
        <v>#NAME?</v>
      </c>
      <c r="Q3287" s="24" t="e">
        <f ca="1">[1]!BexGetData("DP_1","00O2TNJGODT0G5Z4TTKYMM5MT","GSON5129292011")</f>
        <v>#NAME?</v>
      </c>
      <c r="R3287" s="23" t="e">
        <f ca="1">[1]!BexGetData("DP_1","00O2TNJGODT0G5Z4TTKYMMBYD","GSON5129292011")</f>
        <v>#NAME?</v>
      </c>
      <c r="S3287" s="23" t="e">
        <f ca="1">[1]!BexGetData("DP_1","00O2TNJGODT0G5Z4TTKYMMI9X","GSON5129292011")</f>
        <v>#NAME?</v>
      </c>
      <c r="T3287" s="28" t="e">
        <f ca="1">[1]!BexGetData("DP_1","00O2TNJGODT0G5Z4TTKYMMOLH","GSON5129292011")</f>
        <v>#NAME?</v>
      </c>
      <c r="U3287" s="23" t="e">
        <f ca="1">[1]!BexGetData("DP_1","00O2TNJGODT0G5Z4TTKYMMUX1","GSON5129292011")</f>
        <v>#NAME?</v>
      </c>
      <c r="V3287" s="28" t="e">
        <f ca="1">[1]!BexGetData("DP_1","00O2TNJGODT0G5Z4TTKYMN18L","GSON5129292011")</f>
        <v>#NAME?</v>
      </c>
      <c r="W3287" s="23" t="e">
        <f ca="1">[1]!BexGetData("DP_1","00O2TNJGODT0G5Z4TTKYMN7K5","GSON5129292011")</f>
        <v>#NAME?</v>
      </c>
    </row>
    <row r="3288" spans="1:23" x14ac:dyDescent="0.2">
      <c r="A3288" s="36" t="s">
        <v>6734</v>
      </c>
      <c r="B3288" s="27" t="s">
        <v>6735</v>
      </c>
      <c r="C3288" s="23" t="e">
        <f ca="1">[1]!BexGetData("DP_1","003N8EMH8GTFRCSWKMPXRR8GU","GSON5129293011")</f>
        <v>#NAME?</v>
      </c>
      <c r="D3288" s="23" t="e">
        <f ca="1">[1]!BexGetData("DP_1","003N8EMH8GTFRCSWKMPXRRESE","GSON5129293011")</f>
        <v>#NAME?</v>
      </c>
      <c r="E3288" s="23" t="e">
        <f ca="1">[1]!BexGetData("DP_1","003N8EMH8GTFRCSWKMPXRRL3Y","GSON5129293011")</f>
        <v>#NAME?</v>
      </c>
      <c r="F3288" s="23" t="e">
        <f ca="1">[1]!BexGetData("DP_1","003N8EMH8GTFRCSWKMPXRRRFI","GSON5129293011")</f>
        <v>#NAME?</v>
      </c>
      <c r="G3288" s="23" t="e">
        <f ca="1">[1]!BexGetData("DP_1","003N8EMH8GTFRCSWKMPXRRXR2","GSON5129293011")</f>
        <v>#NAME?</v>
      </c>
      <c r="H3288" s="28" t="e">
        <f ca="1">[1]!BexGetData("DP_1","003N8EMH8GTFRCSWKMPXRS42M","GSON5129293011")</f>
        <v>#NAME?</v>
      </c>
      <c r="I3288" s="23" t="e">
        <f ca="1">[1]!BexGetData("DP_1","003N8EMH8GTFRCSWKMPXRSAE6","GSON5129293011")</f>
        <v>#NAME?</v>
      </c>
      <c r="J3288" s="24" t="e">
        <f ca="1">[1]!BexGetData("DP_1","003N8EMH8GTFRCSWKMPXRSGPQ","GSON5129293011")</f>
        <v>#NAME?</v>
      </c>
      <c r="K3288" s="23" t="e">
        <f ca="1">[1]!BexGetData("DP_1","003N8EMH8GTFRIVNUPY288VJH","GSON5129293011")</f>
        <v>#NAME?</v>
      </c>
      <c r="L3288" s="23" t="e">
        <f ca="1">[1]!BexGetData("DP_1","003N8EMH8GTFRIVNUPY2891V1","GSON5129293011")</f>
        <v>#NAME?</v>
      </c>
      <c r="M3288" s="28" t="e">
        <f ca="1">[1]!BexGetData("DP_1","003N8EMH8GTFRIVOG7KG9IQXA","GSON5129293011")</f>
        <v>#NAME?</v>
      </c>
      <c r="N3288" s="23" t="e">
        <f ca="1">[1]!BexGetData("DP_1","003N8EMH8GTFRIVOG7KG9IX8U","GSON5129293011")</f>
        <v>#NAME?</v>
      </c>
      <c r="O3288" s="28" t="e">
        <f ca="1">[1]!BexGetData("DP_1","003N8EMH8GTFRIVOG7KG9J3KE","GSON5129293011")</f>
        <v>#NAME?</v>
      </c>
      <c r="P3288" s="23" t="e">
        <f ca="1">[1]!BexGetData("DP_1","003N8EMH8GTFRIVOG7KG9J9VY","GSON5129293011")</f>
        <v>#NAME?</v>
      </c>
      <c r="Q3288" s="24" t="e">
        <f ca="1">[1]!BexGetData("DP_1","00O2TNJGODT0G5Z4TTKYMM5MT","GSON5129293011")</f>
        <v>#NAME?</v>
      </c>
      <c r="R3288" s="23" t="e">
        <f ca="1">[1]!BexGetData("DP_1","00O2TNJGODT0G5Z4TTKYMMBYD","GSON5129293011")</f>
        <v>#NAME?</v>
      </c>
      <c r="S3288" s="23" t="e">
        <f ca="1">[1]!BexGetData("DP_1","00O2TNJGODT0G5Z4TTKYMMI9X","GSON5129293011")</f>
        <v>#NAME?</v>
      </c>
      <c r="T3288" s="28" t="e">
        <f ca="1">[1]!BexGetData("DP_1","00O2TNJGODT0G5Z4TTKYMMOLH","GSON5129293011")</f>
        <v>#NAME?</v>
      </c>
      <c r="U3288" s="23" t="e">
        <f ca="1">[1]!BexGetData("DP_1","00O2TNJGODT0G5Z4TTKYMMUX1","GSON5129293011")</f>
        <v>#NAME?</v>
      </c>
      <c r="V3288" s="28" t="e">
        <f ca="1">[1]!BexGetData("DP_1","00O2TNJGODT0G5Z4TTKYMN18L","GSON5129293011")</f>
        <v>#NAME?</v>
      </c>
      <c r="W3288" s="23" t="e">
        <f ca="1">[1]!BexGetData("DP_1","00O2TNJGODT0G5Z4TTKYMN7K5","GSON5129293011")</f>
        <v>#NAME?</v>
      </c>
    </row>
    <row r="3289" spans="1:23" x14ac:dyDescent="0.2">
      <c r="A3289" s="36" t="s">
        <v>6736</v>
      </c>
      <c r="B3289" s="27" t="s">
        <v>6737</v>
      </c>
      <c r="C3289" s="23" t="e">
        <f ca="1">[1]!BexGetData("DP_1","003N8EMH8GTFRCSWKMPXRR8GU","GSON5129294011")</f>
        <v>#NAME?</v>
      </c>
      <c r="D3289" s="23" t="e">
        <f ca="1">[1]!BexGetData("DP_1","003N8EMH8GTFRCSWKMPXRRESE","GSON5129294011")</f>
        <v>#NAME?</v>
      </c>
      <c r="E3289" s="23" t="e">
        <f ca="1">[1]!BexGetData("DP_1","003N8EMH8GTFRCSWKMPXRRL3Y","GSON5129294011")</f>
        <v>#NAME?</v>
      </c>
      <c r="F3289" s="23" t="e">
        <f ca="1">[1]!BexGetData("DP_1","003N8EMH8GTFRCSWKMPXRRRFI","GSON5129294011")</f>
        <v>#NAME?</v>
      </c>
      <c r="G3289" s="23" t="e">
        <f ca="1">[1]!BexGetData("DP_1","003N8EMH8GTFRCSWKMPXRRXR2","GSON5129294011")</f>
        <v>#NAME?</v>
      </c>
      <c r="H3289" s="23" t="e">
        <f ca="1">[1]!BexGetData("DP_1","003N8EMH8GTFRCSWKMPXRS42M","GSON5129294011")</f>
        <v>#NAME?</v>
      </c>
      <c r="I3289" s="23" t="e">
        <f ca="1">[1]!BexGetData("DP_1","003N8EMH8GTFRCSWKMPXRSAE6","GSON5129294011")</f>
        <v>#NAME?</v>
      </c>
      <c r="J3289" s="24" t="e">
        <f ca="1">[1]!BexGetData("DP_1","003N8EMH8GTFRCSWKMPXRSGPQ","GSON5129294011")</f>
        <v>#NAME?</v>
      </c>
      <c r="K3289" s="23" t="e">
        <f ca="1">[1]!BexGetData("DP_1","003N8EMH8GTFRIVNUPY288VJH","GSON5129294011")</f>
        <v>#NAME?</v>
      </c>
      <c r="L3289" s="23" t="e">
        <f ca="1">[1]!BexGetData("DP_1","003N8EMH8GTFRIVNUPY2891V1","GSON5129294011")</f>
        <v>#NAME?</v>
      </c>
      <c r="M3289" s="28" t="e">
        <f ca="1">[1]!BexGetData("DP_1","003N8EMH8GTFRIVOG7KG9IQXA","GSON5129294011")</f>
        <v>#NAME?</v>
      </c>
      <c r="N3289" s="23" t="e">
        <f ca="1">[1]!BexGetData("DP_1","003N8EMH8GTFRIVOG7KG9IX8U","GSON5129294011")</f>
        <v>#NAME?</v>
      </c>
      <c r="O3289" s="28" t="e">
        <f ca="1">[1]!BexGetData("DP_1","003N8EMH8GTFRIVOG7KG9J3KE","GSON5129294011")</f>
        <v>#NAME?</v>
      </c>
      <c r="P3289" s="23" t="e">
        <f ca="1">[1]!BexGetData("DP_1","003N8EMH8GTFRIVOG7KG9J9VY","GSON5129294011")</f>
        <v>#NAME?</v>
      </c>
      <c r="Q3289" s="24" t="e">
        <f ca="1">[1]!BexGetData("DP_1","00O2TNJGODT0G5Z4TTKYMM5MT","GSON5129294011")</f>
        <v>#NAME?</v>
      </c>
      <c r="R3289" s="23" t="e">
        <f ca="1">[1]!BexGetData("DP_1","00O2TNJGODT0G5Z4TTKYMMBYD","GSON5129294011")</f>
        <v>#NAME?</v>
      </c>
      <c r="S3289" s="23" t="e">
        <f ca="1">[1]!BexGetData("DP_1","00O2TNJGODT0G5Z4TTKYMMI9X","GSON5129294011")</f>
        <v>#NAME?</v>
      </c>
      <c r="T3289" s="28" t="e">
        <f ca="1">[1]!BexGetData("DP_1","00O2TNJGODT0G5Z4TTKYMMOLH","GSON5129294011")</f>
        <v>#NAME?</v>
      </c>
      <c r="U3289" s="23" t="e">
        <f ca="1">[1]!BexGetData("DP_1","00O2TNJGODT0G5Z4TTKYMMUX1","GSON5129294011")</f>
        <v>#NAME?</v>
      </c>
      <c r="V3289" s="28" t="e">
        <f ca="1">[1]!BexGetData("DP_1","00O2TNJGODT0G5Z4TTKYMN18L","GSON5129294011")</f>
        <v>#NAME?</v>
      </c>
      <c r="W3289" s="23" t="e">
        <f ca="1">[1]!BexGetData("DP_1","00O2TNJGODT0G5Z4TTKYMN7K5","GSON5129294011")</f>
        <v>#NAME?</v>
      </c>
    </row>
    <row r="3290" spans="1:23" x14ac:dyDescent="0.2">
      <c r="A3290" s="36" t="s">
        <v>6738</v>
      </c>
      <c r="B3290" s="27" t="s">
        <v>6739</v>
      </c>
      <c r="C3290" s="23" t="e">
        <f ca="1">[1]!BexGetData("DP_1","003N8EMH8GTFRCSWKMPXRR8GU","GSON5129295011")</f>
        <v>#NAME?</v>
      </c>
      <c r="D3290" s="28" t="e">
        <f ca="1">[1]!BexGetData("DP_1","003N8EMH8GTFRCSWKMPXRRESE","GSON5129295011")</f>
        <v>#NAME?</v>
      </c>
      <c r="E3290" s="23" t="e">
        <f ca="1">[1]!BexGetData("DP_1","003N8EMH8GTFRCSWKMPXRRL3Y","GSON5129295011")</f>
        <v>#NAME?</v>
      </c>
      <c r="F3290" s="23" t="e">
        <f ca="1">[1]!BexGetData("DP_1","003N8EMH8GTFRCSWKMPXRRRFI","GSON5129295011")</f>
        <v>#NAME?</v>
      </c>
      <c r="G3290" s="23" t="e">
        <f ca="1">[1]!BexGetData("DP_1","003N8EMH8GTFRCSWKMPXRRXR2","GSON5129295011")</f>
        <v>#NAME?</v>
      </c>
      <c r="H3290" s="28" t="e">
        <f ca="1">[1]!BexGetData("DP_1","003N8EMH8GTFRCSWKMPXRS42M","GSON5129295011")</f>
        <v>#NAME?</v>
      </c>
      <c r="I3290" s="23" t="e">
        <f ca="1">[1]!BexGetData("DP_1","003N8EMH8GTFRCSWKMPXRSAE6","GSON5129295011")</f>
        <v>#NAME?</v>
      </c>
      <c r="J3290" s="24" t="e">
        <f ca="1">[1]!BexGetData("DP_1","003N8EMH8GTFRCSWKMPXRSGPQ","GSON5129295011")</f>
        <v>#NAME?</v>
      </c>
      <c r="K3290" s="23" t="e">
        <f ca="1">[1]!BexGetData("DP_1","003N8EMH8GTFRIVNUPY288VJH","GSON5129295011")</f>
        <v>#NAME?</v>
      </c>
      <c r="L3290" s="23" t="e">
        <f ca="1">[1]!BexGetData("DP_1","003N8EMH8GTFRIVNUPY2891V1","GSON5129295011")</f>
        <v>#NAME?</v>
      </c>
      <c r="M3290" s="28" t="e">
        <f ca="1">[1]!BexGetData("DP_1","003N8EMH8GTFRIVOG7KG9IQXA","GSON5129295011")</f>
        <v>#NAME?</v>
      </c>
      <c r="N3290" s="23" t="e">
        <f ca="1">[1]!BexGetData("DP_1","003N8EMH8GTFRIVOG7KG9IX8U","GSON5129295011")</f>
        <v>#NAME?</v>
      </c>
      <c r="O3290" s="28" t="e">
        <f ca="1">[1]!BexGetData("DP_1","003N8EMH8GTFRIVOG7KG9J3KE","GSON5129295011")</f>
        <v>#NAME?</v>
      </c>
      <c r="P3290" s="23" t="e">
        <f ca="1">[1]!BexGetData("DP_1","003N8EMH8GTFRIVOG7KG9J9VY","GSON5129295011")</f>
        <v>#NAME?</v>
      </c>
      <c r="Q3290" s="24" t="e">
        <f ca="1">[1]!BexGetData("DP_1","00O2TNJGODT0G5Z4TTKYMM5MT","GSON5129295011")</f>
        <v>#NAME?</v>
      </c>
      <c r="R3290" s="23" t="e">
        <f ca="1">[1]!BexGetData("DP_1","00O2TNJGODT0G5Z4TTKYMMBYD","GSON5129295011")</f>
        <v>#NAME?</v>
      </c>
      <c r="S3290" s="23" t="e">
        <f ca="1">[1]!BexGetData("DP_1","00O2TNJGODT0G5Z4TTKYMMI9X","GSON5129295011")</f>
        <v>#NAME?</v>
      </c>
      <c r="T3290" s="28" t="e">
        <f ca="1">[1]!BexGetData("DP_1","00O2TNJGODT0G5Z4TTKYMMOLH","GSON5129295011")</f>
        <v>#NAME?</v>
      </c>
      <c r="U3290" s="23" t="e">
        <f ca="1">[1]!BexGetData("DP_1","00O2TNJGODT0G5Z4TTKYMMUX1","GSON5129295011")</f>
        <v>#NAME?</v>
      </c>
      <c r="V3290" s="28" t="e">
        <f ca="1">[1]!BexGetData("DP_1","00O2TNJGODT0G5Z4TTKYMN18L","GSON5129295011")</f>
        <v>#NAME?</v>
      </c>
      <c r="W3290" s="23" t="e">
        <f ca="1">[1]!BexGetData("DP_1","00O2TNJGODT0G5Z4TTKYMN7K5","GSON5129295011")</f>
        <v>#NAME?</v>
      </c>
    </row>
    <row r="3291" spans="1:23" x14ac:dyDescent="0.2">
      <c r="A3291" s="36" t="s">
        <v>6740</v>
      </c>
      <c r="B3291" s="27" t="s">
        <v>6741</v>
      </c>
      <c r="C3291" s="23" t="e">
        <f ca="1">[1]!BexGetData("DP_1","003N8EMH8GTFRCSWKMPXRR8GU","GSON5129296011")</f>
        <v>#NAME?</v>
      </c>
      <c r="D3291" s="23" t="e">
        <f ca="1">[1]!BexGetData("DP_1","003N8EMH8GTFRCSWKMPXRRESE","GSON5129296011")</f>
        <v>#NAME?</v>
      </c>
      <c r="E3291" s="23" t="e">
        <f ca="1">[1]!BexGetData("DP_1","003N8EMH8GTFRCSWKMPXRRL3Y","GSON5129296011")</f>
        <v>#NAME?</v>
      </c>
      <c r="F3291" s="23" t="e">
        <f ca="1">[1]!BexGetData("DP_1","003N8EMH8GTFRCSWKMPXRRRFI","GSON5129296011")</f>
        <v>#NAME?</v>
      </c>
      <c r="G3291" s="23" t="e">
        <f ca="1">[1]!BexGetData("DP_1","003N8EMH8GTFRCSWKMPXRRXR2","GSON5129296011")</f>
        <v>#NAME?</v>
      </c>
      <c r="H3291" s="23" t="e">
        <f ca="1">[1]!BexGetData("DP_1","003N8EMH8GTFRCSWKMPXRS42M","GSON5129296011")</f>
        <v>#NAME?</v>
      </c>
      <c r="I3291" s="23" t="e">
        <f ca="1">[1]!BexGetData("DP_1","003N8EMH8GTFRCSWKMPXRSAE6","GSON5129296011")</f>
        <v>#NAME?</v>
      </c>
      <c r="J3291" s="24" t="e">
        <f ca="1">[1]!BexGetData("DP_1","003N8EMH8GTFRCSWKMPXRSGPQ","GSON5129296011")</f>
        <v>#NAME?</v>
      </c>
      <c r="K3291" s="23" t="e">
        <f ca="1">[1]!BexGetData("DP_1","003N8EMH8GTFRIVNUPY288VJH","GSON5129296011")</f>
        <v>#NAME?</v>
      </c>
      <c r="L3291" s="23" t="e">
        <f ca="1">[1]!BexGetData("DP_1","003N8EMH8GTFRIVNUPY2891V1","GSON5129296011")</f>
        <v>#NAME?</v>
      </c>
      <c r="M3291" s="28" t="e">
        <f ca="1">[1]!BexGetData("DP_1","003N8EMH8GTFRIVOG7KG9IQXA","GSON5129296011")</f>
        <v>#NAME?</v>
      </c>
      <c r="N3291" s="23" t="e">
        <f ca="1">[1]!BexGetData("DP_1","003N8EMH8GTFRIVOG7KG9IX8U","GSON5129296011")</f>
        <v>#NAME?</v>
      </c>
      <c r="O3291" s="28" t="e">
        <f ca="1">[1]!BexGetData("DP_1","003N8EMH8GTFRIVOG7KG9J3KE","GSON5129296011")</f>
        <v>#NAME?</v>
      </c>
      <c r="P3291" s="23" t="e">
        <f ca="1">[1]!BexGetData("DP_1","003N8EMH8GTFRIVOG7KG9J9VY","GSON5129296011")</f>
        <v>#NAME?</v>
      </c>
      <c r="Q3291" s="24" t="e">
        <f ca="1">[1]!BexGetData("DP_1","00O2TNJGODT0G5Z4TTKYMM5MT","GSON5129296011")</f>
        <v>#NAME?</v>
      </c>
      <c r="R3291" s="23" t="e">
        <f ca="1">[1]!BexGetData("DP_1","00O2TNJGODT0G5Z4TTKYMMBYD","GSON5129296011")</f>
        <v>#NAME?</v>
      </c>
      <c r="S3291" s="23" t="e">
        <f ca="1">[1]!BexGetData("DP_1","00O2TNJGODT0G5Z4TTKYMMI9X","GSON5129296011")</f>
        <v>#NAME?</v>
      </c>
      <c r="T3291" s="28" t="e">
        <f ca="1">[1]!BexGetData("DP_1","00O2TNJGODT0G5Z4TTKYMMOLH","GSON5129296011")</f>
        <v>#NAME?</v>
      </c>
      <c r="U3291" s="23" t="e">
        <f ca="1">[1]!BexGetData("DP_1","00O2TNJGODT0G5Z4TTKYMMUX1","GSON5129296011")</f>
        <v>#NAME?</v>
      </c>
      <c r="V3291" s="28" t="e">
        <f ca="1">[1]!BexGetData("DP_1","00O2TNJGODT0G5Z4TTKYMN18L","GSON5129296011")</f>
        <v>#NAME?</v>
      </c>
      <c r="W3291" s="23" t="e">
        <f ca="1">[1]!BexGetData("DP_1","00O2TNJGODT0G5Z4TTKYMN7K5","GSON5129296011")</f>
        <v>#NAME?</v>
      </c>
    </row>
    <row r="3292" spans="1:23" x14ac:dyDescent="0.2">
      <c r="A3292" s="36" t="s">
        <v>6742</v>
      </c>
      <c r="B3292" s="27" t="s">
        <v>6743</v>
      </c>
      <c r="C3292" s="23" t="e">
        <f ca="1">[1]!BexGetData("DP_1","003N8EMH8GTFRCSWKMPXRR8GU","GSON5129296012")</f>
        <v>#NAME?</v>
      </c>
      <c r="D3292" s="23" t="e">
        <f ca="1">[1]!BexGetData("DP_1","003N8EMH8GTFRCSWKMPXRRESE","GSON5129296012")</f>
        <v>#NAME?</v>
      </c>
      <c r="E3292" s="23" t="e">
        <f ca="1">[1]!BexGetData("DP_1","003N8EMH8GTFRCSWKMPXRRL3Y","GSON5129296012")</f>
        <v>#NAME?</v>
      </c>
      <c r="F3292" s="23" t="e">
        <f ca="1">[1]!BexGetData("DP_1","003N8EMH8GTFRCSWKMPXRRRFI","GSON5129296012")</f>
        <v>#NAME?</v>
      </c>
      <c r="G3292" s="23" t="e">
        <f ca="1">[1]!BexGetData("DP_1","003N8EMH8GTFRCSWKMPXRRXR2","GSON5129296012")</f>
        <v>#NAME?</v>
      </c>
      <c r="H3292" s="28" t="e">
        <f ca="1">[1]!BexGetData("DP_1","003N8EMH8GTFRCSWKMPXRS42M","GSON5129296012")</f>
        <v>#NAME?</v>
      </c>
      <c r="I3292" s="23" t="e">
        <f ca="1">[1]!BexGetData("DP_1","003N8EMH8GTFRCSWKMPXRSAE6","GSON5129296012")</f>
        <v>#NAME?</v>
      </c>
      <c r="J3292" s="24" t="e">
        <f ca="1">[1]!BexGetData("DP_1","003N8EMH8GTFRCSWKMPXRSGPQ","GSON5129296012")</f>
        <v>#NAME?</v>
      </c>
      <c r="K3292" s="23" t="e">
        <f ca="1">[1]!BexGetData("DP_1","003N8EMH8GTFRIVNUPY288VJH","GSON5129296012")</f>
        <v>#NAME?</v>
      </c>
      <c r="L3292" s="23" t="e">
        <f ca="1">[1]!BexGetData("DP_1","003N8EMH8GTFRIVNUPY2891V1","GSON5129296012")</f>
        <v>#NAME?</v>
      </c>
      <c r="M3292" s="23" t="e">
        <f ca="1">[1]!BexGetData("DP_1","003N8EMH8GTFRIVOG7KG9IQXA","GSON5129296012")</f>
        <v>#NAME?</v>
      </c>
      <c r="N3292" s="28" t="e">
        <f ca="1">[1]!BexGetData("DP_1","003N8EMH8GTFRIVOG7KG9IX8U","GSON5129296012")</f>
        <v>#NAME?</v>
      </c>
      <c r="O3292" s="23" t="e">
        <f ca="1">[1]!BexGetData("DP_1","003N8EMH8GTFRIVOG7KG9J3KE","GSON5129296012")</f>
        <v>#NAME?</v>
      </c>
      <c r="P3292" s="28" t="e">
        <f ca="1">[1]!BexGetData("DP_1","003N8EMH8GTFRIVOG7KG9J9VY","GSON5129296012")</f>
        <v>#NAME?</v>
      </c>
      <c r="Q3292" s="24" t="e">
        <f ca="1">[1]!BexGetData("DP_1","00O2TNJGODT0G5Z4TTKYMM5MT","GSON5129296012")</f>
        <v>#NAME?</v>
      </c>
      <c r="R3292" s="23" t="e">
        <f ca="1">[1]!BexGetData("DP_1","00O2TNJGODT0G5Z4TTKYMMBYD","GSON5129296012")</f>
        <v>#NAME?</v>
      </c>
      <c r="S3292" s="23" t="e">
        <f ca="1">[1]!BexGetData("DP_1","00O2TNJGODT0G5Z4TTKYMMI9X","GSON5129296012")</f>
        <v>#NAME?</v>
      </c>
      <c r="T3292" s="28" t="e">
        <f ca="1">[1]!BexGetData("DP_1","00O2TNJGODT0G5Z4TTKYMMOLH","GSON5129296012")</f>
        <v>#NAME?</v>
      </c>
      <c r="U3292" s="23" t="e">
        <f ca="1">[1]!BexGetData("DP_1","00O2TNJGODT0G5Z4TTKYMMUX1","GSON5129296012")</f>
        <v>#NAME?</v>
      </c>
      <c r="V3292" s="28" t="e">
        <f ca="1">[1]!BexGetData("DP_1","00O2TNJGODT0G5Z4TTKYMN18L","GSON5129296012")</f>
        <v>#NAME?</v>
      </c>
      <c r="W3292" s="23" t="e">
        <f ca="1">[1]!BexGetData("DP_1","00O2TNJGODT0G5Z4TTKYMN7K5","GSON5129296012")</f>
        <v>#NAME?</v>
      </c>
    </row>
    <row r="3293" spans="1:23" x14ac:dyDescent="0.2">
      <c r="A3293" s="36" t="s">
        <v>6744</v>
      </c>
      <c r="B3293" s="27" t="s">
        <v>6745</v>
      </c>
      <c r="C3293" s="23" t="e">
        <f ca="1">[1]!BexGetData("DP_1","003N8EMH8GTFRCSWKMPXRR8GU","GSON5129297011")</f>
        <v>#NAME?</v>
      </c>
      <c r="D3293" s="28" t="e">
        <f ca="1">[1]!BexGetData("DP_1","003N8EMH8GTFRCSWKMPXRRESE","GSON5129297011")</f>
        <v>#NAME?</v>
      </c>
      <c r="E3293" s="23" t="e">
        <f ca="1">[1]!BexGetData("DP_1","003N8EMH8GTFRCSWKMPXRRL3Y","GSON5129297011")</f>
        <v>#NAME?</v>
      </c>
      <c r="F3293" s="24" t="e">
        <f ca="1">[1]!BexGetData("DP_1","003N8EMH8GTFRCSWKMPXRRRFI","GSON5129297011")</f>
        <v>#NAME?</v>
      </c>
      <c r="G3293" s="24" t="e">
        <f ca="1">[1]!BexGetData("DP_1","003N8EMH8GTFRCSWKMPXRRXR2","GSON5129297011")</f>
        <v>#NAME?</v>
      </c>
      <c r="H3293" s="24" t="e">
        <f ca="1">[1]!BexGetData("DP_1","003N8EMH8GTFRCSWKMPXRS42M","GSON5129297011")</f>
        <v>#NAME?</v>
      </c>
      <c r="I3293" s="24" t="e">
        <f ca="1">[1]!BexGetData("DP_1","003N8EMH8GTFRCSWKMPXRSAE6","GSON5129297011")</f>
        <v>#NAME?</v>
      </c>
      <c r="J3293" s="24" t="e">
        <f ca="1">[1]!BexGetData("DP_1","003N8EMH8GTFRCSWKMPXRSGPQ","GSON5129297011")</f>
        <v>#NAME?</v>
      </c>
      <c r="K3293" s="23" t="e">
        <f ca="1">[1]!BexGetData("DP_1","003N8EMH8GTFRIVNUPY288VJH","GSON5129297011")</f>
        <v>#NAME?</v>
      </c>
      <c r="L3293" s="23" t="e">
        <f ca="1">[1]!BexGetData("DP_1","003N8EMH8GTFRIVNUPY2891V1","GSON5129297011")</f>
        <v>#NAME?</v>
      </c>
      <c r="M3293" s="28" t="e">
        <f ca="1">[1]!BexGetData("DP_1","003N8EMH8GTFRIVOG7KG9IQXA","GSON5129297011")</f>
        <v>#NAME?</v>
      </c>
      <c r="N3293" s="23" t="e">
        <f ca="1">[1]!BexGetData("DP_1","003N8EMH8GTFRIVOG7KG9IX8U","GSON5129297011")</f>
        <v>#NAME?</v>
      </c>
      <c r="O3293" s="28" t="e">
        <f ca="1">[1]!BexGetData("DP_1","003N8EMH8GTFRIVOG7KG9J3KE","GSON5129297011")</f>
        <v>#NAME?</v>
      </c>
      <c r="P3293" s="23" t="e">
        <f ca="1">[1]!BexGetData("DP_1","003N8EMH8GTFRIVOG7KG9J9VY","GSON5129297011")</f>
        <v>#NAME?</v>
      </c>
      <c r="Q3293" s="24" t="e">
        <f ca="1">[1]!BexGetData("DP_1","00O2TNJGODT0G5Z4TTKYMM5MT","GSON5129297011")</f>
        <v>#NAME?</v>
      </c>
      <c r="R3293" s="24" t="e">
        <f ca="1">[1]!BexGetData("DP_1","00O2TNJGODT0G5Z4TTKYMMBYD","GSON5129297011")</f>
        <v>#NAME?</v>
      </c>
      <c r="S3293" s="24" t="e">
        <f ca="1">[1]!BexGetData("DP_1","00O2TNJGODT0G5Z4TTKYMMI9X","GSON5129297011")</f>
        <v>#NAME?</v>
      </c>
      <c r="T3293" s="24" t="e">
        <f ca="1">[1]!BexGetData("DP_1","00O2TNJGODT0G5Z4TTKYMMOLH","GSON5129297011")</f>
        <v>#NAME?</v>
      </c>
      <c r="U3293" s="24" t="e">
        <f ca="1">[1]!BexGetData("DP_1","00O2TNJGODT0G5Z4TTKYMMUX1","GSON5129297011")</f>
        <v>#NAME?</v>
      </c>
      <c r="V3293" s="24" t="e">
        <f ca="1">[1]!BexGetData("DP_1","00O2TNJGODT0G5Z4TTKYMN18L","GSON5129297011")</f>
        <v>#NAME?</v>
      </c>
      <c r="W3293" s="24" t="e">
        <f ca="1">[1]!BexGetData("DP_1","00O2TNJGODT0G5Z4TTKYMN7K5","GSON5129297011")</f>
        <v>#NAME?</v>
      </c>
    </row>
    <row r="3294" spans="1:23" x14ac:dyDescent="0.2">
      <c r="A3294" s="36" t="s">
        <v>6746</v>
      </c>
      <c r="B3294" s="27" t="s">
        <v>6747</v>
      </c>
      <c r="C3294" s="23" t="e">
        <f ca="1">[1]!BexGetData("DP_1","003N8EMH8GTFRCSWKMPXRR8GU","GSON5129298011")</f>
        <v>#NAME?</v>
      </c>
      <c r="D3294" s="28" t="e">
        <f ca="1">[1]!BexGetData("DP_1","003N8EMH8GTFRCSWKMPXRRESE","GSON5129298011")</f>
        <v>#NAME?</v>
      </c>
      <c r="E3294" s="23" t="e">
        <f ca="1">[1]!BexGetData("DP_1","003N8EMH8GTFRCSWKMPXRRL3Y","GSON5129298011")</f>
        <v>#NAME?</v>
      </c>
      <c r="F3294" s="23" t="e">
        <f ca="1">[1]!BexGetData("DP_1","003N8EMH8GTFRCSWKMPXRRRFI","GSON5129298011")</f>
        <v>#NAME?</v>
      </c>
      <c r="G3294" s="23" t="e">
        <f ca="1">[1]!BexGetData("DP_1","003N8EMH8GTFRCSWKMPXRRXR2","GSON5129298011")</f>
        <v>#NAME?</v>
      </c>
      <c r="H3294" s="23" t="e">
        <f ca="1">[1]!BexGetData("DP_1","003N8EMH8GTFRCSWKMPXRS42M","GSON5129298011")</f>
        <v>#NAME?</v>
      </c>
      <c r="I3294" s="23" t="e">
        <f ca="1">[1]!BexGetData("DP_1","003N8EMH8GTFRCSWKMPXRSAE6","GSON5129298011")</f>
        <v>#NAME?</v>
      </c>
      <c r="J3294" s="24" t="e">
        <f ca="1">[1]!BexGetData("DP_1","003N8EMH8GTFRCSWKMPXRSGPQ","GSON5129298011")</f>
        <v>#NAME?</v>
      </c>
      <c r="K3294" s="23" t="e">
        <f ca="1">[1]!BexGetData("DP_1","003N8EMH8GTFRIVNUPY288VJH","GSON5129298011")</f>
        <v>#NAME?</v>
      </c>
      <c r="L3294" s="23" t="e">
        <f ca="1">[1]!BexGetData("DP_1","003N8EMH8GTFRIVNUPY2891V1","GSON5129298011")</f>
        <v>#NAME?</v>
      </c>
      <c r="M3294" s="28" t="e">
        <f ca="1">[1]!BexGetData("DP_1","003N8EMH8GTFRIVOG7KG9IQXA","GSON5129298011")</f>
        <v>#NAME?</v>
      </c>
      <c r="N3294" s="23" t="e">
        <f ca="1">[1]!BexGetData("DP_1","003N8EMH8GTFRIVOG7KG9IX8U","GSON5129298011")</f>
        <v>#NAME?</v>
      </c>
      <c r="O3294" s="28" t="e">
        <f ca="1">[1]!BexGetData("DP_1","003N8EMH8GTFRIVOG7KG9J3KE","GSON5129298011")</f>
        <v>#NAME?</v>
      </c>
      <c r="P3294" s="23" t="e">
        <f ca="1">[1]!BexGetData("DP_1","003N8EMH8GTFRIVOG7KG9J9VY","GSON5129298011")</f>
        <v>#NAME?</v>
      </c>
      <c r="Q3294" s="24" t="e">
        <f ca="1">[1]!BexGetData("DP_1","00O2TNJGODT0G5Z4TTKYMM5MT","GSON5129298011")</f>
        <v>#NAME?</v>
      </c>
      <c r="R3294" s="23" t="e">
        <f ca="1">[1]!BexGetData("DP_1","00O2TNJGODT0G5Z4TTKYMMBYD","GSON5129298011")</f>
        <v>#NAME?</v>
      </c>
      <c r="S3294" s="23" t="e">
        <f ca="1">[1]!BexGetData("DP_1","00O2TNJGODT0G5Z4TTKYMMI9X","GSON5129298011")</f>
        <v>#NAME?</v>
      </c>
      <c r="T3294" s="28" t="e">
        <f ca="1">[1]!BexGetData("DP_1","00O2TNJGODT0G5Z4TTKYMMOLH","GSON5129298011")</f>
        <v>#NAME?</v>
      </c>
      <c r="U3294" s="23" t="e">
        <f ca="1">[1]!BexGetData("DP_1","00O2TNJGODT0G5Z4TTKYMMUX1","GSON5129298011")</f>
        <v>#NAME?</v>
      </c>
      <c r="V3294" s="28" t="e">
        <f ca="1">[1]!BexGetData("DP_1","00O2TNJGODT0G5Z4TTKYMN18L","GSON5129298011")</f>
        <v>#NAME?</v>
      </c>
      <c r="W3294" s="23" t="e">
        <f ca="1">[1]!BexGetData("DP_1","00O2TNJGODT0G5Z4TTKYMN7K5","GSON5129298011")</f>
        <v>#NAME?</v>
      </c>
    </row>
    <row r="3295" spans="1:23" x14ac:dyDescent="0.2">
      <c r="A3295" s="36" t="s">
        <v>6748</v>
      </c>
      <c r="B3295" s="27" t="s">
        <v>6749</v>
      </c>
      <c r="C3295" s="23" t="e">
        <f ca="1">[1]!BexGetData("DP_1","003N8EMH8GTFRCSWKMPXRR8GU","GSON5129299011")</f>
        <v>#NAME?</v>
      </c>
      <c r="D3295" s="28" t="e">
        <f ca="1">[1]!BexGetData("DP_1","003N8EMH8GTFRCSWKMPXRRESE","GSON5129299011")</f>
        <v>#NAME?</v>
      </c>
      <c r="E3295" s="23" t="e">
        <f ca="1">[1]!BexGetData("DP_1","003N8EMH8GTFRCSWKMPXRRL3Y","GSON5129299011")</f>
        <v>#NAME?</v>
      </c>
      <c r="F3295" s="23" t="e">
        <f ca="1">[1]!BexGetData("DP_1","003N8EMH8GTFRCSWKMPXRRRFI","GSON5129299011")</f>
        <v>#NAME?</v>
      </c>
      <c r="G3295" s="23" t="e">
        <f ca="1">[1]!BexGetData("DP_1","003N8EMH8GTFRCSWKMPXRRXR2","GSON5129299011")</f>
        <v>#NAME?</v>
      </c>
      <c r="H3295" s="28" t="e">
        <f ca="1">[1]!BexGetData("DP_1","003N8EMH8GTFRCSWKMPXRS42M","GSON5129299011")</f>
        <v>#NAME?</v>
      </c>
      <c r="I3295" s="23" t="e">
        <f ca="1">[1]!BexGetData("DP_1","003N8EMH8GTFRCSWKMPXRSAE6","GSON5129299011")</f>
        <v>#NAME?</v>
      </c>
      <c r="J3295" s="24" t="e">
        <f ca="1">[1]!BexGetData("DP_1","003N8EMH8GTFRCSWKMPXRSGPQ","GSON5129299011")</f>
        <v>#NAME?</v>
      </c>
      <c r="K3295" s="23" t="e">
        <f ca="1">[1]!BexGetData("DP_1","003N8EMH8GTFRIVNUPY288VJH","GSON5129299011")</f>
        <v>#NAME?</v>
      </c>
      <c r="L3295" s="23" t="e">
        <f ca="1">[1]!BexGetData("DP_1","003N8EMH8GTFRIVNUPY2891V1","GSON5129299011")</f>
        <v>#NAME?</v>
      </c>
      <c r="M3295" s="23" t="e">
        <f ca="1">[1]!BexGetData("DP_1","003N8EMH8GTFRIVOG7KG9IQXA","GSON5129299011")</f>
        <v>#NAME?</v>
      </c>
      <c r="N3295" s="28" t="e">
        <f ca="1">[1]!BexGetData("DP_1","003N8EMH8GTFRIVOG7KG9IX8U","GSON5129299011")</f>
        <v>#NAME?</v>
      </c>
      <c r="O3295" s="23" t="e">
        <f ca="1">[1]!BexGetData("DP_1","003N8EMH8GTFRIVOG7KG9J3KE","GSON5129299011")</f>
        <v>#NAME?</v>
      </c>
      <c r="P3295" s="28" t="e">
        <f ca="1">[1]!BexGetData("DP_1","003N8EMH8GTFRIVOG7KG9J9VY","GSON5129299011")</f>
        <v>#NAME?</v>
      </c>
      <c r="Q3295" s="24" t="e">
        <f ca="1">[1]!BexGetData("DP_1","00O2TNJGODT0G5Z4TTKYMM5MT","GSON5129299011")</f>
        <v>#NAME?</v>
      </c>
      <c r="R3295" s="23" t="e">
        <f ca="1">[1]!BexGetData("DP_1","00O2TNJGODT0G5Z4TTKYMMBYD","GSON5129299011")</f>
        <v>#NAME?</v>
      </c>
      <c r="S3295" s="23" t="e">
        <f ca="1">[1]!BexGetData("DP_1","00O2TNJGODT0G5Z4TTKYMMI9X","GSON5129299011")</f>
        <v>#NAME?</v>
      </c>
      <c r="T3295" s="28" t="e">
        <f ca="1">[1]!BexGetData("DP_1","00O2TNJGODT0G5Z4TTKYMMOLH","GSON5129299011")</f>
        <v>#NAME?</v>
      </c>
      <c r="U3295" s="23" t="e">
        <f ca="1">[1]!BexGetData("DP_1","00O2TNJGODT0G5Z4TTKYMMUX1","GSON5129299011")</f>
        <v>#NAME?</v>
      </c>
      <c r="V3295" s="28" t="e">
        <f ca="1">[1]!BexGetData("DP_1","00O2TNJGODT0G5Z4TTKYMN18L","GSON5129299011")</f>
        <v>#NAME?</v>
      </c>
      <c r="W3295" s="23" t="e">
        <f ca="1">[1]!BexGetData("DP_1","00O2TNJGODT0G5Z4TTKYMN7K5","GSON5129299011")</f>
        <v>#NAME?</v>
      </c>
    </row>
    <row r="3296" spans="1:23" x14ac:dyDescent="0.2">
      <c r="A3296" s="34" t="s">
        <v>391</v>
      </c>
      <c r="B3296" s="27" t="s">
        <v>392</v>
      </c>
      <c r="C3296" s="23" t="e">
        <f ca="1">[1]!BexGetData("DP_1","003N8EMH8GTFRCSWKMPXRR8GU","GSON513")</f>
        <v>#NAME?</v>
      </c>
      <c r="D3296" s="23" t="e">
        <f ca="1">[1]!BexGetData("DP_1","003N8EMH8GTFRCSWKMPXRRESE","GSON513")</f>
        <v>#NAME?</v>
      </c>
      <c r="E3296" s="23" t="e">
        <f ca="1">[1]!BexGetData("DP_1","003N8EMH8GTFRCSWKMPXRRL3Y","GSON513")</f>
        <v>#NAME?</v>
      </c>
      <c r="F3296" s="23" t="e">
        <f ca="1">[1]!BexGetData("DP_1","003N8EMH8GTFRCSWKMPXRRRFI","GSON513")</f>
        <v>#NAME?</v>
      </c>
      <c r="G3296" s="23" t="e">
        <f ca="1">[1]!BexGetData("DP_1","003N8EMH8GTFRCSWKMPXRRXR2","GSON513")</f>
        <v>#NAME?</v>
      </c>
      <c r="H3296" s="23" t="e">
        <f ca="1">[1]!BexGetData("DP_1","003N8EMH8GTFRCSWKMPXRS42M","GSON513")</f>
        <v>#NAME?</v>
      </c>
      <c r="I3296" s="23" t="e">
        <f ca="1">[1]!BexGetData("DP_1","003N8EMH8GTFRCSWKMPXRSAE6","GSON513")</f>
        <v>#NAME?</v>
      </c>
      <c r="J3296" s="24" t="e">
        <f ca="1">[1]!BexGetData("DP_1","003N8EMH8GTFRCSWKMPXRSGPQ","GSON513")</f>
        <v>#NAME?</v>
      </c>
      <c r="K3296" s="23" t="e">
        <f ca="1">[1]!BexGetData("DP_1","003N8EMH8GTFRIVNUPY288VJH","GSON513")</f>
        <v>#NAME?</v>
      </c>
      <c r="L3296" s="23" t="e">
        <f ca="1">[1]!BexGetData("DP_1","003N8EMH8GTFRIVNUPY2891V1","GSON513")</f>
        <v>#NAME?</v>
      </c>
      <c r="M3296" s="28" t="e">
        <f ca="1">[1]!BexGetData("DP_1","003N8EMH8GTFRIVOG7KG9IQXA","GSON513")</f>
        <v>#NAME?</v>
      </c>
      <c r="N3296" s="23" t="e">
        <f ca="1">[1]!BexGetData("DP_1","003N8EMH8GTFRIVOG7KG9IX8U","GSON513")</f>
        <v>#NAME?</v>
      </c>
      <c r="O3296" s="28" t="e">
        <f ca="1">[1]!BexGetData("DP_1","003N8EMH8GTFRIVOG7KG9J3KE","GSON513")</f>
        <v>#NAME?</v>
      </c>
      <c r="P3296" s="23" t="e">
        <f ca="1">[1]!BexGetData("DP_1","003N8EMH8GTFRIVOG7KG9J9VY","GSON513")</f>
        <v>#NAME?</v>
      </c>
      <c r="Q3296" s="24" t="e">
        <f ca="1">[1]!BexGetData("DP_1","00O2TNJGODT0G5Z4TTKYMM5MT","GSON513")</f>
        <v>#NAME?</v>
      </c>
      <c r="R3296" s="23" t="e">
        <f ca="1">[1]!BexGetData("DP_1","00O2TNJGODT0G5Z4TTKYMMBYD","GSON513")</f>
        <v>#NAME?</v>
      </c>
      <c r="S3296" s="23" t="e">
        <f ca="1">[1]!BexGetData("DP_1","00O2TNJGODT0G5Z4TTKYMMI9X","GSON513")</f>
        <v>#NAME?</v>
      </c>
      <c r="T3296" s="28" t="e">
        <f ca="1">[1]!BexGetData("DP_1","00O2TNJGODT0G5Z4TTKYMMOLH","GSON513")</f>
        <v>#NAME?</v>
      </c>
      <c r="U3296" s="23" t="e">
        <f ca="1">[1]!BexGetData("DP_1","00O2TNJGODT0G5Z4TTKYMMUX1","GSON513")</f>
        <v>#NAME?</v>
      </c>
      <c r="V3296" s="28" t="e">
        <f ca="1">[1]!BexGetData("DP_1","00O2TNJGODT0G5Z4TTKYMN18L","GSON513")</f>
        <v>#NAME?</v>
      </c>
      <c r="W3296" s="23" t="e">
        <f ca="1">[1]!BexGetData("DP_1","00O2TNJGODT0G5Z4TTKYMN7K5","GSON513")</f>
        <v>#NAME?</v>
      </c>
    </row>
    <row r="3297" spans="1:23" x14ac:dyDescent="0.2">
      <c r="A3297" s="35" t="s">
        <v>393</v>
      </c>
      <c r="B3297" s="27" t="s">
        <v>394</v>
      </c>
      <c r="C3297" s="23" t="e">
        <f ca="1">[1]!BexGetData("DP_1","003N8EMH8GTFRCSWKMPXRR8GU","GSON5131")</f>
        <v>#NAME?</v>
      </c>
      <c r="D3297" s="23" t="e">
        <f ca="1">[1]!BexGetData("DP_1","003N8EMH8GTFRCSWKMPXRRESE","GSON5131")</f>
        <v>#NAME?</v>
      </c>
      <c r="E3297" s="23" t="e">
        <f ca="1">[1]!BexGetData("DP_1","003N8EMH8GTFRCSWKMPXRRL3Y","GSON5131")</f>
        <v>#NAME?</v>
      </c>
      <c r="F3297" s="23" t="e">
        <f ca="1">[1]!BexGetData("DP_1","003N8EMH8GTFRCSWKMPXRRRFI","GSON5131")</f>
        <v>#NAME?</v>
      </c>
      <c r="G3297" s="23" t="e">
        <f ca="1">[1]!BexGetData("DP_1","003N8EMH8GTFRCSWKMPXRRXR2","GSON5131")</f>
        <v>#NAME?</v>
      </c>
      <c r="H3297" s="23" t="e">
        <f ca="1">[1]!BexGetData("DP_1","003N8EMH8GTFRCSWKMPXRS42M","GSON5131")</f>
        <v>#NAME?</v>
      </c>
      <c r="I3297" s="23" t="e">
        <f ca="1">[1]!BexGetData("DP_1","003N8EMH8GTFRCSWKMPXRSAE6","GSON5131")</f>
        <v>#NAME?</v>
      </c>
      <c r="J3297" s="24" t="e">
        <f ca="1">[1]!BexGetData("DP_1","003N8EMH8GTFRCSWKMPXRSGPQ","GSON5131")</f>
        <v>#NAME?</v>
      </c>
      <c r="K3297" s="23" t="e">
        <f ca="1">[1]!BexGetData("DP_1","003N8EMH8GTFRIVNUPY288VJH","GSON5131")</f>
        <v>#NAME?</v>
      </c>
      <c r="L3297" s="23" t="e">
        <f ca="1">[1]!BexGetData("DP_1","003N8EMH8GTFRIVNUPY2891V1","GSON5131")</f>
        <v>#NAME?</v>
      </c>
      <c r="M3297" s="28" t="e">
        <f ca="1">[1]!BexGetData("DP_1","003N8EMH8GTFRIVOG7KG9IQXA","GSON5131")</f>
        <v>#NAME?</v>
      </c>
      <c r="N3297" s="23" t="e">
        <f ca="1">[1]!BexGetData("DP_1","003N8EMH8GTFRIVOG7KG9IX8U","GSON5131")</f>
        <v>#NAME?</v>
      </c>
      <c r="O3297" s="28" t="e">
        <f ca="1">[1]!BexGetData("DP_1","003N8EMH8GTFRIVOG7KG9J3KE","GSON5131")</f>
        <v>#NAME?</v>
      </c>
      <c r="P3297" s="23" t="e">
        <f ca="1">[1]!BexGetData("DP_1","003N8EMH8GTFRIVOG7KG9J9VY","GSON5131")</f>
        <v>#NAME?</v>
      </c>
      <c r="Q3297" s="24" t="e">
        <f ca="1">[1]!BexGetData("DP_1","00O2TNJGODT0G5Z4TTKYMM5MT","GSON5131")</f>
        <v>#NAME?</v>
      </c>
      <c r="R3297" s="23" t="e">
        <f ca="1">[1]!BexGetData("DP_1","00O2TNJGODT0G5Z4TTKYMMBYD","GSON5131")</f>
        <v>#NAME?</v>
      </c>
      <c r="S3297" s="23" t="e">
        <f ca="1">[1]!BexGetData("DP_1","00O2TNJGODT0G5Z4TTKYMMI9X","GSON5131")</f>
        <v>#NAME?</v>
      </c>
      <c r="T3297" s="28" t="e">
        <f ca="1">[1]!BexGetData("DP_1","00O2TNJGODT0G5Z4TTKYMMOLH","GSON5131")</f>
        <v>#NAME?</v>
      </c>
      <c r="U3297" s="23" t="e">
        <f ca="1">[1]!BexGetData("DP_1","00O2TNJGODT0G5Z4TTKYMMUX1","GSON5131")</f>
        <v>#NAME?</v>
      </c>
      <c r="V3297" s="28" t="e">
        <f ca="1">[1]!BexGetData("DP_1","00O2TNJGODT0G5Z4TTKYMN18L","GSON5131")</f>
        <v>#NAME?</v>
      </c>
      <c r="W3297" s="23" t="e">
        <f ca="1">[1]!BexGetData("DP_1","00O2TNJGODT0G5Z4TTKYMN7K5","GSON5131")</f>
        <v>#NAME?</v>
      </c>
    </row>
    <row r="3298" spans="1:23" x14ac:dyDescent="0.2">
      <c r="A3298" s="36" t="s">
        <v>1738</v>
      </c>
      <c r="B3298" s="27" t="s">
        <v>395</v>
      </c>
      <c r="C3298" s="23" t="e">
        <f ca="1">[1]!BexGetData("DP_1","003N8EMH8GTFRCSWKMPXRR8GU","GSON5131311011")</f>
        <v>#NAME?</v>
      </c>
      <c r="D3298" s="23" t="e">
        <f ca="1">[1]!BexGetData("DP_1","003N8EMH8GTFRCSWKMPXRRESE","GSON5131311011")</f>
        <v>#NAME?</v>
      </c>
      <c r="E3298" s="23" t="e">
        <f ca="1">[1]!BexGetData("DP_1","003N8EMH8GTFRCSWKMPXRRL3Y","GSON5131311011")</f>
        <v>#NAME?</v>
      </c>
      <c r="F3298" s="23" t="e">
        <f ca="1">[1]!BexGetData("DP_1","003N8EMH8GTFRCSWKMPXRRRFI","GSON5131311011")</f>
        <v>#NAME?</v>
      </c>
      <c r="G3298" s="23" t="e">
        <f ca="1">[1]!BexGetData("DP_1","003N8EMH8GTFRCSWKMPXRRXR2","GSON5131311011")</f>
        <v>#NAME?</v>
      </c>
      <c r="H3298" s="23" t="e">
        <f ca="1">[1]!BexGetData("DP_1","003N8EMH8GTFRCSWKMPXRS42M","GSON5131311011")</f>
        <v>#NAME?</v>
      </c>
      <c r="I3298" s="23" t="e">
        <f ca="1">[1]!BexGetData("DP_1","003N8EMH8GTFRCSWKMPXRSAE6","GSON5131311011")</f>
        <v>#NAME?</v>
      </c>
      <c r="J3298" s="24" t="e">
        <f ca="1">[1]!BexGetData("DP_1","003N8EMH8GTFRCSWKMPXRSGPQ","GSON5131311011")</f>
        <v>#NAME?</v>
      </c>
      <c r="K3298" s="23" t="e">
        <f ca="1">[1]!BexGetData("DP_1","003N8EMH8GTFRIVNUPY288VJH","GSON5131311011")</f>
        <v>#NAME?</v>
      </c>
      <c r="L3298" s="23" t="e">
        <f ca="1">[1]!BexGetData("DP_1","003N8EMH8GTFRIVNUPY2891V1","GSON5131311011")</f>
        <v>#NAME?</v>
      </c>
      <c r="M3298" s="28" t="e">
        <f ca="1">[1]!BexGetData("DP_1","003N8EMH8GTFRIVOG7KG9IQXA","GSON5131311011")</f>
        <v>#NAME?</v>
      </c>
      <c r="N3298" s="23" t="e">
        <f ca="1">[1]!BexGetData("DP_1","003N8EMH8GTFRIVOG7KG9IX8U","GSON5131311011")</f>
        <v>#NAME?</v>
      </c>
      <c r="O3298" s="28" t="e">
        <f ca="1">[1]!BexGetData("DP_1","003N8EMH8GTFRIVOG7KG9J3KE","GSON5131311011")</f>
        <v>#NAME?</v>
      </c>
      <c r="P3298" s="23" t="e">
        <f ca="1">[1]!BexGetData("DP_1","003N8EMH8GTFRIVOG7KG9J9VY","GSON5131311011")</f>
        <v>#NAME?</v>
      </c>
      <c r="Q3298" s="24" t="e">
        <f ca="1">[1]!BexGetData("DP_1","00O2TNJGODT0G5Z4TTKYMM5MT","GSON5131311011")</f>
        <v>#NAME?</v>
      </c>
      <c r="R3298" s="23" t="e">
        <f ca="1">[1]!BexGetData("DP_1","00O2TNJGODT0G5Z4TTKYMMBYD","GSON5131311011")</f>
        <v>#NAME?</v>
      </c>
      <c r="S3298" s="23" t="e">
        <f ca="1">[1]!BexGetData("DP_1","00O2TNJGODT0G5Z4TTKYMMI9X","GSON5131311011")</f>
        <v>#NAME?</v>
      </c>
      <c r="T3298" s="28" t="e">
        <f ca="1">[1]!BexGetData("DP_1","00O2TNJGODT0G5Z4TTKYMMOLH","GSON5131311011")</f>
        <v>#NAME?</v>
      </c>
      <c r="U3298" s="23" t="e">
        <f ca="1">[1]!BexGetData("DP_1","00O2TNJGODT0G5Z4TTKYMMUX1","GSON5131311011")</f>
        <v>#NAME?</v>
      </c>
      <c r="V3298" s="28" t="e">
        <f ca="1">[1]!BexGetData("DP_1","00O2TNJGODT0G5Z4TTKYMN18L","GSON5131311011")</f>
        <v>#NAME?</v>
      </c>
      <c r="W3298" s="23" t="e">
        <f ca="1">[1]!BexGetData("DP_1","00O2TNJGODT0G5Z4TTKYMN7K5","GSON5131311011")</f>
        <v>#NAME?</v>
      </c>
    </row>
    <row r="3299" spans="1:23" x14ac:dyDescent="0.2">
      <c r="A3299" s="36" t="s">
        <v>6750</v>
      </c>
      <c r="B3299" s="27" t="s">
        <v>6751</v>
      </c>
      <c r="C3299" s="23" t="e">
        <f ca="1">[1]!BexGetData("DP_1","003N8EMH8GTFRCSWKMPXRR8GU","GSON5131311021")</f>
        <v>#NAME?</v>
      </c>
      <c r="D3299" s="28" t="e">
        <f ca="1">[1]!BexGetData("DP_1","003N8EMH8GTFRCSWKMPXRRESE","GSON5131311021")</f>
        <v>#NAME?</v>
      </c>
      <c r="E3299" s="23" t="e">
        <f ca="1">[1]!BexGetData("DP_1","003N8EMH8GTFRCSWKMPXRRL3Y","GSON5131311021")</f>
        <v>#NAME?</v>
      </c>
      <c r="F3299" s="24" t="e">
        <f ca="1">[1]!BexGetData("DP_1","003N8EMH8GTFRCSWKMPXRRRFI","GSON5131311021")</f>
        <v>#NAME?</v>
      </c>
      <c r="G3299" s="24" t="e">
        <f ca="1">[1]!BexGetData("DP_1","003N8EMH8GTFRCSWKMPXRRXR2","GSON5131311021")</f>
        <v>#NAME?</v>
      </c>
      <c r="H3299" s="24" t="e">
        <f ca="1">[1]!BexGetData("DP_1","003N8EMH8GTFRCSWKMPXRS42M","GSON5131311021")</f>
        <v>#NAME?</v>
      </c>
      <c r="I3299" s="24" t="e">
        <f ca="1">[1]!BexGetData("DP_1","003N8EMH8GTFRCSWKMPXRSAE6","GSON5131311021")</f>
        <v>#NAME?</v>
      </c>
      <c r="J3299" s="24" t="e">
        <f ca="1">[1]!BexGetData("DP_1","003N8EMH8GTFRCSWKMPXRSGPQ","GSON5131311021")</f>
        <v>#NAME?</v>
      </c>
      <c r="K3299" s="23" t="e">
        <f ca="1">[1]!BexGetData("DP_1","003N8EMH8GTFRIVNUPY288VJH","GSON5131311021")</f>
        <v>#NAME?</v>
      </c>
      <c r="L3299" s="23" t="e">
        <f ca="1">[1]!BexGetData("DP_1","003N8EMH8GTFRIVNUPY2891V1","GSON5131311021")</f>
        <v>#NAME?</v>
      </c>
      <c r="M3299" s="28" t="e">
        <f ca="1">[1]!BexGetData("DP_1","003N8EMH8GTFRIVOG7KG9IQXA","GSON5131311021")</f>
        <v>#NAME?</v>
      </c>
      <c r="N3299" s="23" t="e">
        <f ca="1">[1]!BexGetData("DP_1","003N8EMH8GTFRIVOG7KG9IX8U","GSON5131311021")</f>
        <v>#NAME?</v>
      </c>
      <c r="O3299" s="28" t="e">
        <f ca="1">[1]!BexGetData("DP_1","003N8EMH8GTFRIVOG7KG9J3KE","GSON5131311021")</f>
        <v>#NAME?</v>
      </c>
      <c r="P3299" s="23" t="e">
        <f ca="1">[1]!BexGetData("DP_1","003N8EMH8GTFRIVOG7KG9J9VY","GSON5131311021")</f>
        <v>#NAME?</v>
      </c>
      <c r="Q3299" s="24" t="e">
        <f ca="1">[1]!BexGetData("DP_1","00O2TNJGODT0G5Z4TTKYMM5MT","GSON5131311021")</f>
        <v>#NAME?</v>
      </c>
      <c r="R3299" s="24" t="e">
        <f ca="1">[1]!BexGetData("DP_1","00O2TNJGODT0G5Z4TTKYMMBYD","GSON5131311021")</f>
        <v>#NAME?</v>
      </c>
      <c r="S3299" s="24" t="e">
        <f ca="1">[1]!BexGetData("DP_1","00O2TNJGODT0G5Z4TTKYMMI9X","GSON5131311021")</f>
        <v>#NAME?</v>
      </c>
      <c r="T3299" s="24" t="e">
        <f ca="1">[1]!BexGetData("DP_1","00O2TNJGODT0G5Z4TTKYMMOLH","GSON5131311021")</f>
        <v>#NAME?</v>
      </c>
      <c r="U3299" s="24" t="e">
        <f ca="1">[1]!BexGetData("DP_1","00O2TNJGODT0G5Z4TTKYMMUX1","GSON5131311021")</f>
        <v>#NAME?</v>
      </c>
      <c r="V3299" s="24" t="e">
        <f ca="1">[1]!BexGetData("DP_1","00O2TNJGODT0G5Z4TTKYMN18L","GSON5131311021")</f>
        <v>#NAME?</v>
      </c>
      <c r="W3299" s="24" t="e">
        <f ca="1">[1]!BexGetData("DP_1","00O2TNJGODT0G5Z4TTKYMN7K5","GSON5131311021")</f>
        <v>#NAME?</v>
      </c>
    </row>
    <row r="3300" spans="1:23" x14ac:dyDescent="0.2">
      <c r="A3300" s="36" t="s">
        <v>1569</v>
      </c>
      <c r="B3300" s="27" t="s">
        <v>1570</v>
      </c>
      <c r="C3300" s="23" t="e">
        <f ca="1">[1]!BexGetData("DP_1","003N8EMH8GTFRCSWKMPXRR8GU","GSON5131312011")</f>
        <v>#NAME?</v>
      </c>
      <c r="D3300" s="23" t="e">
        <f ca="1">[1]!BexGetData("DP_1","003N8EMH8GTFRCSWKMPXRRESE","GSON5131312011")</f>
        <v>#NAME?</v>
      </c>
      <c r="E3300" s="23" t="e">
        <f ca="1">[1]!BexGetData("DP_1","003N8EMH8GTFRCSWKMPXRRL3Y","GSON5131312011")</f>
        <v>#NAME?</v>
      </c>
      <c r="F3300" s="23" t="e">
        <f ca="1">[1]!BexGetData("DP_1","003N8EMH8GTFRCSWKMPXRRRFI","GSON5131312011")</f>
        <v>#NAME?</v>
      </c>
      <c r="G3300" s="23" t="e">
        <f ca="1">[1]!BexGetData("DP_1","003N8EMH8GTFRCSWKMPXRRXR2","GSON5131312011")</f>
        <v>#NAME?</v>
      </c>
      <c r="H3300" s="23" t="e">
        <f ca="1">[1]!BexGetData("DP_1","003N8EMH8GTFRCSWKMPXRS42M","GSON5131312011")</f>
        <v>#NAME?</v>
      </c>
      <c r="I3300" s="23" t="e">
        <f ca="1">[1]!BexGetData("DP_1","003N8EMH8GTFRCSWKMPXRSAE6","GSON5131312011")</f>
        <v>#NAME?</v>
      </c>
      <c r="J3300" s="24" t="e">
        <f ca="1">[1]!BexGetData("DP_1","003N8EMH8GTFRCSWKMPXRSGPQ","GSON5131312011")</f>
        <v>#NAME?</v>
      </c>
      <c r="K3300" s="23" t="e">
        <f ca="1">[1]!BexGetData("DP_1","003N8EMH8GTFRIVNUPY288VJH","GSON5131312011")</f>
        <v>#NAME?</v>
      </c>
      <c r="L3300" s="23" t="e">
        <f ca="1">[1]!BexGetData("DP_1","003N8EMH8GTFRIVNUPY2891V1","GSON5131312011")</f>
        <v>#NAME?</v>
      </c>
      <c r="M3300" s="23" t="e">
        <f ca="1">[1]!BexGetData("DP_1","003N8EMH8GTFRIVOG7KG9IQXA","GSON5131312011")</f>
        <v>#NAME?</v>
      </c>
      <c r="N3300" s="28" t="e">
        <f ca="1">[1]!BexGetData("DP_1","003N8EMH8GTFRIVOG7KG9IX8U","GSON5131312011")</f>
        <v>#NAME?</v>
      </c>
      <c r="O3300" s="23" t="e">
        <f ca="1">[1]!BexGetData("DP_1","003N8EMH8GTFRIVOG7KG9J3KE","GSON5131312011")</f>
        <v>#NAME?</v>
      </c>
      <c r="P3300" s="28" t="e">
        <f ca="1">[1]!BexGetData("DP_1","003N8EMH8GTFRIVOG7KG9J9VY","GSON5131312011")</f>
        <v>#NAME?</v>
      </c>
      <c r="Q3300" s="24" t="e">
        <f ca="1">[1]!BexGetData("DP_1","00O2TNJGODT0G5Z4TTKYMM5MT","GSON5131312011")</f>
        <v>#NAME?</v>
      </c>
      <c r="R3300" s="23" t="e">
        <f ca="1">[1]!BexGetData("DP_1","00O2TNJGODT0G5Z4TTKYMMBYD","GSON5131312011")</f>
        <v>#NAME?</v>
      </c>
      <c r="S3300" s="23" t="e">
        <f ca="1">[1]!BexGetData("DP_1","00O2TNJGODT0G5Z4TTKYMMI9X","GSON5131312011")</f>
        <v>#NAME?</v>
      </c>
      <c r="T3300" s="28" t="e">
        <f ca="1">[1]!BexGetData("DP_1","00O2TNJGODT0G5Z4TTKYMMOLH","GSON5131312011")</f>
        <v>#NAME?</v>
      </c>
      <c r="U3300" s="23" t="e">
        <f ca="1">[1]!BexGetData("DP_1","00O2TNJGODT0G5Z4TTKYMMUX1","GSON5131312011")</f>
        <v>#NAME?</v>
      </c>
      <c r="V3300" s="28" t="e">
        <f ca="1">[1]!BexGetData("DP_1","00O2TNJGODT0G5Z4TTKYMN18L","GSON5131312011")</f>
        <v>#NAME?</v>
      </c>
      <c r="W3300" s="23" t="e">
        <f ca="1">[1]!BexGetData("DP_1","00O2TNJGODT0G5Z4TTKYMN7K5","GSON5131312011")</f>
        <v>#NAME?</v>
      </c>
    </row>
    <row r="3301" spans="1:23" x14ac:dyDescent="0.2">
      <c r="A3301" s="36" t="s">
        <v>6752</v>
      </c>
      <c r="B3301" s="27" t="s">
        <v>1571</v>
      </c>
      <c r="C3301" s="23" t="e">
        <f ca="1">[1]!BexGetData("DP_1","003N8EMH8GTFRCSWKMPXRR8GU","GSON5131313011")</f>
        <v>#NAME?</v>
      </c>
      <c r="D3301" s="23" t="e">
        <f ca="1">[1]!BexGetData("DP_1","003N8EMH8GTFRCSWKMPXRRESE","GSON5131313011")</f>
        <v>#NAME?</v>
      </c>
      <c r="E3301" s="23" t="e">
        <f ca="1">[1]!BexGetData("DP_1","003N8EMH8GTFRCSWKMPXRRL3Y","GSON5131313011")</f>
        <v>#NAME?</v>
      </c>
      <c r="F3301" s="23" t="e">
        <f ca="1">[1]!BexGetData("DP_1","003N8EMH8GTFRCSWKMPXRRRFI","GSON5131313011")</f>
        <v>#NAME?</v>
      </c>
      <c r="G3301" s="23" t="e">
        <f ca="1">[1]!BexGetData("DP_1","003N8EMH8GTFRCSWKMPXRRXR2","GSON5131313011")</f>
        <v>#NAME?</v>
      </c>
      <c r="H3301" s="23" t="e">
        <f ca="1">[1]!BexGetData("DP_1","003N8EMH8GTFRCSWKMPXRS42M","GSON5131313011")</f>
        <v>#NAME?</v>
      </c>
      <c r="I3301" s="23" t="e">
        <f ca="1">[1]!BexGetData("DP_1","003N8EMH8GTFRCSWKMPXRSAE6","GSON5131313011")</f>
        <v>#NAME?</v>
      </c>
      <c r="J3301" s="24" t="e">
        <f ca="1">[1]!BexGetData("DP_1","003N8EMH8GTFRCSWKMPXRSGPQ","GSON5131313011")</f>
        <v>#NAME?</v>
      </c>
      <c r="K3301" s="23" t="e">
        <f ca="1">[1]!BexGetData("DP_1","003N8EMH8GTFRIVNUPY288VJH","GSON5131313011")</f>
        <v>#NAME?</v>
      </c>
      <c r="L3301" s="23" t="e">
        <f ca="1">[1]!BexGetData("DP_1","003N8EMH8GTFRIVNUPY2891V1","GSON5131313011")</f>
        <v>#NAME?</v>
      </c>
      <c r="M3301" s="28" t="e">
        <f ca="1">[1]!BexGetData("DP_1","003N8EMH8GTFRIVOG7KG9IQXA","GSON5131313011")</f>
        <v>#NAME?</v>
      </c>
      <c r="N3301" s="23" t="e">
        <f ca="1">[1]!BexGetData("DP_1","003N8EMH8GTFRIVOG7KG9IX8U","GSON5131313011")</f>
        <v>#NAME?</v>
      </c>
      <c r="O3301" s="28" t="e">
        <f ca="1">[1]!BexGetData("DP_1","003N8EMH8GTFRIVOG7KG9J3KE","GSON5131313011")</f>
        <v>#NAME?</v>
      </c>
      <c r="P3301" s="23" t="e">
        <f ca="1">[1]!BexGetData("DP_1","003N8EMH8GTFRIVOG7KG9J9VY","GSON5131313011")</f>
        <v>#NAME?</v>
      </c>
      <c r="Q3301" s="24" t="e">
        <f ca="1">[1]!BexGetData("DP_1","00O2TNJGODT0G5Z4TTKYMM5MT","GSON5131313011")</f>
        <v>#NAME?</v>
      </c>
      <c r="R3301" s="23" t="e">
        <f ca="1">[1]!BexGetData("DP_1","00O2TNJGODT0G5Z4TTKYMMBYD","GSON5131313011")</f>
        <v>#NAME?</v>
      </c>
      <c r="S3301" s="23" t="e">
        <f ca="1">[1]!BexGetData("DP_1","00O2TNJGODT0G5Z4TTKYMMI9X","GSON5131313011")</f>
        <v>#NAME?</v>
      </c>
      <c r="T3301" s="28" t="e">
        <f ca="1">[1]!BexGetData("DP_1","00O2TNJGODT0G5Z4TTKYMMOLH","GSON5131313011")</f>
        <v>#NAME?</v>
      </c>
      <c r="U3301" s="23" t="e">
        <f ca="1">[1]!BexGetData("DP_1","00O2TNJGODT0G5Z4TTKYMMUX1","GSON5131313011")</f>
        <v>#NAME?</v>
      </c>
      <c r="V3301" s="28" t="e">
        <f ca="1">[1]!BexGetData("DP_1","00O2TNJGODT0G5Z4TTKYMN18L","GSON5131313011")</f>
        <v>#NAME?</v>
      </c>
      <c r="W3301" s="23" t="e">
        <f ca="1">[1]!BexGetData("DP_1","00O2TNJGODT0G5Z4TTKYMN7K5","GSON5131313011")</f>
        <v>#NAME?</v>
      </c>
    </row>
    <row r="3302" spans="1:23" x14ac:dyDescent="0.2">
      <c r="A3302" s="36" t="s">
        <v>6753</v>
      </c>
      <c r="B3302" s="27" t="s">
        <v>6754</v>
      </c>
      <c r="C3302" s="23" t="e">
        <f ca="1">[1]!BexGetData("DP_1","003N8EMH8GTFRCSWKMPXRR8GU","GSON5131314011")</f>
        <v>#NAME?</v>
      </c>
      <c r="D3302" s="23" t="e">
        <f ca="1">[1]!BexGetData("DP_1","003N8EMH8GTFRCSWKMPXRRESE","GSON5131314011")</f>
        <v>#NAME?</v>
      </c>
      <c r="E3302" s="23" t="e">
        <f ca="1">[1]!BexGetData("DP_1","003N8EMH8GTFRCSWKMPXRRL3Y","GSON5131314011")</f>
        <v>#NAME?</v>
      </c>
      <c r="F3302" s="23" t="e">
        <f ca="1">[1]!BexGetData("DP_1","003N8EMH8GTFRCSWKMPXRRRFI","GSON5131314011")</f>
        <v>#NAME?</v>
      </c>
      <c r="G3302" s="23" t="e">
        <f ca="1">[1]!BexGetData("DP_1","003N8EMH8GTFRCSWKMPXRRXR2","GSON5131314011")</f>
        <v>#NAME?</v>
      </c>
      <c r="H3302" s="23" t="e">
        <f ca="1">[1]!BexGetData("DP_1","003N8EMH8GTFRCSWKMPXRS42M","GSON5131314011")</f>
        <v>#NAME?</v>
      </c>
      <c r="I3302" s="23" t="e">
        <f ca="1">[1]!BexGetData("DP_1","003N8EMH8GTFRCSWKMPXRSAE6","GSON5131314011")</f>
        <v>#NAME?</v>
      </c>
      <c r="J3302" s="24" t="e">
        <f ca="1">[1]!BexGetData("DP_1","003N8EMH8GTFRCSWKMPXRSGPQ","GSON5131314011")</f>
        <v>#NAME?</v>
      </c>
      <c r="K3302" s="23" t="e">
        <f ca="1">[1]!BexGetData("DP_1","003N8EMH8GTFRIVNUPY288VJH","GSON5131314011")</f>
        <v>#NAME?</v>
      </c>
      <c r="L3302" s="23" t="e">
        <f ca="1">[1]!BexGetData("DP_1","003N8EMH8GTFRIVNUPY2891V1","GSON5131314011")</f>
        <v>#NAME?</v>
      </c>
      <c r="M3302" s="28" t="e">
        <f ca="1">[1]!BexGetData("DP_1","003N8EMH8GTFRIVOG7KG9IQXA","GSON5131314011")</f>
        <v>#NAME?</v>
      </c>
      <c r="N3302" s="23" t="e">
        <f ca="1">[1]!BexGetData("DP_1","003N8EMH8GTFRIVOG7KG9IX8U","GSON5131314011")</f>
        <v>#NAME?</v>
      </c>
      <c r="O3302" s="28" t="e">
        <f ca="1">[1]!BexGetData("DP_1","003N8EMH8GTFRIVOG7KG9J3KE","GSON5131314011")</f>
        <v>#NAME?</v>
      </c>
      <c r="P3302" s="23" t="e">
        <f ca="1">[1]!BexGetData("DP_1","003N8EMH8GTFRIVOG7KG9J9VY","GSON5131314011")</f>
        <v>#NAME?</v>
      </c>
      <c r="Q3302" s="24" t="e">
        <f ca="1">[1]!BexGetData("DP_1","00O2TNJGODT0G5Z4TTKYMM5MT","GSON5131314011")</f>
        <v>#NAME?</v>
      </c>
      <c r="R3302" s="23" t="e">
        <f ca="1">[1]!BexGetData("DP_1","00O2TNJGODT0G5Z4TTKYMMBYD","GSON5131314011")</f>
        <v>#NAME?</v>
      </c>
      <c r="S3302" s="23" t="e">
        <f ca="1">[1]!BexGetData("DP_1","00O2TNJGODT0G5Z4TTKYMMI9X","GSON5131314011")</f>
        <v>#NAME?</v>
      </c>
      <c r="T3302" s="28" t="e">
        <f ca="1">[1]!BexGetData("DP_1","00O2TNJGODT0G5Z4TTKYMMOLH","GSON5131314011")</f>
        <v>#NAME?</v>
      </c>
      <c r="U3302" s="23" t="e">
        <f ca="1">[1]!BexGetData("DP_1","00O2TNJGODT0G5Z4TTKYMMUX1","GSON5131314011")</f>
        <v>#NAME?</v>
      </c>
      <c r="V3302" s="28" t="e">
        <f ca="1">[1]!BexGetData("DP_1","00O2TNJGODT0G5Z4TTKYMN18L","GSON5131314011")</f>
        <v>#NAME?</v>
      </c>
      <c r="W3302" s="23" t="e">
        <f ca="1">[1]!BexGetData("DP_1","00O2TNJGODT0G5Z4TTKYMN7K5","GSON5131314011")</f>
        <v>#NAME?</v>
      </c>
    </row>
    <row r="3303" spans="1:23" x14ac:dyDescent="0.2">
      <c r="A3303" s="36" t="s">
        <v>6755</v>
      </c>
      <c r="B3303" s="27" t="s">
        <v>396</v>
      </c>
      <c r="C3303" s="23" t="e">
        <f ca="1">[1]!BexGetData("DP_1","003N8EMH8GTFRCSWKMPXRR8GU","GSON5131315011")</f>
        <v>#NAME?</v>
      </c>
      <c r="D3303" s="23" t="e">
        <f ca="1">[1]!BexGetData("DP_1","003N8EMH8GTFRCSWKMPXRRESE","GSON5131315011")</f>
        <v>#NAME?</v>
      </c>
      <c r="E3303" s="23" t="e">
        <f ca="1">[1]!BexGetData("DP_1","003N8EMH8GTFRCSWKMPXRRL3Y","GSON5131315011")</f>
        <v>#NAME?</v>
      </c>
      <c r="F3303" s="23" t="e">
        <f ca="1">[1]!BexGetData("DP_1","003N8EMH8GTFRCSWKMPXRRRFI","GSON5131315011")</f>
        <v>#NAME?</v>
      </c>
      <c r="G3303" s="23" t="e">
        <f ca="1">[1]!BexGetData("DP_1","003N8EMH8GTFRCSWKMPXRRXR2","GSON5131315011")</f>
        <v>#NAME?</v>
      </c>
      <c r="H3303" s="23" t="e">
        <f ca="1">[1]!BexGetData("DP_1","003N8EMH8GTFRCSWKMPXRS42M","GSON5131315011")</f>
        <v>#NAME?</v>
      </c>
      <c r="I3303" s="23" t="e">
        <f ca="1">[1]!BexGetData("DP_1","003N8EMH8GTFRCSWKMPXRSAE6","GSON5131315011")</f>
        <v>#NAME?</v>
      </c>
      <c r="J3303" s="24" t="e">
        <f ca="1">[1]!BexGetData("DP_1","003N8EMH8GTFRCSWKMPXRSGPQ","GSON5131315011")</f>
        <v>#NAME?</v>
      </c>
      <c r="K3303" s="23" t="e">
        <f ca="1">[1]!BexGetData("DP_1","003N8EMH8GTFRIVNUPY288VJH","GSON5131315011")</f>
        <v>#NAME?</v>
      </c>
      <c r="L3303" s="23" t="e">
        <f ca="1">[1]!BexGetData("DP_1","003N8EMH8GTFRIVNUPY2891V1","GSON5131315011")</f>
        <v>#NAME?</v>
      </c>
      <c r="M3303" s="23" t="e">
        <f ca="1">[1]!BexGetData("DP_1","003N8EMH8GTFRIVOG7KG9IQXA","GSON5131315011")</f>
        <v>#NAME?</v>
      </c>
      <c r="N3303" s="28" t="e">
        <f ca="1">[1]!BexGetData("DP_1","003N8EMH8GTFRIVOG7KG9IX8U","GSON5131315011")</f>
        <v>#NAME?</v>
      </c>
      <c r="O3303" s="23" t="e">
        <f ca="1">[1]!BexGetData("DP_1","003N8EMH8GTFRIVOG7KG9J3KE","GSON5131315011")</f>
        <v>#NAME?</v>
      </c>
      <c r="P3303" s="28" t="e">
        <f ca="1">[1]!BexGetData("DP_1","003N8EMH8GTFRIVOG7KG9J9VY","GSON5131315011")</f>
        <v>#NAME?</v>
      </c>
      <c r="Q3303" s="24" t="e">
        <f ca="1">[1]!BexGetData("DP_1","00O2TNJGODT0G5Z4TTKYMM5MT","GSON5131315011")</f>
        <v>#NAME?</v>
      </c>
      <c r="R3303" s="23" t="e">
        <f ca="1">[1]!BexGetData("DP_1","00O2TNJGODT0G5Z4TTKYMMBYD","GSON5131315011")</f>
        <v>#NAME?</v>
      </c>
      <c r="S3303" s="23" t="e">
        <f ca="1">[1]!BexGetData("DP_1","00O2TNJGODT0G5Z4TTKYMMI9X","GSON5131315011")</f>
        <v>#NAME?</v>
      </c>
      <c r="T3303" s="28" t="e">
        <f ca="1">[1]!BexGetData("DP_1","00O2TNJGODT0G5Z4TTKYMMOLH","GSON5131315011")</f>
        <v>#NAME?</v>
      </c>
      <c r="U3303" s="23" t="e">
        <f ca="1">[1]!BexGetData("DP_1","00O2TNJGODT0G5Z4TTKYMMUX1","GSON5131315011")</f>
        <v>#NAME?</v>
      </c>
      <c r="V3303" s="28" t="e">
        <f ca="1">[1]!BexGetData("DP_1","00O2TNJGODT0G5Z4TTKYMN18L","GSON5131315011")</f>
        <v>#NAME?</v>
      </c>
      <c r="W3303" s="23" t="e">
        <f ca="1">[1]!BexGetData("DP_1","00O2TNJGODT0G5Z4TTKYMN7K5","GSON5131315011")</f>
        <v>#NAME?</v>
      </c>
    </row>
    <row r="3304" spans="1:23" x14ac:dyDescent="0.2">
      <c r="A3304" s="36" t="s">
        <v>6756</v>
      </c>
      <c r="B3304" s="27" t="s">
        <v>6757</v>
      </c>
      <c r="C3304" s="23" t="e">
        <f ca="1">[1]!BexGetData("DP_1","003N8EMH8GTFRCSWKMPXRR8GU","GSON5131316011")</f>
        <v>#NAME?</v>
      </c>
      <c r="D3304" s="23" t="e">
        <f ca="1">[1]!BexGetData("DP_1","003N8EMH8GTFRCSWKMPXRRESE","GSON5131316011")</f>
        <v>#NAME?</v>
      </c>
      <c r="E3304" s="23" t="e">
        <f ca="1">[1]!BexGetData("DP_1","003N8EMH8GTFRCSWKMPXRRL3Y","GSON5131316011")</f>
        <v>#NAME?</v>
      </c>
      <c r="F3304" s="23" t="e">
        <f ca="1">[1]!BexGetData("DP_1","003N8EMH8GTFRCSWKMPXRRRFI","GSON5131316011")</f>
        <v>#NAME?</v>
      </c>
      <c r="G3304" s="23" t="e">
        <f ca="1">[1]!BexGetData("DP_1","003N8EMH8GTFRCSWKMPXRRXR2","GSON5131316011")</f>
        <v>#NAME?</v>
      </c>
      <c r="H3304" s="23" t="e">
        <f ca="1">[1]!BexGetData("DP_1","003N8EMH8GTFRCSWKMPXRS42M","GSON5131316011")</f>
        <v>#NAME?</v>
      </c>
      <c r="I3304" s="23" t="e">
        <f ca="1">[1]!BexGetData("DP_1","003N8EMH8GTFRCSWKMPXRSAE6","GSON5131316011")</f>
        <v>#NAME?</v>
      </c>
      <c r="J3304" s="24" t="e">
        <f ca="1">[1]!BexGetData("DP_1","003N8EMH8GTFRCSWKMPXRSGPQ","GSON5131316011")</f>
        <v>#NAME?</v>
      </c>
      <c r="K3304" s="23" t="e">
        <f ca="1">[1]!BexGetData("DP_1","003N8EMH8GTFRIVNUPY288VJH","GSON5131316011")</f>
        <v>#NAME?</v>
      </c>
      <c r="L3304" s="23" t="e">
        <f ca="1">[1]!BexGetData("DP_1","003N8EMH8GTFRIVNUPY2891V1","GSON5131316011")</f>
        <v>#NAME?</v>
      </c>
      <c r="M3304" s="23" t="e">
        <f ca="1">[1]!BexGetData("DP_1","003N8EMH8GTFRIVOG7KG9IQXA","GSON5131316011")</f>
        <v>#NAME?</v>
      </c>
      <c r="N3304" s="28" t="e">
        <f ca="1">[1]!BexGetData("DP_1","003N8EMH8GTFRIVOG7KG9IX8U","GSON5131316011")</f>
        <v>#NAME?</v>
      </c>
      <c r="O3304" s="23" t="e">
        <f ca="1">[1]!BexGetData("DP_1","003N8EMH8GTFRIVOG7KG9J3KE","GSON5131316011")</f>
        <v>#NAME?</v>
      </c>
      <c r="P3304" s="28" t="e">
        <f ca="1">[1]!BexGetData("DP_1","003N8EMH8GTFRIVOG7KG9J9VY","GSON5131316011")</f>
        <v>#NAME?</v>
      </c>
      <c r="Q3304" s="24" t="e">
        <f ca="1">[1]!BexGetData("DP_1","00O2TNJGODT0G5Z4TTKYMM5MT","GSON5131316011")</f>
        <v>#NAME?</v>
      </c>
      <c r="R3304" s="23" t="e">
        <f ca="1">[1]!BexGetData("DP_1","00O2TNJGODT0G5Z4TTKYMMBYD","GSON5131316011")</f>
        <v>#NAME?</v>
      </c>
      <c r="S3304" s="23" t="e">
        <f ca="1">[1]!BexGetData("DP_1","00O2TNJGODT0G5Z4TTKYMMI9X","GSON5131316011")</f>
        <v>#NAME?</v>
      </c>
      <c r="T3304" s="28" t="e">
        <f ca="1">[1]!BexGetData("DP_1","00O2TNJGODT0G5Z4TTKYMMOLH","GSON5131316011")</f>
        <v>#NAME?</v>
      </c>
      <c r="U3304" s="23" t="e">
        <f ca="1">[1]!BexGetData("DP_1","00O2TNJGODT0G5Z4TTKYMMUX1","GSON5131316011")</f>
        <v>#NAME?</v>
      </c>
      <c r="V3304" s="28" t="e">
        <f ca="1">[1]!BexGetData("DP_1","00O2TNJGODT0G5Z4TTKYMN18L","GSON5131316011")</f>
        <v>#NAME?</v>
      </c>
      <c r="W3304" s="23" t="e">
        <f ca="1">[1]!BexGetData("DP_1","00O2TNJGODT0G5Z4TTKYMN7K5","GSON5131316011")</f>
        <v>#NAME?</v>
      </c>
    </row>
    <row r="3305" spans="1:23" x14ac:dyDescent="0.2">
      <c r="A3305" s="36" t="s">
        <v>6758</v>
      </c>
      <c r="B3305" s="27" t="s">
        <v>6759</v>
      </c>
      <c r="C3305" s="23" t="e">
        <f ca="1">[1]!BexGetData("DP_1","003N8EMH8GTFRCSWKMPXRR8GU","GSON5131317011")</f>
        <v>#NAME?</v>
      </c>
      <c r="D3305" s="23" t="e">
        <f ca="1">[1]!BexGetData("DP_1","003N8EMH8GTFRCSWKMPXRRESE","GSON5131317011")</f>
        <v>#NAME?</v>
      </c>
      <c r="E3305" s="23" t="e">
        <f ca="1">[1]!BexGetData("DP_1","003N8EMH8GTFRCSWKMPXRRL3Y","GSON5131317011")</f>
        <v>#NAME?</v>
      </c>
      <c r="F3305" s="23" t="e">
        <f ca="1">[1]!BexGetData("DP_1","003N8EMH8GTFRCSWKMPXRRRFI","GSON5131317011")</f>
        <v>#NAME?</v>
      </c>
      <c r="G3305" s="23" t="e">
        <f ca="1">[1]!BexGetData("DP_1","003N8EMH8GTFRCSWKMPXRRXR2","GSON5131317011")</f>
        <v>#NAME?</v>
      </c>
      <c r="H3305" s="23" t="e">
        <f ca="1">[1]!BexGetData("DP_1","003N8EMH8GTFRCSWKMPXRS42M","GSON5131317011")</f>
        <v>#NAME?</v>
      </c>
      <c r="I3305" s="23" t="e">
        <f ca="1">[1]!BexGetData("DP_1","003N8EMH8GTFRCSWKMPXRSAE6","GSON5131317011")</f>
        <v>#NAME?</v>
      </c>
      <c r="J3305" s="24" t="e">
        <f ca="1">[1]!BexGetData("DP_1","003N8EMH8GTFRCSWKMPXRSGPQ","GSON5131317011")</f>
        <v>#NAME?</v>
      </c>
      <c r="K3305" s="23" t="e">
        <f ca="1">[1]!BexGetData("DP_1","003N8EMH8GTFRIVNUPY288VJH","GSON5131317011")</f>
        <v>#NAME?</v>
      </c>
      <c r="L3305" s="23" t="e">
        <f ca="1">[1]!BexGetData("DP_1","003N8EMH8GTFRIVNUPY2891V1","GSON5131317011")</f>
        <v>#NAME?</v>
      </c>
      <c r="M3305" s="28" t="e">
        <f ca="1">[1]!BexGetData("DP_1","003N8EMH8GTFRIVOG7KG9IQXA","GSON5131317011")</f>
        <v>#NAME?</v>
      </c>
      <c r="N3305" s="23" t="e">
        <f ca="1">[1]!BexGetData("DP_1","003N8EMH8GTFRIVOG7KG9IX8U","GSON5131317011")</f>
        <v>#NAME?</v>
      </c>
      <c r="O3305" s="28" t="e">
        <f ca="1">[1]!BexGetData("DP_1","003N8EMH8GTFRIVOG7KG9J3KE","GSON5131317011")</f>
        <v>#NAME?</v>
      </c>
      <c r="P3305" s="23" t="e">
        <f ca="1">[1]!BexGetData("DP_1","003N8EMH8GTFRIVOG7KG9J9VY","GSON5131317011")</f>
        <v>#NAME?</v>
      </c>
      <c r="Q3305" s="24" t="e">
        <f ca="1">[1]!BexGetData("DP_1","00O2TNJGODT0G5Z4TTKYMM5MT","GSON5131317011")</f>
        <v>#NAME?</v>
      </c>
      <c r="R3305" s="23" t="e">
        <f ca="1">[1]!BexGetData("DP_1","00O2TNJGODT0G5Z4TTKYMMBYD","GSON5131317011")</f>
        <v>#NAME?</v>
      </c>
      <c r="S3305" s="23" t="e">
        <f ca="1">[1]!BexGetData("DP_1","00O2TNJGODT0G5Z4TTKYMMI9X","GSON5131317011")</f>
        <v>#NAME?</v>
      </c>
      <c r="T3305" s="28" t="e">
        <f ca="1">[1]!BexGetData("DP_1","00O2TNJGODT0G5Z4TTKYMMOLH","GSON5131317011")</f>
        <v>#NAME?</v>
      </c>
      <c r="U3305" s="23" t="e">
        <f ca="1">[1]!BexGetData("DP_1","00O2TNJGODT0G5Z4TTKYMMUX1","GSON5131317011")</f>
        <v>#NAME?</v>
      </c>
      <c r="V3305" s="28" t="e">
        <f ca="1">[1]!BexGetData("DP_1","00O2TNJGODT0G5Z4TTKYMN18L","GSON5131317011")</f>
        <v>#NAME?</v>
      </c>
      <c r="W3305" s="23" t="e">
        <f ca="1">[1]!BexGetData("DP_1","00O2TNJGODT0G5Z4TTKYMN7K5","GSON5131317011")</f>
        <v>#NAME?</v>
      </c>
    </row>
    <row r="3306" spans="1:23" x14ac:dyDescent="0.2">
      <c r="A3306" s="36" t="s">
        <v>6760</v>
      </c>
      <c r="B3306" s="27" t="s">
        <v>6761</v>
      </c>
      <c r="C3306" s="23" t="e">
        <f ca="1">[1]!BexGetData("DP_1","003N8EMH8GTFRCSWKMPXRR8GU","GSON5131317012")</f>
        <v>#NAME?</v>
      </c>
      <c r="D3306" s="23" t="e">
        <f ca="1">[1]!BexGetData("DP_1","003N8EMH8GTFRCSWKMPXRRESE","GSON5131317012")</f>
        <v>#NAME?</v>
      </c>
      <c r="E3306" s="23" t="e">
        <f ca="1">[1]!BexGetData("DP_1","003N8EMH8GTFRCSWKMPXRRL3Y","GSON5131317012")</f>
        <v>#NAME?</v>
      </c>
      <c r="F3306" s="24" t="e">
        <f ca="1">[1]!BexGetData("DP_1","003N8EMH8GTFRCSWKMPXRRRFI","GSON5131317012")</f>
        <v>#NAME?</v>
      </c>
      <c r="G3306" s="24" t="e">
        <f ca="1">[1]!BexGetData("DP_1","003N8EMH8GTFRCSWKMPXRRXR2","GSON5131317012")</f>
        <v>#NAME?</v>
      </c>
      <c r="H3306" s="24" t="e">
        <f ca="1">[1]!BexGetData("DP_1","003N8EMH8GTFRCSWKMPXRS42M","GSON5131317012")</f>
        <v>#NAME?</v>
      </c>
      <c r="I3306" s="24" t="e">
        <f ca="1">[1]!BexGetData("DP_1","003N8EMH8GTFRCSWKMPXRSAE6","GSON5131317012")</f>
        <v>#NAME?</v>
      </c>
      <c r="J3306" s="24" t="e">
        <f ca="1">[1]!BexGetData("DP_1","003N8EMH8GTFRCSWKMPXRSGPQ","GSON5131317012")</f>
        <v>#NAME?</v>
      </c>
      <c r="K3306" s="23" t="e">
        <f ca="1">[1]!BexGetData("DP_1","003N8EMH8GTFRIVNUPY288VJH","GSON5131317012")</f>
        <v>#NAME?</v>
      </c>
      <c r="L3306" s="23" t="e">
        <f ca="1">[1]!BexGetData("DP_1","003N8EMH8GTFRIVNUPY2891V1","GSON5131317012")</f>
        <v>#NAME?</v>
      </c>
      <c r="M3306" s="28" t="e">
        <f ca="1">[1]!BexGetData("DP_1","003N8EMH8GTFRIVOG7KG9IQXA","GSON5131317012")</f>
        <v>#NAME?</v>
      </c>
      <c r="N3306" s="23" t="e">
        <f ca="1">[1]!BexGetData("DP_1","003N8EMH8GTFRIVOG7KG9IX8U","GSON5131317012")</f>
        <v>#NAME?</v>
      </c>
      <c r="O3306" s="28" t="e">
        <f ca="1">[1]!BexGetData("DP_1","003N8EMH8GTFRIVOG7KG9J3KE","GSON5131317012")</f>
        <v>#NAME?</v>
      </c>
      <c r="P3306" s="23" t="e">
        <f ca="1">[1]!BexGetData("DP_1","003N8EMH8GTFRIVOG7KG9J9VY","GSON5131317012")</f>
        <v>#NAME?</v>
      </c>
      <c r="Q3306" s="24" t="e">
        <f ca="1">[1]!BexGetData("DP_1","00O2TNJGODT0G5Z4TTKYMM5MT","GSON5131317012")</f>
        <v>#NAME?</v>
      </c>
      <c r="R3306" s="24" t="e">
        <f ca="1">[1]!BexGetData("DP_1","00O2TNJGODT0G5Z4TTKYMMBYD","GSON5131317012")</f>
        <v>#NAME?</v>
      </c>
      <c r="S3306" s="24" t="e">
        <f ca="1">[1]!BexGetData("DP_1","00O2TNJGODT0G5Z4TTKYMMI9X","GSON5131317012")</f>
        <v>#NAME?</v>
      </c>
      <c r="T3306" s="24" t="e">
        <f ca="1">[1]!BexGetData("DP_1","00O2TNJGODT0G5Z4TTKYMMOLH","GSON5131317012")</f>
        <v>#NAME?</v>
      </c>
      <c r="U3306" s="24" t="e">
        <f ca="1">[1]!BexGetData("DP_1","00O2TNJGODT0G5Z4TTKYMMUX1","GSON5131317012")</f>
        <v>#NAME?</v>
      </c>
      <c r="V3306" s="24" t="e">
        <f ca="1">[1]!BexGetData("DP_1","00O2TNJGODT0G5Z4TTKYMN18L","GSON5131317012")</f>
        <v>#NAME?</v>
      </c>
      <c r="W3306" s="24" t="e">
        <f ca="1">[1]!BexGetData("DP_1","00O2TNJGODT0G5Z4TTKYMN7K5","GSON5131317012")</f>
        <v>#NAME?</v>
      </c>
    </row>
    <row r="3307" spans="1:23" x14ac:dyDescent="0.2">
      <c r="A3307" s="36" t="s">
        <v>6762</v>
      </c>
      <c r="B3307" s="27" t="s">
        <v>6763</v>
      </c>
      <c r="C3307" s="23" t="e">
        <f ca="1">[1]!BexGetData("DP_1","003N8EMH8GTFRCSWKMPXRR8GU","GSON5131318011")</f>
        <v>#NAME?</v>
      </c>
      <c r="D3307" s="23" t="e">
        <f ca="1">[1]!BexGetData("DP_1","003N8EMH8GTFRCSWKMPXRRESE","GSON5131318011")</f>
        <v>#NAME?</v>
      </c>
      <c r="E3307" s="23" t="e">
        <f ca="1">[1]!BexGetData("DP_1","003N8EMH8GTFRCSWKMPXRRL3Y","GSON5131318011")</f>
        <v>#NAME?</v>
      </c>
      <c r="F3307" s="23" t="e">
        <f ca="1">[1]!BexGetData("DP_1","003N8EMH8GTFRCSWKMPXRRRFI","GSON5131318011")</f>
        <v>#NAME?</v>
      </c>
      <c r="G3307" s="23" t="e">
        <f ca="1">[1]!BexGetData("DP_1","003N8EMH8GTFRCSWKMPXRRXR2","GSON5131318011")</f>
        <v>#NAME?</v>
      </c>
      <c r="H3307" s="23" t="e">
        <f ca="1">[1]!BexGetData("DP_1","003N8EMH8GTFRCSWKMPXRS42M","GSON5131318011")</f>
        <v>#NAME?</v>
      </c>
      <c r="I3307" s="23" t="e">
        <f ca="1">[1]!BexGetData("DP_1","003N8EMH8GTFRCSWKMPXRSAE6","GSON5131318011")</f>
        <v>#NAME?</v>
      </c>
      <c r="J3307" s="24" t="e">
        <f ca="1">[1]!BexGetData("DP_1","003N8EMH8GTFRCSWKMPXRSGPQ","GSON5131318011")</f>
        <v>#NAME?</v>
      </c>
      <c r="K3307" s="23" t="e">
        <f ca="1">[1]!BexGetData("DP_1","003N8EMH8GTFRIVNUPY288VJH","GSON5131318011")</f>
        <v>#NAME?</v>
      </c>
      <c r="L3307" s="23" t="e">
        <f ca="1">[1]!BexGetData("DP_1","003N8EMH8GTFRIVNUPY2891V1","GSON5131318011")</f>
        <v>#NAME?</v>
      </c>
      <c r="M3307" s="28" t="e">
        <f ca="1">[1]!BexGetData("DP_1","003N8EMH8GTFRIVOG7KG9IQXA","GSON5131318011")</f>
        <v>#NAME?</v>
      </c>
      <c r="N3307" s="23" t="e">
        <f ca="1">[1]!BexGetData("DP_1","003N8EMH8GTFRIVOG7KG9IX8U","GSON5131318011")</f>
        <v>#NAME?</v>
      </c>
      <c r="O3307" s="28" t="e">
        <f ca="1">[1]!BexGetData("DP_1","003N8EMH8GTFRIVOG7KG9J3KE","GSON5131318011")</f>
        <v>#NAME?</v>
      </c>
      <c r="P3307" s="23" t="e">
        <f ca="1">[1]!BexGetData("DP_1","003N8EMH8GTFRIVOG7KG9J9VY","GSON5131318011")</f>
        <v>#NAME?</v>
      </c>
      <c r="Q3307" s="24" t="e">
        <f ca="1">[1]!BexGetData("DP_1","00O2TNJGODT0G5Z4TTKYMM5MT","GSON5131318011")</f>
        <v>#NAME?</v>
      </c>
      <c r="R3307" s="23" t="e">
        <f ca="1">[1]!BexGetData("DP_1","00O2TNJGODT0G5Z4TTKYMMBYD","GSON5131318011")</f>
        <v>#NAME?</v>
      </c>
      <c r="S3307" s="23" t="e">
        <f ca="1">[1]!BexGetData("DP_1","00O2TNJGODT0G5Z4TTKYMMI9X","GSON5131318011")</f>
        <v>#NAME?</v>
      </c>
      <c r="T3307" s="28" t="e">
        <f ca="1">[1]!BexGetData("DP_1","00O2TNJGODT0G5Z4TTKYMMOLH","GSON5131318011")</f>
        <v>#NAME?</v>
      </c>
      <c r="U3307" s="23" t="e">
        <f ca="1">[1]!BexGetData("DP_1","00O2TNJGODT0G5Z4TTKYMMUX1","GSON5131318011")</f>
        <v>#NAME?</v>
      </c>
      <c r="V3307" s="28" t="e">
        <f ca="1">[1]!BexGetData("DP_1","00O2TNJGODT0G5Z4TTKYMN18L","GSON5131318011")</f>
        <v>#NAME?</v>
      </c>
      <c r="W3307" s="23" t="e">
        <f ca="1">[1]!BexGetData("DP_1","00O2TNJGODT0G5Z4TTKYMN7K5","GSON5131318011")</f>
        <v>#NAME?</v>
      </c>
    </row>
    <row r="3308" spans="1:23" x14ac:dyDescent="0.2">
      <c r="A3308" s="36" t="s">
        <v>6764</v>
      </c>
      <c r="B3308" s="27" t="s">
        <v>6765</v>
      </c>
      <c r="C3308" s="23" t="e">
        <f ca="1">[1]!BexGetData("DP_1","003N8EMH8GTFRCSWKMPXRR8GU","GSON5131319011")</f>
        <v>#NAME?</v>
      </c>
      <c r="D3308" s="23" t="e">
        <f ca="1">[1]!BexGetData("DP_1","003N8EMH8GTFRCSWKMPXRRESE","GSON5131319011")</f>
        <v>#NAME?</v>
      </c>
      <c r="E3308" s="23" t="e">
        <f ca="1">[1]!BexGetData("DP_1","003N8EMH8GTFRCSWKMPXRRL3Y","GSON5131319011")</f>
        <v>#NAME?</v>
      </c>
      <c r="F3308" s="23" t="e">
        <f ca="1">[1]!BexGetData("DP_1","003N8EMH8GTFRCSWKMPXRRRFI","GSON5131319011")</f>
        <v>#NAME?</v>
      </c>
      <c r="G3308" s="23" t="e">
        <f ca="1">[1]!BexGetData("DP_1","003N8EMH8GTFRCSWKMPXRRXR2","GSON5131319011")</f>
        <v>#NAME?</v>
      </c>
      <c r="H3308" s="23" t="e">
        <f ca="1">[1]!BexGetData("DP_1","003N8EMH8GTFRCSWKMPXRS42M","GSON5131319011")</f>
        <v>#NAME?</v>
      </c>
      <c r="I3308" s="23" t="e">
        <f ca="1">[1]!BexGetData("DP_1","003N8EMH8GTFRCSWKMPXRSAE6","GSON5131319011")</f>
        <v>#NAME?</v>
      </c>
      <c r="J3308" s="24" t="e">
        <f ca="1">[1]!BexGetData("DP_1","003N8EMH8GTFRCSWKMPXRSGPQ","GSON5131319011")</f>
        <v>#NAME?</v>
      </c>
      <c r="K3308" s="23" t="e">
        <f ca="1">[1]!BexGetData("DP_1","003N8EMH8GTFRIVNUPY288VJH","GSON5131319011")</f>
        <v>#NAME?</v>
      </c>
      <c r="L3308" s="23" t="e">
        <f ca="1">[1]!BexGetData("DP_1","003N8EMH8GTFRIVNUPY2891V1","GSON5131319011")</f>
        <v>#NAME?</v>
      </c>
      <c r="M3308" s="28" t="e">
        <f ca="1">[1]!BexGetData("DP_1","003N8EMH8GTFRIVOG7KG9IQXA","GSON5131319011")</f>
        <v>#NAME?</v>
      </c>
      <c r="N3308" s="23" t="e">
        <f ca="1">[1]!BexGetData("DP_1","003N8EMH8GTFRIVOG7KG9IX8U","GSON5131319011")</f>
        <v>#NAME?</v>
      </c>
      <c r="O3308" s="28" t="e">
        <f ca="1">[1]!BexGetData("DP_1","003N8EMH8GTFRIVOG7KG9J3KE","GSON5131319011")</f>
        <v>#NAME?</v>
      </c>
      <c r="P3308" s="23" t="e">
        <f ca="1">[1]!BexGetData("DP_1","003N8EMH8GTFRIVOG7KG9J9VY","GSON5131319011")</f>
        <v>#NAME?</v>
      </c>
      <c r="Q3308" s="24" t="e">
        <f ca="1">[1]!BexGetData("DP_1","00O2TNJGODT0G5Z4TTKYMM5MT","GSON5131319011")</f>
        <v>#NAME?</v>
      </c>
      <c r="R3308" s="23" t="e">
        <f ca="1">[1]!BexGetData("DP_1","00O2TNJGODT0G5Z4TTKYMMBYD","GSON5131319011")</f>
        <v>#NAME?</v>
      </c>
      <c r="S3308" s="23" t="e">
        <f ca="1">[1]!BexGetData("DP_1","00O2TNJGODT0G5Z4TTKYMMI9X","GSON5131319011")</f>
        <v>#NAME?</v>
      </c>
      <c r="T3308" s="28" t="e">
        <f ca="1">[1]!BexGetData("DP_1","00O2TNJGODT0G5Z4TTKYMMOLH","GSON5131319011")</f>
        <v>#NAME?</v>
      </c>
      <c r="U3308" s="23" t="e">
        <f ca="1">[1]!BexGetData("DP_1","00O2TNJGODT0G5Z4TTKYMMUX1","GSON5131319011")</f>
        <v>#NAME?</v>
      </c>
      <c r="V3308" s="28" t="e">
        <f ca="1">[1]!BexGetData("DP_1","00O2TNJGODT0G5Z4TTKYMN18L","GSON5131319011")</f>
        <v>#NAME?</v>
      </c>
      <c r="W3308" s="23" t="e">
        <f ca="1">[1]!BexGetData("DP_1","00O2TNJGODT0G5Z4TTKYMN7K5","GSON5131319011")</f>
        <v>#NAME?</v>
      </c>
    </row>
    <row r="3309" spans="1:23" x14ac:dyDescent="0.2">
      <c r="A3309" s="35" t="s">
        <v>397</v>
      </c>
      <c r="B3309" s="27" t="s">
        <v>398</v>
      </c>
      <c r="C3309" s="23" t="e">
        <f ca="1">[1]!BexGetData("DP_1","003N8EMH8GTFRCSWKMPXRR8GU","GSON5132")</f>
        <v>#NAME?</v>
      </c>
      <c r="D3309" s="23" t="e">
        <f ca="1">[1]!BexGetData("DP_1","003N8EMH8GTFRCSWKMPXRRESE","GSON5132")</f>
        <v>#NAME?</v>
      </c>
      <c r="E3309" s="23" t="e">
        <f ca="1">[1]!BexGetData("DP_1","003N8EMH8GTFRCSWKMPXRRL3Y","GSON5132")</f>
        <v>#NAME?</v>
      </c>
      <c r="F3309" s="23" t="e">
        <f ca="1">[1]!BexGetData("DP_1","003N8EMH8GTFRCSWKMPXRRRFI","GSON5132")</f>
        <v>#NAME?</v>
      </c>
      <c r="G3309" s="23" t="e">
        <f ca="1">[1]!BexGetData("DP_1","003N8EMH8GTFRCSWKMPXRRXR2","GSON5132")</f>
        <v>#NAME?</v>
      </c>
      <c r="H3309" s="23" t="e">
        <f ca="1">[1]!BexGetData("DP_1","003N8EMH8GTFRCSWKMPXRS42M","GSON5132")</f>
        <v>#NAME?</v>
      </c>
      <c r="I3309" s="23" t="e">
        <f ca="1">[1]!BexGetData("DP_1","003N8EMH8GTFRCSWKMPXRSAE6","GSON5132")</f>
        <v>#NAME?</v>
      </c>
      <c r="J3309" s="24" t="e">
        <f ca="1">[1]!BexGetData("DP_1","003N8EMH8GTFRCSWKMPXRSGPQ","GSON5132")</f>
        <v>#NAME?</v>
      </c>
      <c r="K3309" s="23" t="e">
        <f ca="1">[1]!BexGetData("DP_1","003N8EMH8GTFRIVNUPY288VJH","GSON5132")</f>
        <v>#NAME?</v>
      </c>
      <c r="L3309" s="23" t="e">
        <f ca="1">[1]!BexGetData("DP_1","003N8EMH8GTFRIVNUPY2891V1","GSON5132")</f>
        <v>#NAME?</v>
      </c>
      <c r="M3309" s="28" t="e">
        <f ca="1">[1]!BexGetData("DP_1","003N8EMH8GTFRIVOG7KG9IQXA","GSON5132")</f>
        <v>#NAME?</v>
      </c>
      <c r="N3309" s="23" t="e">
        <f ca="1">[1]!BexGetData("DP_1","003N8EMH8GTFRIVOG7KG9IX8U","GSON5132")</f>
        <v>#NAME?</v>
      </c>
      <c r="O3309" s="28" t="e">
        <f ca="1">[1]!BexGetData("DP_1","003N8EMH8GTFRIVOG7KG9J3KE","GSON5132")</f>
        <v>#NAME?</v>
      </c>
      <c r="P3309" s="23" t="e">
        <f ca="1">[1]!BexGetData("DP_1","003N8EMH8GTFRIVOG7KG9J9VY","GSON5132")</f>
        <v>#NAME?</v>
      </c>
      <c r="Q3309" s="24" t="e">
        <f ca="1">[1]!BexGetData("DP_1","00O2TNJGODT0G5Z4TTKYMM5MT","GSON5132")</f>
        <v>#NAME?</v>
      </c>
      <c r="R3309" s="23" t="e">
        <f ca="1">[1]!BexGetData("DP_1","00O2TNJGODT0G5Z4TTKYMMBYD","GSON5132")</f>
        <v>#NAME?</v>
      </c>
      <c r="S3309" s="23" t="e">
        <f ca="1">[1]!BexGetData("DP_1","00O2TNJGODT0G5Z4TTKYMMI9X","GSON5132")</f>
        <v>#NAME?</v>
      </c>
      <c r="T3309" s="28" t="e">
        <f ca="1">[1]!BexGetData("DP_1","00O2TNJGODT0G5Z4TTKYMMOLH","GSON5132")</f>
        <v>#NAME?</v>
      </c>
      <c r="U3309" s="23" t="e">
        <f ca="1">[1]!BexGetData("DP_1","00O2TNJGODT0G5Z4TTKYMMUX1","GSON5132")</f>
        <v>#NAME?</v>
      </c>
      <c r="V3309" s="28" t="e">
        <f ca="1">[1]!BexGetData("DP_1","00O2TNJGODT0G5Z4TTKYMN18L","GSON5132")</f>
        <v>#NAME?</v>
      </c>
      <c r="W3309" s="23" t="e">
        <f ca="1">[1]!BexGetData("DP_1","00O2TNJGODT0G5Z4TTKYMN7K5","GSON5132")</f>
        <v>#NAME?</v>
      </c>
    </row>
    <row r="3310" spans="1:23" x14ac:dyDescent="0.2">
      <c r="A3310" s="36" t="s">
        <v>6766</v>
      </c>
      <c r="B3310" s="27" t="s">
        <v>1572</v>
      </c>
      <c r="C3310" s="23" t="e">
        <f ca="1">[1]!BexGetData("DP_1","003N8EMH8GTFRCSWKMPXRR8GU","GSON5132321011")</f>
        <v>#NAME?</v>
      </c>
      <c r="D3310" s="28" t="e">
        <f ca="1">[1]!BexGetData("DP_1","003N8EMH8GTFRCSWKMPXRRESE","GSON5132321011")</f>
        <v>#NAME?</v>
      </c>
      <c r="E3310" s="23" t="e">
        <f ca="1">[1]!BexGetData("DP_1","003N8EMH8GTFRCSWKMPXRRL3Y","GSON5132321011")</f>
        <v>#NAME?</v>
      </c>
      <c r="F3310" s="23" t="e">
        <f ca="1">[1]!BexGetData("DP_1","003N8EMH8GTFRCSWKMPXRRRFI","GSON5132321011")</f>
        <v>#NAME?</v>
      </c>
      <c r="G3310" s="23" t="e">
        <f ca="1">[1]!BexGetData("DP_1","003N8EMH8GTFRCSWKMPXRRXR2","GSON5132321011")</f>
        <v>#NAME?</v>
      </c>
      <c r="H3310" s="23" t="e">
        <f ca="1">[1]!BexGetData("DP_1","003N8EMH8GTFRCSWKMPXRS42M","GSON5132321011")</f>
        <v>#NAME?</v>
      </c>
      <c r="I3310" s="23" t="e">
        <f ca="1">[1]!BexGetData("DP_1","003N8EMH8GTFRCSWKMPXRSAE6","GSON5132321011")</f>
        <v>#NAME?</v>
      </c>
      <c r="J3310" s="24" t="e">
        <f ca="1">[1]!BexGetData("DP_1","003N8EMH8GTFRCSWKMPXRSGPQ","GSON5132321011")</f>
        <v>#NAME?</v>
      </c>
      <c r="K3310" s="23" t="e">
        <f ca="1">[1]!BexGetData("DP_1","003N8EMH8GTFRIVNUPY288VJH","GSON5132321011")</f>
        <v>#NAME?</v>
      </c>
      <c r="L3310" s="23" t="e">
        <f ca="1">[1]!BexGetData("DP_1","003N8EMH8GTFRIVNUPY2891V1","GSON5132321011")</f>
        <v>#NAME?</v>
      </c>
      <c r="M3310" s="28" t="e">
        <f ca="1">[1]!BexGetData("DP_1","003N8EMH8GTFRIVOG7KG9IQXA","GSON5132321011")</f>
        <v>#NAME?</v>
      </c>
      <c r="N3310" s="23" t="e">
        <f ca="1">[1]!BexGetData("DP_1","003N8EMH8GTFRIVOG7KG9IX8U","GSON5132321011")</f>
        <v>#NAME?</v>
      </c>
      <c r="O3310" s="28" t="e">
        <f ca="1">[1]!BexGetData("DP_1","003N8EMH8GTFRIVOG7KG9J3KE","GSON5132321011")</f>
        <v>#NAME?</v>
      </c>
      <c r="P3310" s="23" t="e">
        <f ca="1">[1]!BexGetData("DP_1","003N8EMH8GTFRIVOG7KG9J9VY","GSON5132321011")</f>
        <v>#NAME?</v>
      </c>
      <c r="Q3310" s="24" t="e">
        <f ca="1">[1]!BexGetData("DP_1","00O2TNJGODT0G5Z4TTKYMM5MT","GSON5132321011")</f>
        <v>#NAME?</v>
      </c>
      <c r="R3310" s="23" t="e">
        <f ca="1">[1]!BexGetData("DP_1","00O2TNJGODT0G5Z4TTKYMMBYD","GSON5132321011")</f>
        <v>#NAME?</v>
      </c>
      <c r="S3310" s="23" t="e">
        <f ca="1">[1]!BexGetData("DP_1","00O2TNJGODT0G5Z4TTKYMMI9X","GSON5132321011")</f>
        <v>#NAME?</v>
      </c>
      <c r="T3310" s="28" t="e">
        <f ca="1">[1]!BexGetData("DP_1","00O2TNJGODT0G5Z4TTKYMMOLH","GSON5132321011")</f>
        <v>#NAME?</v>
      </c>
      <c r="U3310" s="23" t="e">
        <f ca="1">[1]!BexGetData("DP_1","00O2TNJGODT0G5Z4TTKYMMUX1","GSON5132321011")</f>
        <v>#NAME?</v>
      </c>
      <c r="V3310" s="28" t="e">
        <f ca="1">[1]!BexGetData("DP_1","00O2TNJGODT0G5Z4TTKYMN18L","GSON5132321011")</f>
        <v>#NAME?</v>
      </c>
      <c r="W3310" s="23" t="e">
        <f ca="1">[1]!BexGetData("DP_1","00O2TNJGODT0G5Z4TTKYMN7K5","GSON5132321011")</f>
        <v>#NAME?</v>
      </c>
    </row>
    <row r="3311" spans="1:23" x14ac:dyDescent="0.2">
      <c r="A3311" s="36" t="s">
        <v>6767</v>
      </c>
      <c r="B3311" s="27" t="s">
        <v>399</v>
      </c>
      <c r="C3311" s="23" t="e">
        <f ca="1">[1]!BexGetData("DP_1","003N8EMH8GTFRCSWKMPXRR8GU","GSON5132322011")</f>
        <v>#NAME?</v>
      </c>
      <c r="D3311" s="23" t="e">
        <f ca="1">[1]!BexGetData("DP_1","003N8EMH8GTFRCSWKMPXRRESE","GSON5132322011")</f>
        <v>#NAME?</v>
      </c>
      <c r="E3311" s="23" t="e">
        <f ca="1">[1]!BexGetData("DP_1","003N8EMH8GTFRCSWKMPXRRL3Y","GSON5132322011")</f>
        <v>#NAME?</v>
      </c>
      <c r="F3311" s="23" t="e">
        <f ca="1">[1]!BexGetData("DP_1","003N8EMH8GTFRCSWKMPXRRRFI","GSON5132322011")</f>
        <v>#NAME?</v>
      </c>
      <c r="G3311" s="23" t="e">
        <f ca="1">[1]!BexGetData("DP_1","003N8EMH8GTFRCSWKMPXRRXR2","GSON5132322011")</f>
        <v>#NAME?</v>
      </c>
      <c r="H3311" s="23" t="e">
        <f ca="1">[1]!BexGetData("DP_1","003N8EMH8GTFRCSWKMPXRS42M","GSON5132322011")</f>
        <v>#NAME?</v>
      </c>
      <c r="I3311" s="23" t="e">
        <f ca="1">[1]!BexGetData("DP_1","003N8EMH8GTFRCSWKMPXRSAE6","GSON5132322011")</f>
        <v>#NAME?</v>
      </c>
      <c r="J3311" s="24" t="e">
        <f ca="1">[1]!BexGetData("DP_1","003N8EMH8GTFRCSWKMPXRSGPQ","GSON5132322011")</f>
        <v>#NAME?</v>
      </c>
      <c r="K3311" s="23" t="e">
        <f ca="1">[1]!BexGetData("DP_1","003N8EMH8GTFRIVNUPY288VJH","GSON5132322011")</f>
        <v>#NAME?</v>
      </c>
      <c r="L3311" s="23" t="e">
        <f ca="1">[1]!BexGetData("DP_1","003N8EMH8GTFRIVNUPY2891V1","GSON5132322011")</f>
        <v>#NAME?</v>
      </c>
      <c r="M3311" s="28" t="e">
        <f ca="1">[1]!BexGetData("DP_1","003N8EMH8GTFRIVOG7KG9IQXA","GSON5132322011")</f>
        <v>#NAME?</v>
      </c>
      <c r="N3311" s="23" t="e">
        <f ca="1">[1]!BexGetData("DP_1","003N8EMH8GTFRIVOG7KG9IX8U","GSON5132322011")</f>
        <v>#NAME?</v>
      </c>
      <c r="O3311" s="28" t="e">
        <f ca="1">[1]!BexGetData("DP_1","003N8EMH8GTFRIVOG7KG9J3KE","GSON5132322011")</f>
        <v>#NAME?</v>
      </c>
      <c r="P3311" s="23" t="e">
        <f ca="1">[1]!BexGetData("DP_1","003N8EMH8GTFRIVOG7KG9J9VY","GSON5132322011")</f>
        <v>#NAME?</v>
      </c>
      <c r="Q3311" s="24" t="e">
        <f ca="1">[1]!BexGetData("DP_1","00O2TNJGODT0G5Z4TTKYMM5MT","GSON5132322011")</f>
        <v>#NAME?</v>
      </c>
      <c r="R3311" s="23" t="e">
        <f ca="1">[1]!BexGetData("DP_1","00O2TNJGODT0G5Z4TTKYMMBYD","GSON5132322011")</f>
        <v>#NAME?</v>
      </c>
      <c r="S3311" s="23" t="e">
        <f ca="1">[1]!BexGetData("DP_1","00O2TNJGODT0G5Z4TTKYMMI9X","GSON5132322011")</f>
        <v>#NAME?</v>
      </c>
      <c r="T3311" s="28" t="e">
        <f ca="1">[1]!BexGetData("DP_1","00O2TNJGODT0G5Z4TTKYMMOLH","GSON5132322011")</f>
        <v>#NAME?</v>
      </c>
      <c r="U3311" s="23" t="e">
        <f ca="1">[1]!BexGetData("DP_1","00O2TNJGODT0G5Z4TTKYMMUX1","GSON5132322011")</f>
        <v>#NAME?</v>
      </c>
      <c r="V3311" s="28" t="e">
        <f ca="1">[1]!BexGetData("DP_1","00O2TNJGODT0G5Z4TTKYMN18L","GSON5132322011")</f>
        <v>#NAME?</v>
      </c>
      <c r="W3311" s="23" t="e">
        <f ca="1">[1]!BexGetData("DP_1","00O2TNJGODT0G5Z4TTKYMN7K5","GSON5132322011")</f>
        <v>#NAME?</v>
      </c>
    </row>
    <row r="3312" spans="1:23" x14ac:dyDescent="0.2">
      <c r="A3312" s="36" t="s">
        <v>6768</v>
      </c>
      <c r="B3312" s="27" t="s">
        <v>6769</v>
      </c>
      <c r="C3312" s="23" t="e">
        <f ca="1">[1]!BexGetData("DP_1","003N8EMH8GTFRCSWKMPXRR8GU","GSON5132323011")</f>
        <v>#NAME?</v>
      </c>
      <c r="D3312" s="23" t="e">
        <f ca="1">[1]!BexGetData("DP_1","003N8EMH8GTFRCSWKMPXRRESE","GSON5132323011")</f>
        <v>#NAME?</v>
      </c>
      <c r="E3312" s="23" t="e">
        <f ca="1">[1]!BexGetData("DP_1","003N8EMH8GTFRCSWKMPXRRL3Y","GSON5132323011")</f>
        <v>#NAME?</v>
      </c>
      <c r="F3312" s="23" t="e">
        <f ca="1">[1]!BexGetData("DP_1","003N8EMH8GTFRCSWKMPXRRRFI","GSON5132323011")</f>
        <v>#NAME?</v>
      </c>
      <c r="G3312" s="23" t="e">
        <f ca="1">[1]!BexGetData("DP_1","003N8EMH8GTFRCSWKMPXRRXR2","GSON5132323011")</f>
        <v>#NAME?</v>
      </c>
      <c r="H3312" s="23" t="e">
        <f ca="1">[1]!BexGetData("DP_1","003N8EMH8GTFRCSWKMPXRS42M","GSON5132323011")</f>
        <v>#NAME?</v>
      </c>
      <c r="I3312" s="23" t="e">
        <f ca="1">[1]!BexGetData("DP_1","003N8EMH8GTFRCSWKMPXRSAE6","GSON5132323011")</f>
        <v>#NAME?</v>
      </c>
      <c r="J3312" s="24" t="e">
        <f ca="1">[1]!BexGetData("DP_1","003N8EMH8GTFRCSWKMPXRSGPQ","GSON5132323011")</f>
        <v>#NAME?</v>
      </c>
      <c r="K3312" s="23" t="e">
        <f ca="1">[1]!BexGetData("DP_1","003N8EMH8GTFRIVNUPY288VJH","GSON5132323011")</f>
        <v>#NAME?</v>
      </c>
      <c r="L3312" s="23" t="e">
        <f ca="1">[1]!BexGetData("DP_1","003N8EMH8GTFRIVNUPY2891V1","GSON5132323011")</f>
        <v>#NAME?</v>
      </c>
      <c r="M3312" s="28" t="e">
        <f ca="1">[1]!BexGetData("DP_1","003N8EMH8GTFRIVOG7KG9IQXA","GSON5132323011")</f>
        <v>#NAME?</v>
      </c>
      <c r="N3312" s="23" t="e">
        <f ca="1">[1]!BexGetData("DP_1","003N8EMH8GTFRIVOG7KG9IX8U","GSON5132323011")</f>
        <v>#NAME?</v>
      </c>
      <c r="O3312" s="28" t="e">
        <f ca="1">[1]!BexGetData("DP_1","003N8EMH8GTFRIVOG7KG9J3KE","GSON5132323011")</f>
        <v>#NAME?</v>
      </c>
      <c r="P3312" s="23" t="e">
        <f ca="1">[1]!BexGetData("DP_1","003N8EMH8GTFRIVOG7KG9J9VY","GSON5132323011")</f>
        <v>#NAME?</v>
      </c>
      <c r="Q3312" s="24" t="e">
        <f ca="1">[1]!BexGetData("DP_1","00O2TNJGODT0G5Z4TTKYMM5MT","GSON5132323011")</f>
        <v>#NAME?</v>
      </c>
      <c r="R3312" s="23" t="e">
        <f ca="1">[1]!BexGetData("DP_1","00O2TNJGODT0G5Z4TTKYMMBYD","GSON5132323011")</f>
        <v>#NAME?</v>
      </c>
      <c r="S3312" s="23" t="e">
        <f ca="1">[1]!BexGetData("DP_1","00O2TNJGODT0G5Z4TTKYMMI9X","GSON5132323011")</f>
        <v>#NAME?</v>
      </c>
      <c r="T3312" s="28" t="e">
        <f ca="1">[1]!BexGetData("DP_1","00O2TNJGODT0G5Z4TTKYMMOLH","GSON5132323011")</f>
        <v>#NAME?</v>
      </c>
      <c r="U3312" s="23" t="e">
        <f ca="1">[1]!BexGetData("DP_1","00O2TNJGODT0G5Z4TTKYMMUX1","GSON5132323011")</f>
        <v>#NAME?</v>
      </c>
      <c r="V3312" s="28" t="e">
        <f ca="1">[1]!BexGetData("DP_1","00O2TNJGODT0G5Z4TTKYMN18L","GSON5132323011")</f>
        <v>#NAME?</v>
      </c>
      <c r="W3312" s="23" t="e">
        <f ca="1">[1]!BexGetData("DP_1","00O2TNJGODT0G5Z4TTKYMN7K5","GSON5132323011")</f>
        <v>#NAME?</v>
      </c>
    </row>
    <row r="3313" spans="1:23" x14ac:dyDescent="0.2">
      <c r="A3313" s="36" t="s">
        <v>6770</v>
      </c>
      <c r="B3313" s="27" t="s">
        <v>6771</v>
      </c>
      <c r="C3313" s="23" t="e">
        <f ca="1">[1]!BexGetData("DP_1","003N8EMH8GTFRCSWKMPXRR8GU","GSON5132323021")</f>
        <v>#NAME?</v>
      </c>
      <c r="D3313" s="23" t="e">
        <f ca="1">[1]!BexGetData("DP_1","003N8EMH8GTFRCSWKMPXRRESE","GSON5132323021")</f>
        <v>#NAME?</v>
      </c>
      <c r="E3313" s="23" t="e">
        <f ca="1">[1]!BexGetData("DP_1","003N8EMH8GTFRCSWKMPXRRL3Y","GSON5132323021")</f>
        <v>#NAME?</v>
      </c>
      <c r="F3313" s="23" t="e">
        <f ca="1">[1]!BexGetData("DP_1","003N8EMH8GTFRCSWKMPXRRRFI","GSON5132323021")</f>
        <v>#NAME?</v>
      </c>
      <c r="G3313" s="23" t="e">
        <f ca="1">[1]!BexGetData("DP_1","003N8EMH8GTFRCSWKMPXRRXR2","GSON5132323021")</f>
        <v>#NAME?</v>
      </c>
      <c r="H3313" s="23" t="e">
        <f ca="1">[1]!BexGetData("DP_1","003N8EMH8GTFRCSWKMPXRS42M","GSON5132323021")</f>
        <v>#NAME?</v>
      </c>
      <c r="I3313" s="23" t="e">
        <f ca="1">[1]!BexGetData("DP_1","003N8EMH8GTFRCSWKMPXRSAE6","GSON5132323021")</f>
        <v>#NAME?</v>
      </c>
      <c r="J3313" s="24" t="e">
        <f ca="1">[1]!BexGetData("DP_1","003N8EMH8GTFRCSWKMPXRSGPQ","GSON5132323021")</f>
        <v>#NAME?</v>
      </c>
      <c r="K3313" s="23" t="e">
        <f ca="1">[1]!BexGetData("DP_1","003N8EMH8GTFRIVNUPY288VJH","GSON5132323021")</f>
        <v>#NAME?</v>
      </c>
      <c r="L3313" s="23" t="e">
        <f ca="1">[1]!BexGetData("DP_1","003N8EMH8GTFRIVNUPY2891V1","GSON5132323021")</f>
        <v>#NAME?</v>
      </c>
      <c r="M3313" s="23" t="e">
        <f ca="1">[1]!BexGetData("DP_1","003N8EMH8GTFRIVOG7KG9IQXA","GSON5132323021")</f>
        <v>#NAME?</v>
      </c>
      <c r="N3313" s="28" t="e">
        <f ca="1">[1]!BexGetData("DP_1","003N8EMH8GTFRIVOG7KG9IX8U","GSON5132323021")</f>
        <v>#NAME?</v>
      </c>
      <c r="O3313" s="23" t="e">
        <f ca="1">[1]!BexGetData("DP_1","003N8EMH8GTFRIVOG7KG9J3KE","GSON5132323021")</f>
        <v>#NAME?</v>
      </c>
      <c r="P3313" s="28" t="e">
        <f ca="1">[1]!BexGetData("DP_1","003N8EMH8GTFRIVOG7KG9J9VY","GSON5132323021")</f>
        <v>#NAME?</v>
      </c>
      <c r="Q3313" s="24" t="e">
        <f ca="1">[1]!BexGetData("DP_1","00O2TNJGODT0G5Z4TTKYMM5MT","GSON5132323021")</f>
        <v>#NAME?</v>
      </c>
      <c r="R3313" s="23" t="e">
        <f ca="1">[1]!BexGetData("DP_1","00O2TNJGODT0G5Z4TTKYMMBYD","GSON5132323021")</f>
        <v>#NAME?</v>
      </c>
      <c r="S3313" s="23" t="e">
        <f ca="1">[1]!BexGetData("DP_1","00O2TNJGODT0G5Z4TTKYMMI9X","GSON5132323021")</f>
        <v>#NAME?</v>
      </c>
      <c r="T3313" s="28" t="e">
        <f ca="1">[1]!BexGetData("DP_1","00O2TNJGODT0G5Z4TTKYMMOLH","GSON5132323021")</f>
        <v>#NAME?</v>
      </c>
      <c r="U3313" s="23" t="e">
        <f ca="1">[1]!BexGetData("DP_1","00O2TNJGODT0G5Z4TTKYMMUX1","GSON5132323021")</f>
        <v>#NAME?</v>
      </c>
      <c r="V3313" s="28" t="e">
        <f ca="1">[1]!BexGetData("DP_1","00O2TNJGODT0G5Z4TTKYMN18L","GSON5132323021")</f>
        <v>#NAME?</v>
      </c>
      <c r="W3313" s="23" t="e">
        <f ca="1">[1]!BexGetData("DP_1","00O2TNJGODT0G5Z4TTKYMN7K5","GSON5132323021")</f>
        <v>#NAME?</v>
      </c>
    </row>
    <row r="3314" spans="1:23" x14ac:dyDescent="0.2">
      <c r="A3314" s="36" t="s">
        <v>6772</v>
      </c>
      <c r="B3314" s="27" t="s">
        <v>6773</v>
      </c>
      <c r="C3314" s="23" t="e">
        <f ca="1">[1]!BexGetData("DP_1","003N8EMH8GTFRCSWKMPXRR8GU","GSON5132325011")</f>
        <v>#NAME?</v>
      </c>
      <c r="D3314" s="23" t="e">
        <f ca="1">[1]!BexGetData("DP_1","003N8EMH8GTFRCSWKMPXRRESE","GSON5132325011")</f>
        <v>#NAME?</v>
      </c>
      <c r="E3314" s="23" t="e">
        <f ca="1">[1]!BexGetData("DP_1","003N8EMH8GTFRCSWKMPXRRL3Y","GSON5132325011")</f>
        <v>#NAME?</v>
      </c>
      <c r="F3314" s="23" t="e">
        <f ca="1">[1]!BexGetData("DP_1","003N8EMH8GTFRCSWKMPXRRRFI","GSON5132325011")</f>
        <v>#NAME?</v>
      </c>
      <c r="G3314" s="23" t="e">
        <f ca="1">[1]!BexGetData("DP_1","003N8EMH8GTFRCSWKMPXRRXR2","GSON5132325011")</f>
        <v>#NAME?</v>
      </c>
      <c r="H3314" s="23" t="e">
        <f ca="1">[1]!BexGetData("DP_1","003N8EMH8GTFRCSWKMPXRS42M","GSON5132325011")</f>
        <v>#NAME?</v>
      </c>
      <c r="I3314" s="23" t="e">
        <f ca="1">[1]!BexGetData("DP_1","003N8EMH8GTFRCSWKMPXRSAE6","GSON5132325011")</f>
        <v>#NAME?</v>
      </c>
      <c r="J3314" s="24" t="e">
        <f ca="1">[1]!BexGetData("DP_1","003N8EMH8GTFRCSWKMPXRSGPQ","GSON5132325011")</f>
        <v>#NAME?</v>
      </c>
      <c r="K3314" s="23" t="e">
        <f ca="1">[1]!BexGetData("DP_1","003N8EMH8GTFRIVNUPY288VJH","GSON5132325011")</f>
        <v>#NAME?</v>
      </c>
      <c r="L3314" s="23" t="e">
        <f ca="1">[1]!BexGetData("DP_1","003N8EMH8GTFRIVNUPY2891V1","GSON5132325011")</f>
        <v>#NAME?</v>
      </c>
      <c r="M3314" s="28" t="e">
        <f ca="1">[1]!BexGetData("DP_1","003N8EMH8GTFRIVOG7KG9IQXA","GSON5132325011")</f>
        <v>#NAME?</v>
      </c>
      <c r="N3314" s="23" t="e">
        <f ca="1">[1]!BexGetData("DP_1","003N8EMH8GTFRIVOG7KG9IX8U","GSON5132325011")</f>
        <v>#NAME?</v>
      </c>
      <c r="O3314" s="28" t="e">
        <f ca="1">[1]!BexGetData("DP_1","003N8EMH8GTFRIVOG7KG9J3KE","GSON5132325011")</f>
        <v>#NAME?</v>
      </c>
      <c r="P3314" s="23" t="e">
        <f ca="1">[1]!BexGetData("DP_1","003N8EMH8GTFRIVOG7KG9J9VY","GSON5132325011")</f>
        <v>#NAME?</v>
      </c>
      <c r="Q3314" s="24" t="e">
        <f ca="1">[1]!BexGetData("DP_1","00O2TNJGODT0G5Z4TTKYMM5MT","GSON5132325011")</f>
        <v>#NAME?</v>
      </c>
      <c r="R3314" s="23" t="e">
        <f ca="1">[1]!BexGetData("DP_1","00O2TNJGODT0G5Z4TTKYMMBYD","GSON5132325011")</f>
        <v>#NAME?</v>
      </c>
      <c r="S3314" s="23" t="e">
        <f ca="1">[1]!BexGetData("DP_1","00O2TNJGODT0G5Z4TTKYMMI9X","GSON5132325011")</f>
        <v>#NAME?</v>
      </c>
      <c r="T3314" s="28" t="e">
        <f ca="1">[1]!BexGetData("DP_1","00O2TNJGODT0G5Z4TTKYMMOLH","GSON5132325011")</f>
        <v>#NAME?</v>
      </c>
      <c r="U3314" s="23" t="e">
        <f ca="1">[1]!BexGetData("DP_1","00O2TNJGODT0G5Z4TTKYMMUX1","GSON5132325011")</f>
        <v>#NAME?</v>
      </c>
      <c r="V3314" s="28" t="e">
        <f ca="1">[1]!BexGetData("DP_1","00O2TNJGODT0G5Z4TTKYMN18L","GSON5132325011")</f>
        <v>#NAME?</v>
      </c>
      <c r="W3314" s="23" t="e">
        <f ca="1">[1]!BexGetData("DP_1","00O2TNJGODT0G5Z4TTKYMN7K5","GSON5132325011")</f>
        <v>#NAME?</v>
      </c>
    </row>
    <row r="3315" spans="1:23" x14ac:dyDescent="0.2">
      <c r="A3315" s="36" t="s">
        <v>6774</v>
      </c>
      <c r="B3315" s="27" t="s">
        <v>6775</v>
      </c>
      <c r="C3315" s="23" t="e">
        <f ca="1">[1]!BexGetData("DP_1","003N8EMH8GTFRCSWKMPXRR8GU","GSON5132325021")</f>
        <v>#NAME?</v>
      </c>
      <c r="D3315" s="23" t="e">
        <f ca="1">[1]!BexGetData("DP_1","003N8EMH8GTFRCSWKMPXRRESE","GSON5132325021")</f>
        <v>#NAME?</v>
      </c>
      <c r="E3315" s="23" t="e">
        <f ca="1">[1]!BexGetData("DP_1","003N8EMH8GTFRCSWKMPXRRL3Y","GSON5132325021")</f>
        <v>#NAME?</v>
      </c>
      <c r="F3315" s="24" t="e">
        <f ca="1">[1]!BexGetData("DP_1","003N8EMH8GTFRCSWKMPXRRRFI","GSON5132325021")</f>
        <v>#NAME?</v>
      </c>
      <c r="G3315" s="24" t="e">
        <f ca="1">[1]!BexGetData("DP_1","003N8EMH8GTFRCSWKMPXRRXR2","GSON5132325021")</f>
        <v>#NAME?</v>
      </c>
      <c r="H3315" s="24" t="e">
        <f ca="1">[1]!BexGetData("DP_1","003N8EMH8GTFRCSWKMPXRS42M","GSON5132325021")</f>
        <v>#NAME?</v>
      </c>
      <c r="I3315" s="24" t="e">
        <f ca="1">[1]!BexGetData("DP_1","003N8EMH8GTFRCSWKMPXRSAE6","GSON5132325021")</f>
        <v>#NAME?</v>
      </c>
      <c r="J3315" s="24" t="e">
        <f ca="1">[1]!BexGetData("DP_1","003N8EMH8GTFRCSWKMPXRSGPQ","GSON5132325021")</f>
        <v>#NAME?</v>
      </c>
      <c r="K3315" s="23" t="e">
        <f ca="1">[1]!BexGetData("DP_1","003N8EMH8GTFRIVNUPY288VJH","GSON5132325021")</f>
        <v>#NAME?</v>
      </c>
      <c r="L3315" s="23" t="e">
        <f ca="1">[1]!BexGetData("DP_1","003N8EMH8GTFRIVNUPY2891V1","GSON5132325021")</f>
        <v>#NAME?</v>
      </c>
      <c r="M3315" s="28" t="e">
        <f ca="1">[1]!BexGetData("DP_1","003N8EMH8GTFRIVOG7KG9IQXA","GSON5132325021")</f>
        <v>#NAME?</v>
      </c>
      <c r="N3315" s="23" t="e">
        <f ca="1">[1]!BexGetData("DP_1","003N8EMH8GTFRIVOG7KG9IX8U","GSON5132325021")</f>
        <v>#NAME?</v>
      </c>
      <c r="O3315" s="28" t="e">
        <f ca="1">[1]!BexGetData("DP_1","003N8EMH8GTFRIVOG7KG9J3KE","GSON5132325021")</f>
        <v>#NAME?</v>
      </c>
      <c r="P3315" s="23" t="e">
        <f ca="1">[1]!BexGetData("DP_1","003N8EMH8GTFRIVOG7KG9J9VY","GSON5132325021")</f>
        <v>#NAME?</v>
      </c>
      <c r="Q3315" s="24" t="e">
        <f ca="1">[1]!BexGetData("DP_1","00O2TNJGODT0G5Z4TTKYMM5MT","GSON5132325021")</f>
        <v>#NAME?</v>
      </c>
      <c r="R3315" s="24" t="e">
        <f ca="1">[1]!BexGetData("DP_1","00O2TNJGODT0G5Z4TTKYMMBYD","GSON5132325021")</f>
        <v>#NAME?</v>
      </c>
      <c r="S3315" s="24" t="e">
        <f ca="1">[1]!BexGetData("DP_1","00O2TNJGODT0G5Z4TTKYMMI9X","GSON5132325021")</f>
        <v>#NAME?</v>
      </c>
      <c r="T3315" s="24" t="e">
        <f ca="1">[1]!BexGetData("DP_1","00O2TNJGODT0G5Z4TTKYMMOLH","GSON5132325021")</f>
        <v>#NAME?</v>
      </c>
      <c r="U3315" s="24" t="e">
        <f ca="1">[1]!BexGetData("DP_1","00O2TNJGODT0G5Z4TTKYMMUX1","GSON5132325021")</f>
        <v>#NAME?</v>
      </c>
      <c r="V3315" s="24" t="e">
        <f ca="1">[1]!BexGetData("DP_1","00O2TNJGODT0G5Z4TTKYMN18L","GSON5132325021")</f>
        <v>#NAME?</v>
      </c>
      <c r="W3315" s="24" t="e">
        <f ca="1">[1]!BexGetData("DP_1","00O2TNJGODT0G5Z4TTKYMN7K5","GSON5132325021")</f>
        <v>#NAME?</v>
      </c>
    </row>
    <row r="3316" spans="1:23" x14ac:dyDescent="0.2">
      <c r="A3316" s="36" t="s">
        <v>6774</v>
      </c>
      <c r="B3316" s="27" t="s">
        <v>6776</v>
      </c>
      <c r="C3316" s="24" t="e">
        <f ca="1">[1]!BexGetData("DP_1","003N8EMH8GTFRCSWKMPXRR8GU","GSON5132325022")</f>
        <v>#NAME?</v>
      </c>
      <c r="D3316" s="24" t="e">
        <f ca="1">[1]!BexGetData("DP_1","003N8EMH8GTFRCSWKMPXRRESE","GSON5132325022")</f>
        <v>#NAME?</v>
      </c>
      <c r="E3316" s="24" t="e">
        <f ca="1">[1]!BexGetData("DP_1","003N8EMH8GTFRCSWKMPXRRL3Y","GSON5132325022")</f>
        <v>#NAME?</v>
      </c>
      <c r="F3316" s="23" t="e">
        <f ca="1">[1]!BexGetData("DP_1","003N8EMH8GTFRCSWKMPXRRRFI","GSON5132325022")</f>
        <v>#NAME?</v>
      </c>
      <c r="G3316" s="23" t="e">
        <f ca="1">[1]!BexGetData("DP_1","003N8EMH8GTFRCSWKMPXRRXR2","GSON5132325022")</f>
        <v>#NAME?</v>
      </c>
      <c r="H3316" s="28" t="e">
        <f ca="1">[1]!BexGetData("DP_1","003N8EMH8GTFRCSWKMPXRS42M","GSON5132325022")</f>
        <v>#NAME?</v>
      </c>
      <c r="I3316" s="23" t="e">
        <f ca="1">[1]!BexGetData("DP_1","003N8EMH8GTFRCSWKMPXRSAE6","GSON5132325022")</f>
        <v>#NAME?</v>
      </c>
      <c r="J3316" s="24" t="e">
        <f ca="1">[1]!BexGetData("DP_1","003N8EMH8GTFRCSWKMPXRSGPQ","GSON5132325022")</f>
        <v>#NAME?</v>
      </c>
      <c r="K3316" s="23" t="e">
        <f ca="1">[1]!BexGetData("DP_1","003N8EMH8GTFRIVNUPY288VJH","GSON5132325022")</f>
        <v>#NAME?</v>
      </c>
      <c r="L3316" s="23" t="e">
        <f ca="1">[1]!BexGetData("DP_1","003N8EMH8GTFRIVNUPY2891V1","GSON5132325022")</f>
        <v>#NAME?</v>
      </c>
      <c r="M3316" s="23" t="e">
        <f ca="1">[1]!BexGetData("DP_1","003N8EMH8GTFRIVOG7KG9IQXA","GSON5132325022")</f>
        <v>#NAME?</v>
      </c>
      <c r="N3316" s="28" t="e">
        <f ca="1">[1]!BexGetData("DP_1","003N8EMH8GTFRIVOG7KG9IX8U","GSON5132325022")</f>
        <v>#NAME?</v>
      </c>
      <c r="O3316" s="23" t="e">
        <f ca="1">[1]!BexGetData("DP_1","003N8EMH8GTFRIVOG7KG9J3KE","GSON5132325022")</f>
        <v>#NAME?</v>
      </c>
      <c r="P3316" s="28" t="e">
        <f ca="1">[1]!BexGetData("DP_1","003N8EMH8GTFRIVOG7KG9J9VY","GSON5132325022")</f>
        <v>#NAME?</v>
      </c>
      <c r="Q3316" s="24" t="e">
        <f ca="1">[1]!BexGetData("DP_1","00O2TNJGODT0G5Z4TTKYMM5MT","GSON5132325022")</f>
        <v>#NAME?</v>
      </c>
      <c r="R3316" s="23" t="e">
        <f ca="1">[1]!BexGetData("DP_1","00O2TNJGODT0G5Z4TTKYMMBYD","GSON5132325022")</f>
        <v>#NAME?</v>
      </c>
      <c r="S3316" s="23" t="e">
        <f ca="1">[1]!BexGetData("DP_1","00O2TNJGODT0G5Z4TTKYMMI9X","GSON5132325022")</f>
        <v>#NAME?</v>
      </c>
      <c r="T3316" s="28" t="e">
        <f ca="1">[1]!BexGetData("DP_1","00O2TNJGODT0G5Z4TTKYMMOLH","GSON5132325022")</f>
        <v>#NAME?</v>
      </c>
      <c r="U3316" s="23" t="e">
        <f ca="1">[1]!BexGetData("DP_1","00O2TNJGODT0G5Z4TTKYMMUX1","GSON5132325022")</f>
        <v>#NAME?</v>
      </c>
      <c r="V3316" s="28" t="e">
        <f ca="1">[1]!BexGetData("DP_1","00O2TNJGODT0G5Z4TTKYMN18L","GSON5132325022")</f>
        <v>#NAME?</v>
      </c>
      <c r="W3316" s="23" t="e">
        <f ca="1">[1]!BexGetData("DP_1","00O2TNJGODT0G5Z4TTKYMN7K5","GSON5132325022")</f>
        <v>#NAME?</v>
      </c>
    </row>
    <row r="3317" spans="1:23" x14ac:dyDescent="0.2">
      <c r="A3317" s="36" t="s">
        <v>6777</v>
      </c>
      <c r="B3317" s="27" t="s">
        <v>6778</v>
      </c>
      <c r="C3317" s="24" t="e">
        <f ca="1">[1]!BexGetData("DP_1","003N8EMH8GTFRCSWKMPXRR8GU","GSON5132326011")</f>
        <v>#NAME?</v>
      </c>
      <c r="D3317" s="24" t="e">
        <f ca="1">[1]!BexGetData("DP_1","003N8EMH8GTFRCSWKMPXRRESE","GSON5132326011")</f>
        <v>#NAME?</v>
      </c>
      <c r="E3317" s="24" t="e">
        <f ca="1">[1]!BexGetData("DP_1","003N8EMH8GTFRCSWKMPXRRL3Y","GSON5132326011")</f>
        <v>#NAME?</v>
      </c>
      <c r="F3317" s="23" t="e">
        <f ca="1">[1]!BexGetData("DP_1","003N8EMH8GTFRCSWKMPXRRRFI","GSON5132326011")</f>
        <v>#NAME?</v>
      </c>
      <c r="G3317" s="23" t="e">
        <f ca="1">[1]!BexGetData("DP_1","003N8EMH8GTFRCSWKMPXRRXR2","GSON5132326011")</f>
        <v>#NAME?</v>
      </c>
      <c r="H3317" s="23" t="e">
        <f ca="1">[1]!BexGetData("DP_1","003N8EMH8GTFRCSWKMPXRS42M","GSON5132326011")</f>
        <v>#NAME?</v>
      </c>
      <c r="I3317" s="23" t="e">
        <f ca="1">[1]!BexGetData("DP_1","003N8EMH8GTFRCSWKMPXRSAE6","GSON5132326011")</f>
        <v>#NAME?</v>
      </c>
      <c r="J3317" s="24" t="e">
        <f ca="1">[1]!BexGetData("DP_1","003N8EMH8GTFRCSWKMPXRSGPQ","GSON5132326011")</f>
        <v>#NAME?</v>
      </c>
      <c r="K3317" s="23" t="e">
        <f ca="1">[1]!BexGetData("DP_1","003N8EMH8GTFRIVNUPY288VJH","GSON5132326011")</f>
        <v>#NAME?</v>
      </c>
      <c r="L3317" s="23" t="e">
        <f ca="1">[1]!BexGetData("DP_1","003N8EMH8GTFRIVNUPY2891V1","GSON5132326011")</f>
        <v>#NAME?</v>
      </c>
      <c r="M3317" s="23" t="e">
        <f ca="1">[1]!BexGetData("DP_1","003N8EMH8GTFRIVOG7KG9IQXA","GSON5132326011")</f>
        <v>#NAME?</v>
      </c>
      <c r="N3317" s="28" t="e">
        <f ca="1">[1]!BexGetData("DP_1","003N8EMH8GTFRIVOG7KG9IX8U","GSON5132326011")</f>
        <v>#NAME?</v>
      </c>
      <c r="O3317" s="23" t="e">
        <f ca="1">[1]!BexGetData("DP_1","003N8EMH8GTFRIVOG7KG9J3KE","GSON5132326011")</f>
        <v>#NAME?</v>
      </c>
      <c r="P3317" s="28" t="e">
        <f ca="1">[1]!BexGetData("DP_1","003N8EMH8GTFRIVOG7KG9J9VY","GSON5132326011")</f>
        <v>#NAME?</v>
      </c>
      <c r="Q3317" s="24" t="e">
        <f ca="1">[1]!BexGetData("DP_1","00O2TNJGODT0G5Z4TTKYMM5MT","GSON5132326011")</f>
        <v>#NAME?</v>
      </c>
      <c r="R3317" s="23" t="e">
        <f ca="1">[1]!BexGetData("DP_1","00O2TNJGODT0G5Z4TTKYMMBYD","GSON5132326011")</f>
        <v>#NAME?</v>
      </c>
      <c r="S3317" s="23" t="e">
        <f ca="1">[1]!BexGetData("DP_1","00O2TNJGODT0G5Z4TTKYMMI9X","GSON5132326011")</f>
        <v>#NAME?</v>
      </c>
      <c r="T3317" s="28" t="e">
        <f ca="1">[1]!BexGetData("DP_1","00O2TNJGODT0G5Z4TTKYMMOLH","GSON5132326011")</f>
        <v>#NAME?</v>
      </c>
      <c r="U3317" s="23" t="e">
        <f ca="1">[1]!BexGetData("DP_1","00O2TNJGODT0G5Z4TTKYMMUX1","GSON5132326011")</f>
        <v>#NAME?</v>
      </c>
      <c r="V3317" s="28" t="e">
        <f ca="1">[1]!BexGetData("DP_1","00O2TNJGODT0G5Z4TTKYMN18L","GSON5132326011")</f>
        <v>#NAME?</v>
      </c>
      <c r="W3317" s="23" t="e">
        <f ca="1">[1]!BexGetData("DP_1","00O2TNJGODT0G5Z4TTKYMN7K5","GSON5132326011")</f>
        <v>#NAME?</v>
      </c>
    </row>
    <row r="3318" spans="1:23" x14ac:dyDescent="0.2">
      <c r="A3318" s="36" t="s">
        <v>6779</v>
      </c>
      <c r="B3318" s="27" t="s">
        <v>6780</v>
      </c>
      <c r="C3318" s="23" t="e">
        <f ca="1">[1]!BexGetData("DP_1","003N8EMH8GTFRCSWKMPXRR8GU","GSON5132327011")</f>
        <v>#NAME?</v>
      </c>
      <c r="D3318" s="23" t="e">
        <f ca="1">[1]!BexGetData("DP_1","003N8EMH8GTFRCSWKMPXRRESE","GSON5132327011")</f>
        <v>#NAME?</v>
      </c>
      <c r="E3318" s="23" t="e">
        <f ca="1">[1]!BexGetData("DP_1","003N8EMH8GTFRCSWKMPXRRL3Y","GSON5132327011")</f>
        <v>#NAME?</v>
      </c>
      <c r="F3318" s="23" t="e">
        <f ca="1">[1]!BexGetData("DP_1","003N8EMH8GTFRCSWKMPXRRRFI","GSON5132327011")</f>
        <v>#NAME?</v>
      </c>
      <c r="G3318" s="23" t="e">
        <f ca="1">[1]!BexGetData("DP_1","003N8EMH8GTFRCSWKMPXRRXR2","GSON5132327011")</f>
        <v>#NAME?</v>
      </c>
      <c r="H3318" s="23" t="e">
        <f ca="1">[1]!BexGetData("DP_1","003N8EMH8GTFRCSWKMPXRS42M","GSON5132327011")</f>
        <v>#NAME?</v>
      </c>
      <c r="I3318" s="23" t="e">
        <f ca="1">[1]!BexGetData("DP_1","003N8EMH8GTFRCSWKMPXRSAE6","GSON5132327011")</f>
        <v>#NAME?</v>
      </c>
      <c r="J3318" s="24" t="e">
        <f ca="1">[1]!BexGetData("DP_1","003N8EMH8GTFRCSWKMPXRSGPQ","GSON5132327011")</f>
        <v>#NAME?</v>
      </c>
      <c r="K3318" s="23" t="e">
        <f ca="1">[1]!BexGetData("DP_1","003N8EMH8GTFRIVNUPY288VJH","GSON5132327011")</f>
        <v>#NAME?</v>
      </c>
      <c r="L3318" s="23" t="e">
        <f ca="1">[1]!BexGetData("DP_1","003N8EMH8GTFRIVNUPY2891V1","GSON5132327011")</f>
        <v>#NAME?</v>
      </c>
      <c r="M3318" s="28" t="e">
        <f ca="1">[1]!BexGetData("DP_1","003N8EMH8GTFRIVOG7KG9IQXA","GSON5132327011")</f>
        <v>#NAME?</v>
      </c>
      <c r="N3318" s="23" t="e">
        <f ca="1">[1]!BexGetData("DP_1","003N8EMH8GTFRIVOG7KG9IX8U","GSON5132327011")</f>
        <v>#NAME?</v>
      </c>
      <c r="O3318" s="28" t="e">
        <f ca="1">[1]!BexGetData("DP_1","003N8EMH8GTFRIVOG7KG9J3KE","GSON5132327011")</f>
        <v>#NAME?</v>
      </c>
      <c r="P3318" s="23" t="e">
        <f ca="1">[1]!BexGetData("DP_1","003N8EMH8GTFRIVOG7KG9J9VY","GSON5132327011")</f>
        <v>#NAME?</v>
      </c>
      <c r="Q3318" s="24" t="e">
        <f ca="1">[1]!BexGetData("DP_1","00O2TNJGODT0G5Z4TTKYMM5MT","GSON5132327011")</f>
        <v>#NAME?</v>
      </c>
      <c r="R3318" s="23" t="e">
        <f ca="1">[1]!BexGetData("DP_1","00O2TNJGODT0G5Z4TTKYMMBYD","GSON5132327011")</f>
        <v>#NAME?</v>
      </c>
      <c r="S3318" s="23" t="e">
        <f ca="1">[1]!BexGetData("DP_1","00O2TNJGODT0G5Z4TTKYMMI9X","GSON5132327011")</f>
        <v>#NAME?</v>
      </c>
      <c r="T3318" s="23" t="e">
        <f ca="1">[1]!BexGetData("DP_1","00O2TNJGODT0G5Z4TTKYMMOLH","GSON5132327011")</f>
        <v>#NAME?</v>
      </c>
      <c r="U3318" s="28" t="e">
        <f ca="1">[1]!BexGetData("DP_1","00O2TNJGODT0G5Z4TTKYMMUX1","GSON5132327011")</f>
        <v>#NAME?</v>
      </c>
      <c r="V3318" s="23" t="e">
        <f ca="1">[1]!BexGetData("DP_1","00O2TNJGODT0G5Z4TTKYMN18L","GSON5132327011")</f>
        <v>#NAME?</v>
      </c>
      <c r="W3318" s="28" t="e">
        <f ca="1">[1]!BexGetData("DP_1","00O2TNJGODT0G5Z4TTKYMN7K5","GSON5132327011")</f>
        <v>#NAME?</v>
      </c>
    </row>
    <row r="3319" spans="1:23" x14ac:dyDescent="0.2">
      <c r="A3319" s="36" t="s">
        <v>6781</v>
      </c>
      <c r="B3319" s="27" t="s">
        <v>6782</v>
      </c>
      <c r="C3319" s="23" t="e">
        <f ca="1">[1]!BexGetData("DP_1","003N8EMH8GTFRCSWKMPXRR8GU","GSON5132329011")</f>
        <v>#NAME?</v>
      </c>
      <c r="D3319" s="23" t="e">
        <f ca="1">[1]!BexGetData("DP_1","003N8EMH8GTFRCSWKMPXRRESE","GSON5132329011")</f>
        <v>#NAME?</v>
      </c>
      <c r="E3319" s="23" t="e">
        <f ca="1">[1]!BexGetData("DP_1","003N8EMH8GTFRCSWKMPXRRL3Y","GSON5132329011")</f>
        <v>#NAME?</v>
      </c>
      <c r="F3319" s="23" t="e">
        <f ca="1">[1]!BexGetData("DP_1","003N8EMH8GTFRCSWKMPXRRRFI","GSON5132329011")</f>
        <v>#NAME?</v>
      </c>
      <c r="G3319" s="23" t="e">
        <f ca="1">[1]!BexGetData("DP_1","003N8EMH8GTFRCSWKMPXRRXR2","GSON5132329011")</f>
        <v>#NAME?</v>
      </c>
      <c r="H3319" s="23" t="e">
        <f ca="1">[1]!BexGetData("DP_1","003N8EMH8GTFRCSWKMPXRS42M","GSON5132329011")</f>
        <v>#NAME?</v>
      </c>
      <c r="I3319" s="23" t="e">
        <f ca="1">[1]!BexGetData("DP_1","003N8EMH8GTFRCSWKMPXRSAE6","GSON5132329011")</f>
        <v>#NAME?</v>
      </c>
      <c r="J3319" s="24" t="e">
        <f ca="1">[1]!BexGetData("DP_1","003N8EMH8GTFRCSWKMPXRSGPQ","GSON5132329011")</f>
        <v>#NAME?</v>
      </c>
      <c r="K3319" s="23" t="e">
        <f ca="1">[1]!BexGetData("DP_1","003N8EMH8GTFRIVNUPY288VJH","GSON5132329011")</f>
        <v>#NAME?</v>
      </c>
      <c r="L3319" s="23" t="e">
        <f ca="1">[1]!BexGetData("DP_1","003N8EMH8GTFRIVNUPY2891V1","GSON5132329011")</f>
        <v>#NAME?</v>
      </c>
      <c r="M3319" s="23" t="e">
        <f ca="1">[1]!BexGetData("DP_1","003N8EMH8GTFRIVOG7KG9IQXA","GSON5132329011")</f>
        <v>#NAME?</v>
      </c>
      <c r="N3319" s="28" t="e">
        <f ca="1">[1]!BexGetData("DP_1","003N8EMH8GTFRIVOG7KG9IX8U","GSON5132329011")</f>
        <v>#NAME?</v>
      </c>
      <c r="O3319" s="23" t="e">
        <f ca="1">[1]!BexGetData("DP_1","003N8EMH8GTFRIVOG7KG9J3KE","GSON5132329011")</f>
        <v>#NAME?</v>
      </c>
      <c r="P3319" s="28" t="e">
        <f ca="1">[1]!BexGetData("DP_1","003N8EMH8GTFRIVOG7KG9J9VY","GSON5132329011")</f>
        <v>#NAME?</v>
      </c>
      <c r="Q3319" s="24" t="e">
        <f ca="1">[1]!BexGetData("DP_1","00O2TNJGODT0G5Z4TTKYMM5MT","GSON5132329011")</f>
        <v>#NAME?</v>
      </c>
      <c r="R3319" s="23" t="e">
        <f ca="1">[1]!BexGetData("DP_1","00O2TNJGODT0G5Z4TTKYMMBYD","GSON5132329011")</f>
        <v>#NAME?</v>
      </c>
      <c r="S3319" s="23" t="e">
        <f ca="1">[1]!BexGetData("DP_1","00O2TNJGODT0G5Z4TTKYMMI9X","GSON5132329011")</f>
        <v>#NAME?</v>
      </c>
      <c r="T3319" s="28" t="e">
        <f ca="1">[1]!BexGetData("DP_1","00O2TNJGODT0G5Z4TTKYMMOLH","GSON5132329011")</f>
        <v>#NAME?</v>
      </c>
      <c r="U3319" s="23" t="e">
        <f ca="1">[1]!BexGetData("DP_1","00O2TNJGODT0G5Z4TTKYMMUX1","GSON5132329011")</f>
        <v>#NAME?</v>
      </c>
      <c r="V3319" s="28" t="e">
        <f ca="1">[1]!BexGetData("DP_1","00O2TNJGODT0G5Z4TTKYMN18L","GSON5132329011")</f>
        <v>#NAME?</v>
      </c>
      <c r="W3319" s="23" t="e">
        <f ca="1">[1]!BexGetData("DP_1","00O2TNJGODT0G5Z4TTKYMN7K5","GSON5132329011")</f>
        <v>#NAME?</v>
      </c>
    </row>
    <row r="3320" spans="1:23" x14ac:dyDescent="0.2">
      <c r="A3320" s="35" t="s">
        <v>590</v>
      </c>
      <c r="B3320" s="27" t="s">
        <v>591</v>
      </c>
      <c r="C3320" s="23" t="e">
        <f ca="1">[1]!BexGetData("DP_1","003N8EMH8GTFRCSWKMPXRR8GU","GSON5133")</f>
        <v>#NAME?</v>
      </c>
      <c r="D3320" s="23" t="e">
        <f ca="1">[1]!BexGetData("DP_1","003N8EMH8GTFRCSWKMPXRRESE","GSON5133")</f>
        <v>#NAME?</v>
      </c>
      <c r="E3320" s="23" t="e">
        <f ca="1">[1]!BexGetData("DP_1","003N8EMH8GTFRCSWKMPXRRL3Y","GSON5133")</f>
        <v>#NAME?</v>
      </c>
      <c r="F3320" s="23" t="e">
        <f ca="1">[1]!BexGetData("DP_1","003N8EMH8GTFRCSWKMPXRRRFI","GSON5133")</f>
        <v>#NAME?</v>
      </c>
      <c r="G3320" s="23" t="e">
        <f ca="1">[1]!BexGetData("DP_1","003N8EMH8GTFRCSWKMPXRRXR2","GSON5133")</f>
        <v>#NAME?</v>
      </c>
      <c r="H3320" s="23" t="e">
        <f ca="1">[1]!BexGetData("DP_1","003N8EMH8GTFRCSWKMPXRS42M","GSON5133")</f>
        <v>#NAME?</v>
      </c>
      <c r="I3320" s="23" t="e">
        <f ca="1">[1]!BexGetData("DP_1","003N8EMH8GTFRCSWKMPXRSAE6","GSON5133")</f>
        <v>#NAME?</v>
      </c>
      <c r="J3320" s="24" t="e">
        <f ca="1">[1]!BexGetData("DP_1","003N8EMH8GTFRCSWKMPXRSGPQ","GSON5133")</f>
        <v>#NAME?</v>
      </c>
      <c r="K3320" s="23" t="e">
        <f ca="1">[1]!BexGetData("DP_1","003N8EMH8GTFRIVNUPY288VJH","GSON5133")</f>
        <v>#NAME?</v>
      </c>
      <c r="L3320" s="23" t="e">
        <f ca="1">[1]!BexGetData("DP_1","003N8EMH8GTFRIVNUPY2891V1","GSON5133")</f>
        <v>#NAME?</v>
      </c>
      <c r="M3320" s="28" t="e">
        <f ca="1">[1]!BexGetData("DP_1","003N8EMH8GTFRIVOG7KG9IQXA","GSON5133")</f>
        <v>#NAME?</v>
      </c>
      <c r="N3320" s="23" t="e">
        <f ca="1">[1]!BexGetData("DP_1","003N8EMH8GTFRIVOG7KG9IX8U","GSON5133")</f>
        <v>#NAME?</v>
      </c>
      <c r="O3320" s="28" t="e">
        <f ca="1">[1]!BexGetData("DP_1","003N8EMH8GTFRIVOG7KG9J3KE","GSON5133")</f>
        <v>#NAME?</v>
      </c>
      <c r="P3320" s="23" t="e">
        <f ca="1">[1]!BexGetData("DP_1","003N8EMH8GTFRIVOG7KG9J9VY","GSON5133")</f>
        <v>#NAME?</v>
      </c>
      <c r="Q3320" s="24" t="e">
        <f ca="1">[1]!BexGetData("DP_1","00O2TNJGODT0G5Z4TTKYMM5MT","GSON5133")</f>
        <v>#NAME?</v>
      </c>
      <c r="R3320" s="23" t="e">
        <f ca="1">[1]!BexGetData("DP_1","00O2TNJGODT0G5Z4TTKYMMBYD","GSON5133")</f>
        <v>#NAME?</v>
      </c>
      <c r="S3320" s="23" t="e">
        <f ca="1">[1]!BexGetData("DP_1","00O2TNJGODT0G5Z4TTKYMMI9X","GSON5133")</f>
        <v>#NAME?</v>
      </c>
      <c r="T3320" s="28" t="e">
        <f ca="1">[1]!BexGetData("DP_1","00O2TNJGODT0G5Z4TTKYMMOLH","GSON5133")</f>
        <v>#NAME?</v>
      </c>
      <c r="U3320" s="23" t="e">
        <f ca="1">[1]!BexGetData("DP_1","00O2TNJGODT0G5Z4TTKYMMUX1","GSON5133")</f>
        <v>#NAME?</v>
      </c>
      <c r="V3320" s="28" t="e">
        <f ca="1">[1]!BexGetData("DP_1","00O2TNJGODT0G5Z4TTKYMN18L","GSON5133")</f>
        <v>#NAME?</v>
      </c>
      <c r="W3320" s="23" t="e">
        <f ca="1">[1]!BexGetData("DP_1","00O2TNJGODT0G5Z4TTKYMN7K5","GSON5133")</f>
        <v>#NAME?</v>
      </c>
    </row>
    <row r="3321" spans="1:23" x14ac:dyDescent="0.2">
      <c r="A3321" s="36" t="s">
        <v>6783</v>
      </c>
      <c r="B3321" s="27" t="s">
        <v>6784</v>
      </c>
      <c r="C3321" s="23" t="e">
        <f ca="1">[1]!BexGetData("DP_1","003N8EMH8GTFRCSWKMPXRR8GU","GSON5133331011")</f>
        <v>#NAME?</v>
      </c>
      <c r="D3321" s="23" t="e">
        <f ca="1">[1]!BexGetData("DP_1","003N8EMH8GTFRCSWKMPXRRESE","GSON5133331011")</f>
        <v>#NAME?</v>
      </c>
      <c r="E3321" s="23" t="e">
        <f ca="1">[1]!BexGetData("DP_1","003N8EMH8GTFRCSWKMPXRRL3Y","GSON5133331011")</f>
        <v>#NAME?</v>
      </c>
      <c r="F3321" s="23" t="e">
        <f ca="1">[1]!BexGetData("DP_1","003N8EMH8GTFRCSWKMPXRRRFI","GSON5133331011")</f>
        <v>#NAME?</v>
      </c>
      <c r="G3321" s="23" t="e">
        <f ca="1">[1]!BexGetData("DP_1","003N8EMH8GTFRCSWKMPXRRXR2","GSON5133331011")</f>
        <v>#NAME?</v>
      </c>
      <c r="H3321" s="23" t="e">
        <f ca="1">[1]!BexGetData("DP_1","003N8EMH8GTFRCSWKMPXRS42M","GSON5133331011")</f>
        <v>#NAME?</v>
      </c>
      <c r="I3321" s="23" t="e">
        <f ca="1">[1]!BexGetData("DP_1","003N8EMH8GTFRCSWKMPXRSAE6","GSON5133331011")</f>
        <v>#NAME?</v>
      </c>
      <c r="J3321" s="24" t="e">
        <f ca="1">[1]!BexGetData("DP_1","003N8EMH8GTFRCSWKMPXRSGPQ","GSON5133331011")</f>
        <v>#NAME?</v>
      </c>
      <c r="K3321" s="23" t="e">
        <f ca="1">[1]!BexGetData("DP_1","003N8EMH8GTFRIVNUPY288VJH","GSON5133331011")</f>
        <v>#NAME?</v>
      </c>
      <c r="L3321" s="23" t="e">
        <f ca="1">[1]!BexGetData("DP_1","003N8EMH8GTFRIVNUPY2891V1","GSON5133331011")</f>
        <v>#NAME?</v>
      </c>
      <c r="M3321" s="28" t="e">
        <f ca="1">[1]!BexGetData("DP_1","003N8EMH8GTFRIVOG7KG9IQXA","GSON5133331011")</f>
        <v>#NAME?</v>
      </c>
      <c r="N3321" s="23" t="e">
        <f ca="1">[1]!BexGetData("DP_1","003N8EMH8GTFRIVOG7KG9IX8U","GSON5133331011")</f>
        <v>#NAME?</v>
      </c>
      <c r="O3321" s="28" t="e">
        <f ca="1">[1]!BexGetData("DP_1","003N8EMH8GTFRIVOG7KG9J3KE","GSON5133331011")</f>
        <v>#NAME?</v>
      </c>
      <c r="P3321" s="23" t="e">
        <f ca="1">[1]!BexGetData("DP_1","003N8EMH8GTFRIVOG7KG9J9VY","GSON5133331011")</f>
        <v>#NAME?</v>
      </c>
      <c r="Q3321" s="24" t="e">
        <f ca="1">[1]!BexGetData("DP_1","00O2TNJGODT0G5Z4TTKYMM5MT","GSON5133331011")</f>
        <v>#NAME?</v>
      </c>
      <c r="R3321" s="23" t="e">
        <f ca="1">[1]!BexGetData("DP_1","00O2TNJGODT0G5Z4TTKYMMBYD","GSON5133331011")</f>
        <v>#NAME?</v>
      </c>
      <c r="S3321" s="23" t="e">
        <f ca="1">[1]!BexGetData("DP_1","00O2TNJGODT0G5Z4TTKYMMI9X","GSON5133331011")</f>
        <v>#NAME?</v>
      </c>
      <c r="T3321" s="28" t="e">
        <f ca="1">[1]!BexGetData("DP_1","00O2TNJGODT0G5Z4TTKYMMOLH","GSON5133331011")</f>
        <v>#NAME?</v>
      </c>
      <c r="U3321" s="23" t="e">
        <f ca="1">[1]!BexGetData("DP_1","00O2TNJGODT0G5Z4TTKYMMUX1","GSON5133331011")</f>
        <v>#NAME?</v>
      </c>
      <c r="V3321" s="28" t="e">
        <f ca="1">[1]!BexGetData("DP_1","00O2TNJGODT0G5Z4TTKYMN18L","GSON5133331011")</f>
        <v>#NAME?</v>
      </c>
      <c r="W3321" s="23" t="e">
        <f ca="1">[1]!BexGetData("DP_1","00O2TNJGODT0G5Z4TTKYMN7K5","GSON5133331011")</f>
        <v>#NAME?</v>
      </c>
    </row>
    <row r="3322" spans="1:23" x14ac:dyDescent="0.2">
      <c r="A3322" s="36" t="s">
        <v>6785</v>
      </c>
      <c r="B3322" s="27" t="s">
        <v>6786</v>
      </c>
      <c r="C3322" s="23" t="e">
        <f ca="1">[1]!BexGetData("DP_1","003N8EMH8GTFRCSWKMPXRR8GU","GSON5133332011")</f>
        <v>#NAME?</v>
      </c>
      <c r="D3322" s="23" t="e">
        <f ca="1">[1]!BexGetData("DP_1","003N8EMH8GTFRCSWKMPXRRESE","GSON5133332011")</f>
        <v>#NAME?</v>
      </c>
      <c r="E3322" s="23" t="e">
        <f ca="1">[1]!BexGetData("DP_1","003N8EMH8GTFRCSWKMPXRRL3Y","GSON5133332011")</f>
        <v>#NAME?</v>
      </c>
      <c r="F3322" s="23" t="e">
        <f ca="1">[1]!BexGetData("DP_1","003N8EMH8GTFRCSWKMPXRRRFI","GSON5133332011")</f>
        <v>#NAME?</v>
      </c>
      <c r="G3322" s="23" t="e">
        <f ca="1">[1]!BexGetData("DP_1","003N8EMH8GTFRCSWKMPXRRXR2","GSON5133332011")</f>
        <v>#NAME?</v>
      </c>
      <c r="H3322" s="23" t="e">
        <f ca="1">[1]!BexGetData("DP_1","003N8EMH8GTFRCSWKMPXRS42M","GSON5133332011")</f>
        <v>#NAME?</v>
      </c>
      <c r="I3322" s="23" t="e">
        <f ca="1">[1]!BexGetData("DP_1","003N8EMH8GTFRCSWKMPXRSAE6","GSON5133332011")</f>
        <v>#NAME?</v>
      </c>
      <c r="J3322" s="24" t="e">
        <f ca="1">[1]!BexGetData("DP_1","003N8EMH8GTFRCSWKMPXRSGPQ","GSON5133332011")</f>
        <v>#NAME?</v>
      </c>
      <c r="K3322" s="23" t="e">
        <f ca="1">[1]!BexGetData("DP_1","003N8EMH8GTFRIVNUPY288VJH","GSON5133332011")</f>
        <v>#NAME?</v>
      </c>
      <c r="L3322" s="23" t="e">
        <f ca="1">[1]!BexGetData("DP_1","003N8EMH8GTFRIVNUPY2891V1","GSON5133332011")</f>
        <v>#NAME?</v>
      </c>
      <c r="M3322" s="28" t="e">
        <f ca="1">[1]!BexGetData("DP_1","003N8EMH8GTFRIVOG7KG9IQXA","GSON5133332011")</f>
        <v>#NAME?</v>
      </c>
      <c r="N3322" s="23" t="e">
        <f ca="1">[1]!BexGetData("DP_1","003N8EMH8GTFRIVOG7KG9IX8U","GSON5133332011")</f>
        <v>#NAME?</v>
      </c>
      <c r="O3322" s="28" t="e">
        <f ca="1">[1]!BexGetData("DP_1","003N8EMH8GTFRIVOG7KG9J3KE","GSON5133332011")</f>
        <v>#NAME?</v>
      </c>
      <c r="P3322" s="23" t="e">
        <f ca="1">[1]!BexGetData("DP_1","003N8EMH8GTFRIVOG7KG9J9VY","GSON5133332011")</f>
        <v>#NAME?</v>
      </c>
      <c r="Q3322" s="24" t="e">
        <f ca="1">[1]!BexGetData("DP_1","00O2TNJGODT0G5Z4TTKYMM5MT","GSON5133332011")</f>
        <v>#NAME?</v>
      </c>
      <c r="R3322" s="23" t="e">
        <f ca="1">[1]!BexGetData("DP_1","00O2TNJGODT0G5Z4TTKYMMBYD","GSON5133332011")</f>
        <v>#NAME?</v>
      </c>
      <c r="S3322" s="23" t="e">
        <f ca="1">[1]!BexGetData("DP_1","00O2TNJGODT0G5Z4TTKYMMI9X","GSON5133332011")</f>
        <v>#NAME?</v>
      </c>
      <c r="T3322" s="28" t="e">
        <f ca="1">[1]!BexGetData("DP_1","00O2TNJGODT0G5Z4TTKYMMOLH","GSON5133332011")</f>
        <v>#NAME?</v>
      </c>
      <c r="U3322" s="23" t="e">
        <f ca="1">[1]!BexGetData("DP_1","00O2TNJGODT0G5Z4TTKYMMUX1","GSON5133332011")</f>
        <v>#NAME?</v>
      </c>
      <c r="V3322" s="28" t="e">
        <f ca="1">[1]!BexGetData("DP_1","00O2TNJGODT0G5Z4TTKYMN18L","GSON5133332011")</f>
        <v>#NAME?</v>
      </c>
      <c r="W3322" s="23" t="e">
        <f ca="1">[1]!BexGetData("DP_1","00O2TNJGODT0G5Z4TTKYMN7K5","GSON5133332011")</f>
        <v>#NAME?</v>
      </c>
    </row>
    <row r="3323" spans="1:23" x14ac:dyDescent="0.2">
      <c r="A3323" s="36" t="s">
        <v>6787</v>
      </c>
      <c r="B3323" s="27" t="s">
        <v>6788</v>
      </c>
      <c r="C3323" s="23" t="e">
        <f ca="1">[1]!BexGetData("DP_1","003N8EMH8GTFRCSWKMPXRR8GU","GSON5133333011")</f>
        <v>#NAME?</v>
      </c>
      <c r="D3323" s="23" t="e">
        <f ca="1">[1]!BexGetData("DP_1","003N8EMH8GTFRCSWKMPXRRESE","GSON5133333011")</f>
        <v>#NAME?</v>
      </c>
      <c r="E3323" s="23" t="e">
        <f ca="1">[1]!BexGetData("DP_1","003N8EMH8GTFRCSWKMPXRRL3Y","GSON5133333011")</f>
        <v>#NAME?</v>
      </c>
      <c r="F3323" s="23" t="e">
        <f ca="1">[1]!BexGetData("DP_1","003N8EMH8GTFRCSWKMPXRRRFI","GSON5133333011")</f>
        <v>#NAME?</v>
      </c>
      <c r="G3323" s="23" t="e">
        <f ca="1">[1]!BexGetData("DP_1","003N8EMH8GTFRCSWKMPXRRXR2","GSON5133333011")</f>
        <v>#NAME?</v>
      </c>
      <c r="H3323" s="23" t="e">
        <f ca="1">[1]!BexGetData("DP_1","003N8EMH8GTFRCSWKMPXRS42M","GSON5133333011")</f>
        <v>#NAME?</v>
      </c>
      <c r="I3323" s="23" t="e">
        <f ca="1">[1]!BexGetData("DP_1","003N8EMH8GTFRCSWKMPXRSAE6","GSON5133333011")</f>
        <v>#NAME?</v>
      </c>
      <c r="J3323" s="24" t="e">
        <f ca="1">[1]!BexGetData("DP_1","003N8EMH8GTFRCSWKMPXRSGPQ","GSON5133333011")</f>
        <v>#NAME?</v>
      </c>
      <c r="K3323" s="23" t="e">
        <f ca="1">[1]!BexGetData("DP_1","003N8EMH8GTFRIVNUPY288VJH","GSON5133333011")</f>
        <v>#NAME?</v>
      </c>
      <c r="L3323" s="23" t="e">
        <f ca="1">[1]!BexGetData("DP_1","003N8EMH8GTFRIVNUPY2891V1","GSON5133333011")</f>
        <v>#NAME?</v>
      </c>
      <c r="M3323" s="28" t="e">
        <f ca="1">[1]!BexGetData("DP_1","003N8EMH8GTFRIVOG7KG9IQXA","GSON5133333011")</f>
        <v>#NAME?</v>
      </c>
      <c r="N3323" s="23" t="e">
        <f ca="1">[1]!BexGetData("DP_1","003N8EMH8GTFRIVOG7KG9IX8U","GSON5133333011")</f>
        <v>#NAME?</v>
      </c>
      <c r="O3323" s="28" t="e">
        <f ca="1">[1]!BexGetData("DP_1","003N8EMH8GTFRIVOG7KG9J3KE","GSON5133333011")</f>
        <v>#NAME?</v>
      </c>
      <c r="P3323" s="23" t="e">
        <f ca="1">[1]!BexGetData("DP_1","003N8EMH8GTFRIVOG7KG9J9VY","GSON5133333011")</f>
        <v>#NAME?</v>
      </c>
      <c r="Q3323" s="24" t="e">
        <f ca="1">[1]!BexGetData("DP_1","00O2TNJGODT0G5Z4TTKYMM5MT","GSON5133333011")</f>
        <v>#NAME?</v>
      </c>
      <c r="R3323" s="23" t="e">
        <f ca="1">[1]!BexGetData("DP_1","00O2TNJGODT0G5Z4TTKYMMBYD","GSON5133333011")</f>
        <v>#NAME?</v>
      </c>
      <c r="S3323" s="23" t="e">
        <f ca="1">[1]!BexGetData("DP_1","00O2TNJGODT0G5Z4TTKYMMI9X","GSON5133333011")</f>
        <v>#NAME?</v>
      </c>
      <c r="T3323" s="28" t="e">
        <f ca="1">[1]!BexGetData("DP_1","00O2TNJGODT0G5Z4TTKYMMOLH","GSON5133333011")</f>
        <v>#NAME?</v>
      </c>
      <c r="U3323" s="23" t="e">
        <f ca="1">[1]!BexGetData("DP_1","00O2TNJGODT0G5Z4TTKYMMUX1","GSON5133333011")</f>
        <v>#NAME?</v>
      </c>
      <c r="V3323" s="28" t="e">
        <f ca="1">[1]!BexGetData("DP_1","00O2TNJGODT0G5Z4TTKYMN18L","GSON5133333011")</f>
        <v>#NAME?</v>
      </c>
      <c r="W3323" s="23" t="e">
        <f ca="1">[1]!BexGetData("DP_1","00O2TNJGODT0G5Z4TTKYMN7K5","GSON5133333011")</f>
        <v>#NAME?</v>
      </c>
    </row>
    <row r="3324" spans="1:23" x14ac:dyDescent="0.2">
      <c r="A3324" s="36" t="s">
        <v>6789</v>
      </c>
      <c r="B3324" s="27" t="s">
        <v>6790</v>
      </c>
      <c r="C3324" s="23" t="e">
        <f ca="1">[1]!BexGetData("DP_1","003N8EMH8GTFRCSWKMPXRR8GU","GSON5133333021")</f>
        <v>#NAME?</v>
      </c>
      <c r="D3324" s="23" t="e">
        <f ca="1">[1]!BexGetData("DP_1","003N8EMH8GTFRCSWKMPXRRESE","GSON5133333021")</f>
        <v>#NAME?</v>
      </c>
      <c r="E3324" s="23" t="e">
        <f ca="1">[1]!BexGetData("DP_1","003N8EMH8GTFRCSWKMPXRRL3Y","GSON5133333021")</f>
        <v>#NAME?</v>
      </c>
      <c r="F3324" s="23" t="e">
        <f ca="1">[1]!BexGetData("DP_1","003N8EMH8GTFRCSWKMPXRRRFI","GSON5133333021")</f>
        <v>#NAME?</v>
      </c>
      <c r="G3324" s="23" t="e">
        <f ca="1">[1]!BexGetData("DP_1","003N8EMH8GTFRCSWKMPXRRXR2","GSON5133333021")</f>
        <v>#NAME?</v>
      </c>
      <c r="H3324" s="23" t="e">
        <f ca="1">[1]!BexGetData("DP_1","003N8EMH8GTFRCSWKMPXRS42M","GSON5133333021")</f>
        <v>#NAME?</v>
      </c>
      <c r="I3324" s="23" t="e">
        <f ca="1">[1]!BexGetData("DP_1","003N8EMH8GTFRCSWKMPXRSAE6","GSON5133333021")</f>
        <v>#NAME?</v>
      </c>
      <c r="J3324" s="24" t="e">
        <f ca="1">[1]!BexGetData("DP_1","003N8EMH8GTFRCSWKMPXRSGPQ","GSON5133333021")</f>
        <v>#NAME?</v>
      </c>
      <c r="K3324" s="23" t="e">
        <f ca="1">[1]!BexGetData("DP_1","003N8EMH8GTFRIVNUPY288VJH","GSON5133333021")</f>
        <v>#NAME?</v>
      </c>
      <c r="L3324" s="23" t="e">
        <f ca="1">[1]!BexGetData("DP_1","003N8EMH8GTFRIVNUPY2891V1","GSON5133333021")</f>
        <v>#NAME?</v>
      </c>
      <c r="M3324" s="28" t="e">
        <f ca="1">[1]!BexGetData("DP_1","003N8EMH8GTFRIVOG7KG9IQXA","GSON5133333021")</f>
        <v>#NAME?</v>
      </c>
      <c r="N3324" s="23" t="e">
        <f ca="1">[1]!BexGetData("DP_1","003N8EMH8GTFRIVOG7KG9IX8U","GSON5133333021")</f>
        <v>#NAME?</v>
      </c>
      <c r="O3324" s="28" t="e">
        <f ca="1">[1]!BexGetData("DP_1","003N8EMH8GTFRIVOG7KG9J3KE","GSON5133333021")</f>
        <v>#NAME?</v>
      </c>
      <c r="P3324" s="23" t="e">
        <f ca="1">[1]!BexGetData("DP_1","003N8EMH8GTFRIVOG7KG9J9VY","GSON5133333021")</f>
        <v>#NAME?</v>
      </c>
      <c r="Q3324" s="24" t="e">
        <f ca="1">[1]!BexGetData("DP_1","00O2TNJGODT0G5Z4TTKYMM5MT","GSON5133333021")</f>
        <v>#NAME?</v>
      </c>
      <c r="R3324" s="23" t="e">
        <f ca="1">[1]!BexGetData("DP_1","00O2TNJGODT0G5Z4TTKYMMBYD","GSON5133333021")</f>
        <v>#NAME?</v>
      </c>
      <c r="S3324" s="23" t="e">
        <f ca="1">[1]!BexGetData("DP_1","00O2TNJGODT0G5Z4TTKYMMI9X","GSON5133333021")</f>
        <v>#NAME?</v>
      </c>
      <c r="T3324" s="28" t="e">
        <f ca="1">[1]!BexGetData("DP_1","00O2TNJGODT0G5Z4TTKYMMOLH","GSON5133333021")</f>
        <v>#NAME?</v>
      </c>
      <c r="U3324" s="23" t="e">
        <f ca="1">[1]!BexGetData("DP_1","00O2TNJGODT0G5Z4TTKYMMUX1","GSON5133333021")</f>
        <v>#NAME?</v>
      </c>
      <c r="V3324" s="28" t="e">
        <f ca="1">[1]!BexGetData("DP_1","00O2TNJGODT0G5Z4TTKYMN18L","GSON5133333021")</f>
        <v>#NAME?</v>
      </c>
      <c r="W3324" s="23" t="e">
        <f ca="1">[1]!BexGetData("DP_1","00O2TNJGODT0G5Z4TTKYMN7K5","GSON5133333021")</f>
        <v>#NAME?</v>
      </c>
    </row>
    <row r="3325" spans="1:23" x14ac:dyDescent="0.2">
      <c r="A3325" s="36" t="s">
        <v>6791</v>
      </c>
      <c r="B3325" s="27" t="s">
        <v>6792</v>
      </c>
      <c r="C3325" s="23" t="e">
        <f ca="1">[1]!BexGetData("DP_1","003N8EMH8GTFRCSWKMPXRR8GU","GSON5133333022")</f>
        <v>#NAME?</v>
      </c>
      <c r="D3325" s="23" t="e">
        <f ca="1">[1]!BexGetData("DP_1","003N8EMH8GTFRCSWKMPXRRESE","GSON5133333022")</f>
        <v>#NAME?</v>
      </c>
      <c r="E3325" s="23" t="e">
        <f ca="1">[1]!BexGetData("DP_1","003N8EMH8GTFRCSWKMPXRRL3Y","GSON5133333022")</f>
        <v>#NAME?</v>
      </c>
      <c r="F3325" s="23" t="e">
        <f ca="1">[1]!BexGetData("DP_1","003N8EMH8GTFRCSWKMPXRRRFI","GSON5133333022")</f>
        <v>#NAME?</v>
      </c>
      <c r="G3325" s="23" t="e">
        <f ca="1">[1]!BexGetData("DP_1","003N8EMH8GTFRCSWKMPXRRXR2","GSON5133333022")</f>
        <v>#NAME?</v>
      </c>
      <c r="H3325" s="23" t="e">
        <f ca="1">[1]!BexGetData("DP_1","003N8EMH8GTFRCSWKMPXRS42M","GSON5133333022")</f>
        <v>#NAME?</v>
      </c>
      <c r="I3325" s="23" t="e">
        <f ca="1">[1]!BexGetData("DP_1","003N8EMH8GTFRCSWKMPXRSAE6","GSON5133333022")</f>
        <v>#NAME?</v>
      </c>
      <c r="J3325" s="24" t="e">
        <f ca="1">[1]!BexGetData("DP_1","003N8EMH8GTFRCSWKMPXRSGPQ","GSON5133333022")</f>
        <v>#NAME?</v>
      </c>
      <c r="K3325" s="23" t="e">
        <f ca="1">[1]!BexGetData("DP_1","003N8EMH8GTFRIVNUPY288VJH","GSON5133333022")</f>
        <v>#NAME?</v>
      </c>
      <c r="L3325" s="23" t="e">
        <f ca="1">[1]!BexGetData("DP_1","003N8EMH8GTFRIVNUPY2891V1","GSON5133333022")</f>
        <v>#NAME?</v>
      </c>
      <c r="M3325" s="23" t="e">
        <f ca="1">[1]!BexGetData("DP_1","003N8EMH8GTFRIVOG7KG9IQXA","GSON5133333022")</f>
        <v>#NAME?</v>
      </c>
      <c r="N3325" s="28" t="e">
        <f ca="1">[1]!BexGetData("DP_1","003N8EMH8GTFRIVOG7KG9IX8U","GSON5133333022")</f>
        <v>#NAME?</v>
      </c>
      <c r="O3325" s="23" t="e">
        <f ca="1">[1]!BexGetData("DP_1","003N8EMH8GTFRIVOG7KG9J3KE","GSON5133333022")</f>
        <v>#NAME?</v>
      </c>
      <c r="P3325" s="28" t="e">
        <f ca="1">[1]!BexGetData("DP_1","003N8EMH8GTFRIVOG7KG9J9VY","GSON5133333022")</f>
        <v>#NAME?</v>
      </c>
      <c r="Q3325" s="24" t="e">
        <f ca="1">[1]!BexGetData("DP_1","00O2TNJGODT0G5Z4TTKYMM5MT","GSON5133333022")</f>
        <v>#NAME?</v>
      </c>
      <c r="R3325" s="23" t="e">
        <f ca="1">[1]!BexGetData("DP_1","00O2TNJGODT0G5Z4TTKYMMBYD","GSON5133333022")</f>
        <v>#NAME?</v>
      </c>
      <c r="S3325" s="23" t="e">
        <f ca="1">[1]!BexGetData("DP_1","00O2TNJGODT0G5Z4TTKYMMI9X","GSON5133333022")</f>
        <v>#NAME?</v>
      </c>
      <c r="T3325" s="28" t="e">
        <f ca="1">[1]!BexGetData("DP_1","00O2TNJGODT0G5Z4TTKYMMOLH","GSON5133333022")</f>
        <v>#NAME?</v>
      </c>
      <c r="U3325" s="23" t="e">
        <f ca="1">[1]!BexGetData("DP_1","00O2TNJGODT0G5Z4TTKYMMUX1","GSON5133333022")</f>
        <v>#NAME?</v>
      </c>
      <c r="V3325" s="28" t="e">
        <f ca="1">[1]!BexGetData("DP_1","00O2TNJGODT0G5Z4TTKYMN18L","GSON5133333022")</f>
        <v>#NAME?</v>
      </c>
      <c r="W3325" s="23" t="e">
        <f ca="1">[1]!BexGetData("DP_1","00O2TNJGODT0G5Z4TTKYMN7K5","GSON5133333022")</f>
        <v>#NAME?</v>
      </c>
    </row>
    <row r="3326" spans="1:23" x14ac:dyDescent="0.2">
      <c r="A3326" s="36" t="s">
        <v>6793</v>
      </c>
      <c r="B3326" s="27" t="s">
        <v>6794</v>
      </c>
      <c r="C3326" s="23" t="e">
        <f ca="1">[1]!BexGetData("DP_1","003N8EMH8GTFRCSWKMPXRR8GU","GSON5133333031")</f>
        <v>#NAME?</v>
      </c>
      <c r="D3326" s="23" t="e">
        <f ca="1">[1]!BexGetData("DP_1","003N8EMH8GTFRCSWKMPXRRESE","GSON5133333031")</f>
        <v>#NAME?</v>
      </c>
      <c r="E3326" s="23" t="e">
        <f ca="1">[1]!BexGetData("DP_1","003N8EMH8GTFRCSWKMPXRRL3Y","GSON5133333031")</f>
        <v>#NAME?</v>
      </c>
      <c r="F3326" s="23" t="e">
        <f ca="1">[1]!BexGetData("DP_1","003N8EMH8GTFRCSWKMPXRRRFI","GSON5133333031")</f>
        <v>#NAME?</v>
      </c>
      <c r="G3326" s="23" t="e">
        <f ca="1">[1]!BexGetData("DP_1","003N8EMH8GTFRCSWKMPXRRXR2","GSON5133333031")</f>
        <v>#NAME?</v>
      </c>
      <c r="H3326" s="28" t="e">
        <f ca="1">[1]!BexGetData("DP_1","003N8EMH8GTFRCSWKMPXRS42M","GSON5133333031")</f>
        <v>#NAME?</v>
      </c>
      <c r="I3326" s="23" t="e">
        <f ca="1">[1]!BexGetData("DP_1","003N8EMH8GTFRCSWKMPXRSAE6","GSON5133333031")</f>
        <v>#NAME?</v>
      </c>
      <c r="J3326" s="24" t="e">
        <f ca="1">[1]!BexGetData("DP_1","003N8EMH8GTFRCSWKMPXRSGPQ","GSON5133333031")</f>
        <v>#NAME?</v>
      </c>
      <c r="K3326" s="23" t="e">
        <f ca="1">[1]!BexGetData("DP_1","003N8EMH8GTFRIVNUPY288VJH","GSON5133333031")</f>
        <v>#NAME?</v>
      </c>
      <c r="L3326" s="23" t="e">
        <f ca="1">[1]!BexGetData("DP_1","003N8EMH8GTFRIVNUPY2891V1","GSON5133333031")</f>
        <v>#NAME?</v>
      </c>
      <c r="M3326" s="23" t="e">
        <f ca="1">[1]!BexGetData("DP_1","003N8EMH8GTFRIVOG7KG9IQXA","GSON5133333031")</f>
        <v>#NAME?</v>
      </c>
      <c r="N3326" s="28" t="e">
        <f ca="1">[1]!BexGetData("DP_1","003N8EMH8GTFRIVOG7KG9IX8U","GSON5133333031")</f>
        <v>#NAME?</v>
      </c>
      <c r="O3326" s="23" t="e">
        <f ca="1">[1]!BexGetData("DP_1","003N8EMH8GTFRIVOG7KG9J3KE","GSON5133333031")</f>
        <v>#NAME?</v>
      </c>
      <c r="P3326" s="28" t="e">
        <f ca="1">[1]!BexGetData("DP_1","003N8EMH8GTFRIVOG7KG9J9VY","GSON5133333031")</f>
        <v>#NAME?</v>
      </c>
      <c r="Q3326" s="24" t="e">
        <f ca="1">[1]!BexGetData("DP_1","00O2TNJGODT0G5Z4TTKYMM5MT","GSON5133333031")</f>
        <v>#NAME?</v>
      </c>
      <c r="R3326" s="23" t="e">
        <f ca="1">[1]!BexGetData("DP_1","00O2TNJGODT0G5Z4TTKYMMBYD","GSON5133333031")</f>
        <v>#NAME?</v>
      </c>
      <c r="S3326" s="23" t="e">
        <f ca="1">[1]!BexGetData("DP_1","00O2TNJGODT0G5Z4TTKYMMI9X","GSON5133333031")</f>
        <v>#NAME?</v>
      </c>
      <c r="T3326" s="28" t="e">
        <f ca="1">[1]!BexGetData("DP_1","00O2TNJGODT0G5Z4TTKYMMOLH","GSON5133333031")</f>
        <v>#NAME?</v>
      </c>
      <c r="U3326" s="23" t="e">
        <f ca="1">[1]!BexGetData("DP_1","00O2TNJGODT0G5Z4TTKYMMUX1","GSON5133333031")</f>
        <v>#NAME?</v>
      </c>
      <c r="V3326" s="28" t="e">
        <f ca="1">[1]!BexGetData("DP_1","00O2TNJGODT0G5Z4TTKYMN18L","GSON5133333031")</f>
        <v>#NAME?</v>
      </c>
      <c r="W3326" s="23" t="e">
        <f ca="1">[1]!BexGetData("DP_1","00O2TNJGODT0G5Z4TTKYMN7K5","GSON5133333031")</f>
        <v>#NAME?</v>
      </c>
    </row>
    <row r="3327" spans="1:23" x14ac:dyDescent="0.2">
      <c r="A3327" s="36" t="s">
        <v>6795</v>
      </c>
      <c r="B3327" s="27" t="s">
        <v>6796</v>
      </c>
      <c r="C3327" s="23" t="e">
        <f ca="1">[1]!BexGetData("DP_1","003N8EMH8GTFRCSWKMPXRR8GU","GSON5133334011")</f>
        <v>#NAME?</v>
      </c>
      <c r="D3327" s="23" t="e">
        <f ca="1">[1]!BexGetData("DP_1","003N8EMH8GTFRCSWKMPXRRESE","GSON5133334011")</f>
        <v>#NAME?</v>
      </c>
      <c r="E3327" s="23" t="e">
        <f ca="1">[1]!BexGetData("DP_1","003N8EMH8GTFRCSWKMPXRRL3Y","GSON5133334011")</f>
        <v>#NAME?</v>
      </c>
      <c r="F3327" s="23" t="e">
        <f ca="1">[1]!BexGetData("DP_1","003N8EMH8GTFRCSWKMPXRRRFI","GSON5133334011")</f>
        <v>#NAME?</v>
      </c>
      <c r="G3327" s="23" t="e">
        <f ca="1">[1]!BexGetData("DP_1","003N8EMH8GTFRCSWKMPXRRXR2","GSON5133334011")</f>
        <v>#NAME?</v>
      </c>
      <c r="H3327" s="23" t="e">
        <f ca="1">[1]!BexGetData("DP_1","003N8EMH8GTFRCSWKMPXRS42M","GSON5133334011")</f>
        <v>#NAME?</v>
      </c>
      <c r="I3327" s="23" t="e">
        <f ca="1">[1]!BexGetData("DP_1","003N8EMH8GTFRCSWKMPXRSAE6","GSON5133334011")</f>
        <v>#NAME?</v>
      </c>
      <c r="J3327" s="24" t="e">
        <f ca="1">[1]!BexGetData("DP_1","003N8EMH8GTFRCSWKMPXRSGPQ","GSON5133334011")</f>
        <v>#NAME?</v>
      </c>
      <c r="K3327" s="23" t="e">
        <f ca="1">[1]!BexGetData("DP_1","003N8EMH8GTFRIVNUPY288VJH","GSON5133334011")</f>
        <v>#NAME?</v>
      </c>
      <c r="L3327" s="23" t="e">
        <f ca="1">[1]!BexGetData("DP_1","003N8EMH8GTFRIVNUPY2891V1","GSON5133334011")</f>
        <v>#NAME?</v>
      </c>
      <c r="M3327" s="23" t="e">
        <f ca="1">[1]!BexGetData("DP_1","003N8EMH8GTFRIVOG7KG9IQXA","GSON5133334011")</f>
        <v>#NAME?</v>
      </c>
      <c r="N3327" s="28" t="e">
        <f ca="1">[1]!BexGetData("DP_1","003N8EMH8GTFRIVOG7KG9IX8U","GSON5133334011")</f>
        <v>#NAME?</v>
      </c>
      <c r="O3327" s="23" t="e">
        <f ca="1">[1]!BexGetData("DP_1","003N8EMH8GTFRIVOG7KG9J3KE","GSON5133334011")</f>
        <v>#NAME?</v>
      </c>
      <c r="P3327" s="28" t="e">
        <f ca="1">[1]!BexGetData("DP_1","003N8EMH8GTFRIVOG7KG9J9VY","GSON5133334011")</f>
        <v>#NAME?</v>
      </c>
      <c r="Q3327" s="24" t="e">
        <f ca="1">[1]!BexGetData("DP_1","00O2TNJGODT0G5Z4TTKYMM5MT","GSON5133334011")</f>
        <v>#NAME?</v>
      </c>
      <c r="R3327" s="23" t="e">
        <f ca="1">[1]!BexGetData("DP_1","00O2TNJGODT0G5Z4TTKYMMBYD","GSON5133334011")</f>
        <v>#NAME?</v>
      </c>
      <c r="S3327" s="23" t="e">
        <f ca="1">[1]!BexGetData("DP_1","00O2TNJGODT0G5Z4TTKYMMI9X","GSON5133334011")</f>
        <v>#NAME?</v>
      </c>
      <c r="T3327" s="28" t="e">
        <f ca="1">[1]!BexGetData("DP_1","00O2TNJGODT0G5Z4TTKYMMOLH","GSON5133334011")</f>
        <v>#NAME?</v>
      </c>
      <c r="U3327" s="23" t="e">
        <f ca="1">[1]!BexGetData("DP_1","00O2TNJGODT0G5Z4TTKYMMUX1","GSON5133334011")</f>
        <v>#NAME?</v>
      </c>
      <c r="V3327" s="28" t="e">
        <f ca="1">[1]!BexGetData("DP_1","00O2TNJGODT0G5Z4TTKYMN18L","GSON5133334011")</f>
        <v>#NAME?</v>
      </c>
      <c r="W3327" s="23" t="e">
        <f ca="1">[1]!BexGetData("DP_1","00O2TNJGODT0G5Z4TTKYMN7K5","GSON5133334011")</f>
        <v>#NAME?</v>
      </c>
    </row>
    <row r="3328" spans="1:23" x14ac:dyDescent="0.2">
      <c r="A3328" s="36" t="s">
        <v>6797</v>
      </c>
      <c r="B3328" s="27" t="s">
        <v>6798</v>
      </c>
      <c r="C3328" s="23" t="e">
        <f ca="1">[1]!BexGetData("DP_1","003N8EMH8GTFRCSWKMPXRR8GU","GSON5133335011")</f>
        <v>#NAME?</v>
      </c>
      <c r="D3328" s="23" t="e">
        <f ca="1">[1]!BexGetData("DP_1","003N8EMH8GTFRCSWKMPXRRESE","GSON5133335011")</f>
        <v>#NAME?</v>
      </c>
      <c r="E3328" s="23" t="e">
        <f ca="1">[1]!BexGetData("DP_1","003N8EMH8GTFRCSWKMPXRRL3Y","GSON5133335011")</f>
        <v>#NAME?</v>
      </c>
      <c r="F3328" s="28" t="e">
        <f ca="1">[1]!BexGetData("DP_1","003N8EMH8GTFRCSWKMPXRRRFI","GSON5133335011")</f>
        <v>#NAME?</v>
      </c>
      <c r="G3328" s="23" t="e">
        <f ca="1">[1]!BexGetData("DP_1","003N8EMH8GTFRCSWKMPXRRXR2","GSON5133335011")</f>
        <v>#NAME?</v>
      </c>
      <c r="H3328" s="23" t="e">
        <f ca="1">[1]!BexGetData("DP_1","003N8EMH8GTFRCSWKMPXRS42M","GSON5133335011")</f>
        <v>#NAME?</v>
      </c>
      <c r="I3328" s="28" t="e">
        <f ca="1">[1]!BexGetData("DP_1","003N8EMH8GTFRCSWKMPXRSAE6","GSON5133335011")</f>
        <v>#NAME?</v>
      </c>
      <c r="J3328" s="24" t="e">
        <f ca="1">[1]!BexGetData("DP_1","003N8EMH8GTFRCSWKMPXRSGPQ","GSON5133335011")</f>
        <v>#NAME?</v>
      </c>
      <c r="K3328" s="23" t="e">
        <f ca="1">[1]!BexGetData("DP_1","003N8EMH8GTFRIVNUPY288VJH","GSON5133335011")</f>
        <v>#NAME?</v>
      </c>
      <c r="L3328" s="23" t="e">
        <f ca="1">[1]!BexGetData("DP_1","003N8EMH8GTFRIVNUPY2891V1","GSON5133335011")</f>
        <v>#NAME?</v>
      </c>
      <c r="M3328" s="28" t="e">
        <f ca="1">[1]!BexGetData("DP_1","003N8EMH8GTFRIVOG7KG9IQXA","GSON5133335011")</f>
        <v>#NAME?</v>
      </c>
      <c r="N3328" s="23" t="e">
        <f ca="1">[1]!BexGetData("DP_1","003N8EMH8GTFRIVOG7KG9IX8U","GSON5133335011")</f>
        <v>#NAME?</v>
      </c>
      <c r="O3328" s="28" t="e">
        <f ca="1">[1]!BexGetData("DP_1","003N8EMH8GTFRIVOG7KG9J3KE","GSON5133335011")</f>
        <v>#NAME?</v>
      </c>
      <c r="P3328" s="23" t="e">
        <f ca="1">[1]!BexGetData("DP_1","003N8EMH8GTFRIVOG7KG9J9VY","GSON5133335011")</f>
        <v>#NAME?</v>
      </c>
      <c r="Q3328" s="24" t="e">
        <f ca="1">[1]!BexGetData("DP_1","00O2TNJGODT0G5Z4TTKYMM5MT","GSON5133335011")</f>
        <v>#NAME?</v>
      </c>
      <c r="R3328" s="28" t="e">
        <f ca="1">[1]!BexGetData("DP_1","00O2TNJGODT0G5Z4TTKYMMBYD","GSON5133335011")</f>
        <v>#NAME?</v>
      </c>
      <c r="S3328" s="28" t="e">
        <f ca="1">[1]!BexGetData("DP_1","00O2TNJGODT0G5Z4TTKYMMI9X","GSON5133335011")</f>
        <v>#NAME?</v>
      </c>
      <c r="T3328" s="28" t="e">
        <f ca="1">[1]!BexGetData("DP_1","00O2TNJGODT0G5Z4TTKYMMOLH","GSON5133335011")</f>
        <v>#NAME?</v>
      </c>
      <c r="U3328" s="28" t="e">
        <f ca="1">[1]!BexGetData("DP_1","00O2TNJGODT0G5Z4TTKYMMUX1","GSON5133335011")</f>
        <v>#NAME?</v>
      </c>
      <c r="V3328" s="28" t="e">
        <f ca="1">[1]!BexGetData("DP_1","00O2TNJGODT0G5Z4TTKYMN18L","GSON5133335011")</f>
        <v>#NAME?</v>
      </c>
      <c r="W3328" s="28" t="e">
        <f ca="1">[1]!BexGetData("DP_1","00O2TNJGODT0G5Z4TTKYMN7K5","GSON5133335011")</f>
        <v>#NAME?</v>
      </c>
    </row>
    <row r="3329" spans="1:23" x14ac:dyDescent="0.2">
      <c r="A3329" s="36" t="s">
        <v>6799</v>
      </c>
      <c r="B3329" s="27" t="s">
        <v>6800</v>
      </c>
      <c r="C3329" s="23" t="e">
        <f ca="1">[1]!BexGetData("DP_1","003N8EMH8GTFRCSWKMPXRR8GU","GSON5133336031")</f>
        <v>#NAME?</v>
      </c>
      <c r="D3329" s="23" t="e">
        <f ca="1">[1]!BexGetData("DP_1","003N8EMH8GTFRCSWKMPXRRESE","GSON5133336031")</f>
        <v>#NAME?</v>
      </c>
      <c r="E3329" s="23" t="e">
        <f ca="1">[1]!BexGetData("DP_1","003N8EMH8GTFRCSWKMPXRRL3Y","GSON5133336031")</f>
        <v>#NAME?</v>
      </c>
      <c r="F3329" s="23" t="e">
        <f ca="1">[1]!BexGetData("DP_1","003N8EMH8GTFRCSWKMPXRRRFI","GSON5133336031")</f>
        <v>#NAME?</v>
      </c>
      <c r="G3329" s="23" t="e">
        <f ca="1">[1]!BexGetData("DP_1","003N8EMH8GTFRCSWKMPXRRXR2","GSON5133336031")</f>
        <v>#NAME?</v>
      </c>
      <c r="H3329" s="23" t="e">
        <f ca="1">[1]!BexGetData("DP_1","003N8EMH8GTFRCSWKMPXRS42M","GSON5133336031")</f>
        <v>#NAME?</v>
      </c>
      <c r="I3329" s="23" t="e">
        <f ca="1">[1]!BexGetData("DP_1","003N8EMH8GTFRCSWKMPXRSAE6","GSON5133336031")</f>
        <v>#NAME?</v>
      </c>
      <c r="J3329" s="24" t="e">
        <f ca="1">[1]!BexGetData("DP_1","003N8EMH8GTFRCSWKMPXRSGPQ","GSON5133336031")</f>
        <v>#NAME?</v>
      </c>
      <c r="K3329" s="23" t="e">
        <f ca="1">[1]!BexGetData("DP_1","003N8EMH8GTFRIVNUPY288VJH","GSON5133336031")</f>
        <v>#NAME?</v>
      </c>
      <c r="L3329" s="23" t="e">
        <f ca="1">[1]!BexGetData("DP_1","003N8EMH8GTFRIVNUPY2891V1","GSON5133336031")</f>
        <v>#NAME?</v>
      </c>
      <c r="M3329" s="28" t="e">
        <f ca="1">[1]!BexGetData("DP_1","003N8EMH8GTFRIVOG7KG9IQXA","GSON5133336031")</f>
        <v>#NAME?</v>
      </c>
      <c r="N3329" s="23" t="e">
        <f ca="1">[1]!BexGetData("DP_1","003N8EMH8GTFRIVOG7KG9IX8U","GSON5133336031")</f>
        <v>#NAME?</v>
      </c>
      <c r="O3329" s="28" t="e">
        <f ca="1">[1]!BexGetData("DP_1","003N8EMH8GTFRIVOG7KG9J3KE","GSON5133336031")</f>
        <v>#NAME?</v>
      </c>
      <c r="P3329" s="23" t="e">
        <f ca="1">[1]!BexGetData("DP_1","003N8EMH8GTFRIVOG7KG9J9VY","GSON5133336031")</f>
        <v>#NAME?</v>
      </c>
      <c r="Q3329" s="24" t="e">
        <f ca="1">[1]!BexGetData("DP_1","00O2TNJGODT0G5Z4TTKYMM5MT","GSON5133336031")</f>
        <v>#NAME?</v>
      </c>
      <c r="R3329" s="23" t="e">
        <f ca="1">[1]!BexGetData("DP_1","00O2TNJGODT0G5Z4TTKYMMBYD","GSON5133336031")</f>
        <v>#NAME?</v>
      </c>
      <c r="S3329" s="23" t="e">
        <f ca="1">[1]!BexGetData("DP_1","00O2TNJGODT0G5Z4TTKYMMI9X","GSON5133336031")</f>
        <v>#NAME?</v>
      </c>
      <c r="T3329" s="28" t="e">
        <f ca="1">[1]!BexGetData("DP_1","00O2TNJGODT0G5Z4TTKYMMOLH","GSON5133336031")</f>
        <v>#NAME?</v>
      </c>
      <c r="U3329" s="23" t="e">
        <f ca="1">[1]!BexGetData("DP_1","00O2TNJGODT0G5Z4TTKYMMUX1","GSON5133336031")</f>
        <v>#NAME?</v>
      </c>
      <c r="V3329" s="28" t="e">
        <f ca="1">[1]!BexGetData("DP_1","00O2TNJGODT0G5Z4TTKYMN18L","GSON5133336031")</f>
        <v>#NAME?</v>
      </c>
      <c r="W3329" s="23" t="e">
        <f ca="1">[1]!BexGetData("DP_1","00O2TNJGODT0G5Z4TTKYMN7K5","GSON5133336031")</f>
        <v>#NAME?</v>
      </c>
    </row>
    <row r="3330" spans="1:23" x14ac:dyDescent="0.2">
      <c r="A3330" s="36" t="s">
        <v>6801</v>
      </c>
      <c r="B3330" s="27" t="s">
        <v>6802</v>
      </c>
      <c r="C3330" s="24" t="e">
        <f ca="1">[1]!BexGetData("DP_1","003N8EMH8GTFRCSWKMPXRR8GU","GSON5133336032")</f>
        <v>#NAME?</v>
      </c>
      <c r="D3330" s="24" t="e">
        <f ca="1">[1]!BexGetData("DP_1","003N8EMH8GTFRCSWKMPXRRESE","GSON5133336032")</f>
        <v>#NAME?</v>
      </c>
      <c r="E3330" s="24" t="e">
        <f ca="1">[1]!BexGetData("DP_1","003N8EMH8GTFRCSWKMPXRRL3Y","GSON5133336032")</f>
        <v>#NAME?</v>
      </c>
      <c r="F3330" s="23" t="e">
        <f ca="1">[1]!BexGetData("DP_1","003N8EMH8GTFRCSWKMPXRRRFI","GSON5133336032")</f>
        <v>#NAME?</v>
      </c>
      <c r="G3330" s="23" t="e">
        <f ca="1">[1]!BexGetData("DP_1","003N8EMH8GTFRCSWKMPXRRXR2","GSON5133336032")</f>
        <v>#NAME?</v>
      </c>
      <c r="H3330" s="28" t="e">
        <f ca="1">[1]!BexGetData("DP_1","003N8EMH8GTFRCSWKMPXRS42M","GSON5133336032")</f>
        <v>#NAME?</v>
      </c>
      <c r="I3330" s="23" t="e">
        <f ca="1">[1]!BexGetData("DP_1","003N8EMH8GTFRCSWKMPXRSAE6","GSON5133336032")</f>
        <v>#NAME?</v>
      </c>
      <c r="J3330" s="24" t="e">
        <f ca="1">[1]!BexGetData("DP_1","003N8EMH8GTFRCSWKMPXRSGPQ","GSON5133336032")</f>
        <v>#NAME?</v>
      </c>
      <c r="K3330" s="23" t="e">
        <f ca="1">[1]!BexGetData("DP_1","003N8EMH8GTFRIVNUPY288VJH","GSON5133336032")</f>
        <v>#NAME?</v>
      </c>
      <c r="L3330" s="23" t="e">
        <f ca="1">[1]!BexGetData("DP_1","003N8EMH8GTFRIVNUPY2891V1","GSON5133336032")</f>
        <v>#NAME?</v>
      </c>
      <c r="M3330" s="23" t="e">
        <f ca="1">[1]!BexGetData("DP_1","003N8EMH8GTFRIVOG7KG9IQXA","GSON5133336032")</f>
        <v>#NAME?</v>
      </c>
      <c r="N3330" s="28" t="e">
        <f ca="1">[1]!BexGetData("DP_1","003N8EMH8GTFRIVOG7KG9IX8U","GSON5133336032")</f>
        <v>#NAME?</v>
      </c>
      <c r="O3330" s="23" t="e">
        <f ca="1">[1]!BexGetData("DP_1","003N8EMH8GTFRIVOG7KG9J3KE","GSON5133336032")</f>
        <v>#NAME?</v>
      </c>
      <c r="P3330" s="28" t="e">
        <f ca="1">[1]!BexGetData("DP_1","003N8EMH8GTFRIVOG7KG9J9VY","GSON5133336032")</f>
        <v>#NAME?</v>
      </c>
      <c r="Q3330" s="24" t="e">
        <f ca="1">[1]!BexGetData("DP_1","00O2TNJGODT0G5Z4TTKYMM5MT","GSON5133336032")</f>
        <v>#NAME?</v>
      </c>
      <c r="R3330" s="23" t="e">
        <f ca="1">[1]!BexGetData("DP_1","00O2TNJGODT0G5Z4TTKYMMBYD","GSON5133336032")</f>
        <v>#NAME?</v>
      </c>
      <c r="S3330" s="23" t="e">
        <f ca="1">[1]!BexGetData("DP_1","00O2TNJGODT0G5Z4TTKYMMI9X","GSON5133336032")</f>
        <v>#NAME?</v>
      </c>
      <c r="T3330" s="28" t="e">
        <f ca="1">[1]!BexGetData("DP_1","00O2TNJGODT0G5Z4TTKYMMOLH","GSON5133336032")</f>
        <v>#NAME?</v>
      </c>
      <c r="U3330" s="23" t="e">
        <f ca="1">[1]!BexGetData("DP_1","00O2TNJGODT0G5Z4TTKYMMUX1","GSON5133336032")</f>
        <v>#NAME?</v>
      </c>
      <c r="V3330" s="28" t="e">
        <f ca="1">[1]!BexGetData("DP_1","00O2TNJGODT0G5Z4TTKYMN18L","GSON5133336032")</f>
        <v>#NAME?</v>
      </c>
      <c r="W3330" s="23" t="e">
        <f ca="1">[1]!BexGetData("DP_1","00O2TNJGODT0G5Z4TTKYMN7K5","GSON5133336032")</f>
        <v>#NAME?</v>
      </c>
    </row>
    <row r="3331" spans="1:23" x14ac:dyDescent="0.2">
      <c r="A3331" s="36" t="s">
        <v>6803</v>
      </c>
      <c r="B3331" s="27" t="s">
        <v>6804</v>
      </c>
      <c r="C3331" s="23" t="e">
        <f ca="1">[1]!BexGetData("DP_1","003N8EMH8GTFRCSWKMPXRR8GU","GSON5133336041")</f>
        <v>#NAME?</v>
      </c>
      <c r="D3331" s="28" t="e">
        <f ca="1">[1]!BexGetData("DP_1","003N8EMH8GTFRCSWKMPXRRESE","GSON5133336041")</f>
        <v>#NAME?</v>
      </c>
      <c r="E3331" s="23" t="e">
        <f ca="1">[1]!BexGetData("DP_1","003N8EMH8GTFRCSWKMPXRRL3Y","GSON5133336041")</f>
        <v>#NAME?</v>
      </c>
      <c r="F3331" s="28" t="e">
        <f ca="1">[1]!BexGetData("DP_1","003N8EMH8GTFRCSWKMPXRRRFI","GSON5133336041")</f>
        <v>#NAME?</v>
      </c>
      <c r="G3331" s="23" t="e">
        <f ca="1">[1]!BexGetData("DP_1","003N8EMH8GTFRCSWKMPXRRXR2","GSON5133336041")</f>
        <v>#NAME?</v>
      </c>
      <c r="H3331" s="23" t="e">
        <f ca="1">[1]!BexGetData("DP_1","003N8EMH8GTFRCSWKMPXRS42M","GSON5133336041")</f>
        <v>#NAME?</v>
      </c>
      <c r="I3331" s="28" t="e">
        <f ca="1">[1]!BexGetData("DP_1","003N8EMH8GTFRCSWKMPXRSAE6","GSON5133336041")</f>
        <v>#NAME?</v>
      </c>
      <c r="J3331" s="24" t="e">
        <f ca="1">[1]!BexGetData("DP_1","003N8EMH8GTFRCSWKMPXRSGPQ","GSON5133336041")</f>
        <v>#NAME?</v>
      </c>
      <c r="K3331" s="23" t="e">
        <f ca="1">[1]!BexGetData("DP_1","003N8EMH8GTFRIVNUPY288VJH","GSON5133336041")</f>
        <v>#NAME?</v>
      </c>
      <c r="L3331" s="23" t="e">
        <f ca="1">[1]!BexGetData("DP_1","003N8EMH8GTFRIVNUPY2891V1","GSON5133336041")</f>
        <v>#NAME?</v>
      </c>
      <c r="M3331" s="28" t="e">
        <f ca="1">[1]!BexGetData("DP_1","003N8EMH8GTFRIVOG7KG9IQXA","GSON5133336041")</f>
        <v>#NAME?</v>
      </c>
      <c r="N3331" s="23" t="e">
        <f ca="1">[1]!BexGetData("DP_1","003N8EMH8GTFRIVOG7KG9IX8U","GSON5133336041")</f>
        <v>#NAME?</v>
      </c>
      <c r="O3331" s="28" t="e">
        <f ca="1">[1]!BexGetData("DP_1","003N8EMH8GTFRIVOG7KG9J3KE","GSON5133336041")</f>
        <v>#NAME?</v>
      </c>
      <c r="P3331" s="23" t="e">
        <f ca="1">[1]!BexGetData("DP_1","003N8EMH8GTFRIVOG7KG9J9VY","GSON5133336041")</f>
        <v>#NAME?</v>
      </c>
      <c r="Q3331" s="24" t="e">
        <f ca="1">[1]!BexGetData("DP_1","00O2TNJGODT0G5Z4TTKYMM5MT","GSON5133336041")</f>
        <v>#NAME?</v>
      </c>
      <c r="R3331" s="28" t="e">
        <f ca="1">[1]!BexGetData("DP_1","00O2TNJGODT0G5Z4TTKYMMBYD","GSON5133336041")</f>
        <v>#NAME?</v>
      </c>
      <c r="S3331" s="28" t="e">
        <f ca="1">[1]!BexGetData("DP_1","00O2TNJGODT0G5Z4TTKYMMI9X","GSON5133336041")</f>
        <v>#NAME?</v>
      </c>
      <c r="T3331" s="28" t="e">
        <f ca="1">[1]!BexGetData("DP_1","00O2TNJGODT0G5Z4TTKYMMOLH","GSON5133336041")</f>
        <v>#NAME?</v>
      </c>
      <c r="U3331" s="28" t="e">
        <f ca="1">[1]!BexGetData("DP_1","00O2TNJGODT0G5Z4TTKYMMUX1","GSON5133336041")</f>
        <v>#NAME?</v>
      </c>
      <c r="V3331" s="28" t="e">
        <f ca="1">[1]!BexGetData("DP_1","00O2TNJGODT0G5Z4TTKYMN18L","GSON5133336041")</f>
        <v>#NAME?</v>
      </c>
      <c r="W3331" s="28" t="e">
        <f ca="1">[1]!BexGetData("DP_1","00O2TNJGODT0G5Z4TTKYMN7K5","GSON5133336041")</f>
        <v>#NAME?</v>
      </c>
    </row>
    <row r="3332" spans="1:23" x14ac:dyDescent="0.2">
      <c r="A3332" s="36" t="s">
        <v>6805</v>
      </c>
      <c r="B3332" s="27" t="s">
        <v>6806</v>
      </c>
      <c r="C3332" s="23" t="e">
        <f ca="1">[1]!BexGetData("DP_1","003N8EMH8GTFRCSWKMPXRR8GU","GSON5133336051")</f>
        <v>#NAME?</v>
      </c>
      <c r="D3332" s="28" t="e">
        <f ca="1">[1]!BexGetData("DP_1","003N8EMH8GTFRCSWKMPXRRESE","GSON5133336051")</f>
        <v>#NAME?</v>
      </c>
      <c r="E3332" s="23" t="e">
        <f ca="1">[1]!BexGetData("DP_1","003N8EMH8GTFRCSWKMPXRRL3Y","GSON5133336051")</f>
        <v>#NAME?</v>
      </c>
      <c r="F3332" s="23" t="e">
        <f ca="1">[1]!BexGetData("DP_1","003N8EMH8GTFRCSWKMPXRRRFI","GSON5133336051")</f>
        <v>#NAME?</v>
      </c>
      <c r="G3332" s="23" t="e">
        <f ca="1">[1]!BexGetData("DP_1","003N8EMH8GTFRCSWKMPXRRXR2","GSON5133336051")</f>
        <v>#NAME?</v>
      </c>
      <c r="H3332" s="23" t="e">
        <f ca="1">[1]!BexGetData("DP_1","003N8EMH8GTFRCSWKMPXRS42M","GSON5133336051")</f>
        <v>#NAME?</v>
      </c>
      <c r="I3332" s="23" t="e">
        <f ca="1">[1]!BexGetData("DP_1","003N8EMH8GTFRCSWKMPXRSAE6","GSON5133336051")</f>
        <v>#NAME?</v>
      </c>
      <c r="J3332" s="24" t="e">
        <f ca="1">[1]!BexGetData("DP_1","003N8EMH8GTFRCSWKMPXRSGPQ","GSON5133336051")</f>
        <v>#NAME?</v>
      </c>
      <c r="K3332" s="23" t="e">
        <f ca="1">[1]!BexGetData("DP_1","003N8EMH8GTFRIVNUPY288VJH","GSON5133336051")</f>
        <v>#NAME?</v>
      </c>
      <c r="L3332" s="23" t="e">
        <f ca="1">[1]!BexGetData("DP_1","003N8EMH8GTFRIVNUPY2891V1","GSON5133336051")</f>
        <v>#NAME?</v>
      </c>
      <c r="M3332" s="23" t="e">
        <f ca="1">[1]!BexGetData("DP_1","003N8EMH8GTFRIVOG7KG9IQXA","GSON5133336051")</f>
        <v>#NAME?</v>
      </c>
      <c r="N3332" s="28" t="e">
        <f ca="1">[1]!BexGetData("DP_1","003N8EMH8GTFRIVOG7KG9IX8U","GSON5133336051")</f>
        <v>#NAME?</v>
      </c>
      <c r="O3332" s="23" t="e">
        <f ca="1">[1]!BexGetData("DP_1","003N8EMH8GTFRIVOG7KG9J3KE","GSON5133336051")</f>
        <v>#NAME?</v>
      </c>
      <c r="P3332" s="28" t="e">
        <f ca="1">[1]!BexGetData("DP_1","003N8EMH8GTFRIVOG7KG9J9VY","GSON5133336051")</f>
        <v>#NAME?</v>
      </c>
      <c r="Q3332" s="24" t="e">
        <f ca="1">[1]!BexGetData("DP_1","00O2TNJGODT0G5Z4TTKYMM5MT","GSON5133336051")</f>
        <v>#NAME?</v>
      </c>
      <c r="R3332" s="23" t="e">
        <f ca="1">[1]!BexGetData("DP_1","00O2TNJGODT0G5Z4TTKYMMBYD","GSON5133336051")</f>
        <v>#NAME?</v>
      </c>
      <c r="S3332" s="23" t="e">
        <f ca="1">[1]!BexGetData("DP_1","00O2TNJGODT0G5Z4TTKYMMI9X","GSON5133336051")</f>
        <v>#NAME?</v>
      </c>
      <c r="T3332" s="28" t="e">
        <f ca="1">[1]!BexGetData("DP_1","00O2TNJGODT0G5Z4TTKYMMOLH","GSON5133336051")</f>
        <v>#NAME?</v>
      </c>
      <c r="U3332" s="23" t="e">
        <f ca="1">[1]!BexGetData("DP_1","00O2TNJGODT0G5Z4TTKYMMUX1","GSON5133336051")</f>
        <v>#NAME?</v>
      </c>
      <c r="V3332" s="28" t="e">
        <f ca="1">[1]!BexGetData("DP_1","00O2TNJGODT0G5Z4TTKYMN18L","GSON5133336051")</f>
        <v>#NAME?</v>
      </c>
      <c r="W3332" s="23" t="e">
        <f ca="1">[1]!BexGetData("DP_1","00O2TNJGODT0G5Z4TTKYMN7K5","GSON5133336051")</f>
        <v>#NAME?</v>
      </c>
    </row>
    <row r="3333" spans="1:23" x14ac:dyDescent="0.2">
      <c r="A3333" s="36" t="s">
        <v>6807</v>
      </c>
      <c r="B3333" s="27" t="s">
        <v>6808</v>
      </c>
      <c r="C3333" s="23" t="e">
        <f ca="1">[1]!BexGetData("DP_1","003N8EMH8GTFRCSWKMPXRR8GU","GSON5133336061")</f>
        <v>#NAME?</v>
      </c>
      <c r="D3333" s="23" t="e">
        <f ca="1">[1]!BexGetData("DP_1","003N8EMH8GTFRCSWKMPXRRESE","GSON5133336061")</f>
        <v>#NAME?</v>
      </c>
      <c r="E3333" s="23" t="e">
        <f ca="1">[1]!BexGetData("DP_1","003N8EMH8GTFRCSWKMPXRRL3Y","GSON5133336061")</f>
        <v>#NAME?</v>
      </c>
      <c r="F3333" s="23" t="e">
        <f ca="1">[1]!BexGetData("DP_1","003N8EMH8GTFRCSWKMPXRRRFI","GSON5133336061")</f>
        <v>#NAME?</v>
      </c>
      <c r="G3333" s="23" t="e">
        <f ca="1">[1]!BexGetData("DP_1","003N8EMH8GTFRCSWKMPXRRXR2","GSON5133336061")</f>
        <v>#NAME?</v>
      </c>
      <c r="H3333" s="28" t="e">
        <f ca="1">[1]!BexGetData("DP_1","003N8EMH8GTFRCSWKMPXRS42M","GSON5133336061")</f>
        <v>#NAME?</v>
      </c>
      <c r="I3333" s="23" t="e">
        <f ca="1">[1]!BexGetData("DP_1","003N8EMH8GTFRCSWKMPXRSAE6","GSON5133336061")</f>
        <v>#NAME?</v>
      </c>
      <c r="J3333" s="24" t="e">
        <f ca="1">[1]!BexGetData("DP_1","003N8EMH8GTFRCSWKMPXRSGPQ","GSON5133336061")</f>
        <v>#NAME?</v>
      </c>
      <c r="K3333" s="23" t="e">
        <f ca="1">[1]!BexGetData("DP_1","003N8EMH8GTFRIVNUPY288VJH","GSON5133336061")</f>
        <v>#NAME?</v>
      </c>
      <c r="L3333" s="23" t="e">
        <f ca="1">[1]!BexGetData("DP_1","003N8EMH8GTFRIVNUPY2891V1","GSON5133336061")</f>
        <v>#NAME?</v>
      </c>
      <c r="M3333" s="28" t="e">
        <f ca="1">[1]!BexGetData("DP_1","003N8EMH8GTFRIVOG7KG9IQXA","GSON5133336061")</f>
        <v>#NAME?</v>
      </c>
      <c r="N3333" s="23" t="e">
        <f ca="1">[1]!BexGetData("DP_1","003N8EMH8GTFRIVOG7KG9IX8U","GSON5133336061")</f>
        <v>#NAME?</v>
      </c>
      <c r="O3333" s="28" t="e">
        <f ca="1">[1]!BexGetData("DP_1","003N8EMH8GTFRIVOG7KG9J3KE","GSON5133336061")</f>
        <v>#NAME?</v>
      </c>
      <c r="P3333" s="23" t="e">
        <f ca="1">[1]!BexGetData("DP_1","003N8EMH8GTFRIVOG7KG9J9VY","GSON5133336061")</f>
        <v>#NAME?</v>
      </c>
      <c r="Q3333" s="24" t="e">
        <f ca="1">[1]!BexGetData("DP_1","00O2TNJGODT0G5Z4TTKYMM5MT","GSON5133336061")</f>
        <v>#NAME?</v>
      </c>
      <c r="R3333" s="23" t="e">
        <f ca="1">[1]!BexGetData("DP_1","00O2TNJGODT0G5Z4TTKYMMBYD","GSON5133336061")</f>
        <v>#NAME?</v>
      </c>
      <c r="S3333" s="23" t="e">
        <f ca="1">[1]!BexGetData("DP_1","00O2TNJGODT0G5Z4TTKYMMI9X","GSON5133336061")</f>
        <v>#NAME?</v>
      </c>
      <c r="T3333" s="28" t="e">
        <f ca="1">[1]!BexGetData("DP_1","00O2TNJGODT0G5Z4TTKYMMOLH","GSON5133336061")</f>
        <v>#NAME?</v>
      </c>
      <c r="U3333" s="23" t="e">
        <f ca="1">[1]!BexGetData("DP_1","00O2TNJGODT0G5Z4TTKYMMUX1","GSON5133336061")</f>
        <v>#NAME?</v>
      </c>
      <c r="V3333" s="28" t="e">
        <f ca="1">[1]!BexGetData("DP_1","00O2TNJGODT0G5Z4TTKYMN18L","GSON5133336061")</f>
        <v>#NAME?</v>
      </c>
      <c r="W3333" s="23" t="e">
        <f ca="1">[1]!BexGetData("DP_1","00O2TNJGODT0G5Z4TTKYMN7K5","GSON5133336061")</f>
        <v>#NAME?</v>
      </c>
    </row>
    <row r="3334" spans="1:23" x14ac:dyDescent="0.2">
      <c r="A3334" s="36" t="s">
        <v>6809</v>
      </c>
      <c r="B3334" s="27" t="s">
        <v>6810</v>
      </c>
      <c r="C3334" s="23" t="e">
        <f ca="1">[1]!BexGetData("DP_1","003N8EMH8GTFRCSWKMPXRR8GU","GSON5133337011")</f>
        <v>#NAME?</v>
      </c>
      <c r="D3334" s="28" t="e">
        <f ca="1">[1]!BexGetData("DP_1","003N8EMH8GTFRCSWKMPXRRESE","GSON5133337011")</f>
        <v>#NAME?</v>
      </c>
      <c r="E3334" s="23" t="e">
        <f ca="1">[1]!BexGetData("DP_1","003N8EMH8GTFRCSWKMPXRRL3Y","GSON5133337011")</f>
        <v>#NAME?</v>
      </c>
      <c r="F3334" s="23" t="e">
        <f ca="1">[1]!BexGetData("DP_1","003N8EMH8GTFRCSWKMPXRRRFI","GSON5133337011")</f>
        <v>#NAME?</v>
      </c>
      <c r="G3334" s="23" t="e">
        <f ca="1">[1]!BexGetData("DP_1","003N8EMH8GTFRCSWKMPXRRXR2","GSON5133337011")</f>
        <v>#NAME?</v>
      </c>
      <c r="H3334" s="28" t="e">
        <f ca="1">[1]!BexGetData("DP_1","003N8EMH8GTFRCSWKMPXRS42M","GSON5133337011")</f>
        <v>#NAME?</v>
      </c>
      <c r="I3334" s="23" t="e">
        <f ca="1">[1]!BexGetData("DP_1","003N8EMH8GTFRCSWKMPXRSAE6","GSON5133337011")</f>
        <v>#NAME?</v>
      </c>
      <c r="J3334" s="24" t="e">
        <f ca="1">[1]!BexGetData("DP_1","003N8EMH8GTFRCSWKMPXRSGPQ","GSON5133337011")</f>
        <v>#NAME?</v>
      </c>
      <c r="K3334" s="23" t="e">
        <f ca="1">[1]!BexGetData("DP_1","003N8EMH8GTFRIVNUPY288VJH","GSON5133337011")</f>
        <v>#NAME?</v>
      </c>
      <c r="L3334" s="23" t="e">
        <f ca="1">[1]!BexGetData("DP_1","003N8EMH8GTFRIVNUPY2891V1","GSON5133337011")</f>
        <v>#NAME?</v>
      </c>
      <c r="M3334" s="28" t="e">
        <f ca="1">[1]!BexGetData("DP_1","003N8EMH8GTFRIVOG7KG9IQXA","GSON5133337011")</f>
        <v>#NAME?</v>
      </c>
      <c r="N3334" s="23" t="e">
        <f ca="1">[1]!BexGetData("DP_1","003N8EMH8GTFRIVOG7KG9IX8U","GSON5133337011")</f>
        <v>#NAME?</v>
      </c>
      <c r="O3334" s="28" t="e">
        <f ca="1">[1]!BexGetData("DP_1","003N8EMH8GTFRIVOG7KG9J3KE","GSON5133337011")</f>
        <v>#NAME?</v>
      </c>
      <c r="P3334" s="23" t="e">
        <f ca="1">[1]!BexGetData("DP_1","003N8EMH8GTFRIVOG7KG9J9VY","GSON5133337011")</f>
        <v>#NAME?</v>
      </c>
      <c r="Q3334" s="24" t="e">
        <f ca="1">[1]!BexGetData("DP_1","00O2TNJGODT0G5Z4TTKYMM5MT","GSON5133337011")</f>
        <v>#NAME?</v>
      </c>
      <c r="R3334" s="23" t="e">
        <f ca="1">[1]!BexGetData("DP_1","00O2TNJGODT0G5Z4TTKYMMBYD","GSON5133337011")</f>
        <v>#NAME?</v>
      </c>
      <c r="S3334" s="23" t="e">
        <f ca="1">[1]!BexGetData("DP_1","00O2TNJGODT0G5Z4TTKYMMI9X","GSON5133337011")</f>
        <v>#NAME?</v>
      </c>
      <c r="T3334" s="28" t="e">
        <f ca="1">[1]!BexGetData("DP_1","00O2TNJGODT0G5Z4TTKYMMOLH","GSON5133337011")</f>
        <v>#NAME?</v>
      </c>
      <c r="U3334" s="23" t="e">
        <f ca="1">[1]!BexGetData("DP_1","00O2TNJGODT0G5Z4TTKYMMUX1","GSON5133337011")</f>
        <v>#NAME?</v>
      </c>
      <c r="V3334" s="28" t="e">
        <f ca="1">[1]!BexGetData("DP_1","00O2TNJGODT0G5Z4TTKYMN18L","GSON5133337011")</f>
        <v>#NAME?</v>
      </c>
      <c r="W3334" s="23" t="e">
        <f ca="1">[1]!BexGetData("DP_1","00O2TNJGODT0G5Z4TTKYMN7K5","GSON5133337011")</f>
        <v>#NAME?</v>
      </c>
    </row>
    <row r="3335" spans="1:23" x14ac:dyDescent="0.2">
      <c r="A3335" s="36" t="s">
        <v>6811</v>
      </c>
      <c r="B3335" s="27" t="s">
        <v>1573</v>
      </c>
      <c r="C3335" s="23" t="e">
        <f ca="1">[1]!BexGetData("DP_1","003N8EMH8GTFRCSWKMPXRR8GU","GSON5133338011")</f>
        <v>#NAME?</v>
      </c>
      <c r="D3335" s="23" t="e">
        <f ca="1">[1]!BexGetData("DP_1","003N8EMH8GTFRCSWKMPXRRESE","GSON5133338011")</f>
        <v>#NAME?</v>
      </c>
      <c r="E3335" s="23" t="e">
        <f ca="1">[1]!BexGetData("DP_1","003N8EMH8GTFRCSWKMPXRRL3Y","GSON5133338011")</f>
        <v>#NAME?</v>
      </c>
      <c r="F3335" s="23" t="e">
        <f ca="1">[1]!BexGetData("DP_1","003N8EMH8GTFRCSWKMPXRRRFI","GSON5133338011")</f>
        <v>#NAME?</v>
      </c>
      <c r="G3335" s="23" t="e">
        <f ca="1">[1]!BexGetData("DP_1","003N8EMH8GTFRCSWKMPXRRXR2","GSON5133338011")</f>
        <v>#NAME?</v>
      </c>
      <c r="H3335" s="23" t="e">
        <f ca="1">[1]!BexGetData("DP_1","003N8EMH8GTFRCSWKMPXRS42M","GSON5133338011")</f>
        <v>#NAME?</v>
      </c>
      <c r="I3335" s="23" t="e">
        <f ca="1">[1]!BexGetData("DP_1","003N8EMH8GTFRCSWKMPXRSAE6","GSON5133338011")</f>
        <v>#NAME?</v>
      </c>
      <c r="J3335" s="24" t="e">
        <f ca="1">[1]!BexGetData("DP_1","003N8EMH8GTFRCSWKMPXRSGPQ","GSON5133338011")</f>
        <v>#NAME?</v>
      </c>
      <c r="K3335" s="23" t="e">
        <f ca="1">[1]!BexGetData("DP_1","003N8EMH8GTFRIVNUPY288VJH","GSON5133338011")</f>
        <v>#NAME?</v>
      </c>
      <c r="L3335" s="23" t="e">
        <f ca="1">[1]!BexGetData("DP_1","003N8EMH8GTFRIVNUPY2891V1","GSON5133338011")</f>
        <v>#NAME?</v>
      </c>
      <c r="M3335" s="23" t="e">
        <f ca="1">[1]!BexGetData("DP_1","003N8EMH8GTFRIVOG7KG9IQXA","GSON5133338011")</f>
        <v>#NAME?</v>
      </c>
      <c r="N3335" s="28" t="e">
        <f ca="1">[1]!BexGetData("DP_1","003N8EMH8GTFRIVOG7KG9IX8U","GSON5133338011")</f>
        <v>#NAME?</v>
      </c>
      <c r="O3335" s="23" t="e">
        <f ca="1">[1]!BexGetData("DP_1","003N8EMH8GTFRIVOG7KG9J3KE","GSON5133338011")</f>
        <v>#NAME?</v>
      </c>
      <c r="P3335" s="28" t="e">
        <f ca="1">[1]!BexGetData("DP_1","003N8EMH8GTFRIVOG7KG9J9VY","GSON5133338011")</f>
        <v>#NAME?</v>
      </c>
      <c r="Q3335" s="24" t="e">
        <f ca="1">[1]!BexGetData("DP_1","00O2TNJGODT0G5Z4TTKYMM5MT","GSON5133338011")</f>
        <v>#NAME?</v>
      </c>
      <c r="R3335" s="23" t="e">
        <f ca="1">[1]!BexGetData("DP_1","00O2TNJGODT0G5Z4TTKYMMBYD","GSON5133338011")</f>
        <v>#NAME?</v>
      </c>
      <c r="S3335" s="23" t="e">
        <f ca="1">[1]!BexGetData("DP_1","00O2TNJGODT0G5Z4TTKYMMI9X","GSON5133338011")</f>
        <v>#NAME?</v>
      </c>
      <c r="T3335" s="28" t="e">
        <f ca="1">[1]!BexGetData("DP_1","00O2TNJGODT0G5Z4TTKYMMOLH","GSON5133338011")</f>
        <v>#NAME?</v>
      </c>
      <c r="U3335" s="23" t="e">
        <f ca="1">[1]!BexGetData("DP_1","00O2TNJGODT0G5Z4TTKYMMUX1","GSON5133338011")</f>
        <v>#NAME?</v>
      </c>
      <c r="V3335" s="28" t="e">
        <f ca="1">[1]!BexGetData("DP_1","00O2TNJGODT0G5Z4TTKYMN18L","GSON5133338011")</f>
        <v>#NAME?</v>
      </c>
      <c r="W3335" s="23" t="e">
        <f ca="1">[1]!BexGetData("DP_1","00O2TNJGODT0G5Z4TTKYMN7K5","GSON5133338011")</f>
        <v>#NAME?</v>
      </c>
    </row>
    <row r="3336" spans="1:23" x14ac:dyDescent="0.2">
      <c r="A3336" s="36" t="s">
        <v>6812</v>
      </c>
      <c r="B3336" s="27" t="s">
        <v>6813</v>
      </c>
      <c r="C3336" s="23" t="e">
        <f ca="1">[1]!BexGetData("DP_1","003N8EMH8GTFRCSWKMPXRR8GU","GSON5133339011")</f>
        <v>#NAME?</v>
      </c>
      <c r="D3336" s="23" t="e">
        <f ca="1">[1]!BexGetData("DP_1","003N8EMH8GTFRCSWKMPXRRESE","GSON5133339011")</f>
        <v>#NAME?</v>
      </c>
      <c r="E3336" s="23" t="e">
        <f ca="1">[1]!BexGetData("DP_1","003N8EMH8GTFRCSWKMPXRRL3Y","GSON5133339011")</f>
        <v>#NAME?</v>
      </c>
      <c r="F3336" s="23" t="e">
        <f ca="1">[1]!BexGetData("DP_1","003N8EMH8GTFRCSWKMPXRRRFI","GSON5133339011")</f>
        <v>#NAME?</v>
      </c>
      <c r="G3336" s="23" t="e">
        <f ca="1">[1]!BexGetData("DP_1","003N8EMH8GTFRCSWKMPXRRXR2","GSON5133339011")</f>
        <v>#NAME?</v>
      </c>
      <c r="H3336" s="23" t="e">
        <f ca="1">[1]!BexGetData("DP_1","003N8EMH8GTFRCSWKMPXRS42M","GSON5133339011")</f>
        <v>#NAME?</v>
      </c>
      <c r="I3336" s="23" t="e">
        <f ca="1">[1]!BexGetData("DP_1","003N8EMH8GTFRCSWKMPXRSAE6","GSON5133339011")</f>
        <v>#NAME?</v>
      </c>
      <c r="J3336" s="24" t="e">
        <f ca="1">[1]!BexGetData("DP_1","003N8EMH8GTFRCSWKMPXRSGPQ","GSON5133339011")</f>
        <v>#NAME?</v>
      </c>
      <c r="K3336" s="23" t="e">
        <f ca="1">[1]!BexGetData("DP_1","003N8EMH8GTFRIVNUPY288VJH","GSON5133339011")</f>
        <v>#NAME?</v>
      </c>
      <c r="L3336" s="23" t="e">
        <f ca="1">[1]!BexGetData("DP_1","003N8EMH8GTFRIVNUPY2891V1","GSON5133339011")</f>
        <v>#NAME?</v>
      </c>
      <c r="M3336" s="28" t="e">
        <f ca="1">[1]!BexGetData("DP_1","003N8EMH8GTFRIVOG7KG9IQXA","GSON5133339011")</f>
        <v>#NAME?</v>
      </c>
      <c r="N3336" s="23" t="e">
        <f ca="1">[1]!BexGetData("DP_1","003N8EMH8GTFRIVOG7KG9IX8U","GSON5133339011")</f>
        <v>#NAME?</v>
      </c>
      <c r="O3336" s="28" t="e">
        <f ca="1">[1]!BexGetData("DP_1","003N8EMH8GTFRIVOG7KG9J3KE","GSON5133339011")</f>
        <v>#NAME?</v>
      </c>
      <c r="P3336" s="23" t="e">
        <f ca="1">[1]!BexGetData("DP_1","003N8EMH8GTFRIVOG7KG9J9VY","GSON5133339011")</f>
        <v>#NAME?</v>
      </c>
      <c r="Q3336" s="24" t="e">
        <f ca="1">[1]!BexGetData("DP_1","00O2TNJGODT0G5Z4TTKYMM5MT","GSON5133339011")</f>
        <v>#NAME?</v>
      </c>
      <c r="R3336" s="23" t="e">
        <f ca="1">[1]!BexGetData("DP_1","00O2TNJGODT0G5Z4TTKYMMBYD","GSON5133339011")</f>
        <v>#NAME?</v>
      </c>
      <c r="S3336" s="23" t="e">
        <f ca="1">[1]!BexGetData("DP_1","00O2TNJGODT0G5Z4TTKYMMI9X","GSON5133339011")</f>
        <v>#NAME?</v>
      </c>
      <c r="T3336" s="28" t="e">
        <f ca="1">[1]!BexGetData("DP_1","00O2TNJGODT0G5Z4TTKYMMOLH","GSON5133339011")</f>
        <v>#NAME?</v>
      </c>
      <c r="U3336" s="23" t="e">
        <f ca="1">[1]!BexGetData("DP_1","00O2TNJGODT0G5Z4TTKYMMUX1","GSON5133339011")</f>
        <v>#NAME?</v>
      </c>
      <c r="V3336" s="28" t="e">
        <f ca="1">[1]!BexGetData("DP_1","00O2TNJGODT0G5Z4TTKYMN18L","GSON5133339011")</f>
        <v>#NAME?</v>
      </c>
      <c r="W3336" s="23" t="e">
        <f ca="1">[1]!BexGetData("DP_1","00O2TNJGODT0G5Z4TTKYMN7K5","GSON5133339011")</f>
        <v>#NAME?</v>
      </c>
    </row>
    <row r="3337" spans="1:23" x14ac:dyDescent="0.2">
      <c r="A3337" s="36" t="s">
        <v>6764</v>
      </c>
      <c r="B3337" s="27" t="s">
        <v>6814</v>
      </c>
      <c r="C3337" s="23" t="e">
        <f ca="1">[1]!BexGetData("DP_1","003N8EMH8GTFRCSWKMPXRR8GU","GSON5133339021")</f>
        <v>#NAME?</v>
      </c>
      <c r="D3337" s="23" t="e">
        <f ca="1">[1]!BexGetData("DP_1","003N8EMH8GTFRCSWKMPXRRESE","GSON5133339021")</f>
        <v>#NAME?</v>
      </c>
      <c r="E3337" s="23" t="e">
        <f ca="1">[1]!BexGetData("DP_1","003N8EMH8GTFRCSWKMPXRRL3Y","GSON5133339021")</f>
        <v>#NAME?</v>
      </c>
      <c r="F3337" s="23" t="e">
        <f ca="1">[1]!BexGetData("DP_1","003N8EMH8GTFRCSWKMPXRRRFI","GSON5133339021")</f>
        <v>#NAME?</v>
      </c>
      <c r="G3337" s="23" t="e">
        <f ca="1">[1]!BexGetData("DP_1","003N8EMH8GTFRCSWKMPXRRXR2","GSON5133339021")</f>
        <v>#NAME?</v>
      </c>
      <c r="H3337" s="28" t="e">
        <f ca="1">[1]!BexGetData("DP_1","003N8EMH8GTFRCSWKMPXRS42M","GSON5133339021")</f>
        <v>#NAME?</v>
      </c>
      <c r="I3337" s="23" t="e">
        <f ca="1">[1]!BexGetData("DP_1","003N8EMH8GTFRCSWKMPXRSAE6","GSON5133339021")</f>
        <v>#NAME?</v>
      </c>
      <c r="J3337" s="24" t="e">
        <f ca="1">[1]!BexGetData("DP_1","003N8EMH8GTFRCSWKMPXRSGPQ","GSON5133339021")</f>
        <v>#NAME?</v>
      </c>
      <c r="K3337" s="23" t="e">
        <f ca="1">[1]!BexGetData("DP_1","003N8EMH8GTFRIVNUPY288VJH","GSON5133339021")</f>
        <v>#NAME?</v>
      </c>
      <c r="L3337" s="23" t="e">
        <f ca="1">[1]!BexGetData("DP_1","003N8EMH8GTFRIVNUPY2891V1","GSON5133339021")</f>
        <v>#NAME?</v>
      </c>
      <c r="M3337" s="28" t="e">
        <f ca="1">[1]!BexGetData("DP_1","003N8EMH8GTFRIVOG7KG9IQXA","GSON5133339021")</f>
        <v>#NAME?</v>
      </c>
      <c r="N3337" s="23" t="e">
        <f ca="1">[1]!BexGetData("DP_1","003N8EMH8GTFRIVOG7KG9IX8U","GSON5133339021")</f>
        <v>#NAME?</v>
      </c>
      <c r="O3337" s="28" t="e">
        <f ca="1">[1]!BexGetData("DP_1","003N8EMH8GTFRIVOG7KG9J3KE","GSON5133339021")</f>
        <v>#NAME?</v>
      </c>
      <c r="P3337" s="23" t="e">
        <f ca="1">[1]!BexGetData("DP_1","003N8EMH8GTFRIVOG7KG9J9VY","GSON5133339021")</f>
        <v>#NAME?</v>
      </c>
      <c r="Q3337" s="24" t="e">
        <f ca="1">[1]!BexGetData("DP_1","00O2TNJGODT0G5Z4TTKYMM5MT","GSON5133339021")</f>
        <v>#NAME?</v>
      </c>
      <c r="R3337" s="23" t="e">
        <f ca="1">[1]!BexGetData("DP_1","00O2TNJGODT0G5Z4TTKYMMBYD","GSON5133339021")</f>
        <v>#NAME?</v>
      </c>
      <c r="S3337" s="23" t="e">
        <f ca="1">[1]!BexGetData("DP_1","00O2TNJGODT0G5Z4TTKYMMI9X","GSON5133339021")</f>
        <v>#NAME?</v>
      </c>
      <c r="T3337" s="28" t="e">
        <f ca="1">[1]!BexGetData("DP_1","00O2TNJGODT0G5Z4TTKYMMOLH","GSON5133339021")</f>
        <v>#NAME?</v>
      </c>
      <c r="U3337" s="23" t="e">
        <f ca="1">[1]!BexGetData("DP_1","00O2TNJGODT0G5Z4TTKYMMUX1","GSON5133339021")</f>
        <v>#NAME?</v>
      </c>
      <c r="V3337" s="28" t="e">
        <f ca="1">[1]!BexGetData("DP_1","00O2TNJGODT0G5Z4TTKYMN18L","GSON5133339021")</f>
        <v>#NAME?</v>
      </c>
      <c r="W3337" s="23" t="e">
        <f ca="1">[1]!BexGetData("DP_1","00O2TNJGODT0G5Z4TTKYMN7K5","GSON5133339021")</f>
        <v>#NAME?</v>
      </c>
    </row>
    <row r="3338" spans="1:23" x14ac:dyDescent="0.2">
      <c r="A3338" s="35" t="s">
        <v>727</v>
      </c>
      <c r="B3338" s="27" t="s">
        <v>728</v>
      </c>
      <c r="C3338" s="23" t="e">
        <f ca="1">[1]!BexGetData("DP_1","003N8EMH8GTFRCSWKMPXRR8GU","GSON5134")</f>
        <v>#NAME?</v>
      </c>
      <c r="D3338" s="23" t="e">
        <f ca="1">[1]!BexGetData("DP_1","003N8EMH8GTFRCSWKMPXRRESE","GSON5134")</f>
        <v>#NAME?</v>
      </c>
      <c r="E3338" s="23" t="e">
        <f ca="1">[1]!BexGetData("DP_1","003N8EMH8GTFRCSWKMPXRRL3Y","GSON5134")</f>
        <v>#NAME?</v>
      </c>
      <c r="F3338" s="23" t="e">
        <f ca="1">[1]!BexGetData("DP_1","003N8EMH8GTFRCSWKMPXRRRFI","GSON5134")</f>
        <v>#NAME?</v>
      </c>
      <c r="G3338" s="23" t="e">
        <f ca="1">[1]!BexGetData("DP_1","003N8EMH8GTFRCSWKMPXRRXR2","GSON5134")</f>
        <v>#NAME?</v>
      </c>
      <c r="H3338" s="23" t="e">
        <f ca="1">[1]!BexGetData("DP_1","003N8EMH8GTFRCSWKMPXRS42M","GSON5134")</f>
        <v>#NAME?</v>
      </c>
      <c r="I3338" s="23" t="e">
        <f ca="1">[1]!BexGetData("DP_1","003N8EMH8GTFRCSWKMPXRSAE6","GSON5134")</f>
        <v>#NAME?</v>
      </c>
      <c r="J3338" s="24" t="e">
        <f ca="1">[1]!BexGetData("DP_1","003N8EMH8GTFRCSWKMPXRSGPQ","GSON5134")</f>
        <v>#NAME?</v>
      </c>
      <c r="K3338" s="23" t="e">
        <f ca="1">[1]!BexGetData("DP_1","003N8EMH8GTFRIVNUPY288VJH","GSON5134")</f>
        <v>#NAME?</v>
      </c>
      <c r="L3338" s="23" t="e">
        <f ca="1">[1]!BexGetData("DP_1","003N8EMH8GTFRIVNUPY2891V1","GSON5134")</f>
        <v>#NAME?</v>
      </c>
      <c r="M3338" s="28" t="e">
        <f ca="1">[1]!BexGetData("DP_1","003N8EMH8GTFRIVOG7KG9IQXA","GSON5134")</f>
        <v>#NAME?</v>
      </c>
      <c r="N3338" s="23" t="e">
        <f ca="1">[1]!BexGetData("DP_1","003N8EMH8GTFRIVOG7KG9IX8U","GSON5134")</f>
        <v>#NAME?</v>
      </c>
      <c r="O3338" s="28" t="e">
        <f ca="1">[1]!BexGetData("DP_1","003N8EMH8GTFRIVOG7KG9J3KE","GSON5134")</f>
        <v>#NAME?</v>
      </c>
      <c r="P3338" s="23" t="e">
        <f ca="1">[1]!BexGetData("DP_1","003N8EMH8GTFRIVOG7KG9J9VY","GSON5134")</f>
        <v>#NAME?</v>
      </c>
      <c r="Q3338" s="24" t="e">
        <f ca="1">[1]!BexGetData("DP_1","00O2TNJGODT0G5Z4TTKYMM5MT","GSON5134")</f>
        <v>#NAME?</v>
      </c>
      <c r="R3338" s="23" t="e">
        <f ca="1">[1]!BexGetData("DP_1","00O2TNJGODT0G5Z4TTKYMMBYD","GSON5134")</f>
        <v>#NAME?</v>
      </c>
      <c r="S3338" s="23" t="e">
        <f ca="1">[1]!BexGetData("DP_1","00O2TNJGODT0G5Z4TTKYMMI9X","GSON5134")</f>
        <v>#NAME?</v>
      </c>
      <c r="T3338" s="28" t="e">
        <f ca="1">[1]!BexGetData("DP_1","00O2TNJGODT0G5Z4TTKYMMOLH","GSON5134")</f>
        <v>#NAME?</v>
      </c>
      <c r="U3338" s="23" t="e">
        <f ca="1">[1]!BexGetData("DP_1","00O2TNJGODT0G5Z4TTKYMMUX1","GSON5134")</f>
        <v>#NAME?</v>
      </c>
      <c r="V3338" s="28" t="e">
        <f ca="1">[1]!BexGetData("DP_1","00O2TNJGODT0G5Z4TTKYMN18L","GSON5134")</f>
        <v>#NAME?</v>
      </c>
      <c r="W3338" s="23" t="e">
        <f ca="1">[1]!BexGetData("DP_1","00O2TNJGODT0G5Z4TTKYMN7K5","GSON5134")</f>
        <v>#NAME?</v>
      </c>
    </row>
    <row r="3339" spans="1:23" x14ac:dyDescent="0.2">
      <c r="A3339" s="36" t="s">
        <v>6815</v>
      </c>
      <c r="B3339" s="27" t="s">
        <v>729</v>
      </c>
      <c r="C3339" s="23" t="e">
        <f ca="1">[1]!BexGetData("DP_1","003N8EMH8GTFRCSWKMPXRR8GU","GSON5134341011")</f>
        <v>#NAME?</v>
      </c>
      <c r="D3339" s="23" t="e">
        <f ca="1">[1]!BexGetData("DP_1","003N8EMH8GTFRCSWKMPXRRESE","GSON5134341011")</f>
        <v>#NAME?</v>
      </c>
      <c r="E3339" s="23" t="e">
        <f ca="1">[1]!BexGetData("DP_1","003N8EMH8GTFRCSWKMPXRRL3Y","GSON5134341011")</f>
        <v>#NAME?</v>
      </c>
      <c r="F3339" s="23" t="e">
        <f ca="1">[1]!BexGetData("DP_1","003N8EMH8GTFRCSWKMPXRRRFI","GSON5134341011")</f>
        <v>#NAME?</v>
      </c>
      <c r="G3339" s="23" t="e">
        <f ca="1">[1]!BexGetData("DP_1","003N8EMH8GTFRCSWKMPXRRXR2","GSON5134341011")</f>
        <v>#NAME?</v>
      </c>
      <c r="H3339" s="23" t="e">
        <f ca="1">[1]!BexGetData("DP_1","003N8EMH8GTFRCSWKMPXRS42M","GSON5134341011")</f>
        <v>#NAME?</v>
      </c>
      <c r="I3339" s="23" t="e">
        <f ca="1">[1]!BexGetData("DP_1","003N8EMH8GTFRCSWKMPXRSAE6","GSON5134341011")</f>
        <v>#NAME?</v>
      </c>
      <c r="J3339" s="24" t="e">
        <f ca="1">[1]!BexGetData("DP_1","003N8EMH8GTFRCSWKMPXRSGPQ","GSON5134341011")</f>
        <v>#NAME?</v>
      </c>
      <c r="K3339" s="23" t="e">
        <f ca="1">[1]!BexGetData("DP_1","003N8EMH8GTFRIVNUPY288VJH","GSON5134341011")</f>
        <v>#NAME?</v>
      </c>
      <c r="L3339" s="23" t="e">
        <f ca="1">[1]!BexGetData("DP_1","003N8EMH8GTFRIVNUPY2891V1","GSON5134341011")</f>
        <v>#NAME?</v>
      </c>
      <c r="M3339" s="23" t="e">
        <f ca="1">[1]!BexGetData("DP_1","003N8EMH8GTFRIVOG7KG9IQXA","GSON5134341011")</f>
        <v>#NAME?</v>
      </c>
      <c r="N3339" s="28" t="e">
        <f ca="1">[1]!BexGetData("DP_1","003N8EMH8GTFRIVOG7KG9IX8U","GSON5134341011")</f>
        <v>#NAME?</v>
      </c>
      <c r="O3339" s="23" t="e">
        <f ca="1">[1]!BexGetData("DP_1","003N8EMH8GTFRIVOG7KG9J3KE","GSON5134341011")</f>
        <v>#NAME?</v>
      </c>
      <c r="P3339" s="28" t="e">
        <f ca="1">[1]!BexGetData("DP_1","003N8EMH8GTFRIVOG7KG9J9VY","GSON5134341011")</f>
        <v>#NAME?</v>
      </c>
      <c r="Q3339" s="24" t="e">
        <f ca="1">[1]!BexGetData("DP_1","00O2TNJGODT0G5Z4TTKYMM5MT","GSON5134341011")</f>
        <v>#NAME?</v>
      </c>
      <c r="R3339" s="23" t="e">
        <f ca="1">[1]!BexGetData("DP_1","00O2TNJGODT0G5Z4TTKYMMBYD","GSON5134341011")</f>
        <v>#NAME?</v>
      </c>
      <c r="S3339" s="23" t="e">
        <f ca="1">[1]!BexGetData("DP_1","00O2TNJGODT0G5Z4TTKYMMI9X","GSON5134341011")</f>
        <v>#NAME?</v>
      </c>
      <c r="T3339" s="28" t="e">
        <f ca="1">[1]!BexGetData("DP_1","00O2TNJGODT0G5Z4TTKYMMOLH","GSON5134341011")</f>
        <v>#NAME?</v>
      </c>
      <c r="U3339" s="23" t="e">
        <f ca="1">[1]!BexGetData("DP_1","00O2TNJGODT0G5Z4TTKYMMUX1","GSON5134341011")</f>
        <v>#NAME?</v>
      </c>
      <c r="V3339" s="28" t="e">
        <f ca="1">[1]!BexGetData("DP_1","00O2TNJGODT0G5Z4TTKYMN18L","GSON5134341011")</f>
        <v>#NAME?</v>
      </c>
      <c r="W3339" s="23" t="e">
        <f ca="1">[1]!BexGetData("DP_1","00O2TNJGODT0G5Z4TTKYMN7K5","GSON5134341011")</f>
        <v>#NAME?</v>
      </c>
    </row>
    <row r="3340" spans="1:23" x14ac:dyDescent="0.2">
      <c r="A3340" s="36" t="s">
        <v>6816</v>
      </c>
      <c r="B3340" s="27" t="s">
        <v>6817</v>
      </c>
      <c r="C3340" s="23" t="e">
        <f ca="1">[1]!BexGetData("DP_1","003N8EMH8GTFRCSWKMPXRR8GU","GSON5134343021")</f>
        <v>#NAME?</v>
      </c>
      <c r="D3340" s="23" t="e">
        <f ca="1">[1]!BexGetData("DP_1","003N8EMH8GTFRCSWKMPXRRESE","GSON5134343021")</f>
        <v>#NAME?</v>
      </c>
      <c r="E3340" s="23" t="e">
        <f ca="1">[1]!BexGetData("DP_1","003N8EMH8GTFRCSWKMPXRRL3Y","GSON5134343021")</f>
        <v>#NAME?</v>
      </c>
      <c r="F3340" s="23" t="e">
        <f ca="1">[1]!BexGetData("DP_1","003N8EMH8GTFRCSWKMPXRRRFI","GSON5134343021")</f>
        <v>#NAME?</v>
      </c>
      <c r="G3340" s="23" t="e">
        <f ca="1">[1]!BexGetData("DP_1","003N8EMH8GTFRCSWKMPXRRXR2","GSON5134343021")</f>
        <v>#NAME?</v>
      </c>
      <c r="H3340" s="23" t="e">
        <f ca="1">[1]!BexGetData("DP_1","003N8EMH8GTFRCSWKMPXRS42M","GSON5134343021")</f>
        <v>#NAME?</v>
      </c>
      <c r="I3340" s="23" t="e">
        <f ca="1">[1]!BexGetData("DP_1","003N8EMH8GTFRCSWKMPXRSAE6","GSON5134343021")</f>
        <v>#NAME?</v>
      </c>
      <c r="J3340" s="24" t="e">
        <f ca="1">[1]!BexGetData("DP_1","003N8EMH8GTFRCSWKMPXRSGPQ","GSON5134343021")</f>
        <v>#NAME?</v>
      </c>
      <c r="K3340" s="23" t="e">
        <f ca="1">[1]!BexGetData("DP_1","003N8EMH8GTFRIVNUPY288VJH","GSON5134343021")</f>
        <v>#NAME?</v>
      </c>
      <c r="L3340" s="23" t="e">
        <f ca="1">[1]!BexGetData("DP_1","003N8EMH8GTFRIVNUPY2891V1","GSON5134343021")</f>
        <v>#NAME?</v>
      </c>
      <c r="M3340" s="28" t="e">
        <f ca="1">[1]!BexGetData("DP_1","003N8EMH8GTFRIVOG7KG9IQXA","GSON5134343021")</f>
        <v>#NAME?</v>
      </c>
      <c r="N3340" s="23" t="e">
        <f ca="1">[1]!BexGetData("DP_1","003N8EMH8GTFRIVOG7KG9IX8U","GSON5134343021")</f>
        <v>#NAME?</v>
      </c>
      <c r="O3340" s="28" t="e">
        <f ca="1">[1]!BexGetData("DP_1","003N8EMH8GTFRIVOG7KG9J3KE","GSON5134343021")</f>
        <v>#NAME?</v>
      </c>
      <c r="P3340" s="23" t="e">
        <f ca="1">[1]!BexGetData("DP_1","003N8EMH8GTFRIVOG7KG9J9VY","GSON5134343021")</f>
        <v>#NAME?</v>
      </c>
      <c r="Q3340" s="24" t="e">
        <f ca="1">[1]!BexGetData("DP_1","00O2TNJGODT0G5Z4TTKYMM5MT","GSON5134343021")</f>
        <v>#NAME?</v>
      </c>
      <c r="R3340" s="23" t="e">
        <f ca="1">[1]!BexGetData("DP_1","00O2TNJGODT0G5Z4TTKYMMBYD","GSON5134343021")</f>
        <v>#NAME?</v>
      </c>
      <c r="S3340" s="23" t="e">
        <f ca="1">[1]!BexGetData("DP_1","00O2TNJGODT0G5Z4TTKYMMI9X","GSON5134343021")</f>
        <v>#NAME?</v>
      </c>
      <c r="T3340" s="28" t="e">
        <f ca="1">[1]!BexGetData("DP_1","00O2TNJGODT0G5Z4TTKYMMOLH","GSON5134343021")</f>
        <v>#NAME?</v>
      </c>
      <c r="U3340" s="23" t="e">
        <f ca="1">[1]!BexGetData("DP_1","00O2TNJGODT0G5Z4TTKYMMUX1","GSON5134343021")</f>
        <v>#NAME?</v>
      </c>
      <c r="V3340" s="28" t="e">
        <f ca="1">[1]!BexGetData("DP_1","00O2TNJGODT0G5Z4TTKYMN18L","GSON5134343021")</f>
        <v>#NAME?</v>
      </c>
      <c r="W3340" s="23" t="e">
        <f ca="1">[1]!BexGetData("DP_1","00O2TNJGODT0G5Z4TTKYMN7K5","GSON5134343021")</f>
        <v>#NAME?</v>
      </c>
    </row>
    <row r="3341" spans="1:23" x14ac:dyDescent="0.2">
      <c r="A3341" s="36" t="s">
        <v>6818</v>
      </c>
      <c r="B3341" s="27" t="s">
        <v>6819</v>
      </c>
      <c r="C3341" s="23" t="e">
        <f ca="1">[1]!BexGetData("DP_1","003N8EMH8GTFRCSWKMPXRR8GU","GSON5134344011")</f>
        <v>#NAME?</v>
      </c>
      <c r="D3341" s="28" t="e">
        <f ca="1">[1]!BexGetData("DP_1","003N8EMH8GTFRCSWKMPXRRESE","GSON5134344011")</f>
        <v>#NAME?</v>
      </c>
      <c r="E3341" s="23" t="e">
        <f ca="1">[1]!BexGetData("DP_1","003N8EMH8GTFRCSWKMPXRRL3Y","GSON5134344011")</f>
        <v>#NAME?</v>
      </c>
      <c r="F3341" s="23" t="e">
        <f ca="1">[1]!BexGetData("DP_1","003N8EMH8GTFRCSWKMPXRRRFI","GSON5134344011")</f>
        <v>#NAME?</v>
      </c>
      <c r="G3341" s="23" t="e">
        <f ca="1">[1]!BexGetData("DP_1","003N8EMH8GTFRCSWKMPXRRXR2","GSON5134344011")</f>
        <v>#NAME?</v>
      </c>
      <c r="H3341" s="23" t="e">
        <f ca="1">[1]!BexGetData("DP_1","003N8EMH8GTFRCSWKMPXRS42M","GSON5134344011")</f>
        <v>#NAME?</v>
      </c>
      <c r="I3341" s="23" t="e">
        <f ca="1">[1]!BexGetData("DP_1","003N8EMH8GTFRCSWKMPXRSAE6","GSON5134344011")</f>
        <v>#NAME?</v>
      </c>
      <c r="J3341" s="24" t="e">
        <f ca="1">[1]!BexGetData("DP_1","003N8EMH8GTFRCSWKMPXRSGPQ","GSON5134344011")</f>
        <v>#NAME?</v>
      </c>
      <c r="K3341" s="23" t="e">
        <f ca="1">[1]!BexGetData("DP_1","003N8EMH8GTFRIVNUPY288VJH","GSON5134344011")</f>
        <v>#NAME?</v>
      </c>
      <c r="L3341" s="23" t="e">
        <f ca="1">[1]!BexGetData("DP_1","003N8EMH8GTFRIVNUPY2891V1","GSON5134344011")</f>
        <v>#NAME?</v>
      </c>
      <c r="M3341" s="28" t="e">
        <f ca="1">[1]!BexGetData("DP_1","003N8EMH8GTFRIVOG7KG9IQXA","GSON5134344011")</f>
        <v>#NAME?</v>
      </c>
      <c r="N3341" s="23" t="e">
        <f ca="1">[1]!BexGetData("DP_1","003N8EMH8GTFRIVOG7KG9IX8U","GSON5134344011")</f>
        <v>#NAME?</v>
      </c>
      <c r="O3341" s="28" t="e">
        <f ca="1">[1]!BexGetData("DP_1","003N8EMH8GTFRIVOG7KG9J3KE","GSON5134344011")</f>
        <v>#NAME?</v>
      </c>
      <c r="P3341" s="23" t="e">
        <f ca="1">[1]!BexGetData("DP_1","003N8EMH8GTFRIVOG7KG9J9VY","GSON5134344011")</f>
        <v>#NAME?</v>
      </c>
      <c r="Q3341" s="24" t="e">
        <f ca="1">[1]!BexGetData("DP_1","00O2TNJGODT0G5Z4TTKYMM5MT","GSON5134344011")</f>
        <v>#NAME?</v>
      </c>
      <c r="R3341" s="23" t="e">
        <f ca="1">[1]!BexGetData("DP_1","00O2TNJGODT0G5Z4TTKYMMBYD","GSON5134344011")</f>
        <v>#NAME?</v>
      </c>
      <c r="S3341" s="23" t="e">
        <f ca="1">[1]!BexGetData("DP_1","00O2TNJGODT0G5Z4TTKYMMI9X","GSON5134344011")</f>
        <v>#NAME?</v>
      </c>
      <c r="T3341" s="28" t="e">
        <f ca="1">[1]!BexGetData("DP_1","00O2TNJGODT0G5Z4TTKYMMOLH","GSON5134344011")</f>
        <v>#NAME?</v>
      </c>
      <c r="U3341" s="23" t="e">
        <f ca="1">[1]!BexGetData("DP_1","00O2TNJGODT0G5Z4TTKYMMUX1","GSON5134344011")</f>
        <v>#NAME?</v>
      </c>
      <c r="V3341" s="28" t="e">
        <f ca="1">[1]!BexGetData("DP_1","00O2TNJGODT0G5Z4TTKYMN18L","GSON5134344011")</f>
        <v>#NAME?</v>
      </c>
      <c r="W3341" s="23" t="e">
        <f ca="1">[1]!BexGetData("DP_1","00O2TNJGODT0G5Z4TTKYMN7K5","GSON5134344011")</f>
        <v>#NAME?</v>
      </c>
    </row>
    <row r="3342" spans="1:23" x14ac:dyDescent="0.2">
      <c r="A3342" s="36" t="s">
        <v>6820</v>
      </c>
      <c r="B3342" s="27" t="s">
        <v>6821</v>
      </c>
      <c r="C3342" s="23" t="e">
        <f ca="1">[1]!BexGetData("DP_1","003N8EMH8GTFRCSWKMPXRR8GU","GSON5134345011")</f>
        <v>#NAME?</v>
      </c>
      <c r="D3342" s="23" t="e">
        <f ca="1">[1]!BexGetData("DP_1","003N8EMH8GTFRCSWKMPXRRESE","GSON5134345011")</f>
        <v>#NAME?</v>
      </c>
      <c r="E3342" s="23" t="e">
        <f ca="1">[1]!BexGetData("DP_1","003N8EMH8GTFRCSWKMPXRRL3Y","GSON5134345011")</f>
        <v>#NAME?</v>
      </c>
      <c r="F3342" s="23" t="e">
        <f ca="1">[1]!BexGetData("DP_1","003N8EMH8GTFRCSWKMPXRRRFI","GSON5134345011")</f>
        <v>#NAME?</v>
      </c>
      <c r="G3342" s="23" t="e">
        <f ca="1">[1]!BexGetData("DP_1","003N8EMH8GTFRCSWKMPXRRXR2","GSON5134345011")</f>
        <v>#NAME?</v>
      </c>
      <c r="H3342" s="23" t="e">
        <f ca="1">[1]!BexGetData("DP_1","003N8EMH8GTFRCSWKMPXRS42M","GSON5134345011")</f>
        <v>#NAME?</v>
      </c>
      <c r="I3342" s="23" t="e">
        <f ca="1">[1]!BexGetData("DP_1","003N8EMH8GTFRCSWKMPXRSAE6","GSON5134345011")</f>
        <v>#NAME?</v>
      </c>
      <c r="J3342" s="24" t="e">
        <f ca="1">[1]!BexGetData("DP_1","003N8EMH8GTFRCSWKMPXRSGPQ","GSON5134345011")</f>
        <v>#NAME?</v>
      </c>
      <c r="K3342" s="23" t="e">
        <f ca="1">[1]!BexGetData("DP_1","003N8EMH8GTFRIVNUPY288VJH","GSON5134345011")</f>
        <v>#NAME?</v>
      </c>
      <c r="L3342" s="23" t="e">
        <f ca="1">[1]!BexGetData("DP_1","003N8EMH8GTFRIVNUPY2891V1","GSON5134345011")</f>
        <v>#NAME?</v>
      </c>
      <c r="M3342" s="28" t="e">
        <f ca="1">[1]!BexGetData("DP_1","003N8EMH8GTFRIVOG7KG9IQXA","GSON5134345011")</f>
        <v>#NAME?</v>
      </c>
      <c r="N3342" s="23" t="e">
        <f ca="1">[1]!BexGetData("DP_1","003N8EMH8GTFRIVOG7KG9IX8U","GSON5134345011")</f>
        <v>#NAME?</v>
      </c>
      <c r="O3342" s="28" t="e">
        <f ca="1">[1]!BexGetData("DP_1","003N8EMH8GTFRIVOG7KG9J3KE","GSON5134345011")</f>
        <v>#NAME?</v>
      </c>
      <c r="P3342" s="23" t="e">
        <f ca="1">[1]!BexGetData("DP_1","003N8EMH8GTFRIVOG7KG9J9VY","GSON5134345011")</f>
        <v>#NAME?</v>
      </c>
      <c r="Q3342" s="24" t="e">
        <f ca="1">[1]!BexGetData("DP_1","00O2TNJGODT0G5Z4TTKYMM5MT","GSON5134345011")</f>
        <v>#NAME?</v>
      </c>
      <c r="R3342" s="23" t="e">
        <f ca="1">[1]!BexGetData("DP_1","00O2TNJGODT0G5Z4TTKYMMBYD","GSON5134345011")</f>
        <v>#NAME?</v>
      </c>
      <c r="S3342" s="23" t="e">
        <f ca="1">[1]!BexGetData("DP_1","00O2TNJGODT0G5Z4TTKYMMI9X","GSON5134345011")</f>
        <v>#NAME?</v>
      </c>
      <c r="T3342" s="28" t="e">
        <f ca="1">[1]!BexGetData("DP_1","00O2TNJGODT0G5Z4TTKYMMOLH","GSON5134345011")</f>
        <v>#NAME?</v>
      </c>
      <c r="U3342" s="23" t="e">
        <f ca="1">[1]!BexGetData("DP_1","00O2TNJGODT0G5Z4TTKYMMUX1","GSON5134345011")</f>
        <v>#NAME?</v>
      </c>
      <c r="V3342" s="28" t="e">
        <f ca="1">[1]!BexGetData("DP_1","00O2TNJGODT0G5Z4TTKYMN18L","GSON5134345011")</f>
        <v>#NAME?</v>
      </c>
      <c r="W3342" s="23" t="e">
        <f ca="1">[1]!BexGetData("DP_1","00O2TNJGODT0G5Z4TTKYMN7K5","GSON5134345011")</f>
        <v>#NAME?</v>
      </c>
    </row>
    <row r="3343" spans="1:23" x14ac:dyDescent="0.2">
      <c r="A3343" s="36" t="s">
        <v>6822</v>
      </c>
      <c r="B3343" s="27" t="s">
        <v>6823</v>
      </c>
      <c r="C3343" s="23" t="e">
        <f ca="1">[1]!BexGetData("DP_1","003N8EMH8GTFRCSWKMPXRR8GU","GSON5134346011")</f>
        <v>#NAME?</v>
      </c>
      <c r="D3343" s="28" t="e">
        <f ca="1">[1]!BexGetData("DP_1","003N8EMH8GTFRCSWKMPXRRESE","GSON5134346011")</f>
        <v>#NAME?</v>
      </c>
      <c r="E3343" s="23" t="e">
        <f ca="1">[1]!BexGetData("DP_1","003N8EMH8GTFRCSWKMPXRRL3Y","GSON5134346011")</f>
        <v>#NAME?</v>
      </c>
      <c r="F3343" s="23" t="e">
        <f ca="1">[1]!BexGetData("DP_1","003N8EMH8GTFRCSWKMPXRRRFI","GSON5134346011")</f>
        <v>#NAME?</v>
      </c>
      <c r="G3343" s="23" t="e">
        <f ca="1">[1]!BexGetData("DP_1","003N8EMH8GTFRCSWKMPXRRXR2","GSON5134346011")</f>
        <v>#NAME?</v>
      </c>
      <c r="H3343" s="23" t="e">
        <f ca="1">[1]!BexGetData("DP_1","003N8EMH8GTFRCSWKMPXRS42M","GSON5134346011")</f>
        <v>#NAME?</v>
      </c>
      <c r="I3343" s="23" t="e">
        <f ca="1">[1]!BexGetData("DP_1","003N8EMH8GTFRCSWKMPXRSAE6","GSON5134346011")</f>
        <v>#NAME?</v>
      </c>
      <c r="J3343" s="24" t="e">
        <f ca="1">[1]!BexGetData("DP_1","003N8EMH8GTFRCSWKMPXRSGPQ","GSON5134346011")</f>
        <v>#NAME?</v>
      </c>
      <c r="K3343" s="23" t="e">
        <f ca="1">[1]!BexGetData("DP_1","003N8EMH8GTFRIVNUPY288VJH","GSON5134346011")</f>
        <v>#NAME?</v>
      </c>
      <c r="L3343" s="23" t="e">
        <f ca="1">[1]!BexGetData("DP_1","003N8EMH8GTFRIVNUPY2891V1","GSON5134346011")</f>
        <v>#NAME?</v>
      </c>
      <c r="M3343" s="28" t="e">
        <f ca="1">[1]!BexGetData("DP_1","003N8EMH8GTFRIVOG7KG9IQXA","GSON5134346011")</f>
        <v>#NAME?</v>
      </c>
      <c r="N3343" s="23" t="e">
        <f ca="1">[1]!BexGetData("DP_1","003N8EMH8GTFRIVOG7KG9IX8U","GSON5134346011")</f>
        <v>#NAME?</v>
      </c>
      <c r="O3343" s="28" t="e">
        <f ca="1">[1]!BexGetData("DP_1","003N8EMH8GTFRIVOG7KG9J3KE","GSON5134346011")</f>
        <v>#NAME?</v>
      </c>
      <c r="P3343" s="23" t="e">
        <f ca="1">[1]!BexGetData("DP_1","003N8EMH8GTFRIVOG7KG9J9VY","GSON5134346011")</f>
        <v>#NAME?</v>
      </c>
      <c r="Q3343" s="24" t="e">
        <f ca="1">[1]!BexGetData("DP_1","00O2TNJGODT0G5Z4TTKYMM5MT","GSON5134346011")</f>
        <v>#NAME?</v>
      </c>
      <c r="R3343" s="23" t="e">
        <f ca="1">[1]!BexGetData("DP_1","00O2TNJGODT0G5Z4TTKYMMBYD","GSON5134346011")</f>
        <v>#NAME?</v>
      </c>
      <c r="S3343" s="23" t="e">
        <f ca="1">[1]!BexGetData("DP_1","00O2TNJGODT0G5Z4TTKYMMI9X","GSON5134346011")</f>
        <v>#NAME?</v>
      </c>
      <c r="T3343" s="28" t="e">
        <f ca="1">[1]!BexGetData("DP_1","00O2TNJGODT0G5Z4TTKYMMOLH","GSON5134346011")</f>
        <v>#NAME?</v>
      </c>
      <c r="U3343" s="23" t="e">
        <f ca="1">[1]!BexGetData("DP_1","00O2TNJGODT0G5Z4TTKYMMUX1","GSON5134346011")</f>
        <v>#NAME?</v>
      </c>
      <c r="V3343" s="28" t="e">
        <f ca="1">[1]!BexGetData("DP_1","00O2TNJGODT0G5Z4TTKYMN18L","GSON5134346011")</f>
        <v>#NAME?</v>
      </c>
      <c r="W3343" s="23" t="e">
        <f ca="1">[1]!BexGetData("DP_1","00O2TNJGODT0G5Z4TTKYMN7K5","GSON5134346011")</f>
        <v>#NAME?</v>
      </c>
    </row>
    <row r="3344" spans="1:23" x14ac:dyDescent="0.2">
      <c r="A3344" s="36" t="s">
        <v>6824</v>
      </c>
      <c r="B3344" s="27" t="s">
        <v>6825</v>
      </c>
      <c r="C3344" s="23" t="e">
        <f ca="1">[1]!BexGetData("DP_1","003N8EMH8GTFRCSWKMPXRR8GU","GSON5134347011")</f>
        <v>#NAME?</v>
      </c>
      <c r="D3344" s="23" t="e">
        <f ca="1">[1]!BexGetData("DP_1","003N8EMH8GTFRCSWKMPXRRESE","GSON5134347011")</f>
        <v>#NAME?</v>
      </c>
      <c r="E3344" s="23" t="e">
        <f ca="1">[1]!BexGetData("DP_1","003N8EMH8GTFRCSWKMPXRRL3Y","GSON5134347011")</f>
        <v>#NAME?</v>
      </c>
      <c r="F3344" s="23" t="e">
        <f ca="1">[1]!BexGetData("DP_1","003N8EMH8GTFRCSWKMPXRRRFI","GSON5134347011")</f>
        <v>#NAME?</v>
      </c>
      <c r="G3344" s="23" t="e">
        <f ca="1">[1]!BexGetData("DP_1","003N8EMH8GTFRCSWKMPXRRXR2","GSON5134347011")</f>
        <v>#NAME?</v>
      </c>
      <c r="H3344" s="23" t="e">
        <f ca="1">[1]!BexGetData("DP_1","003N8EMH8GTFRCSWKMPXRS42M","GSON5134347011")</f>
        <v>#NAME?</v>
      </c>
      <c r="I3344" s="23" t="e">
        <f ca="1">[1]!BexGetData("DP_1","003N8EMH8GTFRCSWKMPXRSAE6","GSON5134347011")</f>
        <v>#NAME?</v>
      </c>
      <c r="J3344" s="24" t="e">
        <f ca="1">[1]!BexGetData("DP_1","003N8EMH8GTFRCSWKMPXRSGPQ","GSON5134347011")</f>
        <v>#NAME?</v>
      </c>
      <c r="K3344" s="23" t="e">
        <f ca="1">[1]!BexGetData("DP_1","003N8EMH8GTFRIVNUPY288VJH","GSON5134347011")</f>
        <v>#NAME?</v>
      </c>
      <c r="L3344" s="23" t="e">
        <f ca="1">[1]!BexGetData("DP_1","003N8EMH8GTFRIVNUPY2891V1","GSON5134347011")</f>
        <v>#NAME?</v>
      </c>
      <c r="M3344" s="28" t="e">
        <f ca="1">[1]!BexGetData("DP_1","003N8EMH8GTFRIVOG7KG9IQXA","GSON5134347011")</f>
        <v>#NAME?</v>
      </c>
      <c r="N3344" s="23" t="e">
        <f ca="1">[1]!BexGetData("DP_1","003N8EMH8GTFRIVOG7KG9IX8U","GSON5134347011")</f>
        <v>#NAME?</v>
      </c>
      <c r="O3344" s="28" t="e">
        <f ca="1">[1]!BexGetData("DP_1","003N8EMH8GTFRIVOG7KG9J3KE","GSON5134347011")</f>
        <v>#NAME?</v>
      </c>
      <c r="P3344" s="23" t="e">
        <f ca="1">[1]!BexGetData("DP_1","003N8EMH8GTFRIVOG7KG9J9VY","GSON5134347011")</f>
        <v>#NAME?</v>
      </c>
      <c r="Q3344" s="24" t="e">
        <f ca="1">[1]!BexGetData("DP_1","00O2TNJGODT0G5Z4TTKYMM5MT","GSON5134347011")</f>
        <v>#NAME?</v>
      </c>
      <c r="R3344" s="23" t="e">
        <f ca="1">[1]!BexGetData("DP_1","00O2TNJGODT0G5Z4TTKYMMBYD","GSON5134347011")</f>
        <v>#NAME?</v>
      </c>
      <c r="S3344" s="23" t="e">
        <f ca="1">[1]!BexGetData("DP_1","00O2TNJGODT0G5Z4TTKYMMI9X","GSON5134347011")</f>
        <v>#NAME?</v>
      </c>
      <c r="T3344" s="28" t="e">
        <f ca="1">[1]!BexGetData("DP_1","00O2TNJGODT0G5Z4TTKYMMOLH","GSON5134347011")</f>
        <v>#NAME?</v>
      </c>
      <c r="U3344" s="23" t="e">
        <f ca="1">[1]!BexGetData("DP_1","00O2TNJGODT0G5Z4TTKYMMUX1","GSON5134347011")</f>
        <v>#NAME?</v>
      </c>
      <c r="V3344" s="28" t="e">
        <f ca="1">[1]!BexGetData("DP_1","00O2TNJGODT0G5Z4TTKYMN18L","GSON5134347011")</f>
        <v>#NAME?</v>
      </c>
      <c r="W3344" s="23" t="e">
        <f ca="1">[1]!BexGetData("DP_1","00O2TNJGODT0G5Z4TTKYMN7K5","GSON5134347011")</f>
        <v>#NAME?</v>
      </c>
    </row>
    <row r="3345" spans="1:23" x14ac:dyDescent="0.2">
      <c r="A3345" s="36" t="s">
        <v>6826</v>
      </c>
      <c r="B3345" s="27" t="s">
        <v>6827</v>
      </c>
      <c r="C3345" s="23" t="e">
        <f ca="1">[1]!BexGetData("DP_1","003N8EMH8GTFRCSWKMPXRR8GU","GSON5134348011")</f>
        <v>#NAME?</v>
      </c>
      <c r="D3345" s="23" t="e">
        <f ca="1">[1]!BexGetData("DP_1","003N8EMH8GTFRCSWKMPXRRESE","GSON5134348011")</f>
        <v>#NAME?</v>
      </c>
      <c r="E3345" s="23" t="e">
        <f ca="1">[1]!BexGetData("DP_1","003N8EMH8GTFRCSWKMPXRRL3Y","GSON5134348011")</f>
        <v>#NAME?</v>
      </c>
      <c r="F3345" s="23" t="e">
        <f ca="1">[1]!BexGetData("DP_1","003N8EMH8GTFRCSWKMPXRRRFI","GSON5134348011")</f>
        <v>#NAME?</v>
      </c>
      <c r="G3345" s="23" t="e">
        <f ca="1">[1]!BexGetData("DP_1","003N8EMH8GTFRCSWKMPXRRXR2","GSON5134348011")</f>
        <v>#NAME?</v>
      </c>
      <c r="H3345" s="23" t="e">
        <f ca="1">[1]!BexGetData("DP_1","003N8EMH8GTFRCSWKMPXRS42M","GSON5134348011")</f>
        <v>#NAME?</v>
      </c>
      <c r="I3345" s="23" t="e">
        <f ca="1">[1]!BexGetData("DP_1","003N8EMH8GTFRCSWKMPXRSAE6","GSON5134348011")</f>
        <v>#NAME?</v>
      </c>
      <c r="J3345" s="24" t="e">
        <f ca="1">[1]!BexGetData("DP_1","003N8EMH8GTFRCSWKMPXRSGPQ","GSON5134348011")</f>
        <v>#NAME?</v>
      </c>
      <c r="K3345" s="23" t="e">
        <f ca="1">[1]!BexGetData("DP_1","003N8EMH8GTFRIVNUPY288VJH","GSON5134348011")</f>
        <v>#NAME?</v>
      </c>
      <c r="L3345" s="23" t="e">
        <f ca="1">[1]!BexGetData("DP_1","003N8EMH8GTFRIVNUPY2891V1","GSON5134348011")</f>
        <v>#NAME?</v>
      </c>
      <c r="M3345" s="23" t="e">
        <f ca="1">[1]!BexGetData("DP_1","003N8EMH8GTFRIVOG7KG9IQXA","GSON5134348011")</f>
        <v>#NAME?</v>
      </c>
      <c r="N3345" s="28" t="e">
        <f ca="1">[1]!BexGetData("DP_1","003N8EMH8GTFRIVOG7KG9IX8U","GSON5134348011")</f>
        <v>#NAME?</v>
      </c>
      <c r="O3345" s="23" t="e">
        <f ca="1">[1]!BexGetData("DP_1","003N8EMH8GTFRIVOG7KG9J3KE","GSON5134348011")</f>
        <v>#NAME?</v>
      </c>
      <c r="P3345" s="28" t="e">
        <f ca="1">[1]!BexGetData("DP_1","003N8EMH8GTFRIVOG7KG9J9VY","GSON5134348011")</f>
        <v>#NAME?</v>
      </c>
      <c r="Q3345" s="24" t="e">
        <f ca="1">[1]!BexGetData("DP_1","00O2TNJGODT0G5Z4TTKYMM5MT","GSON5134348011")</f>
        <v>#NAME?</v>
      </c>
      <c r="R3345" s="23" t="e">
        <f ca="1">[1]!BexGetData("DP_1","00O2TNJGODT0G5Z4TTKYMMBYD","GSON5134348011")</f>
        <v>#NAME?</v>
      </c>
      <c r="S3345" s="23" t="e">
        <f ca="1">[1]!BexGetData("DP_1","00O2TNJGODT0G5Z4TTKYMMI9X","GSON5134348011")</f>
        <v>#NAME?</v>
      </c>
      <c r="T3345" s="28" t="e">
        <f ca="1">[1]!BexGetData("DP_1","00O2TNJGODT0G5Z4TTKYMMOLH","GSON5134348011")</f>
        <v>#NAME?</v>
      </c>
      <c r="U3345" s="23" t="e">
        <f ca="1">[1]!BexGetData("DP_1","00O2TNJGODT0G5Z4TTKYMMUX1","GSON5134348011")</f>
        <v>#NAME?</v>
      </c>
      <c r="V3345" s="28" t="e">
        <f ca="1">[1]!BexGetData("DP_1","00O2TNJGODT0G5Z4TTKYMN18L","GSON5134348011")</f>
        <v>#NAME?</v>
      </c>
      <c r="W3345" s="23" t="e">
        <f ca="1">[1]!BexGetData("DP_1","00O2TNJGODT0G5Z4TTKYMN7K5","GSON5134348011")</f>
        <v>#NAME?</v>
      </c>
    </row>
    <row r="3346" spans="1:23" x14ac:dyDescent="0.2">
      <c r="A3346" s="35" t="s">
        <v>400</v>
      </c>
      <c r="B3346" s="27" t="s">
        <v>401</v>
      </c>
      <c r="C3346" s="23" t="e">
        <f ca="1">[1]!BexGetData("DP_1","003N8EMH8GTFRCSWKMPXRR8GU","GSON5135")</f>
        <v>#NAME?</v>
      </c>
      <c r="D3346" s="23" t="e">
        <f ca="1">[1]!BexGetData("DP_1","003N8EMH8GTFRCSWKMPXRRESE","GSON5135")</f>
        <v>#NAME?</v>
      </c>
      <c r="E3346" s="23" t="e">
        <f ca="1">[1]!BexGetData("DP_1","003N8EMH8GTFRCSWKMPXRRL3Y","GSON5135")</f>
        <v>#NAME?</v>
      </c>
      <c r="F3346" s="23" t="e">
        <f ca="1">[1]!BexGetData("DP_1","003N8EMH8GTFRCSWKMPXRRRFI","GSON5135")</f>
        <v>#NAME?</v>
      </c>
      <c r="G3346" s="23" t="e">
        <f ca="1">[1]!BexGetData("DP_1","003N8EMH8GTFRCSWKMPXRRXR2","GSON5135")</f>
        <v>#NAME?</v>
      </c>
      <c r="H3346" s="23" t="e">
        <f ca="1">[1]!BexGetData("DP_1","003N8EMH8GTFRCSWKMPXRS42M","GSON5135")</f>
        <v>#NAME?</v>
      </c>
      <c r="I3346" s="23" t="e">
        <f ca="1">[1]!BexGetData("DP_1","003N8EMH8GTFRCSWKMPXRSAE6","GSON5135")</f>
        <v>#NAME?</v>
      </c>
      <c r="J3346" s="24" t="e">
        <f ca="1">[1]!BexGetData("DP_1","003N8EMH8GTFRCSWKMPXRSGPQ","GSON5135")</f>
        <v>#NAME?</v>
      </c>
      <c r="K3346" s="23" t="e">
        <f ca="1">[1]!BexGetData("DP_1","003N8EMH8GTFRIVNUPY288VJH","GSON5135")</f>
        <v>#NAME?</v>
      </c>
      <c r="L3346" s="23" t="e">
        <f ca="1">[1]!BexGetData("DP_1","003N8EMH8GTFRIVNUPY2891V1","GSON5135")</f>
        <v>#NAME?</v>
      </c>
      <c r="M3346" s="28" t="e">
        <f ca="1">[1]!BexGetData("DP_1","003N8EMH8GTFRIVOG7KG9IQXA","GSON5135")</f>
        <v>#NAME?</v>
      </c>
      <c r="N3346" s="23" t="e">
        <f ca="1">[1]!BexGetData("DP_1","003N8EMH8GTFRIVOG7KG9IX8U","GSON5135")</f>
        <v>#NAME?</v>
      </c>
      <c r="O3346" s="28" t="e">
        <f ca="1">[1]!BexGetData("DP_1","003N8EMH8GTFRIVOG7KG9J3KE","GSON5135")</f>
        <v>#NAME?</v>
      </c>
      <c r="P3346" s="23" t="e">
        <f ca="1">[1]!BexGetData("DP_1","003N8EMH8GTFRIVOG7KG9J9VY","GSON5135")</f>
        <v>#NAME?</v>
      </c>
      <c r="Q3346" s="24" t="e">
        <f ca="1">[1]!BexGetData("DP_1","00O2TNJGODT0G5Z4TTKYMM5MT","GSON5135")</f>
        <v>#NAME?</v>
      </c>
      <c r="R3346" s="23" t="e">
        <f ca="1">[1]!BexGetData("DP_1","00O2TNJGODT0G5Z4TTKYMMBYD","GSON5135")</f>
        <v>#NAME?</v>
      </c>
      <c r="S3346" s="23" t="e">
        <f ca="1">[1]!BexGetData("DP_1","00O2TNJGODT0G5Z4TTKYMMI9X","GSON5135")</f>
        <v>#NAME?</v>
      </c>
      <c r="T3346" s="28" t="e">
        <f ca="1">[1]!BexGetData("DP_1","00O2TNJGODT0G5Z4TTKYMMOLH","GSON5135")</f>
        <v>#NAME?</v>
      </c>
      <c r="U3346" s="23" t="e">
        <f ca="1">[1]!BexGetData("DP_1","00O2TNJGODT0G5Z4TTKYMMUX1","GSON5135")</f>
        <v>#NAME?</v>
      </c>
      <c r="V3346" s="28" t="e">
        <f ca="1">[1]!BexGetData("DP_1","00O2TNJGODT0G5Z4TTKYMN18L","GSON5135")</f>
        <v>#NAME?</v>
      </c>
      <c r="W3346" s="23" t="e">
        <f ca="1">[1]!BexGetData("DP_1","00O2TNJGODT0G5Z4TTKYMN7K5","GSON5135")</f>
        <v>#NAME?</v>
      </c>
    </row>
    <row r="3347" spans="1:23" x14ac:dyDescent="0.2">
      <c r="A3347" s="36" t="s">
        <v>6828</v>
      </c>
      <c r="B3347" s="27" t="s">
        <v>6829</v>
      </c>
      <c r="C3347" s="23" t="e">
        <f ca="1">[1]!BexGetData("DP_1","003N8EMH8GTFRCSWKMPXRR8GU","GSON5135351011")</f>
        <v>#NAME?</v>
      </c>
      <c r="D3347" s="23" t="e">
        <f ca="1">[1]!BexGetData("DP_1","003N8EMH8GTFRCSWKMPXRRESE","GSON5135351011")</f>
        <v>#NAME?</v>
      </c>
      <c r="E3347" s="23" t="e">
        <f ca="1">[1]!BexGetData("DP_1","003N8EMH8GTFRCSWKMPXRRL3Y","GSON5135351011")</f>
        <v>#NAME?</v>
      </c>
      <c r="F3347" s="23" t="e">
        <f ca="1">[1]!BexGetData("DP_1","003N8EMH8GTFRCSWKMPXRRRFI","GSON5135351011")</f>
        <v>#NAME?</v>
      </c>
      <c r="G3347" s="23" t="e">
        <f ca="1">[1]!BexGetData("DP_1","003N8EMH8GTFRCSWKMPXRRXR2","GSON5135351011")</f>
        <v>#NAME?</v>
      </c>
      <c r="H3347" s="23" t="e">
        <f ca="1">[1]!BexGetData("DP_1","003N8EMH8GTFRCSWKMPXRS42M","GSON5135351011")</f>
        <v>#NAME?</v>
      </c>
      <c r="I3347" s="23" t="e">
        <f ca="1">[1]!BexGetData("DP_1","003N8EMH8GTFRCSWKMPXRSAE6","GSON5135351011")</f>
        <v>#NAME?</v>
      </c>
      <c r="J3347" s="24" t="e">
        <f ca="1">[1]!BexGetData("DP_1","003N8EMH8GTFRCSWKMPXRSGPQ","GSON5135351011")</f>
        <v>#NAME?</v>
      </c>
      <c r="K3347" s="23" t="e">
        <f ca="1">[1]!BexGetData("DP_1","003N8EMH8GTFRIVNUPY288VJH","GSON5135351011")</f>
        <v>#NAME?</v>
      </c>
      <c r="L3347" s="23" t="e">
        <f ca="1">[1]!BexGetData("DP_1","003N8EMH8GTFRIVNUPY2891V1","GSON5135351011")</f>
        <v>#NAME?</v>
      </c>
      <c r="M3347" s="28" t="e">
        <f ca="1">[1]!BexGetData("DP_1","003N8EMH8GTFRIVOG7KG9IQXA","GSON5135351011")</f>
        <v>#NAME?</v>
      </c>
      <c r="N3347" s="23" t="e">
        <f ca="1">[1]!BexGetData("DP_1","003N8EMH8GTFRIVOG7KG9IX8U","GSON5135351011")</f>
        <v>#NAME?</v>
      </c>
      <c r="O3347" s="28" t="e">
        <f ca="1">[1]!BexGetData("DP_1","003N8EMH8GTFRIVOG7KG9J3KE","GSON5135351011")</f>
        <v>#NAME?</v>
      </c>
      <c r="P3347" s="23" t="e">
        <f ca="1">[1]!BexGetData("DP_1","003N8EMH8GTFRIVOG7KG9J9VY","GSON5135351011")</f>
        <v>#NAME?</v>
      </c>
      <c r="Q3347" s="24" t="e">
        <f ca="1">[1]!BexGetData("DP_1","00O2TNJGODT0G5Z4TTKYMM5MT","GSON5135351011")</f>
        <v>#NAME?</v>
      </c>
      <c r="R3347" s="23" t="e">
        <f ca="1">[1]!BexGetData("DP_1","00O2TNJGODT0G5Z4TTKYMMBYD","GSON5135351011")</f>
        <v>#NAME?</v>
      </c>
      <c r="S3347" s="23" t="e">
        <f ca="1">[1]!BexGetData("DP_1","00O2TNJGODT0G5Z4TTKYMMI9X","GSON5135351011")</f>
        <v>#NAME?</v>
      </c>
      <c r="T3347" s="28" t="e">
        <f ca="1">[1]!BexGetData("DP_1","00O2TNJGODT0G5Z4TTKYMMOLH","GSON5135351011")</f>
        <v>#NAME?</v>
      </c>
      <c r="U3347" s="23" t="e">
        <f ca="1">[1]!BexGetData("DP_1","00O2TNJGODT0G5Z4TTKYMMUX1","GSON5135351011")</f>
        <v>#NAME?</v>
      </c>
      <c r="V3347" s="28" t="e">
        <f ca="1">[1]!BexGetData("DP_1","00O2TNJGODT0G5Z4TTKYMN18L","GSON5135351011")</f>
        <v>#NAME?</v>
      </c>
      <c r="W3347" s="23" t="e">
        <f ca="1">[1]!BexGetData("DP_1","00O2TNJGODT0G5Z4TTKYMN7K5","GSON5135351011")</f>
        <v>#NAME?</v>
      </c>
    </row>
    <row r="3348" spans="1:23" x14ac:dyDescent="0.2">
      <c r="A3348" s="36" t="s">
        <v>6828</v>
      </c>
      <c r="B3348" s="27" t="s">
        <v>6830</v>
      </c>
      <c r="C3348" s="23" t="e">
        <f ca="1">[1]!BexGetData("DP_1","003N8EMH8GTFRCSWKMPXRR8GU","GSON5135351031")</f>
        <v>#NAME?</v>
      </c>
      <c r="D3348" s="28" t="e">
        <f ca="1">[1]!BexGetData("DP_1","003N8EMH8GTFRCSWKMPXRRESE","GSON5135351031")</f>
        <v>#NAME?</v>
      </c>
      <c r="E3348" s="23" t="e">
        <f ca="1">[1]!BexGetData("DP_1","003N8EMH8GTFRCSWKMPXRRL3Y","GSON5135351031")</f>
        <v>#NAME?</v>
      </c>
      <c r="F3348" s="24" t="e">
        <f ca="1">[1]!BexGetData("DP_1","003N8EMH8GTFRCSWKMPXRRRFI","GSON5135351031")</f>
        <v>#NAME?</v>
      </c>
      <c r="G3348" s="24" t="e">
        <f ca="1">[1]!BexGetData("DP_1","003N8EMH8GTFRCSWKMPXRRXR2","GSON5135351031")</f>
        <v>#NAME?</v>
      </c>
      <c r="H3348" s="24" t="e">
        <f ca="1">[1]!BexGetData("DP_1","003N8EMH8GTFRCSWKMPXRS42M","GSON5135351031")</f>
        <v>#NAME?</v>
      </c>
      <c r="I3348" s="24" t="e">
        <f ca="1">[1]!BexGetData("DP_1","003N8EMH8GTFRCSWKMPXRSAE6","GSON5135351031")</f>
        <v>#NAME?</v>
      </c>
      <c r="J3348" s="24" t="e">
        <f ca="1">[1]!BexGetData("DP_1","003N8EMH8GTFRCSWKMPXRSGPQ","GSON5135351031")</f>
        <v>#NAME?</v>
      </c>
      <c r="K3348" s="23" t="e">
        <f ca="1">[1]!BexGetData("DP_1","003N8EMH8GTFRIVNUPY288VJH","GSON5135351031")</f>
        <v>#NAME?</v>
      </c>
      <c r="L3348" s="23" t="e">
        <f ca="1">[1]!BexGetData("DP_1","003N8EMH8GTFRIVNUPY2891V1","GSON5135351031")</f>
        <v>#NAME?</v>
      </c>
      <c r="M3348" s="28" t="e">
        <f ca="1">[1]!BexGetData("DP_1","003N8EMH8GTFRIVOG7KG9IQXA","GSON5135351031")</f>
        <v>#NAME?</v>
      </c>
      <c r="N3348" s="23" t="e">
        <f ca="1">[1]!BexGetData("DP_1","003N8EMH8GTFRIVOG7KG9IX8U","GSON5135351031")</f>
        <v>#NAME?</v>
      </c>
      <c r="O3348" s="28" t="e">
        <f ca="1">[1]!BexGetData("DP_1","003N8EMH8GTFRIVOG7KG9J3KE","GSON5135351031")</f>
        <v>#NAME?</v>
      </c>
      <c r="P3348" s="23" t="e">
        <f ca="1">[1]!BexGetData("DP_1","003N8EMH8GTFRIVOG7KG9J9VY","GSON5135351031")</f>
        <v>#NAME?</v>
      </c>
      <c r="Q3348" s="24" t="e">
        <f ca="1">[1]!BexGetData("DP_1","00O2TNJGODT0G5Z4TTKYMM5MT","GSON5135351031")</f>
        <v>#NAME?</v>
      </c>
      <c r="R3348" s="24" t="e">
        <f ca="1">[1]!BexGetData("DP_1","00O2TNJGODT0G5Z4TTKYMMBYD","GSON5135351031")</f>
        <v>#NAME?</v>
      </c>
      <c r="S3348" s="24" t="e">
        <f ca="1">[1]!BexGetData("DP_1","00O2TNJGODT0G5Z4TTKYMMI9X","GSON5135351031")</f>
        <v>#NAME?</v>
      </c>
      <c r="T3348" s="24" t="e">
        <f ca="1">[1]!BexGetData("DP_1","00O2TNJGODT0G5Z4TTKYMMOLH","GSON5135351031")</f>
        <v>#NAME?</v>
      </c>
      <c r="U3348" s="24" t="e">
        <f ca="1">[1]!BexGetData("DP_1","00O2TNJGODT0G5Z4TTKYMMUX1","GSON5135351031")</f>
        <v>#NAME?</v>
      </c>
      <c r="V3348" s="24" t="e">
        <f ca="1">[1]!BexGetData("DP_1","00O2TNJGODT0G5Z4TTKYMN18L","GSON5135351031")</f>
        <v>#NAME?</v>
      </c>
      <c r="W3348" s="24" t="e">
        <f ca="1">[1]!BexGetData("DP_1","00O2TNJGODT0G5Z4TTKYMN7K5","GSON5135351031")</f>
        <v>#NAME?</v>
      </c>
    </row>
    <row r="3349" spans="1:23" x14ac:dyDescent="0.2">
      <c r="A3349" s="36" t="s">
        <v>6828</v>
      </c>
      <c r="B3349" s="27" t="s">
        <v>6831</v>
      </c>
      <c r="C3349" s="23" t="e">
        <f ca="1">[1]!BexGetData("DP_1","003N8EMH8GTFRCSWKMPXRR8GU","GSON5135352011")</f>
        <v>#NAME?</v>
      </c>
      <c r="D3349" s="23" t="e">
        <f ca="1">[1]!BexGetData("DP_1","003N8EMH8GTFRCSWKMPXRRESE","GSON5135352011")</f>
        <v>#NAME?</v>
      </c>
      <c r="E3349" s="23" t="e">
        <f ca="1">[1]!BexGetData("DP_1","003N8EMH8GTFRCSWKMPXRRL3Y","GSON5135352011")</f>
        <v>#NAME?</v>
      </c>
      <c r="F3349" s="23" t="e">
        <f ca="1">[1]!BexGetData("DP_1","003N8EMH8GTFRCSWKMPXRRRFI","GSON5135352011")</f>
        <v>#NAME?</v>
      </c>
      <c r="G3349" s="23" t="e">
        <f ca="1">[1]!BexGetData("DP_1","003N8EMH8GTFRCSWKMPXRRXR2","GSON5135352011")</f>
        <v>#NAME?</v>
      </c>
      <c r="H3349" s="23" t="e">
        <f ca="1">[1]!BexGetData("DP_1","003N8EMH8GTFRCSWKMPXRS42M","GSON5135352011")</f>
        <v>#NAME?</v>
      </c>
      <c r="I3349" s="23" t="e">
        <f ca="1">[1]!BexGetData("DP_1","003N8EMH8GTFRCSWKMPXRSAE6","GSON5135352011")</f>
        <v>#NAME?</v>
      </c>
      <c r="J3349" s="24" t="e">
        <f ca="1">[1]!BexGetData("DP_1","003N8EMH8GTFRCSWKMPXRSGPQ","GSON5135352011")</f>
        <v>#NAME?</v>
      </c>
      <c r="K3349" s="23" t="e">
        <f ca="1">[1]!BexGetData("DP_1","003N8EMH8GTFRIVNUPY288VJH","GSON5135352011")</f>
        <v>#NAME?</v>
      </c>
      <c r="L3349" s="23" t="e">
        <f ca="1">[1]!BexGetData("DP_1","003N8EMH8GTFRIVNUPY2891V1","GSON5135352011")</f>
        <v>#NAME?</v>
      </c>
      <c r="M3349" s="28" t="e">
        <f ca="1">[1]!BexGetData("DP_1","003N8EMH8GTFRIVOG7KG9IQXA","GSON5135352011")</f>
        <v>#NAME?</v>
      </c>
      <c r="N3349" s="23" t="e">
        <f ca="1">[1]!BexGetData("DP_1","003N8EMH8GTFRIVOG7KG9IX8U","GSON5135352011")</f>
        <v>#NAME?</v>
      </c>
      <c r="O3349" s="28" t="e">
        <f ca="1">[1]!BexGetData("DP_1","003N8EMH8GTFRIVOG7KG9J3KE","GSON5135352011")</f>
        <v>#NAME?</v>
      </c>
      <c r="P3349" s="23" t="e">
        <f ca="1">[1]!BexGetData("DP_1","003N8EMH8GTFRIVOG7KG9J9VY","GSON5135352011")</f>
        <v>#NAME?</v>
      </c>
      <c r="Q3349" s="24" t="e">
        <f ca="1">[1]!BexGetData("DP_1","00O2TNJGODT0G5Z4TTKYMM5MT","GSON5135352011")</f>
        <v>#NAME?</v>
      </c>
      <c r="R3349" s="23" t="e">
        <f ca="1">[1]!BexGetData("DP_1","00O2TNJGODT0G5Z4TTKYMMBYD","GSON5135352011")</f>
        <v>#NAME?</v>
      </c>
      <c r="S3349" s="23" t="e">
        <f ca="1">[1]!BexGetData("DP_1","00O2TNJGODT0G5Z4TTKYMMI9X","GSON5135352011")</f>
        <v>#NAME?</v>
      </c>
      <c r="T3349" s="28" t="e">
        <f ca="1">[1]!BexGetData("DP_1","00O2TNJGODT0G5Z4TTKYMMOLH","GSON5135352011")</f>
        <v>#NAME?</v>
      </c>
      <c r="U3349" s="23" t="e">
        <f ca="1">[1]!BexGetData("DP_1","00O2TNJGODT0G5Z4TTKYMMUX1","GSON5135352011")</f>
        <v>#NAME?</v>
      </c>
      <c r="V3349" s="28" t="e">
        <f ca="1">[1]!BexGetData("DP_1","00O2TNJGODT0G5Z4TTKYMN18L","GSON5135352011")</f>
        <v>#NAME?</v>
      </c>
      <c r="W3349" s="23" t="e">
        <f ca="1">[1]!BexGetData("DP_1","00O2TNJGODT0G5Z4TTKYMN7K5","GSON5135352011")</f>
        <v>#NAME?</v>
      </c>
    </row>
    <row r="3350" spans="1:23" x14ac:dyDescent="0.2">
      <c r="A3350" s="36" t="s">
        <v>1574</v>
      </c>
      <c r="B3350" s="27" t="s">
        <v>1575</v>
      </c>
      <c r="C3350" s="23" t="e">
        <f ca="1">[1]!BexGetData("DP_1","003N8EMH8GTFRCSWKMPXRR8GU","GSON5135353011")</f>
        <v>#NAME?</v>
      </c>
      <c r="D3350" s="23" t="e">
        <f ca="1">[1]!BexGetData("DP_1","003N8EMH8GTFRCSWKMPXRRESE","GSON5135353011")</f>
        <v>#NAME?</v>
      </c>
      <c r="E3350" s="23" t="e">
        <f ca="1">[1]!BexGetData("DP_1","003N8EMH8GTFRCSWKMPXRRL3Y","GSON5135353011")</f>
        <v>#NAME?</v>
      </c>
      <c r="F3350" s="23" t="e">
        <f ca="1">[1]!BexGetData("DP_1","003N8EMH8GTFRCSWKMPXRRRFI","GSON5135353011")</f>
        <v>#NAME?</v>
      </c>
      <c r="G3350" s="23" t="e">
        <f ca="1">[1]!BexGetData("DP_1","003N8EMH8GTFRCSWKMPXRRXR2","GSON5135353011")</f>
        <v>#NAME?</v>
      </c>
      <c r="H3350" s="23" t="e">
        <f ca="1">[1]!BexGetData("DP_1","003N8EMH8GTFRCSWKMPXRS42M","GSON5135353011")</f>
        <v>#NAME?</v>
      </c>
      <c r="I3350" s="23" t="e">
        <f ca="1">[1]!BexGetData("DP_1","003N8EMH8GTFRCSWKMPXRSAE6","GSON5135353011")</f>
        <v>#NAME?</v>
      </c>
      <c r="J3350" s="24" t="e">
        <f ca="1">[1]!BexGetData("DP_1","003N8EMH8GTFRCSWKMPXRSGPQ","GSON5135353011")</f>
        <v>#NAME?</v>
      </c>
      <c r="K3350" s="23" t="e">
        <f ca="1">[1]!BexGetData("DP_1","003N8EMH8GTFRIVNUPY288VJH","GSON5135353011")</f>
        <v>#NAME?</v>
      </c>
      <c r="L3350" s="23" t="e">
        <f ca="1">[1]!BexGetData("DP_1","003N8EMH8GTFRIVNUPY2891V1","GSON5135353011")</f>
        <v>#NAME?</v>
      </c>
      <c r="M3350" s="28" t="e">
        <f ca="1">[1]!BexGetData("DP_1","003N8EMH8GTFRIVOG7KG9IQXA","GSON5135353011")</f>
        <v>#NAME?</v>
      </c>
      <c r="N3350" s="23" t="e">
        <f ca="1">[1]!BexGetData("DP_1","003N8EMH8GTFRIVOG7KG9IX8U","GSON5135353011")</f>
        <v>#NAME?</v>
      </c>
      <c r="O3350" s="28" t="e">
        <f ca="1">[1]!BexGetData("DP_1","003N8EMH8GTFRIVOG7KG9J3KE","GSON5135353011")</f>
        <v>#NAME?</v>
      </c>
      <c r="P3350" s="23" t="e">
        <f ca="1">[1]!BexGetData("DP_1","003N8EMH8GTFRIVOG7KG9J9VY","GSON5135353011")</f>
        <v>#NAME?</v>
      </c>
      <c r="Q3350" s="24" t="e">
        <f ca="1">[1]!BexGetData("DP_1","00O2TNJGODT0G5Z4TTKYMM5MT","GSON5135353011")</f>
        <v>#NAME?</v>
      </c>
      <c r="R3350" s="23" t="e">
        <f ca="1">[1]!BexGetData("DP_1","00O2TNJGODT0G5Z4TTKYMMBYD","GSON5135353011")</f>
        <v>#NAME?</v>
      </c>
      <c r="S3350" s="23" t="e">
        <f ca="1">[1]!BexGetData("DP_1","00O2TNJGODT0G5Z4TTKYMMI9X","GSON5135353011")</f>
        <v>#NAME?</v>
      </c>
      <c r="T3350" s="28" t="e">
        <f ca="1">[1]!BexGetData("DP_1","00O2TNJGODT0G5Z4TTKYMMOLH","GSON5135353011")</f>
        <v>#NAME?</v>
      </c>
      <c r="U3350" s="23" t="e">
        <f ca="1">[1]!BexGetData("DP_1","00O2TNJGODT0G5Z4TTKYMMUX1","GSON5135353011")</f>
        <v>#NAME?</v>
      </c>
      <c r="V3350" s="28" t="e">
        <f ca="1">[1]!BexGetData("DP_1","00O2TNJGODT0G5Z4TTKYMN18L","GSON5135353011")</f>
        <v>#NAME?</v>
      </c>
      <c r="W3350" s="23" t="e">
        <f ca="1">[1]!BexGetData("DP_1","00O2TNJGODT0G5Z4TTKYMN7K5","GSON5135353011")</f>
        <v>#NAME?</v>
      </c>
    </row>
    <row r="3351" spans="1:23" x14ac:dyDescent="0.2">
      <c r="A3351" s="36" t="s">
        <v>6828</v>
      </c>
      <c r="B3351" s="27" t="s">
        <v>6832</v>
      </c>
      <c r="C3351" s="23" t="e">
        <f ca="1">[1]!BexGetData("DP_1","003N8EMH8GTFRCSWKMPXRR8GU","GSON5135353021")</f>
        <v>#NAME?</v>
      </c>
      <c r="D3351" s="23" t="e">
        <f ca="1">[1]!BexGetData("DP_1","003N8EMH8GTFRCSWKMPXRRESE","GSON5135353021")</f>
        <v>#NAME?</v>
      </c>
      <c r="E3351" s="23" t="e">
        <f ca="1">[1]!BexGetData("DP_1","003N8EMH8GTFRCSWKMPXRRL3Y","GSON5135353021")</f>
        <v>#NAME?</v>
      </c>
      <c r="F3351" s="23" t="e">
        <f ca="1">[1]!BexGetData("DP_1","003N8EMH8GTFRCSWKMPXRRRFI","GSON5135353021")</f>
        <v>#NAME?</v>
      </c>
      <c r="G3351" s="23" t="e">
        <f ca="1">[1]!BexGetData("DP_1","003N8EMH8GTFRCSWKMPXRRXR2","GSON5135353021")</f>
        <v>#NAME?</v>
      </c>
      <c r="H3351" s="23" t="e">
        <f ca="1">[1]!BexGetData("DP_1","003N8EMH8GTFRCSWKMPXRS42M","GSON5135353021")</f>
        <v>#NAME?</v>
      </c>
      <c r="I3351" s="23" t="e">
        <f ca="1">[1]!BexGetData("DP_1","003N8EMH8GTFRCSWKMPXRSAE6","GSON5135353021")</f>
        <v>#NAME?</v>
      </c>
      <c r="J3351" s="24" t="e">
        <f ca="1">[1]!BexGetData("DP_1","003N8EMH8GTFRCSWKMPXRSGPQ","GSON5135353021")</f>
        <v>#NAME?</v>
      </c>
      <c r="K3351" s="23" t="e">
        <f ca="1">[1]!BexGetData("DP_1","003N8EMH8GTFRIVNUPY288VJH","GSON5135353021")</f>
        <v>#NAME?</v>
      </c>
      <c r="L3351" s="23" t="e">
        <f ca="1">[1]!BexGetData("DP_1","003N8EMH8GTFRIVNUPY2891V1","GSON5135353021")</f>
        <v>#NAME?</v>
      </c>
      <c r="M3351" s="28" t="e">
        <f ca="1">[1]!BexGetData("DP_1","003N8EMH8GTFRIVOG7KG9IQXA","GSON5135353021")</f>
        <v>#NAME?</v>
      </c>
      <c r="N3351" s="23" t="e">
        <f ca="1">[1]!BexGetData("DP_1","003N8EMH8GTFRIVOG7KG9IX8U","GSON5135353021")</f>
        <v>#NAME?</v>
      </c>
      <c r="O3351" s="28" t="e">
        <f ca="1">[1]!BexGetData("DP_1","003N8EMH8GTFRIVOG7KG9J3KE","GSON5135353021")</f>
        <v>#NAME?</v>
      </c>
      <c r="P3351" s="23" t="e">
        <f ca="1">[1]!BexGetData("DP_1","003N8EMH8GTFRIVOG7KG9J9VY","GSON5135353021")</f>
        <v>#NAME?</v>
      </c>
      <c r="Q3351" s="24" t="e">
        <f ca="1">[1]!BexGetData("DP_1","00O2TNJGODT0G5Z4TTKYMM5MT","GSON5135353021")</f>
        <v>#NAME?</v>
      </c>
      <c r="R3351" s="23" t="e">
        <f ca="1">[1]!BexGetData("DP_1","00O2TNJGODT0G5Z4TTKYMMBYD","GSON5135353021")</f>
        <v>#NAME?</v>
      </c>
      <c r="S3351" s="23" t="e">
        <f ca="1">[1]!BexGetData("DP_1","00O2TNJGODT0G5Z4TTKYMMI9X","GSON5135353021")</f>
        <v>#NAME?</v>
      </c>
      <c r="T3351" s="28" t="e">
        <f ca="1">[1]!BexGetData("DP_1","00O2TNJGODT0G5Z4TTKYMMOLH","GSON5135353021")</f>
        <v>#NAME?</v>
      </c>
      <c r="U3351" s="23" t="e">
        <f ca="1">[1]!BexGetData("DP_1","00O2TNJGODT0G5Z4TTKYMMUX1","GSON5135353021")</f>
        <v>#NAME?</v>
      </c>
      <c r="V3351" s="28" t="e">
        <f ca="1">[1]!BexGetData("DP_1","00O2TNJGODT0G5Z4TTKYMN18L","GSON5135353021")</f>
        <v>#NAME?</v>
      </c>
      <c r="W3351" s="23" t="e">
        <f ca="1">[1]!BexGetData("DP_1","00O2TNJGODT0G5Z4TTKYMN7K5","GSON5135353021")</f>
        <v>#NAME?</v>
      </c>
    </row>
    <row r="3352" spans="1:23" x14ac:dyDescent="0.2">
      <c r="A3352" s="36" t="s">
        <v>6833</v>
      </c>
      <c r="B3352" s="27" t="s">
        <v>6834</v>
      </c>
      <c r="C3352" s="23" t="e">
        <f ca="1">[1]!BexGetData("DP_1","003N8EMH8GTFRCSWKMPXRR8GU","GSON5135354011")</f>
        <v>#NAME?</v>
      </c>
      <c r="D3352" s="23" t="e">
        <f ca="1">[1]!BexGetData("DP_1","003N8EMH8GTFRCSWKMPXRRESE","GSON5135354011")</f>
        <v>#NAME?</v>
      </c>
      <c r="E3352" s="23" t="e">
        <f ca="1">[1]!BexGetData("DP_1","003N8EMH8GTFRCSWKMPXRRL3Y","GSON5135354011")</f>
        <v>#NAME?</v>
      </c>
      <c r="F3352" s="28" t="e">
        <f ca="1">[1]!BexGetData("DP_1","003N8EMH8GTFRCSWKMPXRRRFI","GSON5135354011")</f>
        <v>#NAME?</v>
      </c>
      <c r="G3352" s="23" t="e">
        <f ca="1">[1]!BexGetData("DP_1","003N8EMH8GTFRCSWKMPXRRXR2","GSON5135354011")</f>
        <v>#NAME?</v>
      </c>
      <c r="H3352" s="23" t="e">
        <f ca="1">[1]!BexGetData("DP_1","003N8EMH8GTFRCSWKMPXRS42M","GSON5135354011")</f>
        <v>#NAME?</v>
      </c>
      <c r="I3352" s="28" t="e">
        <f ca="1">[1]!BexGetData("DP_1","003N8EMH8GTFRCSWKMPXRSAE6","GSON5135354011")</f>
        <v>#NAME?</v>
      </c>
      <c r="J3352" s="24" t="e">
        <f ca="1">[1]!BexGetData("DP_1","003N8EMH8GTFRCSWKMPXRSGPQ","GSON5135354011")</f>
        <v>#NAME?</v>
      </c>
      <c r="K3352" s="23" t="e">
        <f ca="1">[1]!BexGetData("DP_1","003N8EMH8GTFRIVNUPY288VJH","GSON5135354011")</f>
        <v>#NAME?</v>
      </c>
      <c r="L3352" s="23" t="e">
        <f ca="1">[1]!BexGetData("DP_1","003N8EMH8GTFRIVNUPY2891V1","GSON5135354011")</f>
        <v>#NAME?</v>
      </c>
      <c r="M3352" s="28" t="e">
        <f ca="1">[1]!BexGetData("DP_1","003N8EMH8GTFRIVOG7KG9IQXA","GSON5135354011")</f>
        <v>#NAME?</v>
      </c>
      <c r="N3352" s="23" t="e">
        <f ca="1">[1]!BexGetData("DP_1","003N8EMH8GTFRIVOG7KG9IX8U","GSON5135354011")</f>
        <v>#NAME?</v>
      </c>
      <c r="O3352" s="28" t="e">
        <f ca="1">[1]!BexGetData("DP_1","003N8EMH8GTFRIVOG7KG9J3KE","GSON5135354011")</f>
        <v>#NAME?</v>
      </c>
      <c r="P3352" s="23" t="e">
        <f ca="1">[1]!BexGetData("DP_1","003N8EMH8GTFRIVOG7KG9J9VY","GSON5135354011")</f>
        <v>#NAME?</v>
      </c>
      <c r="Q3352" s="24" t="e">
        <f ca="1">[1]!BexGetData("DP_1","00O2TNJGODT0G5Z4TTKYMM5MT","GSON5135354011")</f>
        <v>#NAME?</v>
      </c>
      <c r="R3352" s="28" t="e">
        <f ca="1">[1]!BexGetData("DP_1","00O2TNJGODT0G5Z4TTKYMMBYD","GSON5135354011")</f>
        <v>#NAME?</v>
      </c>
      <c r="S3352" s="28" t="e">
        <f ca="1">[1]!BexGetData("DP_1","00O2TNJGODT0G5Z4TTKYMMI9X","GSON5135354011")</f>
        <v>#NAME?</v>
      </c>
      <c r="T3352" s="28" t="e">
        <f ca="1">[1]!BexGetData("DP_1","00O2TNJGODT0G5Z4TTKYMMOLH","GSON5135354011")</f>
        <v>#NAME?</v>
      </c>
      <c r="U3352" s="28" t="e">
        <f ca="1">[1]!BexGetData("DP_1","00O2TNJGODT0G5Z4TTKYMMUX1","GSON5135354011")</f>
        <v>#NAME?</v>
      </c>
      <c r="V3352" s="28" t="e">
        <f ca="1">[1]!BexGetData("DP_1","00O2TNJGODT0G5Z4TTKYMN18L","GSON5135354011")</f>
        <v>#NAME?</v>
      </c>
      <c r="W3352" s="28" t="e">
        <f ca="1">[1]!BexGetData("DP_1","00O2TNJGODT0G5Z4TTKYMN7K5","GSON5135354011")</f>
        <v>#NAME?</v>
      </c>
    </row>
    <row r="3353" spans="1:23" x14ac:dyDescent="0.2">
      <c r="A3353" s="36" t="s">
        <v>6828</v>
      </c>
      <c r="B3353" s="27" t="s">
        <v>6835</v>
      </c>
      <c r="C3353" s="23" t="e">
        <f ca="1">[1]!BexGetData("DP_1","003N8EMH8GTFRCSWKMPXRR8GU","GSON5135355011")</f>
        <v>#NAME?</v>
      </c>
      <c r="D3353" s="23" t="e">
        <f ca="1">[1]!BexGetData("DP_1","003N8EMH8GTFRCSWKMPXRRESE","GSON5135355011")</f>
        <v>#NAME?</v>
      </c>
      <c r="E3353" s="23" t="e">
        <f ca="1">[1]!BexGetData("DP_1","003N8EMH8GTFRCSWKMPXRRL3Y","GSON5135355011")</f>
        <v>#NAME?</v>
      </c>
      <c r="F3353" s="23" t="e">
        <f ca="1">[1]!BexGetData("DP_1","003N8EMH8GTFRCSWKMPXRRRFI","GSON5135355011")</f>
        <v>#NAME?</v>
      </c>
      <c r="G3353" s="23" t="e">
        <f ca="1">[1]!BexGetData("DP_1","003N8EMH8GTFRCSWKMPXRRXR2","GSON5135355011")</f>
        <v>#NAME?</v>
      </c>
      <c r="H3353" s="23" t="e">
        <f ca="1">[1]!BexGetData("DP_1","003N8EMH8GTFRCSWKMPXRS42M","GSON5135355011")</f>
        <v>#NAME?</v>
      </c>
      <c r="I3353" s="23" t="e">
        <f ca="1">[1]!BexGetData("DP_1","003N8EMH8GTFRCSWKMPXRSAE6","GSON5135355011")</f>
        <v>#NAME?</v>
      </c>
      <c r="J3353" s="24" t="e">
        <f ca="1">[1]!BexGetData("DP_1","003N8EMH8GTFRCSWKMPXRSGPQ","GSON5135355011")</f>
        <v>#NAME?</v>
      </c>
      <c r="K3353" s="23" t="e">
        <f ca="1">[1]!BexGetData("DP_1","003N8EMH8GTFRIVNUPY288VJH","GSON5135355011")</f>
        <v>#NAME?</v>
      </c>
      <c r="L3353" s="23" t="e">
        <f ca="1">[1]!BexGetData("DP_1","003N8EMH8GTFRIVNUPY2891V1","GSON5135355011")</f>
        <v>#NAME?</v>
      </c>
      <c r="M3353" s="28" t="e">
        <f ca="1">[1]!BexGetData("DP_1","003N8EMH8GTFRIVOG7KG9IQXA","GSON5135355011")</f>
        <v>#NAME?</v>
      </c>
      <c r="N3353" s="23" t="e">
        <f ca="1">[1]!BexGetData("DP_1","003N8EMH8GTFRIVOG7KG9IX8U","GSON5135355011")</f>
        <v>#NAME?</v>
      </c>
      <c r="O3353" s="28" t="e">
        <f ca="1">[1]!BexGetData("DP_1","003N8EMH8GTFRIVOG7KG9J3KE","GSON5135355011")</f>
        <v>#NAME?</v>
      </c>
      <c r="P3353" s="23" t="e">
        <f ca="1">[1]!BexGetData("DP_1","003N8EMH8GTFRIVOG7KG9J9VY","GSON5135355011")</f>
        <v>#NAME?</v>
      </c>
      <c r="Q3353" s="24" t="e">
        <f ca="1">[1]!BexGetData("DP_1","00O2TNJGODT0G5Z4TTKYMM5MT","GSON5135355011")</f>
        <v>#NAME?</v>
      </c>
      <c r="R3353" s="23" t="e">
        <f ca="1">[1]!BexGetData("DP_1","00O2TNJGODT0G5Z4TTKYMMBYD","GSON5135355011")</f>
        <v>#NAME?</v>
      </c>
      <c r="S3353" s="23" t="e">
        <f ca="1">[1]!BexGetData("DP_1","00O2TNJGODT0G5Z4TTKYMMI9X","GSON5135355011")</f>
        <v>#NAME?</v>
      </c>
      <c r="T3353" s="28" t="e">
        <f ca="1">[1]!BexGetData("DP_1","00O2TNJGODT0G5Z4TTKYMMOLH","GSON5135355011")</f>
        <v>#NAME?</v>
      </c>
      <c r="U3353" s="23" t="e">
        <f ca="1">[1]!BexGetData("DP_1","00O2TNJGODT0G5Z4TTKYMMUX1","GSON5135355011")</f>
        <v>#NAME?</v>
      </c>
      <c r="V3353" s="28" t="e">
        <f ca="1">[1]!BexGetData("DP_1","00O2TNJGODT0G5Z4TTKYMN18L","GSON5135355011")</f>
        <v>#NAME?</v>
      </c>
      <c r="W3353" s="23" t="e">
        <f ca="1">[1]!BexGetData("DP_1","00O2TNJGODT0G5Z4TTKYMN7K5","GSON5135355011")</f>
        <v>#NAME?</v>
      </c>
    </row>
    <row r="3354" spans="1:23" x14ac:dyDescent="0.2">
      <c r="A3354" s="36" t="s">
        <v>6836</v>
      </c>
      <c r="B3354" s="27" t="s">
        <v>6837</v>
      </c>
      <c r="C3354" s="23" t="e">
        <f ca="1">[1]!BexGetData("DP_1","003N8EMH8GTFRCSWKMPXRR8GU","GSON5135355012")</f>
        <v>#NAME?</v>
      </c>
      <c r="D3354" s="23" t="e">
        <f ca="1">[1]!BexGetData("DP_1","003N8EMH8GTFRCSWKMPXRRESE","GSON5135355012")</f>
        <v>#NAME?</v>
      </c>
      <c r="E3354" s="23" t="e">
        <f ca="1">[1]!BexGetData("DP_1","003N8EMH8GTFRCSWKMPXRRL3Y","GSON5135355012")</f>
        <v>#NAME?</v>
      </c>
      <c r="F3354" s="23" t="e">
        <f ca="1">[1]!BexGetData("DP_1","003N8EMH8GTFRCSWKMPXRRRFI","GSON5135355012")</f>
        <v>#NAME?</v>
      </c>
      <c r="G3354" s="23" t="e">
        <f ca="1">[1]!BexGetData("DP_1","003N8EMH8GTFRCSWKMPXRRXR2","GSON5135355012")</f>
        <v>#NAME?</v>
      </c>
      <c r="H3354" s="23" t="e">
        <f ca="1">[1]!BexGetData("DP_1","003N8EMH8GTFRCSWKMPXRS42M","GSON5135355012")</f>
        <v>#NAME?</v>
      </c>
      <c r="I3354" s="23" t="e">
        <f ca="1">[1]!BexGetData("DP_1","003N8EMH8GTFRCSWKMPXRSAE6","GSON5135355012")</f>
        <v>#NAME?</v>
      </c>
      <c r="J3354" s="24" t="e">
        <f ca="1">[1]!BexGetData("DP_1","003N8EMH8GTFRCSWKMPXRSGPQ","GSON5135355012")</f>
        <v>#NAME?</v>
      </c>
      <c r="K3354" s="23" t="e">
        <f ca="1">[1]!BexGetData("DP_1","003N8EMH8GTFRIVNUPY288VJH","GSON5135355012")</f>
        <v>#NAME?</v>
      </c>
      <c r="L3354" s="23" t="e">
        <f ca="1">[1]!BexGetData("DP_1","003N8EMH8GTFRIVNUPY2891V1","GSON5135355012")</f>
        <v>#NAME?</v>
      </c>
      <c r="M3354" s="28" t="e">
        <f ca="1">[1]!BexGetData("DP_1","003N8EMH8GTFRIVOG7KG9IQXA","GSON5135355012")</f>
        <v>#NAME?</v>
      </c>
      <c r="N3354" s="23" t="e">
        <f ca="1">[1]!BexGetData("DP_1","003N8EMH8GTFRIVOG7KG9IX8U","GSON5135355012")</f>
        <v>#NAME?</v>
      </c>
      <c r="O3354" s="28" t="e">
        <f ca="1">[1]!BexGetData("DP_1","003N8EMH8GTFRIVOG7KG9J3KE","GSON5135355012")</f>
        <v>#NAME?</v>
      </c>
      <c r="P3354" s="23" t="e">
        <f ca="1">[1]!BexGetData("DP_1","003N8EMH8GTFRIVOG7KG9J9VY","GSON5135355012")</f>
        <v>#NAME?</v>
      </c>
      <c r="Q3354" s="24" t="e">
        <f ca="1">[1]!BexGetData("DP_1","00O2TNJGODT0G5Z4TTKYMM5MT","GSON5135355012")</f>
        <v>#NAME?</v>
      </c>
      <c r="R3354" s="23" t="e">
        <f ca="1">[1]!BexGetData("DP_1","00O2TNJGODT0G5Z4TTKYMMBYD","GSON5135355012")</f>
        <v>#NAME?</v>
      </c>
      <c r="S3354" s="23" t="e">
        <f ca="1">[1]!BexGetData("DP_1","00O2TNJGODT0G5Z4TTKYMMI9X","GSON5135355012")</f>
        <v>#NAME?</v>
      </c>
      <c r="T3354" s="28" t="e">
        <f ca="1">[1]!BexGetData("DP_1","00O2TNJGODT0G5Z4TTKYMMOLH","GSON5135355012")</f>
        <v>#NAME?</v>
      </c>
      <c r="U3354" s="23" t="e">
        <f ca="1">[1]!BexGetData("DP_1","00O2TNJGODT0G5Z4TTKYMMUX1","GSON5135355012")</f>
        <v>#NAME?</v>
      </c>
      <c r="V3354" s="28" t="e">
        <f ca="1">[1]!BexGetData("DP_1","00O2TNJGODT0G5Z4TTKYMN18L","GSON5135355012")</f>
        <v>#NAME?</v>
      </c>
      <c r="W3354" s="23" t="e">
        <f ca="1">[1]!BexGetData("DP_1","00O2TNJGODT0G5Z4TTKYMN7K5","GSON5135355012")</f>
        <v>#NAME?</v>
      </c>
    </row>
    <row r="3355" spans="1:23" x14ac:dyDescent="0.2">
      <c r="A3355" s="36" t="s">
        <v>6838</v>
      </c>
      <c r="B3355" s="27" t="s">
        <v>6839</v>
      </c>
      <c r="C3355" s="23" t="e">
        <f ca="1">[1]!BexGetData("DP_1","003N8EMH8GTFRCSWKMPXRR8GU","GSON5135356011")</f>
        <v>#NAME?</v>
      </c>
      <c r="D3355" s="28" t="e">
        <f ca="1">[1]!BexGetData("DP_1","003N8EMH8GTFRCSWKMPXRRESE","GSON5135356011")</f>
        <v>#NAME?</v>
      </c>
      <c r="E3355" s="23" t="e">
        <f ca="1">[1]!BexGetData("DP_1","003N8EMH8GTFRCSWKMPXRRL3Y","GSON5135356011")</f>
        <v>#NAME?</v>
      </c>
      <c r="F3355" s="23" t="e">
        <f ca="1">[1]!BexGetData("DP_1","003N8EMH8GTFRCSWKMPXRRRFI","GSON5135356011")</f>
        <v>#NAME?</v>
      </c>
      <c r="G3355" s="23" t="e">
        <f ca="1">[1]!BexGetData("DP_1","003N8EMH8GTFRCSWKMPXRRXR2","GSON5135356011")</f>
        <v>#NAME?</v>
      </c>
      <c r="H3355" s="28" t="e">
        <f ca="1">[1]!BexGetData("DP_1","003N8EMH8GTFRCSWKMPXRS42M","GSON5135356011")</f>
        <v>#NAME?</v>
      </c>
      <c r="I3355" s="23" t="e">
        <f ca="1">[1]!BexGetData("DP_1","003N8EMH8GTFRCSWKMPXRSAE6","GSON5135356011")</f>
        <v>#NAME?</v>
      </c>
      <c r="J3355" s="24" t="e">
        <f ca="1">[1]!BexGetData("DP_1","003N8EMH8GTFRCSWKMPXRSGPQ","GSON5135356011")</f>
        <v>#NAME?</v>
      </c>
      <c r="K3355" s="23" t="e">
        <f ca="1">[1]!BexGetData("DP_1","003N8EMH8GTFRIVNUPY288VJH","GSON5135356011")</f>
        <v>#NAME?</v>
      </c>
      <c r="L3355" s="23" t="e">
        <f ca="1">[1]!BexGetData("DP_1","003N8EMH8GTFRIVNUPY2891V1","GSON5135356011")</f>
        <v>#NAME?</v>
      </c>
      <c r="M3355" s="23" t="e">
        <f ca="1">[1]!BexGetData("DP_1","003N8EMH8GTFRIVOG7KG9IQXA","GSON5135356011")</f>
        <v>#NAME?</v>
      </c>
      <c r="N3355" s="28" t="e">
        <f ca="1">[1]!BexGetData("DP_1","003N8EMH8GTFRIVOG7KG9IX8U","GSON5135356011")</f>
        <v>#NAME?</v>
      </c>
      <c r="O3355" s="23" t="e">
        <f ca="1">[1]!BexGetData("DP_1","003N8EMH8GTFRIVOG7KG9J3KE","GSON5135356011")</f>
        <v>#NAME?</v>
      </c>
      <c r="P3355" s="28" t="e">
        <f ca="1">[1]!BexGetData("DP_1","003N8EMH8GTFRIVOG7KG9J9VY","GSON5135356011")</f>
        <v>#NAME?</v>
      </c>
      <c r="Q3355" s="24" t="e">
        <f ca="1">[1]!BexGetData("DP_1","00O2TNJGODT0G5Z4TTKYMM5MT","GSON5135356011")</f>
        <v>#NAME?</v>
      </c>
      <c r="R3355" s="23" t="e">
        <f ca="1">[1]!BexGetData("DP_1","00O2TNJGODT0G5Z4TTKYMMBYD","GSON5135356011")</f>
        <v>#NAME?</v>
      </c>
      <c r="S3355" s="23" t="e">
        <f ca="1">[1]!BexGetData("DP_1","00O2TNJGODT0G5Z4TTKYMMI9X","GSON5135356011")</f>
        <v>#NAME?</v>
      </c>
      <c r="T3355" s="28" t="e">
        <f ca="1">[1]!BexGetData("DP_1","00O2TNJGODT0G5Z4TTKYMMOLH","GSON5135356011")</f>
        <v>#NAME?</v>
      </c>
      <c r="U3355" s="23" t="e">
        <f ca="1">[1]!BexGetData("DP_1","00O2TNJGODT0G5Z4TTKYMMUX1","GSON5135356011")</f>
        <v>#NAME?</v>
      </c>
      <c r="V3355" s="28" t="e">
        <f ca="1">[1]!BexGetData("DP_1","00O2TNJGODT0G5Z4TTKYMN18L","GSON5135356011")</f>
        <v>#NAME?</v>
      </c>
      <c r="W3355" s="23" t="e">
        <f ca="1">[1]!BexGetData("DP_1","00O2TNJGODT0G5Z4TTKYMN7K5","GSON5135356011")</f>
        <v>#NAME?</v>
      </c>
    </row>
    <row r="3356" spans="1:23" x14ac:dyDescent="0.2">
      <c r="A3356" s="36" t="s">
        <v>6828</v>
      </c>
      <c r="B3356" s="27" t="s">
        <v>6840</v>
      </c>
      <c r="C3356" s="23" t="e">
        <f ca="1">[1]!BexGetData("DP_1","003N8EMH8GTFRCSWKMPXRR8GU","GSON5135357011")</f>
        <v>#NAME?</v>
      </c>
      <c r="D3356" s="23" t="e">
        <f ca="1">[1]!BexGetData("DP_1","003N8EMH8GTFRCSWKMPXRRESE","GSON5135357011")</f>
        <v>#NAME?</v>
      </c>
      <c r="E3356" s="23" t="e">
        <f ca="1">[1]!BexGetData("DP_1","003N8EMH8GTFRCSWKMPXRRL3Y","GSON5135357011")</f>
        <v>#NAME?</v>
      </c>
      <c r="F3356" s="23" t="e">
        <f ca="1">[1]!BexGetData("DP_1","003N8EMH8GTFRCSWKMPXRRRFI","GSON5135357011")</f>
        <v>#NAME?</v>
      </c>
      <c r="G3356" s="23" t="e">
        <f ca="1">[1]!BexGetData("DP_1","003N8EMH8GTFRCSWKMPXRRXR2","GSON5135357011")</f>
        <v>#NAME?</v>
      </c>
      <c r="H3356" s="23" t="e">
        <f ca="1">[1]!BexGetData("DP_1","003N8EMH8GTFRCSWKMPXRS42M","GSON5135357011")</f>
        <v>#NAME?</v>
      </c>
      <c r="I3356" s="23" t="e">
        <f ca="1">[1]!BexGetData("DP_1","003N8EMH8GTFRCSWKMPXRSAE6","GSON5135357011")</f>
        <v>#NAME?</v>
      </c>
      <c r="J3356" s="24" t="e">
        <f ca="1">[1]!BexGetData("DP_1","003N8EMH8GTFRCSWKMPXRSGPQ","GSON5135357011")</f>
        <v>#NAME?</v>
      </c>
      <c r="K3356" s="23" t="e">
        <f ca="1">[1]!BexGetData("DP_1","003N8EMH8GTFRIVNUPY288VJH","GSON5135357011")</f>
        <v>#NAME?</v>
      </c>
      <c r="L3356" s="23" t="e">
        <f ca="1">[1]!BexGetData("DP_1","003N8EMH8GTFRIVNUPY2891V1","GSON5135357011")</f>
        <v>#NAME?</v>
      </c>
      <c r="M3356" s="28" t="e">
        <f ca="1">[1]!BexGetData("DP_1","003N8EMH8GTFRIVOG7KG9IQXA","GSON5135357011")</f>
        <v>#NAME?</v>
      </c>
      <c r="N3356" s="23" t="e">
        <f ca="1">[1]!BexGetData("DP_1","003N8EMH8GTFRIVOG7KG9IX8U","GSON5135357011")</f>
        <v>#NAME?</v>
      </c>
      <c r="O3356" s="28" t="e">
        <f ca="1">[1]!BexGetData("DP_1","003N8EMH8GTFRIVOG7KG9J3KE","GSON5135357011")</f>
        <v>#NAME?</v>
      </c>
      <c r="P3356" s="23" t="e">
        <f ca="1">[1]!BexGetData("DP_1","003N8EMH8GTFRIVOG7KG9J9VY","GSON5135357011")</f>
        <v>#NAME?</v>
      </c>
      <c r="Q3356" s="24" t="e">
        <f ca="1">[1]!BexGetData("DP_1","00O2TNJGODT0G5Z4TTKYMM5MT","GSON5135357011")</f>
        <v>#NAME?</v>
      </c>
      <c r="R3356" s="23" t="e">
        <f ca="1">[1]!BexGetData("DP_1","00O2TNJGODT0G5Z4TTKYMMBYD","GSON5135357011")</f>
        <v>#NAME?</v>
      </c>
      <c r="S3356" s="23" t="e">
        <f ca="1">[1]!BexGetData("DP_1","00O2TNJGODT0G5Z4TTKYMMI9X","GSON5135357011")</f>
        <v>#NAME?</v>
      </c>
      <c r="T3356" s="28" t="e">
        <f ca="1">[1]!BexGetData("DP_1","00O2TNJGODT0G5Z4TTKYMMOLH","GSON5135357011")</f>
        <v>#NAME?</v>
      </c>
      <c r="U3356" s="23" t="e">
        <f ca="1">[1]!BexGetData("DP_1","00O2TNJGODT0G5Z4TTKYMMUX1","GSON5135357011")</f>
        <v>#NAME?</v>
      </c>
      <c r="V3356" s="28" t="e">
        <f ca="1">[1]!BexGetData("DP_1","00O2TNJGODT0G5Z4TTKYMN18L","GSON5135357011")</f>
        <v>#NAME?</v>
      </c>
      <c r="W3356" s="23" t="e">
        <f ca="1">[1]!BexGetData("DP_1","00O2TNJGODT0G5Z4TTKYMN7K5","GSON5135357011")</f>
        <v>#NAME?</v>
      </c>
    </row>
    <row r="3357" spans="1:23" x14ac:dyDescent="0.2">
      <c r="A3357" s="36" t="s">
        <v>6828</v>
      </c>
      <c r="B3357" s="27" t="s">
        <v>6841</v>
      </c>
      <c r="C3357" s="23" t="e">
        <f ca="1">[1]!BexGetData("DP_1","003N8EMH8GTFRCSWKMPXRR8GU","GSON5135357021")</f>
        <v>#NAME?</v>
      </c>
      <c r="D3357" s="28" t="e">
        <f ca="1">[1]!BexGetData("DP_1","003N8EMH8GTFRCSWKMPXRRESE","GSON5135357021")</f>
        <v>#NAME?</v>
      </c>
      <c r="E3357" s="23" t="e">
        <f ca="1">[1]!BexGetData("DP_1","003N8EMH8GTFRCSWKMPXRRL3Y","GSON5135357021")</f>
        <v>#NAME?</v>
      </c>
      <c r="F3357" s="24" t="e">
        <f ca="1">[1]!BexGetData("DP_1","003N8EMH8GTFRCSWKMPXRRRFI","GSON5135357021")</f>
        <v>#NAME?</v>
      </c>
      <c r="G3357" s="24" t="e">
        <f ca="1">[1]!BexGetData("DP_1","003N8EMH8GTFRCSWKMPXRRXR2","GSON5135357021")</f>
        <v>#NAME?</v>
      </c>
      <c r="H3357" s="24" t="e">
        <f ca="1">[1]!BexGetData("DP_1","003N8EMH8GTFRCSWKMPXRS42M","GSON5135357021")</f>
        <v>#NAME?</v>
      </c>
      <c r="I3357" s="24" t="e">
        <f ca="1">[1]!BexGetData("DP_1","003N8EMH8GTFRCSWKMPXRSAE6","GSON5135357021")</f>
        <v>#NAME?</v>
      </c>
      <c r="J3357" s="24" t="e">
        <f ca="1">[1]!BexGetData("DP_1","003N8EMH8GTFRCSWKMPXRSGPQ","GSON5135357021")</f>
        <v>#NAME?</v>
      </c>
      <c r="K3357" s="23" t="e">
        <f ca="1">[1]!BexGetData("DP_1","003N8EMH8GTFRIVNUPY288VJH","GSON5135357021")</f>
        <v>#NAME?</v>
      </c>
      <c r="L3357" s="23" t="e">
        <f ca="1">[1]!BexGetData("DP_1","003N8EMH8GTFRIVNUPY2891V1","GSON5135357021")</f>
        <v>#NAME?</v>
      </c>
      <c r="M3357" s="28" t="e">
        <f ca="1">[1]!BexGetData("DP_1","003N8EMH8GTFRIVOG7KG9IQXA","GSON5135357021")</f>
        <v>#NAME?</v>
      </c>
      <c r="N3357" s="23" t="e">
        <f ca="1">[1]!BexGetData("DP_1","003N8EMH8GTFRIVOG7KG9IX8U","GSON5135357021")</f>
        <v>#NAME?</v>
      </c>
      <c r="O3357" s="28" t="e">
        <f ca="1">[1]!BexGetData("DP_1","003N8EMH8GTFRIVOG7KG9J3KE","GSON5135357021")</f>
        <v>#NAME?</v>
      </c>
      <c r="P3357" s="23" t="e">
        <f ca="1">[1]!BexGetData("DP_1","003N8EMH8GTFRIVOG7KG9J9VY","GSON5135357021")</f>
        <v>#NAME?</v>
      </c>
      <c r="Q3357" s="24" t="e">
        <f ca="1">[1]!BexGetData("DP_1","00O2TNJGODT0G5Z4TTKYMM5MT","GSON5135357021")</f>
        <v>#NAME?</v>
      </c>
      <c r="R3357" s="24" t="e">
        <f ca="1">[1]!BexGetData("DP_1","00O2TNJGODT0G5Z4TTKYMMBYD","GSON5135357021")</f>
        <v>#NAME?</v>
      </c>
      <c r="S3357" s="24" t="e">
        <f ca="1">[1]!BexGetData("DP_1","00O2TNJGODT0G5Z4TTKYMMI9X","GSON5135357021")</f>
        <v>#NAME?</v>
      </c>
      <c r="T3357" s="24" t="e">
        <f ca="1">[1]!BexGetData("DP_1","00O2TNJGODT0G5Z4TTKYMMOLH","GSON5135357021")</f>
        <v>#NAME?</v>
      </c>
      <c r="U3357" s="24" t="e">
        <f ca="1">[1]!BexGetData("DP_1","00O2TNJGODT0G5Z4TTKYMMUX1","GSON5135357021")</f>
        <v>#NAME?</v>
      </c>
      <c r="V3357" s="24" t="e">
        <f ca="1">[1]!BexGetData("DP_1","00O2TNJGODT0G5Z4TTKYMN18L","GSON5135357021")</f>
        <v>#NAME?</v>
      </c>
      <c r="W3357" s="24" t="e">
        <f ca="1">[1]!BexGetData("DP_1","00O2TNJGODT0G5Z4TTKYMN7K5","GSON5135357021")</f>
        <v>#NAME?</v>
      </c>
    </row>
    <row r="3358" spans="1:23" x14ac:dyDescent="0.2">
      <c r="A3358" s="36" t="s">
        <v>6842</v>
      </c>
      <c r="B3358" s="27" t="s">
        <v>6843</v>
      </c>
      <c r="C3358" s="23" t="e">
        <f ca="1">[1]!BexGetData("DP_1","003N8EMH8GTFRCSWKMPXRR8GU","GSON5135358011")</f>
        <v>#NAME?</v>
      </c>
      <c r="D3358" s="23" t="e">
        <f ca="1">[1]!BexGetData("DP_1","003N8EMH8GTFRCSWKMPXRRESE","GSON5135358011")</f>
        <v>#NAME?</v>
      </c>
      <c r="E3358" s="23" t="e">
        <f ca="1">[1]!BexGetData("DP_1","003N8EMH8GTFRCSWKMPXRRL3Y","GSON5135358011")</f>
        <v>#NAME?</v>
      </c>
      <c r="F3358" s="23" t="e">
        <f ca="1">[1]!BexGetData("DP_1","003N8EMH8GTFRCSWKMPXRRRFI","GSON5135358011")</f>
        <v>#NAME?</v>
      </c>
      <c r="G3358" s="23" t="e">
        <f ca="1">[1]!BexGetData("DP_1","003N8EMH8GTFRCSWKMPXRRXR2","GSON5135358011")</f>
        <v>#NAME?</v>
      </c>
      <c r="H3358" s="23" t="e">
        <f ca="1">[1]!BexGetData("DP_1","003N8EMH8GTFRCSWKMPXRS42M","GSON5135358011")</f>
        <v>#NAME?</v>
      </c>
      <c r="I3358" s="23" t="e">
        <f ca="1">[1]!BexGetData("DP_1","003N8EMH8GTFRCSWKMPXRSAE6","GSON5135358011")</f>
        <v>#NAME?</v>
      </c>
      <c r="J3358" s="24" t="e">
        <f ca="1">[1]!BexGetData("DP_1","003N8EMH8GTFRCSWKMPXRSGPQ","GSON5135358011")</f>
        <v>#NAME?</v>
      </c>
      <c r="K3358" s="23" t="e">
        <f ca="1">[1]!BexGetData("DP_1","003N8EMH8GTFRIVNUPY288VJH","GSON5135358011")</f>
        <v>#NAME?</v>
      </c>
      <c r="L3358" s="23" t="e">
        <f ca="1">[1]!BexGetData("DP_1","003N8EMH8GTFRIVNUPY2891V1","GSON5135358011")</f>
        <v>#NAME?</v>
      </c>
      <c r="M3358" s="28" t="e">
        <f ca="1">[1]!BexGetData("DP_1","003N8EMH8GTFRIVOG7KG9IQXA","GSON5135358011")</f>
        <v>#NAME?</v>
      </c>
      <c r="N3358" s="23" t="e">
        <f ca="1">[1]!BexGetData("DP_1","003N8EMH8GTFRIVOG7KG9IX8U","GSON5135358011")</f>
        <v>#NAME?</v>
      </c>
      <c r="O3358" s="28" t="e">
        <f ca="1">[1]!BexGetData("DP_1","003N8EMH8GTFRIVOG7KG9J3KE","GSON5135358011")</f>
        <v>#NAME?</v>
      </c>
      <c r="P3358" s="23" t="e">
        <f ca="1">[1]!BexGetData("DP_1","003N8EMH8GTFRIVOG7KG9J9VY","GSON5135358011")</f>
        <v>#NAME?</v>
      </c>
      <c r="Q3358" s="24" t="e">
        <f ca="1">[1]!BexGetData("DP_1","00O2TNJGODT0G5Z4TTKYMM5MT","GSON5135358011")</f>
        <v>#NAME?</v>
      </c>
      <c r="R3358" s="23" t="e">
        <f ca="1">[1]!BexGetData("DP_1","00O2TNJGODT0G5Z4TTKYMMBYD","GSON5135358011")</f>
        <v>#NAME?</v>
      </c>
      <c r="S3358" s="23" t="e">
        <f ca="1">[1]!BexGetData("DP_1","00O2TNJGODT0G5Z4TTKYMMI9X","GSON5135358011")</f>
        <v>#NAME?</v>
      </c>
      <c r="T3358" s="28" t="e">
        <f ca="1">[1]!BexGetData("DP_1","00O2TNJGODT0G5Z4TTKYMMOLH","GSON5135358011")</f>
        <v>#NAME?</v>
      </c>
      <c r="U3358" s="23" t="e">
        <f ca="1">[1]!BexGetData("DP_1","00O2TNJGODT0G5Z4TTKYMMUX1","GSON5135358011")</f>
        <v>#NAME?</v>
      </c>
      <c r="V3358" s="28" t="e">
        <f ca="1">[1]!BexGetData("DP_1","00O2TNJGODT0G5Z4TTKYMN18L","GSON5135358011")</f>
        <v>#NAME?</v>
      </c>
      <c r="W3358" s="23" t="e">
        <f ca="1">[1]!BexGetData("DP_1","00O2TNJGODT0G5Z4TTKYMN7K5","GSON5135358011")</f>
        <v>#NAME?</v>
      </c>
    </row>
    <row r="3359" spans="1:23" x14ac:dyDescent="0.2">
      <c r="A3359" s="36" t="s">
        <v>6844</v>
      </c>
      <c r="B3359" s="27" t="s">
        <v>1576</v>
      </c>
      <c r="C3359" s="23" t="e">
        <f ca="1">[1]!BexGetData("DP_1","003N8EMH8GTFRCSWKMPXRR8GU","GSON5135359011")</f>
        <v>#NAME?</v>
      </c>
      <c r="D3359" s="23" t="e">
        <f ca="1">[1]!BexGetData("DP_1","003N8EMH8GTFRCSWKMPXRRESE","GSON5135359011")</f>
        <v>#NAME?</v>
      </c>
      <c r="E3359" s="23" t="e">
        <f ca="1">[1]!BexGetData("DP_1","003N8EMH8GTFRCSWKMPXRRL3Y","GSON5135359011")</f>
        <v>#NAME?</v>
      </c>
      <c r="F3359" s="23" t="e">
        <f ca="1">[1]!BexGetData("DP_1","003N8EMH8GTFRCSWKMPXRRRFI","GSON5135359011")</f>
        <v>#NAME?</v>
      </c>
      <c r="G3359" s="23" t="e">
        <f ca="1">[1]!BexGetData("DP_1","003N8EMH8GTFRCSWKMPXRRXR2","GSON5135359011")</f>
        <v>#NAME?</v>
      </c>
      <c r="H3359" s="23" t="e">
        <f ca="1">[1]!BexGetData("DP_1","003N8EMH8GTFRCSWKMPXRS42M","GSON5135359011")</f>
        <v>#NAME?</v>
      </c>
      <c r="I3359" s="23" t="e">
        <f ca="1">[1]!BexGetData("DP_1","003N8EMH8GTFRCSWKMPXRSAE6","GSON5135359011")</f>
        <v>#NAME?</v>
      </c>
      <c r="J3359" s="24" t="e">
        <f ca="1">[1]!BexGetData("DP_1","003N8EMH8GTFRCSWKMPXRSGPQ","GSON5135359011")</f>
        <v>#NAME?</v>
      </c>
      <c r="K3359" s="23" t="e">
        <f ca="1">[1]!BexGetData("DP_1","003N8EMH8GTFRIVNUPY288VJH","GSON5135359011")</f>
        <v>#NAME?</v>
      </c>
      <c r="L3359" s="23" t="e">
        <f ca="1">[1]!BexGetData("DP_1","003N8EMH8GTFRIVNUPY2891V1","GSON5135359011")</f>
        <v>#NAME?</v>
      </c>
      <c r="M3359" s="28" t="e">
        <f ca="1">[1]!BexGetData("DP_1","003N8EMH8GTFRIVOG7KG9IQXA","GSON5135359011")</f>
        <v>#NAME?</v>
      </c>
      <c r="N3359" s="23" t="e">
        <f ca="1">[1]!BexGetData("DP_1","003N8EMH8GTFRIVOG7KG9IX8U","GSON5135359011")</f>
        <v>#NAME?</v>
      </c>
      <c r="O3359" s="28" t="e">
        <f ca="1">[1]!BexGetData("DP_1","003N8EMH8GTFRIVOG7KG9J3KE","GSON5135359011")</f>
        <v>#NAME?</v>
      </c>
      <c r="P3359" s="23" t="e">
        <f ca="1">[1]!BexGetData("DP_1","003N8EMH8GTFRIVOG7KG9J9VY","GSON5135359011")</f>
        <v>#NAME?</v>
      </c>
      <c r="Q3359" s="24" t="e">
        <f ca="1">[1]!BexGetData("DP_1","00O2TNJGODT0G5Z4TTKYMM5MT","GSON5135359011")</f>
        <v>#NAME?</v>
      </c>
      <c r="R3359" s="23" t="e">
        <f ca="1">[1]!BexGetData("DP_1","00O2TNJGODT0G5Z4TTKYMMBYD","GSON5135359011")</f>
        <v>#NAME?</v>
      </c>
      <c r="S3359" s="23" t="e">
        <f ca="1">[1]!BexGetData("DP_1","00O2TNJGODT0G5Z4TTKYMMI9X","GSON5135359011")</f>
        <v>#NAME?</v>
      </c>
      <c r="T3359" s="28" t="e">
        <f ca="1">[1]!BexGetData("DP_1","00O2TNJGODT0G5Z4TTKYMMOLH","GSON5135359011")</f>
        <v>#NAME?</v>
      </c>
      <c r="U3359" s="23" t="e">
        <f ca="1">[1]!BexGetData("DP_1","00O2TNJGODT0G5Z4TTKYMMUX1","GSON5135359011")</f>
        <v>#NAME?</v>
      </c>
      <c r="V3359" s="28" t="e">
        <f ca="1">[1]!BexGetData("DP_1","00O2TNJGODT0G5Z4TTKYMN18L","GSON5135359011")</f>
        <v>#NAME?</v>
      </c>
      <c r="W3359" s="23" t="e">
        <f ca="1">[1]!BexGetData("DP_1","00O2TNJGODT0G5Z4TTKYMN7K5","GSON5135359011")</f>
        <v>#NAME?</v>
      </c>
    </row>
    <row r="3360" spans="1:23" x14ac:dyDescent="0.2">
      <c r="A3360" s="35" t="s">
        <v>6845</v>
      </c>
      <c r="B3360" s="27" t="s">
        <v>6846</v>
      </c>
      <c r="C3360" s="23" t="e">
        <f ca="1">[1]!BexGetData("DP_1","003N8EMH8GTFRCSWKMPXRR8GU","GSON5136")</f>
        <v>#NAME?</v>
      </c>
      <c r="D3360" s="23" t="e">
        <f ca="1">[1]!BexGetData("DP_1","003N8EMH8GTFRCSWKMPXRRESE","GSON5136")</f>
        <v>#NAME?</v>
      </c>
      <c r="E3360" s="23" t="e">
        <f ca="1">[1]!BexGetData("DP_1","003N8EMH8GTFRCSWKMPXRRL3Y","GSON5136")</f>
        <v>#NAME?</v>
      </c>
      <c r="F3360" s="23" t="e">
        <f ca="1">[1]!BexGetData("DP_1","003N8EMH8GTFRCSWKMPXRRRFI","GSON5136")</f>
        <v>#NAME?</v>
      </c>
      <c r="G3360" s="23" t="e">
        <f ca="1">[1]!BexGetData("DP_1","003N8EMH8GTFRCSWKMPXRRXR2","GSON5136")</f>
        <v>#NAME?</v>
      </c>
      <c r="H3360" s="23" t="e">
        <f ca="1">[1]!BexGetData("DP_1","003N8EMH8GTFRCSWKMPXRS42M","GSON5136")</f>
        <v>#NAME?</v>
      </c>
      <c r="I3360" s="23" t="e">
        <f ca="1">[1]!BexGetData("DP_1","003N8EMH8GTFRCSWKMPXRSAE6","GSON5136")</f>
        <v>#NAME?</v>
      </c>
      <c r="J3360" s="24" t="e">
        <f ca="1">[1]!BexGetData("DP_1","003N8EMH8GTFRCSWKMPXRSGPQ","GSON5136")</f>
        <v>#NAME?</v>
      </c>
      <c r="K3360" s="23" t="e">
        <f ca="1">[1]!BexGetData("DP_1","003N8EMH8GTFRIVNUPY288VJH","GSON5136")</f>
        <v>#NAME?</v>
      </c>
      <c r="L3360" s="23" t="e">
        <f ca="1">[1]!BexGetData("DP_1","003N8EMH8GTFRIVNUPY2891V1","GSON5136")</f>
        <v>#NAME?</v>
      </c>
      <c r="M3360" s="28" t="e">
        <f ca="1">[1]!BexGetData("DP_1","003N8EMH8GTFRIVOG7KG9IQXA","GSON5136")</f>
        <v>#NAME?</v>
      </c>
      <c r="N3360" s="23" t="e">
        <f ca="1">[1]!BexGetData("DP_1","003N8EMH8GTFRIVOG7KG9IX8U","GSON5136")</f>
        <v>#NAME?</v>
      </c>
      <c r="O3360" s="28" t="e">
        <f ca="1">[1]!BexGetData("DP_1","003N8EMH8GTFRIVOG7KG9J3KE","GSON5136")</f>
        <v>#NAME?</v>
      </c>
      <c r="P3360" s="23" t="e">
        <f ca="1">[1]!BexGetData("DP_1","003N8EMH8GTFRIVOG7KG9J9VY","GSON5136")</f>
        <v>#NAME?</v>
      </c>
      <c r="Q3360" s="24" t="e">
        <f ca="1">[1]!BexGetData("DP_1","00O2TNJGODT0G5Z4TTKYMM5MT","GSON5136")</f>
        <v>#NAME?</v>
      </c>
      <c r="R3360" s="23" t="e">
        <f ca="1">[1]!BexGetData("DP_1","00O2TNJGODT0G5Z4TTKYMMBYD","GSON5136")</f>
        <v>#NAME?</v>
      </c>
      <c r="S3360" s="23" t="e">
        <f ca="1">[1]!BexGetData("DP_1","00O2TNJGODT0G5Z4TTKYMMI9X","GSON5136")</f>
        <v>#NAME?</v>
      </c>
      <c r="T3360" s="28" t="e">
        <f ca="1">[1]!BexGetData("DP_1","00O2TNJGODT0G5Z4TTKYMMOLH","GSON5136")</f>
        <v>#NAME?</v>
      </c>
      <c r="U3360" s="23" t="e">
        <f ca="1">[1]!BexGetData("DP_1","00O2TNJGODT0G5Z4TTKYMMUX1","GSON5136")</f>
        <v>#NAME?</v>
      </c>
      <c r="V3360" s="28" t="e">
        <f ca="1">[1]!BexGetData("DP_1","00O2TNJGODT0G5Z4TTKYMN18L","GSON5136")</f>
        <v>#NAME?</v>
      </c>
      <c r="W3360" s="23" t="e">
        <f ca="1">[1]!BexGetData("DP_1","00O2TNJGODT0G5Z4TTKYMN7K5","GSON5136")</f>
        <v>#NAME?</v>
      </c>
    </row>
    <row r="3361" spans="1:23" x14ac:dyDescent="0.2">
      <c r="A3361" s="36" t="s">
        <v>6847</v>
      </c>
      <c r="B3361" s="27" t="s">
        <v>6848</v>
      </c>
      <c r="C3361" s="23" t="e">
        <f ca="1">[1]!BexGetData("DP_1","003N8EMH8GTFRCSWKMPXRR8GU","GSON5136361011")</f>
        <v>#NAME?</v>
      </c>
      <c r="D3361" s="23" t="e">
        <f ca="1">[1]!BexGetData("DP_1","003N8EMH8GTFRCSWKMPXRRESE","GSON5136361011")</f>
        <v>#NAME?</v>
      </c>
      <c r="E3361" s="23" t="e">
        <f ca="1">[1]!BexGetData("DP_1","003N8EMH8GTFRCSWKMPXRRL3Y","GSON5136361011")</f>
        <v>#NAME?</v>
      </c>
      <c r="F3361" s="23" t="e">
        <f ca="1">[1]!BexGetData("DP_1","003N8EMH8GTFRCSWKMPXRRRFI","GSON5136361011")</f>
        <v>#NAME?</v>
      </c>
      <c r="G3361" s="23" t="e">
        <f ca="1">[1]!BexGetData("DP_1","003N8EMH8GTFRCSWKMPXRRXR2","GSON5136361011")</f>
        <v>#NAME?</v>
      </c>
      <c r="H3361" s="23" t="e">
        <f ca="1">[1]!BexGetData("DP_1","003N8EMH8GTFRCSWKMPXRS42M","GSON5136361011")</f>
        <v>#NAME?</v>
      </c>
      <c r="I3361" s="23" t="e">
        <f ca="1">[1]!BexGetData("DP_1","003N8EMH8GTFRCSWKMPXRSAE6","GSON5136361011")</f>
        <v>#NAME?</v>
      </c>
      <c r="J3361" s="24" t="e">
        <f ca="1">[1]!BexGetData("DP_1","003N8EMH8GTFRCSWKMPXRSGPQ","GSON5136361011")</f>
        <v>#NAME?</v>
      </c>
      <c r="K3361" s="23" t="e">
        <f ca="1">[1]!BexGetData("DP_1","003N8EMH8GTFRIVNUPY288VJH","GSON5136361011")</f>
        <v>#NAME?</v>
      </c>
      <c r="L3361" s="23" t="e">
        <f ca="1">[1]!BexGetData("DP_1","003N8EMH8GTFRIVNUPY2891V1","GSON5136361011")</f>
        <v>#NAME?</v>
      </c>
      <c r="M3361" s="28" t="e">
        <f ca="1">[1]!BexGetData("DP_1","003N8EMH8GTFRIVOG7KG9IQXA","GSON5136361011")</f>
        <v>#NAME?</v>
      </c>
      <c r="N3361" s="23" t="e">
        <f ca="1">[1]!BexGetData("DP_1","003N8EMH8GTFRIVOG7KG9IX8U","GSON5136361011")</f>
        <v>#NAME?</v>
      </c>
      <c r="O3361" s="28" t="e">
        <f ca="1">[1]!BexGetData("DP_1","003N8EMH8GTFRIVOG7KG9J3KE","GSON5136361011")</f>
        <v>#NAME?</v>
      </c>
      <c r="P3361" s="23" t="e">
        <f ca="1">[1]!BexGetData("DP_1","003N8EMH8GTFRIVOG7KG9J9VY","GSON5136361011")</f>
        <v>#NAME?</v>
      </c>
      <c r="Q3361" s="24" t="e">
        <f ca="1">[1]!BexGetData("DP_1","00O2TNJGODT0G5Z4TTKYMM5MT","GSON5136361011")</f>
        <v>#NAME?</v>
      </c>
      <c r="R3361" s="23" t="e">
        <f ca="1">[1]!BexGetData("DP_1","00O2TNJGODT0G5Z4TTKYMMBYD","GSON5136361011")</f>
        <v>#NAME?</v>
      </c>
      <c r="S3361" s="23" t="e">
        <f ca="1">[1]!BexGetData("DP_1","00O2TNJGODT0G5Z4TTKYMMI9X","GSON5136361011")</f>
        <v>#NAME?</v>
      </c>
      <c r="T3361" s="28" t="e">
        <f ca="1">[1]!BexGetData("DP_1","00O2TNJGODT0G5Z4TTKYMMOLH","GSON5136361011")</f>
        <v>#NAME?</v>
      </c>
      <c r="U3361" s="23" t="e">
        <f ca="1">[1]!BexGetData("DP_1","00O2TNJGODT0G5Z4TTKYMMUX1","GSON5136361011")</f>
        <v>#NAME?</v>
      </c>
      <c r="V3361" s="28" t="e">
        <f ca="1">[1]!BexGetData("DP_1","00O2TNJGODT0G5Z4TTKYMN18L","GSON5136361011")</f>
        <v>#NAME?</v>
      </c>
      <c r="W3361" s="23" t="e">
        <f ca="1">[1]!BexGetData("DP_1","00O2TNJGODT0G5Z4TTKYMN7K5","GSON5136361011")</f>
        <v>#NAME?</v>
      </c>
    </row>
    <row r="3362" spans="1:23" x14ac:dyDescent="0.2">
      <c r="A3362" s="36" t="s">
        <v>6847</v>
      </c>
      <c r="B3362" s="27" t="s">
        <v>6849</v>
      </c>
      <c r="C3362" s="23" t="e">
        <f ca="1">[1]!BexGetData("DP_1","003N8EMH8GTFRCSWKMPXRR8GU","GSON5136362011")</f>
        <v>#NAME?</v>
      </c>
      <c r="D3362" s="23" t="e">
        <f ca="1">[1]!BexGetData("DP_1","003N8EMH8GTFRCSWKMPXRRESE","GSON5136362011")</f>
        <v>#NAME?</v>
      </c>
      <c r="E3362" s="23" t="e">
        <f ca="1">[1]!BexGetData("DP_1","003N8EMH8GTFRCSWKMPXRRL3Y","GSON5136362011")</f>
        <v>#NAME?</v>
      </c>
      <c r="F3362" s="24" t="e">
        <f ca="1">[1]!BexGetData("DP_1","003N8EMH8GTFRCSWKMPXRRRFI","GSON5136362011")</f>
        <v>#NAME?</v>
      </c>
      <c r="G3362" s="24" t="e">
        <f ca="1">[1]!BexGetData("DP_1","003N8EMH8GTFRCSWKMPXRRXR2","GSON5136362011")</f>
        <v>#NAME?</v>
      </c>
      <c r="H3362" s="24" t="e">
        <f ca="1">[1]!BexGetData("DP_1","003N8EMH8GTFRCSWKMPXRS42M","GSON5136362011")</f>
        <v>#NAME?</v>
      </c>
      <c r="I3362" s="24" t="e">
        <f ca="1">[1]!BexGetData("DP_1","003N8EMH8GTFRCSWKMPXRSAE6","GSON5136362011")</f>
        <v>#NAME?</v>
      </c>
      <c r="J3362" s="24" t="e">
        <f ca="1">[1]!BexGetData("DP_1","003N8EMH8GTFRCSWKMPXRSGPQ","GSON5136362011")</f>
        <v>#NAME?</v>
      </c>
      <c r="K3362" s="23" t="e">
        <f ca="1">[1]!BexGetData("DP_1","003N8EMH8GTFRIVNUPY288VJH","GSON5136362011")</f>
        <v>#NAME?</v>
      </c>
      <c r="L3362" s="23" t="e">
        <f ca="1">[1]!BexGetData("DP_1","003N8EMH8GTFRIVNUPY2891V1","GSON5136362011")</f>
        <v>#NAME?</v>
      </c>
      <c r="M3362" s="28" t="e">
        <f ca="1">[1]!BexGetData("DP_1","003N8EMH8GTFRIVOG7KG9IQXA","GSON5136362011")</f>
        <v>#NAME?</v>
      </c>
      <c r="N3362" s="23" t="e">
        <f ca="1">[1]!BexGetData("DP_1","003N8EMH8GTFRIVOG7KG9IX8U","GSON5136362011")</f>
        <v>#NAME?</v>
      </c>
      <c r="O3362" s="28" t="e">
        <f ca="1">[1]!BexGetData("DP_1","003N8EMH8GTFRIVOG7KG9J3KE","GSON5136362011")</f>
        <v>#NAME?</v>
      </c>
      <c r="P3362" s="23" t="e">
        <f ca="1">[1]!BexGetData("DP_1","003N8EMH8GTFRIVOG7KG9J9VY","GSON5136362011")</f>
        <v>#NAME?</v>
      </c>
      <c r="Q3362" s="24" t="e">
        <f ca="1">[1]!BexGetData("DP_1","00O2TNJGODT0G5Z4TTKYMM5MT","GSON5136362011")</f>
        <v>#NAME?</v>
      </c>
      <c r="R3362" s="24" t="e">
        <f ca="1">[1]!BexGetData("DP_1","00O2TNJGODT0G5Z4TTKYMMBYD","GSON5136362011")</f>
        <v>#NAME?</v>
      </c>
      <c r="S3362" s="24" t="e">
        <f ca="1">[1]!BexGetData("DP_1","00O2TNJGODT0G5Z4TTKYMMI9X","GSON5136362011")</f>
        <v>#NAME?</v>
      </c>
      <c r="T3362" s="24" t="e">
        <f ca="1">[1]!BexGetData("DP_1","00O2TNJGODT0G5Z4TTKYMMOLH","GSON5136362011")</f>
        <v>#NAME?</v>
      </c>
      <c r="U3362" s="24" t="e">
        <f ca="1">[1]!BexGetData("DP_1","00O2TNJGODT0G5Z4TTKYMMUX1","GSON5136362011")</f>
        <v>#NAME?</v>
      </c>
      <c r="V3362" s="24" t="e">
        <f ca="1">[1]!BexGetData("DP_1","00O2TNJGODT0G5Z4TTKYMN18L","GSON5136362011")</f>
        <v>#NAME?</v>
      </c>
      <c r="W3362" s="24" t="e">
        <f ca="1">[1]!BexGetData("DP_1","00O2TNJGODT0G5Z4TTKYMN7K5","GSON5136362011")</f>
        <v>#NAME?</v>
      </c>
    </row>
    <row r="3363" spans="1:23" x14ac:dyDescent="0.2">
      <c r="A3363" s="36" t="s">
        <v>6850</v>
      </c>
      <c r="B3363" s="27" t="s">
        <v>6851</v>
      </c>
      <c r="C3363" s="23" t="e">
        <f ca="1">[1]!BexGetData("DP_1","003N8EMH8GTFRCSWKMPXRR8GU","GSON5136363011")</f>
        <v>#NAME?</v>
      </c>
      <c r="D3363" s="23" t="e">
        <f ca="1">[1]!BexGetData("DP_1","003N8EMH8GTFRCSWKMPXRRESE","GSON5136363011")</f>
        <v>#NAME?</v>
      </c>
      <c r="E3363" s="23" t="e">
        <f ca="1">[1]!BexGetData("DP_1","003N8EMH8GTFRCSWKMPXRRL3Y","GSON5136363011")</f>
        <v>#NAME?</v>
      </c>
      <c r="F3363" s="23" t="e">
        <f ca="1">[1]!BexGetData("DP_1","003N8EMH8GTFRCSWKMPXRRRFI","GSON5136363011")</f>
        <v>#NAME?</v>
      </c>
      <c r="G3363" s="23" t="e">
        <f ca="1">[1]!BexGetData("DP_1","003N8EMH8GTFRCSWKMPXRRXR2","GSON5136363011")</f>
        <v>#NAME?</v>
      </c>
      <c r="H3363" s="23" t="e">
        <f ca="1">[1]!BexGetData("DP_1","003N8EMH8GTFRCSWKMPXRS42M","GSON5136363011")</f>
        <v>#NAME?</v>
      </c>
      <c r="I3363" s="23" t="e">
        <f ca="1">[1]!BexGetData("DP_1","003N8EMH8GTFRCSWKMPXRSAE6","GSON5136363011")</f>
        <v>#NAME?</v>
      </c>
      <c r="J3363" s="24" t="e">
        <f ca="1">[1]!BexGetData("DP_1","003N8EMH8GTFRCSWKMPXRSGPQ","GSON5136363011")</f>
        <v>#NAME?</v>
      </c>
      <c r="K3363" s="23" t="e">
        <f ca="1">[1]!BexGetData("DP_1","003N8EMH8GTFRIVNUPY288VJH","GSON5136363011")</f>
        <v>#NAME?</v>
      </c>
      <c r="L3363" s="23" t="e">
        <f ca="1">[1]!BexGetData("DP_1","003N8EMH8GTFRIVNUPY2891V1","GSON5136363011")</f>
        <v>#NAME?</v>
      </c>
      <c r="M3363" s="28" t="e">
        <f ca="1">[1]!BexGetData("DP_1","003N8EMH8GTFRIVOG7KG9IQXA","GSON5136363011")</f>
        <v>#NAME?</v>
      </c>
      <c r="N3363" s="23" t="e">
        <f ca="1">[1]!BexGetData("DP_1","003N8EMH8GTFRIVOG7KG9IX8U","GSON5136363011")</f>
        <v>#NAME?</v>
      </c>
      <c r="O3363" s="28" t="e">
        <f ca="1">[1]!BexGetData("DP_1","003N8EMH8GTFRIVOG7KG9J3KE","GSON5136363011")</f>
        <v>#NAME?</v>
      </c>
      <c r="P3363" s="23" t="e">
        <f ca="1">[1]!BexGetData("DP_1","003N8EMH8GTFRIVOG7KG9J9VY","GSON5136363011")</f>
        <v>#NAME?</v>
      </c>
      <c r="Q3363" s="24" t="e">
        <f ca="1">[1]!BexGetData("DP_1","00O2TNJGODT0G5Z4TTKYMM5MT","GSON5136363011")</f>
        <v>#NAME?</v>
      </c>
      <c r="R3363" s="23" t="e">
        <f ca="1">[1]!BexGetData("DP_1","00O2TNJGODT0G5Z4TTKYMMBYD","GSON5136363011")</f>
        <v>#NAME?</v>
      </c>
      <c r="S3363" s="23" t="e">
        <f ca="1">[1]!BexGetData("DP_1","00O2TNJGODT0G5Z4TTKYMMI9X","GSON5136363011")</f>
        <v>#NAME?</v>
      </c>
      <c r="T3363" s="28" t="e">
        <f ca="1">[1]!BexGetData("DP_1","00O2TNJGODT0G5Z4TTKYMMOLH","GSON5136363011")</f>
        <v>#NAME?</v>
      </c>
      <c r="U3363" s="23" t="e">
        <f ca="1">[1]!BexGetData("DP_1","00O2TNJGODT0G5Z4TTKYMMUX1","GSON5136363011")</f>
        <v>#NAME?</v>
      </c>
      <c r="V3363" s="28" t="e">
        <f ca="1">[1]!BexGetData("DP_1","00O2TNJGODT0G5Z4TTKYMN18L","GSON5136363011")</f>
        <v>#NAME?</v>
      </c>
      <c r="W3363" s="23" t="e">
        <f ca="1">[1]!BexGetData("DP_1","00O2TNJGODT0G5Z4TTKYMN7K5","GSON5136363011")</f>
        <v>#NAME?</v>
      </c>
    </row>
    <row r="3364" spans="1:23" x14ac:dyDescent="0.2">
      <c r="A3364" s="36" t="s">
        <v>6852</v>
      </c>
      <c r="B3364" s="27" t="s">
        <v>6853</v>
      </c>
      <c r="C3364" s="24" t="e">
        <f ca="1">[1]!BexGetData("DP_1","003N8EMH8GTFRCSWKMPXRR8GU","GSON5136364011")</f>
        <v>#NAME?</v>
      </c>
      <c r="D3364" s="24" t="e">
        <f ca="1">[1]!BexGetData("DP_1","003N8EMH8GTFRCSWKMPXRRESE","GSON5136364011")</f>
        <v>#NAME?</v>
      </c>
      <c r="E3364" s="24" t="e">
        <f ca="1">[1]!BexGetData("DP_1","003N8EMH8GTFRCSWKMPXRRL3Y","GSON5136364011")</f>
        <v>#NAME?</v>
      </c>
      <c r="F3364" s="23" t="e">
        <f ca="1">[1]!BexGetData("DP_1","003N8EMH8GTFRCSWKMPXRRRFI","GSON5136364011")</f>
        <v>#NAME?</v>
      </c>
      <c r="G3364" s="23" t="e">
        <f ca="1">[1]!BexGetData("DP_1","003N8EMH8GTFRCSWKMPXRRXR2","GSON5136364011")</f>
        <v>#NAME?</v>
      </c>
      <c r="H3364" s="28" t="e">
        <f ca="1">[1]!BexGetData("DP_1","003N8EMH8GTFRCSWKMPXRS42M","GSON5136364011")</f>
        <v>#NAME?</v>
      </c>
      <c r="I3364" s="23" t="e">
        <f ca="1">[1]!BexGetData("DP_1","003N8EMH8GTFRCSWKMPXRSAE6","GSON5136364011")</f>
        <v>#NAME?</v>
      </c>
      <c r="J3364" s="24" t="e">
        <f ca="1">[1]!BexGetData("DP_1","003N8EMH8GTFRCSWKMPXRSGPQ","GSON5136364011")</f>
        <v>#NAME?</v>
      </c>
      <c r="K3364" s="23" t="e">
        <f ca="1">[1]!BexGetData("DP_1","003N8EMH8GTFRIVNUPY288VJH","GSON5136364011")</f>
        <v>#NAME?</v>
      </c>
      <c r="L3364" s="23" t="e">
        <f ca="1">[1]!BexGetData("DP_1","003N8EMH8GTFRIVNUPY2891V1","GSON5136364011")</f>
        <v>#NAME?</v>
      </c>
      <c r="M3364" s="23" t="e">
        <f ca="1">[1]!BexGetData("DP_1","003N8EMH8GTFRIVOG7KG9IQXA","GSON5136364011")</f>
        <v>#NAME?</v>
      </c>
      <c r="N3364" s="28" t="e">
        <f ca="1">[1]!BexGetData("DP_1","003N8EMH8GTFRIVOG7KG9IX8U","GSON5136364011")</f>
        <v>#NAME?</v>
      </c>
      <c r="O3364" s="23" t="e">
        <f ca="1">[1]!BexGetData("DP_1","003N8EMH8GTFRIVOG7KG9J3KE","GSON5136364011")</f>
        <v>#NAME?</v>
      </c>
      <c r="P3364" s="28" t="e">
        <f ca="1">[1]!BexGetData("DP_1","003N8EMH8GTFRIVOG7KG9J9VY","GSON5136364011")</f>
        <v>#NAME?</v>
      </c>
      <c r="Q3364" s="24" t="e">
        <f ca="1">[1]!BexGetData("DP_1","00O2TNJGODT0G5Z4TTKYMM5MT","GSON5136364011")</f>
        <v>#NAME?</v>
      </c>
      <c r="R3364" s="23" t="e">
        <f ca="1">[1]!BexGetData("DP_1","00O2TNJGODT0G5Z4TTKYMMBYD","GSON5136364011")</f>
        <v>#NAME?</v>
      </c>
      <c r="S3364" s="23" t="e">
        <f ca="1">[1]!BexGetData("DP_1","00O2TNJGODT0G5Z4TTKYMMI9X","GSON5136364011")</f>
        <v>#NAME?</v>
      </c>
      <c r="T3364" s="28" t="e">
        <f ca="1">[1]!BexGetData("DP_1","00O2TNJGODT0G5Z4TTKYMMOLH","GSON5136364011")</f>
        <v>#NAME?</v>
      </c>
      <c r="U3364" s="23" t="e">
        <f ca="1">[1]!BexGetData("DP_1","00O2TNJGODT0G5Z4TTKYMMUX1","GSON5136364011")</f>
        <v>#NAME?</v>
      </c>
      <c r="V3364" s="28" t="e">
        <f ca="1">[1]!BexGetData("DP_1","00O2TNJGODT0G5Z4TTKYMN18L","GSON5136364011")</f>
        <v>#NAME?</v>
      </c>
      <c r="W3364" s="23" t="e">
        <f ca="1">[1]!BexGetData("DP_1","00O2TNJGODT0G5Z4TTKYMN7K5","GSON5136364011")</f>
        <v>#NAME?</v>
      </c>
    </row>
    <row r="3365" spans="1:23" x14ac:dyDescent="0.2">
      <c r="A3365" s="36" t="s">
        <v>6854</v>
      </c>
      <c r="B3365" s="27" t="s">
        <v>6855</v>
      </c>
      <c r="C3365" s="23" t="e">
        <f ca="1">[1]!BexGetData("DP_1","003N8EMH8GTFRCSWKMPXRR8GU","GSON5136365011")</f>
        <v>#NAME?</v>
      </c>
      <c r="D3365" s="28" t="e">
        <f ca="1">[1]!BexGetData("DP_1","003N8EMH8GTFRCSWKMPXRRESE","GSON5136365011")</f>
        <v>#NAME?</v>
      </c>
      <c r="E3365" s="23" t="e">
        <f ca="1">[1]!BexGetData("DP_1","003N8EMH8GTFRCSWKMPXRRL3Y","GSON5136365011")</f>
        <v>#NAME?</v>
      </c>
      <c r="F3365" s="24" t="e">
        <f ca="1">[1]!BexGetData("DP_1","003N8EMH8GTFRCSWKMPXRRRFI","GSON5136365011")</f>
        <v>#NAME?</v>
      </c>
      <c r="G3365" s="24" t="e">
        <f ca="1">[1]!BexGetData("DP_1","003N8EMH8GTFRCSWKMPXRRXR2","GSON5136365011")</f>
        <v>#NAME?</v>
      </c>
      <c r="H3365" s="24" t="e">
        <f ca="1">[1]!BexGetData("DP_1","003N8EMH8GTFRCSWKMPXRS42M","GSON5136365011")</f>
        <v>#NAME?</v>
      </c>
      <c r="I3365" s="24" t="e">
        <f ca="1">[1]!BexGetData("DP_1","003N8EMH8GTFRCSWKMPXRSAE6","GSON5136365011")</f>
        <v>#NAME?</v>
      </c>
      <c r="J3365" s="24" t="e">
        <f ca="1">[1]!BexGetData("DP_1","003N8EMH8GTFRCSWKMPXRSGPQ","GSON5136365011")</f>
        <v>#NAME?</v>
      </c>
      <c r="K3365" s="23" t="e">
        <f ca="1">[1]!BexGetData("DP_1","003N8EMH8GTFRIVNUPY288VJH","GSON5136365011")</f>
        <v>#NAME?</v>
      </c>
      <c r="L3365" s="23" t="e">
        <f ca="1">[1]!BexGetData("DP_1","003N8EMH8GTFRIVNUPY2891V1","GSON5136365011")</f>
        <v>#NAME?</v>
      </c>
      <c r="M3365" s="28" t="e">
        <f ca="1">[1]!BexGetData("DP_1","003N8EMH8GTFRIVOG7KG9IQXA","GSON5136365011")</f>
        <v>#NAME?</v>
      </c>
      <c r="N3365" s="23" t="e">
        <f ca="1">[1]!BexGetData("DP_1","003N8EMH8GTFRIVOG7KG9IX8U","GSON5136365011")</f>
        <v>#NAME?</v>
      </c>
      <c r="O3365" s="28" t="e">
        <f ca="1">[1]!BexGetData("DP_1","003N8EMH8GTFRIVOG7KG9J3KE","GSON5136365011")</f>
        <v>#NAME?</v>
      </c>
      <c r="P3365" s="23" t="e">
        <f ca="1">[1]!BexGetData("DP_1","003N8EMH8GTFRIVOG7KG9J9VY","GSON5136365011")</f>
        <v>#NAME?</v>
      </c>
      <c r="Q3365" s="24" t="e">
        <f ca="1">[1]!BexGetData("DP_1","00O2TNJGODT0G5Z4TTKYMM5MT","GSON5136365011")</f>
        <v>#NAME?</v>
      </c>
      <c r="R3365" s="24" t="e">
        <f ca="1">[1]!BexGetData("DP_1","00O2TNJGODT0G5Z4TTKYMMBYD","GSON5136365011")</f>
        <v>#NAME?</v>
      </c>
      <c r="S3365" s="24" t="e">
        <f ca="1">[1]!BexGetData("DP_1","00O2TNJGODT0G5Z4TTKYMMI9X","GSON5136365011")</f>
        <v>#NAME?</v>
      </c>
      <c r="T3365" s="24" t="e">
        <f ca="1">[1]!BexGetData("DP_1","00O2TNJGODT0G5Z4TTKYMMOLH","GSON5136365011")</f>
        <v>#NAME?</v>
      </c>
      <c r="U3365" s="24" t="e">
        <f ca="1">[1]!BexGetData("DP_1","00O2TNJGODT0G5Z4TTKYMMUX1","GSON5136365011")</f>
        <v>#NAME?</v>
      </c>
      <c r="V3365" s="24" t="e">
        <f ca="1">[1]!BexGetData("DP_1","00O2TNJGODT0G5Z4TTKYMN18L","GSON5136365011")</f>
        <v>#NAME?</v>
      </c>
      <c r="W3365" s="24" t="e">
        <f ca="1">[1]!BexGetData("DP_1","00O2TNJGODT0G5Z4TTKYMN7K5","GSON5136365011")</f>
        <v>#NAME?</v>
      </c>
    </row>
    <row r="3366" spans="1:23" x14ac:dyDescent="0.2">
      <c r="A3366" s="36" t="s">
        <v>6856</v>
      </c>
      <c r="B3366" s="27" t="s">
        <v>6857</v>
      </c>
      <c r="C3366" s="23" t="e">
        <f ca="1">[1]!BexGetData("DP_1","003N8EMH8GTFRCSWKMPXRR8GU","GSON5136366011")</f>
        <v>#NAME?</v>
      </c>
      <c r="D3366" s="23" t="e">
        <f ca="1">[1]!BexGetData("DP_1","003N8EMH8GTFRCSWKMPXRRESE","GSON5136366011")</f>
        <v>#NAME?</v>
      </c>
      <c r="E3366" s="23" t="e">
        <f ca="1">[1]!BexGetData("DP_1","003N8EMH8GTFRCSWKMPXRRL3Y","GSON5136366011")</f>
        <v>#NAME?</v>
      </c>
      <c r="F3366" s="23" t="e">
        <f ca="1">[1]!BexGetData("DP_1","003N8EMH8GTFRCSWKMPXRRRFI","GSON5136366011")</f>
        <v>#NAME?</v>
      </c>
      <c r="G3366" s="23" t="e">
        <f ca="1">[1]!BexGetData("DP_1","003N8EMH8GTFRCSWKMPXRRXR2","GSON5136366011")</f>
        <v>#NAME?</v>
      </c>
      <c r="H3366" s="23" t="e">
        <f ca="1">[1]!BexGetData("DP_1","003N8EMH8GTFRCSWKMPXRS42M","GSON5136366011")</f>
        <v>#NAME?</v>
      </c>
      <c r="I3366" s="23" t="e">
        <f ca="1">[1]!BexGetData("DP_1","003N8EMH8GTFRCSWKMPXRSAE6","GSON5136366011")</f>
        <v>#NAME?</v>
      </c>
      <c r="J3366" s="24" t="e">
        <f ca="1">[1]!BexGetData("DP_1","003N8EMH8GTFRCSWKMPXRSGPQ","GSON5136366011")</f>
        <v>#NAME?</v>
      </c>
      <c r="K3366" s="23" t="e">
        <f ca="1">[1]!BexGetData("DP_1","003N8EMH8GTFRIVNUPY288VJH","GSON5136366011")</f>
        <v>#NAME?</v>
      </c>
      <c r="L3366" s="23" t="e">
        <f ca="1">[1]!BexGetData("DP_1","003N8EMH8GTFRIVNUPY2891V1","GSON5136366011")</f>
        <v>#NAME?</v>
      </c>
      <c r="M3366" s="23" t="e">
        <f ca="1">[1]!BexGetData("DP_1","003N8EMH8GTFRIVOG7KG9IQXA","GSON5136366011")</f>
        <v>#NAME?</v>
      </c>
      <c r="N3366" s="28" t="e">
        <f ca="1">[1]!BexGetData("DP_1","003N8EMH8GTFRIVOG7KG9IX8U","GSON5136366011")</f>
        <v>#NAME?</v>
      </c>
      <c r="O3366" s="23" t="e">
        <f ca="1">[1]!BexGetData("DP_1","003N8EMH8GTFRIVOG7KG9J3KE","GSON5136366011")</f>
        <v>#NAME?</v>
      </c>
      <c r="P3366" s="28" t="e">
        <f ca="1">[1]!BexGetData("DP_1","003N8EMH8GTFRIVOG7KG9J9VY","GSON5136366011")</f>
        <v>#NAME?</v>
      </c>
      <c r="Q3366" s="24" t="e">
        <f ca="1">[1]!BexGetData("DP_1","00O2TNJGODT0G5Z4TTKYMM5MT","GSON5136366011")</f>
        <v>#NAME?</v>
      </c>
      <c r="R3366" s="23" t="e">
        <f ca="1">[1]!BexGetData("DP_1","00O2TNJGODT0G5Z4TTKYMMBYD","GSON5136366011")</f>
        <v>#NAME?</v>
      </c>
      <c r="S3366" s="23" t="e">
        <f ca="1">[1]!BexGetData("DP_1","00O2TNJGODT0G5Z4TTKYMMI9X","GSON5136366011")</f>
        <v>#NAME?</v>
      </c>
      <c r="T3366" s="28" t="e">
        <f ca="1">[1]!BexGetData("DP_1","00O2TNJGODT0G5Z4TTKYMMOLH","GSON5136366011")</f>
        <v>#NAME?</v>
      </c>
      <c r="U3366" s="23" t="e">
        <f ca="1">[1]!BexGetData("DP_1","00O2TNJGODT0G5Z4TTKYMMUX1","GSON5136366011")</f>
        <v>#NAME?</v>
      </c>
      <c r="V3366" s="28" t="e">
        <f ca="1">[1]!BexGetData("DP_1","00O2TNJGODT0G5Z4TTKYMN18L","GSON5136366011")</f>
        <v>#NAME?</v>
      </c>
      <c r="W3366" s="23" t="e">
        <f ca="1">[1]!BexGetData("DP_1","00O2TNJGODT0G5Z4TTKYMN7K5","GSON5136366011")</f>
        <v>#NAME?</v>
      </c>
    </row>
    <row r="3367" spans="1:23" x14ac:dyDescent="0.2">
      <c r="A3367" s="36" t="s">
        <v>6858</v>
      </c>
      <c r="B3367" s="27" t="s">
        <v>6859</v>
      </c>
      <c r="C3367" s="23" t="e">
        <f ca="1">[1]!BexGetData("DP_1","003N8EMH8GTFRCSWKMPXRR8GU","GSON5136369011")</f>
        <v>#NAME?</v>
      </c>
      <c r="D3367" s="28" t="e">
        <f ca="1">[1]!BexGetData("DP_1","003N8EMH8GTFRCSWKMPXRRESE","GSON5136369011")</f>
        <v>#NAME?</v>
      </c>
      <c r="E3367" s="23" t="e">
        <f ca="1">[1]!BexGetData("DP_1","003N8EMH8GTFRCSWKMPXRRL3Y","GSON5136369011")</f>
        <v>#NAME?</v>
      </c>
      <c r="F3367" s="23" t="e">
        <f ca="1">[1]!BexGetData("DP_1","003N8EMH8GTFRCSWKMPXRRRFI","GSON5136369011")</f>
        <v>#NAME?</v>
      </c>
      <c r="G3367" s="23" t="e">
        <f ca="1">[1]!BexGetData("DP_1","003N8EMH8GTFRCSWKMPXRRXR2","GSON5136369011")</f>
        <v>#NAME?</v>
      </c>
      <c r="H3367" s="23" t="e">
        <f ca="1">[1]!BexGetData("DP_1","003N8EMH8GTFRCSWKMPXRS42M","GSON5136369011")</f>
        <v>#NAME?</v>
      </c>
      <c r="I3367" s="23" t="e">
        <f ca="1">[1]!BexGetData("DP_1","003N8EMH8GTFRCSWKMPXRSAE6","GSON5136369011")</f>
        <v>#NAME?</v>
      </c>
      <c r="J3367" s="24" t="e">
        <f ca="1">[1]!BexGetData("DP_1","003N8EMH8GTFRCSWKMPXRSGPQ","GSON5136369011")</f>
        <v>#NAME?</v>
      </c>
      <c r="K3367" s="23" t="e">
        <f ca="1">[1]!BexGetData("DP_1","003N8EMH8GTFRIVNUPY288VJH","GSON5136369011")</f>
        <v>#NAME?</v>
      </c>
      <c r="L3367" s="23" t="e">
        <f ca="1">[1]!BexGetData("DP_1","003N8EMH8GTFRIVNUPY2891V1","GSON5136369011")</f>
        <v>#NAME?</v>
      </c>
      <c r="M3367" s="28" t="e">
        <f ca="1">[1]!BexGetData("DP_1","003N8EMH8GTFRIVOG7KG9IQXA","GSON5136369011")</f>
        <v>#NAME?</v>
      </c>
      <c r="N3367" s="23" t="e">
        <f ca="1">[1]!BexGetData("DP_1","003N8EMH8GTFRIVOG7KG9IX8U","GSON5136369011")</f>
        <v>#NAME?</v>
      </c>
      <c r="O3367" s="28" t="e">
        <f ca="1">[1]!BexGetData("DP_1","003N8EMH8GTFRIVOG7KG9J3KE","GSON5136369011")</f>
        <v>#NAME?</v>
      </c>
      <c r="P3367" s="23" t="e">
        <f ca="1">[1]!BexGetData("DP_1","003N8EMH8GTFRIVOG7KG9J9VY","GSON5136369011")</f>
        <v>#NAME?</v>
      </c>
      <c r="Q3367" s="24" t="e">
        <f ca="1">[1]!BexGetData("DP_1","00O2TNJGODT0G5Z4TTKYMM5MT","GSON5136369011")</f>
        <v>#NAME?</v>
      </c>
      <c r="R3367" s="23" t="e">
        <f ca="1">[1]!BexGetData("DP_1","00O2TNJGODT0G5Z4TTKYMMBYD","GSON5136369011")</f>
        <v>#NAME?</v>
      </c>
      <c r="S3367" s="23" t="e">
        <f ca="1">[1]!BexGetData("DP_1","00O2TNJGODT0G5Z4TTKYMMI9X","GSON5136369011")</f>
        <v>#NAME?</v>
      </c>
      <c r="T3367" s="28" t="e">
        <f ca="1">[1]!BexGetData("DP_1","00O2TNJGODT0G5Z4TTKYMMOLH","GSON5136369011")</f>
        <v>#NAME?</v>
      </c>
      <c r="U3367" s="23" t="e">
        <f ca="1">[1]!BexGetData("DP_1","00O2TNJGODT0G5Z4TTKYMMUX1","GSON5136369011")</f>
        <v>#NAME?</v>
      </c>
      <c r="V3367" s="28" t="e">
        <f ca="1">[1]!BexGetData("DP_1","00O2TNJGODT0G5Z4TTKYMN18L","GSON5136369011")</f>
        <v>#NAME?</v>
      </c>
      <c r="W3367" s="23" t="e">
        <f ca="1">[1]!BexGetData("DP_1","00O2TNJGODT0G5Z4TTKYMN7K5","GSON5136369011")</f>
        <v>#NAME?</v>
      </c>
    </row>
    <row r="3368" spans="1:23" x14ac:dyDescent="0.2">
      <c r="A3368" s="35" t="s">
        <v>402</v>
      </c>
      <c r="B3368" s="27" t="s">
        <v>403</v>
      </c>
      <c r="C3368" s="23" t="e">
        <f ca="1">[1]!BexGetData("DP_1","003N8EMH8GTFRCSWKMPXRR8GU","GSON5137")</f>
        <v>#NAME?</v>
      </c>
      <c r="D3368" s="23" t="e">
        <f ca="1">[1]!BexGetData("DP_1","003N8EMH8GTFRCSWKMPXRRESE","GSON5137")</f>
        <v>#NAME?</v>
      </c>
      <c r="E3368" s="23" t="e">
        <f ca="1">[1]!BexGetData("DP_1","003N8EMH8GTFRCSWKMPXRRL3Y","GSON5137")</f>
        <v>#NAME?</v>
      </c>
      <c r="F3368" s="23" t="e">
        <f ca="1">[1]!BexGetData("DP_1","003N8EMH8GTFRCSWKMPXRRRFI","GSON5137")</f>
        <v>#NAME?</v>
      </c>
      <c r="G3368" s="23" t="e">
        <f ca="1">[1]!BexGetData("DP_1","003N8EMH8GTFRCSWKMPXRRXR2","GSON5137")</f>
        <v>#NAME?</v>
      </c>
      <c r="H3368" s="23" t="e">
        <f ca="1">[1]!BexGetData("DP_1","003N8EMH8GTFRCSWKMPXRS42M","GSON5137")</f>
        <v>#NAME?</v>
      </c>
      <c r="I3368" s="23" t="e">
        <f ca="1">[1]!BexGetData("DP_1","003N8EMH8GTFRCSWKMPXRSAE6","GSON5137")</f>
        <v>#NAME?</v>
      </c>
      <c r="J3368" s="24" t="e">
        <f ca="1">[1]!BexGetData("DP_1","003N8EMH8GTFRCSWKMPXRSGPQ","GSON5137")</f>
        <v>#NAME?</v>
      </c>
      <c r="K3368" s="23" t="e">
        <f ca="1">[1]!BexGetData("DP_1","003N8EMH8GTFRIVNUPY288VJH","GSON5137")</f>
        <v>#NAME?</v>
      </c>
      <c r="L3368" s="23" t="e">
        <f ca="1">[1]!BexGetData("DP_1","003N8EMH8GTFRIVNUPY2891V1","GSON5137")</f>
        <v>#NAME?</v>
      </c>
      <c r="M3368" s="28" t="e">
        <f ca="1">[1]!BexGetData("DP_1","003N8EMH8GTFRIVOG7KG9IQXA","GSON5137")</f>
        <v>#NAME?</v>
      </c>
      <c r="N3368" s="23" t="e">
        <f ca="1">[1]!BexGetData("DP_1","003N8EMH8GTFRIVOG7KG9IX8U","GSON5137")</f>
        <v>#NAME?</v>
      </c>
      <c r="O3368" s="28" t="e">
        <f ca="1">[1]!BexGetData("DP_1","003N8EMH8GTFRIVOG7KG9J3KE","GSON5137")</f>
        <v>#NAME?</v>
      </c>
      <c r="P3368" s="23" t="e">
        <f ca="1">[1]!BexGetData("DP_1","003N8EMH8GTFRIVOG7KG9J9VY","GSON5137")</f>
        <v>#NAME?</v>
      </c>
      <c r="Q3368" s="24" t="e">
        <f ca="1">[1]!BexGetData("DP_1","00O2TNJGODT0G5Z4TTKYMM5MT","GSON5137")</f>
        <v>#NAME?</v>
      </c>
      <c r="R3368" s="23" t="e">
        <f ca="1">[1]!BexGetData("DP_1","00O2TNJGODT0G5Z4TTKYMMBYD","GSON5137")</f>
        <v>#NAME?</v>
      </c>
      <c r="S3368" s="23" t="e">
        <f ca="1">[1]!BexGetData("DP_1","00O2TNJGODT0G5Z4TTKYMMI9X","GSON5137")</f>
        <v>#NAME?</v>
      </c>
      <c r="T3368" s="28" t="e">
        <f ca="1">[1]!BexGetData("DP_1","00O2TNJGODT0G5Z4TTKYMMOLH","GSON5137")</f>
        <v>#NAME?</v>
      </c>
      <c r="U3368" s="23" t="e">
        <f ca="1">[1]!BexGetData("DP_1","00O2TNJGODT0G5Z4TTKYMMUX1","GSON5137")</f>
        <v>#NAME?</v>
      </c>
      <c r="V3368" s="28" t="e">
        <f ca="1">[1]!BexGetData("DP_1","00O2TNJGODT0G5Z4TTKYMN18L","GSON5137")</f>
        <v>#NAME?</v>
      </c>
      <c r="W3368" s="23" t="e">
        <f ca="1">[1]!BexGetData("DP_1","00O2TNJGODT0G5Z4TTKYMN7K5","GSON5137")</f>
        <v>#NAME?</v>
      </c>
    </row>
    <row r="3369" spans="1:23" x14ac:dyDescent="0.2">
      <c r="A3369" s="36" t="s">
        <v>6860</v>
      </c>
      <c r="B3369" s="27" t="s">
        <v>1577</v>
      </c>
      <c r="C3369" s="23" t="e">
        <f ca="1">[1]!BexGetData("DP_1","003N8EMH8GTFRCSWKMPXRR8GU","GSON5137371011")</f>
        <v>#NAME?</v>
      </c>
      <c r="D3369" s="23" t="e">
        <f ca="1">[1]!BexGetData("DP_1","003N8EMH8GTFRCSWKMPXRRESE","GSON5137371011")</f>
        <v>#NAME?</v>
      </c>
      <c r="E3369" s="23" t="e">
        <f ca="1">[1]!BexGetData("DP_1","003N8EMH8GTFRCSWKMPXRRL3Y","GSON5137371011")</f>
        <v>#NAME?</v>
      </c>
      <c r="F3369" s="23" t="e">
        <f ca="1">[1]!BexGetData("DP_1","003N8EMH8GTFRCSWKMPXRRRFI","GSON5137371011")</f>
        <v>#NAME?</v>
      </c>
      <c r="G3369" s="23" t="e">
        <f ca="1">[1]!BexGetData("DP_1","003N8EMH8GTFRCSWKMPXRRXR2","GSON5137371011")</f>
        <v>#NAME?</v>
      </c>
      <c r="H3369" s="23" t="e">
        <f ca="1">[1]!BexGetData("DP_1","003N8EMH8GTFRCSWKMPXRS42M","GSON5137371011")</f>
        <v>#NAME?</v>
      </c>
      <c r="I3369" s="23" t="e">
        <f ca="1">[1]!BexGetData("DP_1","003N8EMH8GTFRCSWKMPXRSAE6","GSON5137371011")</f>
        <v>#NAME?</v>
      </c>
      <c r="J3369" s="24" t="e">
        <f ca="1">[1]!BexGetData("DP_1","003N8EMH8GTFRCSWKMPXRSGPQ","GSON5137371011")</f>
        <v>#NAME?</v>
      </c>
      <c r="K3369" s="23" t="e">
        <f ca="1">[1]!BexGetData("DP_1","003N8EMH8GTFRIVNUPY288VJH","GSON5137371011")</f>
        <v>#NAME?</v>
      </c>
      <c r="L3369" s="23" t="e">
        <f ca="1">[1]!BexGetData("DP_1","003N8EMH8GTFRIVNUPY2891V1","GSON5137371011")</f>
        <v>#NAME?</v>
      </c>
      <c r="M3369" s="28" t="e">
        <f ca="1">[1]!BexGetData("DP_1","003N8EMH8GTFRIVOG7KG9IQXA","GSON5137371011")</f>
        <v>#NAME?</v>
      </c>
      <c r="N3369" s="23" t="e">
        <f ca="1">[1]!BexGetData("DP_1","003N8EMH8GTFRIVOG7KG9IX8U","GSON5137371011")</f>
        <v>#NAME?</v>
      </c>
      <c r="O3369" s="28" t="e">
        <f ca="1">[1]!BexGetData("DP_1","003N8EMH8GTFRIVOG7KG9J3KE","GSON5137371011")</f>
        <v>#NAME?</v>
      </c>
      <c r="P3369" s="23" t="e">
        <f ca="1">[1]!BexGetData("DP_1","003N8EMH8GTFRIVOG7KG9J9VY","GSON5137371011")</f>
        <v>#NAME?</v>
      </c>
      <c r="Q3369" s="24" t="e">
        <f ca="1">[1]!BexGetData("DP_1","00O2TNJGODT0G5Z4TTKYMM5MT","GSON5137371011")</f>
        <v>#NAME?</v>
      </c>
      <c r="R3369" s="23" t="e">
        <f ca="1">[1]!BexGetData("DP_1","00O2TNJGODT0G5Z4TTKYMMBYD","GSON5137371011")</f>
        <v>#NAME?</v>
      </c>
      <c r="S3369" s="23" t="e">
        <f ca="1">[1]!BexGetData("DP_1","00O2TNJGODT0G5Z4TTKYMMI9X","GSON5137371011")</f>
        <v>#NAME?</v>
      </c>
      <c r="T3369" s="28" t="e">
        <f ca="1">[1]!BexGetData("DP_1","00O2TNJGODT0G5Z4TTKYMMOLH","GSON5137371011")</f>
        <v>#NAME?</v>
      </c>
      <c r="U3369" s="23" t="e">
        <f ca="1">[1]!BexGetData("DP_1","00O2TNJGODT0G5Z4TTKYMMUX1","GSON5137371011")</f>
        <v>#NAME?</v>
      </c>
      <c r="V3369" s="28" t="e">
        <f ca="1">[1]!BexGetData("DP_1","00O2TNJGODT0G5Z4TTKYMN18L","GSON5137371011")</f>
        <v>#NAME?</v>
      </c>
      <c r="W3369" s="23" t="e">
        <f ca="1">[1]!BexGetData("DP_1","00O2TNJGODT0G5Z4TTKYMN7K5","GSON5137371011")</f>
        <v>#NAME?</v>
      </c>
    </row>
    <row r="3370" spans="1:23" x14ac:dyDescent="0.2">
      <c r="A3370" s="36" t="s">
        <v>6861</v>
      </c>
      <c r="B3370" s="27" t="s">
        <v>1739</v>
      </c>
      <c r="C3370" s="23" t="e">
        <f ca="1">[1]!BexGetData("DP_1","003N8EMH8GTFRCSWKMPXRR8GU","GSON5137371012")</f>
        <v>#NAME?</v>
      </c>
      <c r="D3370" s="23" t="e">
        <f ca="1">[1]!BexGetData("DP_1","003N8EMH8GTFRCSWKMPXRRESE","GSON5137371012")</f>
        <v>#NAME?</v>
      </c>
      <c r="E3370" s="28" t="e">
        <f ca="1">[1]!BexGetData("DP_1","003N8EMH8GTFRCSWKMPXRRL3Y","GSON5137371012")</f>
        <v>#NAME?</v>
      </c>
      <c r="F3370" s="24" t="e">
        <f ca="1">[1]!BexGetData("DP_1","003N8EMH8GTFRCSWKMPXRRRFI","GSON5137371012")</f>
        <v>#NAME?</v>
      </c>
      <c r="G3370" s="24" t="e">
        <f ca="1">[1]!BexGetData("DP_1","003N8EMH8GTFRCSWKMPXRRXR2","GSON5137371012")</f>
        <v>#NAME?</v>
      </c>
      <c r="H3370" s="24" t="e">
        <f ca="1">[1]!BexGetData("DP_1","003N8EMH8GTFRCSWKMPXRS42M","GSON5137371012")</f>
        <v>#NAME?</v>
      </c>
      <c r="I3370" s="24" t="e">
        <f ca="1">[1]!BexGetData("DP_1","003N8EMH8GTFRCSWKMPXRSAE6","GSON5137371012")</f>
        <v>#NAME?</v>
      </c>
      <c r="J3370" s="24" t="e">
        <f ca="1">[1]!BexGetData("DP_1","003N8EMH8GTFRCSWKMPXRSGPQ","GSON5137371012")</f>
        <v>#NAME?</v>
      </c>
      <c r="K3370" s="28" t="e">
        <f ca="1">[1]!BexGetData("DP_1","003N8EMH8GTFRIVNUPY288VJH","GSON5137371012")</f>
        <v>#NAME?</v>
      </c>
      <c r="L3370" s="28" t="e">
        <f ca="1">[1]!BexGetData("DP_1","003N8EMH8GTFRIVNUPY2891V1","GSON5137371012")</f>
        <v>#NAME?</v>
      </c>
      <c r="M3370" s="28" t="e">
        <f ca="1">[1]!BexGetData("DP_1","003N8EMH8GTFRIVOG7KG9IQXA","GSON5137371012")</f>
        <v>#NAME?</v>
      </c>
      <c r="N3370" s="28" t="e">
        <f ca="1">[1]!BexGetData("DP_1","003N8EMH8GTFRIVOG7KG9IX8U","GSON5137371012")</f>
        <v>#NAME?</v>
      </c>
      <c r="O3370" s="28" t="e">
        <f ca="1">[1]!BexGetData("DP_1","003N8EMH8GTFRIVOG7KG9J3KE","GSON5137371012")</f>
        <v>#NAME?</v>
      </c>
      <c r="P3370" s="28" t="e">
        <f ca="1">[1]!BexGetData("DP_1","003N8EMH8GTFRIVOG7KG9J9VY","GSON5137371012")</f>
        <v>#NAME?</v>
      </c>
      <c r="Q3370" s="24" t="e">
        <f ca="1">[1]!BexGetData("DP_1","00O2TNJGODT0G5Z4TTKYMM5MT","GSON5137371012")</f>
        <v>#NAME?</v>
      </c>
      <c r="R3370" s="24" t="e">
        <f ca="1">[1]!BexGetData("DP_1","00O2TNJGODT0G5Z4TTKYMMBYD","GSON5137371012")</f>
        <v>#NAME?</v>
      </c>
      <c r="S3370" s="24" t="e">
        <f ca="1">[1]!BexGetData("DP_1","00O2TNJGODT0G5Z4TTKYMMI9X","GSON5137371012")</f>
        <v>#NAME?</v>
      </c>
      <c r="T3370" s="24" t="e">
        <f ca="1">[1]!BexGetData("DP_1","00O2TNJGODT0G5Z4TTKYMMOLH","GSON5137371012")</f>
        <v>#NAME?</v>
      </c>
      <c r="U3370" s="24" t="e">
        <f ca="1">[1]!BexGetData("DP_1","00O2TNJGODT0G5Z4TTKYMMUX1","GSON5137371012")</f>
        <v>#NAME?</v>
      </c>
      <c r="V3370" s="24" t="e">
        <f ca="1">[1]!BexGetData("DP_1","00O2TNJGODT0G5Z4TTKYMN18L","GSON5137371012")</f>
        <v>#NAME?</v>
      </c>
      <c r="W3370" s="24" t="e">
        <f ca="1">[1]!BexGetData("DP_1","00O2TNJGODT0G5Z4TTKYMN7K5","GSON5137371012")</f>
        <v>#NAME?</v>
      </c>
    </row>
    <row r="3371" spans="1:23" x14ac:dyDescent="0.2">
      <c r="A3371" s="36" t="s">
        <v>6862</v>
      </c>
      <c r="B3371" s="27" t="s">
        <v>6863</v>
      </c>
      <c r="C3371" s="23" t="e">
        <f ca="1">[1]!BexGetData("DP_1","003N8EMH8GTFRCSWKMPXRR8GU","GSON5137372011")</f>
        <v>#NAME?</v>
      </c>
      <c r="D3371" s="23" t="e">
        <f ca="1">[1]!BexGetData("DP_1","003N8EMH8GTFRCSWKMPXRRESE","GSON5137372011")</f>
        <v>#NAME?</v>
      </c>
      <c r="E3371" s="23" t="e">
        <f ca="1">[1]!BexGetData("DP_1","003N8EMH8GTFRCSWKMPXRRL3Y","GSON5137372011")</f>
        <v>#NAME?</v>
      </c>
      <c r="F3371" s="23" t="e">
        <f ca="1">[1]!BexGetData("DP_1","003N8EMH8GTFRCSWKMPXRRRFI","GSON5137372011")</f>
        <v>#NAME?</v>
      </c>
      <c r="G3371" s="23" t="e">
        <f ca="1">[1]!BexGetData("DP_1","003N8EMH8GTFRCSWKMPXRRXR2","GSON5137372011")</f>
        <v>#NAME?</v>
      </c>
      <c r="H3371" s="28" t="e">
        <f ca="1">[1]!BexGetData("DP_1","003N8EMH8GTFRCSWKMPXRS42M","GSON5137372011")</f>
        <v>#NAME?</v>
      </c>
      <c r="I3371" s="23" t="e">
        <f ca="1">[1]!BexGetData("DP_1","003N8EMH8GTFRCSWKMPXRSAE6","GSON5137372011")</f>
        <v>#NAME?</v>
      </c>
      <c r="J3371" s="24" t="e">
        <f ca="1">[1]!BexGetData("DP_1","003N8EMH8GTFRCSWKMPXRSGPQ","GSON5137372011")</f>
        <v>#NAME?</v>
      </c>
      <c r="K3371" s="23" t="e">
        <f ca="1">[1]!BexGetData("DP_1","003N8EMH8GTFRIVNUPY288VJH","GSON5137372011")</f>
        <v>#NAME?</v>
      </c>
      <c r="L3371" s="23" t="e">
        <f ca="1">[1]!BexGetData("DP_1","003N8EMH8GTFRIVNUPY2891V1","GSON5137372011")</f>
        <v>#NAME?</v>
      </c>
      <c r="M3371" s="23" t="e">
        <f ca="1">[1]!BexGetData("DP_1","003N8EMH8GTFRIVOG7KG9IQXA","GSON5137372011")</f>
        <v>#NAME?</v>
      </c>
      <c r="N3371" s="28" t="e">
        <f ca="1">[1]!BexGetData("DP_1","003N8EMH8GTFRIVOG7KG9IX8U","GSON5137372011")</f>
        <v>#NAME?</v>
      </c>
      <c r="O3371" s="23" t="e">
        <f ca="1">[1]!BexGetData("DP_1","003N8EMH8GTFRIVOG7KG9J3KE","GSON5137372011")</f>
        <v>#NAME?</v>
      </c>
      <c r="P3371" s="28" t="e">
        <f ca="1">[1]!BexGetData("DP_1","003N8EMH8GTFRIVOG7KG9J9VY","GSON5137372011")</f>
        <v>#NAME?</v>
      </c>
      <c r="Q3371" s="24" t="e">
        <f ca="1">[1]!BexGetData("DP_1","00O2TNJGODT0G5Z4TTKYMM5MT","GSON5137372011")</f>
        <v>#NAME?</v>
      </c>
      <c r="R3371" s="23" t="e">
        <f ca="1">[1]!BexGetData("DP_1","00O2TNJGODT0G5Z4TTKYMMBYD","GSON5137372011")</f>
        <v>#NAME?</v>
      </c>
      <c r="S3371" s="23" t="e">
        <f ca="1">[1]!BexGetData("DP_1","00O2TNJGODT0G5Z4TTKYMMI9X","GSON5137372011")</f>
        <v>#NAME?</v>
      </c>
      <c r="T3371" s="28" t="e">
        <f ca="1">[1]!BexGetData("DP_1","00O2TNJGODT0G5Z4TTKYMMOLH","GSON5137372011")</f>
        <v>#NAME?</v>
      </c>
      <c r="U3371" s="23" t="e">
        <f ca="1">[1]!BexGetData("DP_1","00O2TNJGODT0G5Z4TTKYMMUX1","GSON5137372011")</f>
        <v>#NAME?</v>
      </c>
      <c r="V3371" s="28" t="e">
        <f ca="1">[1]!BexGetData("DP_1","00O2TNJGODT0G5Z4TTKYMN18L","GSON5137372011")</f>
        <v>#NAME?</v>
      </c>
      <c r="W3371" s="23" t="e">
        <f ca="1">[1]!BexGetData("DP_1","00O2TNJGODT0G5Z4TTKYMN7K5","GSON5137372011")</f>
        <v>#NAME?</v>
      </c>
    </row>
    <row r="3372" spans="1:23" x14ac:dyDescent="0.2">
      <c r="A3372" s="36" t="s">
        <v>6864</v>
      </c>
      <c r="B3372" s="27" t="s">
        <v>6865</v>
      </c>
      <c r="C3372" s="23" t="e">
        <f ca="1">[1]!BexGetData("DP_1","003N8EMH8GTFRCSWKMPXRR8GU","GSON5137372021")</f>
        <v>#NAME?</v>
      </c>
      <c r="D3372" s="28" t="e">
        <f ca="1">[1]!BexGetData("DP_1","003N8EMH8GTFRCSWKMPXRRESE","GSON5137372021")</f>
        <v>#NAME?</v>
      </c>
      <c r="E3372" s="23" t="e">
        <f ca="1">[1]!BexGetData("DP_1","003N8EMH8GTFRCSWKMPXRRL3Y","GSON5137372021")</f>
        <v>#NAME?</v>
      </c>
      <c r="F3372" s="24" t="e">
        <f ca="1">[1]!BexGetData("DP_1","003N8EMH8GTFRCSWKMPXRRRFI","GSON5137372021")</f>
        <v>#NAME?</v>
      </c>
      <c r="G3372" s="24" t="e">
        <f ca="1">[1]!BexGetData("DP_1","003N8EMH8GTFRCSWKMPXRRXR2","GSON5137372021")</f>
        <v>#NAME?</v>
      </c>
      <c r="H3372" s="24" t="e">
        <f ca="1">[1]!BexGetData("DP_1","003N8EMH8GTFRCSWKMPXRS42M","GSON5137372021")</f>
        <v>#NAME?</v>
      </c>
      <c r="I3372" s="24" t="e">
        <f ca="1">[1]!BexGetData("DP_1","003N8EMH8GTFRCSWKMPXRSAE6","GSON5137372021")</f>
        <v>#NAME?</v>
      </c>
      <c r="J3372" s="24" t="e">
        <f ca="1">[1]!BexGetData("DP_1","003N8EMH8GTFRCSWKMPXRSGPQ","GSON5137372021")</f>
        <v>#NAME?</v>
      </c>
      <c r="K3372" s="23" t="e">
        <f ca="1">[1]!BexGetData("DP_1","003N8EMH8GTFRIVNUPY288VJH","GSON5137372021")</f>
        <v>#NAME?</v>
      </c>
      <c r="L3372" s="23" t="e">
        <f ca="1">[1]!BexGetData("DP_1","003N8EMH8GTFRIVNUPY2891V1","GSON5137372021")</f>
        <v>#NAME?</v>
      </c>
      <c r="M3372" s="28" t="e">
        <f ca="1">[1]!BexGetData("DP_1","003N8EMH8GTFRIVOG7KG9IQXA","GSON5137372021")</f>
        <v>#NAME?</v>
      </c>
      <c r="N3372" s="23" t="e">
        <f ca="1">[1]!BexGetData("DP_1","003N8EMH8GTFRIVOG7KG9IX8U","GSON5137372021")</f>
        <v>#NAME?</v>
      </c>
      <c r="O3372" s="28" t="e">
        <f ca="1">[1]!BexGetData("DP_1","003N8EMH8GTFRIVOG7KG9J3KE","GSON5137372021")</f>
        <v>#NAME?</v>
      </c>
      <c r="P3372" s="23" t="e">
        <f ca="1">[1]!BexGetData("DP_1","003N8EMH8GTFRIVOG7KG9J9VY","GSON5137372021")</f>
        <v>#NAME?</v>
      </c>
      <c r="Q3372" s="24" t="e">
        <f ca="1">[1]!BexGetData("DP_1","00O2TNJGODT0G5Z4TTKYMM5MT","GSON5137372021")</f>
        <v>#NAME?</v>
      </c>
      <c r="R3372" s="24" t="e">
        <f ca="1">[1]!BexGetData("DP_1","00O2TNJGODT0G5Z4TTKYMMBYD","GSON5137372021")</f>
        <v>#NAME?</v>
      </c>
      <c r="S3372" s="24" t="e">
        <f ca="1">[1]!BexGetData("DP_1","00O2TNJGODT0G5Z4TTKYMMI9X","GSON5137372021")</f>
        <v>#NAME?</v>
      </c>
      <c r="T3372" s="24" t="e">
        <f ca="1">[1]!BexGetData("DP_1","00O2TNJGODT0G5Z4TTKYMMOLH","GSON5137372021")</f>
        <v>#NAME?</v>
      </c>
      <c r="U3372" s="24" t="e">
        <f ca="1">[1]!BexGetData("DP_1","00O2TNJGODT0G5Z4TTKYMMUX1","GSON5137372021")</f>
        <v>#NAME?</v>
      </c>
      <c r="V3372" s="24" t="e">
        <f ca="1">[1]!BexGetData("DP_1","00O2TNJGODT0G5Z4TTKYMN18L","GSON5137372021")</f>
        <v>#NAME?</v>
      </c>
      <c r="W3372" s="24" t="e">
        <f ca="1">[1]!BexGetData("DP_1","00O2TNJGODT0G5Z4TTKYMN7K5","GSON5137372021")</f>
        <v>#NAME?</v>
      </c>
    </row>
    <row r="3373" spans="1:23" x14ac:dyDescent="0.2">
      <c r="A3373" s="36" t="s">
        <v>6866</v>
      </c>
      <c r="B3373" s="27" t="s">
        <v>1740</v>
      </c>
      <c r="C3373" s="23" t="e">
        <f ca="1">[1]!BexGetData("DP_1","003N8EMH8GTFRCSWKMPXRR8GU","GSON5137375011")</f>
        <v>#NAME?</v>
      </c>
      <c r="D3373" s="23" t="e">
        <f ca="1">[1]!BexGetData("DP_1","003N8EMH8GTFRCSWKMPXRRESE","GSON5137375011")</f>
        <v>#NAME?</v>
      </c>
      <c r="E3373" s="23" t="e">
        <f ca="1">[1]!BexGetData("DP_1","003N8EMH8GTFRCSWKMPXRRL3Y","GSON5137375011")</f>
        <v>#NAME?</v>
      </c>
      <c r="F3373" s="23" t="e">
        <f ca="1">[1]!BexGetData("DP_1","003N8EMH8GTFRCSWKMPXRRRFI","GSON5137375011")</f>
        <v>#NAME?</v>
      </c>
      <c r="G3373" s="23" t="e">
        <f ca="1">[1]!BexGetData("DP_1","003N8EMH8GTFRCSWKMPXRRXR2","GSON5137375011")</f>
        <v>#NAME?</v>
      </c>
      <c r="H3373" s="23" t="e">
        <f ca="1">[1]!BexGetData("DP_1","003N8EMH8GTFRCSWKMPXRS42M","GSON5137375011")</f>
        <v>#NAME?</v>
      </c>
      <c r="I3373" s="23" t="e">
        <f ca="1">[1]!BexGetData("DP_1","003N8EMH8GTFRCSWKMPXRSAE6","GSON5137375011")</f>
        <v>#NAME?</v>
      </c>
      <c r="J3373" s="24" t="e">
        <f ca="1">[1]!BexGetData("DP_1","003N8EMH8GTFRCSWKMPXRSGPQ","GSON5137375011")</f>
        <v>#NAME?</v>
      </c>
      <c r="K3373" s="23" t="e">
        <f ca="1">[1]!BexGetData("DP_1","003N8EMH8GTFRIVNUPY288VJH","GSON5137375011")</f>
        <v>#NAME?</v>
      </c>
      <c r="L3373" s="23" t="e">
        <f ca="1">[1]!BexGetData("DP_1","003N8EMH8GTFRIVNUPY2891V1","GSON5137375011")</f>
        <v>#NAME?</v>
      </c>
      <c r="M3373" s="28" t="e">
        <f ca="1">[1]!BexGetData("DP_1","003N8EMH8GTFRIVOG7KG9IQXA","GSON5137375011")</f>
        <v>#NAME?</v>
      </c>
      <c r="N3373" s="23" t="e">
        <f ca="1">[1]!BexGetData("DP_1","003N8EMH8GTFRIVOG7KG9IX8U","GSON5137375011")</f>
        <v>#NAME?</v>
      </c>
      <c r="O3373" s="28" t="e">
        <f ca="1">[1]!BexGetData("DP_1","003N8EMH8GTFRIVOG7KG9J3KE","GSON5137375011")</f>
        <v>#NAME?</v>
      </c>
      <c r="P3373" s="23" t="e">
        <f ca="1">[1]!BexGetData("DP_1","003N8EMH8GTFRIVOG7KG9J9VY","GSON5137375011")</f>
        <v>#NAME?</v>
      </c>
      <c r="Q3373" s="24" t="e">
        <f ca="1">[1]!BexGetData("DP_1","00O2TNJGODT0G5Z4TTKYMM5MT","GSON5137375011")</f>
        <v>#NAME?</v>
      </c>
      <c r="R3373" s="23" t="e">
        <f ca="1">[1]!BexGetData("DP_1","00O2TNJGODT0G5Z4TTKYMMBYD","GSON5137375011")</f>
        <v>#NAME?</v>
      </c>
      <c r="S3373" s="23" t="e">
        <f ca="1">[1]!BexGetData("DP_1","00O2TNJGODT0G5Z4TTKYMMI9X","GSON5137375011")</f>
        <v>#NAME?</v>
      </c>
      <c r="T3373" s="28" t="e">
        <f ca="1">[1]!BexGetData("DP_1","00O2TNJGODT0G5Z4TTKYMMOLH","GSON5137375011")</f>
        <v>#NAME?</v>
      </c>
      <c r="U3373" s="23" t="e">
        <f ca="1">[1]!BexGetData("DP_1","00O2TNJGODT0G5Z4TTKYMMUX1","GSON5137375011")</f>
        <v>#NAME?</v>
      </c>
      <c r="V3373" s="28" t="e">
        <f ca="1">[1]!BexGetData("DP_1","00O2TNJGODT0G5Z4TTKYMN18L","GSON5137375011")</f>
        <v>#NAME?</v>
      </c>
      <c r="W3373" s="23" t="e">
        <f ca="1">[1]!BexGetData("DP_1","00O2TNJGODT0G5Z4TTKYMN7K5","GSON5137375011")</f>
        <v>#NAME?</v>
      </c>
    </row>
    <row r="3374" spans="1:23" x14ac:dyDescent="0.2">
      <c r="A3374" s="36" t="s">
        <v>6867</v>
      </c>
      <c r="B3374" s="27" t="s">
        <v>6868</v>
      </c>
      <c r="C3374" s="23" t="e">
        <f ca="1">[1]!BexGetData("DP_1","003N8EMH8GTFRCSWKMPXRR8GU","GSON5137375012")</f>
        <v>#NAME?</v>
      </c>
      <c r="D3374" s="23" t="e">
        <f ca="1">[1]!BexGetData("DP_1","003N8EMH8GTFRCSWKMPXRRESE","GSON5137375012")</f>
        <v>#NAME?</v>
      </c>
      <c r="E3374" s="23" t="e">
        <f ca="1">[1]!BexGetData("DP_1","003N8EMH8GTFRCSWKMPXRRL3Y","GSON5137375012")</f>
        <v>#NAME?</v>
      </c>
      <c r="F3374" s="23" t="e">
        <f ca="1">[1]!BexGetData("DP_1","003N8EMH8GTFRCSWKMPXRRRFI","GSON5137375012")</f>
        <v>#NAME?</v>
      </c>
      <c r="G3374" s="23" t="e">
        <f ca="1">[1]!BexGetData("DP_1","003N8EMH8GTFRCSWKMPXRRXR2","GSON5137375012")</f>
        <v>#NAME?</v>
      </c>
      <c r="H3374" s="23" t="e">
        <f ca="1">[1]!BexGetData("DP_1","003N8EMH8GTFRCSWKMPXRS42M","GSON5137375012")</f>
        <v>#NAME?</v>
      </c>
      <c r="I3374" s="23" t="e">
        <f ca="1">[1]!BexGetData("DP_1","003N8EMH8GTFRCSWKMPXRSAE6","GSON5137375012")</f>
        <v>#NAME?</v>
      </c>
      <c r="J3374" s="24" t="e">
        <f ca="1">[1]!BexGetData("DP_1","003N8EMH8GTFRCSWKMPXRSGPQ","GSON5137375012")</f>
        <v>#NAME?</v>
      </c>
      <c r="K3374" s="23" t="e">
        <f ca="1">[1]!BexGetData("DP_1","003N8EMH8GTFRIVNUPY288VJH","GSON5137375012")</f>
        <v>#NAME?</v>
      </c>
      <c r="L3374" s="23" t="e">
        <f ca="1">[1]!BexGetData("DP_1","003N8EMH8GTFRIVNUPY2891V1","GSON5137375012")</f>
        <v>#NAME?</v>
      </c>
      <c r="M3374" s="28" t="e">
        <f ca="1">[1]!BexGetData("DP_1","003N8EMH8GTFRIVOG7KG9IQXA","GSON5137375012")</f>
        <v>#NAME?</v>
      </c>
      <c r="N3374" s="23" t="e">
        <f ca="1">[1]!BexGetData("DP_1","003N8EMH8GTFRIVOG7KG9IX8U","GSON5137375012")</f>
        <v>#NAME?</v>
      </c>
      <c r="O3374" s="28" t="e">
        <f ca="1">[1]!BexGetData("DP_1","003N8EMH8GTFRIVOG7KG9J3KE","GSON5137375012")</f>
        <v>#NAME?</v>
      </c>
      <c r="P3374" s="23" t="e">
        <f ca="1">[1]!BexGetData("DP_1","003N8EMH8GTFRIVOG7KG9J9VY","GSON5137375012")</f>
        <v>#NAME?</v>
      </c>
      <c r="Q3374" s="24" t="e">
        <f ca="1">[1]!BexGetData("DP_1","00O2TNJGODT0G5Z4TTKYMM5MT","GSON5137375012")</f>
        <v>#NAME?</v>
      </c>
      <c r="R3374" s="23" t="e">
        <f ca="1">[1]!BexGetData("DP_1","00O2TNJGODT0G5Z4TTKYMMBYD","GSON5137375012")</f>
        <v>#NAME?</v>
      </c>
      <c r="S3374" s="23" t="e">
        <f ca="1">[1]!BexGetData("DP_1","00O2TNJGODT0G5Z4TTKYMMI9X","GSON5137375012")</f>
        <v>#NAME?</v>
      </c>
      <c r="T3374" s="28" t="e">
        <f ca="1">[1]!BexGetData("DP_1","00O2TNJGODT0G5Z4TTKYMMOLH","GSON5137375012")</f>
        <v>#NAME?</v>
      </c>
      <c r="U3374" s="23" t="e">
        <f ca="1">[1]!BexGetData("DP_1","00O2TNJGODT0G5Z4TTKYMMUX1","GSON5137375012")</f>
        <v>#NAME?</v>
      </c>
      <c r="V3374" s="28" t="e">
        <f ca="1">[1]!BexGetData("DP_1","00O2TNJGODT0G5Z4TTKYMN18L","GSON5137375012")</f>
        <v>#NAME?</v>
      </c>
      <c r="W3374" s="23" t="e">
        <f ca="1">[1]!BexGetData("DP_1","00O2TNJGODT0G5Z4TTKYMN7K5","GSON5137375012")</f>
        <v>#NAME?</v>
      </c>
    </row>
    <row r="3375" spans="1:23" x14ac:dyDescent="0.2">
      <c r="A3375" s="36" t="s">
        <v>6869</v>
      </c>
      <c r="B3375" s="27" t="s">
        <v>6870</v>
      </c>
      <c r="C3375" s="23" t="e">
        <f ca="1">[1]!BexGetData("DP_1","003N8EMH8GTFRCSWKMPXRR8GU","GSON5137375021")</f>
        <v>#NAME?</v>
      </c>
      <c r="D3375" s="23" t="e">
        <f ca="1">[1]!BexGetData("DP_1","003N8EMH8GTFRCSWKMPXRRESE","GSON5137375021")</f>
        <v>#NAME?</v>
      </c>
      <c r="E3375" s="23" t="e">
        <f ca="1">[1]!BexGetData("DP_1","003N8EMH8GTFRCSWKMPXRRL3Y","GSON5137375021")</f>
        <v>#NAME?</v>
      </c>
      <c r="F3375" s="23" t="e">
        <f ca="1">[1]!BexGetData("DP_1","003N8EMH8GTFRCSWKMPXRRRFI","GSON5137375021")</f>
        <v>#NAME?</v>
      </c>
      <c r="G3375" s="23" t="e">
        <f ca="1">[1]!BexGetData("DP_1","003N8EMH8GTFRCSWKMPXRRXR2","GSON5137375021")</f>
        <v>#NAME?</v>
      </c>
      <c r="H3375" s="23" t="e">
        <f ca="1">[1]!BexGetData("DP_1","003N8EMH8GTFRCSWKMPXRS42M","GSON5137375021")</f>
        <v>#NAME?</v>
      </c>
      <c r="I3375" s="23" t="e">
        <f ca="1">[1]!BexGetData("DP_1","003N8EMH8GTFRCSWKMPXRSAE6","GSON5137375021")</f>
        <v>#NAME?</v>
      </c>
      <c r="J3375" s="24" t="e">
        <f ca="1">[1]!BexGetData("DP_1","003N8EMH8GTFRCSWKMPXRSGPQ","GSON5137375021")</f>
        <v>#NAME?</v>
      </c>
      <c r="K3375" s="23" t="e">
        <f ca="1">[1]!BexGetData("DP_1","003N8EMH8GTFRIVNUPY288VJH","GSON5137375021")</f>
        <v>#NAME?</v>
      </c>
      <c r="L3375" s="23" t="e">
        <f ca="1">[1]!BexGetData("DP_1","003N8EMH8GTFRIVNUPY2891V1","GSON5137375021")</f>
        <v>#NAME?</v>
      </c>
      <c r="M3375" s="28" t="e">
        <f ca="1">[1]!BexGetData("DP_1","003N8EMH8GTFRIVOG7KG9IQXA","GSON5137375021")</f>
        <v>#NAME?</v>
      </c>
      <c r="N3375" s="23" t="e">
        <f ca="1">[1]!BexGetData("DP_1","003N8EMH8GTFRIVOG7KG9IX8U","GSON5137375021")</f>
        <v>#NAME?</v>
      </c>
      <c r="O3375" s="28" t="e">
        <f ca="1">[1]!BexGetData("DP_1","003N8EMH8GTFRIVOG7KG9J3KE","GSON5137375021")</f>
        <v>#NAME?</v>
      </c>
      <c r="P3375" s="23" t="e">
        <f ca="1">[1]!BexGetData("DP_1","003N8EMH8GTFRIVOG7KG9J9VY","GSON5137375021")</f>
        <v>#NAME?</v>
      </c>
      <c r="Q3375" s="24" t="e">
        <f ca="1">[1]!BexGetData("DP_1","00O2TNJGODT0G5Z4TTKYMM5MT","GSON5137375021")</f>
        <v>#NAME?</v>
      </c>
      <c r="R3375" s="23" t="e">
        <f ca="1">[1]!BexGetData("DP_1","00O2TNJGODT0G5Z4TTKYMMBYD","GSON5137375021")</f>
        <v>#NAME?</v>
      </c>
      <c r="S3375" s="23" t="e">
        <f ca="1">[1]!BexGetData("DP_1","00O2TNJGODT0G5Z4TTKYMMI9X","GSON5137375021")</f>
        <v>#NAME?</v>
      </c>
      <c r="T3375" s="28" t="e">
        <f ca="1">[1]!BexGetData("DP_1","00O2TNJGODT0G5Z4TTKYMMOLH","GSON5137375021")</f>
        <v>#NAME?</v>
      </c>
      <c r="U3375" s="23" t="e">
        <f ca="1">[1]!BexGetData("DP_1","00O2TNJGODT0G5Z4TTKYMMUX1","GSON5137375021")</f>
        <v>#NAME?</v>
      </c>
      <c r="V3375" s="28" t="e">
        <f ca="1">[1]!BexGetData("DP_1","00O2TNJGODT0G5Z4TTKYMN18L","GSON5137375021")</f>
        <v>#NAME?</v>
      </c>
      <c r="W3375" s="23" t="e">
        <f ca="1">[1]!BexGetData("DP_1","00O2TNJGODT0G5Z4TTKYMN7K5","GSON5137375021")</f>
        <v>#NAME?</v>
      </c>
    </row>
    <row r="3376" spans="1:23" x14ac:dyDescent="0.2">
      <c r="A3376" s="36" t="s">
        <v>6871</v>
      </c>
      <c r="B3376" s="27" t="s">
        <v>6872</v>
      </c>
      <c r="C3376" s="23" t="e">
        <f ca="1">[1]!BexGetData("DP_1","003N8EMH8GTFRCSWKMPXRR8GU","GSON5137375022")</f>
        <v>#NAME?</v>
      </c>
      <c r="D3376" s="23" t="e">
        <f ca="1">[1]!BexGetData("DP_1","003N8EMH8GTFRCSWKMPXRRESE","GSON5137375022")</f>
        <v>#NAME?</v>
      </c>
      <c r="E3376" s="23" t="e">
        <f ca="1">[1]!BexGetData("DP_1","003N8EMH8GTFRCSWKMPXRRL3Y","GSON5137375022")</f>
        <v>#NAME?</v>
      </c>
      <c r="F3376" s="23" t="e">
        <f ca="1">[1]!BexGetData("DP_1","003N8EMH8GTFRCSWKMPXRRRFI","GSON5137375022")</f>
        <v>#NAME?</v>
      </c>
      <c r="G3376" s="23" t="e">
        <f ca="1">[1]!BexGetData("DP_1","003N8EMH8GTFRCSWKMPXRRXR2","GSON5137375022")</f>
        <v>#NAME?</v>
      </c>
      <c r="H3376" s="23" t="e">
        <f ca="1">[1]!BexGetData("DP_1","003N8EMH8GTFRCSWKMPXRS42M","GSON5137375022")</f>
        <v>#NAME?</v>
      </c>
      <c r="I3376" s="23" t="e">
        <f ca="1">[1]!BexGetData("DP_1","003N8EMH8GTFRCSWKMPXRSAE6","GSON5137375022")</f>
        <v>#NAME?</v>
      </c>
      <c r="J3376" s="24" t="e">
        <f ca="1">[1]!BexGetData("DP_1","003N8EMH8GTFRCSWKMPXRSGPQ","GSON5137375022")</f>
        <v>#NAME?</v>
      </c>
      <c r="K3376" s="23" t="e">
        <f ca="1">[1]!BexGetData("DP_1","003N8EMH8GTFRIVNUPY288VJH","GSON5137375022")</f>
        <v>#NAME?</v>
      </c>
      <c r="L3376" s="23" t="e">
        <f ca="1">[1]!BexGetData("DP_1","003N8EMH8GTFRIVNUPY2891V1","GSON5137375022")</f>
        <v>#NAME?</v>
      </c>
      <c r="M3376" s="28" t="e">
        <f ca="1">[1]!BexGetData("DP_1","003N8EMH8GTFRIVOG7KG9IQXA","GSON5137375022")</f>
        <v>#NAME?</v>
      </c>
      <c r="N3376" s="23" t="e">
        <f ca="1">[1]!BexGetData("DP_1","003N8EMH8GTFRIVOG7KG9IX8U","GSON5137375022")</f>
        <v>#NAME?</v>
      </c>
      <c r="O3376" s="28" t="e">
        <f ca="1">[1]!BexGetData("DP_1","003N8EMH8GTFRIVOG7KG9J3KE","GSON5137375022")</f>
        <v>#NAME?</v>
      </c>
      <c r="P3376" s="23" t="e">
        <f ca="1">[1]!BexGetData("DP_1","003N8EMH8GTFRIVOG7KG9J9VY","GSON5137375022")</f>
        <v>#NAME?</v>
      </c>
      <c r="Q3376" s="24" t="e">
        <f ca="1">[1]!BexGetData("DP_1","00O2TNJGODT0G5Z4TTKYMM5MT","GSON5137375022")</f>
        <v>#NAME?</v>
      </c>
      <c r="R3376" s="23" t="e">
        <f ca="1">[1]!BexGetData("DP_1","00O2TNJGODT0G5Z4TTKYMMBYD","GSON5137375022")</f>
        <v>#NAME?</v>
      </c>
      <c r="S3376" s="23" t="e">
        <f ca="1">[1]!BexGetData("DP_1","00O2TNJGODT0G5Z4TTKYMMI9X","GSON5137375022")</f>
        <v>#NAME?</v>
      </c>
      <c r="T3376" s="28" t="e">
        <f ca="1">[1]!BexGetData("DP_1","00O2TNJGODT0G5Z4TTKYMMOLH","GSON5137375022")</f>
        <v>#NAME?</v>
      </c>
      <c r="U3376" s="23" t="e">
        <f ca="1">[1]!BexGetData("DP_1","00O2TNJGODT0G5Z4TTKYMMUX1","GSON5137375022")</f>
        <v>#NAME?</v>
      </c>
      <c r="V3376" s="28" t="e">
        <f ca="1">[1]!BexGetData("DP_1","00O2TNJGODT0G5Z4TTKYMN18L","GSON5137375022")</f>
        <v>#NAME?</v>
      </c>
      <c r="W3376" s="23" t="e">
        <f ca="1">[1]!BexGetData("DP_1","00O2TNJGODT0G5Z4TTKYMN7K5","GSON5137375022")</f>
        <v>#NAME?</v>
      </c>
    </row>
    <row r="3377" spans="1:23" x14ac:dyDescent="0.2">
      <c r="A3377" s="36" t="s">
        <v>6873</v>
      </c>
      <c r="B3377" s="27" t="s">
        <v>6874</v>
      </c>
      <c r="C3377" s="23" t="e">
        <f ca="1">[1]!BexGetData("DP_1","003N8EMH8GTFRCSWKMPXRR8GU","GSON5137376011")</f>
        <v>#NAME?</v>
      </c>
      <c r="D3377" s="23" t="e">
        <f ca="1">[1]!BexGetData("DP_1","003N8EMH8GTFRCSWKMPXRRESE","GSON5137376011")</f>
        <v>#NAME?</v>
      </c>
      <c r="E3377" s="23" t="e">
        <f ca="1">[1]!BexGetData("DP_1","003N8EMH8GTFRCSWKMPXRRL3Y","GSON5137376011")</f>
        <v>#NAME?</v>
      </c>
      <c r="F3377" s="23" t="e">
        <f ca="1">[1]!BexGetData("DP_1","003N8EMH8GTFRCSWKMPXRRRFI","GSON5137376011")</f>
        <v>#NAME?</v>
      </c>
      <c r="G3377" s="23" t="e">
        <f ca="1">[1]!BexGetData("DP_1","003N8EMH8GTFRCSWKMPXRRXR2","GSON5137376011")</f>
        <v>#NAME?</v>
      </c>
      <c r="H3377" s="28" t="e">
        <f ca="1">[1]!BexGetData("DP_1","003N8EMH8GTFRCSWKMPXRS42M","GSON5137376011")</f>
        <v>#NAME?</v>
      </c>
      <c r="I3377" s="23" t="e">
        <f ca="1">[1]!BexGetData("DP_1","003N8EMH8GTFRCSWKMPXRSAE6","GSON5137376011")</f>
        <v>#NAME?</v>
      </c>
      <c r="J3377" s="24" t="e">
        <f ca="1">[1]!BexGetData("DP_1","003N8EMH8GTFRCSWKMPXRSGPQ","GSON5137376011")</f>
        <v>#NAME?</v>
      </c>
      <c r="K3377" s="23" t="e">
        <f ca="1">[1]!BexGetData("DP_1","003N8EMH8GTFRIVNUPY288VJH","GSON5137376011")</f>
        <v>#NAME?</v>
      </c>
      <c r="L3377" s="23" t="e">
        <f ca="1">[1]!BexGetData("DP_1","003N8EMH8GTFRIVNUPY2891V1","GSON5137376011")</f>
        <v>#NAME?</v>
      </c>
      <c r="M3377" s="28" t="e">
        <f ca="1">[1]!BexGetData("DP_1","003N8EMH8GTFRIVOG7KG9IQXA","GSON5137376011")</f>
        <v>#NAME?</v>
      </c>
      <c r="N3377" s="23" t="e">
        <f ca="1">[1]!BexGetData("DP_1","003N8EMH8GTFRIVOG7KG9IX8U","GSON5137376011")</f>
        <v>#NAME?</v>
      </c>
      <c r="O3377" s="28" t="e">
        <f ca="1">[1]!BexGetData("DP_1","003N8EMH8GTFRIVOG7KG9J3KE","GSON5137376011")</f>
        <v>#NAME?</v>
      </c>
      <c r="P3377" s="23" t="e">
        <f ca="1">[1]!BexGetData("DP_1","003N8EMH8GTFRIVOG7KG9J9VY","GSON5137376011")</f>
        <v>#NAME?</v>
      </c>
      <c r="Q3377" s="24" t="e">
        <f ca="1">[1]!BexGetData("DP_1","00O2TNJGODT0G5Z4TTKYMM5MT","GSON5137376011")</f>
        <v>#NAME?</v>
      </c>
      <c r="R3377" s="23" t="e">
        <f ca="1">[1]!BexGetData("DP_1","00O2TNJGODT0G5Z4TTKYMMBYD","GSON5137376011")</f>
        <v>#NAME?</v>
      </c>
      <c r="S3377" s="23" t="e">
        <f ca="1">[1]!BexGetData("DP_1","00O2TNJGODT0G5Z4TTKYMMI9X","GSON5137376011")</f>
        <v>#NAME?</v>
      </c>
      <c r="T3377" s="28" t="e">
        <f ca="1">[1]!BexGetData("DP_1","00O2TNJGODT0G5Z4TTKYMMOLH","GSON5137376011")</f>
        <v>#NAME?</v>
      </c>
      <c r="U3377" s="23" t="e">
        <f ca="1">[1]!BexGetData("DP_1","00O2TNJGODT0G5Z4TTKYMMUX1","GSON5137376011")</f>
        <v>#NAME?</v>
      </c>
      <c r="V3377" s="28" t="e">
        <f ca="1">[1]!BexGetData("DP_1","00O2TNJGODT0G5Z4TTKYMN18L","GSON5137376011")</f>
        <v>#NAME?</v>
      </c>
      <c r="W3377" s="23" t="e">
        <f ca="1">[1]!BexGetData("DP_1","00O2TNJGODT0G5Z4TTKYMN7K5","GSON5137376011")</f>
        <v>#NAME?</v>
      </c>
    </row>
    <row r="3378" spans="1:23" x14ac:dyDescent="0.2">
      <c r="A3378" s="36" t="s">
        <v>6875</v>
      </c>
      <c r="B3378" s="27" t="s">
        <v>6876</v>
      </c>
      <c r="C3378" s="23" t="e">
        <f ca="1">[1]!BexGetData("DP_1","003N8EMH8GTFRCSWKMPXRR8GU","GSON5137376021")</f>
        <v>#NAME?</v>
      </c>
      <c r="D3378" s="28" t="e">
        <f ca="1">[1]!BexGetData("DP_1","003N8EMH8GTFRCSWKMPXRRESE","GSON5137376021")</f>
        <v>#NAME?</v>
      </c>
      <c r="E3378" s="23" t="e">
        <f ca="1">[1]!BexGetData("DP_1","003N8EMH8GTFRCSWKMPXRRL3Y","GSON5137376021")</f>
        <v>#NAME?</v>
      </c>
      <c r="F3378" s="24" t="e">
        <f ca="1">[1]!BexGetData("DP_1","003N8EMH8GTFRCSWKMPXRRRFI","GSON5137376021")</f>
        <v>#NAME?</v>
      </c>
      <c r="G3378" s="24" t="e">
        <f ca="1">[1]!BexGetData("DP_1","003N8EMH8GTFRCSWKMPXRRXR2","GSON5137376021")</f>
        <v>#NAME?</v>
      </c>
      <c r="H3378" s="24" t="e">
        <f ca="1">[1]!BexGetData("DP_1","003N8EMH8GTFRCSWKMPXRS42M","GSON5137376021")</f>
        <v>#NAME?</v>
      </c>
      <c r="I3378" s="24" t="e">
        <f ca="1">[1]!BexGetData("DP_1","003N8EMH8GTFRCSWKMPXRSAE6","GSON5137376021")</f>
        <v>#NAME?</v>
      </c>
      <c r="J3378" s="24" t="e">
        <f ca="1">[1]!BexGetData("DP_1","003N8EMH8GTFRCSWKMPXRSGPQ","GSON5137376021")</f>
        <v>#NAME?</v>
      </c>
      <c r="K3378" s="23" t="e">
        <f ca="1">[1]!BexGetData("DP_1","003N8EMH8GTFRIVNUPY288VJH","GSON5137376021")</f>
        <v>#NAME?</v>
      </c>
      <c r="L3378" s="23" t="e">
        <f ca="1">[1]!BexGetData("DP_1","003N8EMH8GTFRIVNUPY2891V1","GSON5137376021")</f>
        <v>#NAME?</v>
      </c>
      <c r="M3378" s="28" t="e">
        <f ca="1">[1]!BexGetData("DP_1","003N8EMH8GTFRIVOG7KG9IQXA","GSON5137376021")</f>
        <v>#NAME?</v>
      </c>
      <c r="N3378" s="23" t="e">
        <f ca="1">[1]!BexGetData("DP_1","003N8EMH8GTFRIVOG7KG9IX8U","GSON5137376021")</f>
        <v>#NAME?</v>
      </c>
      <c r="O3378" s="28" t="e">
        <f ca="1">[1]!BexGetData("DP_1","003N8EMH8GTFRIVOG7KG9J3KE","GSON5137376021")</f>
        <v>#NAME?</v>
      </c>
      <c r="P3378" s="23" t="e">
        <f ca="1">[1]!BexGetData("DP_1","003N8EMH8GTFRIVOG7KG9J9VY","GSON5137376021")</f>
        <v>#NAME?</v>
      </c>
      <c r="Q3378" s="24" t="e">
        <f ca="1">[1]!BexGetData("DP_1","00O2TNJGODT0G5Z4TTKYMM5MT","GSON5137376021")</f>
        <v>#NAME?</v>
      </c>
      <c r="R3378" s="24" t="e">
        <f ca="1">[1]!BexGetData("DP_1","00O2TNJGODT0G5Z4TTKYMMBYD","GSON5137376021")</f>
        <v>#NAME?</v>
      </c>
      <c r="S3378" s="24" t="e">
        <f ca="1">[1]!BexGetData("DP_1","00O2TNJGODT0G5Z4TTKYMMI9X","GSON5137376021")</f>
        <v>#NAME?</v>
      </c>
      <c r="T3378" s="24" t="e">
        <f ca="1">[1]!BexGetData("DP_1","00O2TNJGODT0G5Z4TTKYMMOLH","GSON5137376021")</f>
        <v>#NAME?</v>
      </c>
      <c r="U3378" s="24" t="e">
        <f ca="1">[1]!BexGetData("DP_1","00O2TNJGODT0G5Z4TTKYMMUX1","GSON5137376021")</f>
        <v>#NAME?</v>
      </c>
      <c r="V3378" s="24" t="e">
        <f ca="1">[1]!BexGetData("DP_1","00O2TNJGODT0G5Z4TTKYMN18L","GSON5137376021")</f>
        <v>#NAME?</v>
      </c>
      <c r="W3378" s="24" t="e">
        <f ca="1">[1]!BexGetData("DP_1","00O2TNJGODT0G5Z4TTKYMN7K5","GSON5137376021")</f>
        <v>#NAME?</v>
      </c>
    </row>
    <row r="3379" spans="1:23" x14ac:dyDescent="0.2">
      <c r="A3379" s="36" t="s">
        <v>6877</v>
      </c>
      <c r="B3379" s="27" t="s">
        <v>6878</v>
      </c>
      <c r="C3379" s="23" t="e">
        <f ca="1">[1]!BexGetData("DP_1","003N8EMH8GTFRCSWKMPXRR8GU","GSON5137377011")</f>
        <v>#NAME?</v>
      </c>
      <c r="D3379" s="23" t="e">
        <f ca="1">[1]!BexGetData("DP_1","003N8EMH8GTFRCSWKMPXRRESE","GSON5137377011")</f>
        <v>#NAME?</v>
      </c>
      <c r="E3379" s="23" t="e">
        <f ca="1">[1]!BexGetData("DP_1","003N8EMH8GTFRCSWKMPXRRL3Y","GSON5137377011")</f>
        <v>#NAME?</v>
      </c>
      <c r="F3379" s="24" t="e">
        <f ca="1">[1]!BexGetData("DP_1","003N8EMH8GTFRCSWKMPXRRRFI","GSON5137377011")</f>
        <v>#NAME?</v>
      </c>
      <c r="G3379" s="24" t="e">
        <f ca="1">[1]!BexGetData("DP_1","003N8EMH8GTFRCSWKMPXRRXR2","GSON5137377011")</f>
        <v>#NAME?</v>
      </c>
      <c r="H3379" s="24" t="e">
        <f ca="1">[1]!BexGetData("DP_1","003N8EMH8GTFRCSWKMPXRS42M","GSON5137377011")</f>
        <v>#NAME?</v>
      </c>
      <c r="I3379" s="24" t="e">
        <f ca="1">[1]!BexGetData("DP_1","003N8EMH8GTFRCSWKMPXRSAE6","GSON5137377011")</f>
        <v>#NAME?</v>
      </c>
      <c r="J3379" s="24" t="e">
        <f ca="1">[1]!BexGetData("DP_1","003N8EMH8GTFRCSWKMPXRSGPQ","GSON5137377011")</f>
        <v>#NAME?</v>
      </c>
      <c r="K3379" s="23" t="e">
        <f ca="1">[1]!BexGetData("DP_1","003N8EMH8GTFRIVNUPY288VJH","GSON5137377011")</f>
        <v>#NAME?</v>
      </c>
      <c r="L3379" s="23" t="e">
        <f ca="1">[1]!BexGetData("DP_1","003N8EMH8GTFRIVNUPY2891V1","GSON5137377011")</f>
        <v>#NAME?</v>
      </c>
      <c r="M3379" s="28" t="e">
        <f ca="1">[1]!BexGetData("DP_1","003N8EMH8GTFRIVOG7KG9IQXA","GSON5137377011")</f>
        <v>#NAME?</v>
      </c>
      <c r="N3379" s="23" t="e">
        <f ca="1">[1]!BexGetData("DP_1","003N8EMH8GTFRIVOG7KG9IX8U","GSON5137377011")</f>
        <v>#NAME?</v>
      </c>
      <c r="O3379" s="28" t="e">
        <f ca="1">[1]!BexGetData("DP_1","003N8EMH8GTFRIVOG7KG9J3KE","GSON5137377011")</f>
        <v>#NAME?</v>
      </c>
      <c r="P3379" s="23" t="e">
        <f ca="1">[1]!BexGetData("DP_1","003N8EMH8GTFRIVOG7KG9J9VY","GSON5137377011")</f>
        <v>#NAME?</v>
      </c>
      <c r="Q3379" s="24" t="e">
        <f ca="1">[1]!BexGetData("DP_1","00O2TNJGODT0G5Z4TTKYMM5MT","GSON5137377011")</f>
        <v>#NAME?</v>
      </c>
      <c r="R3379" s="24" t="e">
        <f ca="1">[1]!BexGetData("DP_1","00O2TNJGODT0G5Z4TTKYMMBYD","GSON5137377011")</f>
        <v>#NAME?</v>
      </c>
      <c r="S3379" s="24" t="e">
        <f ca="1">[1]!BexGetData("DP_1","00O2TNJGODT0G5Z4TTKYMMI9X","GSON5137377011")</f>
        <v>#NAME?</v>
      </c>
      <c r="T3379" s="24" t="e">
        <f ca="1">[1]!BexGetData("DP_1","00O2TNJGODT0G5Z4TTKYMMOLH","GSON5137377011")</f>
        <v>#NAME?</v>
      </c>
      <c r="U3379" s="24" t="e">
        <f ca="1">[1]!BexGetData("DP_1","00O2TNJGODT0G5Z4TTKYMMUX1","GSON5137377011")</f>
        <v>#NAME?</v>
      </c>
      <c r="V3379" s="24" t="e">
        <f ca="1">[1]!BexGetData("DP_1","00O2TNJGODT0G5Z4TTKYMN18L","GSON5137377011")</f>
        <v>#NAME?</v>
      </c>
      <c r="W3379" s="24" t="e">
        <f ca="1">[1]!BexGetData("DP_1","00O2TNJGODT0G5Z4TTKYMN7K5","GSON5137377011")</f>
        <v>#NAME?</v>
      </c>
    </row>
    <row r="3380" spans="1:23" x14ac:dyDescent="0.2">
      <c r="A3380" s="36" t="s">
        <v>6879</v>
      </c>
      <c r="B3380" s="27" t="s">
        <v>6880</v>
      </c>
      <c r="C3380" s="23" t="e">
        <f ca="1">[1]!BexGetData("DP_1","003N8EMH8GTFRCSWKMPXRR8GU","GSON5137379011")</f>
        <v>#NAME?</v>
      </c>
      <c r="D3380" s="23" t="e">
        <f ca="1">[1]!BexGetData("DP_1","003N8EMH8GTFRCSWKMPXRRESE","GSON5137379011")</f>
        <v>#NAME?</v>
      </c>
      <c r="E3380" s="23" t="e">
        <f ca="1">[1]!BexGetData("DP_1","003N8EMH8GTFRCSWKMPXRRL3Y","GSON5137379011")</f>
        <v>#NAME?</v>
      </c>
      <c r="F3380" s="23" t="e">
        <f ca="1">[1]!BexGetData("DP_1","003N8EMH8GTFRCSWKMPXRRRFI","GSON5137379011")</f>
        <v>#NAME?</v>
      </c>
      <c r="G3380" s="23" t="e">
        <f ca="1">[1]!BexGetData("DP_1","003N8EMH8GTFRCSWKMPXRRXR2","GSON5137379011")</f>
        <v>#NAME?</v>
      </c>
      <c r="H3380" s="23" t="e">
        <f ca="1">[1]!BexGetData("DP_1","003N8EMH8GTFRCSWKMPXRS42M","GSON5137379011")</f>
        <v>#NAME?</v>
      </c>
      <c r="I3380" s="23" t="e">
        <f ca="1">[1]!BexGetData("DP_1","003N8EMH8GTFRCSWKMPXRSAE6","GSON5137379011")</f>
        <v>#NAME?</v>
      </c>
      <c r="J3380" s="24" t="e">
        <f ca="1">[1]!BexGetData("DP_1","003N8EMH8GTFRCSWKMPXRSGPQ","GSON5137379011")</f>
        <v>#NAME?</v>
      </c>
      <c r="K3380" s="23" t="e">
        <f ca="1">[1]!BexGetData("DP_1","003N8EMH8GTFRIVNUPY288VJH","GSON5137379011")</f>
        <v>#NAME?</v>
      </c>
      <c r="L3380" s="23" t="e">
        <f ca="1">[1]!BexGetData("DP_1","003N8EMH8GTFRIVNUPY2891V1","GSON5137379011")</f>
        <v>#NAME?</v>
      </c>
      <c r="M3380" s="28" t="e">
        <f ca="1">[1]!BexGetData("DP_1","003N8EMH8GTFRIVOG7KG9IQXA","GSON5137379011")</f>
        <v>#NAME?</v>
      </c>
      <c r="N3380" s="23" t="e">
        <f ca="1">[1]!BexGetData("DP_1","003N8EMH8GTFRIVOG7KG9IX8U","GSON5137379011")</f>
        <v>#NAME?</v>
      </c>
      <c r="O3380" s="28" t="e">
        <f ca="1">[1]!BexGetData("DP_1","003N8EMH8GTFRIVOG7KG9J3KE","GSON5137379011")</f>
        <v>#NAME?</v>
      </c>
      <c r="P3380" s="23" t="e">
        <f ca="1">[1]!BexGetData("DP_1","003N8EMH8GTFRIVOG7KG9J9VY","GSON5137379011")</f>
        <v>#NAME?</v>
      </c>
      <c r="Q3380" s="24" t="e">
        <f ca="1">[1]!BexGetData("DP_1","00O2TNJGODT0G5Z4TTKYMM5MT","GSON5137379011")</f>
        <v>#NAME?</v>
      </c>
      <c r="R3380" s="23" t="e">
        <f ca="1">[1]!BexGetData("DP_1","00O2TNJGODT0G5Z4TTKYMMBYD","GSON5137379011")</f>
        <v>#NAME?</v>
      </c>
      <c r="S3380" s="23" t="e">
        <f ca="1">[1]!BexGetData("DP_1","00O2TNJGODT0G5Z4TTKYMMI9X","GSON5137379011")</f>
        <v>#NAME?</v>
      </c>
      <c r="T3380" s="28" t="e">
        <f ca="1">[1]!BexGetData("DP_1","00O2TNJGODT0G5Z4TTKYMMOLH","GSON5137379011")</f>
        <v>#NAME?</v>
      </c>
      <c r="U3380" s="23" t="e">
        <f ca="1">[1]!BexGetData("DP_1","00O2TNJGODT0G5Z4TTKYMMUX1","GSON5137379011")</f>
        <v>#NAME?</v>
      </c>
      <c r="V3380" s="28" t="e">
        <f ca="1">[1]!BexGetData("DP_1","00O2TNJGODT0G5Z4TTKYMN18L","GSON5137379011")</f>
        <v>#NAME?</v>
      </c>
      <c r="W3380" s="23" t="e">
        <f ca="1">[1]!BexGetData("DP_1","00O2TNJGODT0G5Z4TTKYMN7K5","GSON5137379011")</f>
        <v>#NAME?</v>
      </c>
    </row>
    <row r="3381" spans="1:23" x14ac:dyDescent="0.2">
      <c r="A3381" s="36" t="s">
        <v>6881</v>
      </c>
      <c r="B3381" s="27" t="s">
        <v>6882</v>
      </c>
      <c r="C3381" s="24" t="e">
        <f ca="1">[1]!BexGetData("DP_1","003N8EMH8GTFRCSWKMPXRR8GU","GSON5137379012")</f>
        <v>#NAME?</v>
      </c>
      <c r="D3381" s="24" t="e">
        <f ca="1">[1]!BexGetData("DP_1","003N8EMH8GTFRCSWKMPXRRESE","GSON5137379012")</f>
        <v>#NAME?</v>
      </c>
      <c r="E3381" s="24" t="e">
        <f ca="1">[1]!BexGetData("DP_1","003N8EMH8GTFRCSWKMPXRRL3Y","GSON5137379012")</f>
        <v>#NAME?</v>
      </c>
      <c r="F3381" s="23" t="e">
        <f ca="1">[1]!BexGetData("DP_1","003N8EMH8GTFRCSWKMPXRRRFI","GSON5137379012")</f>
        <v>#NAME?</v>
      </c>
      <c r="G3381" s="23" t="e">
        <f ca="1">[1]!BexGetData("DP_1","003N8EMH8GTFRCSWKMPXRRXR2","GSON5137379012")</f>
        <v>#NAME?</v>
      </c>
      <c r="H3381" s="28" t="e">
        <f ca="1">[1]!BexGetData("DP_1","003N8EMH8GTFRCSWKMPXRS42M","GSON5137379012")</f>
        <v>#NAME?</v>
      </c>
      <c r="I3381" s="23" t="e">
        <f ca="1">[1]!BexGetData("DP_1","003N8EMH8GTFRCSWKMPXRSAE6","GSON5137379012")</f>
        <v>#NAME?</v>
      </c>
      <c r="J3381" s="24" t="e">
        <f ca="1">[1]!BexGetData("DP_1","003N8EMH8GTFRCSWKMPXRSGPQ","GSON5137379012")</f>
        <v>#NAME?</v>
      </c>
      <c r="K3381" s="23" t="e">
        <f ca="1">[1]!BexGetData("DP_1","003N8EMH8GTFRIVNUPY288VJH","GSON5137379012")</f>
        <v>#NAME?</v>
      </c>
      <c r="L3381" s="23" t="e">
        <f ca="1">[1]!BexGetData("DP_1","003N8EMH8GTFRIVNUPY2891V1","GSON5137379012")</f>
        <v>#NAME?</v>
      </c>
      <c r="M3381" s="23" t="e">
        <f ca="1">[1]!BexGetData("DP_1","003N8EMH8GTFRIVOG7KG9IQXA","GSON5137379012")</f>
        <v>#NAME?</v>
      </c>
      <c r="N3381" s="28" t="e">
        <f ca="1">[1]!BexGetData("DP_1","003N8EMH8GTFRIVOG7KG9IX8U","GSON5137379012")</f>
        <v>#NAME?</v>
      </c>
      <c r="O3381" s="23" t="e">
        <f ca="1">[1]!BexGetData("DP_1","003N8EMH8GTFRIVOG7KG9J3KE","GSON5137379012")</f>
        <v>#NAME?</v>
      </c>
      <c r="P3381" s="28" t="e">
        <f ca="1">[1]!BexGetData("DP_1","003N8EMH8GTFRIVOG7KG9J9VY","GSON5137379012")</f>
        <v>#NAME?</v>
      </c>
      <c r="Q3381" s="24" t="e">
        <f ca="1">[1]!BexGetData("DP_1","00O2TNJGODT0G5Z4TTKYMM5MT","GSON5137379012")</f>
        <v>#NAME?</v>
      </c>
      <c r="R3381" s="23" t="e">
        <f ca="1">[1]!BexGetData("DP_1","00O2TNJGODT0G5Z4TTKYMMBYD","GSON5137379012")</f>
        <v>#NAME?</v>
      </c>
      <c r="S3381" s="23" t="e">
        <f ca="1">[1]!BexGetData("DP_1","00O2TNJGODT0G5Z4TTKYMMI9X","GSON5137379012")</f>
        <v>#NAME?</v>
      </c>
      <c r="T3381" s="28" t="e">
        <f ca="1">[1]!BexGetData("DP_1","00O2TNJGODT0G5Z4TTKYMMOLH","GSON5137379012")</f>
        <v>#NAME?</v>
      </c>
      <c r="U3381" s="23" t="e">
        <f ca="1">[1]!BexGetData("DP_1","00O2TNJGODT0G5Z4TTKYMMUX1","GSON5137379012")</f>
        <v>#NAME?</v>
      </c>
      <c r="V3381" s="28" t="e">
        <f ca="1">[1]!BexGetData("DP_1","00O2TNJGODT0G5Z4TTKYMN18L","GSON5137379012")</f>
        <v>#NAME?</v>
      </c>
      <c r="W3381" s="23" t="e">
        <f ca="1">[1]!BexGetData("DP_1","00O2TNJGODT0G5Z4TTKYMN7K5","GSON5137379012")</f>
        <v>#NAME?</v>
      </c>
    </row>
    <row r="3382" spans="1:23" x14ac:dyDescent="0.2">
      <c r="A3382" s="36" t="s">
        <v>6883</v>
      </c>
      <c r="B3382" s="27" t="s">
        <v>6884</v>
      </c>
      <c r="C3382" s="23" t="e">
        <f ca="1">[1]!BexGetData("DP_1","003N8EMH8GTFRCSWKMPXRR8GU","GSON5137379021")</f>
        <v>#NAME?</v>
      </c>
      <c r="D3382" s="28" t="e">
        <f ca="1">[1]!BexGetData("DP_1","003N8EMH8GTFRCSWKMPXRRESE","GSON5137379021")</f>
        <v>#NAME?</v>
      </c>
      <c r="E3382" s="23" t="e">
        <f ca="1">[1]!BexGetData("DP_1","003N8EMH8GTFRCSWKMPXRRL3Y","GSON5137379021")</f>
        <v>#NAME?</v>
      </c>
      <c r="F3382" s="24" t="e">
        <f ca="1">[1]!BexGetData("DP_1","003N8EMH8GTFRCSWKMPXRRRFI","GSON5137379021")</f>
        <v>#NAME?</v>
      </c>
      <c r="G3382" s="24" t="e">
        <f ca="1">[1]!BexGetData("DP_1","003N8EMH8GTFRCSWKMPXRRXR2","GSON5137379021")</f>
        <v>#NAME?</v>
      </c>
      <c r="H3382" s="24" t="e">
        <f ca="1">[1]!BexGetData("DP_1","003N8EMH8GTFRCSWKMPXRS42M","GSON5137379021")</f>
        <v>#NAME?</v>
      </c>
      <c r="I3382" s="24" t="e">
        <f ca="1">[1]!BexGetData("DP_1","003N8EMH8GTFRCSWKMPXRSAE6","GSON5137379021")</f>
        <v>#NAME?</v>
      </c>
      <c r="J3382" s="24" t="e">
        <f ca="1">[1]!BexGetData("DP_1","003N8EMH8GTFRCSWKMPXRSGPQ","GSON5137379021")</f>
        <v>#NAME?</v>
      </c>
      <c r="K3382" s="23" t="e">
        <f ca="1">[1]!BexGetData("DP_1","003N8EMH8GTFRIVNUPY288VJH","GSON5137379021")</f>
        <v>#NAME?</v>
      </c>
      <c r="L3382" s="23" t="e">
        <f ca="1">[1]!BexGetData("DP_1","003N8EMH8GTFRIVNUPY2891V1","GSON5137379021")</f>
        <v>#NAME?</v>
      </c>
      <c r="M3382" s="28" t="e">
        <f ca="1">[1]!BexGetData("DP_1","003N8EMH8GTFRIVOG7KG9IQXA","GSON5137379021")</f>
        <v>#NAME?</v>
      </c>
      <c r="N3382" s="23" t="e">
        <f ca="1">[1]!BexGetData("DP_1","003N8EMH8GTFRIVOG7KG9IX8U","GSON5137379021")</f>
        <v>#NAME?</v>
      </c>
      <c r="O3382" s="28" t="e">
        <f ca="1">[1]!BexGetData("DP_1","003N8EMH8GTFRIVOG7KG9J3KE","GSON5137379021")</f>
        <v>#NAME?</v>
      </c>
      <c r="P3382" s="23" t="e">
        <f ca="1">[1]!BexGetData("DP_1","003N8EMH8GTFRIVOG7KG9J9VY","GSON5137379021")</f>
        <v>#NAME?</v>
      </c>
      <c r="Q3382" s="24" t="e">
        <f ca="1">[1]!BexGetData("DP_1","00O2TNJGODT0G5Z4TTKYMM5MT","GSON5137379021")</f>
        <v>#NAME?</v>
      </c>
      <c r="R3382" s="24" t="e">
        <f ca="1">[1]!BexGetData("DP_1","00O2TNJGODT0G5Z4TTKYMMBYD","GSON5137379021")</f>
        <v>#NAME?</v>
      </c>
      <c r="S3382" s="24" t="e">
        <f ca="1">[1]!BexGetData("DP_1","00O2TNJGODT0G5Z4TTKYMMI9X","GSON5137379021")</f>
        <v>#NAME?</v>
      </c>
      <c r="T3382" s="24" t="e">
        <f ca="1">[1]!BexGetData("DP_1","00O2TNJGODT0G5Z4TTKYMMOLH","GSON5137379021")</f>
        <v>#NAME?</v>
      </c>
      <c r="U3382" s="24" t="e">
        <f ca="1">[1]!BexGetData("DP_1","00O2TNJGODT0G5Z4TTKYMMUX1","GSON5137379021")</f>
        <v>#NAME?</v>
      </c>
      <c r="V3382" s="24" t="e">
        <f ca="1">[1]!BexGetData("DP_1","00O2TNJGODT0G5Z4TTKYMN18L","GSON5137379021")</f>
        <v>#NAME?</v>
      </c>
      <c r="W3382" s="24" t="e">
        <f ca="1">[1]!BexGetData("DP_1","00O2TNJGODT0G5Z4TTKYMN7K5","GSON5137379021")</f>
        <v>#NAME?</v>
      </c>
    </row>
    <row r="3383" spans="1:23" x14ac:dyDescent="0.2">
      <c r="A3383" s="36" t="s">
        <v>6885</v>
      </c>
      <c r="B3383" s="27" t="s">
        <v>6886</v>
      </c>
      <c r="C3383" s="23" t="e">
        <f ca="1">[1]!BexGetData("DP_1","003N8EMH8GTFRCSWKMPXRR8GU","GSON5137379031")</f>
        <v>#NAME?</v>
      </c>
      <c r="D3383" s="23" t="e">
        <f ca="1">[1]!BexGetData("DP_1","003N8EMH8GTFRCSWKMPXRRESE","GSON5137379031")</f>
        <v>#NAME?</v>
      </c>
      <c r="E3383" s="23" t="e">
        <f ca="1">[1]!BexGetData("DP_1","003N8EMH8GTFRCSWKMPXRRL3Y","GSON5137379031")</f>
        <v>#NAME?</v>
      </c>
      <c r="F3383" s="23" t="e">
        <f ca="1">[1]!BexGetData("DP_1","003N8EMH8GTFRCSWKMPXRRRFI","GSON5137379031")</f>
        <v>#NAME?</v>
      </c>
      <c r="G3383" s="23" t="e">
        <f ca="1">[1]!BexGetData("DP_1","003N8EMH8GTFRCSWKMPXRRXR2","GSON5137379031")</f>
        <v>#NAME?</v>
      </c>
      <c r="H3383" s="23" t="e">
        <f ca="1">[1]!BexGetData("DP_1","003N8EMH8GTFRCSWKMPXRS42M","GSON5137379031")</f>
        <v>#NAME?</v>
      </c>
      <c r="I3383" s="23" t="e">
        <f ca="1">[1]!BexGetData("DP_1","003N8EMH8GTFRCSWKMPXRSAE6","GSON5137379031")</f>
        <v>#NAME?</v>
      </c>
      <c r="J3383" s="24" t="e">
        <f ca="1">[1]!BexGetData("DP_1","003N8EMH8GTFRCSWKMPXRSGPQ","GSON5137379031")</f>
        <v>#NAME?</v>
      </c>
      <c r="K3383" s="23" t="e">
        <f ca="1">[1]!BexGetData("DP_1","003N8EMH8GTFRIVNUPY288VJH","GSON5137379031")</f>
        <v>#NAME?</v>
      </c>
      <c r="L3383" s="23" t="e">
        <f ca="1">[1]!BexGetData("DP_1","003N8EMH8GTFRIVNUPY2891V1","GSON5137379031")</f>
        <v>#NAME?</v>
      </c>
      <c r="M3383" s="23" t="e">
        <f ca="1">[1]!BexGetData("DP_1","003N8EMH8GTFRIVOG7KG9IQXA","GSON5137379031")</f>
        <v>#NAME?</v>
      </c>
      <c r="N3383" s="28" t="e">
        <f ca="1">[1]!BexGetData("DP_1","003N8EMH8GTFRIVOG7KG9IX8U","GSON5137379031")</f>
        <v>#NAME?</v>
      </c>
      <c r="O3383" s="23" t="e">
        <f ca="1">[1]!BexGetData("DP_1","003N8EMH8GTFRIVOG7KG9J3KE","GSON5137379031")</f>
        <v>#NAME?</v>
      </c>
      <c r="P3383" s="28" t="e">
        <f ca="1">[1]!BexGetData("DP_1","003N8EMH8GTFRIVOG7KG9J9VY","GSON5137379031")</f>
        <v>#NAME?</v>
      </c>
      <c r="Q3383" s="24" t="e">
        <f ca="1">[1]!BexGetData("DP_1","00O2TNJGODT0G5Z4TTKYMM5MT","GSON5137379031")</f>
        <v>#NAME?</v>
      </c>
      <c r="R3383" s="23" t="e">
        <f ca="1">[1]!BexGetData("DP_1","00O2TNJGODT0G5Z4TTKYMMBYD","GSON5137379031")</f>
        <v>#NAME?</v>
      </c>
      <c r="S3383" s="23" t="e">
        <f ca="1">[1]!BexGetData("DP_1","00O2TNJGODT0G5Z4TTKYMMI9X","GSON5137379031")</f>
        <v>#NAME?</v>
      </c>
      <c r="T3383" s="28" t="e">
        <f ca="1">[1]!BexGetData("DP_1","00O2TNJGODT0G5Z4TTKYMMOLH","GSON5137379031")</f>
        <v>#NAME?</v>
      </c>
      <c r="U3383" s="23" t="e">
        <f ca="1">[1]!BexGetData("DP_1","00O2TNJGODT0G5Z4TTKYMMUX1","GSON5137379031")</f>
        <v>#NAME?</v>
      </c>
      <c r="V3383" s="28" t="e">
        <f ca="1">[1]!BexGetData("DP_1","00O2TNJGODT0G5Z4TTKYMN18L","GSON5137379031")</f>
        <v>#NAME?</v>
      </c>
      <c r="W3383" s="23" t="e">
        <f ca="1">[1]!BexGetData("DP_1","00O2TNJGODT0G5Z4TTKYMN7K5","GSON5137379031")</f>
        <v>#NAME?</v>
      </c>
    </row>
    <row r="3384" spans="1:23" x14ac:dyDescent="0.2">
      <c r="A3384" s="35" t="s">
        <v>6887</v>
      </c>
      <c r="B3384" s="27" t="s">
        <v>6888</v>
      </c>
      <c r="C3384" s="23" t="e">
        <f ca="1">[1]!BexGetData("DP_1","003N8EMH8GTFRCSWKMPXRR8GU","GSON5138")</f>
        <v>#NAME?</v>
      </c>
      <c r="D3384" s="23" t="e">
        <f ca="1">[1]!BexGetData("DP_1","003N8EMH8GTFRCSWKMPXRRESE","GSON5138")</f>
        <v>#NAME?</v>
      </c>
      <c r="E3384" s="23" t="e">
        <f ca="1">[1]!BexGetData("DP_1","003N8EMH8GTFRCSWKMPXRRL3Y","GSON5138")</f>
        <v>#NAME?</v>
      </c>
      <c r="F3384" s="23" t="e">
        <f ca="1">[1]!BexGetData("DP_1","003N8EMH8GTFRCSWKMPXRRRFI","GSON5138")</f>
        <v>#NAME?</v>
      </c>
      <c r="G3384" s="23" t="e">
        <f ca="1">[1]!BexGetData("DP_1","003N8EMH8GTFRCSWKMPXRRXR2","GSON5138")</f>
        <v>#NAME?</v>
      </c>
      <c r="H3384" s="23" t="e">
        <f ca="1">[1]!BexGetData("DP_1","003N8EMH8GTFRCSWKMPXRS42M","GSON5138")</f>
        <v>#NAME?</v>
      </c>
      <c r="I3384" s="23" t="e">
        <f ca="1">[1]!BexGetData("DP_1","003N8EMH8GTFRCSWKMPXRSAE6","GSON5138")</f>
        <v>#NAME?</v>
      </c>
      <c r="J3384" s="24" t="e">
        <f ca="1">[1]!BexGetData("DP_1","003N8EMH8GTFRCSWKMPXRSGPQ","GSON5138")</f>
        <v>#NAME?</v>
      </c>
      <c r="K3384" s="23" t="e">
        <f ca="1">[1]!BexGetData("DP_1","003N8EMH8GTFRIVNUPY288VJH","GSON5138")</f>
        <v>#NAME?</v>
      </c>
      <c r="L3384" s="23" t="e">
        <f ca="1">[1]!BexGetData("DP_1","003N8EMH8GTFRIVNUPY2891V1","GSON5138")</f>
        <v>#NAME?</v>
      </c>
      <c r="M3384" s="23" t="e">
        <f ca="1">[1]!BexGetData("DP_1","003N8EMH8GTFRIVOG7KG9IQXA","GSON5138")</f>
        <v>#NAME?</v>
      </c>
      <c r="N3384" s="28" t="e">
        <f ca="1">[1]!BexGetData("DP_1","003N8EMH8GTFRIVOG7KG9IX8U","GSON5138")</f>
        <v>#NAME?</v>
      </c>
      <c r="O3384" s="23" t="e">
        <f ca="1">[1]!BexGetData("DP_1","003N8EMH8GTFRIVOG7KG9J3KE","GSON5138")</f>
        <v>#NAME?</v>
      </c>
      <c r="P3384" s="28" t="e">
        <f ca="1">[1]!BexGetData("DP_1","003N8EMH8GTFRIVOG7KG9J9VY","GSON5138")</f>
        <v>#NAME?</v>
      </c>
      <c r="Q3384" s="24" t="e">
        <f ca="1">[1]!BexGetData("DP_1","00O2TNJGODT0G5Z4TTKYMM5MT","GSON5138")</f>
        <v>#NAME?</v>
      </c>
      <c r="R3384" s="23" t="e">
        <f ca="1">[1]!BexGetData("DP_1","00O2TNJGODT0G5Z4TTKYMMBYD","GSON5138")</f>
        <v>#NAME?</v>
      </c>
      <c r="S3384" s="23" t="e">
        <f ca="1">[1]!BexGetData("DP_1","00O2TNJGODT0G5Z4TTKYMMI9X","GSON5138")</f>
        <v>#NAME?</v>
      </c>
      <c r="T3384" s="28" t="e">
        <f ca="1">[1]!BexGetData("DP_1","00O2TNJGODT0G5Z4TTKYMMOLH","GSON5138")</f>
        <v>#NAME?</v>
      </c>
      <c r="U3384" s="23" t="e">
        <f ca="1">[1]!BexGetData("DP_1","00O2TNJGODT0G5Z4TTKYMMUX1","GSON5138")</f>
        <v>#NAME?</v>
      </c>
      <c r="V3384" s="28" t="e">
        <f ca="1">[1]!BexGetData("DP_1","00O2TNJGODT0G5Z4TTKYMN18L","GSON5138")</f>
        <v>#NAME?</v>
      </c>
      <c r="W3384" s="23" t="e">
        <f ca="1">[1]!BexGetData("DP_1","00O2TNJGODT0G5Z4TTKYMN7K5","GSON5138")</f>
        <v>#NAME?</v>
      </c>
    </row>
    <row r="3385" spans="1:23" x14ac:dyDescent="0.2">
      <c r="A3385" s="36" t="s">
        <v>6889</v>
      </c>
      <c r="B3385" s="27" t="s">
        <v>6890</v>
      </c>
      <c r="C3385" s="23" t="e">
        <f ca="1">[1]!BexGetData("DP_1","003N8EMH8GTFRCSWKMPXRR8GU","GSON5138381011")</f>
        <v>#NAME?</v>
      </c>
      <c r="D3385" s="23" t="e">
        <f ca="1">[1]!BexGetData("DP_1","003N8EMH8GTFRCSWKMPXRRESE","GSON5138381011")</f>
        <v>#NAME?</v>
      </c>
      <c r="E3385" s="23" t="e">
        <f ca="1">[1]!BexGetData("DP_1","003N8EMH8GTFRCSWKMPXRRL3Y","GSON5138381011")</f>
        <v>#NAME?</v>
      </c>
      <c r="F3385" s="23" t="e">
        <f ca="1">[1]!BexGetData("DP_1","003N8EMH8GTFRCSWKMPXRRRFI","GSON5138381011")</f>
        <v>#NAME?</v>
      </c>
      <c r="G3385" s="23" t="e">
        <f ca="1">[1]!BexGetData("DP_1","003N8EMH8GTFRCSWKMPXRRXR2","GSON5138381011")</f>
        <v>#NAME?</v>
      </c>
      <c r="H3385" s="23" t="e">
        <f ca="1">[1]!BexGetData("DP_1","003N8EMH8GTFRCSWKMPXRS42M","GSON5138381011")</f>
        <v>#NAME?</v>
      </c>
      <c r="I3385" s="23" t="e">
        <f ca="1">[1]!BexGetData("DP_1","003N8EMH8GTFRCSWKMPXRSAE6","GSON5138381011")</f>
        <v>#NAME?</v>
      </c>
      <c r="J3385" s="24" t="e">
        <f ca="1">[1]!BexGetData("DP_1","003N8EMH8GTFRCSWKMPXRSGPQ","GSON5138381011")</f>
        <v>#NAME?</v>
      </c>
      <c r="K3385" s="23" t="e">
        <f ca="1">[1]!BexGetData("DP_1","003N8EMH8GTFRIVNUPY288VJH","GSON5138381011")</f>
        <v>#NAME?</v>
      </c>
      <c r="L3385" s="23" t="e">
        <f ca="1">[1]!BexGetData("DP_1","003N8EMH8GTFRIVNUPY2891V1","GSON5138381011")</f>
        <v>#NAME?</v>
      </c>
      <c r="M3385" s="23" t="e">
        <f ca="1">[1]!BexGetData("DP_1","003N8EMH8GTFRIVOG7KG9IQXA","GSON5138381011")</f>
        <v>#NAME?</v>
      </c>
      <c r="N3385" s="28" t="e">
        <f ca="1">[1]!BexGetData("DP_1","003N8EMH8GTFRIVOG7KG9IX8U","GSON5138381011")</f>
        <v>#NAME?</v>
      </c>
      <c r="O3385" s="23" t="e">
        <f ca="1">[1]!BexGetData("DP_1","003N8EMH8GTFRIVOG7KG9J3KE","GSON5138381011")</f>
        <v>#NAME?</v>
      </c>
      <c r="P3385" s="28" t="e">
        <f ca="1">[1]!BexGetData("DP_1","003N8EMH8GTFRIVOG7KG9J9VY","GSON5138381011")</f>
        <v>#NAME?</v>
      </c>
      <c r="Q3385" s="24" t="e">
        <f ca="1">[1]!BexGetData("DP_1","00O2TNJGODT0G5Z4TTKYMM5MT","GSON5138381011")</f>
        <v>#NAME?</v>
      </c>
      <c r="R3385" s="23" t="e">
        <f ca="1">[1]!BexGetData("DP_1","00O2TNJGODT0G5Z4TTKYMMBYD","GSON5138381011")</f>
        <v>#NAME?</v>
      </c>
      <c r="S3385" s="23" t="e">
        <f ca="1">[1]!BexGetData("DP_1","00O2TNJGODT0G5Z4TTKYMMI9X","GSON5138381011")</f>
        <v>#NAME?</v>
      </c>
      <c r="T3385" s="28" t="e">
        <f ca="1">[1]!BexGetData("DP_1","00O2TNJGODT0G5Z4TTKYMMOLH","GSON5138381011")</f>
        <v>#NAME?</v>
      </c>
      <c r="U3385" s="23" t="e">
        <f ca="1">[1]!BexGetData("DP_1","00O2TNJGODT0G5Z4TTKYMMUX1","GSON5138381011")</f>
        <v>#NAME?</v>
      </c>
      <c r="V3385" s="28" t="e">
        <f ca="1">[1]!BexGetData("DP_1","00O2TNJGODT0G5Z4TTKYMN18L","GSON5138381011")</f>
        <v>#NAME?</v>
      </c>
      <c r="W3385" s="23" t="e">
        <f ca="1">[1]!BexGetData("DP_1","00O2TNJGODT0G5Z4TTKYMN7K5","GSON5138381011")</f>
        <v>#NAME?</v>
      </c>
    </row>
    <row r="3386" spans="1:23" x14ac:dyDescent="0.2">
      <c r="A3386" s="36" t="s">
        <v>6891</v>
      </c>
      <c r="B3386" s="27" t="s">
        <v>6892</v>
      </c>
      <c r="C3386" s="23" t="e">
        <f ca="1">[1]!BexGetData("DP_1","003N8EMH8GTFRCSWKMPXRR8GU","GSON5138382011")</f>
        <v>#NAME?</v>
      </c>
      <c r="D3386" s="23" t="e">
        <f ca="1">[1]!BexGetData("DP_1","003N8EMH8GTFRCSWKMPXRRESE","GSON5138382011")</f>
        <v>#NAME?</v>
      </c>
      <c r="E3386" s="23" t="e">
        <f ca="1">[1]!BexGetData("DP_1","003N8EMH8GTFRCSWKMPXRRL3Y","GSON5138382011")</f>
        <v>#NAME?</v>
      </c>
      <c r="F3386" s="23" t="e">
        <f ca="1">[1]!BexGetData("DP_1","003N8EMH8GTFRCSWKMPXRRRFI","GSON5138382011")</f>
        <v>#NAME?</v>
      </c>
      <c r="G3386" s="23" t="e">
        <f ca="1">[1]!BexGetData("DP_1","003N8EMH8GTFRCSWKMPXRRXR2","GSON5138382011")</f>
        <v>#NAME?</v>
      </c>
      <c r="H3386" s="23" t="e">
        <f ca="1">[1]!BexGetData("DP_1","003N8EMH8GTFRCSWKMPXRS42M","GSON5138382011")</f>
        <v>#NAME?</v>
      </c>
      <c r="I3386" s="23" t="e">
        <f ca="1">[1]!BexGetData("DP_1","003N8EMH8GTFRCSWKMPXRSAE6","GSON5138382011")</f>
        <v>#NAME?</v>
      </c>
      <c r="J3386" s="24" t="e">
        <f ca="1">[1]!BexGetData("DP_1","003N8EMH8GTFRCSWKMPXRSGPQ","GSON5138382011")</f>
        <v>#NAME?</v>
      </c>
      <c r="K3386" s="23" t="e">
        <f ca="1">[1]!BexGetData("DP_1","003N8EMH8GTFRIVNUPY288VJH","GSON5138382011")</f>
        <v>#NAME?</v>
      </c>
      <c r="L3386" s="23" t="e">
        <f ca="1">[1]!BexGetData("DP_1","003N8EMH8GTFRIVNUPY2891V1","GSON5138382011")</f>
        <v>#NAME?</v>
      </c>
      <c r="M3386" s="23" t="e">
        <f ca="1">[1]!BexGetData("DP_1","003N8EMH8GTFRIVOG7KG9IQXA","GSON5138382011")</f>
        <v>#NAME?</v>
      </c>
      <c r="N3386" s="28" t="e">
        <f ca="1">[1]!BexGetData("DP_1","003N8EMH8GTFRIVOG7KG9IX8U","GSON5138382011")</f>
        <v>#NAME?</v>
      </c>
      <c r="O3386" s="23" t="e">
        <f ca="1">[1]!BexGetData("DP_1","003N8EMH8GTFRIVOG7KG9J3KE","GSON5138382011")</f>
        <v>#NAME?</v>
      </c>
      <c r="P3386" s="28" t="e">
        <f ca="1">[1]!BexGetData("DP_1","003N8EMH8GTFRIVOG7KG9J9VY","GSON5138382011")</f>
        <v>#NAME?</v>
      </c>
      <c r="Q3386" s="24" t="e">
        <f ca="1">[1]!BexGetData("DP_1","00O2TNJGODT0G5Z4TTKYMM5MT","GSON5138382011")</f>
        <v>#NAME?</v>
      </c>
      <c r="R3386" s="23" t="e">
        <f ca="1">[1]!BexGetData("DP_1","00O2TNJGODT0G5Z4TTKYMMBYD","GSON5138382011")</f>
        <v>#NAME?</v>
      </c>
      <c r="S3386" s="23" t="e">
        <f ca="1">[1]!BexGetData("DP_1","00O2TNJGODT0G5Z4TTKYMMI9X","GSON5138382011")</f>
        <v>#NAME?</v>
      </c>
      <c r="T3386" s="28" t="e">
        <f ca="1">[1]!BexGetData("DP_1","00O2TNJGODT0G5Z4TTKYMMOLH","GSON5138382011")</f>
        <v>#NAME?</v>
      </c>
      <c r="U3386" s="23" t="e">
        <f ca="1">[1]!BexGetData("DP_1","00O2TNJGODT0G5Z4TTKYMMUX1","GSON5138382011")</f>
        <v>#NAME?</v>
      </c>
      <c r="V3386" s="28" t="e">
        <f ca="1">[1]!BexGetData("DP_1","00O2TNJGODT0G5Z4TTKYMN18L","GSON5138382011")</f>
        <v>#NAME?</v>
      </c>
      <c r="W3386" s="23" t="e">
        <f ca="1">[1]!BexGetData("DP_1","00O2TNJGODT0G5Z4TTKYMN7K5","GSON5138382011")</f>
        <v>#NAME?</v>
      </c>
    </row>
    <row r="3387" spans="1:23" x14ac:dyDescent="0.2">
      <c r="A3387" s="36" t="s">
        <v>6893</v>
      </c>
      <c r="B3387" s="27" t="s">
        <v>6894</v>
      </c>
      <c r="C3387" s="23" t="e">
        <f ca="1">[1]!BexGetData("DP_1","003N8EMH8GTFRCSWKMPXRR8GU","GSON5138383011")</f>
        <v>#NAME?</v>
      </c>
      <c r="D3387" s="23" t="e">
        <f ca="1">[1]!BexGetData("DP_1","003N8EMH8GTFRCSWKMPXRRESE","GSON5138383011")</f>
        <v>#NAME?</v>
      </c>
      <c r="E3387" s="23" t="e">
        <f ca="1">[1]!BexGetData("DP_1","003N8EMH8GTFRCSWKMPXRRL3Y","GSON5138383011")</f>
        <v>#NAME?</v>
      </c>
      <c r="F3387" s="23" t="e">
        <f ca="1">[1]!BexGetData("DP_1","003N8EMH8GTFRCSWKMPXRRRFI","GSON5138383011")</f>
        <v>#NAME?</v>
      </c>
      <c r="G3387" s="23" t="e">
        <f ca="1">[1]!BexGetData("DP_1","003N8EMH8GTFRCSWKMPXRRXR2","GSON5138383011")</f>
        <v>#NAME?</v>
      </c>
      <c r="H3387" s="23" t="e">
        <f ca="1">[1]!BexGetData("DP_1","003N8EMH8GTFRCSWKMPXRS42M","GSON5138383011")</f>
        <v>#NAME?</v>
      </c>
      <c r="I3387" s="23" t="e">
        <f ca="1">[1]!BexGetData("DP_1","003N8EMH8GTFRCSWKMPXRSAE6","GSON5138383011")</f>
        <v>#NAME?</v>
      </c>
      <c r="J3387" s="24" t="e">
        <f ca="1">[1]!BexGetData("DP_1","003N8EMH8GTFRCSWKMPXRSGPQ","GSON5138383011")</f>
        <v>#NAME?</v>
      </c>
      <c r="K3387" s="23" t="e">
        <f ca="1">[1]!BexGetData("DP_1","003N8EMH8GTFRIVNUPY288VJH","GSON5138383011")</f>
        <v>#NAME?</v>
      </c>
      <c r="L3387" s="23" t="e">
        <f ca="1">[1]!BexGetData("DP_1","003N8EMH8GTFRIVNUPY2891V1","GSON5138383011")</f>
        <v>#NAME?</v>
      </c>
      <c r="M3387" s="28" t="e">
        <f ca="1">[1]!BexGetData("DP_1","003N8EMH8GTFRIVOG7KG9IQXA","GSON5138383011")</f>
        <v>#NAME?</v>
      </c>
      <c r="N3387" s="23" t="e">
        <f ca="1">[1]!BexGetData("DP_1","003N8EMH8GTFRIVOG7KG9IX8U","GSON5138383011")</f>
        <v>#NAME?</v>
      </c>
      <c r="O3387" s="28" t="e">
        <f ca="1">[1]!BexGetData("DP_1","003N8EMH8GTFRIVOG7KG9J3KE","GSON5138383011")</f>
        <v>#NAME?</v>
      </c>
      <c r="P3387" s="23" t="e">
        <f ca="1">[1]!BexGetData("DP_1","003N8EMH8GTFRIVOG7KG9J9VY","GSON5138383011")</f>
        <v>#NAME?</v>
      </c>
      <c r="Q3387" s="24" t="e">
        <f ca="1">[1]!BexGetData("DP_1","00O2TNJGODT0G5Z4TTKYMM5MT","GSON5138383011")</f>
        <v>#NAME?</v>
      </c>
      <c r="R3387" s="23" t="e">
        <f ca="1">[1]!BexGetData("DP_1","00O2TNJGODT0G5Z4TTKYMMBYD","GSON5138383011")</f>
        <v>#NAME?</v>
      </c>
      <c r="S3387" s="23" t="e">
        <f ca="1">[1]!BexGetData("DP_1","00O2TNJGODT0G5Z4TTKYMMI9X","GSON5138383011")</f>
        <v>#NAME?</v>
      </c>
      <c r="T3387" s="28" t="e">
        <f ca="1">[1]!BexGetData("DP_1","00O2TNJGODT0G5Z4TTKYMMOLH","GSON5138383011")</f>
        <v>#NAME?</v>
      </c>
      <c r="U3387" s="23" t="e">
        <f ca="1">[1]!BexGetData("DP_1","00O2TNJGODT0G5Z4TTKYMMUX1","GSON5138383011")</f>
        <v>#NAME?</v>
      </c>
      <c r="V3387" s="28" t="e">
        <f ca="1">[1]!BexGetData("DP_1","00O2TNJGODT0G5Z4TTKYMN18L","GSON5138383011")</f>
        <v>#NAME?</v>
      </c>
      <c r="W3387" s="23" t="e">
        <f ca="1">[1]!BexGetData("DP_1","00O2TNJGODT0G5Z4TTKYMN7K5","GSON5138383011")</f>
        <v>#NAME?</v>
      </c>
    </row>
    <row r="3388" spans="1:23" x14ac:dyDescent="0.2">
      <c r="A3388" s="36" t="s">
        <v>6895</v>
      </c>
      <c r="B3388" s="27" t="s">
        <v>6896</v>
      </c>
      <c r="C3388" s="23" t="e">
        <f ca="1">[1]!BexGetData("DP_1","003N8EMH8GTFRCSWKMPXRR8GU","GSON5138384011")</f>
        <v>#NAME?</v>
      </c>
      <c r="D3388" s="23" t="e">
        <f ca="1">[1]!BexGetData("DP_1","003N8EMH8GTFRCSWKMPXRRESE","GSON5138384011")</f>
        <v>#NAME?</v>
      </c>
      <c r="E3388" s="23" t="e">
        <f ca="1">[1]!BexGetData("DP_1","003N8EMH8GTFRCSWKMPXRRL3Y","GSON5138384011")</f>
        <v>#NAME?</v>
      </c>
      <c r="F3388" s="23" t="e">
        <f ca="1">[1]!BexGetData("DP_1","003N8EMH8GTFRCSWKMPXRRRFI","GSON5138384011")</f>
        <v>#NAME?</v>
      </c>
      <c r="G3388" s="23" t="e">
        <f ca="1">[1]!BexGetData("DP_1","003N8EMH8GTFRCSWKMPXRRXR2","GSON5138384011")</f>
        <v>#NAME?</v>
      </c>
      <c r="H3388" s="23" t="e">
        <f ca="1">[1]!BexGetData("DP_1","003N8EMH8GTFRCSWKMPXRS42M","GSON5138384011")</f>
        <v>#NAME?</v>
      </c>
      <c r="I3388" s="23" t="e">
        <f ca="1">[1]!BexGetData("DP_1","003N8EMH8GTFRCSWKMPXRSAE6","GSON5138384011")</f>
        <v>#NAME?</v>
      </c>
      <c r="J3388" s="24" t="e">
        <f ca="1">[1]!BexGetData("DP_1","003N8EMH8GTFRCSWKMPXRSGPQ","GSON5138384011")</f>
        <v>#NAME?</v>
      </c>
      <c r="K3388" s="23" t="e">
        <f ca="1">[1]!BexGetData("DP_1","003N8EMH8GTFRIVNUPY288VJH","GSON5138384011")</f>
        <v>#NAME?</v>
      </c>
      <c r="L3388" s="23" t="e">
        <f ca="1">[1]!BexGetData("DP_1","003N8EMH8GTFRIVNUPY2891V1","GSON5138384011")</f>
        <v>#NAME?</v>
      </c>
      <c r="M3388" s="28" t="e">
        <f ca="1">[1]!BexGetData("DP_1","003N8EMH8GTFRIVOG7KG9IQXA","GSON5138384011")</f>
        <v>#NAME?</v>
      </c>
      <c r="N3388" s="23" t="e">
        <f ca="1">[1]!BexGetData("DP_1","003N8EMH8GTFRIVOG7KG9IX8U","GSON5138384011")</f>
        <v>#NAME?</v>
      </c>
      <c r="O3388" s="28" t="e">
        <f ca="1">[1]!BexGetData("DP_1","003N8EMH8GTFRIVOG7KG9J3KE","GSON5138384011")</f>
        <v>#NAME?</v>
      </c>
      <c r="P3388" s="23" t="e">
        <f ca="1">[1]!BexGetData("DP_1","003N8EMH8GTFRIVOG7KG9J9VY","GSON5138384011")</f>
        <v>#NAME?</v>
      </c>
      <c r="Q3388" s="24" t="e">
        <f ca="1">[1]!BexGetData("DP_1","00O2TNJGODT0G5Z4TTKYMM5MT","GSON5138384011")</f>
        <v>#NAME?</v>
      </c>
      <c r="R3388" s="23" t="e">
        <f ca="1">[1]!BexGetData("DP_1","00O2TNJGODT0G5Z4TTKYMMBYD","GSON5138384011")</f>
        <v>#NAME?</v>
      </c>
      <c r="S3388" s="23" t="e">
        <f ca="1">[1]!BexGetData("DP_1","00O2TNJGODT0G5Z4TTKYMMI9X","GSON5138384011")</f>
        <v>#NAME?</v>
      </c>
      <c r="T3388" s="28" t="e">
        <f ca="1">[1]!BexGetData("DP_1","00O2TNJGODT0G5Z4TTKYMMOLH","GSON5138384011")</f>
        <v>#NAME?</v>
      </c>
      <c r="U3388" s="23" t="e">
        <f ca="1">[1]!BexGetData("DP_1","00O2TNJGODT0G5Z4TTKYMMUX1","GSON5138384011")</f>
        <v>#NAME?</v>
      </c>
      <c r="V3388" s="28" t="e">
        <f ca="1">[1]!BexGetData("DP_1","00O2TNJGODT0G5Z4TTKYMN18L","GSON5138384011")</f>
        <v>#NAME?</v>
      </c>
      <c r="W3388" s="23" t="e">
        <f ca="1">[1]!BexGetData("DP_1","00O2TNJGODT0G5Z4TTKYMN7K5","GSON5138384011")</f>
        <v>#NAME?</v>
      </c>
    </row>
    <row r="3389" spans="1:23" x14ac:dyDescent="0.2">
      <c r="A3389" s="35" t="s">
        <v>6897</v>
      </c>
      <c r="B3389" s="27" t="s">
        <v>6898</v>
      </c>
      <c r="C3389" s="23" t="e">
        <f ca="1">[1]!BexGetData("DP_1","003N8EMH8GTFRCSWKMPXRR8GU","GSON5139")</f>
        <v>#NAME?</v>
      </c>
      <c r="D3389" s="23" t="e">
        <f ca="1">[1]!BexGetData("DP_1","003N8EMH8GTFRCSWKMPXRRESE","GSON5139")</f>
        <v>#NAME?</v>
      </c>
      <c r="E3389" s="23" t="e">
        <f ca="1">[1]!BexGetData("DP_1","003N8EMH8GTFRCSWKMPXRRL3Y","GSON5139")</f>
        <v>#NAME?</v>
      </c>
      <c r="F3389" s="23" t="e">
        <f ca="1">[1]!BexGetData("DP_1","003N8EMH8GTFRCSWKMPXRRRFI","GSON5139")</f>
        <v>#NAME?</v>
      </c>
      <c r="G3389" s="23" t="e">
        <f ca="1">[1]!BexGetData("DP_1","003N8EMH8GTFRCSWKMPXRRXR2","GSON5139")</f>
        <v>#NAME?</v>
      </c>
      <c r="H3389" s="23" t="e">
        <f ca="1">[1]!BexGetData("DP_1","003N8EMH8GTFRCSWKMPXRS42M","GSON5139")</f>
        <v>#NAME?</v>
      </c>
      <c r="I3389" s="23" t="e">
        <f ca="1">[1]!BexGetData("DP_1","003N8EMH8GTFRCSWKMPXRSAE6","GSON5139")</f>
        <v>#NAME?</v>
      </c>
      <c r="J3389" s="24" t="e">
        <f ca="1">[1]!BexGetData("DP_1","003N8EMH8GTFRCSWKMPXRSGPQ","GSON5139")</f>
        <v>#NAME?</v>
      </c>
      <c r="K3389" s="23" t="e">
        <f ca="1">[1]!BexGetData("DP_1","003N8EMH8GTFRIVNUPY288VJH","GSON5139")</f>
        <v>#NAME?</v>
      </c>
      <c r="L3389" s="23" t="e">
        <f ca="1">[1]!BexGetData("DP_1","003N8EMH8GTFRIVNUPY2891V1","GSON5139")</f>
        <v>#NAME?</v>
      </c>
      <c r="M3389" s="28" t="e">
        <f ca="1">[1]!BexGetData("DP_1","003N8EMH8GTFRIVOG7KG9IQXA","GSON5139")</f>
        <v>#NAME?</v>
      </c>
      <c r="N3389" s="23" t="e">
        <f ca="1">[1]!BexGetData("DP_1","003N8EMH8GTFRIVOG7KG9IX8U","GSON5139")</f>
        <v>#NAME?</v>
      </c>
      <c r="O3389" s="28" t="e">
        <f ca="1">[1]!BexGetData("DP_1","003N8EMH8GTFRIVOG7KG9J3KE","GSON5139")</f>
        <v>#NAME?</v>
      </c>
      <c r="P3389" s="23" t="e">
        <f ca="1">[1]!BexGetData("DP_1","003N8EMH8GTFRIVOG7KG9J9VY","GSON5139")</f>
        <v>#NAME?</v>
      </c>
      <c r="Q3389" s="24" t="e">
        <f ca="1">[1]!BexGetData("DP_1","00O2TNJGODT0G5Z4TTKYMM5MT","GSON5139")</f>
        <v>#NAME?</v>
      </c>
      <c r="R3389" s="23" t="e">
        <f ca="1">[1]!BexGetData("DP_1","00O2TNJGODT0G5Z4TTKYMMBYD","GSON5139")</f>
        <v>#NAME?</v>
      </c>
      <c r="S3389" s="23" t="e">
        <f ca="1">[1]!BexGetData("DP_1","00O2TNJGODT0G5Z4TTKYMMI9X","GSON5139")</f>
        <v>#NAME?</v>
      </c>
      <c r="T3389" s="28" t="e">
        <f ca="1">[1]!BexGetData("DP_1","00O2TNJGODT0G5Z4TTKYMMOLH","GSON5139")</f>
        <v>#NAME?</v>
      </c>
      <c r="U3389" s="23" t="e">
        <f ca="1">[1]!BexGetData("DP_1","00O2TNJGODT0G5Z4TTKYMMUX1","GSON5139")</f>
        <v>#NAME?</v>
      </c>
      <c r="V3389" s="28" t="e">
        <f ca="1">[1]!BexGetData("DP_1","00O2TNJGODT0G5Z4TTKYMN18L","GSON5139")</f>
        <v>#NAME?</v>
      </c>
      <c r="W3389" s="23" t="e">
        <f ca="1">[1]!BexGetData("DP_1","00O2TNJGODT0G5Z4TTKYMN7K5","GSON5139")</f>
        <v>#NAME?</v>
      </c>
    </row>
    <row r="3390" spans="1:23" x14ac:dyDescent="0.2">
      <c r="A3390" s="36" t="s">
        <v>6899</v>
      </c>
      <c r="B3390" s="27" t="s">
        <v>6900</v>
      </c>
      <c r="C3390" s="23" t="e">
        <f ca="1">[1]!BexGetData("DP_1","003N8EMH8GTFRCSWKMPXRR8GU","GSON5139391011")</f>
        <v>#NAME?</v>
      </c>
      <c r="D3390" s="28" t="e">
        <f ca="1">[1]!BexGetData("DP_1","003N8EMH8GTFRCSWKMPXRRESE","GSON5139391011")</f>
        <v>#NAME?</v>
      </c>
      <c r="E3390" s="23" t="e">
        <f ca="1">[1]!BexGetData("DP_1","003N8EMH8GTFRCSWKMPXRRL3Y","GSON5139391011")</f>
        <v>#NAME?</v>
      </c>
      <c r="F3390" s="23" t="e">
        <f ca="1">[1]!BexGetData("DP_1","003N8EMH8GTFRCSWKMPXRRRFI","GSON5139391011")</f>
        <v>#NAME?</v>
      </c>
      <c r="G3390" s="23" t="e">
        <f ca="1">[1]!BexGetData("DP_1","003N8EMH8GTFRCSWKMPXRRXR2","GSON5139391011")</f>
        <v>#NAME?</v>
      </c>
      <c r="H3390" s="23" t="e">
        <f ca="1">[1]!BexGetData("DP_1","003N8EMH8GTFRCSWKMPXRS42M","GSON5139391011")</f>
        <v>#NAME?</v>
      </c>
      <c r="I3390" s="23" t="e">
        <f ca="1">[1]!BexGetData("DP_1","003N8EMH8GTFRCSWKMPXRSAE6","GSON5139391011")</f>
        <v>#NAME?</v>
      </c>
      <c r="J3390" s="24" t="e">
        <f ca="1">[1]!BexGetData("DP_1","003N8EMH8GTFRCSWKMPXRSGPQ","GSON5139391011")</f>
        <v>#NAME?</v>
      </c>
      <c r="K3390" s="23" t="e">
        <f ca="1">[1]!BexGetData("DP_1","003N8EMH8GTFRIVNUPY288VJH","GSON5139391011")</f>
        <v>#NAME?</v>
      </c>
      <c r="L3390" s="23" t="e">
        <f ca="1">[1]!BexGetData("DP_1","003N8EMH8GTFRIVNUPY2891V1","GSON5139391011")</f>
        <v>#NAME?</v>
      </c>
      <c r="M3390" s="23" t="e">
        <f ca="1">[1]!BexGetData("DP_1","003N8EMH8GTFRIVOG7KG9IQXA","GSON5139391011")</f>
        <v>#NAME?</v>
      </c>
      <c r="N3390" s="28" t="e">
        <f ca="1">[1]!BexGetData("DP_1","003N8EMH8GTFRIVOG7KG9IX8U","GSON5139391011")</f>
        <v>#NAME?</v>
      </c>
      <c r="O3390" s="23" t="e">
        <f ca="1">[1]!BexGetData("DP_1","003N8EMH8GTFRIVOG7KG9J3KE","GSON5139391011")</f>
        <v>#NAME?</v>
      </c>
      <c r="P3390" s="28" t="e">
        <f ca="1">[1]!BexGetData("DP_1","003N8EMH8GTFRIVOG7KG9J9VY","GSON5139391011")</f>
        <v>#NAME?</v>
      </c>
      <c r="Q3390" s="24" t="e">
        <f ca="1">[1]!BexGetData("DP_1","00O2TNJGODT0G5Z4TTKYMM5MT","GSON5139391011")</f>
        <v>#NAME?</v>
      </c>
      <c r="R3390" s="23" t="e">
        <f ca="1">[1]!BexGetData("DP_1","00O2TNJGODT0G5Z4TTKYMMBYD","GSON5139391011")</f>
        <v>#NAME?</v>
      </c>
      <c r="S3390" s="23" t="e">
        <f ca="1">[1]!BexGetData("DP_1","00O2TNJGODT0G5Z4TTKYMMI9X","GSON5139391011")</f>
        <v>#NAME?</v>
      </c>
      <c r="T3390" s="28" t="e">
        <f ca="1">[1]!BexGetData("DP_1","00O2TNJGODT0G5Z4TTKYMMOLH","GSON5139391011")</f>
        <v>#NAME?</v>
      </c>
      <c r="U3390" s="23" t="e">
        <f ca="1">[1]!BexGetData("DP_1","00O2TNJGODT0G5Z4TTKYMMUX1","GSON5139391011")</f>
        <v>#NAME?</v>
      </c>
      <c r="V3390" s="28" t="e">
        <f ca="1">[1]!BexGetData("DP_1","00O2TNJGODT0G5Z4TTKYMN18L","GSON5139391011")</f>
        <v>#NAME?</v>
      </c>
      <c r="W3390" s="23" t="e">
        <f ca="1">[1]!BexGetData("DP_1","00O2TNJGODT0G5Z4TTKYMN7K5","GSON5139391011")</f>
        <v>#NAME?</v>
      </c>
    </row>
    <row r="3391" spans="1:23" x14ac:dyDescent="0.2">
      <c r="A3391" s="36" t="s">
        <v>6901</v>
      </c>
      <c r="B3391" s="27" t="s">
        <v>6902</v>
      </c>
      <c r="C3391" s="23" t="e">
        <f ca="1">[1]!BexGetData("DP_1","003N8EMH8GTFRCSWKMPXRR8GU","GSON5139392011")</f>
        <v>#NAME?</v>
      </c>
      <c r="D3391" s="23" t="e">
        <f ca="1">[1]!BexGetData("DP_1","003N8EMH8GTFRCSWKMPXRRESE","GSON5139392011")</f>
        <v>#NAME?</v>
      </c>
      <c r="E3391" s="23" t="e">
        <f ca="1">[1]!BexGetData("DP_1","003N8EMH8GTFRCSWKMPXRRL3Y","GSON5139392011")</f>
        <v>#NAME?</v>
      </c>
      <c r="F3391" s="23" t="e">
        <f ca="1">[1]!BexGetData("DP_1","003N8EMH8GTFRCSWKMPXRRRFI","GSON5139392011")</f>
        <v>#NAME?</v>
      </c>
      <c r="G3391" s="23" t="e">
        <f ca="1">[1]!BexGetData("DP_1","003N8EMH8GTFRCSWKMPXRRXR2","GSON5139392011")</f>
        <v>#NAME?</v>
      </c>
      <c r="H3391" s="23" t="e">
        <f ca="1">[1]!BexGetData("DP_1","003N8EMH8GTFRCSWKMPXRS42M","GSON5139392011")</f>
        <v>#NAME?</v>
      </c>
      <c r="I3391" s="23" t="e">
        <f ca="1">[1]!BexGetData("DP_1","003N8EMH8GTFRCSWKMPXRSAE6","GSON5139392011")</f>
        <v>#NAME?</v>
      </c>
      <c r="J3391" s="24" t="e">
        <f ca="1">[1]!BexGetData("DP_1","003N8EMH8GTFRCSWKMPXRSGPQ","GSON5139392011")</f>
        <v>#NAME?</v>
      </c>
      <c r="K3391" s="23" t="e">
        <f ca="1">[1]!BexGetData("DP_1","003N8EMH8GTFRIVNUPY288VJH","GSON5139392011")</f>
        <v>#NAME?</v>
      </c>
      <c r="L3391" s="23" t="e">
        <f ca="1">[1]!BexGetData("DP_1","003N8EMH8GTFRIVNUPY2891V1","GSON5139392011")</f>
        <v>#NAME?</v>
      </c>
      <c r="M3391" s="28" t="e">
        <f ca="1">[1]!BexGetData("DP_1","003N8EMH8GTFRIVOG7KG9IQXA","GSON5139392011")</f>
        <v>#NAME?</v>
      </c>
      <c r="N3391" s="23" t="e">
        <f ca="1">[1]!BexGetData("DP_1","003N8EMH8GTFRIVOG7KG9IX8U","GSON5139392011")</f>
        <v>#NAME?</v>
      </c>
      <c r="O3391" s="28" t="e">
        <f ca="1">[1]!BexGetData("DP_1","003N8EMH8GTFRIVOG7KG9J3KE","GSON5139392011")</f>
        <v>#NAME?</v>
      </c>
      <c r="P3391" s="23" t="e">
        <f ca="1">[1]!BexGetData("DP_1","003N8EMH8GTFRIVOG7KG9J9VY","GSON5139392011")</f>
        <v>#NAME?</v>
      </c>
      <c r="Q3391" s="24" t="e">
        <f ca="1">[1]!BexGetData("DP_1","00O2TNJGODT0G5Z4TTKYMM5MT","GSON5139392011")</f>
        <v>#NAME?</v>
      </c>
      <c r="R3391" s="23" t="e">
        <f ca="1">[1]!BexGetData("DP_1","00O2TNJGODT0G5Z4TTKYMMBYD","GSON5139392011")</f>
        <v>#NAME?</v>
      </c>
      <c r="S3391" s="23" t="e">
        <f ca="1">[1]!BexGetData("DP_1","00O2TNJGODT0G5Z4TTKYMMI9X","GSON5139392011")</f>
        <v>#NAME?</v>
      </c>
      <c r="T3391" s="28" t="e">
        <f ca="1">[1]!BexGetData("DP_1","00O2TNJGODT0G5Z4TTKYMMOLH","GSON5139392011")</f>
        <v>#NAME?</v>
      </c>
      <c r="U3391" s="23" t="e">
        <f ca="1">[1]!BexGetData("DP_1","00O2TNJGODT0G5Z4TTKYMMUX1","GSON5139392011")</f>
        <v>#NAME?</v>
      </c>
      <c r="V3391" s="28" t="e">
        <f ca="1">[1]!BexGetData("DP_1","00O2TNJGODT0G5Z4TTKYMN18L","GSON5139392011")</f>
        <v>#NAME?</v>
      </c>
      <c r="W3391" s="23" t="e">
        <f ca="1">[1]!BexGetData("DP_1","00O2TNJGODT0G5Z4TTKYMN7K5","GSON5139392011")</f>
        <v>#NAME?</v>
      </c>
    </row>
    <row r="3392" spans="1:23" x14ac:dyDescent="0.2">
      <c r="A3392" s="36" t="s">
        <v>6903</v>
      </c>
      <c r="B3392" s="27" t="s">
        <v>6904</v>
      </c>
      <c r="C3392" s="23" t="e">
        <f ca="1">[1]!BexGetData("DP_1","003N8EMH8GTFRCSWKMPXRR8GU","GSON5139394011")</f>
        <v>#NAME?</v>
      </c>
      <c r="D3392" s="23" t="e">
        <f ca="1">[1]!BexGetData("DP_1","003N8EMH8GTFRCSWKMPXRRESE","GSON5139394011")</f>
        <v>#NAME?</v>
      </c>
      <c r="E3392" s="23" t="e">
        <f ca="1">[1]!BexGetData("DP_1","003N8EMH8GTFRCSWKMPXRRL3Y","GSON5139394011")</f>
        <v>#NAME?</v>
      </c>
      <c r="F3392" s="23" t="e">
        <f ca="1">[1]!BexGetData("DP_1","003N8EMH8GTFRCSWKMPXRRRFI","GSON5139394011")</f>
        <v>#NAME?</v>
      </c>
      <c r="G3392" s="23" t="e">
        <f ca="1">[1]!BexGetData("DP_1","003N8EMH8GTFRCSWKMPXRRXR2","GSON5139394011")</f>
        <v>#NAME?</v>
      </c>
      <c r="H3392" s="23" t="e">
        <f ca="1">[1]!BexGetData("DP_1","003N8EMH8GTFRCSWKMPXRS42M","GSON5139394011")</f>
        <v>#NAME?</v>
      </c>
      <c r="I3392" s="23" t="e">
        <f ca="1">[1]!BexGetData("DP_1","003N8EMH8GTFRCSWKMPXRSAE6","GSON5139394011")</f>
        <v>#NAME?</v>
      </c>
      <c r="J3392" s="24" t="e">
        <f ca="1">[1]!BexGetData("DP_1","003N8EMH8GTFRCSWKMPXRSGPQ","GSON5139394011")</f>
        <v>#NAME?</v>
      </c>
      <c r="K3392" s="23" t="e">
        <f ca="1">[1]!BexGetData("DP_1","003N8EMH8GTFRIVNUPY288VJH","GSON5139394011")</f>
        <v>#NAME?</v>
      </c>
      <c r="L3392" s="23" t="e">
        <f ca="1">[1]!BexGetData("DP_1","003N8EMH8GTFRIVNUPY2891V1","GSON5139394011")</f>
        <v>#NAME?</v>
      </c>
      <c r="M3392" s="23" t="e">
        <f ca="1">[1]!BexGetData("DP_1","003N8EMH8GTFRIVOG7KG9IQXA","GSON5139394011")</f>
        <v>#NAME?</v>
      </c>
      <c r="N3392" s="28" t="e">
        <f ca="1">[1]!BexGetData("DP_1","003N8EMH8GTFRIVOG7KG9IX8U","GSON5139394011")</f>
        <v>#NAME?</v>
      </c>
      <c r="O3392" s="23" t="e">
        <f ca="1">[1]!BexGetData("DP_1","003N8EMH8GTFRIVOG7KG9J3KE","GSON5139394011")</f>
        <v>#NAME?</v>
      </c>
      <c r="P3392" s="28" t="e">
        <f ca="1">[1]!BexGetData("DP_1","003N8EMH8GTFRIVOG7KG9J9VY","GSON5139394011")</f>
        <v>#NAME?</v>
      </c>
      <c r="Q3392" s="24" t="e">
        <f ca="1">[1]!BexGetData("DP_1","00O2TNJGODT0G5Z4TTKYMM5MT","GSON5139394011")</f>
        <v>#NAME?</v>
      </c>
      <c r="R3392" s="23" t="e">
        <f ca="1">[1]!BexGetData("DP_1","00O2TNJGODT0G5Z4TTKYMMBYD","GSON5139394011")</f>
        <v>#NAME?</v>
      </c>
      <c r="S3392" s="23" t="e">
        <f ca="1">[1]!BexGetData("DP_1","00O2TNJGODT0G5Z4TTKYMMI9X","GSON5139394011")</f>
        <v>#NAME?</v>
      </c>
      <c r="T3392" s="28" t="e">
        <f ca="1">[1]!BexGetData("DP_1","00O2TNJGODT0G5Z4TTKYMMOLH","GSON5139394011")</f>
        <v>#NAME?</v>
      </c>
      <c r="U3392" s="23" t="e">
        <f ca="1">[1]!BexGetData("DP_1","00O2TNJGODT0G5Z4TTKYMMUX1","GSON5139394011")</f>
        <v>#NAME?</v>
      </c>
      <c r="V3392" s="28" t="e">
        <f ca="1">[1]!BexGetData("DP_1","00O2TNJGODT0G5Z4TTKYMN18L","GSON5139394011")</f>
        <v>#NAME?</v>
      </c>
      <c r="W3392" s="23" t="e">
        <f ca="1">[1]!BexGetData("DP_1","00O2TNJGODT0G5Z4TTKYMN7K5","GSON5139394011")</f>
        <v>#NAME?</v>
      </c>
    </row>
    <row r="3393" spans="1:23" x14ac:dyDescent="0.2">
      <c r="A3393" s="36" t="s">
        <v>6905</v>
      </c>
      <c r="B3393" s="27" t="s">
        <v>6906</v>
      </c>
      <c r="C3393" s="23" t="e">
        <f ca="1">[1]!BexGetData("DP_1","003N8EMH8GTFRCSWKMPXRR8GU","GSON5139395011")</f>
        <v>#NAME?</v>
      </c>
      <c r="D3393" s="23" t="e">
        <f ca="1">[1]!BexGetData("DP_1","003N8EMH8GTFRCSWKMPXRRESE","GSON5139395011")</f>
        <v>#NAME?</v>
      </c>
      <c r="E3393" s="23" t="e">
        <f ca="1">[1]!BexGetData("DP_1","003N8EMH8GTFRCSWKMPXRRL3Y","GSON5139395011")</f>
        <v>#NAME?</v>
      </c>
      <c r="F3393" s="23" t="e">
        <f ca="1">[1]!BexGetData("DP_1","003N8EMH8GTFRCSWKMPXRRRFI","GSON5139395011")</f>
        <v>#NAME?</v>
      </c>
      <c r="G3393" s="23" t="e">
        <f ca="1">[1]!BexGetData("DP_1","003N8EMH8GTFRCSWKMPXRRXR2","GSON5139395011")</f>
        <v>#NAME?</v>
      </c>
      <c r="H3393" s="23" t="e">
        <f ca="1">[1]!BexGetData("DP_1","003N8EMH8GTFRCSWKMPXRS42M","GSON5139395011")</f>
        <v>#NAME?</v>
      </c>
      <c r="I3393" s="23" t="e">
        <f ca="1">[1]!BexGetData("DP_1","003N8EMH8GTFRCSWKMPXRSAE6","GSON5139395011")</f>
        <v>#NAME?</v>
      </c>
      <c r="J3393" s="24" t="e">
        <f ca="1">[1]!BexGetData("DP_1","003N8EMH8GTFRCSWKMPXRSGPQ","GSON5139395011")</f>
        <v>#NAME?</v>
      </c>
      <c r="K3393" s="23" t="e">
        <f ca="1">[1]!BexGetData("DP_1","003N8EMH8GTFRIVNUPY288VJH","GSON5139395011")</f>
        <v>#NAME?</v>
      </c>
      <c r="L3393" s="23" t="e">
        <f ca="1">[1]!BexGetData("DP_1","003N8EMH8GTFRIVNUPY2891V1","GSON5139395011")</f>
        <v>#NAME?</v>
      </c>
      <c r="M3393" s="28" t="e">
        <f ca="1">[1]!BexGetData("DP_1","003N8EMH8GTFRIVOG7KG9IQXA","GSON5139395011")</f>
        <v>#NAME?</v>
      </c>
      <c r="N3393" s="23" t="e">
        <f ca="1">[1]!BexGetData("DP_1","003N8EMH8GTFRIVOG7KG9IX8U","GSON5139395011")</f>
        <v>#NAME?</v>
      </c>
      <c r="O3393" s="28" t="e">
        <f ca="1">[1]!BexGetData("DP_1","003N8EMH8GTFRIVOG7KG9J3KE","GSON5139395011")</f>
        <v>#NAME?</v>
      </c>
      <c r="P3393" s="23" t="e">
        <f ca="1">[1]!BexGetData("DP_1","003N8EMH8GTFRIVOG7KG9J9VY","GSON5139395011")</f>
        <v>#NAME?</v>
      </c>
      <c r="Q3393" s="24" t="e">
        <f ca="1">[1]!BexGetData("DP_1","00O2TNJGODT0G5Z4TTKYMM5MT","GSON5139395011")</f>
        <v>#NAME?</v>
      </c>
      <c r="R3393" s="23" t="e">
        <f ca="1">[1]!BexGetData("DP_1","00O2TNJGODT0G5Z4TTKYMMBYD","GSON5139395011")</f>
        <v>#NAME?</v>
      </c>
      <c r="S3393" s="23" t="e">
        <f ca="1">[1]!BexGetData("DP_1","00O2TNJGODT0G5Z4TTKYMMI9X","GSON5139395011")</f>
        <v>#NAME?</v>
      </c>
      <c r="T3393" s="28" t="e">
        <f ca="1">[1]!BexGetData("DP_1","00O2TNJGODT0G5Z4TTKYMMOLH","GSON5139395011")</f>
        <v>#NAME?</v>
      </c>
      <c r="U3393" s="23" t="e">
        <f ca="1">[1]!BexGetData("DP_1","00O2TNJGODT0G5Z4TTKYMMUX1","GSON5139395011")</f>
        <v>#NAME?</v>
      </c>
      <c r="V3393" s="28" t="e">
        <f ca="1">[1]!BexGetData("DP_1","00O2TNJGODT0G5Z4TTKYMN18L","GSON5139395011")</f>
        <v>#NAME?</v>
      </c>
      <c r="W3393" s="23" t="e">
        <f ca="1">[1]!BexGetData("DP_1","00O2TNJGODT0G5Z4TTKYMN7K5","GSON5139395011")</f>
        <v>#NAME?</v>
      </c>
    </row>
    <row r="3394" spans="1:23" x14ac:dyDescent="0.2">
      <c r="A3394" s="36" t="s">
        <v>6907</v>
      </c>
      <c r="B3394" s="27" t="s">
        <v>6908</v>
      </c>
      <c r="C3394" s="23" t="e">
        <f ca="1">[1]!BexGetData("DP_1","003N8EMH8GTFRCSWKMPXRR8GU","GSON5139396011")</f>
        <v>#NAME?</v>
      </c>
      <c r="D3394" s="28" t="e">
        <f ca="1">[1]!BexGetData("DP_1","003N8EMH8GTFRCSWKMPXRRESE","GSON5139396011")</f>
        <v>#NAME?</v>
      </c>
      <c r="E3394" s="23" t="e">
        <f ca="1">[1]!BexGetData("DP_1","003N8EMH8GTFRCSWKMPXRRL3Y","GSON5139396011")</f>
        <v>#NAME?</v>
      </c>
      <c r="F3394" s="23" t="e">
        <f ca="1">[1]!BexGetData("DP_1","003N8EMH8GTFRCSWKMPXRRRFI","GSON5139396011")</f>
        <v>#NAME?</v>
      </c>
      <c r="G3394" s="23" t="e">
        <f ca="1">[1]!BexGetData("DP_1","003N8EMH8GTFRCSWKMPXRRXR2","GSON5139396011")</f>
        <v>#NAME?</v>
      </c>
      <c r="H3394" s="28" t="e">
        <f ca="1">[1]!BexGetData("DP_1","003N8EMH8GTFRCSWKMPXRS42M","GSON5139396011")</f>
        <v>#NAME?</v>
      </c>
      <c r="I3394" s="23" t="e">
        <f ca="1">[1]!BexGetData("DP_1","003N8EMH8GTFRCSWKMPXRSAE6","GSON5139396011")</f>
        <v>#NAME?</v>
      </c>
      <c r="J3394" s="24" t="e">
        <f ca="1">[1]!BexGetData("DP_1","003N8EMH8GTFRCSWKMPXRSGPQ","GSON5139396011")</f>
        <v>#NAME?</v>
      </c>
      <c r="K3394" s="23" t="e">
        <f ca="1">[1]!BexGetData("DP_1","003N8EMH8GTFRIVNUPY288VJH","GSON5139396011")</f>
        <v>#NAME?</v>
      </c>
      <c r="L3394" s="23" t="e">
        <f ca="1">[1]!BexGetData("DP_1","003N8EMH8GTFRIVNUPY2891V1","GSON5139396011")</f>
        <v>#NAME?</v>
      </c>
      <c r="M3394" s="23" t="e">
        <f ca="1">[1]!BexGetData("DP_1","003N8EMH8GTFRIVOG7KG9IQXA","GSON5139396011")</f>
        <v>#NAME?</v>
      </c>
      <c r="N3394" s="28" t="e">
        <f ca="1">[1]!BexGetData("DP_1","003N8EMH8GTFRIVOG7KG9IX8U","GSON5139396011")</f>
        <v>#NAME?</v>
      </c>
      <c r="O3394" s="23" t="e">
        <f ca="1">[1]!BexGetData("DP_1","003N8EMH8GTFRIVOG7KG9J3KE","GSON5139396011")</f>
        <v>#NAME?</v>
      </c>
      <c r="P3394" s="28" t="e">
        <f ca="1">[1]!BexGetData("DP_1","003N8EMH8GTFRIVOG7KG9J9VY","GSON5139396011")</f>
        <v>#NAME?</v>
      </c>
      <c r="Q3394" s="24" t="e">
        <f ca="1">[1]!BexGetData("DP_1","00O2TNJGODT0G5Z4TTKYMM5MT","GSON5139396011")</f>
        <v>#NAME?</v>
      </c>
      <c r="R3394" s="23" t="e">
        <f ca="1">[1]!BexGetData("DP_1","00O2TNJGODT0G5Z4TTKYMMBYD","GSON5139396011")</f>
        <v>#NAME?</v>
      </c>
      <c r="S3394" s="23" t="e">
        <f ca="1">[1]!BexGetData("DP_1","00O2TNJGODT0G5Z4TTKYMMI9X","GSON5139396011")</f>
        <v>#NAME?</v>
      </c>
      <c r="T3394" s="28" t="e">
        <f ca="1">[1]!BexGetData("DP_1","00O2TNJGODT0G5Z4TTKYMMOLH","GSON5139396011")</f>
        <v>#NAME?</v>
      </c>
      <c r="U3394" s="23" t="e">
        <f ca="1">[1]!BexGetData("DP_1","00O2TNJGODT0G5Z4TTKYMMUX1","GSON5139396011")</f>
        <v>#NAME?</v>
      </c>
      <c r="V3394" s="28" t="e">
        <f ca="1">[1]!BexGetData("DP_1","00O2TNJGODT0G5Z4TTKYMN18L","GSON5139396011")</f>
        <v>#NAME?</v>
      </c>
      <c r="W3394" s="23" t="e">
        <f ca="1">[1]!BexGetData("DP_1","00O2TNJGODT0G5Z4TTKYMN7K5","GSON5139396011")</f>
        <v>#NAME?</v>
      </c>
    </row>
    <row r="3395" spans="1:23" x14ac:dyDescent="0.2">
      <c r="A3395" s="36" t="s">
        <v>6909</v>
      </c>
      <c r="B3395" s="27" t="s">
        <v>6910</v>
      </c>
      <c r="C3395" s="24" t="e">
        <f ca="1">[1]!BexGetData("DP_1","003N8EMH8GTFRCSWKMPXRR8GU","GSON5139398012")</f>
        <v>#NAME?</v>
      </c>
      <c r="D3395" s="24" t="e">
        <f ca="1">[1]!BexGetData("DP_1","003N8EMH8GTFRCSWKMPXRRESE","GSON5139398012")</f>
        <v>#NAME?</v>
      </c>
      <c r="E3395" s="24" t="e">
        <f ca="1">[1]!BexGetData("DP_1","003N8EMH8GTFRCSWKMPXRRL3Y","GSON5139398012")</f>
        <v>#NAME?</v>
      </c>
      <c r="F3395" s="23" t="e">
        <f ca="1">[1]!BexGetData("DP_1","003N8EMH8GTFRCSWKMPXRRRFI","GSON5139398012")</f>
        <v>#NAME?</v>
      </c>
      <c r="G3395" s="23" t="e">
        <f ca="1">[1]!BexGetData("DP_1","003N8EMH8GTFRCSWKMPXRRXR2","GSON5139398012")</f>
        <v>#NAME?</v>
      </c>
      <c r="H3395" s="23" t="e">
        <f ca="1">[1]!BexGetData("DP_1","003N8EMH8GTFRCSWKMPXRS42M","GSON5139398012")</f>
        <v>#NAME?</v>
      </c>
      <c r="I3395" s="23" t="e">
        <f ca="1">[1]!BexGetData("DP_1","003N8EMH8GTFRCSWKMPXRSAE6","GSON5139398012")</f>
        <v>#NAME?</v>
      </c>
      <c r="J3395" s="24" t="e">
        <f ca="1">[1]!BexGetData("DP_1","003N8EMH8GTFRCSWKMPXRSGPQ","GSON5139398012")</f>
        <v>#NAME?</v>
      </c>
      <c r="K3395" s="23" t="e">
        <f ca="1">[1]!BexGetData("DP_1","003N8EMH8GTFRIVNUPY288VJH","GSON5139398012")</f>
        <v>#NAME?</v>
      </c>
      <c r="L3395" s="23" t="e">
        <f ca="1">[1]!BexGetData("DP_1","003N8EMH8GTFRIVNUPY2891V1","GSON5139398012")</f>
        <v>#NAME?</v>
      </c>
      <c r="M3395" s="23" t="e">
        <f ca="1">[1]!BexGetData("DP_1","003N8EMH8GTFRIVOG7KG9IQXA","GSON5139398012")</f>
        <v>#NAME?</v>
      </c>
      <c r="N3395" s="28" t="e">
        <f ca="1">[1]!BexGetData("DP_1","003N8EMH8GTFRIVOG7KG9IX8U","GSON5139398012")</f>
        <v>#NAME?</v>
      </c>
      <c r="O3395" s="23" t="e">
        <f ca="1">[1]!BexGetData("DP_1","003N8EMH8GTFRIVOG7KG9J3KE","GSON5139398012")</f>
        <v>#NAME?</v>
      </c>
      <c r="P3395" s="28" t="e">
        <f ca="1">[1]!BexGetData("DP_1","003N8EMH8GTFRIVOG7KG9J9VY","GSON5139398012")</f>
        <v>#NAME?</v>
      </c>
      <c r="Q3395" s="24" t="e">
        <f ca="1">[1]!BexGetData("DP_1","00O2TNJGODT0G5Z4TTKYMM5MT","GSON5139398012")</f>
        <v>#NAME?</v>
      </c>
      <c r="R3395" s="23" t="e">
        <f ca="1">[1]!BexGetData("DP_1","00O2TNJGODT0G5Z4TTKYMMBYD","GSON5139398012")</f>
        <v>#NAME?</v>
      </c>
      <c r="S3395" s="23" t="e">
        <f ca="1">[1]!BexGetData("DP_1","00O2TNJGODT0G5Z4TTKYMMI9X","GSON5139398012")</f>
        <v>#NAME?</v>
      </c>
      <c r="T3395" s="28" t="e">
        <f ca="1">[1]!BexGetData("DP_1","00O2TNJGODT0G5Z4TTKYMMOLH","GSON5139398012")</f>
        <v>#NAME?</v>
      </c>
      <c r="U3395" s="23" t="e">
        <f ca="1">[1]!BexGetData("DP_1","00O2TNJGODT0G5Z4TTKYMMUX1","GSON5139398012")</f>
        <v>#NAME?</v>
      </c>
      <c r="V3395" s="28" t="e">
        <f ca="1">[1]!BexGetData("DP_1","00O2TNJGODT0G5Z4TTKYMN18L","GSON5139398012")</f>
        <v>#NAME?</v>
      </c>
      <c r="W3395" s="23" t="e">
        <f ca="1">[1]!BexGetData("DP_1","00O2TNJGODT0G5Z4TTKYMN7K5","GSON5139398012")</f>
        <v>#NAME?</v>
      </c>
    </row>
    <row r="3396" spans="1:23" x14ac:dyDescent="0.2">
      <c r="A3396" s="36" t="s">
        <v>6911</v>
      </c>
      <c r="B3396" s="27" t="s">
        <v>6912</v>
      </c>
      <c r="C3396" s="23" t="e">
        <f ca="1">[1]!BexGetData("DP_1","003N8EMH8GTFRCSWKMPXRR8GU","GSON5139399011")</f>
        <v>#NAME?</v>
      </c>
      <c r="D3396" s="23" t="e">
        <f ca="1">[1]!BexGetData("DP_1","003N8EMH8GTFRCSWKMPXRRESE","GSON5139399011")</f>
        <v>#NAME?</v>
      </c>
      <c r="E3396" s="23" t="e">
        <f ca="1">[1]!BexGetData("DP_1","003N8EMH8GTFRCSWKMPXRRL3Y","GSON5139399011")</f>
        <v>#NAME?</v>
      </c>
      <c r="F3396" s="23" t="e">
        <f ca="1">[1]!BexGetData("DP_1","003N8EMH8GTFRCSWKMPXRRRFI","GSON5139399011")</f>
        <v>#NAME?</v>
      </c>
      <c r="G3396" s="23" t="e">
        <f ca="1">[1]!BexGetData("DP_1","003N8EMH8GTFRCSWKMPXRRXR2","GSON5139399011")</f>
        <v>#NAME?</v>
      </c>
      <c r="H3396" s="23" t="e">
        <f ca="1">[1]!BexGetData("DP_1","003N8EMH8GTFRCSWKMPXRS42M","GSON5139399011")</f>
        <v>#NAME?</v>
      </c>
      <c r="I3396" s="23" t="e">
        <f ca="1">[1]!BexGetData("DP_1","003N8EMH8GTFRCSWKMPXRSAE6","GSON5139399011")</f>
        <v>#NAME?</v>
      </c>
      <c r="J3396" s="24" t="e">
        <f ca="1">[1]!BexGetData("DP_1","003N8EMH8GTFRCSWKMPXRSGPQ","GSON5139399011")</f>
        <v>#NAME?</v>
      </c>
      <c r="K3396" s="23" t="e">
        <f ca="1">[1]!BexGetData("DP_1","003N8EMH8GTFRIVNUPY288VJH","GSON5139399011")</f>
        <v>#NAME?</v>
      </c>
      <c r="L3396" s="23" t="e">
        <f ca="1">[1]!BexGetData("DP_1","003N8EMH8GTFRIVNUPY2891V1","GSON5139399011")</f>
        <v>#NAME?</v>
      </c>
      <c r="M3396" s="23" t="e">
        <f ca="1">[1]!BexGetData("DP_1","003N8EMH8GTFRIVOG7KG9IQXA","GSON5139399011")</f>
        <v>#NAME?</v>
      </c>
      <c r="N3396" s="28" t="e">
        <f ca="1">[1]!BexGetData("DP_1","003N8EMH8GTFRIVOG7KG9IX8U","GSON5139399011")</f>
        <v>#NAME?</v>
      </c>
      <c r="O3396" s="23" t="e">
        <f ca="1">[1]!BexGetData("DP_1","003N8EMH8GTFRIVOG7KG9J3KE","GSON5139399011")</f>
        <v>#NAME?</v>
      </c>
      <c r="P3396" s="28" t="e">
        <f ca="1">[1]!BexGetData("DP_1","003N8EMH8GTFRIVOG7KG9J9VY","GSON5139399011")</f>
        <v>#NAME?</v>
      </c>
      <c r="Q3396" s="24" t="e">
        <f ca="1">[1]!BexGetData("DP_1","00O2TNJGODT0G5Z4TTKYMM5MT","GSON5139399011")</f>
        <v>#NAME?</v>
      </c>
      <c r="R3396" s="23" t="e">
        <f ca="1">[1]!BexGetData("DP_1","00O2TNJGODT0G5Z4TTKYMMBYD","GSON5139399011")</f>
        <v>#NAME?</v>
      </c>
      <c r="S3396" s="23" t="e">
        <f ca="1">[1]!BexGetData("DP_1","00O2TNJGODT0G5Z4TTKYMMI9X","GSON5139399011")</f>
        <v>#NAME?</v>
      </c>
      <c r="T3396" s="28" t="e">
        <f ca="1">[1]!BexGetData("DP_1","00O2TNJGODT0G5Z4TTKYMMOLH","GSON5139399011")</f>
        <v>#NAME?</v>
      </c>
      <c r="U3396" s="23" t="e">
        <f ca="1">[1]!BexGetData("DP_1","00O2TNJGODT0G5Z4TTKYMMUX1","GSON5139399011")</f>
        <v>#NAME?</v>
      </c>
      <c r="V3396" s="28" t="e">
        <f ca="1">[1]!BexGetData("DP_1","00O2TNJGODT0G5Z4TTKYMN18L","GSON5139399011")</f>
        <v>#NAME?</v>
      </c>
      <c r="W3396" s="23" t="e">
        <f ca="1">[1]!BexGetData("DP_1","00O2TNJGODT0G5Z4TTKYMN7K5","GSON5139399011")</f>
        <v>#NAME?</v>
      </c>
    </row>
    <row r="3397" spans="1:23" x14ac:dyDescent="0.2">
      <c r="A3397" s="36" t="s">
        <v>6913</v>
      </c>
      <c r="B3397" s="27" t="s">
        <v>6914</v>
      </c>
      <c r="C3397" s="23" t="e">
        <f ca="1">[1]!BexGetData("DP_1","003N8EMH8GTFRCSWKMPXRR8GU","GSON5139399021")</f>
        <v>#NAME?</v>
      </c>
      <c r="D3397" s="28" t="e">
        <f ca="1">[1]!BexGetData("DP_1","003N8EMH8GTFRCSWKMPXRRESE","GSON5139399021")</f>
        <v>#NAME?</v>
      </c>
      <c r="E3397" s="23" t="e">
        <f ca="1">[1]!BexGetData("DP_1","003N8EMH8GTFRCSWKMPXRRL3Y","GSON5139399021")</f>
        <v>#NAME?</v>
      </c>
      <c r="F3397" s="23" t="e">
        <f ca="1">[1]!BexGetData("DP_1","003N8EMH8GTFRCSWKMPXRRRFI","GSON5139399021")</f>
        <v>#NAME?</v>
      </c>
      <c r="G3397" s="23" t="e">
        <f ca="1">[1]!BexGetData("DP_1","003N8EMH8GTFRCSWKMPXRRXR2","GSON5139399021")</f>
        <v>#NAME?</v>
      </c>
      <c r="H3397" s="28" t="e">
        <f ca="1">[1]!BexGetData("DP_1","003N8EMH8GTFRCSWKMPXRS42M","GSON5139399021")</f>
        <v>#NAME?</v>
      </c>
      <c r="I3397" s="23" t="e">
        <f ca="1">[1]!BexGetData("DP_1","003N8EMH8GTFRCSWKMPXRSAE6","GSON5139399021")</f>
        <v>#NAME?</v>
      </c>
      <c r="J3397" s="24" t="e">
        <f ca="1">[1]!BexGetData("DP_1","003N8EMH8GTFRCSWKMPXRSGPQ","GSON5139399021")</f>
        <v>#NAME?</v>
      </c>
      <c r="K3397" s="23" t="e">
        <f ca="1">[1]!BexGetData("DP_1","003N8EMH8GTFRIVNUPY288VJH","GSON5139399021")</f>
        <v>#NAME?</v>
      </c>
      <c r="L3397" s="23" t="e">
        <f ca="1">[1]!BexGetData("DP_1","003N8EMH8GTFRIVNUPY2891V1","GSON5139399021")</f>
        <v>#NAME?</v>
      </c>
      <c r="M3397" s="23" t="e">
        <f ca="1">[1]!BexGetData("DP_1","003N8EMH8GTFRIVOG7KG9IQXA","GSON5139399021")</f>
        <v>#NAME?</v>
      </c>
      <c r="N3397" s="28" t="e">
        <f ca="1">[1]!BexGetData("DP_1","003N8EMH8GTFRIVOG7KG9IX8U","GSON5139399021")</f>
        <v>#NAME?</v>
      </c>
      <c r="O3397" s="23" t="e">
        <f ca="1">[1]!BexGetData("DP_1","003N8EMH8GTFRIVOG7KG9J3KE","GSON5139399021")</f>
        <v>#NAME?</v>
      </c>
      <c r="P3397" s="28" t="e">
        <f ca="1">[1]!BexGetData("DP_1","003N8EMH8GTFRIVOG7KG9J9VY","GSON5139399021")</f>
        <v>#NAME?</v>
      </c>
      <c r="Q3397" s="24" t="e">
        <f ca="1">[1]!BexGetData("DP_1","00O2TNJGODT0G5Z4TTKYMM5MT","GSON5139399021")</f>
        <v>#NAME?</v>
      </c>
      <c r="R3397" s="23" t="e">
        <f ca="1">[1]!BexGetData("DP_1","00O2TNJGODT0G5Z4TTKYMMBYD","GSON5139399021")</f>
        <v>#NAME?</v>
      </c>
      <c r="S3397" s="23" t="e">
        <f ca="1">[1]!BexGetData("DP_1","00O2TNJGODT0G5Z4TTKYMMI9X","GSON5139399021")</f>
        <v>#NAME?</v>
      </c>
      <c r="T3397" s="28" t="e">
        <f ca="1">[1]!BexGetData("DP_1","00O2TNJGODT0G5Z4TTKYMMOLH","GSON5139399021")</f>
        <v>#NAME?</v>
      </c>
      <c r="U3397" s="23" t="e">
        <f ca="1">[1]!BexGetData("DP_1","00O2TNJGODT0G5Z4TTKYMMUX1","GSON5139399021")</f>
        <v>#NAME?</v>
      </c>
      <c r="V3397" s="28" t="e">
        <f ca="1">[1]!BexGetData("DP_1","00O2TNJGODT0G5Z4TTKYMN18L","GSON5139399021")</f>
        <v>#NAME?</v>
      </c>
      <c r="W3397" s="23" t="e">
        <f ca="1">[1]!BexGetData("DP_1","00O2TNJGODT0G5Z4TTKYMN7K5","GSON5139399021")</f>
        <v>#NAME?</v>
      </c>
    </row>
    <row r="3398" spans="1:23" x14ac:dyDescent="0.2">
      <c r="A3398" s="36" t="s">
        <v>6915</v>
      </c>
      <c r="B3398" s="27" t="s">
        <v>6916</v>
      </c>
      <c r="C3398" s="24" t="e">
        <f ca="1">[1]!BexGetData("DP_1","003N8EMH8GTFRCSWKMPXRR8GU","GSON5139399031")</f>
        <v>#NAME?</v>
      </c>
      <c r="D3398" s="24" t="e">
        <f ca="1">[1]!BexGetData("DP_1","003N8EMH8GTFRCSWKMPXRRESE","GSON5139399031")</f>
        <v>#NAME?</v>
      </c>
      <c r="E3398" s="24" t="e">
        <f ca="1">[1]!BexGetData("DP_1","003N8EMH8GTFRCSWKMPXRRL3Y","GSON5139399031")</f>
        <v>#NAME?</v>
      </c>
      <c r="F3398" s="23" t="e">
        <f ca="1">[1]!BexGetData("DP_1","003N8EMH8GTFRCSWKMPXRRRFI","GSON5139399031")</f>
        <v>#NAME?</v>
      </c>
      <c r="G3398" s="23" t="e">
        <f ca="1">[1]!BexGetData("DP_1","003N8EMH8GTFRCSWKMPXRRXR2","GSON5139399031")</f>
        <v>#NAME?</v>
      </c>
      <c r="H3398" s="28" t="e">
        <f ca="1">[1]!BexGetData("DP_1","003N8EMH8GTFRCSWKMPXRS42M","GSON5139399031")</f>
        <v>#NAME?</v>
      </c>
      <c r="I3398" s="23" t="e">
        <f ca="1">[1]!BexGetData("DP_1","003N8EMH8GTFRCSWKMPXRSAE6","GSON5139399031")</f>
        <v>#NAME?</v>
      </c>
      <c r="J3398" s="24" t="e">
        <f ca="1">[1]!BexGetData("DP_1","003N8EMH8GTFRCSWKMPXRSGPQ","GSON5139399031")</f>
        <v>#NAME?</v>
      </c>
      <c r="K3398" s="23" t="e">
        <f ca="1">[1]!BexGetData("DP_1","003N8EMH8GTFRIVNUPY288VJH","GSON5139399031")</f>
        <v>#NAME?</v>
      </c>
      <c r="L3398" s="23" t="e">
        <f ca="1">[1]!BexGetData("DP_1","003N8EMH8GTFRIVNUPY2891V1","GSON5139399031")</f>
        <v>#NAME?</v>
      </c>
      <c r="M3398" s="23" t="e">
        <f ca="1">[1]!BexGetData("DP_1","003N8EMH8GTFRIVOG7KG9IQXA","GSON5139399031")</f>
        <v>#NAME?</v>
      </c>
      <c r="N3398" s="28" t="e">
        <f ca="1">[1]!BexGetData("DP_1","003N8EMH8GTFRIVOG7KG9IX8U","GSON5139399031")</f>
        <v>#NAME?</v>
      </c>
      <c r="O3398" s="23" t="e">
        <f ca="1">[1]!BexGetData("DP_1","003N8EMH8GTFRIVOG7KG9J3KE","GSON5139399031")</f>
        <v>#NAME?</v>
      </c>
      <c r="P3398" s="28" t="e">
        <f ca="1">[1]!BexGetData("DP_1","003N8EMH8GTFRIVOG7KG9J9VY","GSON5139399031")</f>
        <v>#NAME?</v>
      </c>
      <c r="Q3398" s="24" t="e">
        <f ca="1">[1]!BexGetData("DP_1","00O2TNJGODT0G5Z4TTKYMM5MT","GSON5139399031")</f>
        <v>#NAME?</v>
      </c>
      <c r="R3398" s="23" t="e">
        <f ca="1">[1]!BexGetData("DP_1","00O2TNJGODT0G5Z4TTKYMMBYD","GSON5139399031")</f>
        <v>#NAME?</v>
      </c>
      <c r="S3398" s="23" t="e">
        <f ca="1">[1]!BexGetData("DP_1","00O2TNJGODT0G5Z4TTKYMMI9X","GSON5139399031")</f>
        <v>#NAME?</v>
      </c>
      <c r="T3398" s="28" t="e">
        <f ca="1">[1]!BexGetData("DP_1","00O2TNJGODT0G5Z4TTKYMMOLH","GSON5139399031")</f>
        <v>#NAME?</v>
      </c>
      <c r="U3398" s="23" t="e">
        <f ca="1">[1]!BexGetData("DP_1","00O2TNJGODT0G5Z4TTKYMMUX1","GSON5139399031")</f>
        <v>#NAME?</v>
      </c>
      <c r="V3398" s="28" t="e">
        <f ca="1">[1]!BexGetData("DP_1","00O2TNJGODT0G5Z4TTKYMN18L","GSON5139399031")</f>
        <v>#NAME?</v>
      </c>
      <c r="W3398" s="23" t="e">
        <f ca="1">[1]!BexGetData("DP_1","00O2TNJGODT0G5Z4TTKYMN7K5","GSON5139399031")</f>
        <v>#NAME?</v>
      </c>
    </row>
    <row r="3399" spans="1:23" x14ac:dyDescent="0.2">
      <c r="A3399" s="33" t="s">
        <v>592</v>
      </c>
      <c r="B3399" s="27" t="s">
        <v>593</v>
      </c>
      <c r="C3399" s="23" t="e">
        <f ca="1">[1]!BexGetData("DP_1","003N8EMH8GTFRCSWKMPXRR8GU","GSON52")</f>
        <v>#NAME?</v>
      </c>
      <c r="D3399" s="23" t="e">
        <f ca="1">[1]!BexGetData("DP_1","003N8EMH8GTFRCSWKMPXRRESE","GSON52")</f>
        <v>#NAME?</v>
      </c>
      <c r="E3399" s="23" t="e">
        <f ca="1">[1]!BexGetData("DP_1","003N8EMH8GTFRCSWKMPXRRL3Y","GSON52")</f>
        <v>#NAME?</v>
      </c>
      <c r="F3399" s="23" t="e">
        <f ca="1">[1]!BexGetData("DP_1","003N8EMH8GTFRCSWKMPXRRRFI","GSON52")</f>
        <v>#NAME?</v>
      </c>
      <c r="G3399" s="23" t="e">
        <f ca="1">[1]!BexGetData("DP_1","003N8EMH8GTFRCSWKMPXRRXR2","GSON52")</f>
        <v>#NAME?</v>
      </c>
      <c r="H3399" s="23" t="e">
        <f ca="1">[1]!BexGetData("DP_1","003N8EMH8GTFRCSWKMPXRS42M","GSON52")</f>
        <v>#NAME?</v>
      </c>
      <c r="I3399" s="23" t="e">
        <f ca="1">[1]!BexGetData("DP_1","003N8EMH8GTFRCSWKMPXRSAE6","GSON52")</f>
        <v>#NAME?</v>
      </c>
      <c r="J3399" s="24" t="e">
        <f ca="1">[1]!BexGetData("DP_1","003N8EMH8GTFRCSWKMPXRSGPQ","GSON52")</f>
        <v>#NAME?</v>
      </c>
      <c r="K3399" s="23" t="e">
        <f ca="1">[1]!BexGetData("DP_1","003N8EMH8GTFRIVNUPY288VJH","GSON52")</f>
        <v>#NAME?</v>
      </c>
      <c r="L3399" s="23" t="e">
        <f ca="1">[1]!BexGetData("DP_1","003N8EMH8GTFRIVNUPY2891V1","GSON52")</f>
        <v>#NAME?</v>
      </c>
      <c r="M3399" s="28" t="e">
        <f ca="1">[1]!BexGetData("DP_1","003N8EMH8GTFRIVOG7KG9IQXA","GSON52")</f>
        <v>#NAME?</v>
      </c>
      <c r="N3399" s="23" t="e">
        <f ca="1">[1]!BexGetData("DP_1","003N8EMH8GTFRIVOG7KG9IX8U","GSON52")</f>
        <v>#NAME?</v>
      </c>
      <c r="O3399" s="28" t="e">
        <f ca="1">[1]!BexGetData("DP_1","003N8EMH8GTFRIVOG7KG9J3KE","GSON52")</f>
        <v>#NAME?</v>
      </c>
      <c r="P3399" s="23" t="e">
        <f ca="1">[1]!BexGetData("DP_1","003N8EMH8GTFRIVOG7KG9J9VY","GSON52")</f>
        <v>#NAME?</v>
      </c>
      <c r="Q3399" s="24" t="e">
        <f ca="1">[1]!BexGetData("DP_1","00O2TNJGODT0G5Z4TTKYMM5MT","GSON52")</f>
        <v>#NAME?</v>
      </c>
      <c r="R3399" s="23" t="e">
        <f ca="1">[1]!BexGetData("DP_1","00O2TNJGODT0G5Z4TTKYMMBYD","GSON52")</f>
        <v>#NAME?</v>
      </c>
      <c r="S3399" s="23" t="e">
        <f ca="1">[1]!BexGetData("DP_1","00O2TNJGODT0G5Z4TTKYMMI9X","GSON52")</f>
        <v>#NAME?</v>
      </c>
      <c r="T3399" s="28" t="e">
        <f ca="1">[1]!BexGetData("DP_1","00O2TNJGODT0G5Z4TTKYMMOLH","GSON52")</f>
        <v>#NAME?</v>
      </c>
      <c r="U3399" s="23" t="e">
        <f ca="1">[1]!BexGetData("DP_1","00O2TNJGODT0G5Z4TTKYMMUX1","GSON52")</f>
        <v>#NAME?</v>
      </c>
      <c r="V3399" s="28" t="e">
        <f ca="1">[1]!BexGetData("DP_1","00O2TNJGODT0G5Z4TTKYMN18L","GSON52")</f>
        <v>#NAME?</v>
      </c>
      <c r="W3399" s="23" t="e">
        <f ca="1">[1]!BexGetData("DP_1","00O2TNJGODT0G5Z4TTKYMN7K5","GSON52")</f>
        <v>#NAME?</v>
      </c>
    </row>
    <row r="3400" spans="1:23" x14ac:dyDescent="0.2">
      <c r="A3400" s="34" t="s">
        <v>594</v>
      </c>
      <c r="B3400" s="27" t="s">
        <v>595</v>
      </c>
      <c r="C3400" s="23" t="e">
        <f ca="1">[1]!BexGetData("DP_1","003N8EMH8GTFRCSWKMPXRR8GU","GSON521")</f>
        <v>#NAME?</v>
      </c>
      <c r="D3400" s="23" t="e">
        <f ca="1">[1]!BexGetData("DP_1","003N8EMH8GTFRCSWKMPXRRESE","GSON521")</f>
        <v>#NAME?</v>
      </c>
      <c r="E3400" s="23" t="e">
        <f ca="1">[1]!BexGetData("DP_1","003N8EMH8GTFRCSWKMPXRRL3Y","GSON521")</f>
        <v>#NAME?</v>
      </c>
      <c r="F3400" s="23" t="e">
        <f ca="1">[1]!BexGetData("DP_1","003N8EMH8GTFRCSWKMPXRRRFI","GSON521")</f>
        <v>#NAME?</v>
      </c>
      <c r="G3400" s="23" t="e">
        <f ca="1">[1]!BexGetData("DP_1","003N8EMH8GTFRCSWKMPXRRXR2","GSON521")</f>
        <v>#NAME?</v>
      </c>
      <c r="H3400" s="23" t="e">
        <f ca="1">[1]!BexGetData("DP_1","003N8EMH8GTFRCSWKMPXRS42M","GSON521")</f>
        <v>#NAME?</v>
      </c>
      <c r="I3400" s="23" t="e">
        <f ca="1">[1]!BexGetData("DP_1","003N8EMH8GTFRCSWKMPXRSAE6","GSON521")</f>
        <v>#NAME?</v>
      </c>
      <c r="J3400" s="24" t="e">
        <f ca="1">[1]!BexGetData("DP_1","003N8EMH8GTFRCSWKMPXRSGPQ","GSON521")</f>
        <v>#NAME?</v>
      </c>
      <c r="K3400" s="23" t="e">
        <f ca="1">[1]!BexGetData("DP_1","003N8EMH8GTFRIVNUPY288VJH","GSON521")</f>
        <v>#NAME?</v>
      </c>
      <c r="L3400" s="23" t="e">
        <f ca="1">[1]!BexGetData("DP_1","003N8EMH8GTFRIVNUPY2891V1","GSON521")</f>
        <v>#NAME?</v>
      </c>
      <c r="M3400" s="28" t="e">
        <f ca="1">[1]!BexGetData("DP_1","003N8EMH8GTFRIVOG7KG9IQXA","GSON521")</f>
        <v>#NAME?</v>
      </c>
      <c r="N3400" s="23" t="e">
        <f ca="1">[1]!BexGetData("DP_1","003N8EMH8GTFRIVOG7KG9IX8U","GSON521")</f>
        <v>#NAME?</v>
      </c>
      <c r="O3400" s="28" t="e">
        <f ca="1">[1]!BexGetData("DP_1","003N8EMH8GTFRIVOG7KG9J3KE","GSON521")</f>
        <v>#NAME?</v>
      </c>
      <c r="P3400" s="23" t="e">
        <f ca="1">[1]!BexGetData("DP_1","003N8EMH8GTFRIVOG7KG9J9VY","GSON521")</f>
        <v>#NAME?</v>
      </c>
      <c r="Q3400" s="24" t="e">
        <f ca="1">[1]!BexGetData("DP_1","00O2TNJGODT0G5Z4TTKYMM5MT","GSON521")</f>
        <v>#NAME?</v>
      </c>
      <c r="R3400" s="23" t="e">
        <f ca="1">[1]!BexGetData("DP_1","00O2TNJGODT0G5Z4TTKYMMBYD","GSON521")</f>
        <v>#NAME?</v>
      </c>
      <c r="S3400" s="23" t="e">
        <f ca="1">[1]!BexGetData("DP_1","00O2TNJGODT0G5Z4TTKYMMI9X","GSON521")</f>
        <v>#NAME?</v>
      </c>
      <c r="T3400" s="28" t="e">
        <f ca="1">[1]!BexGetData("DP_1","00O2TNJGODT0G5Z4TTKYMMOLH","GSON521")</f>
        <v>#NAME?</v>
      </c>
      <c r="U3400" s="23" t="e">
        <f ca="1">[1]!BexGetData("DP_1","00O2TNJGODT0G5Z4TTKYMMUX1","GSON521")</f>
        <v>#NAME?</v>
      </c>
      <c r="V3400" s="28" t="e">
        <f ca="1">[1]!BexGetData("DP_1","00O2TNJGODT0G5Z4TTKYMN18L","GSON521")</f>
        <v>#NAME?</v>
      </c>
      <c r="W3400" s="23" t="e">
        <f ca="1">[1]!BexGetData("DP_1","00O2TNJGODT0G5Z4TTKYMN7K5","GSON521")</f>
        <v>#NAME?</v>
      </c>
    </row>
    <row r="3401" spans="1:23" x14ac:dyDescent="0.2">
      <c r="A3401" s="35" t="s">
        <v>1578</v>
      </c>
      <c r="B3401" s="27" t="s">
        <v>1579</v>
      </c>
      <c r="C3401" s="23" t="e">
        <f ca="1">[1]!BexGetData("DP_1","003N8EMH8GTFRCSWKMPXRR8GU","GSON5211")</f>
        <v>#NAME?</v>
      </c>
      <c r="D3401" s="23" t="e">
        <f ca="1">[1]!BexGetData("DP_1","003N8EMH8GTFRCSWKMPXRRESE","GSON5211")</f>
        <v>#NAME?</v>
      </c>
      <c r="E3401" s="23" t="e">
        <f ca="1">[1]!BexGetData("DP_1","003N8EMH8GTFRCSWKMPXRRL3Y","GSON5211")</f>
        <v>#NAME?</v>
      </c>
      <c r="F3401" s="23" t="e">
        <f ca="1">[1]!BexGetData("DP_1","003N8EMH8GTFRCSWKMPXRRRFI","GSON5211")</f>
        <v>#NAME?</v>
      </c>
      <c r="G3401" s="23" t="e">
        <f ca="1">[1]!BexGetData("DP_1","003N8EMH8GTFRCSWKMPXRRXR2","GSON5211")</f>
        <v>#NAME?</v>
      </c>
      <c r="H3401" s="23" t="e">
        <f ca="1">[1]!BexGetData("DP_1","003N8EMH8GTFRCSWKMPXRS42M","GSON5211")</f>
        <v>#NAME?</v>
      </c>
      <c r="I3401" s="23" t="e">
        <f ca="1">[1]!BexGetData("DP_1","003N8EMH8GTFRCSWKMPXRSAE6","GSON5211")</f>
        <v>#NAME?</v>
      </c>
      <c r="J3401" s="24" t="e">
        <f ca="1">[1]!BexGetData("DP_1","003N8EMH8GTFRCSWKMPXRSGPQ","GSON5211")</f>
        <v>#NAME?</v>
      </c>
      <c r="K3401" s="23" t="e">
        <f ca="1">[1]!BexGetData("DP_1","003N8EMH8GTFRIVNUPY288VJH","GSON5211")</f>
        <v>#NAME?</v>
      </c>
      <c r="L3401" s="23" t="e">
        <f ca="1">[1]!BexGetData("DP_1","003N8EMH8GTFRIVNUPY2891V1","GSON5211")</f>
        <v>#NAME?</v>
      </c>
      <c r="M3401" s="23" t="e">
        <f ca="1">[1]!BexGetData("DP_1","003N8EMH8GTFRIVOG7KG9IQXA","GSON5211")</f>
        <v>#NAME?</v>
      </c>
      <c r="N3401" s="28" t="e">
        <f ca="1">[1]!BexGetData("DP_1","003N8EMH8GTFRIVOG7KG9IX8U","GSON5211")</f>
        <v>#NAME?</v>
      </c>
      <c r="O3401" s="23" t="e">
        <f ca="1">[1]!BexGetData("DP_1","003N8EMH8GTFRIVOG7KG9J3KE","GSON5211")</f>
        <v>#NAME?</v>
      </c>
      <c r="P3401" s="28" t="e">
        <f ca="1">[1]!BexGetData("DP_1","003N8EMH8GTFRIVOG7KG9J9VY","GSON5211")</f>
        <v>#NAME?</v>
      </c>
      <c r="Q3401" s="24" t="e">
        <f ca="1">[1]!BexGetData("DP_1","00O2TNJGODT0G5Z4TTKYMM5MT","GSON5211")</f>
        <v>#NAME?</v>
      </c>
      <c r="R3401" s="23" t="e">
        <f ca="1">[1]!BexGetData("DP_1","00O2TNJGODT0G5Z4TTKYMMBYD","GSON5211")</f>
        <v>#NAME?</v>
      </c>
      <c r="S3401" s="23" t="e">
        <f ca="1">[1]!BexGetData("DP_1","00O2TNJGODT0G5Z4TTKYMMI9X","GSON5211")</f>
        <v>#NAME?</v>
      </c>
      <c r="T3401" s="28" t="e">
        <f ca="1">[1]!BexGetData("DP_1","00O2TNJGODT0G5Z4TTKYMMOLH","GSON5211")</f>
        <v>#NAME?</v>
      </c>
      <c r="U3401" s="23" t="e">
        <f ca="1">[1]!BexGetData("DP_1","00O2TNJGODT0G5Z4TTKYMMUX1","GSON5211")</f>
        <v>#NAME?</v>
      </c>
      <c r="V3401" s="28" t="e">
        <f ca="1">[1]!BexGetData("DP_1","00O2TNJGODT0G5Z4TTKYMN18L","GSON5211")</f>
        <v>#NAME?</v>
      </c>
      <c r="W3401" s="23" t="e">
        <f ca="1">[1]!BexGetData("DP_1","00O2TNJGODT0G5Z4TTKYMN7K5","GSON5211")</f>
        <v>#NAME?</v>
      </c>
    </row>
    <row r="3402" spans="1:23" x14ac:dyDescent="0.2">
      <c r="A3402" s="36" t="s">
        <v>6917</v>
      </c>
      <c r="B3402" s="27" t="s">
        <v>6918</v>
      </c>
      <c r="C3402" s="23" t="e">
        <f ca="1">[1]!BexGetData("DP_1","003N8EMH8GTFRCSWKMPXRR8GU","GSON5211411011")</f>
        <v>#NAME?</v>
      </c>
      <c r="D3402" s="23" t="e">
        <f ca="1">[1]!BexGetData("DP_1","003N8EMH8GTFRCSWKMPXRRESE","GSON5211411011")</f>
        <v>#NAME?</v>
      </c>
      <c r="E3402" s="23" t="e">
        <f ca="1">[1]!BexGetData("DP_1","003N8EMH8GTFRCSWKMPXRRL3Y","GSON5211411011")</f>
        <v>#NAME?</v>
      </c>
      <c r="F3402" s="23" t="e">
        <f ca="1">[1]!BexGetData("DP_1","003N8EMH8GTFRCSWKMPXRRRFI","GSON5211411011")</f>
        <v>#NAME?</v>
      </c>
      <c r="G3402" s="23" t="e">
        <f ca="1">[1]!BexGetData("DP_1","003N8EMH8GTFRCSWKMPXRRXR2","GSON5211411011")</f>
        <v>#NAME?</v>
      </c>
      <c r="H3402" s="23" t="e">
        <f ca="1">[1]!BexGetData("DP_1","003N8EMH8GTFRCSWKMPXRS42M","GSON5211411011")</f>
        <v>#NAME?</v>
      </c>
      <c r="I3402" s="23" t="e">
        <f ca="1">[1]!BexGetData("DP_1","003N8EMH8GTFRCSWKMPXRSAE6","GSON5211411011")</f>
        <v>#NAME?</v>
      </c>
      <c r="J3402" s="24" t="e">
        <f ca="1">[1]!BexGetData("DP_1","003N8EMH8GTFRCSWKMPXRSGPQ","GSON5211411011")</f>
        <v>#NAME?</v>
      </c>
      <c r="K3402" s="23" t="e">
        <f ca="1">[1]!BexGetData("DP_1","003N8EMH8GTFRIVNUPY288VJH","GSON5211411011")</f>
        <v>#NAME?</v>
      </c>
      <c r="L3402" s="23" t="e">
        <f ca="1">[1]!BexGetData("DP_1","003N8EMH8GTFRIVNUPY2891V1","GSON5211411011")</f>
        <v>#NAME?</v>
      </c>
      <c r="M3402" s="28" t="e">
        <f ca="1">[1]!BexGetData("DP_1","003N8EMH8GTFRIVOG7KG9IQXA","GSON5211411011")</f>
        <v>#NAME?</v>
      </c>
      <c r="N3402" s="23" t="e">
        <f ca="1">[1]!BexGetData("DP_1","003N8EMH8GTFRIVOG7KG9IX8U","GSON5211411011")</f>
        <v>#NAME?</v>
      </c>
      <c r="O3402" s="28" t="e">
        <f ca="1">[1]!BexGetData("DP_1","003N8EMH8GTFRIVOG7KG9J3KE","GSON5211411011")</f>
        <v>#NAME?</v>
      </c>
      <c r="P3402" s="23" t="e">
        <f ca="1">[1]!BexGetData("DP_1","003N8EMH8GTFRIVOG7KG9J9VY","GSON5211411011")</f>
        <v>#NAME?</v>
      </c>
      <c r="Q3402" s="24" t="e">
        <f ca="1">[1]!BexGetData("DP_1","00O2TNJGODT0G5Z4TTKYMM5MT","GSON5211411011")</f>
        <v>#NAME?</v>
      </c>
      <c r="R3402" s="23" t="e">
        <f ca="1">[1]!BexGetData("DP_1","00O2TNJGODT0G5Z4TTKYMMBYD","GSON5211411011")</f>
        <v>#NAME?</v>
      </c>
      <c r="S3402" s="23" t="e">
        <f ca="1">[1]!BexGetData("DP_1","00O2TNJGODT0G5Z4TTKYMMI9X","GSON5211411011")</f>
        <v>#NAME?</v>
      </c>
      <c r="T3402" s="28" t="e">
        <f ca="1">[1]!BexGetData("DP_1","00O2TNJGODT0G5Z4TTKYMMOLH","GSON5211411011")</f>
        <v>#NAME?</v>
      </c>
      <c r="U3402" s="23" t="e">
        <f ca="1">[1]!BexGetData("DP_1","00O2TNJGODT0G5Z4TTKYMMUX1","GSON5211411011")</f>
        <v>#NAME?</v>
      </c>
      <c r="V3402" s="28" t="e">
        <f ca="1">[1]!BexGetData("DP_1","00O2TNJGODT0G5Z4TTKYMN18L","GSON5211411011")</f>
        <v>#NAME?</v>
      </c>
      <c r="W3402" s="23" t="e">
        <f ca="1">[1]!BexGetData("DP_1","00O2TNJGODT0G5Z4TTKYMN7K5","GSON5211411011")</f>
        <v>#NAME?</v>
      </c>
    </row>
    <row r="3403" spans="1:23" x14ac:dyDescent="0.2">
      <c r="A3403" s="36" t="s">
        <v>6919</v>
      </c>
      <c r="B3403" s="27" t="s">
        <v>6920</v>
      </c>
      <c r="C3403" s="23" t="e">
        <f ca="1">[1]!BexGetData("DP_1","003N8EMH8GTFRCSWKMPXRR8GU","GSON5211411021")</f>
        <v>#NAME?</v>
      </c>
      <c r="D3403" s="23" t="e">
        <f ca="1">[1]!BexGetData("DP_1","003N8EMH8GTFRCSWKMPXRRESE","GSON5211411021")</f>
        <v>#NAME?</v>
      </c>
      <c r="E3403" s="23" t="e">
        <f ca="1">[1]!BexGetData("DP_1","003N8EMH8GTFRCSWKMPXRRL3Y","GSON5211411021")</f>
        <v>#NAME?</v>
      </c>
      <c r="F3403" s="23" t="e">
        <f ca="1">[1]!BexGetData("DP_1","003N8EMH8GTFRCSWKMPXRRRFI","GSON5211411021")</f>
        <v>#NAME?</v>
      </c>
      <c r="G3403" s="23" t="e">
        <f ca="1">[1]!BexGetData("DP_1","003N8EMH8GTFRCSWKMPXRRXR2","GSON5211411021")</f>
        <v>#NAME?</v>
      </c>
      <c r="H3403" s="23" t="e">
        <f ca="1">[1]!BexGetData("DP_1","003N8EMH8GTFRCSWKMPXRS42M","GSON5211411021")</f>
        <v>#NAME?</v>
      </c>
      <c r="I3403" s="23" t="e">
        <f ca="1">[1]!BexGetData("DP_1","003N8EMH8GTFRCSWKMPXRSAE6","GSON5211411021")</f>
        <v>#NAME?</v>
      </c>
      <c r="J3403" s="24" t="e">
        <f ca="1">[1]!BexGetData("DP_1","003N8EMH8GTFRCSWKMPXRSGPQ","GSON5211411021")</f>
        <v>#NAME?</v>
      </c>
      <c r="K3403" s="23" t="e">
        <f ca="1">[1]!BexGetData("DP_1","003N8EMH8GTFRIVNUPY288VJH","GSON5211411021")</f>
        <v>#NAME?</v>
      </c>
      <c r="L3403" s="23" t="e">
        <f ca="1">[1]!BexGetData("DP_1","003N8EMH8GTFRIVNUPY2891V1","GSON5211411021")</f>
        <v>#NAME?</v>
      </c>
      <c r="M3403" s="23" t="e">
        <f ca="1">[1]!BexGetData("DP_1","003N8EMH8GTFRIVOG7KG9IQXA","GSON5211411021")</f>
        <v>#NAME?</v>
      </c>
      <c r="N3403" s="28" t="e">
        <f ca="1">[1]!BexGetData("DP_1","003N8EMH8GTFRIVOG7KG9IX8U","GSON5211411021")</f>
        <v>#NAME?</v>
      </c>
      <c r="O3403" s="23" t="e">
        <f ca="1">[1]!BexGetData("DP_1","003N8EMH8GTFRIVOG7KG9J3KE","GSON5211411021")</f>
        <v>#NAME?</v>
      </c>
      <c r="P3403" s="28" t="e">
        <f ca="1">[1]!BexGetData("DP_1","003N8EMH8GTFRIVOG7KG9J9VY","GSON5211411021")</f>
        <v>#NAME?</v>
      </c>
      <c r="Q3403" s="24" t="e">
        <f ca="1">[1]!BexGetData("DP_1","00O2TNJGODT0G5Z4TTKYMM5MT","GSON5211411021")</f>
        <v>#NAME?</v>
      </c>
      <c r="R3403" s="23" t="e">
        <f ca="1">[1]!BexGetData("DP_1","00O2TNJGODT0G5Z4TTKYMMBYD","GSON5211411021")</f>
        <v>#NAME?</v>
      </c>
      <c r="S3403" s="23" t="e">
        <f ca="1">[1]!BexGetData("DP_1","00O2TNJGODT0G5Z4TTKYMMI9X","GSON5211411021")</f>
        <v>#NAME?</v>
      </c>
      <c r="T3403" s="28" t="e">
        <f ca="1">[1]!BexGetData("DP_1","00O2TNJGODT0G5Z4TTKYMMOLH","GSON5211411021")</f>
        <v>#NAME?</v>
      </c>
      <c r="U3403" s="23" t="e">
        <f ca="1">[1]!BexGetData("DP_1","00O2TNJGODT0G5Z4TTKYMMUX1","GSON5211411021")</f>
        <v>#NAME?</v>
      </c>
      <c r="V3403" s="28" t="e">
        <f ca="1">[1]!BexGetData("DP_1","00O2TNJGODT0G5Z4TTKYMN18L","GSON5211411021")</f>
        <v>#NAME?</v>
      </c>
      <c r="W3403" s="23" t="e">
        <f ca="1">[1]!BexGetData("DP_1","00O2TNJGODT0G5Z4TTKYMN7K5","GSON5211411021")</f>
        <v>#NAME?</v>
      </c>
    </row>
    <row r="3404" spans="1:23" x14ac:dyDescent="0.2">
      <c r="A3404" s="36" t="s">
        <v>6921</v>
      </c>
      <c r="B3404" s="27" t="s">
        <v>6922</v>
      </c>
      <c r="C3404" s="23" t="e">
        <f ca="1">[1]!BexGetData("DP_1","003N8EMH8GTFRCSWKMPXRR8GU","GSON5211411031")</f>
        <v>#NAME?</v>
      </c>
      <c r="D3404" s="23" t="e">
        <f ca="1">[1]!BexGetData("DP_1","003N8EMH8GTFRCSWKMPXRRESE","GSON5211411031")</f>
        <v>#NAME?</v>
      </c>
      <c r="E3404" s="23" t="e">
        <f ca="1">[1]!BexGetData("DP_1","003N8EMH8GTFRCSWKMPXRRL3Y","GSON5211411031")</f>
        <v>#NAME?</v>
      </c>
      <c r="F3404" s="23" t="e">
        <f ca="1">[1]!BexGetData("DP_1","003N8EMH8GTFRCSWKMPXRRRFI","GSON5211411031")</f>
        <v>#NAME?</v>
      </c>
      <c r="G3404" s="23" t="e">
        <f ca="1">[1]!BexGetData("DP_1","003N8EMH8GTFRCSWKMPXRRXR2","GSON5211411031")</f>
        <v>#NAME?</v>
      </c>
      <c r="H3404" s="23" t="e">
        <f ca="1">[1]!BexGetData("DP_1","003N8EMH8GTFRCSWKMPXRS42M","GSON5211411031")</f>
        <v>#NAME?</v>
      </c>
      <c r="I3404" s="23" t="e">
        <f ca="1">[1]!BexGetData("DP_1","003N8EMH8GTFRCSWKMPXRSAE6","GSON5211411031")</f>
        <v>#NAME?</v>
      </c>
      <c r="J3404" s="24" t="e">
        <f ca="1">[1]!BexGetData("DP_1","003N8EMH8GTFRCSWKMPXRSGPQ","GSON5211411031")</f>
        <v>#NAME?</v>
      </c>
      <c r="K3404" s="23" t="e">
        <f ca="1">[1]!BexGetData("DP_1","003N8EMH8GTFRIVNUPY288VJH","GSON5211411031")</f>
        <v>#NAME?</v>
      </c>
      <c r="L3404" s="23" t="e">
        <f ca="1">[1]!BexGetData("DP_1","003N8EMH8GTFRIVNUPY2891V1","GSON5211411031")</f>
        <v>#NAME?</v>
      </c>
      <c r="M3404" s="28" t="e">
        <f ca="1">[1]!BexGetData("DP_1","003N8EMH8GTFRIVOG7KG9IQXA","GSON5211411031")</f>
        <v>#NAME?</v>
      </c>
      <c r="N3404" s="23" t="e">
        <f ca="1">[1]!BexGetData("DP_1","003N8EMH8GTFRIVOG7KG9IX8U","GSON5211411031")</f>
        <v>#NAME?</v>
      </c>
      <c r="O3404" s="28" t="e">
        <f ca="1">[1]!BexGetData("DP_1","003N8EMH8GTFRIVOG7KG9J3KE","GSON5211411031")</f>
        <v>#NAME?</v>
      </c>
      <c r="P3404" s="23" t="e">
        <f ca="1">[1]!BexGetData("DP_1","003N8EMH8GTFRIVOG7KG9J9VY","GSON5211411031")</f>
        <v>#NAME?</v>
      </c>
      <c r="Q3404" s="24" t="e">
        <f ca="1">[1]!BexGetData("DP_1","00O2TNJGODT0G5Z4TTKYMM5MT","GSON5211411031")</f>
        <v>#NAME?</v>
      </c>
      <c r="R3404" s="23" t="e">
        <f ca="1">[1]!BexGetData("DP_1","00O2TNJGODT0G5Z4TTKYMMBYD","GSON5211411031")</f>
        <v>#NAME?</v>
      </c>
      <c r="S3404" s="23" t="e">
        <f ca="1">[1]!BexGetData("DP_1","00O2TNJGODT0G5Z4TTKYMMI9X","GSON5211411031")</f>
        <v>#NAME?</v>
      </c>
      <c r="T3404" s="28" t="e">
        <f ca="1">[1]!BexGetData("DP_1","00O2TNJGODT0G5Z4TTKYMMOLH","GSON5211411031")</f>
        <v>#NAME?</v>
      </c>
      <c r="U3404" s="23" t="e">
        <f ca="1">[1]!BexGetData("DP_1","00O2TNJGODT0G5Z4TTKYMMUX1","GSON5211411031")</f>
        <v>#NAME?</v>
      </c>
      <c r="V3404" s="28" t="e">
        <f ca="1">[1]!BexGetData("DP_1","00O2TNJGODT0G5Z4TTKYMN18L","GSON5211411031")</f>
        <v>#NAME?</v>
      </c>
      <c r="W3404" s="23" t="e">
        <f ca="1">[1]!BexGetData("DP_1","00O2TNJGODT0G5Z4TTKYMN7K5","GSON5211411031")</f>
        <v>#NAME?</v>
      </c>
    </row>
    <row r="3405" spans="1:23" x14ac:dyDescent="0.2">
      <c r="A3405" s="36" t="s">
        <v>6923</v>
      </c>
      <c r="B3405" s="27" t="s">
        <v>6924</v>
      </c>
      <c r="C3405" s="23" t="e">
        <f ca="1">[1]!BexGetData("DP_1","003N8EMH8GTFRCSWKMPXRR8GU","GSON5211411041")</f>
        <v>#NAME?</v>
      </c>
      <c r="D3405" s="23" t="e">
        <f ca="1">[1]!BexGetData("DP_1","003N8EMH8GTFRCSWKMPXRRESE","GSON5211411041")</f>
        <v>#NAME?</v>
      </c>
      <c r="E3405" s="23" t="e">
        <f ca="1">[1]!BexGetData("DP_1","003N8EMH8GTFRCSWKMPXRRL3Y","GSON5211411041")</f>
        <v>#NAME?</v>
      </c>
      <c r="F3405" s="23" t="e">
        <f ca="1">[1]!BexGetData("DP_1","003N8EMH8GTFRCSWKMPXRRRFI","GSON5211411041")</f>
        <v>#NAME?</v>
      </c>
      <c r="G3405" s="23" t="e">
        <f ca="1">[1]!BexGetData("DP_1","003N8EMH8GTFRCSWKMPXRRXR2","GSON5211411041")</f>
        <v>#NAME?</v>
      </c>
      <c r="H3405" s="23" t="e">
        <f ca="1">[1]!BexGetData("DP_1","003N8EMH8GTFRCSWKMPXRS42M","GSON5211411041")</f>
        <v>#NAME?</v>
      </c>
      <c r="I3405" s="23" t="e">
        <f ca="1">[1]!BexGetData("DP_1","003N8EMH8GTFRCSWKMPXRSAE6","GSON5211411041")</f>
        <v>#NAME?</v>
      </c>
      <c r="J3405" s="24" t="e">
        <f ca="1">[1]!BexGetData("DP_1","003N8EMH8GTFRCSWKMPXRSGPQ","GSON5211411041")</f>
        <v>#NAME?</v>
      </c>
      <c r="K3405" s="23" t="e">
        <f ca="1">[1]!BexGetData("DP_1","003N8EMH8GTFRIVNUPY288VJH","GSON5211411041")</f>
        <v>#NAME?</v>
      </c>
      <c r="L3405" s="23" t="e">
        <f ca="1">[1]!BexGetData("DP_1","003N8EMH8GTFRIVNUPY2891V1","GSON5211411041")</f>
        <v>#NAME?</v>
      </c>
      <c r="M3405" s="23" t="e">
        <f ca="1">[1]!BexGetData("DP_1","003N8EMH8GTFRIVOG7KG9IQXA","GSON5211411041")</f>
        <v>#NAME?</v>
      </c>
      <c r="N3405" s="28" t="e">
        <f ca="1">[1]!BexGetData("DP_1","003N8EMH8GTFRIVOG7KG9IX8U","GSON5211411041")</f>
        <v>#NAME?</v>
      </c>
      <c r="O3405" s="23" t="e">
        <f ca="1">[1]!BexGetData("DP_1","003N8EMH8GTFRIVOG7KG9J3KE","GSON5211411041")</f>
        <v>#NAME?</v>
      </c>
      <c r="P3405" s="28" t="e">
        <f ca="1">[1]!BexGetData("DP_1","003N8EMH8GTFRIVOG7KG9J9VY","GSON5211411041")</f>
        <v>#NAME?</v>
      </c>
      <c r="Q3405" s="24" t="e">
        <f ca="1">[1]!BexGetData("DP_1","00O2TNJGODT0G5Z4TTKYMM5MT","GSON5211411041")</f>
        <v>#NAME?</v>
      </c>
      <c r="R3405" s="23" t="e">
        <f ca="1">[1]!BexGetData("DP_1","00O2TNJGODT0G5Z4TTKYMMBYD","GSON5211411041")</f>
        <v>#NAME?</v>
      </c>
      <c r="S3405" s="23" t="e">
        <f ca="1">[1]!BexGetData("DP_1","00O2TNJGODT0G5Z4TTKYMMI9X","GSON5211411041")</f>
        <v>#NAME?</v>
      </c>
      <c r="T3405" s="28" t="e">
        <f ca="1">[1]!BexGetData("DP_1","00O2TNJGODT0G5Z4TTKYMMOLH","GSON5211411041")</f>
        <v>#NAME?</v>
      </c>
      <c r="U3405" s="23" t="e">
        <f ca="1">[1]!BexGetData("DP_1","00O2TNJGODT0G5Z4TTKYMMUX1","GSON5211411041")</f>
        <v>#NAME?</v>
      </c>
      <c r="V3405" s="28" t="e">
        <f ca="1">[1]!BexGetData("DP_1","00O2TNJGODT0G5Z4TTKYMN18L","GSON5211411041")</f>
        <v>#NAME?</v>
      </c>
      <c r="W3405" s="23" t="e">
        <f ca="1">[1]!BexGetData("DP_1","00O2TNJGODT0G5Z4TTKYMN7K5","GSON5211411041")</f>
        <v>#NAME?</v>
      </c>
    </row>
    <row r="3406" spans="1:23" x14ac:dyDescent="0.2">
      <c r="A3406" s="36" t="s">
        <v>6925</v>
      </c>
      <c r="B3406" s="27" t="s">
        <v>6926</v>
      </c>
      <c r="C3406" s="23" t="e">
        <f ca="1">[1]!BexGetData("DP_1","003N8EMH8GTFRCSWKMPXRR8GU","GSON5211411051")</f>
        <v>#NAME?</v>
      </c>
      <c r="D3406" s="28" t="e">
        <f ca="1">[1]!BexGetData("DP_1","003N8EMH8GTFRCSWKMPXRRESE","GSON5211411051")</f>
        <v>#NAME?</v>
      </c>
      <c r="E3406" s="23" t="e">
        <f ca="1">[1]!BexGetData("DP_1","003N8EMH8GTFRCSWKMPXRRL3Y","GSON5211411051")</f>
        <v>#NAME?</v>
      </c>
      <c r="F3406" s="23" t="e">
        <f ca="1">[1]!BexGetData("DP_1","003N8EMH8GTFRCSWKMPXRRRFI","GSON5211411051")</f>
        <v>#NAME?</v>
      </c>
      <c r="G3406" s="23" t="e">
        <f ca="1">[1]!BexGetData("DP_1","003N8EMH8GTFRCSWKMPXRRXR2","GSON5211411051")</f>
        <v>#NAME?</v>
      </c>
      <c r="H3406" s="23" t="e">
        <f ca="1">[1]!BexGetData("DP_1","003N8EMH8GTFRCSWKMPXRS42M","GSON5211411051")</f>
        <v>#NAME?</v>
      </c>
      <c r="I3406" s="23" t="e">
        <f ca="1">[1]!BexGetData("DP_1","003N8EMH8GTFRCSWKMPXRSAE6","GSON5211411051")</f>
        <v>#NAME?</v>
      </c>
      <c r="J3406" s="24" t="e">
        <f ca="1">[1]!BexGetData("DP_1","003N8EMH8GTFRCSWKMPXRSGPQ","GSON5211411051")</f>
        <v>#NAME?</v>
      </c>
      <c r="K3406" s="23" t="e">
        <f ca="1">[1]!BexGetData("DP_1","003N8EMH8GTFRIVNUPY288VJH","GSON5211411051")</f>
        <v>#NAME?</v>
      </c>
      <c r="L3406" s="23" t="e">
        <f ca="1">[1]!BexGetData("DP_1","003N8EMH8GTFRIVNUPY2891V1","GSON5211411051")</f>
        <v>#NAME?</v>
      </c>
      <c r="M3406" s="28" t="e">
        <f ca="1">[1]!BexGetData("DP_1","003N8EMH8GTFRIVOG7KG9IQXA","GSON5211411051")</f>
        <v>#NAME?</v>
      </c>
      <c r="N3406" s="23" t="e">
        <f ca="1">[1]!BexGetData("DP_1","003N8EMH8GTFRIVOG7KG9IX8U","GSON5211411051")</f>
        <v>#NAME?</v>
      </c>
      <c r="O3406" s="28" t="e">
        <f ca="1">[1]!BexGetData("DP_1","003N8EMH8GTFRIVOG7KG9J3KE","GSON5211411051")</f>
        <v>#NAME?</v>
      </c>
      <c r="P3406" s="23" t="e">
        <f ca="1">[1]!BexGetData("DP_1","003N8EMH8GTFRIVOG7KG9J9VY","GSON5211411051")</f>
        <v>#NAME?</v>
      </c>
      <c r="Q3406" s="24" t="e">
        <f ca="1">[1]!BexGetData("DP_1","00O2TNJGODT0G5Z4TTKYMM5MT","GSON5211411051")</f>
        <v>#NAME?</v>
      </c>
      <c r="R3406" s="23" t="e">
        <f ca="1">[1]!BexGetData("DP_1","00O2TNJGODT0G5Z4TTKYMMBYD","GSON5211411051")</f>
        <v>#NAME?</v>
      </c>
      <c r="S3406" s="23" t="e">
        <f ca="1">[1]!BexGetData("DP_1","00O2TNJGODT0G5Z4TTKYMMI9X","GSON5211411051")</f>
        <v>#NAME?</v>
      </c>
      <c r="T3406" s="28" t="e">
        <f ca="1">[1]!BexGetData("DP_1","00O2TNJGODT0G5Z4TTKYMMOLH","GSON5211411051")</f>
        <v>#NAME?</v>
      </c>
      <c r="U3406" s="23" t="e">
        <f ca="1">[1]!BexGetData("DP_1","00O2TNJGODT0G5Z4TTKYMMUX1","GSON5211411051")</f>
        <v>#NAME?</v>
      </c>
      <c r="V3406" s="28" t="e">
        <f ca="1">[1]!BexGetData("DP_1","00O2TNJGODT0G5Z4TTKYMN18L","GSON5211411051")</f>
        <v>#NAME?</v>
      </c>
      <c r="W3406" s="23" t="e">
        <f ca="1">[1]!BexGetData("DP_1","00O2TNJGODT0G5Z4TTKYMN7K5","GSON5211411051")</f>
        <v>#NAME?</v>
      </c>
    </row>
    <row r="3407" spans="1:23" x14ac:dyDescent="0.2">
      <c r="A3407" s="36" t="s">
        <v>6927</v>
      </c>
      <c r="B3407" s="27" t="s">
        <v>6928</v>
      </c>
      <c r="C3407" s="23" t="e">
        <f ca="1">[1]!BexGetData("DP_1","003N8EMH8GTFRCSWKMPXRR8GU","GSON5211411061")</f>
        <v>#NAME?</v>
      </c>
      <c r="D3407" s="23" t="e">
        <f ca="1">[1]!BexGetData("DP_1","003N8EMH8GTFRCSWKMPXRRESE","GSON5211411061")</f>
        <v>#NAME?</v>
      </c>
      <c r="E3407" s="23" t="e">
        <f ca="1">[1]!BexGetData("DP_1","003N8EMH8GTFRCSWKMPXRRL3Y","GSON5211411061")</f>
        <v>#NAME?</v>
      </c>
      <c r="F3407" s="23" t="e">
        <f ca="1">[1]!BexGetData("DP_1","003N8EMH8GTFRCSWKMPXRRRFI","GSON5211411061")</f>
        <v>#NAME?</v>
      </c>
      <c r="G3407" s="23" t="e">
        <f ca="1">[1]!BexGetData("DP_1","003N8EMH8GTFRCSWKMPXRRXR2","GSON5211411061")</f>
        <v>#NAME?</v>
      </c>
      <c r="H3407" s="23" t="e">
        <f ca="1">[1]!BexGetData("DP_1","003N8EMH8GTFRCSWKMPXRS42M","GSON5211411061")</f>
        <v>#NAME?</v>
      </c>
      <c r="I3407" s="23" t="e">
        <f ca="1">[1]!BexGetData("DP_1","003N8EMH8GTFRCSWKMPXRSAE6","GSON5211411061")</f>
        <v>#NAME?</v>
      </c>
      <c r="J3407" s="24" t="e">
        <f ca="1">[1]!BexGetData("DP_1","003N8EMH8GTFRCSWKMPXRSGPQ","GSON5211411061")</f>
        <v>#NAME?</v>
      </c>
      <c r="K3407" s="23" t="e">
        <f ca="1">[1]!BexGetData("DP_1","003N8EMH8GTFRIVNUPY288VJH","GSON5211411061")</f>
        <v>#NAME?</v>
      </c>
      <c r="L3407" s="23" t="e">
        <f ca="1">[1]!BexGetData("DP_1","003N8EMH8GTFRIVNUPY2891V1","GSON5211411061")</f>
        <v>#NAME?</v>
      </c>
      <c r="M3407" s="23" t="e">
        <f ca="1">[1]!BexGetData("DP_1","003N8EMH8GTFRIVOG7KG9IQXA","GSON5211411061")</f>
        <v>#NAME?</v>
      </c>
      <c r="N3407" s="28" t="e">
        <f ca="1">[1]!BexGetData("DP_1","003N8EMH8GTFRIVOG7KG9IX8U","GSON5211411061")</f>
        <v>#NAME?</v>
      </c>
      <c r="O3407" s="23" t="e">
        <f ca="1">[1]!BexGetData("DP_1","003N8EMH8GTFRIVOG7KG9J3KE","GSON5211411061")</f>
        <v>#NAME?</v>
      </c>
      <c r="P3407" s="28" t="e">
        <f ca="1">[1]!BexGetData("DP_1","003N8EMH8GTFRIVOG7KG9J9VY","GSON5211411061")</f>
        <v>#NAME?</v>
      </c>
      <c r="Q3407" s="24" t="e">
        <f ca="1">[1]!BexGetData("DP_1","00O2TNJGODT0G5Z4TTKYMM5MT","GSON5211411061")</f>
        <v>#NAME?</v>
      </c>
      <c r="R3407" s="23" t="e">
        <f ca="1">[1]!BexGetData("DP_1","00O2TNJGODT0G5Z4TTKYMMBYD","GSON5211411061")</f>
        <v>#NAME?</v>
      </c>
      <c r="S3407" s="23" t="e">
        <f ca="1">[1]!BexGetData("DP_1","00O2TNJGODT0G5Z4TTKYMMI9X","GSON5211411061")</f>
        <v>#NAME?</v>
      </c>
      <c r="T3407" s="28" t="e">
        <f ca="1">[1]!BexGetData("DP_1","00O2TNJGODT0G5Z4TTKYMMOLH","GSON5211411061")</f>
        <v>#NAME?</v>
      </c>
      <c r="U3407" s="23" t="e">
        <f ca="1">[1]!BexGetData("DP_1","00O2TNJGODT0G5Z4TTKYMMUX1","GSON5211411061")</f>
        <v>#NAME?</v>
      </c>
      <c r="V3407" s="28" t="e">
        <f ca="1">[1]!BexGetData("DP_1","00O2TNJGODT0G5Z4TTKYMN18L","GSON5211411061")</f>
        <v>#NAME?</v>
      </c>
      <c r="W3407" s="23" t="e">
        <f ca="1">[1]!BexGetData("DP_1","00O2TNJGODT0G5Z4TTKYMN7K5","GSON5211411061")</f>
        <v>#NAME?</v>
      </c>
    </row>
    <row r="3408" spans="1:23" x14ac:dyDescent="0.2">
      <c r="A3408" s="36" t="s">
        <v>6929</v>
      </c>
      <c r="B3408" s="27" t="s">
        <v>6930</v>
      </c>
      <c r="C3408" s="24" t="e">
        <f ca="1">[1]!BexGetData("DP_1","003N8EMH8GTFRCSWKMPXRR8GU","GSON5211411071")</f>
        <v>#NAME?</v>
      </c>
      <c r="D3408" s="24" t="e">
        <f ca="1">[1]!BexGetData("DP_1","003N8EMH8GTFRCSWKMPXRRESE","GSON5211411071")</f>
        <v>#NAME?</v>
      </c>
      <c r="E3408" s="24" t="e">
        <f ca="1">[1]!BexGetData("DP_1","003N8EMH8GTFRCSWKMPXRRL3Y","GSON5211411071")</f>
        <v>#NAME?</v>
      </c>
      <c r="F3408" s="23" t="e">
        <f ca="1">[1]!BexGetData("DP_1","003N8EMH8GTFRCSWKMPXRRRFI","GSON5211411071")</f>
        <v>#NAME?</v>
      </c>
      <c r="G3408" s="23" t="e">
        <f ca="1">[1]!BexGetData("DP_1","003N8EMH8GTFRCSWKMPXRRXR2","GSON5211411071")</f>
        <v>#NAME?</v>
      </c>
      <c r="H3408" s="28" t="e">
        <f ca="1">[1]!BexGetData("DP_1","003N8EMH8GTFRCSWKMPXRS42M","GSON5211411071")</f>
        <v>#NAME?</v>
      </c>
      <c r="I3408" s="23" t="e">
        <f ca="1">[1]!BexGetData("DP_1","003N8EMH8GTFRCSWKMPXRSAE6","GSON5211411071")</f>
        <v>#NAME?</v>
      </c>
      <c r="J3408" s="24" t="e">
        <f ca="1">[1]!BexGetData("DP_1","003N8EMH8GTFRCSWKMPXRSGPQ","GSON5211411071")</f>
        <v>#NAME?</v>
      </c>
      <c r="K3408" s="23" t="e">
        <f ca="1">[1]!BexGetData("DP_1","003N8EMH8GTFRIVNUPY288VJH","GSON5211411071")</f>
        <v>#NAME?</v>
      </c>
      <c r="L3408" s="23" t="e">
        <f ca="1">[1]!BexGetData("DP_1","003N8EMH8GTFRIVNUPY2891V1","GSON5211411071")</f>
        <v>#NAME?</v>
      </c>
      <c r="M3408" s="23" t="e">
        <f ca="1">[1]!BexGetData("DP_1","003N8EMH8GTFRIVOG7KG9IQXA","GSON5211411071")</f>
        <v>#NAME?</v>
      </c>
      <c r="N3408" s="28" t="e">
        <f ca="1">[1]!BexGetData("DP_1","003N8EMH8GTFRIVOG7KG9IX8U","GSON5211411071")</f>
        <v>#NAME?</v>
      </c>
      <c r="O3408" s="23" t="e">
        <f ca="1">[1]!BexGetData("DP_1","003N8EMH8GTFRIVOG7KG9J3KE","GSON5211411071")</f>
        <v>#NAME?</v>
      </c>
      <c r="P3408" s="28" t="e">
        <f ca="1">[1]!BexGetData("DP_1","003N8EMH8GTFRIVOG7KG9J9VY","GSON5211411071")</f>
        <v>#NAME?</v>
      </c>
      <c r="Q3408" s="24" t="e">
        <f ca="1">[1]!BexGetData("DP_1","00O2TNJGODT0G5Z4TTKYMM5MT","GSON5211411071")</f>
        <v>#NAME?</v>
      </c>
      <c r="R3408" s="23" t="e">
        <f ca="1">[1]!BexGetData("DP_1","00O2TNJGODT0G5Z4TTKYMMBYD","GSON5211411071")</f>
        <v>#NAME?</v>
      </c>
      <c r="S3408" s="23" t="e">
        <f ca="1">[1]!BexGetData("DP_1","00O2TNJGODT0G5Z4TTKYMMI9X","GSON5211411071")</f>
        <v>#NAME?</v>
      </c>
      <c r="T3408" s="28" t="e">
        <f ca="1">[1]!BexGetData("DP_1","00O2TNJGODT0G5Z4TTKYMMOLH","GSON5211411071")</f>
        <v>#NAME?</v>
      </c>
      <c r="U3408" s="23" t="e">
        <f ca="1">[1]!BexGetData("DP_1","00O2TNJGODT0G5Z4TTKYMMUX1","GSON5211411071")</f>
        <v>#NAME?</v>
      </c>
      <c r="V3408" s="28" t="e">
        <f ca="1">[1]!BexGetData("DP_1","00O2TNJGODT0G5Z4TTKYMN18L","GSON5211411071")</f>
        <v>#NAME?</v>
      </c>
      <c r="W3408" s="23" t="e">
        <f ca="1">[1]!BexGetData("DP_1","00O2TNJGODT0G5Z4TTKYMN7K5","GSON5211411071")</f>
        <v>#NAME?</v>
      </c>
    </row>
    <row r="3409" spans="1:23" x14ac:dyDescent="0.2">
      <c r="A3409" s="36" t="s">
        <v>6931</v>
      </c>
      <c r="B3409" s="27" t="s">
        <v>6932</v>
      </c>
      <c r="C3409" s="23" t="e">
        <f ca="1">[1]!BexGetData("DP_1","003N8EMH8GTFRCSWKMPXRR8GU","GSON5211411101")</f>
        <v>#NAME?</v>
      </c>
      <c r="D3409" s="23" t="e">
        <f ca="1">[1]!BexGetData("DP_1","003N8EMH8GTFRCSWKMPXRRESE","GSON5211411101")</f>
        <v>#NAME?</v>
      </c>
      <c r="E3409" s="23" t="e">
        <f ca="1">[1]!BexGetData("DP_1","003N8EMH8GTFRCSWKMPXRRL3Y","GSON5211411101")</f>
        <v>#NAME?</v>
      </c>
      <c r="F3409" s="23" t="e">
        <f ca="1">[1]!BexGetData("DP_1","003N8EMH8GTFRCSWKMPXRRRFI","GSON5211411101")</f>
        <v>#NAME?</v>
      </c>
      <c r="G3409" s="23" t="e">
        <f ca="1">[1]!BexGetData("DP_1","003N8EMH8GTFRCSWKMPXRRXR2","GSON5211411101")</f>
        <v>#NAME?</v>
      </c>
      <c r="H3409" s="23" t="e">
        <f ca="1">[1]!BexGetData("DP_1","003N8EMH8GTFRCSWKMPXRS42M","GSON5211411101")</f>
        <v>#NAME?</v>
      </c>
      <c r="I3409" s="23" t="e">
        <f ca="1">[1]!BexGetData("DP_1","003N8EMH8GTFRCSWKMPXRSAE6","GSON5211411101")</f>
        <v>#NAME?</v>
      </c>
      <c r="J3409" s="24" t="e">
        <f ca="1">[1]!BexGetData("DP_1","003N8EMH8GTFRCSWKMPXRSGPQ","GSON5211411101")</f>
        <v>#NAME?</v>
      </c>
      <c r="K3409" s="23" t="e">
        <f ca="1">[1]!BexGetData("DP_1","003N8EMH8GTFRIVNUPY288VJH","GSON5211411101")</f>
        <v>#NAME?</v>
      </c>
      <c r="L3409" s="23" t="e">
        <f ca="1">[1]!BexGetData("DP_1","003N8EMH8GTFRIVNUPY2891V1","GSON5211411101")</f>
        <v>#NAME?</v>
      </c>
      <c r="M3409" s="23" t="e">
        <f ca="1">[1]!BexGetData("DP_1","003N8EMH8GTFRIVOG7KG9IQXA","GSON5211411101")</f>
        <v>#NAME?</v>
      </c>
      <c r="N3409" s="28" t="e">
        <f ca="1">[1]!BexGetData("DP_1","003N8EMH8GTFRIVOG7KG9IX8U","GSON5211411101")</f>
        <v>#NAME?</v>
      </c>
      <c r="O3409" s="23" t="e">
        <f ca="1">[1]!BexGetData("DP_1","003N8EMH8GTFRIVOG7KG9J3KE","GSON5211411101")</f>
        <v>#NAME?</v>
      </c>
      <c r="P3409" s="28" t="e">
        <f ca="1">[1]!BexGetData("DP_1","003N8EMH8GTFRIVOG7KG9J9VY","GSON5211411101")</f>
        <v>#NAME?</v>
      </c>
      <c r="Q3409" s="24" t="e">
        <f ca="1">[1]!BexGetData("DP_1","00O2TNJGODT0G5Z4TTKYMM5MT","GSON5211411101")</f>
        <v>#NAME?</v>
      </c>
      <c r="R3409" s="23" t="e">
        <f ca="1">[1]!BexGetData("DP_1","00O2TNJGODT0G5Z4TTKYMMBYD","GSON5211411101")</f>
        <v>#NAME?</v>
      </c>
      <c r="S3409" s="23" t="e">
        <f ca="1">[1]!BexGetData("DP_1","00O2TNJGODT0G5Z4TTKYMMI9X","GSON5211411101")</f>
        <v>#NAME?</v>
      </c>
      <c r="T3409" s="28" t="e">
        <f ca="1">[1]!BexGetData("DP_1","00O2TNJGODT0G5Z4TTKYMMOLH","GSON5211411101")</f>
        <v>#NAME?</v>
      </c>
      <c r="U3409" s="23" t="e">
        <f ca="1">[1]!BexGetData("DP_1","00O2TNJGODT0G5Z4TTKYMMUX1","GSON5211411101")</f>
        <v>#NAME?</v>
      </c>
      <c r="V3409" s="28" t="e">
        <f ca="1">[1]!BexGetData("DP_1","00O2TNJGODT0G5Z4TTKYMN18L","GSON5211411101")</f>
        <v>#NAME?</v>
      </c>
      <c r="W3409" s="23" t="e">
        <f ca="1">[1]!BexGetData("DP_1","00O2TNJGODT0G5Z4TTKYMN7K5","GSON5211411101")</f>
        <v>#NAME?</v>
      </c>
    </row>
    <row r="3410" spans="1:23" x14ac:dyDescent="0.2">
      <c r="A3410" s="36" t="s">
        <v>6933</v>
      </c>
      <c r="B3410" s="27" t="s">
        <v>6934</v>
      </c>
      <c r="C3410" s="23" t="e">
        <f ca="1">[1]!BexGetData("DP_1","003N8EMH8GTFRCSWKMPXRR8GU","GSON5211411111")</f>
        <v>#NAME?</v>
      </c>
      <c r="D3410" s="23" t="e">
        <f ca="1">[1]!BexGetData("DP_1","003N8EMH8GTFRCSWKMPXRRESE","GSON5211411111")</f>
        <v>#NAME?</v>
      </c>
      <c r="E3410" s="23" t="e">
        <f ca="1">[1]!BexGetData("DP_1","003N8EMH8GTFRCSWKMPXRRL3Y","GSON5211411111")</f>
        <v>#NAME?</v>
      </c>
      <c r="F3410" s="23" t="e">
        <f ca="1">[1]!BexGetData("DP_1","003N8EMH8GTFRCSWKMPXRRRFI","GSON5211411111")</f>
        <v>#NAME?</v>
      </c>
      <c r="G3410" s="23" t="e">
        <f ca="1">[1]!BexGetData("DP_1","003N8EMH8GTFRCSWKMPXRRXR2","GSON5211411111")</f>
        <v>#NAME?</v>
      </c>
      <c r="H3410" s="23" t="e">
        <f ca="1">[1]!BexGetData("DP_1","003N8EMH8GTFRCSWKMPXRS42M","GSON5211411111")</f>
        <v>#NAME?</v>
      </c>
      <c r="I3410" s="23" t="e">
        <f ca="1">[1]!BexGetData("DP_1","003N8EMH8GTFRCSWKMPXRSAE6","GSON5211411111")</f>
        <v>#NAME?</v>
      </c>
      <c r="J3410" s="24" t="e">
        <f ca="1">[1]!BexGetData("DP_1","003N8EMH8GTFRCSWKMPXRSGPQ","GSON5211411111")</f>
        <v>#NAME?</v>
      </c>
      <c r="K3410" s="23" t="e">
        <f ca="1">[1]!BexGetData("DP_1","003N8EMH8GTFRIVNUPY288VJH","GSON5211411111")</f>
        <v>#NAME?</v>
      </c>
      <c r="L3410" s="23" t="e">
        <f ca="1">[1]!BexGetData("DP_1","003N8EMH8GTFRIVNUPY2891V1","GSON5211411111")</f>
        <v>#NAME?</v>
      </c>
      <c r="M3410" s="28" t="e">
        <f ca="1">[1]!BexGetData("DP_1","003N8EMH8GTFRIVOG7KG9IQXA","GSON5211411111")</f>
        <v>#NAME?</v>
      </c>
      <c r="N3410" s="23" t="e">
        <f ca="1">[1]!BexGetData("DP_1","003N8EMH8GTFRIVOG7KG9IX8U","GSON5211411111")</f>
        <v>#NAME?</v>
      </c>
      <c r="O3410" s="28" t="e">
        <f ca="1">[1]!BexGetData("DP_1","003N8EMH8GTFRIVOG7KG9J3KE","GSON5211411111")</f>
        <v>#NAME?</v>
      </c>
      <c r="P3410" s="23" t="e">
        <f ca="1">[1]!BexGetData("DP_1","003N8EMH8GTFRIVOG7KG9J9VY","GSON5211411111")</f>
        <v>#NAME?</v>
      </c>
      <c r="Q3410" s="24" t="e">
        <f ca="1">[1]!BexGetData("DP_1","00O2TNJGODT0G5Z4TTKYMM5MT","GSON5211411111")</f>
        <v>#NAME?</v>
      </c>
      <c r="R3410" s="23" t="e">
        <f ca="1">[1]!BexGetData("DP_1","00O2TNJGODT0G5Z4TTKYMMBYD","GSON5211411111")</f>
        <v>#NAME?</v>
      </c>
      <c r="S3410" s="23" t="e">
        <f ca="1">[1]!BexGetData("DP_1","00O2TNJGODT0G5Z4TTKYMMI9X","GSON5211411111")</f>
        <v>#NAME?</v>
      </c>
      <c r="T3410" s="28" t="e">
        <f ca="1">[1]!BexGetData("DP_1","00O2TNJGODT0G5Z4TTKYMMOLH","GSON5211411111")</f>
        <v>#NAME?</v>
      </c>
      <c r="U3410" s="23" t="e">
        <f ca="1">[1]!BexGetData("DP_1","00O2TNJGODT0G5Z4TTKYMMUX1","GSON5211411111")</f>
        <v>#NAME?</v>
      </c>
      <c r="V3410" s="28" t="e">
        <f ca="1">[1]!BexGetData("DP_1","00O2TNJGODT0G5Z4TTKYMN18L","GSON5211411111")</f>
        <v>#NAME?</v>
      </c>
      <c r="W3410" s="23" t="e">
        <f ca="1">[1]!BexGetData("DP_1","00O2TNJGODT0G5Z4TTKYMN7K5","GSON5211411111")</f>
        <v>#NAME?</v>
      </c>
    </row>
    <row r="3411" spans="1:23" x14ac:dyDescent="0.2">
      <c r="A3411" s="36" t="s">
        <v>6935</v>
      </c>
      <c r="B3411" s="27" t="s">
        <v>6936</v>
      </c>
      <c r="C3411" s="23" t="e">
        <f ca="1">[1]!BexGetData("DP_1","003N8EMH8GTFRCSWKMPXRR8GU","GSON5211412011")</f>
        <v>#NAME?</v>
      </c>
      <c r="D3411" s="23" t="e">
        <f ca="1">[1]!BexGetData("DP_1","003N8EMH8GTFRCSWKMPXRRESE","GSON5211412011")</f>
        <v>#NAME?</v>
      </c>
      <c r="E3411" s="23" t="e">
        <f ca="1">[1]!BexGetData("DP_1","003N8EMH8GTFRCSWKMPXRRL3Y","GSON5211412011")</f>
        <v>#NAME?</v>
      </c>
      <c r="F3411" s="23" t="e">
        <f ca="1">[1]!BexGetData("DP_1","003N8EMH8GTFRCSWKMPXRRRFI","GSON5211412011")</f>
        <v>#NAME?</v>
      </c>
      <c r="G3411" s="23" t="e">
        <f ca="1">[1]!BexGetData("DP_1","003N8EMH8GTFRCSWKMPXRRXR2","GSON5211412011")</f>
        <v>#NAME?</v>
      </c>
      <c r="H3411" s="23" t="e">
        <f ca="1">[1]!BexGetData("DP_1","003N8EMH8GTFRCSWKMPXRS42M","GSON5211412011")</f>
        <v>#NAME?</v>
      </c>
      <c r="I3411" s="23" t="e">
        <f ca="1">[1]!BexGetData("DP_1","003N8EMH8GTFRCSWKMPXRSAE6","GSON5211412011")</f>
        <v>#NAME?</v>
      </c>
      <c r="J3411" s="24" t="e">
        <f ca="1">[1]!BexGetData("DP_1","003N8EMH8GTFRCSWKMPXRSGPQ","GSON5211412011")</f>
        <v>#NAME?</v>
      </c>
      <c r="K3411" s="23" t="e">
        <f ca="1">[1]!BexGetData("DP_1","003N8EMH8GTFRIVNUPY288VJH","GSON5211412011")</f>
        <v>#NAME?</v>
      </c>
      <c r="L3411" s="23" t="e">
        <f ca="1">[1]!BexGetData("DP_1","003N8EMH8GTFRIVNUPY2891V1","GSON5211412011")</f>
        <v>#NAME?</v>
      </c>
      <c r="M3411" s="28" t="e">
        <f ca="1">[1]!BexGetData("DP_1","003N8EMH8GTFRIVOG7KG9IQXA","GSON5211412011")</f>
        <v>#NAME?</v>
      </c>
      <c r="N3411" s="23" t="e">
        <f ca="1">[1]!BexGetData("DP_1","003N8EMH8GTFRIVOG7KG9IX8U","GSON5211412011")</f>
        <v>#NAME?</v>
      </c>
      <c r="O3411" s="28" t="e">
        <f ca="1">[1]!BexGetData("DP_1","003N8EMH8GTFRIVOG7KG9J3KE","GSON5211412011")</f>
        <v>#NAME?</v>
      </c>
      <c r="P3411" s="23" t="e">
        <f ca="1">[1]!BexGetData("DP_1","003N8EMH8GTFRIVOG7KG9J9VY","GSON5211412011")</f>
        <v>#NAME?</v>
      </c>
      <c r="Q3411" s="24" t="e">
        <f ca="1">[1]!BexGetData("DP_1","00O2TNJGODT0G5Z4TTKYMM5MT","GSON5211412011")</f>
        <v>#NAME?</v>
      </c>
      <c r="R3411" s="23" t="e">
        <f ca="1">[1]!BexGetData("DP_1","00O2TNJGODT0G5Z4TTKYMMBYD","GSON5211412011")</f>
        <v>#NAME?</v>
      </c>
      <c r="S3411" s="23" t="e">
        <f ca="1">[1]!BexGetData("DP_1","00O2TNJGODT0G5Z4TTKYMMI9X","GSON5211412011")</f>
        <v>#NAME?</v>
      </c>
      <c r="T3411" s="28" t="e">
        <f ca="1">[1]!BexGetData("DP_1","00O2TNJGODT0G5Z4TTKYMMOLH","GSON5211412011")</f>
        <v>#NAME?</v>
      </c>
      <c r="U3411" s="23" t="e">
        <f ca="1">[1]!BexGetData("DP_1","00O2TNJGODT0G5Z4TTKYMMUX1","GSON5211412011")</f>
        <v>#NAME?</v>
      </c>
      <c r="V3411" s="28" t="e">
        <f ca="1">[1]!BexGetData("DP_1","00O2TNJGODT0G5Z4TTKYMN18L","GSON5211412011")</f>
        <v>#NAME?</v>
      </c>
      <c r="W3411" s="23" t="e">
        <f ca="1">[1]!BexGetData("DP_1","00O2TNJGODT0G5Z4TTKYMN7K5","GSON5211412011")</f>
        <v>#NAME?</v>
      </c>
    </row>
    <row r="3412" spans="1:23" x14ac:dyDescent="0.2">
      <c r="A3412" s="36" t="s">
        <v>6937</v>
      </c>
      <c r="B3412" s="27" t="s">
        <v>6938</v>
      </c>
      <c r="C3412" s="23" t="e">
        <f ca="1">[1]!BexGetData("DP_1","003N8EMH8GTFRCSWKMPXRR8GU","GSON5211412021")</f>
        <v>#NAME?</v>
      </c>
      <c r="D3412" s="23" t="e">
        <f ca="1">[1]!BexGetData("DP_1","003N8EMH8GTFRCSWKMPXRRESE","GSON5211412021")</f>
        <v>#NAME?</v>
      </c>
      <c r="E3412" s="23" t="e">
        <f ca="1">[1]!BexGetData("DP_1","003N8EMH8GTFRCSWKMPXRRL3Y","GSON5211412021")</f>
        <v>#NAME?</v>
      </c>
      <c r="F3412" s="23" t="e">
        <f ca="1">[1]!BexGetData("DP_1","003N8EMH8GTFRCSWKMPXRRRFI","GSON5211412021")</f>
        <v>#NAME?</v>
      </c>
      <c r="G3412" s="23" t="e">
        <f ca="1">[1]!BexGetData("DP_1","003N8EMH8GTFRCSWKMPXRRXR2","GSON5211412021")</f>
        <v>#NAME?</v>
      </c>
      <c r="H3412" s="23" t="e">
        <f ca="1">[1]!BexGetData("DP_1","003N8EMH8GTFRCSWKMPXRS42M","GSON5211412021")</f>
        <v>#NAME?</v>
      </c>
      <c r="I3412" s="23" t="e">
        <f ca="1">[1]!BexGetData("DP_1","003N8EMH8GTFRCSWKMPXRSAE6","GSON5211412021")</f>
        <v>#NAME?</v>
      </c>
      <c r="J3412" s="24" t="e">
        <f ca="1">[1]!BexGetData("DP_1","003N8EMH8GTFRCSWKMPXRSGPQ","GSON5211412021")</f>
        <v>#NAME?</v>
      </c>
      <c r="K3412" s="23" t="e">
        <f ca="1">[1]!BexGetData("DP_1","003N8EMH8GTFRIVNUPY288VJH","GSON5211412021")</f>
        <v>#NAME?</v>
      </c>
      <c r="L3412" s="23" t="e">
        <f ca="1">[1]!BexGetData("DP_1","003N8EMH8GTFRIVNUPY2891V1","GSON5211412021")</f>
        <v>#NAME?</v>
      </c>
      <c r="M3412" s="28" t="e">
        <f ca="1">[1]!BexGetData("DP_1","003N8EMH8GTFRIVOG7KG9IQXA","GSON5211412021")</f>
        <v>#NAME?</v>
      </c>
      <c r="N3412" s="23" t="e">
        <f ca="1">[1]!BexGetData("DP_1","003N8EMH8GTFRIVOG7KG9IX8U","GSON5211412021")</f>
        <v>#NAME?</v>
      </c>
      <c r="O3412" s="28" t="e">
        <f ca="1">[1]!BexGetData("DP_1","003N8EMH8GTFRIVOG7KG9J3KE","GSON5211412021")</f>
        <v>#NAME?</v>
      </c>
      <c r="P3412" s="23" t="e">
        <f ca="1">[1]!BexGetData("DP_1","003N8EMH8GTFRIVOG7KG9J9VY","GSON5211412021")</f>
        <v>#NAME?</v>
      </c>
      <c r="Q3412" s="24" t="e">
        <f ca="1">[1]!BexGetData("DP_1","00O2TNJGODT0G5Z4TTKYMM5MT","GSON5211412021")</f>
        <v>#NAME?</v>
      </c>
      <c r="R3412" s="23" t="e">
        <f ca="1">[1]!BexGetData("DP_1","00O2TNJGODT0G5Z4TTKYMMBYD","GSON5211412021")</f>
        <v>#NAME?</v>
      </c>
      <c r="S3412" s="23" t="e">
        <f ca="1">[1]!BexGetData("DP_1","00O2TNJGODT0G5Z4TTKYMMI9X","GSON5211412021")</f>
        <v>#NAME?</v>
      </c>
      <c r="T3412" s="28" t="e">
        <f ca="1">[1]!BexGetData("DP_1","00O2TNJGODT0G5Z4TTKYMMOLH","GSON5211412021")</f>
        <v>#NAME?</v>
      </c>
      <c r="U3412" s="23" t="e">
        <f ca="1">[1]!BexGetData("DP_1","00O2TNJGODT0G5Z4TTKYMMUX1","GSON5211412021")</f>
        <v>#NAME?</v>
      </c>
      <c r="V3412" s="28" t="e">
        <f ca="1">[1]!BexGetData("DP_1","00O2TNJGODT0G5Z4TTKYMN18L","GSON5211412021")</f>
        <v>#NAME?</v>
      </c>
      <c r="W3412" s="23" t="e">
        <f ca="1">[1]!BexGetData("DP_1","00O2TNJGODT0G5Z4TTKYMN7K5","GSON5211412021")</f>
        <v>#NAME?</v>
      </c>
    </row>
    <row r="3413" spans="1:23" x14ac:dyDescent="0.2">
      <c r="A3413" s="36" t="s">
        <v>6939</v>
      </c>
      <c r="B3413" s="27" t="s">
        <v>6940</v>
      </c>
      <c r="C3413" s="23" t="e">
        <f ca="1">[1]!BexGetData("DP_1","003N8EMH8GTFRCSWKMPXRR8GU","GSON5211412031")</f>
        <v>#NAME?</v>
      </c>
      <c r="D3413" s="28" t="e">
        <f ca="1">[1]!BexGetData("DP_1","003N8EMH8GTFRCSWKMPXRRESE","GSON5211412031")</f>
        <v>#NAME?</v>
      </c>
      <c r="E3413" s="23" t="e">
        <f ca="1">[1]!BexGetData("DP_1","003N8EMH8GTFRCSWKMPXRRL3Y","GSON5211412031")</f>
        <v>#NAME?</v>
      </c>
      <c r="F3413" s="23" t="e">
        <f ca="1">[1]!BexGetData("DP_1","003N8EMH8GTFRCSWKMPXRRRFI","GSON5211412031")</f>
        <v>#NAME?</v>
      </c>
      <c r="G3413" s="23" t="e">
        <f ca="1">[1]!BexGetData("DP_1","003N8EMH8GTFRCSWKMPXRRXR2","GSON5211412031")</f>
        <v>#NAME?</v>
      </c>
      <c r="H3413" s="28" t="e">
        <f ca="1">[1]!BexGetData("DP_1","003N8EMH8GTFRCSWKMPXRS42M","GSON5211412031")</f>
        <v>#NAME?</v>
      </c>
      <c r="I3413" s="23" t="e">
        <f ca="1">[1]!BexGetData("DP_1","003N8EMH8GTFRCSWKMPXRSAE6","GSON5211412031")</f>
        <v>#NAME?</v>
      </c>
      <c r="J3413" s="24" t="e">
        <f ca="1">[1]!BexGetData("DP_1","003N8EMH8GTFRCSWKMPXRSGPQ","GSON5211412031")</f>
        <v>#NAME?</v>
      </c>
      <c r="K3413" s="23" t="e">
        <f ca="1">[1]!BexGetData("DP_1","003N8EMH8GTFRIVNUPY288VJH","GSON5211412031")</f>
        <v>#NAME?</v>
      </c>
      <c r="L3413" s="23" t="e">
        <f ca="1">[1]!BexGetData("DP_1","003N8EMH8GTFRIVNUPY2891V1","GSON5211412031")</f>
        <v>#NAME?</v>
      </c>
      <c r="M3413" s="28" t="e">
        <f ca="1">[1]!BexGetData("DP_1","003N8EMH8GTFRIVOG7KG9IQXA","GSON5211412031")</f>
        <v>#NAME?</v>
      </c>
      <c r="N3413" s="23" t="e">
        <f ca="1">[1]!BexGetData("DP_1","003N8EMH8GTFRIVOG7KG9IX8U","GSON5211412031")</f>
        <v>#NAME?</v>
      </c>
      <c r="O3413" s="28" t="e">
        <f ca="1">[1]!BexGetData("DP_1","003N8EMH8GTFRIVOG7KG9J3KE","GSON5211412031")</f>
        <v>#NAME?</v>
      </c>
      <c r="P3413" s="23" t="e">
        <f ca="1">[1]!BexGetData("DP_1","003N8EMH8GTFRIVOG7KG9J9VY","GSON5211412031")</f>
        <v>#NAME?</v>
      </c>
      <c r="Q3413" s="24" t="e">
        <f ca="1">[1]!BexGetData("DP_1","00O2TNJGODT0G5Z4TTKYMM5MT","GSON5211412031")</f>
        <v>#NAME?</v>
      </c>
      <c r="R3413" s="23" t="e">
        <f ca="1">[1]!BexGetData("DP_1","00O2TNJGODT0G5Z4TTKYMMBYD","GSON5211412031")</f>
        <v>#NAME?</v>
      </c>
      <c r="S3413" s="23" t="e">
        <f ca="1">[1]!BexGetData("DP_1","00O2TNJGODT0G5Z4TTKYMMI9X","GSON5211412031")</f>
        <v>#NAME?</v>
      </c>
      <c r="T3413" s="28" t="e">
        <f ca="1">[1]!BexGetData("DP_1","00O2TNJGODT0G5Z4TTKYMMOLH","GSON5211412031")</f>
        <v>#NAME?</v>
      </c>
      <c r="U3413" s="23" t="e">
        <f ca="1">[1]!BexGetData("DP_1","00O2TNJGODT0G5Z4TTKYMMUX1","GSON5211412031")</f>
        <v>#NAME?</v>
      </c>
      <c r="V3413" s="28" t="e">
        <f ca="1">[1]!BexGetData("DP_1","00O2TNJGODT0G5Z4TTKYMN18L","GSON5211412031")</f>
        <v>#NAME?</v>
      </c>
      <c r="W3413" s="23" t="e">
        <f ca="1">[1]!BexGetData("DP_1","00O2TNJGODT0G5Z4TTKYMN7K5","GSON5211412031")</f>
        <v>#NAME?</v>
      </c>
    </row>
    <row r="3414" spans="1:23" x14ac:dyDescent="0.2">
      <c r="A3414" s="36" t="s">
        <v>6935</v>
      </c>
      <c r="B3414" s="27" t="s">
        <v>6941</v>
      </c>
      <c r="C3414" s="23" t="e">
        <f ca="1">[1]!BexGetData("DP_1","003N8EMH8GTFRCSWKMPXRR8GU","GSON5211413011")</f>
        <v>#NAME?</v>
      </c>
      <c r="D3414" s="23" t="e">
        <f ca="1">[1]!BexGetData("DP_1","003N8EMH8GTFRCSWKMPXRRESE","GSON5211413011")</f>
        <v>#NAME?</v>
      </c>
      <c r="E3414" s="23" t="e">
        <f ca="1">[1]!BexGetData("DP_1","003N8EMH8GTFRCSWKMPXRRL3Y","GSON5211413011")</f>
        <v>#NAME?</v>
      </c>
      <c r="F3414" s="23" t="e">
        <f ca="1">[1]!BexGetData("DP_1","003N8EMH8GTFRCSWKMPXRRRFI","GSON5211413011")</f>
        <v>#NAME?</v>
      </c>
      <c r="G3414" s="23" t="e">
        <f ca="1">[1]!BexGetData("DP_1","003N8EMH8GTFRCSWKMPXRRXR2","GSON5211413011")</f>
        <v>#NAME?</v>
      </c>
      <c r="H3414" s="23" t="e">
        <f ca="1">[1]!BexGetData("DP_1","003N8EMH8GTFRCSWKMPXRS42M","GSON5211413011")</f>
        <v>#NAME?</v>
      </c>
      <c r="I3414" s="23" t="e">
        <f ca="1">[1]!BexGetData("DP_1","003N8EMH8GTFRCSWKMPXRSAE6","GSON5211413011")</f>
        <v>#NAME?</v>
      </c>
      <c r="J3414" s="24" t="e">
        <f ca="1">[1]!BexGetData("DP_1","003N8EMH8GTFRCSWKMPXRSGPQ","GSON5211413011")</f>
        <v>#NAME?</v>
      </c>
      <c r="K3414" s="23" t="e">
        <f ca="1">[1]!BexGetData("DP_1","003N8EMH8GTFRIVNUPY288VJH","GSON5211413011")</f>
        <v>#NAME?</v>
      </c>
      <c r="L3414" s="23" t="e">
        <f ca="1">[1]!BexGetData("DP_1","003N8EMH8GTFRIVNUPY2891V1","GSON5211413011")</f>
        <v>#NAME?</v>
      </c>
      <c r="M3414" s="28" t="e">
        <f ca="1">[1]!BexGetData("DP_1","003N8EMH8GTFRIVOG7KG9IQXA","GSON5211413011")</f>
        <v>#NAME?</v>
      </c>
      <c r="N3414" s="23" t="e">
        <f ca="1">[1]!BexGetData("DP_1","003N8EMH8GTFRIVOG7KG9IX8U","GSON5211413011")</f>
        <v>#NAME?</v>
      </c>
      <c r="O3414" s="28" t="e">
        <f ca="1">[1]!BexGetData("DP_1","003N8EMH8GTFRIVOG7KG9J3KE","GSON5211413011")</f>
        <v>#NAME?</v>
      </c>
      <c r="P3414" s="23" t="e">
        <f ca="1">[1]!BexGetData("DP_1","003N8EMH8GTFRIVOG7KG9J9VY","GSON5211413011")</f>
        <v>#NAME?</v>
      </c>
      <c r="Q3414" s="24" t="e">
        <f ca="1">[1]!BexGetData("DP_1","00O2TNJGODT0G5Z4TTKYMM5MT","GSON5211413011")</f>
        <v>#NAME?</v>
      </c>
      <c r="R3414" s="23" t="e">
        <f ca="1">[1]!BexGetData("DP_1","00O2TNJGODT0G5Z4TTKYMMBYD","GSON5211413011")</f>
        <v>#NAME?</v>
      </c>
      <c r="S3414" s="23" t="e">
        <f ca="1">[1]!BexGetData("DP_1","00O2TNJGODT0G5Z4TTKYMMI9X","GSON5211413011")</f>
        <v>#NAME?</v>
      </c>
      <c r="T3414" s="28" t="e">
        <f ca="1">[1]!BexGetData("DP_1","00O2TNJGODT0G5Z4TTKYMMOLH","GSON5211413011")</f>
        <v>#NAME?</v>
      </c>
      <c r="U3414" s="23" t="e">
        <f ca="1">[1]!BexGetData("DP_1","00O2TNJGODT0G5Z4TTKYMMUX1","GSON5211413011")</f>
        <v>#NAME?</v>
      </c>
      <c r="V3414" s="28" t="e">
        <f ca="1">[1]!BexGetData("DP_1","00O2TNJGODT0G5Z4TTKYMN18L","GSON5211413011")</f>
        <v>#NAME?</v>
      </c>
      <c r="W3414" s="23" t="e">
        <f ca="1">[1]!BexGetData("DP_1","00O2TNJGODT0G5Z4TTKYMN7K5","GSON5211413011")</f>
        <v>#NAME?</v>
      </c>
    </row>
    <row r="3415" spans="1:23" x14ac:dyDescent="0.2">
      <c r="A3415" s="36" t="s">
        <v>6937</v>
      </c>
      <c r="B3415" s="27" t="s">
        <v>6942</v>
      </c>
      <c r="C3415" s="23" t="e">
        <f ca="1">[1]!BexGetData("DP_1","003N8EMH8GTFRCSWKMPXRR8GU","GSON5211413021")</f>
        <v>#NAME?</v>
      </c>
      <c r="D3415" s="28" t="e">
        <f ca="1">[1]!BexGetData("DP_1","003N8EMH8GTFRCSWKMPXRRESE","GSON5211413021")</f>
        <v>#NAME?</v>
      </c>
      <c r="E3415" s="23" t="e">
        <f ca="1">[1]!BexGetData("DP_1","003N8EMH8GTFRCSWKMPXRRL3Y","GSON5211413021")</f>
        <v>#NAME?</v>
      </c>
      <c r="F3415" s="23" t="e">
        <f ca="1">[1]!BexGetData("DP_1","003N8EMH8GTFRCSWKMPXRRRFI","GSON5211413021")</f>
        <v>#NAME?</v>
      </c>
      <c r="G3415" s="23" t="e">
        <f ca="1">[1]!BexGetData("DP_1","003N8EMH8GTFRCSWKMPXRRXR2","GSON5211413021")</f>
        <v>#NAME?</v>
      </c>
      <c r="H3415" s="23" t="e">
        <f ca="1">[1]!BexGetData("DP_1","003N8EMH8GTFRCSWKMPXRS42M","GSON5211413021")</f>
        <v>#NAME?</v>
      </c>
      <c r="I3415" s="23" t="e">
        <f ca="1">[1]!BexGetData("DP_1","003N8EMH8GTFRCSWKMPXRSAE6","GSON5211413021")</f>
        <v>#NAME?</v>
      </c>
      <c r="J3415" s="24" t="e">
        <f ca="1">[1]!BexGetData("DP_1","003N8EMH8GTFRCSWKMPXRSGPQ","GSON5211413021")</f>
        <v>#NAME?</v>
      </c>
      <c r="K3415" s="23" t="e">
        <f ca="1">[1]!BexGetData("DP_1","003N8EMH8GTFRIVNUPY288VJH","GSON5211413021")</f>
        <v>#NAME?</v>
      </c>
      <c r="L3415" s="23" t="e">
        <f ca="1">[1]!BexGetData("DP_1","003N8EMH8GTFRIVNUPY2891V1","GSON5211413021")</f>
        <v>#NAME?</v>
      </c>
      <c r="M3415" s="28" t="e">
        <f ca="1">[1]!BexGetData("DP_1","003N8EMH8GTFRIVOG7KG9IQXA","GSON5211413021")</f>
        <v>#NAME?</v>
      </c>
      <c r="N3415" s="23" t="e">
        <f ca="1">[1]!BexGetData("DP_1","003N8EMH8GTFRIVOG7KG9IX8U","GSON5211413021")</f>
        <v>#NAME?</v>
      </c>
      <c r="O3415" s="28" t="e">
        <f ca="1">[1]!BexGetData("DP_1","003N8EMH8GTFRIVOG7KG9J3KE","GSON5211413021")</f>
        <v>#NAME?</v>
      </c>
      <c r="P3415" s="23" t="e">
        <f ca="1">[1]!BexGetData("DP_1","003N8EMH8GTFRIVOG7KG9J9VY","GSON5211413021")</f>
        <v>#NAME?</v>
      </c>
      <c r="Q3415" s="24" t="e">
        <f ca="1">[1]!BexGetData("DP_1","00O2TNJGODT0G5Z4TTKYMM5MT","GSON5211413021")</f>
        <v>#NAME?</v>
      </c>
      <c r="R3415" s="23" t="e">
        <f ca="1">[1]!BexGetData("DP_1","00O2TNJGODT0G5Z4TTKYMMBYD","GSON5211413021")</f>
        <v>#NAME?</v>
      </c>
      <c r="S3415" s="23" t="e">
        <f ca="1">[1]!BexGetData("DP_1","00O2TNJGODT0G5Z4TTKYMMI9X","GSON5211413021")</f>
        <v>#NAME?</v>
      </c>
      <c r="T3415" s="28" t="e">
        <f ca="1">[1]!BexGetData("DP_1","00O2TNJGODT0G5Z4TTKYMMOLH","GSON5211413021")</f>
        <v>#NAME?</v>
      </c>
      <c r="U3415" s="23" t="e">
        <f ca="1">[1]!BexGetData("DP_1","00O2TNJGODT0G5Z4TTKYMMUX1","GSON5211413021")</f>
        <v>#NAME?</v>
      </c>
      <c r="V3415" s="28" t="e">
        <f ca="1">[1]!BexGetData("DP_1","00O2TNJGODT0G5Z4TTKYMN18L","GSON5211413021")</f>
        <v>#NAME?</v>
      </c>
      <c r="W3415" s="23" t="e">
        <f ca="1">[1]!BexGetData("DP_1","00O2TNJGODT0G5Z4TTKYMN7K5","GSON5211413021")</f>
        <v>#NAME?</v>
      </c>
    </row>
    <row r="3416" spans="1:23" x14ac:dyDescent="0.2">
      <c r="A3416" s="36" t="s">
        <v>6943</v>
      </c>
      <c r="B3416" s="27" t="s">
        <v>6944</v>
      </c>
      <c r="C3416" s="24" t="e">
        <f ca="1">[1]!BexGetData("DP_1","003N8EMH8GTFRCSWKMPXRR8GU","GSON5211413031")</f>
        <v>#NAME?</v>
      </c>
      <c r="D3416" s="24" t="e">
        <f ca="1">[1]!BexGetData("DP_1","003N8EMH8GTFRCSWKMPXRRESE","GSON5211413031")</f>
        <v>#NAME?</v>
      </c>
      <c r="E3416" s="24" t="e">
        <f ca="1">[1]!BexGetData("DP_1","003N8EMH8GTFRCSWKMPXRRL3Y","GSON5211413031")</f>
        <v>#NAME?</v>
      </c>
      <c r="F3416" s="23" t="e">
        <f ca="1">[1]!BexGetData("DP_1","003N8EMH8GTFRCSWKMPXRRRFI","GSON5211413031")</f>
        <v>#NAME?</v>
      </c>
      <c r="G3416" s="23" t="e">
        <f ca="1">[1]!BexGetData("DP_1","003N8EMH8GTFRCSWKMPXRRXR2","GSON5211413031")</f>
        <v>#NAME?</v>
      </c>
      <c r="H3416" s="23" t="e">
        <f ca="1">[1]!BexGetData("DP_1","003N8EMH8GTFRCSWKMPXRS42M","GSON5211413031")</f>
        <v>#NAME?</v>
      </c>
      <c r="I3416" s="23" t="e">
        <f ca="1">[1]!BexGetData("DP_1","003N8EMH8GTFRCSWKMPXRSAE6","GSON5211413031")</f>
        <v>#NAME?</v>
      </c>
      <c r="J3416" s="24" t="e">
        <f ca="1">[1]!BexGetData("DP_1","003N8EMH8GTFRCSWKMPXRSGPQ","GSON5211413031")</f>
        <v>#NAME?</v>
      </c>
      <c r="K3416" s="23" t="e">
        <f ca="1">[1]!BexGetData("DP_1","003N8EMH8GTFRIVNUPY288VJH","GSON5211413031")</f>
        <v>#NAME?</v>
      </c>
      <c r="L3416" s="23" t="e">
        <f ca="1">[1]!BexGetData("DP_1","003N8EMH8GTFRIVNUPY2891V1","GSON5211413031")</f>
        <v>#NAME?</v>
      </c>
      <c r="M3416" s="23" t="e">
        <f ca="1">[1]!BexGetData("DP_1","003N8EMH8GTFRIVOG7KG9IQXA","GSON5211413031")</f>
        <v>#NAME?</v>
      </c>
      <c r="N3416" s="28" t="e">
        <f ca="1">[1]!BexGetData("DP_1","003N8EMH8GTFRIVOG7KG9IX8U","GSON5211413031")</f>
        <v>#NAME?</v>
      </c>
      <c r="O3416" s="23" t="e">
        <f ca="1">[1]!BexGetData("DP_1","003N8EMH8GTFRIVOG7KG9J3KE","GSON5211413031")</f>
        <v>#NAME?</v>
      </c>
      <c r="P3416" s="28" t="e">
        <f ca="1">[1]!BexGetData("DP_1","003N8EMH8GTFRIVOG7KG9J9VY","GSON5211413031")</f>
        <v>#NAME?</v>
      </c>
      <c r="Q3416" s="24" t="e">
        <f ca="1">[1]!BexGetData("DP_1","00O2TNJGODT0G5Z4TTKYMM5MT","GSON5211413031")</f>
        <v>#NAME?</v>
      </c>
      <c r="R3416" s="23" t="e">
        <f ca="1">[1]!BexGetData("DP_1","00O2TNJGODT0G5Z4TTKYMMBYD","GSON5211413031")</f>
        <v>#NAME?</v>
      </c>
      <c r="S3416" s="23" t="e">
        <f ca="1">[1]!BexGetData("DP_1","00O2TNJGODT0G5Z4TTKYMMI9X","GSON5211413031")</f>
        <v>#NAME?</v>
      </c>
      <c r="T3416" s="28" t="e">
        <f ca="1">[1]!BexGetData("DP_1","00O2TNJGODT0G5Z4TTKYMMOLH","GSON5211413031")</f>
        <v>#NAME?</v>
      </c>
      <c r="U3416" s="23" t="e">
        <f ca="1">[1]!BexGetData("DP_1","00O2TNJGODT0G5Z4TTKYMMUX1","GSON5211413031")</f>
        <v>#NAME?</v>
      </c>
      <c r="V3416" s="28" t="e">
        <f ca="1">[1]!BexGetData("DP_1","00O2TNJGODT0G5Z4TTKYMN18L","GSON5211413031")</f>
        <v>#NAME?</v>
      </c>
      <c r="W3416" s="23" t="e">
        <f ca="1">[1]!BexGetData("DP_1","00O2TNJGODT0G5Z4TTKYMN7K5","GSON5211413031")</f>
        <v>#NAME?</v>
      </c>
    </row>
    <row r="3417" spans="1:23" x14ac:dyDescent="0.2">
      <c r="A3417" s="36" t="s">
        <v>6945</v>
      </c>
      <c r="B3417" s="27" t="s">
        <v>1580</v>
      </c>
      <c r="C3417" s="23" t="e">
        <f ca="1">[1]!BexGetData("DP_1","003N8EMH8GTFRCSWKMPXRR8GU","GSON5211414011")</f>
        <v>#NAME?</v>
      </c>
      <c r="D3417" s="23" t="e">
        <f ca="1">[1]!BexGetData("DP_1","003N8EMH8GTFRCSWKMPXRRESE","GSON5211414011")</f>
        <v>#NAME?</v>
      </c>
      <c r="E3417" s="23" t="e">
        <f ca="1">[1]!BexGetData("DP_1","003N8EMH8GTFRCSWKMPXRRL3Y","GSON5211414011")</f>
        <v>#NAME?</v>
      </c>
      <c r="F3417" s="23" t="e">
        <f ca="1">[1]!BexGetData("DP_1","003N8EMH8GTFRCSWKMPXRRRFI","GSON5211414011")</f>
        <v>#NAME?</v>
      </c>
      <c r="G3417" s="23" t="e">
        <f ca="1">[1]!BexGetData("DP_1","003N8EMH8GTFRCSWKMPXRRXR2","GSON5211414011")</f>
        <v>#NAME?</v>
      </c>
      <c r="H3417" s="23" t="e">
        <f ca="1">[1]!BexGetData("DP_1","003N8EMH8GTFRCSWKMPXRS42M","GSON5211414011")</f>
        <v>#NAME?</v>
      </c>
      <c r="I3417" s="23" t="e">
        <f ca="1">[1]!BexGetData("DP_1","003N8EMH8GTFRCSWKMPXRSAE6","GSON5211414011")</f>
        <v>#NAME?</v>
      </c>
      <c r="J3417" s="24" t="e">
        <f ca="1">[1]!BexGetData("DP_1","003N8EMH8GTFRCSWKMPXRSGPQ","GSON5211414011")</f>
        <v>#NAME?</v>
      </c>
      <c r="K3417" s="23" t="e">
        <f ca="1">[1]!BexGetData("DP_1","003N8EMH8GTFRIVNUPY288VJH","GSON5211414011")</f>
        <v>#NAME?</v>
      </c>
      <c r="L3417" s="23" t="e">
        <f ca="1">[1]!BexGetData("DP_1","003N8EMH8GTFRIVNUPY2891V1","GSON5211414011")</f>
        <v>#NAME?</v>
      </c>
      <c r="M3417" s="23" t="e">
        <f ca="1">[1]!BexGetData("DP_1","003N8EMH8GTFRIVOG7KG9IQXA","GSON5211414011")</f>
        <v>#NAME?</v>
      </c>
      <c r="N3417" s="28" t="e">
        <f ca="1">[1]!BexGetData("DP_1","003N8EMH8GTFRIVOG7KG9IX8U","GSON5211414011")</f>
        <v>#NAME?</v>
      </c>
      <c r="O3417" s="23" t="e">
        <f ca="1">[1]!BexGetData("DP_1","003N8EMH8GTFRIVOG7KG9J3KE","GSON5211414011")</f>
        <v>#NAME?</v>
      </c>
      <c r="P3417" s="28" t="e">
        <f ca="1">[1]!BexGetData("DP_1","003N8EMH8GTFRIVOG7KG9J9VY","GSON5211414011")</f>
        <v>#NAME?</v>
      </c>
      <c r="Q3417" s="24" t="e">
        <f ca="1">[1]!BexGetData("DP_1","00O2TNJGODT0G5Z4TTKYMM5MT","GSON5211414011")</f>
        <v>#NAME?</v>
      </c>
      <c r="R3417" s="23" t="e">
        <f ca="1">[1]!BexGetData("DP_1","00O2TNJGODT0G5Z4TTKYMMBYD","GSON5211414011")</f>
        <v>#NAME?</v>
      </c>
      <c r="S3417" s="23" t="e">
        <f ca="1">[1]!BexGetData("DP_1","00O2TNJGODT0G5Z4TTKYMMI9X","GSON5211414011")</f>
        <v>#NAME?</v>
      </c>
      <c r="T3417" s="28" t="e">
        <f ca="1">[1]!BexGetData("DP_1","00O2TNJGODT0G5Z4TTKYMMOLH","GSON5211414011")</f>
        <v>#NAME?</v>
      </c>
      <c r="U3417" s="23" t="e">
        <f ca="1">[1]!BexGetData("DP_1","00O2TNJGODT0G5Z4TTKYMMUX1","GSON5211414011")</f>
        <v>#NAME?</v>
      </c>
      <c r="V3417" s="28" t="e">
        <f ca="1">[1]!BexGetData("DP_1","00O2TNJGODT0G5Z4TTKYMN18L","GSON5211414011")</f>
        <v>#NAME?</v>
      </c>
      <c r="W3417" s="23" t="e">
        <f ca="1">[1]!BexGetData("DP_1","00O2TNJGODT0G5Z4TTKYMN7K5","GSON5211414011")</f>
        <v>#NAME?</v>
      </c>
    </row>
    <row r="3418" spans="1:23" x14ac:dyDescent="0.2">
      <c r="A3418" s="36" t="s">
        <v>6946</v>
      </c>
      <c r="B3418" s="27" t="s">
        <v>6947</v>
      </c>
      <c r="C3418" s="23" t="e">
        <f ca="1">[1]!BexGetData("DP_1","003N8EMH8GTFRCSWKMPXRR8GU","GSON5211414021")</f>
        <v>#NAME?</v>
      </c>
      <c r="D3418" s="23" t="e">
        <f ca="1">[1]!BexGetData("DP_1","003N8EMH8GTFRCSWKMPXRRESE","GSON5211414021")</f>
        <v>#NAME?</v>
      </c>
      <c r="E3418" s="23" t="e">
        <f ca="1">[1]!BexGetData("DP_1","003N8EMH8GTFRCSWKMPXRRL3Y","GSON5211414021")</f>
        <v>#NAME?</v>
      </c>
      <c r="F3418" s="23" t="e">
        <f ca="1">[1]!BexGetData("DP_1","003N8EMH8GTFRCSWKMPXRRRFI","GSON5211414021")</f>
        <v>#NAME?</v>
      </c>
      <c r="G3418" s="23" t="e">
        <f ca="1">[1]!BexGetData("DP_1","003N8EMH8GTFRCSWKMPXRRXR2","GSON5211414021")</f>
        <v>#NAME?</v>
      </c>
      <c r="H3418" s="23" t="e">
        <f ca="1">[1]!BexGetData("DP_1","003N8EMH8GTFRCSWKMPXRS42M","GSON5211414021")</f>
        <v>#NAME?</v>
      </c>
      <c r="I3418" s="23" t="e">
        <f ca="1">[1]!BexGetData("DP_1","003N8EMH8GTFRCSWKMPXRSAE6","GSON5211414021")</f>
        <v>#NAME?</v>
      </c>
      <c r="J3418" s="24" t="e">
        <f ca="1">[1]!BexGetData("DP_1","003N8EMH8GTFRCSWKMPXRSGPQ","GSON5211414021")</f>
        <v>#NAME?</v>
      </c>
      <c r="K3418" s="23" t="e">
        <f ca="1">[1]!BexGetData("DP_1","003N8EMH8GTFRIVNUPY288VJH","GSON5211414021")</f>
        <v>#NAME?</v>
      </c>
      <c r="L3418" s="23" t="e">
        <f ca="1">[1]!BexGetData("DP_1","003N8EMH8GTFRIVNUPY2891V1","GSON5211414021")</f>
        <v>#NAME?</v>
      </c>
      <c r="M3418" s="23" t="e">
        <f ca="1">[1]!BexGetData("DP_1","003N8EMH8GTFRIVOG7KG9IQXA","GSON5211414021")</f>
        <v>#NAME?</v>
      </c>
      <c r="N3418" s="28" t="e">
        <f ca="1">[1]!BexGetData("DP_1","003N8EMH8GTFRIVOG7KG9IX8U","GSON5211414021")</f>
        <v>#NAME?</v>
      </c>
      <c r="O3418" s="23" t="e">
        <f ca="1">[1]!BexGetData("DP_1","003N8EMH8GTFRIVOG7KG9J3KE","GSON5211414021")</f>
        <v>#NAME?</v>
      </c>
      <c r="P3418" s="28" t="e">
        <f ca="1">[1]!BexGetData("DP_1","003N8EMH8GTFRIVOG7KG9J9VY","GSON5211414021")</f>
        <v>#NAME?</v>
      </c>
      <c r="Q3418" s="24" t="e">
        <f ca="1">[1]!BexGetData("DP_1","00O2TNJGODT0G5Z4TTKYMM5MT","GSON5211414021")</f>
        <v>#NAME?</v>
      </c>
      <c r="R3418" s="23" t="e">
        <f ca="1">[1]!BexGetData("DP_1","00O2TNJGODT0G5Z4TTKYMMBYD","GSON5211414021")</f>
        <v>#NAME?</v>
      </c>
      <c r="S3418" s="23" t="e">
        <f ca="1">[1]!BexGetData("DP_1","00O2TNJGODT0G5Z4TTKYMMI9X","GSON5211414021")</f>
        <v>#NAME?</v>
      </c>
      <c r="T3418" s="28" t="e">
        <f ca="1">[1]!BexGetData("DP_1","00O2TNJGODT0G5Z4TTKYMMOLH","GSON5211414021")</f>
        <v>#NAME?</v>
      </c>
      <c r="U3418" s="23" t="e">
        <f ca="1">[1]!BexGetData("DP_1","00O2TNJGODT0G5Z4TTKYMMUX1","GSON5211414021")</f>
        <v>#NAME?</v>
      </c>
      <c r="V3418" s="28" t="e">
        <f ca="1">[1]!BexGetData("DP_1","00O2TNJGODT0G5Z4TTKYMN18L","GSON5211414021")</f>
        <v>#NAME?</v>
      </c>
      <c r="W3418" s="23" t="e">
        <f ca="1">[1]!BexGetData("DP_1","00O2TNJGODT0G5Z4TTKYMN7K5","GSON5211414021")</f>
        <v>#NAME?</v>
      </c>
    </row>
    <row r="3419" spans="1:23" x14ac:dyDescent="0.2">
      <c r="A3419" s="36" t="s">
        <v>6948</v>
      </c>
      <c r="B3419" s="27" t="s">
        <v>6949</v>
      </c>
      <c r="C3419" s="24" t="e">
        <f ca="1">[1]!BexGetData("DP_1","003N8EMH8GTFRCSWKMPXRR8GU","GSON5211414061")</f>
        <v>#NAME?</v>
      </c>
      <c r="D3419" s="24" t="e">
        <f ca="1">[1]!BexGetData("DP_1","003N8EMH8GTFRCSWKMPXRRESE","GSON5211414061")</f>
        <v>#NAME?</v>
      </c>
      <c r="E3419" s="24" t="e">
        <f ca="1">[1]!BexGetData("DP_1","003N8EMH8GTFRCSWKMPXRRL3Y","GSON5211414061")</f>
        <v>#NAME?</v>
      </c>
      <c r="F3419" s="23" t="e">
        <f ca="1">[1]!BexGetData("DP_1","003N8EMH8GTFRCSWKMPXRRRFI","GSON5211414061")</f>
        <v>#NAME?</v>
      </c>
      <c r="G3419" s="23" t="e">
        <f ca="1">[1]!BexGetData("DP_1","003N8EMH8GTFRCSWKMPXRRXR2","GSON5211414061")</f>
        <v>#NAME?</v>
      </c>
      <c r="H3419" s="23" t="e">
        <f ca="1">[1]!BexGetData("DP_1","003N8EMH8GTFRCSWKMPXRS42M","GSON5211414061")</f>
        <v>#NAME?</v>
      </c>
      <c r="I3419" s="23" t="e">
        <f ca="1">[1]!BexGetData("DP_1","003N8EMH8GTFRCSWKMPXRSAE6","GSON5211414061")</f>
        <v>#NAME?</v>
      </c>
      <c r="J3419" s="24" t="e">
        <f ca="1">[1]!BexGetData("DP_1","003N8EMH8GTFRCSWKMPXRSGPQ","GSON5211414061")</f>
        <v>#NAME?</v>
      </c>
      <c r="K3419" s="23" t="e">
        <f ca="1">[1]!BexGetData("DP_1","003N8EMH8GTFRIVNUPY288VJH","GSON5211414061")</f>
        <v>#NAME?</v>
      </c>
      <c r="L3419" s="23" t="e">
        <f ca="1">[1]!BexGetData("DP_1","003N8EMH8GTFRIVNUPY2891V1","GSON5211414061")</f>
        <v>#NAME?</v>
      </c>
      <c r="M3419" s="23" t="e">
        <f ca="1">[1]!BexGetData("DP_1","003N8EMH8GTFRIVOG7KG9IQXA","GSON5211414061")</f>
        <v>#NAME?</v>
      </c>
      <c r="N3419" s="28" t="e">
        <f ca="1">[1]!BexGetData("DP_1","003N8EMH8GTFRIVOG7KG9IX8U","GSON5211414061")</f>
        <v>#NAME?</v>
      </c>
      <c r="O3419" s="23" t="e">
        <f ca="1">[1]!BexGetData("DP_1","003N8EMH8GTFRIVOG7KG9J3KE","GSON5211414061")</f>
        <v>#NAME?</v>
      </c>
      <c r="P3419" s="28" t="e">
        <f ca="1">[1]!BexGetData("DP_1","003N8EMH8GTFRIVOG7KG9J9VY","GSON5211414061")</f>
        <v>#NAME?</v>
      </c>
      <c r="Q3419" s="24" t="e">
        <f ca="1">[1]!BexGetData("DP_1","00O2TNJGODT0G5Z4TTKYMM5MT","GSON5211414061")</f>
        <v>#NAME?</v>
      </c>
      <c r="R3419" s="23" t="e">
        <f ca="1">[1]!BexGetData("DP_1","00O2TNJGODT0G5Z4TTKYMMBYD","GSON5211414061")</f>
        <v>#NAME?</v>
      </c>
      <c r="S3419" s="23" t="e">
        <f ca="1">[1]!BexGetData("DP_1","00O2TNJGODT0G5Z4TTKYMMI9X","GSON5211414061")</f>
        <v>#NAME?</v>
      </c>
      <c r="T3419" s="28" t="e">
        <f ca="1">[1]!BexGetData("DP_1","00O2TNJGODT0G5Z4TTKYMMOLH","GSON5211414061")</f>
        <v>#NAME?</v>
      </c>
      <c r="U3419" s="23" t="e">
        <f ca="1">[1]!BexGetData("DP_1","00O2TNJGODT0G5Z4TTKYMMUX1","GSON5211414061")</f>
        <v>#NAME?</v>
      </c>
      <c r="V3419" s="28" t="e">
        <f ca="1">[1]!BexGetData("DP_1","00O2TNJGODT0G5Z4TTKYMN18L","GSON5211414061")</f>
        <v>#NAME?</v>
      </c>
      <c r="W3419" s="23" t="e">
        <f ca="1">[1]!BexGetData("DP_1","00O2TNJGODT0G5Z4TTKYMN7K5","GSON5211414061")</f>
        <v>#NAME?</v>
      </c>
    </row>
    <row r="3420" spans="1:23" x14ac:dyDescent="0.2">
      <c r="A3420" s="36" t="s">
        <v>6929</v>
      </c>
      <c r="B3420" s="27" t="s">
        <v>6950</v>
      </c>
      <c r="C3420" s="24" t="e">
        <f ca="1">[1]!BexGetData("DP_1","003N8EMH8GTFRCSWKMPXRR8GU","GSON5211414071")</f>
        <v>#NAME?</v>
      </c>
      <c r="D3420" s="24" t="e">
        <f ca="1">[1]!BexGetData("DP_1","003N8EMH8GTFRCSWKMPXRRESE","GSON5211414071")</f>
        <v>#NAME?</v>
      </c>
      <c r="E3420" s="24" t="e">
        <f ca="1">[1]!BexGetData("DP_1","003N8EMH8GTFRCSWKMPXRRL3Y","GSON5211414071")</f>
        <v>#NAME?</v>
      </c>
      <c r="F3420" s="23" t="e">
        <f ca="1">[1]!BexGetData("DP_1","003N8EMH8GTFRCSWKMPXRRRFI","GSON5211414071")</f>
        <v>#NAME?</v>
      </c>
      <c r="G3420" s="23" t="e">
        <f ca="1">[1]!BexGetData("DP_1","003N8EMH8GTFRCSWKMPXRRXR2","GSON5211414071")</f>
        <v>#NAME?</v>
      </c>
      <c r="H3420" s="23" t="e">
        <f ca="1">[1]!BexGetData("DP_1","003N8EMH8GTFRCSWKMPXRS42M","GSON5211414071")</f>
        <v>#NAME?</v>
      </c>
      <c r="I3420" s="23" t="e">
        <f ca="1">[1]!BexGetData("DP_1","003N8EMH8GTFRCSWKMPXRSAE6","GSON5211414071")</f>
        <v>#NAME?</v>
      </c>
      <c r="J3420" s="24" t="e">
        <f ca="1">[1]!BexGetData("DP_1","003N8EMH8GTFRCSWKMPXRSGPQ","GSON5211414071")</f>
        <v>#NAME?</v>
      </c>
      <c r="K3420" s="23" t="e">
        <f ca="1">[1]!BexGetData("DP_1","003N8EMH8GTFRIVNUPY288VJH","GSON5211414071")</f>
        <v>#NAME?</v>
      </c>
      <c r="L3420" s="23" t="e">
        <f ca="1">[1]!BexGetData("DP_1","003N8EMH8GTFRIVNUPY2891V1","GSON5211414071")</f>
        <v>#NAME?</v>
      </c>
      <c r="M3420" s="23" t="e">
        <f ca="1">[1]!BexGetData("DP_1","003N8EMH8GTFRIVOG7KG9IQXA","GSON5211414071")</f>
        <v>#NAME?</v>
      </c>
      <c r="N3420" s="28" t="e">
        <f ca="1">[1]!BexGetData("DP_1","003N8EMH8GTFRIVOG7KG9IX8U","GSON5211414071")</f>
        <v>#NAME?</v>
      </c>
      <c r="O3420" s="23" t="e">
        <f ca="1">[1]!BexGetData("DP_1","003N8EMH8GTFRIVOG7KG9J3KE","GSON5211414071")</f>
        <v>#NAME?</v>
      </c>
      <c r="P3420" s="28" t="e">
        <f ca="1">[1]!BexGetData("DP_1","003N8EMH8GTFRIVOG7KG9J9VY","GSON5211414071")</f>
        <v>#NAME?</v>
      </c>
      <c r="Q3420" s="24" t="e">
        <f ca="1">[1]!BexGetData("DP_1","00O2TNJGODT0G5Z4TTKYMM5MT","GSON5211414071")</f>
        <v>#NAME?</v>
      </c>
      <c r="R3420" s="23" t="e">
        <f ca="1">[1]!BexGetData("DP_1","00O2TNJGODT0G5Z4TTKYMMBYD","GSON5211414071")</f>
        <v>#NAME?</v>
      </c>
      <c r="S3420" s="23" t="e">
        <f ca="1">[1]!BexGetData("DP_1","00O2TNJGODT0G5Z4TTKYMMI9X","GSON5211414071")</f>
        <v>#NAME?</v>
      </c>
      <c r="T3420" s="28" t="e">
        <f ca="1">[1]!BexGetData("DP_1","00O2TNJGODT0G5Z4TTKYMMOLH","GSON5211414071")</f>
        <v>#NAME?</v>
      </c>
      <c r="U3420" s="23" t="e">
        <f ca="1">[1]!BexGetData("DP_1","00O2TNJGODT0G5Z4TTKYMMUX1","GSON5211414071")</f>
        <v>#NAME?</v>
      </c>
      <c r="V3420" s="28" t="e">
        <f ca="1">[1]!BexGetData("DP_1","00O2TNJGODT0G5Z4TTKYMN18L","GSON5211414071")</f>
        <v>#NAME?</v>
      </c>
      <c r="W3420" s="23" t="e">
        <f ca="1">[1]!BexGetData("DP_1","00O2TNJGODT0G5Z4TTKYMN7K5","GSON5211414071")</f>
        <v>#NAME?</v>
      </c>
    </row>
    <row r="3421" spans="1:23" x14ac:dyDescent="0.2">
      <c r="A3421" s="35" t="s">
        <v>594</v>
      </c>
      <c r="B3421" s="27" t="s">
        <v>1741</v>
      </c>
      <c r="C3421" s="23" t="e">
        <f ca="1">[1]!BexGetData("DP_1","003N8EMH8GTFRCSWKMPXRR8GU","GSON5212")</f>
        <v>#NAME?</v>
      </c>
      <c r="D3421" s="23" t="e">
        <f ca="1">[1]!BexGetData("DP_1","003N8EMH8GTFRCSWKMPXRRESE","GSON5212")</f>
        <v>#NAME?</v>
      </c>
      <c r="E3421" s="23" t="e">
        <f ca="1">[1]!BexGetData("DP_1","003N8EMH8GTFRCSWKMPXRRL3Y","GSON5212")</f>
        <v>#NAME?</v>
      </c>
      <c r="F3421" s="23" t="e">
        <f ca="1">[1]!BexGetData("DP_1","003N8EMH8GTFRCSWKMPXRRRFI","GSON5212")</f>
        <v>#NAME?</v>
      </c>
      <c r="G3421" s="23" t="e">
        <f ca="1">[1]!BexGetData("DP_1","003N8EMH8GTFRCSWKMPXRRXR2","GSON5212")</f>
        <v>#NAME?</v>
      </c>
      <c r="H3421" s="23" t="e">
        <f ca="1">[1]!BexGetData("DP_1","003N8EMH8GTFRCSWKMPXRS42M","GSON5212")</f>
        <v>#NAME?</v>
      </c>
      <c r="I3421" s="23" t="e">
        <f ca="1">[1]!BexGetData("DP_1","003N8EMH8GTFRCSWKMPXRSAE6","GSON5212")</f>
        <v>#NAME?</v>
      </c>
      <c r="J3421" s="24" t="e">
        <f ca="1">[1]!BexGetData("DP_1","003N8EMH8GTFRCSWKMPXRSGPQ","GSON5212")</f>
        <v>#NAME?</v>
      </c>
      <c r="K3421" s="23" t="e">
        <f ca="1">[1]!BexGetData("DP_1","003N8EMH8GTFRIVNUPY288VJH","GSON5212")</f>
        <v>#NAME?</v>
      </c>
      <c r="L3421" s="23" t="e">
        <f ca="1">[1]!BexGetData("DP_1","003N8EMH8GTFRIVNUPY2891V1","GSON5212")</f>
        <v>#NAME?</v>
      </c>
      <c r="M3421" s="28" t="e">
        <f ca="1">[1]!BexGetData("DP_1","003N8EMH8GTFRIVOG7KG9IQXA","GSON5212")</f>
        <v>#NAME?</v>
      </c>
      <c r="N3421" s="23" t="e">
        <f ca="1">[1]!BexGetData("DP_1","003N8EMH8GTFRIVOG7KG9IX8U","GSON5212")</f>
        <v>#NAME?</v>
      </c>
      <c r="O3421" s="28" t="e">
        <f ca="1">[1]!BexGetData("DP_1","003N8EMH8GTFRIVOG7KG9J3KE","GSON5212")</f>
        <v>#NAME?</v>
      </c>
      <c r="P3421" s="23" t="e">
        <f ca="1">[1]!BexGetData("DP_1","003N8EMH8GTFRIVOG7KG9J9VY","GSON5212")</f>
        <v>#NAME?</v>
      </c>
      <c r="Q3421" s="24" t="e">
        <f ca="1">[1]!BexGetData("DP_1","00O2TNJGODT0G5Z4TTKYMM5MT","GSON5212")</f>
        <v>#NAME?</v>
      </c>
      <c r="R3421" s="23" t="e">
        <f ca="1">[1]!BexGetData("DP_1","00O2TNJGODT0G5Z4TTKYMMBYD","GSON5212")</f>
        <v>#NAME?</v>
      </c>
      <c r="S3421" s="23" t="e">
        <f ca="1">[1]!BexGetData("DP_1","00O2TNJGODT0G5Z4TTKYMMI9X","GSON5212")</f>
        <v>#NAME?</v>
      </c>
      <c r="T3421" s="28" t="e">
        <f ca="1">[1]!BexGetData("DP_1","00O2TNJGODT0G5Z4TTKYMMOLH","GSON5212")</f>
        <v>#NAME?</v>
      </c>
      <c r="U3421" s="23" t="e">
        <f ca="1">[1]!BexGetData("DP_1","00O2TNJGODT0G5Z4TTKYMMUX1","GSON5212")</f>
        <v>#NAME?</v>
      </c>
      <c r="V3421" s="28" t="e">
        <f ca="1">[1]!BexGetData("DP_1","00O2TNJGODT0G5Z4TTKYMN18L","GSON5212")</f>
        <v>#NAME?</v>
      </c>
      <c r="W3421" s="23" t="e">
        <f ca="1">[1]!BexGetData("DP_1","00O2TNJGODT0G5Z4TTKYMN7K5","GSON5212")</f>
        <v>#NAME?</v>
      </c>
    </row>
    <row r="3422" spans="1:23" x14ac:dyDescent="0.2">
      <c r="A3422" s="36" t="s">
        <v>6951</v>
      </c>
      <c r="B3422" s="27" t="s">
        <v>6952</v>
      </c>
      <c r="C3422" s="23" t="e">
        <f ca="1">[1]!BexGetData("DP_1","003N8EMH8GTFRCSWKMPXRR8GU","GSON5212415011")</f>
        <v>#NAME?</v>
      </c>
      <c r="D3422" s="28" t="e">
        <f ca="1">[1]!BexGetData("DP_1","003N8EMH8GTFRCSWKMPXRRESE","GSON5212415011")</f>
        <v>#NAME?</v>
      </c>
      <c r="E3422" s="23" t="e">
        <f ca="1">[1]!BexGetData("DP_1","003N8EMH8GTFRCSWKMPXRRL3Y","GSON5212415011")</f>
        <v>#NAME?</v>
      </c>
      <c r="F3422" s="24" t="e">
        <f ca="1">[1]!BexGetData("DP_1","003N8EMH8GTFRCSWKMPXRRRFI","GSON5212415011")</f>
        <v>#NAME?</v>
      </c>
      <c r="G3422" s="24" t="e">
        <f ca="1">[1]!BexGetData("DP_1","003N8EMH8GTFRCSWKMPXRRXR2","GSON5212415011")</f>
        <v>#NAME?</v>
      </c>
      <c r="H3422" s="24" t="e">
        <f ca="1">[1]!BexGetData("DP_1","003N8EMH8GTFRCSWKMPXRS42M","GSON5212415011")</f>
        <v>#NAME?</v>
      </c>
      <c r="I3422" s="24" t="e">
        <f ca="1">[1]!BexGetData("DP_1","003N8EMH8GTFRCSWKMPXRSAE6","GSON5212415011")</f>
        <v>#NAME?</v>
      </c>
      <c r="J3422" s="24" t="e">
        <f ca="1">[1]!BexGetData("DP_1","003N8EMH8GTFRCSWKMPXRSGPQ","GSON5212415011")</f>
        <v>#NAME?</v>
      </c>
      <c r="K3422" s="23" t="e">
        <f ca="1">[1]!BexGetData("DP_1","003N8EMH8GTFRIVNUPY288VJH","GSON5212415011")</f>
        <v>#NAME?</v>
      </c>
      <c r="L3422" s="23" t="e">
        <f ca="1">[1]!BexGetData("DP_1","003N8EMH8GTFRIVNUPY2891V1","GSON5212415011")</f>
        <v>#NAME?</v>
      </c>
      <c r="M3422" s="28" t="e">
        <f ca="1">[1]!BexGetData("DP_1","003N8EMH8GTFRIVOG7KG9IQXA","GSON5212415011")</f>
        <v>#NAME?</v>
      </c>
      <c r="N3422" s="23" t="e">
        <f ca="1">[1]!BexGetData("DP_1","003N8EMH8GTFRIVOG7KG9IX8U","GSON5212415011")</f>
        <v>#NAME?</v>
      </c>
      <c r="O3422" s="28" t="e">
        <f ca="1">[1]!BexGetData("DP_1","003N8EMH8GTFRIVOG7KG9J3KE","GSON5212415011")</f>
        <v>#NAME?</v>
      </c>
      <c r="P3422" s="23" t="e">
        <f ca="1">[1]!BexGetData("DP_1","003N8EMH8GTFRIVOG7KG9J9VY","GSON5212415011")</f>
        <v>#NAME?</v>
      </c>
      <c r="Q3422" s="24" t="e">
        <f ca="1">[1]!BexGetData("DP_1","00O2TNJGODT0G5Z4TTKYMM5MT","GSON5212415011")</f>
        <v>#NAME?</v>
      </c>
      <c r="R3422" s="24" t="e">
        <f ca="1">[1]!BexGetData("DP_1","00O2TNJGODT0G5Z4TTKYMMBYD","GSON5212415011")</f>
        <v>#NAME?</v>
      </c>
      <c r="S3422" s="24" t="e">
        <f ca="1">[1]!BexGetData("DP_1","00O2TNJGODT0G5Z4TTKYMMI9X","GSON5212415011")</f>
        <v>#NAME?</v>
      </c>
      <c r="T3422" s="24" t="e">
        <f ca="1">[1]!BexGetData("DP_1","00O2TNJGODT0G5Z4TTKYMMOLH","GSON5212415011")</f>
        <v>#NAME?</v>
      </c>
      <c r="U3422" s="24" t="e">
        <f ca="1">[1]!BexGetData("DP_1","00O2TNJGODT0G5Z4TTKYMMUX1","GSON5212415011")</f>
        <v>#NAME?</v>
      </c>
      <c r="V3422" s="24" t="e">
        <f ca="1">[1]!BexGetData("DP_1","00O2TNJGODT0G5Z4TTKYMN18L","GSON5212415011")</f>
        <v>#NAME?</v>
      </c>
      <c r="W3422" s="24" t="e">
        <f ca="1">[1]!BexGetData("DP_1","00O2TNJGODT0G5Z4TTKYMN7K5","GSON5212415011")</f>
        <v>#NAME?</v>
      </c>
    </row>
    <row r="3423" spans="1:23" x14ac:dyDescent="0.2">
      <c r="A3423" s="36" t="s">
        <v>6951</v>
      </c>
      <c r="B3423" s="27" t="s">
        <v>6953</v>
      </c>
      <c r="C3423" s="23" t="e">
        <f ca="1">[1]!BexGetData("DP_1","003N8EMH8GTFRCSWKMPXRR8GU","GSON5212415021")</f>
        <v>#NAME?</v>
      </c>
      <c r="D3423" s="28" t="e">
        <f ca="1">[1]!BexGetData("DP_1","003N8EMH8GTFRCSWKMPXRRESE","GSON5212415021")</f>
        <v>#NAME?</v>
      </c>
      <c r="E3423" s="23" t="e">
        <f ca="1">[1]!BexGetData("DP_1","003N8EMH8GTFRCSWKMPXRRL3Y","GSON5212415021")</f>
        <v>#NAME?</v>
      </c>
      <c r="F3423" s="23" t="e">
        <f ca="1">[1]!BexGetData("DP_1","003N8EMH8GTFRCSWKMPXRRRFI","GSON5212415021")</f>
        <v>#NAME?</v>
      </c>
      <c r="G3423" s="23" t="e">
        <f ca="1">[1]!BexGetData("DP_1","003N8EMH8GTFRCSWKMPXRRXR2","GSON5212415021")</f>
        <v>#NAME?</v>
      </c>
      <c r="H3423" s="28" t="e">
        <f ca="1">[1]!BexGetData("DP_1","003N8EMH8GTFRCSWKMPXRS42M","GSON5212415021")</f>
        <v>#NAME?</v>
      </c>
      <c r="I3423" s="23" t="e">
        <f ca="1">[1]!BexGetData("DP_1","003N8EMH8GTFRCSWKMPXRSAE6","GSON5212415021")</f>
        <v>#NAME?</v>
      </c>
      <c r="J3423" s="24" t="e">
        <f ca="1">[1]!BexGetData("DP_1","003N8EMH8GTFRCSWKMPXRSGPQ","GSON5212415021")</f>
        <v>#NAME?</v>
      </c>
      <c r="K3423" s="23" t="e">
        <f ca="1">[1]!BexGetData("DP_1","003N8EMH8GTFRIVNUPY288VJH","GSON5212415021")</f>
        <v>#NAME?</v>
      </c>
      <c r="L3423" s="23" t="e">
        <f ca="1">[1]!BexGetData("DP_1","003N8EMH8GTFRIVNUPY2891V1","GSON5212415021")</f>
        <v>#NAME?</v>
      </c>
      <c r="M3423" s="23" t="e">
        <f ca="1">[1]!BexGetData("DP_1","003N8EMH8GTFRIVOG7KG9IQXA","GSON5212415021")</f>
        <v>#NAME?</v>
      </c>
      <c r="N3423" s="28" t="e">
        <f ca="1">[1]!BexGetData("DP_1","003N8EMH8GTFRIVOG7KG9IX8U","GSON5212415021")</f>
        <v>#NAME?</v>
      </c>
      <c r="O3423" s="23" t="e">
        <f ca="1">[1]!BexGetData("DP_1","003N8EMH8GTFRIVOG7KG9J3KE","GSON5212415021")</f>
        <v>#NAME?</v>
      </c>
      <c r="P3423" s="28" t="e">
        <f ca="1">[1]!BexGetData("DP_1","003N8EMH8GTFRIVOG7KG9J9VY","GSON5212415021")</f>
        <v>#NAME?</v>
      </c>
      <c r="Q3423" s="24" t="e">
        <f ca="1">[1]!BexGetData("DP_1","00O2TNJGODT0G5Z4TTKYMM5MT","GSON5212415021")</f>
        <v>#NAME?</v>
      </c>
      <c r="R3423" s="23" t="e">
        <f ca="1">[1]!BexGetData("DP_1","00O2TNJGODT0G5Z4TTKYMMBYD","GSON5212415021")</f>
        <v>#NAME?</v>
      </c>
      <c r="S3423" s="23" t="e">
        <f ca="1">[1]!BexGetData("DP_1","00O2TNJGODT0G5Z4TTKYMMI9X","GSON5212415021")</f>
        <v>#NAME?</v>
      </c>
      <c r="T3423" s="28" t="e">
        <f ca="1">[1]!BexGetData("DP_1","00O2TNJGODT0G5Z4TTKYMMOLH","GSON5212415021")</f>
        <v>#NAME?</v>
      </c>
      <c r="U3423" s="23" t="e">
        <f ca="1">[1]!BexGetData("DP_1","00O2TNJGODT0G5Z4TTKYMMUX1","GSON5212415021")</f>
        <v>#NAME?</v>
      </c>
      <c r="V3423" s="28" t="e">
        <f ca="1">[1]!BexGetData("DP_1","00O2TNJGODT0G5Z4TTKYMN18L","GSON5212415021")</f>
        <v>#NAME?</v>
      </c>
      <c r="W3423" s="23" t="e">
        <f ca="1">[1]!BexGetData("DP_1","00O2TNJGODT0G5Z4TTKYMN7K5","GSON5212415021")</f>
        <v>#NAME?</v>
      </c>
    </row>
    <row r="3424" spans="1:23" x14ac:dyDescent="0.2">
      <c r="A3424" s="36" t="s">
        <v>6954</v>
      </c>
      <c r="B3424" s="27" t="s">
        <v>1742</v>
      </c>
      <c r="C3424" s="23" t="e">
        <f ca="1">[1]!BexGetData("DP_1","003N8EMH8GTFRCSWKMPXRR8GU","GSON5212415031")</f>
        <v>#NAME?</v>
      </c>
      <c r="D3424" s="23" t="e">
        <f ca="1">[1]!BexGetData("DP_1","003N8EMH8GTFRCSWKMPXRRESE","GSON5212415031")</f>
        <v>#NAME?</v>
      </c>
      <c r="E3424" s="23" t="e">
        <f ca="1">[1]!BexGetData("DP_1","003N8EMH8GTFRCSWKMPXRRL3Y","GSON5212415031")</f>
        <v>#NAME?</v>
      </c>
      <c r="F3424" s="23" t="e">
        <f ca="1">[1]!BexGetData("DP_1","003N8EMH8GTFRCSWKMPXRRRFI","GSON5212415031")</f>
        <v>#NAME?</v>
      </c>
      <c r="G3424" s="23" t="e">
        <f ca="1">[1]!BexGetData("DP_1","003N8EMH8GTFRCSWKMPXRRXR2","GSON5212415031")</f>
        <v>#NAME?</v>
      </c>
      <c r="H3424" s="28" t="e">
        <f ca="1">[1]!BexGetData("DP_1","003N8EMH8GTFRCSWKMPXRS42M","GSON5212415031")</f>
        <v>#NAME?</v>
      </c>
      <c r="I3424" s="23" t="e">
        <f ca="1">[1]!BexGetData("DP_1","003N8EMH8GTFRCSWKMPXRSAE6","GSON5212415031")</f>
        <v>#NAME?</v>
      </c>
      <c r="J3424" s="24" t="e">
        <f ca="1">[1]!BexGetData("DP_1","003N8EMH8GTFRCSWKMPXRSGPQ","GSON5212415031")</f>
        <v>#NAME?</v>
      </c>
      <c r="K3424" s="23" t="e">
        <f ca="1">[1]!BexGetData("DP_1","003N8EMH8GTFRIVNUPY288VJH","GSON5212415031")</f>
        <v>#NAME?</v>
      </c>
      <c r="L3424" s="23" t="e">
        <f ca="1">[1]!BexGetData("DP_1","003N8EMH8GTFRIVNUPY2891V1","GSON5212415031")</f>
        <v>#NAME?</v>
      </c>
      <c r="M3424" s="28" t="e">
        <f ca="1">[1]!BexGetData("DP_1","003N8EMH8GTFRIVOG7KG9IQXA","GSON5212415031")</f>
        <v>#NAME?</v>
      </c>
      <c r="N3424" s="23" t="e">
        <f ca="1">[1]!BexGetData("DP_1","003N8EMH8GTFRIVOG7KG9IX8U","GSON5212415031")</f>
        <v>#NAME?</v>
      </c>
      <c r="O3424" s="28" t="e">
        <f ca="1">[1]!BexGetData("DP_1","003N8EMH8GTFRIVOG7KG9J3KE","GSON5212415031")</f>
        <v>#NAME?</v>
      </c>
      <c r="P3424" s="23" t="e">
        <f ca="1">[1]!BexGetData("DP_1","003N8EMH8GTFRIVOG7KG9J9VY","GSON5212415031")</f>
        <v>#NAME?</v>
      </c>
      <c r="Q3424" s="24" t="e">
        <f ca="1">[1]!BexGetData("DP_1","00O2TNJGODT0G5Z4TTKYMM5MT","GSON5212415031")</f>
        <v>#NAME?</v>
      </c>
      <c r="R3424" s="23" t="e">
        <f ca="1">[1]!BexGetData("DP_1","00O2TNJGODT0G5Z4TTKYMMBYD","GSON5212415031")</f>
        <v>#NAME?</v>
      </c>
      <c r="S3424" s="23" t="e">
        <f ca="1">[1]!BexGetData("DP_1","00O2TNJGODT0G5Z4TTKYMMI9X","GSON5212415031")</f>
        <v>#NAME?</v>
      </c>
      <c r="T3424" s="28" t="e">
        <f ca="1">[1]!BexGetData("DP_1","00O2TNJGODT0G5Z4TTKYMMOLH","GSON5212415031")</f>
        <v>#NAME?</v>
      </c>
      <c r="U3424" s="23" t="e">
        <f ca="1">[1]!BexGetData("DP_1","00O2TNJGODT0G5Z4TTKYMMUX1","GSON5212415031")</f>
        <v>#NAME?</v>
      </c>
      <c r="V3424" s="28" t="e">
        <f ca="1">[1]!BexGetData("DP_1","00O2TNJGODT0G5Z4TTKYMN18L","GSON5212415031")</f>
        <v>#NAME?</v>
      </c>
      <c r="W3424" s="23" t="e">
        <f ca="1">[1]!BexGetData("DP_1","00O2TNJGODT0G5Z4TTKYMN7K5","GSON5212415031")</f>
        <v>#NAME?</v>
      </c>
    </row>
    <row r="3425" spans="1:23" x14ac:dyDescent="0.2">
      <c r="A3425" s="36" t="s">
        <v>6955</v>
      </c>
      <c r="B3425" s="27" t="s">
        <v>6956</v>
      </c>
      <c r="C3425" s="23" t="e">
        <f ca="1">[1]!BexGetData("DP_1","003N8EMH8GTFRCSWKMPXRR8GU","GSON5212415051")</f>
        <v>#NAME?</v>
      </c>
      <c r="D3425" s="28" t="e">
        <f ca="1">[1]!BexGetData("DP_1","003N8EMH8GTFRCSWKMPXRRESE","GSON5212415051")</f>
        <v>#NAME?</v>
      </c>
      <c r="E3425" s="23" t="e">
        <f ca="1">[1]!BexGetData("DP_1","003N8EMH8GTFRCSWKMPXRRL3Y","GSON5212415051")</f>
        <v>#NAME?</v>
      </c>
      <c r="F3425" s="23" t="e">
        <f ca="1">[1]!BexGetData("DP_1","003N8EMH8GTFRCSWKMPXRRRFI","GSON5212415051")</f>
        <v>#NAME?</v>
      </c>
      <c r="G3425" s="23" t="e">
        <f ca="1">[1]!BexGetData("DP_1","003N8EMH8GTFRCSWKMPXRRXR2","GSON5212415051")</f>
        <v>#NAME?</v>
      </c>
      <c r="H3425" s="23" t="e">
        <f ca="1">[1]!BexGetData("DP_1","003N8EMH8GTFRCSWKMPXRS42M","GSON5212415051")</f>
        <v>#NAME?</v>
      </c>
      <c r="I3425" s="23" t="e">
        <f ca="1">[1]!BexGetData("DP_1","003N8EMH8GTFRCSWKMPXRSAE6","GSON5212415051")</f>
        <v>#NAME?</v>
      </c>
      <c r="J3425" s="24" t="e">
        <f ca="1">[1]!BexGetData("DP_1","003N8EMH8GTFRCSWKMPXRSGPQ","GSON5212415051")</f>
        <v>#NAME?</v>
      </c>
      <c r="K3425" s="23" t="e">
        <f ca="1">[1]!BexGetData("DP_1","003N8EMH8GTFRIVNUPY288VJH","GSON5212415051")</f>
        <v>#NAME?</v>
      </c>
      <c r="L3425" s="23" t="e">
        <f ca="1">[1]!BexGetData("DP_1","003N8EMH8GTFRIVNUPY2891V1","GSON5212415051")</f>
        <v>#NAME?</v>
      </c>
      <c r="M3425" s="28" t="e">
        <f ca="1">[1]!BexGetData("DP_1","003N8EMH8GTFRIVOG7KG9IQXA","GSON5212415051")</f>
        <v>#NAME?</v>
      </c>
      <c r="N3425" s="23" t="e">
        <f ca="1">[1]!BexGetData("DP_1","003N8EMH8GTFRIVOG7KG9IX8U","GSON5212415051")</f>
        <v>#NAME?</v>
      </c>
      <c r="O3425" s="28" t="e">
        <f ca="1">[1]!BexGetData("DP_1","003N8EMH8GTFRIVOG7KG9J3KE","GSON5212415051")</f>
        <v>#NAME?</v>
      </c>
      <c r="P3425" s="23" t="e">
        <f ca="1">[1]!BexGetData("DP_1","003N8EMH8GTFRIVOG7KG9J9VY","GSON5212415051")</f>
        <v>#NAME?</v>
      </c>
      <c r="Q3425" s="24" t="e">
        <f ca="1">[1]!BexGetData("DP_1","00O2TNJGODT0G5Z4TTKYMM5MT","GSON5212415051")</f>
        <v>#NAME?</v>
      </c>
      <c r="R3425" s="23" t="e">
        <f ca="1">[1]!BexGetData("DP_1","00O2TNJGODT0G5Z4TTKYMMBYD","GSON5212415051")</f>
        <v>#NAME?</v>
      </c>
      <c r="S3425" s="23" t="e">
        <f ca="1">[1]!BexGetData("DP_1","00O2TNJGODT0G5Z4TTKYMMI9X","GSON5212415051")</f>
        <v>#NAME?</v>
      </c>
      <c r="T3425" s="28" t="e">
        <f ca="1">[1]!BexGetData("DP_1","00O2TNJGODT0G5Z4TTKYMMOLH","GSON5212415051")</f>
        <v>#NAME?</v>
      </c>
      <c r="U3425" s="23" t="e">
        <f ca="1">[1]!BexGetData("DP_1","00O2TNJGODT0G5Z4TTKYMMUX1","GSON5212415051")</f>
        <v>#NAME?</v>
      </c>
      <c r="V3425" s="28" t="e">
        <f ca="1">[1]!BexGetData("DP_1","00O2TNJGODT0G5Z4TTKYMN18L","GSON5212415051")</f>
        <v>#NAME?</v>
      </c>
      <c r="W3425" s="23" t="e">
        <f ca="1">[1]!BexGetData("DP_1","00O2TNJGODT0G5Z4TTKYMN7K5","GSON5212415051")</f>
        <v>#NAME?</v>
      </c>
    </row>
    <row r="3426" spans="1:23" x14ac:dyDescent="0.2">
      <c r="A3426" s="36" t="s">
        <v>6957</v>
      </c>
      <c r="B3426" s="27" t="s">
        <v>6958</v>
      </c>
      <c r="C3426" s="23" t="e">
        <f ca="1">[1]!BexGetData("DP_1","003N8EMH8GTFRCSWKMPXRR8GU","GSON5212417011")</f>
        <v>#NAME?</v>
      </c>
      <c r="D3426" s="23" t="e">
        <f ca="1">[1]!BexGetData("DP_1","003N8EMH8GTFRCSWKMPXRRESE","GSON5212417011")</f>
        <v>#NAME?</v>
      </c>
      <c r="E3426" s="23" t="e">
        <f ca="1">[1]!BexGetData("DP_1","003N8EMH8GTFRCSWKMPXRRL3Y","GSON5212417011")</f>
        <v>#NAME?</v>
      </c>
      <c r="F3426" s="24" t="e">
        <f ca="1">[1]!BexGetData("DP_1","003N8EMH8GTFRCSWKMPXRRRFI","GSON5212417011")</f>
        <v>#NAME?</v>
      </c>
      <c r="G3426" s="24" t="e">
        <f ca="1">[1]!BexGetData("DP_1","003N8EMH8GTFRCSWKMPXRRXR2","GSON5212417011")</f>
        <v>#NAME?</v>
      </c>
      <c r="H3426" s="24" t="e">
        <f ca="1">[1]!BexGetData("DP_1","003N8EMH8GTFRCSWKMPXRS42M","GSON5212417011")</f>
        <v>#NAME?</v>
      </c>
      <c r="I3426" s="24" t="e">
        <f ca="1">[1]!BexGetData("DP_1","003N8EMH8GTFRCSWKMPXRSAE6","GSON5212417011")</f>
        <v>#NAME?</v>
      </c>
      <c r="J3426" s="24" t="e">
        <f ca="1">[1]!BexGetData("DP_1","003N8EMH8GTFRCSWKMPXRSGPQ","GSON5212417011")</f>
        <v>#NAME?</v>
      </c>
      <c r="K3426" s="23" t="e">
        <f ca="1">[1]!BexGetData("DP_1","003N8EMH8GTFRIVNUPY288VJH","GSON5212417011")</f>
        <v>#NAME?</v>
      </c>
      <c r="L3426" s="23" t="e">
        <f ca="1">[1]!BexGetData("DP_1","003N8EMH8GTFRIVNUPY2891V1","GSON5212417011")</f>
        <v>#NAME?</v>
      </c>
      <c r="M3426" s="28" t="e">
        <f ca="1">[1]!BexGetData("DP_1","003N8EMH8GTFRIVOG7KG9IQXA","GSON5212417011")</f>
        <v>#NAME?</v>
      </c>
      <c r="N3426" s="23" t="e">
        <f ca="1">[1]!BexGetData("DP_1","003N8EMH8GTFRIVOG7KG9IX8U","GSON5212417011")</f>
        <v>#NAME?</v>
      </c>
      <c r="O3426" s="28" t="e">
        <f ca="1">[1]!BexGetData("DP_1","003N8EMH8GTFRIVOG7KG9J3KE","GSON5212417011")</f>
        <v>#NAME?</v>
      </c>
      <c r="P3426" s="23" t="e">
        <f ca="1">[1]!BexGetData("DP_1","003N8EMH8GTFRIVOG7KG9J9VY","GSON5212417011")</f>
        <v>#NAME?</v>
      </c>
      <c r="Q3426" s="24" t="e">
        <f ca="1">[1]!BexGetData("DP_1","00O2TNJGODT0G5Z4TTKYMM5MT","GSON5212417011")</f>
        <v>#NAME?</v>
      </c>
      <c r="R3426" s="24" t="e">
        <f ca="1">[1]!BexGetData("DP_1","00O2TNJGODT0G5Z4TTKYMMBYD","GSON5212417011")</f>
        <v>#NAME?</v>
      </c>
      <c r="S3426" s="24" t="e">
        <f ca="1">[1]!BexGetData("DP_1","00O2TNJGODT0G5Z4TTKYMMI9X","GSON5212417011")</f>
        <v>#NAME?</v>
      </c>
      <c r="T3426" s="24" t="e">
        <f ca="1">[1]!BexGetData("DP_1","00O2TNJGODT0G5Z4TTKYMMOLH","GSON5212417011")</f>
        <v>#NAME?</v>
      </c>
      <c r="U3426" s="24" t="e">
        <f ca="1">[1]!BexGetData("DP_1","00O2TNJGODT0G5Z4TTKYMMUX1","GSON5212417011")</f>
        <v>#NAME?</v>
      </c>
      <c r="V3426" s="24" t="e">
        <f ca="1">[1]!BexGetData("DP_1","00O2TNJGODT0G5Z4TTKYMN18L","GSON5212417011")</f>
        <v>#NAME?</v>
      </c>
      <c r="W3426" s="24" t="e">
        <f ca="1">[1]!BexGetData("DP_1","00O2TNJGODT0G5Z4TTKYMN7K5","GSON5212417011")</f>
        <v>#NAME?</v>
      </c>
    </row>
    <row r="3427" spans="1:23" x14ac:dyDescent="0.2">
      <c r="A3427" s="36" t="s">
        <v>6957</v>
      </c>
      <c r="B3427" s="27" t="s">
        <v>6959</v>
      </c>
      <c r="C3427" s="23" t="e">
        <f ca="1">[1]!BexGetData("DP_1","003N8EMH8GTFRCSWKMPXRR8GU","GSON5212419011")</f>
        <v>#NAME?</v>
      </c>
      <c r="D3427" s="28" t="e">
        <f ca="1">[1]!BexGetData("DP_1","003N8EMH8GTFRCSWKMPXRRESE","GSON5212419011")</f>
        <v>#NAME?</v>
      </c>
      <c r="E3427" s="23" t="e">
        <f ca="1">[1]!BexGetData("DP_1","003N8EMH8GTFRCSWKMPXRRL3Y","GSON5212419011")</f>
        <v>#NAME?</v>
      </c>
      <c r="F3427" s="23" t="e">
        <f ca="1">[1]!BexGetData("DP_1","003N8EMH8GTFRCSWKMPXRRRFI","GSON5212419011")</f>
        <v>#NAME?</v>
      </c>
      <c r="G3427" s="23" t="e">
        <f ca="1">[1]!BexGetData("DP_1","003N8EMH8GTFRCSWKMPXRRXR2","GSON5212419011")</f>
        <v>#NAME?</v>
      </c>
      <c r="H3427" s="28" t="e">
        <f ca="1">[1]!BexGetData("DP_1","003N8EMH8GTFRCSWKMPXRS42M","GSON5212419011")</f>
        <v>#NAME?</v>
      </c>
      <c r="I3427" s="23" t="e">
        <f ca="1">[1]!BexGetData("DP_1","003N8EMH8GTFRCSWKMPXRSAE6","GSON5212419011")</f>
        <v>#NAME?</v>
      </c>
      <c r="J3427" s="24" t="e">
        <f ca="1">[1]!BexGetData("DP_1","003N8EMH8GTFRCSWKMPXRSGPQ","GSON5212419011")</f>
        <v>#NAME?</v>
      </c>
      <c r="K3427" s="23" t="e">
        <f ca="1">[1]!BexGetData("DP_1","003N8EMH8GTFRIVNUPY288VJH","GSON5212419011")</f>
        <v>#NAME?</v>
      </c>
      <c r="L3427" s="23" t="e">
        <f ca="1">[1]!BexGetData("DP_1","003N8EMH8GTFRIVNUPY2891V1","GSON5212419011")</f>
        <v>#NAME?</v>
      </c>
      <c r="M3427" s="28" t="e">
        <f ca="1">[1]!BexGetData("DP_1","003N8EMH8GTFRIVOG7KG9IQXA","GSON5212419011")</f>
        <v>#NAME?</v>
      </c>
      <c r="N3427" s="23" t="e">
        <f ca="1">[1]!BexGetData("DP_1","003N8EMH8GTFRIVOG7KG9IX8U","GSON5212419011")</f>
        <v>#NAME?</v>
      </c>
      <c r="O3427" s="28" t="e">
        <f ca="1">[1]!BexGetData("DP_1","003N8EMH8GTFRIVOG7KG9J3KE","GSON5212419011")</f>
        <v>#NAME?</v>
      </c>
      <c r="P3427" s="23" t="e">
        <f ca="1">[1]!BexGetData("DP_1","003N8EMH8GTFRIVOG7KG9J9VY","GSON5212419011")</f>
        <v>#NAME?</v>
      </c>
      <c r="Q3427" s="24" t="e">
        <f ca="1">[1]!BexGetData("DP_1","00O2TNJGODT0G5Z4TTKYMM5MT","GSON5212419011")</f>
        <v>#NAME?</v>
      </c>
      <c r="R3427" s="23" t="e">
        <f ca="1">[1]!BexGetData("DP_1","00O2TNJGODT0G5Z4TTKYMMBYD","GSON5212419011")</f>
        <v>#NAME?</v>
      </c>
      <c r="S3427" s="23" t="e">
        <f ca="1">[1]!BexGetData("DP_1","00O2TNJGODT0G5Z4TTKYMMI9X","GSON5212419011")</f>
        <v>#NAME?</v>
      </c>
      <c r="T3427" s="28" t="e">
        <f ca="1">[1]!BexGetData("DP_1","00O2TNJGODT0G5Z4TTKYMMOLH","GSON5212419011")</f>
        <v>#NAME?</v>
      </c>
      <c r="U3427" s="23" t="e">
        <f ca="1">[1]!BexGetData("DP_1","00O2TNJGODT0G5Z4TTKYMMUX1","GSON5212419011")</f>
        <v>#NAME?</v>
      </c>
      <c r="V3427" s="28" t="e">
        <f ca="1">[1]!BexGetData("DP_1","00O2TNJGODT0G5Z4TTKYMN18L","GSON5212419011")</f>
        <v>#NAME?</v>
      </c>
      <c r="W3427" s="23" t="e">
        <f ca="1">[1]!BexGetData("DP_1","00O2TNJGODT0G5Z4TTKYMN7K5","GSON5212419011")</f>
        <v>#NAME?</v>
      </c>
    </row>
    <row r="3428" spans="1:23" x14ac:dyDescent="0.2">
      <c r="A3428" s="34" t="s">
        <v>6960</v>
      </c>
      <c r="B3428" s="27" t="s">
        <v>6961</v>
      </c>
      <c r="C3428" s="23" t="e">
        <f ca="1">[1]!BexGetData("DP_1","003N8EMH8GTFRCSWKMPXRR8GU","GSON522")</f>
        <v>#NAME?</v>
      </c>
      <c r="D3428" s="23" t="e">
        <f ca="1">[1]!BexGetData("DP_1","003N8EMH8GTFRCSWKMPXRRESE","GSON522")</f>
        <v>#NAME?</v>
      </c>
      <c r="E3428" s="23" t="e">
        <f ca="1">[1]!BexGetData("DP_1","003N8EMH8GTFRCSWKMPXRRL3Y","GSON522")</f>
        <v>#NAME?</v>
      </c>
      <c r="F3428" s="23" t="e">
        <f ca="1">[1]!BexGetData("DP_1","003N8EMH8GTFRCSWKMPXRRRFI","GSON522")</f>
        <v>#NAME?</v>
      </c>
      <c r="G3428" s="23" t="e">
        <f ca="1">[1]!BexGetData("DP_1","003N8EMH8GTFRCSWKMPXRRXR2","GSON522")</f>
        <v>#NAME?</v>
      </c>
      <c r="H3428" s="23" t="e">
        <f ca="1">[1]!BexGetData("DP_1","003N8EMH8GTFRCSWKMPXRS42M","GSON522")</f>
        <v>#NAME?</v>
      </c>
      <c r="I3428" s="23" t="e">
        <f ca="1">[1]!BexGetData("DP_1","003N8EMH8GTFRCSWKMPXRSAE6","GSON522")</f>
        <v>#NAME?</v>
      </c>
      <c r="J3428" s="24" t="e">
        <f ca="1">[1]!BexGetData("DP_1","003N8EMH8GTFRCSWKMPXRSGPQ","GSON522")</f>
        <v>#NAME?</v>
      </c>
      <c r="K3428" s="23" t="e">
        <f ca="1">[1]!BexGetData("DP_1","003N8EMH8GTFRIVNUPY288VJH","GSON522")</f>
        <v>#NAME?</v>
      </c>
      <c r="L3428" s="23" t="e">
        <f ca="1">[1]!BexGetData("DP_1","003N8EMH8GTFRIVNUPY2891V1","GSON522")</f>
        <v>#NAME?</v>
      </c>
      <c r="M3428" s="23" t="e">
        <f ca="1">[1]!BexGetData("DP_1","003N8EMH8GTFRIVOG7KG9IQXA","GSON522")</f>
        <v>#NAME?</v>
      </c>
      <c r="N3428" s="28" t="e">
        <f ca="1">[1]!BexGetData("DP_1","003N8EMH8GTFRIVOG7KG9IX8U","GSON522")</f>
        <v>#NAME?</v>
      </c>
      <c r="O3428" s="23" t="e">
        <f ca="1">[1]!BexGetData("DP_1","003N8EMH8GTFRIVOG7KG9J3KE","GSON522")</f>
        <v>#NAME?</v>
      </c>
      <c r="P3428" s="28" t="e">
        <f ca="1">[1]!BexGetData("DP_1","003N8EMH8GTFRIVOG7KG9J9VY","GSON522")</f>
        <v>#NAME?</v>
      </c>
      <c r="Q3428" s="24" t="e">
        <f ca="1">[1]!BexGetData("DP_1","00O2TNJGODT0G5Z4TTKYMM5MT","GSON522")</f>
        <v>#NAME?</v>
      </c>
      <c r="R3428" s="23" t="e">
        <f ca="1">[1]!BexGetData("DP_1","00O2TNJGODT0G5Z4TTKYMMBYD","GSON522")</f>
        <v>#NAME?</v>
      </c>
      <c r="S3428" s="23" t="e">
        <f ca="1">[1]!BexGetData("DP_1","00O2TNJGODT0G5Z4TTKYMMI9X","GSON522")</f>
        <v>#NAME?</v>
      </c>
      <c r="T3428" s="28" t="e">
        <f ca="1">[1]!BexGetData("DP_1","00O2TNJGODT0G5Z4TTKYMMOLH","GSON522")</f>
        <v>#NAME?</v>
      </c>
      <c r="U3428" s="23" t="e">
        <f ca="1">[1]!BexGetData("DP_1","00O2TNJGODT0G5Z4TTKYMMUX1","GSON522")</f>
        <v>#NAME?</v>
      </c>
      <c r="V3428" s="28" t="e">
        <f ca="1">[1]!BexGetData("DP_1","00O2TNJGODT0G5Z4TTKYMN18L","GSON522")</f>
        <v>#NAME?</v>
      </c>
      <c r="W3428" s="23" t="e">
        <f ca="1">[1]!BexGetData("DP_1","00O2TNJGODT0G5Z4TTKYMN7K5","GSON522")</f>
        <v>#NAME?</v>
      </c>
    </row>
    <row r="3429" spans="1:23" x14ac:dyDescent="0.2">
      <c r="A3429" s="35" t="s">
        <v>6962</v>
      </c>
      <c r="B3429" s="27" t="s">
        <v>6963</v>
      </c>
      <c r="C3429" s="23" t="e">
        <f ca="1">[1]!BexGetData("DP_1","003N8EMH8GTFRCSWKMPXRR8GU","GSON5221")</f>
        <v>#NAME?</v>
      </c>
      <c r="D3429" s="28" t="e">
        <f ca="1">[1]!BexGetData("DP_1","003N8EMH8GTFRCSWKMPXRRESE","GSON5221")</f>
        <v>#NAME?</v>
      </c>
      <c r="E3429" s="23" t="e">
        <f ca="1">[1]!BexGetData("DP_1","003N8EMH8GTFRCSWKMPXRRL3Y","GSON5221")</f>
        <v>#NAME?</v>
      </c>
      <c r="F3429" s="23" t="e">
        <f ca="1">[1]!BexGetData("DP_1","003N8EMH8GTFRCSWKMPXRRRFI","GSON5221")</f>
        <v>#NAME?</v>
      </c>
      <c r="G3429" s="23" t="e">
        <f ca="1">[1]!BexGetData("DP_1","003N8EMH8GTFRCSWKMPXRRXR2","GSON5221")</f>
        <v>#NAME?</v>
      </c>
      <c r="H3429" s="28" t="e">
        <f ca="1">[1]!BexGetData("DP_1","003N8EMH8GTFRCSWKMPXRS42M","GSON5221")</f>
        <v>#NAME?</v>
      </c>
      <c r="I3429" s="23" t="e">
        <f ca="1">[1]!BexGetData("DP_1","003N8EMH8GTFRCSWKMPXRSAE6","GSON5221")</f>
        <v>#NAME?</v>
      </c>
      <c r="J3429" s="24" t="e">
        <f ca="1">[1]!BexGetData("DP_1","003N8EMH8GTFRCSWKMPXRSGPQ","GSON5221")</f>
        <v>#NAME?</v>
      </c>
      <c r="K3429" s="23" t="e">
        <f ca="1">[1]!BexGetData("DP_1","003N8EMH8GTFRIVNUPY288VJH","GSON5221")</f>
        <v>#NAME?</v>
      </c>
      <c r="L3429" s="23" t="e">
        <f ca="1">[1]!BexGetData("DP_1","003N8EMH8GTFRIVNUPY2891V1","GSON5221")</f>
        <v>#NAME?</v>
      </c>
      <c r="M3429" s="23" t="e">
        <f ca="1">[1]!BexGetData("DP_1","003N8EMH8GTFRIVOG7KG9IQXA","GSON5221")</f>
        <v>#NAME?</v>
      </c>
      <c r="N3429" s="28" t="e">
        <f ca="1">[1]!BexGetData("DP_1","003N8EMH8GTFRIVOG7KG9IX8U","GSON5221")</f>
        <v>#NAME?</v>
      </c>
      <c r="O3429" s="23" t="e">
        <f ca="1">[1]!BexGetData("DP_1","003N8EMH8GTFRIVOG7KG9J3KE","GSON5221")</f>
        <v>#NAME?</v>
      </c>
      <c r="P3429" s="28" t="e">
        <f ca="1">[1]!BexGetData("DP_1","003N8EMH8GTFRIVOG7KG9J9VY","GSON5221")</f>
        <v>#NAME?</v>
      </c>
      <c r="Q3429" s="24" t="e">
        <f ca="1">[1]!BexGetData("DP_1","00O2TNJGODT0G5Z4TTKYMM5MT","GSON5221")</f>
        <v>#NAME?</v>
      </c>
      <c r="R3429" s="23" t="e">
        <f ca="1">[1]!BexGetData("DP_1","00O2TNJGODT0G5Z4TTKYMMBYD","GSON5221")</f>
        <v>#NAME?</v>
      </c>
      <c r="S3429" s="23" t="e">
        <f ca="1">[1]!BexGetData("DP_1","00O2TNJGODT0G5Z4TTKYMMI9X","GSON5221")</f>
        <v>#NAME?</v>
      </c>
      <c r="T3429" s="28" t="e">
        <f ca="1">[1]!BexGetData("DP_1","00O2TNJGODT0G5Z4TTKYMMOLH","GSON5221")</f>
        <v>#NAME?</v>
      </c>
      <c r="U3429" s="23" t="e">
        <f ca="1">[1]!BexGetData("DP_1","00O2TNJGODT0G5Z4TTKYMMUX1","GSON5221")</f>
        <v>#NAME?</v>
      </c>
      <c r="V3429" s="28" t="e">
        <f ca="1">[1]!BexGetData("DP_1","00O2TNJGODT0G5Z4TTKYMN18L","GSON5221")</f>
        <v>#NAME?</v>
      </c>
      <c r="W3429" s="23" t="e">
        <f ca="1">[1]!BexGetData("DP_1","00O2TNJGODT0G5Z4TTKYMN7K5","GSON5221")</f>
        <v>#NAME?</v>
      </c>
    </row>
    <row r="3430" spans="1:23" x14ac:dyDescent="0.2">
      <c r="A3430" s="36" t="s">
        <v>6964</v>
      </c>
      <c r="B3430" s="27" t="s">
        <v>6965</v>
      </c>
      <c r="C3430" s="24" t="e">
        <f ca="1">[1]!BexGetData("DP_1","003N8EMH8GTFRCSWKMPXRR8GU","GSON5221421011")</f>
        <v>#NAME?</v>
      </c>
      <c r="D3430" s="24" t="e">
        <f ca="1">[1]!BexGetData("DP_1","003N8EMH8GTFRCSWKMPXRRESE","GSON5221421011")</f>
        <v>#NAME?</v>
      </c>
      <c r="E3430" s="24" t="e">
        <f ca="1">[1]!BexGetData("DP_1","003N8EMH8GTFRCSWKMPXRRL3Y","GSON5221421011")</f>
        <v>#NAME?</v>
      </c>
      <c r="F3430" s="23" t="e">
        <f ca="1">[1]!BexGetData("DP_1","003N8EMH8GTFRCSWKMPXRRRFI","GSON5221421011")</f>
        <v>#NAME?</v>
      </c>
      <c r="G3430" s="23" t="e">
        <f ca="1">[1]!BexGetData("DP_1","003N8EMH8GTFRCSWKMPXRRXR2","GSON5221421011")</f>
        <v>#NAME?</v>
      </c>
      <c r="H3430" s="28" t="e">
        <f ca="1">[1]!BexGetData("DP_1","003N8EMH8GTFRCSWKMPXRS42M","GSON5221421011")</f>
        <v>#NAME?</v>
      </c>
      <c r="I3430" s="23" t="e">
        <f ca="1">[1]!BexGetData("DP_1","003N8EMH8GTFRCSWKMPXRSAE6","GSON5221421011")</f>
        <v>#NAME?</v>
      </c>
      <c r="J3430" s="24" t="e">
        <f ca="1">[1]!BexGetData("DP_1","003N8EMH8GTFRCSWKMPXRSGPQ","GSON5221421011")</f>
        <v>#NAME?</v>
      </c>
      <c r="K3430" s="23" t="e">
        <f ca="1">[1]!BexGetData("DP_1","003N8EMH8GTFRIVNUPY288VJH","GSON5221421011")</f>
        <v>#NAME?</v>
      </c>
      <c r="L3430" s="23" t="e">
        <f ca="1">[1]!BexGetData("DP_1","003N8EMH8GTFRIVNUPY2891V1","GSON5221421011")</f>
        <v>#NAME?</v>
      </c>
      <c r="M3430" s="23" t="e">
        <f ca="1">[1]!BexGetData("DP_1","003N8EMH8GTFRIVOG7KG9IQXA","GSON5221421011")</f>
        <v>#NAME?</v>
      </c>
      <c r="N3430" s="28" t="e">
        <f ca="1">[1]!BexGetData("DP_1","003N8EMH8GTFRIVOG7KG9IX8U","GSON5221421011")</f>
        <v>#NAME?</v>
      </c>
      <c r="O3430" s="23" t="e">
        <f ca="1">[1]!BexGetData("DP_1","003N8EMH8GTFRIVOG7KG9J3KE","GSON5221421011")</f>
        <v>#NAME?</v>
      </c>
      <c r="P3430" s="28" t="e">
        <f ca="1">[1]!BexGetData("DP_1","003N8EMH8GTFRIVOG7KG9J9VY","GSON5221421011")</f>
        <v>#NAME?</v>
      </c>
      <c r="Q3430" s="24" t="e">
        <f ca="1">[1]!BexGetData("DP_1","00O2TNJGODT0G5Z4TTKYMM5MT","GSON5221421011")</f>
        <v>#NAME?</v>
      </c>
      <c r="R3430" s="23" t="e">
        <f ca="1">[1]!BexGetData("DP_1","00O2TNJGODT0G5Z4TTKYMMBYD","GSON5221421011")</f>
        <v>#NAME?</v>
      </c>
      <c r="S3430" s="23" t="e">
        <f ca="1">[1]!BexGetData("DP_1","00O2TNJGODT0G5Z4TTKYMMI9X","GSON5221421011")</f>
        <v>#NAME?</v>
      </c>
      <c r="T3430" s="28" t="e">
        <f ca="1">[1]!BexGetData("DP_1","00O2TNJGODT0G5Z4TTKYMMOLH","GSON5221421011")</f>
        <v>#NAME?</v>
      </c>
      <c r="U3430" s="23" t="e">
        <f ca="1">[1]!BexGetData("DP_1","00O2TNJGODT0G5Z4TTKYMMUX1","GSON5221421011")</f>
        <v>#NAME?</v>
      </c>
      <c r="V3430" s="28" t="e">
        <f ca="1">[1]!BexGetData("DP_1","00O2TNJGODT0G5Z4TTKYMN18L","GSON5221421011")</f>
        <v>#NAME?</v>
      </c>
      <c r="W3430" s="23" t="e">
        <f ca="1">[1]!BexGetData("DP_1","00O2TNJGODT0G5Z4TTKYMN7K5","GSON5221421011")</f>
        <v>#NAME?</v>
      </c>
    </row>
    <row r="3431" spans="1:23" x14ac:dyDescent="0.2">
      <c r="A3431" s="36" t="s">
        <v>6966</v>
      </c>
      <c r="B3431" s="27" t="s">
        <v>6967</v>
      </c>
      <c r="C3431" s="23" t="e">
        <f ca="1">[1]!BexGetData("DP_1","003N8EMH8GTFRCSWKMPXRR8GU","GSON5221422011")</f>
        <v>#NAME?</v>
      </c>
      <c r="D3431" s="28" t="e">
        <f ca="1">[1]!BexGetData("DP_1","003N8EMH8GTFRCSWKMPXRRESE","GSON5221422011")</f>
        <v>#NAME?</v>
      </c>
      <c r="E3431" s="23" t="e">
        <f ca="1">[1]!BexGetData("DP_1","003N8EMH8GTFRCSWKMPXRRL3Y","GSON5221422011")</f>
        <v>#NAME?</v>
      </c>
      <c r="F3431" s="24" t="e">
        <f ca="1">[1]!BexGetData("DP_1","003N8EMH8GTFRCSWKMPXRRRFI","GSON5221422011")</f>
        <v>#NAME?</v>
      </c>
      <c r="G3431" s="24" t="e">
        <f ca="1">[1]!BexGetData("DP_1","003N8EMH8GTFRCSWKMPXRRXR2","GSON5221422011")</f>
        <v>#NAME?</v>
      </c>
      <c r="H3431" s="24" t="e">
        <f ca="1">[1]!BexGetData("DP_1","003N8EMH8GTFRCSWKMPXRS42M","GSON5221422011")</f>
        <v>#NAME?</v>
      </c>
      <c r="I3431" s="24" t="e">
        <f ca="1">[1]!BexGetData("DP_1","003N8EMH8GTFRCSWKMPXRSAE6","GSON5221422011")</f>
        <v>#NAME?</v>
      </c>
      <c r="J3431" s="24" t="e">
        <f ca="1">[1]!BexGetData("DP_1","003N8EMH8GTFRCSWKMPXRSGPQ","GSON5221422011")</f>
        <v>#NAME?</v>
      </c>
      <c r="K3431" s="23" t="e">
        <f ca="1">[1]!BexGetData("DP_1","003N8EMH8GTFRIVNUPY288VJH","GSON5221422011")</f>
        <v>#NAME?</v>
      </c>
      <c r="L3431" s="23" t="e">
        <f ca="1">[1]!BexGetData("DP_1","003N8EMH8GTFRIVNUPY2891V1","GSON5221422011")</f>
        <v>#NAME?</v>
      </c>
      <c r="M3431" s="28" t="e">
        <f ca="1">[1]!BexGetData("DP_1","003N8EMH8GTFRIVOG7KG9IQXA","GSON5221422011")</f>
        <v>#NAME?</v>
      </c>
      <c r="N3431" s="23" t="e">
        <f ca="1">[1]!BexGetData("DP_1","003N8EMH8GTFRIVOG7KG9IX8U","GSON5221422011")</f>
        <v>#NAME?</v>
      </c>
      <c r="O3431" s="28" t="e">
        <f ca="1">[1]!BexGetData("DP_1","003N8EMH8GTFRIVOG7KG9J3KE","GSON5221422011")</f>
        <v>#NAME?</v>
      </c>
      <c r="P3431" s="23" t="e">
        <f ca="1">[1]!BexGetData("DP_1","003N8EMH8GTFRIVOG7KG9J9VY","GSON5221422011")</f>
        <v>#NAME?</v>
      </c>
      <c r="Q3431" s="24" t="e">
        <f ca="1">[1]!BexGetData("DP_1","00O2TNJGODT0G5Z4TTKYMM5MT","GSON5221422011")</f>
        <v>#NAME?</v>
      </c>
      <c r="R3431" s="24" t="e">
        <f ca="1">[1]!BexGetData("DP_1","00O2TNJGODT0G5Z4TTKYMMBYD","GSON5221422011")</f>
        <v>#NAME?</v>
      </c>
      <c r="S3431" s="24" t="e">
        <f ca="1">[1]!BexGetData("DP_1","00O2TNJGODT0G5Z4TTKYMMI9X","GSON5221422011")</f>
        <v>#NAME?</v>
      </c>
      <c r="T3431" s="24" t="e">
        <f ca="1">[1]!BexGetData("DP_1","00O2TNJGODT0G5Z4TTKYMMOLH","GSON5221422011")</f>
        <v>#NAME?</v>
      </c>
      <c r="U3431" s="24" t="e">
        <f ca="1">[1]!BexGetData("DP_1","00O2TNJGODT0G5Z4TTKYMMUX1","GSON5221422011")</f>
        <v>#NAME?</v>
      </c>
      <c r="V3431" s="24" t="e">
        <f ca="1">[1]!BexGetData("DP_1","00O2TNJGODT0G5Z4TTKYMN18L","GSON5221422011")</f>
        <v>#NAME?</v>
      </c>
      <c r="W3431" s="24" t="e">
        <f ca="1">[1]!BexGetData("DP_1","00O2TNJGODT0G5Z4TTKYMN7K5","GSON5221422011")</f>
        <v>#NAME?</v>
      </c>
    </row>
    <row r="3432" spans="1:23" x14ac:dyDescent="0.2">
      <c r="A3432" s="35" t="s">
        <v>6962</v>
      </c>
      <c r="B3432" s="27" t="s">
        <v>6968</v>
      </c>
      <c r="C3432" s="23" t="e">
        <f ca="1">[1]!BexGetData("DP_1","003N8EMH8GTFRCSWKMPXRR8GU","GSON5222")</f>
        <v>#NAME?</v>
      </c>
      <c r="D3432" s="23" t="e">
        <f ca="1">[1]!BexGetData("DP_1","003N8EMH8GTFRCSWKMPXRRESE","GSON5222")</f>
        <v>#NAME?</v>
      </c>
      <c r="E3432" s="23" t="e">
        <f ca="1">[1]!BexGetData("DP_1","003N8EMH8GTFRCSWKMPXRRL3Y","GSON5222")</f>
        <v>#NAME?</v>
      </c>
      <c r="F3432" s="23" t="e">
        <f ca="1">[1]!BexGetData("DP_1","003N8EMH8GTFRCSWKMPXRRRFI","GSON5222")</f>
        <v>#NAME?</v>
      </c>
      <c r="G3432" s="23" t="e">
        <f ca="1">[1]!BexGetData("DP_1","003N8EMH8GTFRCSWKMPXRRXR2","GSON5222")</f>
        <v>#NAME?</v>
      </c>
      <c r="H3432" s="23" t="e">
        <f ca="1">[1]!BexGetData("DP_1","003N8EMH8GTFRCSWKMPXRS42M","GSON5222")</f>
        <v>#NAME?</v>
      </c>
      <c r="I3432" s="23" t="e">
        <f ca="1">[1]!BexGetData("DP_1","003N8EMH8GTFRCSWKMPXRSAE6","GSON5222")</f>
        <v>#NAME?</v>
      </c>
      <c r="J3432" s="24" t="e">
        <f ca="1">[1]!BexGetData("DP_1","003N8EMH8GTFRCSWKMPXRSGPQ","GSON5222")</f>
        <v>#NAME?</v>
      </c>
      <c r="K3432" s="23" t="e">
        <f ca="1">[1]!BexGetData("DP_1","003N8EMH8GTFRIVNUPY288VJH","GSON5222")</f>
        <v>#NAME?</v>
      </c>
      <c r="L3432" s="23" t="e">
        <f ca="1">[1]!BexGetData("DP_1","003N8EMH8GTFRIVNUPY2891V1","GSON5222")</f>
        <v>#NAME?</v>
      </c>
      <c r="M3432" s="23" t="e">
        <f ca="1">[1]!BexGetData("DP_1","003N8EMH8GTFRIVOG7KG9IQXA","GSON5222")</f>
        <v>#NAME?</v>
      </c>
      <c r="N3432" s="28" t="e">
        <f ca="1">[1]!BexGetData("DP_1","003N8EMH8GTFRIVOG7KG9IX8U","GSON5222")</f>
        <v>#NAME?</v>
      </c>
      <c r="O3432" s="23" t="e">
        <f ca="1">[1]!BexGetData("DP_1","003N8EMH8GTFRIVOG7KG9J3KE","GSON5222")</f>
        <v>#NAME?</v>
      </c>
      <c r="P3432" s="28" t="e">
        <f ca="1">[1]!BexGetData("DP_1","003N8EMH8GTFRIVOG7KG9J9VY","GSON5222")</f>
        <v>#NAME?</v>
      </c>
      <c r="Q3432" s="24" t="e">
        <f ca="1">[1]!BexGetData("DP_1","00O2TNJGODT0G5Z4TTKYMM5MT","GSON5222")</f>
        <v>#NAME?</v>
      </c>
      <c r="R3432" s="23" t="e">
        <f ca="1">[1]!BexGetData("DP_1","00O2TNJGODT0G5Z4TTKYMMBYD","GSON5222")</f>
        <v>#NAME?</v>
      </c>
      <c r="S3432" s="23" t="e">
        <f ca="1">[1]!BexGetData("DP_1","00O2TNJGODT0G5Z4TTKYMMI9X","GSON5222")</f>
        <v>#NAME?</v>
      </c>
      <c r="T3432" s="28" t="e">
        <f ca="1">[1]!BexGetData("DP_1","00O2TNJGODT0G5Z4TTKYMMOLH","GSON5222")</f>
        <v>#NAME?</v>
      </c>
      <c r="U3432" s="23" t="e">
        <f ca="1">[1]!BexGetData("DP_1","00O2TNJGODT0G5Z4TTKYMMUX1","GSON5222")</f>
        <v>#NAME?</v>
      </c>
      <c r="V3432" s="28" t="e">
        <f ca="1">[1]!BexGetData("DP_1","00O2TNJGODT0G5Z4TTKYMN18L","GSON5222")</f>
        <v>#NAME?</v>
      </c>
      <c r="W3432" s="23" t="e">
        <f ca="1">[1]!BexGetData("DP_1","00O2TNJGODT0G5Z4TTKYMN7K5","GSON5222")</f>
        <v>#NAME?</v>
      </c>
    </row>
    <row r="3433" spans="1:23" x14ac:dyDescent="0.2">
      <c r="A3433" s="36" t="s">
        <v>6964</v>
      </c>
      <c r="B3433" s="27" t="s">
        <v>6969</v>
      </c>
      <c r="C3433" s="23" t="e">
        <f ca="1">[1]!BexGetData("DP_1","003N8EMH8GTFRCSWKMPXRR8GU","GSON5222424011")</f>
        <v>#NAME?</v>
      </c>
      <c r="D3433" s="23" t="e">
        <f ca="1">[1]!BexGetData("DP_1","003N8EMH8GTFRCSWKMPXRRESE","GSON5222424011")</f>
        <v>#NAME?</v>
      </c>
      <c r="E3433" s="23" t="e">
        <f ca="1">[1]!BexGetData("DP_1","003N8EMH8GTFRCSWKMPXRRL3Y","GSON5222424011")</f>
        <v>#NAME?</v>
      </c>
      <c r="F3433" s="23" t="e">
        <f ca="1">[1]!BexGetData("DP_1","003N8EMH8GTFRCSWKMPXRRRFI","GSON5222424011")</f>
        <v>#NAME?</v>
      </c>
      <c r="G3433" s="23" t="e">
        <f ca="1">[1]!BexGetData("DP_1","003N8EMH8GTFRCSWKMPXRRXR2","GSON5222424011")</f>
        <v>#NAME?</v>
      </c>
      <c r="H3433" s="23" t="e">
        <f ca="1">[1]!BexGetData("DP_1","003N8EMH8GTFRCSWKMPXRS42M","GSON5222424011")</f>
        <v>#NAME?</v>
      </c>
      <c r="I3433" s="23" t="e">
        <f ca="1">[1]!BexGetData("DP_1","003N8EMH8GTFRCSWKMPXRSAE6","GSON5222424011")</f>
        <v>#NAME?</v>
      </c>
      <c r="J3433" s="24" t="e">
        <f ca="1">[1]!BexGetData("DP_1","003N8EMH8GTFRCSWKMPXRSGPQ","GSON5222424011")</f>
        <v>#NAME?</v>
      </c>
      <c r="K3433" s="23" t="e">
        <f ca="1">[1]!BexGetData("DP_1","003N8EMH8GTFRIVNUPY288VJH","GSON5222424011")</f>
        <v>#NAME?</v>
      </c>
      <c r="L3433" s="23" t="e">
        <f ca="1">[1]!BexGetData("DP_1","003N8EMH8GTFRIVNUPY2891V1","GSON5222424011")</f>
        <v>#NAME?</v>
      </c>
      <c r="M3433" s="23" t="e">
        <f ca="1">[1]!BexGetData("DP_1","003N8EMH8GTFRIVOG7KG9IQXA","GSON5222424011")</f>
        <v>#NAME?</v>
      </c>
      <c r="N3433" s="28" t="e">
        <f ca="1">[1]!BexGetData("DP_1","003N8EMH8GTFRIVOG7KG9IX8U","GSON5222424011")</f>
        <v>#NAME?</v>
      </c>
      <c r="O3433" s="23" t="e">
        <f ca="1">[1]!BexGetData("DP_1","003N8EMH8GTFRIVOG7KG9J3KE","GSON5222424011")</f>
        <v>#NAME?</v>
      </c>
      <c r="P3433" s="28" t="e">
        <f ca="1">[1]!BexGetData("DP_1","003N8EMH8GTFRIVOG7KG9J9VY","GSON5222424011")</f>
        <v>#NAME?</v>
      </c>
      <c r="Q3433" s="24" t="e">
        <f ca="1">[1]!BexGetData("DP_1","00O2TNJGODT0G5Z4TTKYMM5MT","GSON5222424011")</f>
        <v>#NAME?</v>
      </c>
      <c r="R3433" s="23" t="e">
        <f ca="1">[1]!BexGetData("DP_1","00O2TNJGODT0G5Z4TTKYMMBYD","GSON5222424011")</f>
        <v>#NAME?</v>
      </c>
      <c r="S3433" s="23" t="e">
        <f ca="1">[1]!BexGetData("DP_1","00O2TNJGODT0G5Z4TTKYMMI9X","GSON5222424011")</f>
        <v>#NAME?</v>
      </c>
      <c r="T3433" s="28" t="e">
        <f ca="1">[1]!BexGetData("DP_1","00O2TNJGODT0G5Z4TTKYMMOLH","GSON5222424011")</f>
        <v>#NAME?</v>
      </c>
      <c r="U3433" s="23" t="e">
        <f ca="1">[1]!BexGetData("DP_1","00O2TNJGODT0G5Z4TTKYMMUX1","GSON5222424011")</f>
        <v>#NAME?</v>
      </c>
      <c r="V3433" s="28" t="e">
        <f ca="1">[1]!BexGetData("DP_1","00O2TNJGODT0G5Z4TTKYMN18L","GSON5222424011")</f>
        <v>#NAME?</v>
      </c>
      <c r="W3433" s="23" t="e">
        <f ca="1">[1]!BexGetData("DP_1","00O2TNJGODT0G5Z4TTKYMN7K5","GSON5222424011")</f>
        <v>#NAME?</v>
      </c>
    </row>
    <row r="3434" spans="1:23" x14ac:dyDescent="0.2">
      <c r="A3434" s="36" t="s">
        <v>6970</v>
      </c>
      <c r="B3434" s="27" t="s">
        <v>6971</v>
      </c>
      <c r="C3434" s="23" t="e">
        <f ca="1">[1]!BexGetData("DP_1","003N8EMH8GTFRCSWKMPXRR8GU","GSON5222425011")</f>
        <v>#NAME?</v>
      </c>
      <c r="D3434" s="28" t="e">
        <f ca="1">[1]!BexGetData("DP_1","003N8EMH8GTFRCSWKMPXRRESE","GSON5222425011")</f>
        <v>#NAME?</v>
      </c>
      <c r="E3434" s="23" t="e">
        <f ca="1">[1]!BexGetData("DP_1","003N8EMH8GTFRCSWKMPXRRL3Y","GSON5222425011")</f>
        <v>#NAME?</v>
      </c>
      <c r="F3434" s="23" t="e">
        <f ca="1">[1]!BexGetData("DP_1","003N8EMH8GTFRCSWKMPXRRRFI","GSON5222425011")</f>
        <v>#NAME?</v>
      </c>
      <c r="G3434" s="23" t="e">
        <f ca="1">[1]!BexGetData("DP_1","003N8EMH8GTFRCSWKMPXRRXR2","GSON5222425011")</f>
        <v>#NAME?</v>
      </c>
      <c r="H3434" s="28" t="e">
        <f ca="1">[1]!BexGetData("DP_1","003N8EMH8GTFRCSWKMPXRS42M","GSON5222425011")</f>
        <v>#NAME?</v>
      </c>
      <c r="I3434" s="23" t="e">
        <f ca="1">[1]!BexGetData("DP_1","003N8EMH8GTFRCSWKMPXRSAE6","GSON5222425011")</f>
        <v>#NAME?</v>
      </c>
      <c r="J3434" s="24" t="e">
        <f ca="1">[1]!BexGetData("DP_1","003N8EMH8GTFRCSWKMPXRSGPQ","GSON5222425011")</f>
        <v>#NAME?</v>
      </c>
      <c r="K3434" s="23" t="e">
        <f ca="1">[1]!BexGetData("DP_1","003N8EMH8GTFRIVNUPY288VJH","GSON5222425011")</f>
        <v>#NAME?</v>
      </c>
      <c r="L3434" s="23" t="e">
        <f ca="1">[1]!BexGetData("DP_1","003N8EMH8GTFRIVNUPY2891V1","GSON5222425011")</f>
        <v>#NAME?</v>
      </c>
      <c r="M3434" s="28" t="e">
        <f ca="1">[1]!BexGetData("DP_1","003N8EMH8GTFRIVOG7KG9IQXA","GSON5222425011")</f>
        <v>#NAME?</v>
      </c>
      <c r="N3434" s="23" t="e">
        <f ca="1">[1]!BexGetData("DP_1","003N8EMH8GTFRIVOG7KG9IX8U","GSON5222425011")</f>
        <v>#NAME?</v>
      </c>
      <c r="O3434" s="28" t="e">
        <f ca="1">[1]!BexGetData("DP_1","003N8EMH8GTFRIVOG7KG9J3KE","GSON5222425011")</f>
        <v>#NAME?</v>
      </c>
      <c r="P3434" s="23" t="e">
        <f ca="1">[1]!BexGetData("DP_1","003N8EMH8GTFRIVOG7KG9J9VY","GSON5222425011")</f>
        <v>#NAME?</v>
      </c>
      <c r="Q3434" s="24" t="e">
        <f ca="1">[1]!BexGetData("DP_1","00O2TNJGODT0G5Z4TTKYMM5MT","GSON5222425011")</f>
        <v>#NAME?</v>
      </c>
      <c r="R3434" s="23" t="e">
        <f ca="1">[1]!BexGetData("DP_1","00O2TNJGODT0G5Z4TTKYMMBYD","GSON5222425011")</f>
        <v>#NAME?</v>
      </c>
      <c r="S3434" s="23" t="e">
        <f ca="1">[1]!BexGetData("DP_1","00O2TNJGODT0G5Z4TTKYMMI9X","GSON5222425011")</f>
        <v>#NAME?</v>
      </c>
      <c r="T3434" s="28" t="e">
        <f ca="1">[1]!BexGetData("DP_1","00O2TNJGODT0G5Z4TTKYMMOLH","GSON5222425011")</f>
        <v>#NAME?</v>
      </c>
      <c r="U3434" s="23" t="e">
        <f ca="1">[1]!BexGetData("DP_1","00O2TNJGODT0G5Z4TTKYMMUX1","GSON5222425011")</f>
        <v>#NAME?</v>
      </c>
      <c r="V3434" s="28" t="e">
        <f ca="1">[1]!BexGetData("DP_1","00O2TNJGODT0G5Z4TTKYMN18L","GSON5222425011")</f>
        <v>#NAME?</v>
      </c>
      <c r="W3434" s="23" t="e">
        <f ca="1">[1]!BexGetData("DP_1","00O2TNJGODT0G5Z4TTKYMN7K5","GSON5222425011")</f>
        <v>#NAME?</v>
      </c>
    </row>
    <row r="3435" spans="1:23" x14ac:dyDescent="0.2">
      <c r="A3435" s="34" t="s">
        <v>720</v>
      </c>
      <c r="B3435" s="27" t="s">
        <v>6972</v>
      </c>
      <c r="C3435" s="23" t="e">
        <f ca="1">[1]!BexGetData("DP_1","003N8EMH8GTFRCSWKMPXRR8GU","GSON523")</f>
        <v>#NAME?</v>
      </c>
      <c r="D3435" s="23" t="e">
        <f ca="1">[1]!BexGetData("DP_1","003N8EMH8GTFRCSWKMPXRRESE","GSON523")</f>
        <v>#NAME?</v>
      </c>
      <c r="E3435" s="23" t="e">
        <f ca="1">[1]!BexGetData("DP_1","003N8EMH8GTFRCSWKMPXRRL3Y","GSON523")</f>
        <v>#NAME?</v>
      </c>
      <c r="F3435" s="23" t="e">
        <f ca="1">[1]!BexGetData("DP_1","003N8EMH8GTFRCSWKMPXRRRFI","GSON523")</f>
        <v>#NAME?</v>
      </c>
      <c r="G3435" s="23" t="e">
        <f ca="1">[1]!BexGetData("DP_1","003N8EMH8GTFRCSWKMPXRRXR2","GSON523")</f>
        <v>#NAME?</v>
      </c>
      <c r="H3435" s="23" t="e">
        <f ca="1">[1]!BexGetData("DP_1","003N8EMH8GTFRCSWKMPXRS42M","GSON523")</f>
        <v>#NAME?</v>
      </c>
      <c r="I3435" s="23" t="e">
        <f ca="1">[1]!BexGetData("DP_1","003N8EMH8GTFRCSWKMPXRSAE6","GSON523")</f>
        <v>#NAME?</v>
      </c>
      <c r="J3435" s="24" t="e">
        <f ca="1">[1]!BexGetData("DP_1","003N8EMH8GTFRCSWKMPXRSGPQ","GSON523")</f>
        <v>#NAME?</v>
      </c>
      <c r="K3435" s="23" t="e">
        <f ca="1">[1]!BexGetData("DP_1","003N8EMH8GTFRIVNUPY288VJH","GSON523")</f>
        <v>#NAME?</v>
      </c>
      <c r="L3435" s="23" t="e">
        <f ca="1">[1]!BexGetData("DP_1","003N8EMH8GTFRIVNUPY2891V1","GSON523")</f>
        <v>#NAME?</v>
      </c>
      <c r="M3435" s="28" t="e">
        <f ca="1">[1]!BexGetData("DP_1","003N8EMH8GTFRIVOG7KG9IQXA","GSON523")</f>
        <v>#NAME?</v>
      </c>
      <c r="N3435" s="23" t="e">
        <f ca="1">[1]!BexGetData("DP_1","003N8EMH8GTFRIVOG7KG9IX8U","GSON523")</f>
        <v>#NAME?</v>
      </c>
      <c r="O3435" s="28" t="e">
        <f ca="1">[1]!BexGetData("DP_1","003N8EMH8GTFRIVOG7KG9J3KE","GSON523")</f>
        <v>#NAME?</v>
      </c>
      <c r="P3435" s="23" t="e">
        <f ca="1">[1]!BexGetData("DP_1","003N8EMH8GTFRIVOG7KG9J9VY","GSON523")</f>
        <v>#NAME?</v>
      </c>
      <c r="Q3435" s="24" t="e">
        <f ca="1">[1]!BexGetData("DP_1","00O2TNJGODT0G5Z4TTKYMM5MT","GSON523")</f>
        <v>#NAME?</v>
      </c>
      <c r="R3435" s="23" t="e">
        <f ca="1">[1]!BexGetData("DP_1","00O2TNJGODT0G5Z4TTKYMMBYD","GSON523")</f>
        <v>#NAME?</v>
      </c>
      <c r="S3435" s="23" t="e">
        <f ca="1">[1]!BexGetData("DP_1","00O2TNJGODT0G5Z4TTKYMMI9X","GSON523")</f>
        <v>#NAME?</v>
      </c>
      <c r="T3435" s="28" t="e">
        <f ca="1">[1]!BexGetData("DP_1","00O2TNJGODT0G5Z4TTKYMMOLH","GSON523")</f>
        <v>#NAME?</v>
      </c>
      <c r="U3435" s="23" t="e">
        <f ca="1">[1]!BexGetData("DP_1","00O2TNJGODT0G5Z4TTKYMMUX1","GSON523")</f>
        <v>#NAME?</v>
      </c>
      <c r="V3435" s="28" t="e">
        <f ca="1">[1]!BexGetData("DP_1","00O2TNJGODT0G5Z4TTKYMN18L","GSON523")</f>
        <v>#NAME?</v>
      </c>
      <c r="W3435" s="23" t="e">
        <f ca="1">[1]!BexGetData("DP_1","00O2TNJGODT0G5Z4TTKYMN7K5","GSON523")</f>
        <v>#NAME?</v>
      </c>
    </row>
    <row r="3436" spans="1:23" x14ac:dyDescent="0.2">
      <c r="A3436" s="35" t="s">
        <v>6973</v>
      </c>
      <c r="B3436" s="27" t="s">
        <v>6974</v>
      </c>
      <c r="C3436" s="23" t="e">
        <f ca="1">[1]!BexGetData("DP_1","003N8EMH8GTFRCSWKMPXRR8GU","GSON5231")</f>
        <v>#NAME?</v>
      </c>
      <c r="D3436" s="23" t="e">
        <f ca="1">[1]!BexGetData("DP_1","003N8EMH8GTFRCSWKMPXRRESE","GSON5231")</f>
        <v>#NAME?</v>
      </c>
      <c r="E3436" s="23" t="e">
        <f ca="1">[1]!BexGetData("DP_1","003N8EMH8GTFRCSWKMPXRRL3Y","GSON5231")</f>
        <v>#NAME?</v>
      </c>
      <c r="F3436" s="23" t="e">
        <f ca="1">[1]!BexGetData("DP_1","003N8EMH8GTFRCSWKMPXRRRFI","GSON5231")</f>
        <v>#NAME?</v>
      </c>
      <c r="G3436" s="23" t="e">
        <f ca="1">[1]!BexGetData("DP_1","003N8EMH8GTFRCSWKMPXRRXR2","GSON5231")</f>
        <v>#NAME?</v>
      </c>
      <c r="H3436" s="23" t="e">
        <f ca="1">[1]!BexGetData("DP_1","003N8EMH8GTFRCSWKMPXRS42M","GSON5231")</f>
        <v>#NAME?</v>
      </c>
      <c r="I3436" s="23" t="e">
        <f ca="1">[1]!BexGetData("DP_1","003N8EMH8GTFRCSWKMPXRSAE6","GSON5231")</f>
        <v>#NAME?</v>
      </c>
      <c r="J3436" s="24" t="e">
        <f ca="1">[1]!BexGetData("DP_1","003N8EMH8GTFRCSWKMPXRSGPQ","GSON5231")</f>
        <v>#NAME?</v>
      </c>
      <c r="K3436" s="23" t="e">
        <f ca="1">[1]!BexGetData("DP_1","003N8EMH8GTFRIVNUPY288VJH","GSON5231")</f>
        <v>#NAME?</v>
      </c>
      <c r="L3436" s="23" t="e">
        <f ca="1">[1]!BexGetData("DP_1","003N8EMH8GTFRIVNUPY2891V1","GSON5231")</f>
        <v>#NAME?</v>
      </c>
      <c r="M3436" s="28" t="e">
        <f ca="1">[1]!BexGetData("DP_1","003N8EMH8GTFRIVOG7KG9IQXA","GSON5231")</f>
        <v>#NAME?</v>
      </c>
      <c r="N3436" s="23" t="e">
        <f ca="1">[1]!BexGetData("DP_1","003N8EMH8GTFRIVOG7KG9IX8U","GSON5231")</f>
        <v>#NAME?</v>
      </c>
      <c r="O3436" s="28" t="e">
        <f ca="1">[1]!BexGetData("DP_1","003N8EMH8GTFRIVOG7KG9J3KE","GSON5231")</f>
        <v>#NAME?</v>
      </c>
      <c r="P3436" s="23" t="e">
        <f ca="1">[1]!BexGetData("DP_1","003N8EMH8GTFRIVOG7KG9J9VY","GSON5231")</f>
        <v>#NAME?</v>
      </c>
      <c r="Q3436" s="24" t="e">
        <f ca="1">[1]!BexGetData("DP_1","00O2TNJGODT0G5Z4TTKYMM5MT","GSON5231")</f>
        <v>#NAME?</v>
      </c>
      <c r="R3436" s="23" t="e">
        <f ca="1">[1]!BexGetData("DP_1","00O2TNJGODT0G5Z4TTKYMMBYD","GSON5231")</f>
        <v>#NAME?</v>
      </c>
      <c r="S3436" s="23" t="e">
        <f ca="1">[1]!BexGetData("DP_1","00O2TNJGODT0G5Z4TTKYMMI9X","GSON5231")</f>
        <v>#NAME?</v>
      </c>
      <c r="T3436" s="28" t="e">
        <f ca="1">[1]!BexGetData("DP_1","00O2TNJGODT0G5Z4TTKYMMOLH","GSON5231")</f>
        <v>#NAME?</v>
      </c>
      <c r="U3436" s="23" t="e">
        <f ca="1">[1]!BexGetData("DP_1","00O2TNJGODT0G5Z4TTKYMMUX1","GSON5231")</f>
        <v>#NAME?</v>
      </c>
      <c r="V3436" s="28" t="e">
        <f ca="1">[1]!BexGetData("DP_1","00O2TNJGODT0G5Z4TTKYMN18L","GSON5231")</f>
        <v>#NAME?</v>
      </c>
      <c r="W3436" s="23" t="e">
        <f ca="1">[1]!BexGetData("DP_1","00O2TNJGODT0G5Z4TTKYMN7K5","GSON5231")</f>
        <v>#NAME?</v>
      </c>
    </row>
    <row r="3437" spans="1:23" x14ac:dyDescent="0.2">
      <c r="A3437" s="36" t="s">
        <v>6975</v>
      </c>
      <c r="B3437" s="27" t="s">
        <v>6976</v>
      </c>
      <c r="C3437" s="23" t="e">
        <f ca="1">[1]!BexGetData("DP_1","003N8EMH8GTFRCSWKMPXRR8GU","GSON5231431011")</f>
        <v>#NAME?</v>
      </c>
      <c r="D3437" s="23" t="e">
        <f ca="1">[1]!BexGetData("DP_1","003N8EMH8GTFRCSWKMPXRRESE","GSON5231431011")</f>
        <v>#NAME?</v>
      </c>
      <c r="E3437" s="23" t="e">
        <f ca="1">[1]!BexGetData("DP_1","003N8EMH8GTFRCSWKMPXRRL3Y","GSON5231431011")</f>
        <v>#NAME?</v>
      </c>
      <c r="F3437" s="23" t="e">
        <f ca="1">[1]!BexGetData("DP_1","003N8EMH8GTFRCSWKMPXRRRFI","GSON5231431011")</f>
        <v>#NAME?</v>
      </c>
      <c r="G3437" s="23" t="e">
        <f ca="1">[1]!BexGetData("DP_1","003N8EMH8GTFRCSWKMPXRRXR2","GSON5231431011")</f>
        <v>#NAME?</v>
      </c>
      <c r="H3437" s="28" t="e">
        <f ca="1">[1]!BexGetData("DP_1","003N8EMH8GTFRCSWKMPXRS42M","GSON5231431011")</f>
        <v>#NAME?</v>
      </c>
      <c r="I3437" s="23" t="e">
        <f ca="1">[1]!BexGetData("DP_1","003N8EMH8GTFRCSWKMPXRSAE6","GSON5231431011")</f>
        <v>#NAME?</v>
      </c>
      <c r="J3437" s="24" t="e">
        <f ca="1">[1]!BexGetData("DP_1","003N8EMH8GTFRCSWKMPXRSGPQ","GSON5231431011")</f>
        <v>#NAME?</v>
      </c>
      <c r="K3437" s="23" t="e">
        <f ca="1">[1]!BexGetData("DP_1","003N8EMH8GTFRIVNUPY288VJH","GSON5231431011")</f>
        <v>#NAME?</v>
      </c>
      <c r="L3437" s="23" t="e">
        <f ca="1">[1]!BexGetData("DP_1","003N8EMH8GTFRIVNUPY2891V1","GSON5231431011")</f>
        <v>#NAME?</v>
      </c>
      <c r="M3437" s="28" t="e">
        <f ca="1">[1]!BexGetData("DP_1","003N8EMH8GTFRIVOG7KG9IQXA","GSON5231431011")</f>
        <v>#NAME?</v>
      </c>
      <c r="N3437" s="23" t="e">
        <f ca="1">[1]!BexGetData("DP_1","003N8EMH8GTFRIVOG7KG9IX8U","GSON5231431011")</f>
        <v>#NAME?</v>
      </c>
      <c r="O3437" s="28" t="e">
        <f ca="1">[1]!BexGetData("DP_1","003N8EMH8GTFRIVOG7KG9J3KE","GSON5231431011")</f>
        <v>#NAME?</v>
      </c>
      <c r="P3437" s="23" t="e">
        <f ca="1">[1]!BexGetData("DP_1","003N8EMH8GTFRIVOG7KG9J9VY","GSON5231431011")</f>
        <v>#NAME?</v>
      </c>
      <c r="Q3437" s="24" t="e">
        <f ca="1">[1]!BexGetData("DP_1","00O2TNJGODT0G5Z4TTKYMM5MT","GSON5231431011")</f>
        <v>#NAME?</v>
      </c>
      <c r="R3437" s="23" t="e">
        <f ca="1">[1]!BexGetData("DP_1","00O2TNJGODT0G5Z4TTKYMMBYD","GSON5231431011")</f>
        <v>#NAME?</v>
      </c>
      <c r="S3437" s="23" t="e">
        <f ca="1">[1]!BexGetData("DP_1","00O2TNJGODT0G5Z4TTKYMMI9X","GSON5231431011")</f>
        <v>#NAME?</v>
      </c>
      <c r="T3437" s="28" t="e">
        <f ca="1">[1]!BexGetData("DP_1","00O2TNJGODT0G5Z4TTKYMMOLH","GSON5231431011")</f>
        <v>#NAME?</v>
      </c>
      <c r="U3437" s="23" t="e">
        <f ca="1">[1]!BexGetData("DP_1","00O2TNJGODT0G5Z4TTKYMMUX1","GSON5231431011")</f>
        <v>#NAME?</v>
      </c>
      <c r="V3437" s="28" t="e">
        <f ca="1">[1]!BexGetData("DP_1","00O2TNJGODT0G5Z4TTKYMN18L","GSON5231431011")</f>
        <v>#NAME?</v>
      </c>
      <c r="W3437" s="23" t="e">
        <f ca="1">[1]!BexGetData("DP_1","00O2TNJGODT0G5Z4TTKYMN7K5","GSON5231431011")</f>
        <v>#NAME?</v>
      </c>
    </row>
    <row r="3438" spans="1:23" x14ac:dyDescent="0.2">
      <c r="A3438" s="36" t="s">
        <v>6977</v>
      </c>
      <c r="B3438" s="27" t="s">
        <v>6978</v>
      </c>
      <c r="C3438" s="24" t="e">
        <f ca="1">[1]!BexGetData("DP_1","003N8EMH8GTFRCSWKMPXRR8GU","GSON5231431021")</f>
        <v>#NAME?</v>
      </c>
      <c r="D3438" s="24" t="e">
        <f ca="1">[1]!BexGetData("DP_1","003N8EMH8GTFRCSWKMPXRRESE","GSON5231431021")</f>
        <v>#NAME?</v>
      </c>
      <c r="E3438" s="24" t="e">
        <f ca="1">[1]!BexGetData("DP_1","003N8EMH8GTFRCSWKMPXRRL3Y","GSON5231431021")</f>
        <v>#NAME?</v>
      </c>
      <c r="F3438" s="23" t="e">
        <f ca="1">[1]!BexGetData("DP_1","003N8EMH8GTFRCSWKMPXRRRFI","GSON5231431021")</f>
        <v>#NAME?</v>
      </c>
      <c r="G3438" s="23" t="e">
        <f ca="1">[1]!BexGetData("DP_1","003N8EMH8GTFRCSWKMPXRRXR2","GSON5231431021")</f>
        <v>#NAME?</v>
      </c>
      <c r="H3438" s="28" t="e">
        <f ca="1">[1]!BexGetData("DP_1","003N8EMH8GTFRCSWKMPXRS42M","GSON5231431021")</f>
        <v>#NAME?</v>
      </c>
      <c r="I3438" s="23" t="e">
        <f ca="1">[1]!BexGetData("DP_1","003N8EMH8GTFRCSWKMPXRSAE6","GSON5231431021")</f>
        <v>#NAME?</v>
      </c>
      <c r="J3438" s="24" t="e">
        <f ca="1">[1]!BexGetData("DP_1","003N8EMH8GTFRCSWKMPXRSGPQ","GSON5231431021")</f>
        <v>#NAME?</v>
      </c>
      <c r="K3438" s="23" t="e">
        <f ca="1">[1]!BexGetData("DP_1","003N8EMH8GTFRIVNUPY288VJH","GSON5231431021")</f>
        <v>#NAME?</v>
      </c>
      <c r="L3438" s="23" t="e">
        <f ca="1">[1]!BexGetData("DP_1","003N8EMH8GTFRIVNUPY2891V1","GSON5231431021")</f>
        <v>#NAME?</v>
      </c>
      <c r="M3438" s="23" t="e">
        <f ca="1">[1]!BexGetData("DP_1","003N8EMH8GTFRIVOG7KG9IQXA","GSON5231431021")</f>
        <v>#NAME?</v>
      </c>
      <c r="N3438" s="28" t="e">
        <f ca="1">[1]!BexGetData("DP_1","003N8EMH8GTFRIVOG7KG9IX8U","GSON5231431021")</f>
        <v>#NAME?</v>
      </c>
      <c r="O3438" s="23" t="e">
        <f ca="1">[1]!BexGetData("DP_1","003N8EMH8GTFRIVOG7KG9J3KE","GSON5231431021")</f>
        <v>#NAME?</v>
      </c>
      <c r="P3438" s="28" t="e">
        <f ca="1">[1]!BexGetData("DP_1","003N8EMH8GTFRIVOG7KG9J9VY","GSON5231431021")</f>
        <v>#NAME?</v>
      </c>
      <c r="Q3438" s="24" t="e">
        <f ca="1">[1]!BexGetData("DP_1","00O2TNJGODT0G5Z4TTKYMM5MT","GSON5231431021")</f>
        <v>#NAME?</v>
      </c>
      <c r="R3438" s="23" t="e">
        <f ca="1">[1]!BexGetData("DP_1","00O2TNJGODT0G5Z4TTKYMMBYD","GSON5231431021")</f>
        <v>#NAME?</v>
      </c>
      <c r="S3438" s="23" t="e">
        <f ca="1">[1]!BexGetData("DP_1","00O2TNJGODT0G5Z4TTKYMMI9X","GSON5231431021")</f>
        <v>#NAME?</v>
      </c>
      <c r="T3438" s="28" t="e">
        <f ca="1">[1]!BexGetData("DP_1","00O2TNJGODT0G5Z4TTKYMMOLH","GSON5231431021")</f>
        <v>#NAME?</v>
      </c>
      <c r="U3438" s="23" t="e">
        <f ca="1">[1]!BexGetData("DP_1","00O2TNJGODT0G5Z4TTKYMMUX1","GSON5231431021")</f>
        <v>#NAME?</v>
      </c>
      <c r="V3438" s="28" t="e">
        <f ca="1">[1]!BexGetData("DP_1","00O2TNJGODT0G5Z4TTKYMN18L","GSON5231431021")</f>
        <v>#NAME?</v>
      </c>
      <c r="W3438" s="23" t="e">
        <f ca="1">[1]!BexGetData("DP_1","00O2TNJGODT0G5Z4TTKYMN7K5","GSON5231431021")</f>
        <v>#NAME?</v>
      </c>
    </row>
    <row r="3439" spans="1:23" x14ac:dyDescent="0.2">
      <c r="A3439" s="36" t="s">
        <v>6979</v>
      </c>
      <c r="B3439" s="27" t="s">
        <v>6980</v>
      </c>
      <c r="C3439" s="23" t="e">
        <f ca="1">[1]!BexGetData("DP_1","003N8EMH8GTFRCSWKMPXRR8GU","GSON5231433011")</f>
        <v>#NAME?</v>
      </c>
      <c r="D3439" s="23" t="e">
        <f ca="1">[1]!BexGetData("DP_1","003N8EMH8GTFRCSWKMPXRRESE","GSON5231433011")</f>
        <v>#NAME?</v>
      </c>
      <c r="E3439" s="23" t="e">
        <f ca="1">[1]!BexGetData("DP_1","003N8EMH8GTFRCSWKMPXRRL3Y","GSON5231433011")</f>
        <v>#NAME?</v>
      </c>
      <c r="F3439" s="23" t="e">
        <f ca="1">[1]!BexGetData("DP_1","003N8EMH8GTFRCSWKMPXRRRFI","GSON5231433011")</f>
        <v>#NAME?</v>
      </c>
      <c r="G3439" s="23" t="e">
        <f ca="1">[1]!BexGetData("DP_1","003N8EMH8GTFRCSWKMPXRRXR2","GSON5231433011")</f>
        <v>#NAME?</v>
      </c>
      <c r="H3439" s="23" t="e">
        <f ca="1">[1]!BexGetData("DP_1","003N8EMH8GTFRCSWKMPXRS42M","GSON5231433011")</f>
        <v>#NAME?</v>
      </c>
      <c r="I3439" s="23" t="e">
        <f ca="1">[1]!BexGetData("DP_1","003N8EMH8GTFRCSWKMPXRSAE6","GSON5231433011")</f>
        <v>#NAME?</v>
      </c>
      <c r="J3439" s="24" t="e">
        <f ca="1">[1]!BexGetData("DP_1","003N8EMH8GTFRCSWKMPXRSGPQ","GSON5231433011")</f>
        <v>#NAME?</v>
      </c>
      <c r="K3439" s="23" t="e">
        <f ca="1">[1]!BexGetData("DP_1","003N8EMH8GTFRIVNUPY288VJH","GSON5231433011")</f>
        <v>#NAME?</v>
      </c>
      <c r="L3439" s="23" t="e">
        <f ca="1">[1]!BexGetData("DP_1","003N8EMH8GTFRIVNUPY2891V1","GSON5231433011")</f>
        <v>#NAME?</v>
      </c>
      <c r="M3439" s="28" t="e">
        <f ca="1">[1]!BexGetData("DP_1","003N8EMH8GTFRIVOG7KG9IQXA","GSON5231433011")</f>
        <v>#NAME?</v>
      </c>
      <c r="N3439" s="23" t="e">
        <f ca="1">[1]!BexGetData("DP_1","003N8EMH8GTFRIVOG7KG9IX8U","GSON5231433011")</f>
        <v>#NAME?</v>
      </c>
      <c r="O3439" s="28" t="e">
        <f ca="1">[1]!BexGetData("DP_1","003N8EMH8GTFRIVOG7KG9J3KE","GSON5231433011")</f>
        <v>#NAME?</v>
      </c>
      <c r="P3439" s="23" t="e">
        <f ca="1">[1]!BexGetData("DP_1","003N8EMH8GTFRIVOG7KG9J9VY","GSON5231433011")</f>
        <v>#NAME?</v>
      </c>
      <c r="Q3439" s="24" t="e">
        <f ca="1">[1]!BexGetData("DP_1","00O2TNJGODT0G5Z4TTKYMM5MT","GSON5231433011")</f>
        <v>#NAME?</v>
      </c>
      <c r="R3439" s="23" t="e">
        <f ca="1">[1]!BexGetData("DP_1","00O2TNJGODT0G5Z4TTKYMMBYD","GSON5231433011")</f>
        <v>#NAME?</v>
      </c>
      <c r="S3439" s="23" t="e">
        <f ca="1">[1]!BexGetData("DP_1","00O2TNJGODT0G5Z4TTKYMMI9X","GSON5231433011")</f>
        <v>#NAME?</v>
      </c>
      <c r="T3439" s="28" t="e">
        <f ca="1">[1]!BexGetData("DP_1","00O2TNJGODT0G5Z4TTKYMMOLH","GSON5231433011")</f>
        <v>#NAME?</v>
      </c>
      <c r="U3439" s="23" t="e">
        <f ca="1">[1]!BexGetData("DP_1","00O2TNJGODT0G5Z4TTKYMMUX1","GSON5231433011")</f>
        <v>#NAME?</v>
      </c>
      <c r="V3439" s="28" t="e">
        <f ca="1">[1]!BexGetData("DP_1","00O2TNJGODT0G5Z4TTKYMN18L","GSON5231433011")</f>
        <v>#NAME?</v>
      </c>
      <c r="W3439" s="23" t="e">
        <f ca="1">[1]!BexGetData("DP_1","00O2TNJGODT0G5Z4TTKYMN7K5","GSON5231433011")</f>
        <v>#NAME?</v>
      </c>
    </row>
    <row r="3440" spans="1:23" x14ac:dyDescent="0.2">
      <c r="A3440" s="36" t="s">
        <v>6981</v>
      </c>
      <c r="B3440" s="27" t="s">
        <v>6982</v>
      </c>
      <c r="C3440" s="23" t="e">
        <f ca="1">[1]!BexGetData("DP_1","003N8EMH8GTFRCSWKMPXRR8GU","GSON5231439011")</f>
        <v>#NAME?</v>
      </c>
      <c r="D3440" s="23" t="e">
        <f ca="1">[1]!BexGetData("DP_1","003N8EMH8GTFRCSWKMPXRRESE","GSON5231439011")</f>
        <v>#NAME?</v>
      </c>
      <c r="E3440" s="23" t="e">
        <f ca="1">[1]!BexGetData("DP_1","003N8EMH8GTFRCSWKMPXRRL3Y","GSON5231439011")</f>
        <v>#NAME?</v>
      </c>
      <c r="F3440" s="23" t="e">
        <f ca="1">[1]!BexGetData("DP_1","003N8EMH8GTFRCSWKMPXRRRFI","GSON5231439011")</f>
        <v>#NAME?</v>
      </c>
      <c r="G3440" s="23" t="e">
        <f ca="1">[1]!BexGetData("DP_1","003N8EMH8GTFRCSWKMPXRRXR2","GSON5231439011")</f>
        <v>#NAME?</v>
      </c>
      <c r="H3440" s="28" t="e">
        <f ca="1">[1]!BexGetData("DP_1","003N8EMH8GTFRCSWKMPXRS42M","GSON5231439011")</f>
        <v>#NAME?</v>
      </c>
      <c r="I3440" s="23" t="e">
        <f ca="1">[1]!BexGetData("DP_1","003N8EMH8GTFRCSWKMPXRSAE6","GSON5231439011")</f>
        <v>#NAME?</v>
      </c>
      <c r="J3440" s="24" t="e">
        <f ca="1">[1]!BexGetData("DP_1","003N8EMH8GTFRCSWKMPXRSGPQ","GSON5231439011")</f>
        <v>#NAME?</v>
      </c>
      <c r="K3440" s="23" t="e">
        <f ca="1">[1]!BexGetData("DP_1","003N8EMH8GTFRIVNUPY288VJH","GSON5231439011")</f>
        <v>#NAME?</v>
      </c>
      <c r="L3440" s="23" t="e">
        <f ca="1">[1]!BexGetData("DP_1","003N8EMH8GTFRIVNUPY2891V1","GSON5231439011")</f>
        <v>#NAME?</v>
      </c>
      <c r="M3440" s="28" t="e">
        <f ca="1">[1]!BexGetData("DP_1","003N8EMH8GTFRIVOG7KG9IQXA","GSON5231439011")</f>
        <v>#NAME?</v>
      </c>
      <c r="N3440" s="23" t="e">
        <f ca="1">[1]!BexGetData("DP_1","003N8EMH8GTFRIVOG7KG9IX8U","GSON5231439011")</f>
        <v>#NAME?</v>
      </c>
      <c r="O3440" s="28" t="e">
        <f ca="1">[1]!BexGetData("DP_1","003N8EMH8GTFRIVOG7KG9J3KE","GSON5231439011")</f>
        <v>#NAME?</v>
      </c>
      <c r="P3440" s="23" t="e">
        <f ca="1">[1]!BexGetData("DP_1","003N8EMH8GTFRIVOG7KG9J9VY","GSON5231439011")</f>
        <v>#NAME?</v>
      </c>
      <c r="Q3440" s="24" t="e">
        <f ca="1">[1]!BexGetData("DP_1","00O2TNJGODT0G5Z4TTKYMM5MT","GSON5231439011")</f>
        <v>#NAME?</v>
      </c>
      <c r="R3440" s="23" t="e">
        <f ca="1">[1]!BexGetData("DP_1","00O2TNJGODT0G5Z4TTKYMMBYD","GSON5231439011")</f>
        <v>#NAME?</v>
      </c>
      <c r="S3440" s="23" t="e">
        <f ca="1">[1]!BexGetData("DP_1","00O2TNJGODT0G5Z4TTKYMMI9X","GSON5231439011")</f>
        <v>#NAME?</v>
      </c>
      <c r="T3440" s="28" t="e">
        <f ca="1">[1]!BexGetData("DP_1","00O2TNJGODT0G5Z4TTKYMMOLH","GSON5231439011")</f>
        <v>#NAME?</v>
      </c>
      <c r="U3440" s="23" t="e">
        <f ca="1">[1]!BexGetData("DP_1","00O2TNJGODT0G5Z4TTKYMMUX1","GSON5231439011")</f>
        <v>#NAME?</v>
      </c>
      <c r="V3440" s="28" t="e">
        <f ca="1">[1]!BexGetData("DP_1","00O2TNJGODT0G5Z4TTKYMN18L","GSON5231439011")</f>
        <v>#NAME?</v>
      </c>
      <c r="W3440" s="23" t="e">
        <f ca="1">[1]!BexGetData("DP_1","00O2TNJGODT0G5Z4TTKYMN7K5","GSON5231439011")</f>
        <v>#NAME?</v>
      </c>
    </row>
    <row r="3441" spans="1:23" x14ac:dyDescent="0.2">
      <c r="A3441" s="36" t="s">
        <v>6983</v>
      </c>
      <c r="B3441" s="27" t="s">
        <v>6984</v>
      </c>
      <c r="C3441" s="24" t="e">
        <f ca="1">[1]!BexGetData("DP_1","003N8EMH8GTFRCSWKMPXRR8GU","GSON5231439021")</f>
        <v>#NAME?</v>
      </c>
      <c r="D3441" s="24" t="e">
        <f ca="1">[1]!BexGetData("DP_1","003N8EMH8GTFRCSWKMPXRRESE","GSON5231439021")</f>
        <v>#NAME?</v>
      </c>
      <c r="E3441" s="24" t="e">
        <f ca="1">[1]!BexGetData("DP_1","003N8EMH8GTFRCSWKMPXRRL3Y","GSON5231439021")</f>
        <v>#NAME?</v>
      </c>
      <c r="F3441" s="23" t="e">
        <f ca="1">[1]!BexGetData("DP_1","003N8EMH8GTFRCSWKMPXRRRFI","GSON5231439021")</f>
        <v>#NAME?</v>
      </c>
      <c r="G3441" s="23" t="e">
        <f ca="1">[1]!BexGetData("DP_1","003N8EMH8GTFRCSWKMPXRRXR2","GSON5231439021")</f>
        <v>#NAME?</v>
      </c>
      <c r="H3441" s="23" t="e">
        <f ca="1">[1]!BexGetData("DP_1","003N8EMH8GTFRCSWKMPXRS42M","GSON5231439021")</f>
        <v>#NAME?</v>
      </c>
      <c r="I3441" s="23" t="e">
        <f ca="1">[1]!BexGetData("DP_1","003N8EMH8GTFRCSWKMPXRSAE6","GSON5231439021")</f>
        <v>#NAME?</v>
      </c>
      <c r="J3441" s="24" t="e">
        <f ca="1">[1]!BexGetData("DP_1","003N8EMH8GTFRCSWKMPXRSGPQ","GSON5231439021")</f>
        <v>#NAME?</v>
      </c>
      <c r="K3441" s="23" t="e">
        <f ca="1">[1]!BexGetData("DP_1","003N8EMH8GTFRIVNUPY288VJH","GSON5231439021")</f>
        <v>#NAME?</v>
      </c>
      <c r="L3441" s="23" t="e">
        <f ca="1">[1]!BexGetData("DP_1","003N8EMH8GTFRIVNUPY2891V1","GSON5231439021")</f>
        <v>#NAME?</v>
      </c>
      <c r="M3441" s="23" t="e">
        <f ca="1">[1]!BexGetData("DP_1","003N8EMH8GTFRIVOG7KG9IQXA","GSON5231439021")</f>
        <v>#NAME?</v>
      </c>
      <c r="N3441" s="28" t="e">
        <f ca="1">[1]!BexGetData("DP_1","003N8EMH8GTFRIVOG7KG9IX8U","GSON5231439021")</f>
        <v>#NAME?</v>
      </c>
      <c r="O3441" s="23" t="e">
        <f ca="1">[1]!BexGetData("DP_1","003N8EMH8GTFRIVOG7KG9J3KE","GSON5231439021")</f>
        <v>#NAME?</v>
      </c>
      <c r="P3441" s="28" t="e">
        <f ca="1">[1]!BexGetData("DP_1","003N8EMH8GTFRIVOG7KG9J9VY","GSON5231439021")</f>
        <v>#NAME?</v>
      </c>
      <c r="Q3441" s="24" t="e">
        <f ca="1">[1]!BexGetData("DP_1","00O2TNJGODT0G5Z4TTKYMM5MT","GSON5231439021")</f>
        <v>#NAME?</v>
      </c>
      <c r="R3441" s="23" t="e">
        <f ca="1">[1]!BexGetData("DP_1","00O2TNJGODT0G5Z4TTKYMMBYD","GSON5231439021")</f>
        <v>#NAME?</v>
      </c>
      <c r="S3441" s="23" t="e">
        <f ca="1">[1]!BexGetData("DP_1","00O2TNJGODT0G5Z4TTKYMMI9X","GSON5231439021")</f>
        <v>#NAME?</v>
      </c>
      <c r="T3441" s="28" t="e">
        <f ca="1">[1]!BexGetData("DP_1","00O2TNJGODT0G5Z4TTKYMMOLH","GSON5231439021")</f>
        <v>#NAME?</v>
      </c>
      <c r="U3441" s="23" t="e">
        <f ca="1">[1]!BexGetData("DP_1","00O2TNJGODT0G5Z4TTKYMMUX1","GSON5231439021")</f>
        <v>#NAME?</v>
      </c>
      <c r="V3441" s="28" t="e">
        <f ca="1">[1]!BexGetData("DP_1","00O2TNJGODT0G5Z4TTKYMN18L","GSON5231439021")</f>
        <v>#NAME?</v>
      </c>
      <c r="W3441" s="23" t="e">
        <f ca="1">[1]!BexGetData("DP_1","00O2TNJGODT0G5Z4TTKYMN7K5","GSON5231439021")</f>
        <v>#NAME?</v>
      </c>
    </row>
    <row r="3442" spans="1:23" x14ac:dyDescent="0.2">
      <c r="A3442" s="35" t="s">
        <v>6985</v>
      </c>
      <c r="B3442" s="27" t="s">
        <v>6986</v>
      </c>
      <c r="C3442" s="23" t="e">
        <f ca="1">[1]!BexGetData("DP_1","003N8EMH8GTFRCSWKMPXRR8GU","GSON5232")</f>
        <v>#NAME?</v>
      </c>
      <c r="D3442" s="23" t="e">
        <f ca="1">[1]!BexGetData("DP_1","003N8EMH8GTFRCSWKMPXRRESE","GSON5232")</f>
        <v>#NAME?</v>
      </c>
      <c r="E3442" s="23" t="e">
        <f ca="1">[1]!BexGetData("DP_1","003N8EMH8GTFRCSWKMPXRRL3Y","GSON5232")</f>
        <v>#NAME?</v>
      </c>
      <c r="F3442" s="23" t="e">
        <f ca="1">[1]!BexGetData("DP_1","003N8EMH8GTFRCSWKMPXRRRFI","GSON5232")</f>
        <v>#NAME?</v>
      </c>
      <c r="G3442" s="23" t="e">
        <f ca="1">[1]!BexGetData("DP_1","003N8EMH8GTFRCSWKMPXRRXR2","GSON5232")</f>
        <v>#NAME?</v>
      </c>
      <c r="H3442" s="23" t="e">
        <f ca="1">[1]!BexGetData("DP_1","003N8EMH8GTFRCSWKMPXRS42M","GSON5232")</f>
        <v>#NAME?</v>
      </c>
      <c r="I3442" s="23" t="e">
        <f ca="1">[1]!BexGetData("DP_1","003N8EMH8GTFRCSWKMPXRSAE6","GSON5232")</f>
        <v>#NAME?</v>
      </c>
      <c r="J3442" s="24" t="e">
        <f ca="1">[1]!BexGetData("DP_1","003N8EMH8GTFRCSWKMPXRSGPQ","GSON5232")</f>
        <v>#NAME?</v>
      </c>
      <c r="K3442" s="23" t="e">
        <f ca="1">[1]!BexGetData("DP_1","003N8EMH8GTFRIVNUPY288VJH","GSON5232")</f>
        <v>#NAME?</v>
      </c>
      <c r="L3442" s="23" t="e">
        <f ca="1">[1]!BexGetData("DP_1","003N8EMH8GTFRIVNUPY2891V1","GSON5232")</f>
        <v>#NAME?</v>
      </c>
      <c r="M3442" s="28" t="e">
        <f ca="1">[1]!BexGetData("DP_1","003N8EMH8GTFRIVOG7KG9IQXA","GSON5232")</f>
        <v>#NAME?</v>
      </c>
      <c r="N3442" s="23" t="e">
        <f ca="1">[1]!BexGetData("DP_1","003N8EMH8GTFRIVOG7KG9IX8U","GSON5232")</f>
        <v>#NAME?</v>
      </c>
      <c r="O3442" s="28" t="e">
        <f ca="1">[1]!BexGetData("DP_1","003N8EMH8GTFRIVOG7KG9J3KE","GSON5232")</f>
        <v>#NAME?</v>
      </c>
      <c r="P3442" s="23" t="e">
        <f ca="1">[1]!BexGetData("DP_1","003N8EMH8GTFRIVOG7KG9J9VY","GSON5232")</f>
        <v>#NAME?</v>
      </c>
      <c r="Q3442" s="24" t="e">
        <f ca="1">[1]!BexGetData("DP_1","00O2TNJGODT0G5Z4TTKYMM5MT","GSON5232")</f>
        <v>#NAME?</v>
      </c>
      <c r="R3442" s="23" t="e">
        <f ca="1">[1]!BexGetData("DP_1","00O2TNJGODT0G5Z4TTKYMMBYD","GSON5232")</f>
        <v>#NAME?</v>
      </c>
      <c r="S3442" s="23" t="e">
        <f ca="1">[1]!BexGetData("DP_1","00O2TNJGODT0G5Z4TTKYMMI9X","GSON5232")</f>
        <v>#NAME?</v>
      </c>
      <c r="T3442" s="28" t="e">
        <f ca="1">[1]!BexGetData("DP_1","00O2TNJGODT0G5Z4TTKYMMOLH","GSON5232")</f>
        <v>#NAME?</v>
      </c>
      <c r="U3442" s="23" t="e">
        <f ca="1">[1]!BexGetData("DP_1","00O2TNJGODT0G5Z4TTKYMMUX1","GSON5232")</f>
        <v>#NAME?</v>
      </c>
      <c r="V3442" s="28" t="e">
        <f ca="1">[1]!BexGetData("DP_1","00O2TNJGODT0G5Z4TTKYMN18L","GSON5232")</f>
        <v>#NAME?</v>
      </c>
      <c r="W3442" s="23" t="e">
        <f ca="1">[1]!BexGetData("DP_1","00O2TNJGODT0G5Z4TTKYMN7K5","GSON5232")</f>
        <v>#NAME?</v>
      </c>
    </row>
    <row r="3443" spans="1:23" x14ac:dyDescent="0.2">
      <c r="A3443" s="36" t="s">
        <v>6987</v>
      </c>
      <c r="B3443" s="27" t="s">
        <v>6988</v>
      </c>
      <c r="C3443" s="23" t="e">
        <f ca="1">[1]!BexGetData("DP_1","003N8EMH8GTFRCSWKMPXRR8GU","GSON5232437021")</f>
        <v>#NAME?</v>
      </c>
      <c r="D3443" s="23" t="e">
        <f ca="1">[1]!BexGetData("DP_1","003N8EMH8GTFRCSWKMPXRRESE","GSON5232437021")</f>
        <v>#NAME?</v>
      </c>
      <c r="E3443" s="23" t="e">
        <f ca="1">[1]!BexGetData("DP_1","003N8EMH8GTFRCSWKMPXRRL3Y","GSON5232437021")</f>
        <v>#NAME?</v>
      </c>
      <c r="F3443" s="23" t="e">
        <f ca="1">[1]!BexGetData("DP_1","003N8EMH8GTFRCSWKMPXRRRFI","GSON5232437021")</f>
        <v>#NAME?</v>
      </c>
      <c r="G3443" s="23" t="e">
        <f ca="1">[1]!BexGetData("DP_1","003N8EMH8GTFRCSWKMPXRRXR2","GSON5232437021")</f>
        <v>#NAME?</v>
      </c>
      <c r="H3443" s="23" t="e">
        <f ca="1">[1]!BexGetData("DP_1","003N8EMH8GTFRCSWKMPXRS42M","GSON5232437021")</f>
        <v>#NAME?</v>
      </c>
      <c r="I3443" s="23" t="e">
        <f ca="1">[1]!BexGetData("DP_1","003N8EMH8GTFRCSWKMPXRSAE6","GSON5232437021")</f>
        <v>#NAME?</v>
      </c>
      <c r="J3443" s="24" t="e">
        <f ca="1">[1]!BexGetData("DP_1","003N8EMH8GTFRCSWKMPXRSGPQ","GSON5232437021")</f>
        <v>#NAME?</v>
      </c>
      <c r="K3443" s="23" t="e">
        <f ca="1">[1]!BexGetData("DP_1","003N8EMH8GTFRIVNUPY288VJH","GSON5232437021")</f>
        <v>#NAME?</v>
      </c>
      <c r="L3443" s="23" t="e">
        <f ca="1">[1]!BexGetData("DP_1","003N8EMH8GTFRIVNUPY2891V1","GSON5232437021")</f>
        <v>#NAME?</v>
      </c>
      <c r="M3443" s="28" t="e">
        <f ca="1">[1]!BexGetData("DP_1","003N8EMH8GTFRIVOG7KG9IQXA","GSON5232437021")</f>
        <v>#NAME?</v>
      </c>
      <c r="N3443" s="23" t="e">
        <f ca="1">[1]!BexGetData("DP_1","003N8EMH8GTFRIVOG7KG9IX8U","GSON5232437021")</f>
        <v>#NAME?</v>
      </c>
      <c r="O3443" s="28" t="e">
        <f ca="1">[1]!BexGetData("DP_1","003N8EMH8GTFRIVOG7KG9J3KE","GSON5232437021")</f>
        <v>#NAME?</v>
      </c>
      <c r="P3443" s="23" t="e">
        <f ca="1">[1]!BexGetData("DP_1","003N8EMH8GTFRIVOG7KG9J9VY","GSON5232437021")</f>
        <v>#NAME?</v>
      </c>
      <c r="Q3443" s="24" t="e">
        <f ca="1">[1]!BexGetData("DP_1","00O2TNJGODT0G5Z4TTKYMM5MT","GSON5232437021")</f>
        <v>#NAME?</v>
      </c>
      <c r="R3443" s="23" t="e">
        <f ca="1">[1]!BexGetData("DP_1","00O2TNJGODT0G5Z4TTKYMMBYD","GSON5232437021")</f>
        <v>#NAME?</v>
      </c>
      <c r="S3443" s="23" t="e">
        <f ca="1">[1]!BexGetData("DP_1","00O2TNJGODT0G5Z4TTKYMMI9X","GSON5232437021")</f>
        <v>#NAME?</v>
      </c>
      <c r="T3443" s="28" t="e">
        <f ca="1">[1]!BexGetData("DP_1","00O2TNJGODT0G5Z4TTKYMMOLH","GSON5232437021")</f>
        <v>#NAME?</v>
      </c>
      <c r="U3443" s="23" t="e">
        <f ca="1">[1]!BexGetData("DP_1","00O2TNJGODT0G5Z4TTKYMMUX1","GSON5232437021")</f>
        <v>#NAME?</v>
      </c>
      <c r="V3443" s="28" t="e">
        <f ca="1">[1]!BexGetData("DP_1","00O2TNJGODT0G5Z4TTKYMN18L","GSON5232437021")</f>
        <v>#NAME?</v>
      </c>
      <c r="W3443" s="23" t="e">
        <f ca="1">[1]!BexGetData("DP_1","00O2TNJGODT0G5Z4TTKYMN7K5","GSON5232437021")</f>
        <v>#NAME?</v>
      </c>
    </row>
    <row r="3444" spans="1:23" x14ac:dyDescent="0.2">
      <c r="A3444" s="34" t="s">
        <v>1743</v>
      </c>
      <c r="B3444" s="27" t="s">
        <v>1744</v>
      </c>
      <c r="C3444" s="23" t="e">
        <f ca="1">[1]!BexGetData("DP_1","003N8EMH8GTFRCSWKMPXRR8GU","GSON524")</f>
        <v>#NAME?</v>
      </c>
      <c r="D3444" s="23" t="e">
        <f ca="1">[1]!BexGetData("DP_1","003N8EMH8GTFRCSWKMPXRRESE","GSON524")</f>
        <v>#NAME?</v>
      </c>
      <c r="E3444" s="23" t="e">
        <f ca="1">[1]!BexGetData("DP_1","003N8EMH8GTFRCSWKMPXRRL3Y","GSON524")</f>
        <v>#NAME?</v>
      </c>
      <c r="F3444" s="23" t="e">
        <f ca="1">[1]!BexGetData("DP_1","003N8EMH8GTFRCSWKMPXRRRFI","GSON524")</f>
        <v>#NAME?</v>
      </c>
      <c r="G3444" s="23" t="e">
        <f ca="1">[1]!BexGetData("DP_1","003N8EMH8GTFRCSWKMPXRRXR2","GSON524")</f>
        <v>#NAME?</v>
      </c>
      <c r="H3444" s="23" t="e">
        <f ca="1">[1]!BexGetData("DP_1","003N8EMH8GTFRCSWKMPXRS42M","GSON524")</f>
        <v>#NAME?</v>
      </c>
      <c r="I3444" s="23" t="e">
        <f ca="1">[1]!BexGetData("DP_1","003N8EMH8GTFRCSWKMPXRSAE6","GSON524")</f>
        <v>#NAME?</v>
      </c>
      <c r="J3444" s="24" t="e">
        <f ca="1">[1]!BexGetData("DP_1","003N8EMH8GTFRCSWKMPXRSGPQ","GSON524")</f>
        <v>#NAME?</v>
      </c>
      <c r="K3444" s="23" t="e">
        <f ca="1">[1]!BexGetData("DP_1","003N8EMH8GTFRIVNUPY288VJH","GSON524")</f>
        <v>#NAME?</v>
      </c>
      <c r="L3444" s="23" t="e">
        <f ca="1">[1]!BexGetData("DP_1","003N8EMH8GTFRIVNUPY2891V1","GSON524")</f>
        <v>#NAME?</v>
      </c>
      <c r="M3444" s="28" t="e">
        <f ca="1">[1]!BexGetData("DP_1","003N8EMH8GTFRIVOG7KG9IQXA","GSON524")</f>
        <v>#NAME?</v>
      </c>
      <c r="N3444" s="23" t="e">
        <f ca="1">[1]!BexGetData("DP_1","003N8EMH8GTFRIVOG7KG9IX8U","GSON524")</f>
        <v>#NAME?</v>
      </c>
      <c r="O3444" s="28" t="e">
        <f ca="1">[1]!BexGetData("DP_1","003N8EMH8GTFRIVOG7KG9J3KE","GSON524")</f>
        <v>#NAME?</v>
      </c>
      <c r="P3444" s="23" t="e">
        <f ca="1">[1]!BexGetData("DP_1","003N8EMH8GTFRIVOG7KG9J9VY","GSON524")</f>
        <v>#NAME?</v>
      </c>
      <c r="Q3444" s="24" t="e">
        <f ca="1">[1]!BexGetData("DP_1","00O2TNJGODT0G5Z4TTKYMM5MT","GSON524")</f>
        <v>#NAME?</v>
      </c>
      <c r="R3444" s="23" t="e">
        <f ca="1">[1]!BexGetData("DP_1","00O2TNJGODT0G5Z4TTKYMMBYD","GSON524")</f>
        <v>#NAME?</v>
      </c>
      <c r="S3444" s="23" t="e">
        <f ca="1">[1]!BexGetData("DP_1","00O2TNJGODT0G5Z4TTKYMMI9X","GSON524")</f>
        <v>#NAME?</v>
      </c>
      <c r="T3444" s="28" t="e">
        <f ca="1">[1]!BexGetData("DP_1","00O2TNJGODT0G5Z4TTKYMMOLH","GSON524")</f>
        <v>#NAME?</v>
      </c>
      <c r="U3444" s="23" t="e">
        <f ca="1">[1]!BexGetData("DP_1","00O2TNJGODT0G5Z4TTKYMMUX1","GSON524")</f>
        <v>#NAME?</v>
      </c>
      <c r="V3444" s="28" t="e">
        <f ca="1">[1]!BexGetData("DP_1","00O2TNJGODT0G5Z4TTKYMN18L","GSON524")</f>
        <v>#NAME?</v>
      </c>
      <c r="W3444" s="23" t="e">
        <f ca="1">[1]!BexGetData("DP_1","00O2TNJGODT0G5Z4TTKYMN7K5","GSON524")</f>
        <v>#NAME?</v>
      </c>
    </row>
    <row r="3445" spans="1:23" x14ac:dyDescent="0.2">
      <c r="A3445" s="35" t="s">
        <v>6989</v>
      </c>
      <c r="B3445" s="27" t="s">
        <v>6990</v>
      </c>
      <c r="C3445" s="23" t="e">
        <f ca="1">[1]!BexGetData("DP_1","003N8EMH8GTFRCSWKMPXRR8GU","GSON5241")</f>
        <v>#NAME?</v>
      </c>
      <c r="D3445" s="23" t="e">
        <f ca="1">[1]!BexGetData("DP_1","003N8EMH8GTFRCSWKMPXRRESE","GSON5241")</f>
        <v>#NAME?</v>
      </c>
      <c r="E3445" s="23" t="e">
        <f ca="1">[1]!BexGetData("DP_1","003N8EMH8GTFRCSWKMPXRRL3Y","GSON5241")</f>
        <v>#NAME?</v>
      </c>
      <c r="F3445" s="23" t="e">
        <f ca="1">[1]!BexGetData("DP_1","003N8EMH8GTFRCSWKMPXRRRFI","GSON5241")</f>
        <v>#NAME?</v>
      </c>
      <c r="G3445" s="23" t="e">
        <f ca="1">[1]!BexGetData("DP_1","003N8EMH8GTFRCSWKMPXRRXR2","GSON5241")</f>
        <v>#NAME?</v>
      </c>
      <c r="H3445" s="23" t="e">
        <f ca="1">[1]!BexGetData("DP_1","003N8EMH8GTFRCSWKMPXRS42M","GSON5241")</f>
        <v>#NAME?</v>
      </c>
      <c r="I3445" s="23" t="e">
        <f ca="1">[1]!BexGetData("DP_1","003N8EMH8GTFRCSWKMPXRSAE6","GSON5241")</f>
        <v>#NAME?</v>
      </c>
      <c r="J3445" s="24" t="e">
        <f ca="1">[1]!BexGetData("DP_1","003N8EMH8GTFRCSWKMPXRSGPQ","GSON5241")</f>
        <v>#NAME?</v>
      </c>
      <c r="K3445" s="23" t="e">
        <f ca="1">[1]!BexGetData("DP_1","003N8EMH8GTFRIVNUPY288VJH","GSON5241")</f>
        <v>#NAME?</v>
      </c>
      <c r="L3445" s="23" t="e">
        <f ca="1">[1]!BexGetData("DP_1","003N8EMH8GTFRIVNUPY2891V1","GSON5241")</f>
        <v>#NAME?</v>
      </c>
      <c r="M3445" s="28" t="e">
        <f ca="1">[1]!BexGetData("DP_1","003N8EMH8GTFRIVOG7KG9IQXA","GSON5241")</f>
        <v>#NAME?</v>
      </c>
      <c r="N3445" s="23" t="e">
        <f ca="1">[1]!BexGetData("DP_1","003N8EMH8GTFRIVOG7KG9IX8U","GSON5241")</f>
        <v>#NAME?</v>
      </c>
      <c r="O3445" s="28" t="e">
        <f ca="1">[1]!BexGetData("DP_1","003N8EMH8GTFRIVOG7KG9J3KE","GSON5241")</f>
        <v>#NAME?</v>
      </c>
      <c r="P3445" s="23" t="e">
        <f ca="1">[1]!BexGetData("DP_1","003N8EMH8GTFRIVOG7KG9J9VY","GSON5241")</f>
        <v>#NAME?</v>
      </c>
      <c r="Q3445" s="24" t="e">
        <f ca="1">[1]!BexGetData("DP_1","00O2TNJGODT0G5Z4TTKYMM5MT","GSON5241")</f>
        <v>#NAME?</v>
      </c>
      <c r="R3445" s="23" t="e">
        <f ca="1">[1]!BexGetData("DP_1","00O2TNJGODT0G5Z4TTKYMMBYD","GSON5241")</f>
        <v>#NAME?</v>
      </c>
      <c r="S3445" s="23" t="e">
        <f ca="1">[1]!BexGetData("DP_1","00O2TNJGODT0G5Z4TTKYMMI9X","GSON5241")</f>
        <v>#NAME?</v>
      </c>
      <c r="T3445" s="28" t="e">
        <f ca="1">[1]!BexGetData("DP_1","00O2TNJGODT0G5Z4TTKYMMOLH","GSON5241")</f>
        <v>#NAME?</v>
      </c>
      <c r="U3445" s="23" t="e">
        <f ca="1">[1]!BexGetData("DP_1","00O2TNJGODT0G5Z4TTKYMMUX1","GSON5241")</f>
        <v>#NAME?</v>
      </c>
      <c r="V3445" s="28" t="e">
        <f ca="1">[1]!BexGetData("DP_1","00O2TNJGODT0G5Z4TTKYMN18L","GSON5241")</f>
        <v>#NAME?</v>
      </c>
      <c r="W3445" s="23" t="e">
        <f ca="1">[1]!BexGetData("DP_1","00O2TNJGODT0G5Z4TTKYMN7K5","GSON5241")</f>
        <v>#NAME?</v>
      </c>
    </row>
    <row r="3446" spans="1:23" x14ac:dyDescent="0.2">
      <c r="A3446" s="36" t="s">
        <v>6991</v>
      </c>
      <c r="B3446" s="27" t="s">
        <v>6992</v>
      </c>
      <c r="C3446" s="23" t="e">
        <f ca="1">[1]!BexGetData("DP_1","003N8EMH8GTFRCSWKMPXRR8GU","GSON5241441011")</f>
        <v>#NAME?</v>
      </c>
      <c r="D3446" s="23" t="e">
        <f ca="1">[1]!BexGetData("DP_1","003N8EMH8GTFRCSWKMPXRRESE","GSON5241441011")</f>
        <v>#NAME?</v>
      </c>
      <c r="E3446" s="23" t="e">
        <f ca="1">[1]!BexGetData("DP_1","003N8EMH8GTFRCSWKMPXRRL3Y","GSON5241441011")</f>
        <v>#NAME?</v>
      </c>
      <c r="F3446" s="23" t="e">
        <f ca="1">[1]!BexGetData("DP_1","003N8EMH8GTFRCSWKMPXRRRFI","GSON5241441011")</f>
        <v>#NAME?</v>
      </c>
      <c r="G3446" s="23" t="e">
        <f ca="1">[1]!BexGetData("DP_1","003N8EMH8GTFRCSWKMPXRRXR2","GSON5241441011")</f>
        <v>#NAME?</v>
      </c>
      <c r="H3446" s="23" t="e">
        <f ca="1">[1]!BexGetData("DP_1","003N8EMH8GTFRCSWKMPXRS42M","GSON5241441011")</f>
        <v>#NAME?</v>
      </c>
      <c r="I3446" s="23" t="e">
        <f ca="1">[1]!BexGetData("DP_1","003N8EMH8GTFRCSWKMPXRSAE6","GSON5241441011")</f>
        <v>#NAME?</v>
      </c>
      <c r="J3446" s="24" t="e">
        <f ca="1">[1]!BexGetData("DP_1","003N8EMH8GTFRCSWKMPXRSGPQ","GSON5241441011")</f>
        <v>#NAME?</v>
      </c>
      <c r="K3446" s="23" t="e">
        <f ca="1">[1]!BexGetData("DP_1","003N8EMH8GTFRIVNUPY288VJH","GSON5241441011")</f>
        <v>#NAME?</v>
      </c>
      <c r="L3446" s="23" t="e">
        <f ca="1">[1]!BexGetData("DP_1","003N8EMH8GTFRIVNUPY2891V1","GSON5241441011")</f>
        <v>#NAME?</v>
      </c>
      <c r="M3446" s="28" t="e">
        <f ca="1">[1]!BexGetData("DP_1","003N8EMH8GTFRIVOG7KG9IQXA","GSON5241441011")</f>
        <v>#NAME?</v>
      </c>
      <c r="N3446" s="23" t="e">
        <f ca="1">[1]!BexGetData("DP_1","003N8EMH8GTFRIVOG7KG9IX8U","GSON5241441011")</f>
        <v>#NAME?</v>
      </c>
      <c r="O3446" s="28" t="e">
        <f ca="1">[1]!BexGetData("DP_1","003N8EMH8GTFRIVOG7KG9J3KE","GSON5241441011")</f>
        <v>#NAME?</v>
      </c>
      <c r="P3446" s="23" t="e">
        <f ca="1">[1]!BexGetData("DP_1","003N8EMH8GTFRIVOG7KG9J9VY","GSON5241441011")</f>
        <v>#NAME?</v>
      </c>
      <c r="Q3446" s="24" t="e">
        <f ca="1">[1]!BexGetData("DP_1","00O2TNJGODT0G5Z4TTKYMM5MT","GSON5241441011")</f>
        <v>#NAME?</v>
      </c>
      <c r="R3446" s="23" t="e">
        <f ca="1">[1]!BexGetData("DP_1","00O2TNJGODT0G5Z4TTKYMMBYD","GSON5241441011")</f>
        <v>#NAME?</v>
      </c>
      <c r="S3446" s="23" t="e">
        <f ca="1">[1]!BexGetData("DP_1","00O2TNJGODT0G5Z4TTKYMMI9X","GSON5241441011")</f>
        <v>#NAME?</v>
      </c>
      <c r="T3446" s="28" t="e">
        <f ca="1">[1]!BexGetData("DP_1","00O2TNJGODT0G5Z4TTKYMMOLH","GSON5241441011")</f>
        <v>#NAME?</v>
      </c>
      <c r="U3446" s="23" t="e">
        <f ca="1">[1]!BexGetData("DP_1","00O2TNJGODT0G5Z4TTKYMMUX1","GSON5241441011")</f>
        <v>#NAME?</v>
      </c>
      <c r="V3446" s="28" t="e">
        <f ca="1">[1]!BexGetData("DP_1","00O2TNJGODT0G5Z4TTKYMN18L","GSON5241441011")</f>
        <v>#NAME?</v>
      </c>
      <c r="W3446" s="23" t="e">
        <f ca="1">[1]!BexGetData("DP_1","00O2TNJGODT0G5Z4TTKYMN7K5","GSON5241441011")</f>
        <v>#NAME?</v>
      </c>
    </row>
    <row r="3447" spans="1:23" x14ac:dyDescent="0.2">
      <c r="A3447" s="36" t="s">
        <v>6951</v>
      </c>
      <c r="B3447" s="27" t="s">
        <v>6993</v>
      </c>
      <c r="C3447" s="23" t="e">
        <f ca="1">[1]!BexGetData("DP_1","003N8EMH8GTFRCSWKMPXRR8GU","GSON5241441021")</f>
        <v>#NAME?</v>
      </c>
      <c r="D3447" s="28" t="e">
        <f ca="1">[1]!BexGetData("DP_1","003N8EMH8GTFRCSWKMPXRRESE","GSON5241441021")</f>
        <v>#NAME?</v>
      </c>
      <c r="E3447" s="23" t="e">
        <f ca="1">[1]!BexGetData("DP_1","003N8EMH8GTFRCSWKMPXRRL3Y","GSON5241441021")</f>
        <v>#NAME?</v>
      </c>
      <c r="F3447" s="24" t="e">
        <f ca="1">[1]!BexGetData("DP_1","003N8EMH8GTFRCSWKMPXRRRFI","GSON5241441021")</f>
        <v>#NAME?</v>
      </c>
      <c r="G3447" s="24" t="e">
        <f ca="1">[1]!BexGetData("DP_1","003N8EMH8GTFRCSWKMPXRRXR2","GSON5241441021")</f>
        <v>#NAME?</v>
      </c>
      <c r="H3447" s="24" t="e">
        <f ca="1">[1]!BexGetData("DP_1","003N8EMH8GTFRCSWKMPXRS42M","GSON5241441021")</f>
        <v>#NAME?</v>
      </c>
      <c r="I3447" s="24" t="e">
        <f ca="1">[1]!BexGetData("DP_1","003N8EMH8GTFRCSWKMPXRSAE6","GSON5241441021")</f>
        <v>#NAME?</v>
      </c>
      <c r="J3447" s="24" t="e">
        <f ca="1">[1]!BexGetData("DP_1","003N8EMH8GTFRCSWKMPXRSGPQ","GSON5241441021")</f>
        <v>#NAME?</v>
      </c>
      <c r="K3447" s="23" t="e">
        <f ca="1">[1]!BexGetData("DP_1","003N8EMH8GTFRIVNUPY288VJH","GSON5241441021")</f>
        <v>#NAME?</v>
      </c>
      <c r="L3447" s="23" t="e">
        <f ca="1">[1]!BexGetData("DP_1","003N8EMH8GTFRIVNUPY2891V1","GSON5241441021")</f>
        <v>#NAME?</v>
      </c>
      <c r="M3447" s="28" t="e">
        <f ca="1">[1]!BexGetData("DP_1","003N8EMH8GTFRIVOG7KG9IQXA","GSON5241441021")</f>
        <v>#NAME?</v>
      </c>
      <c r="N3447" s="23" t="e">
        <f ca="1">[1]!BexGetData("DP_1","003N8EMH8GTFRIVOG7KG9IX8U","GSON5241441021")</f>
        <v>#NAME?</v>
      </c>
      <c r="O3447" s="28" t="e">
        <f ca="1">[1]!BexGetData("DP_1","003N8EMH8GTFRIVOG7KG9J3KE","GSON5241441021")</f>
        <v>#NAME?</v>
      </c>
      <c r="P3447" s="23" t="e">
        <f ca="1">[1]!BexGetData("DP_1","003N8EMH8GTFRIVOG7KG9J9VY","GSON5241441021")</f>
        <v>#NAME?</v>
      </c>
      <c r="Q3447" s="24" t="e">
        <f ca="1">[1]!BexGetData("DP_1","00O2TNJGODT0G5Z4TTKYMM5MT","GSON5241441021")</f>
        <v>#NAME?</v>
      </c>
      <c r="R3447" s="24" t="e">
        <f ca="1">[1]!BexGetData("DP_1","00O2TNJGODT0G5Z4TTKYMMBYD","GSON5241441021")</f>
        <v>#NAME?</v>
      </c>
      <c r="S3447" s="24" t="e">
        <f ca="1">[1]!BexGetData("DP_1","00O2TNJGODT0G5Z4TTKYMMI9X","GSON5241441021")</f>
        <v>#NAME?</v>
      </c>
      <c r="T3447" s="24" t="e">
        <f ca="1">[1]!BexGetData("DP_1","00O2TNJGODT0G5Z4TTKYMMOLH","GSON5241441021")</f>
        <v>#NAME?</v>
      </c>
      <c r="U3447" s="24" t="e">
        <f ca="1">[1]!BexGetData("DP_1","00O2TNJGODT0G5Z4TTKYMMUX1","GSON5241441021")</f>
        <v>#NAME?</v>
      </c>
      <c r="V3447" s="24" t="e">
        <f ca="1">[1]!BexGetData("DP_1","00O2TNJGODT0G5Z4TTKYMN18L","GSON5241441021")</f>
        <v>#NAME?</v>
      </c>
      <c r="W3447" s="24" t="e">
        <f ca="1">[1]!BexGetData("DP_1","00O2TNJGODT0G5Z4TTKYMN7K5","GSON5241441021")</f>
        <v>#NAME?</v>
      </c>
    </row>
    <row r="3448" spans="1:23" x14ac:dyDescent="0.2">
      <c r="A3448" s="36" t="s">
        <v>6994</v>
      </c>
      <c r="B3448" s="27" t="s">
        <v>6995</v>
      </c>
      <c r="C3448" s="23" t="e">
        <f ca="1">[1]!BexGetData("DP_1","003N8EMH8GTFRCSWKMPXRR8GU","GSON5241441041")</f>
        <v>#NAME?</v>
      </c>
      <c r="D3448" s="23" t="e">
        <f ca="1">[1]!BexGetData("DP_1","003N8EMH8GTFRCSWKMPXRRESE","GSON5241441041")</f>
        <v>#NAME?</v>
      </c>
      <c r="E3448" s="23" t="e">
        <f ca="1">[1]!BexGetData("DP_1","003N8EMH8GTFRCSWKMPXRRL3Y","GSON5241441041")</f>
        <v>#NAME?</v>
      </c>
      <c r="F3448" s="24" t="e">
        <f ca="1">[1]!BexGetData("DP_1","003N8EMH8GTFRCSWKMPXRRRFI","GSON5241441041")</f>
        <v>#NAME?</v>
      </c>
      <c r="G3448" s="24" t="e">
        <f ca="1">[1]!BexGetData("DP_1","003N8EMH8GTFRCSWKMPXRRXR2","GSON5241441041")</f>
        <v>#NAME?</v>
      </c>
      <c r="H3448" s="24" t="e">
        <f ca="1">[1]!BexGetData("DP_1","003N8EMH8GTFRCSWKMPXRS42M","GSON5241441041")</f>
        <v>#NAME?</v>
      </c>
      <c r="I3448" s="24" t="e">
        <f ca="1">[1]!BexGetData("DP_1","003N8EMH8GTFRCSWKMPXRSAE6","GSON5241441041")</f>
        <v>#NAME?</v>
      </c>
      <c r="J3448" s="24" t="e">
        <f ca="1">[1]!BexGetData("DP_1","003N8EMH8GTFRCSWKMPXRSGPQ","GSON5241441041")</f>
        <v>#NAME?</v>
      </c>
      <c r="K3448" s="23" t="e">
        <f ca="1">[1]!BexGetData("DP_1","003N8EMH8GTFRIVNUPY288VJH","GSON5241441041")</f>
        <v>#NAME?</v>
      </c>
      <c r="L3448" s="23" t="e">
        <f ca="1">[1]!BexGetData("DP_1","003N8EMH8GTFRIVNUPY2891V1","GSON5241441041")</f>
        <v>#NAME?</v>
      </c>
      <c r="M3448" s="28" t="e">
        <f ca="1">[1]!BexGetData("DP_1","003N8EMH8GTFRIVOG7KG9IQXA","GSON5241441041")</f>
        <v>#NAME?</v>
      </c>
      <c r="N3448" s="23" t="e">
        <f ca="1">[1]!BexGetData("DP_1","003N8EMH8GTFRIVOG7KG9IX8U","GSON5241441041")</f>
        <v>#NAME?</v>
      </c>
      <c r="O3448" s="28" t="e">
        <f ca="1">[1]!BexGetData("DP_1","003N8EMH8GTFRIVOG7KG9J3KE","GSON5241441041")</f>
        <v>#NAME?</v>
      </c>
      <c r="P3448" s="23" t="e">
        <f ca="1">[1]!BexGetData("DP_1","003N8EMH8GTFRIVOG7KG9J9VY","GSON5241441041")</f>
        <v>#NAME?</v>
      </c>
      <c r="Q3448" s="24" t="e">
        <f ca="1">[1]!BexGetData("DP_1","00O2TNJGODT0G5Z4TTKYMM5MT","GSON5241441041")</f>
        <v>#NAME?</v>
      </c>
      <c r="R3448" s="24" t="e">
        <f ca="1">[1]!BexGetData("DP_1","00O2TNJGODT0G5Z4TTKYMMBYD","GSON5241441041")</f>
        <v>#NAME?</v>
      </c>
      <c r="S3448" s="24" t="e">
        <f ca="1">[1]!BexGetData("DP_1","00O2TNJGODT0G5Z4TTKYMMI9X","GSON5241441041")</f>
        <v>#NAME?</v>
      </c>
      <c r="T3448" s="24" t="e">
        <f ca="1">[1]!BexGetData("DP_1","00O2TNJGODT0G5Z4TTKYMMOLH","GSON5241441041")</f>
        <v>#NAME?</v>
      </c>
      <c r="U3448" s="24" t="e">
        <f ca="1">[1]!BexGetData("DP_1","00O2TNJGODT0G5Z4TTKYMMUX1","GSON5241441041")</f>
        <v>#NAME?</v>
      </c>
      <c r="V3448" s="24" t="e">
        <f ca="1">[1]!BexGetData("DP_1","00O2TNJGODT0G5Z4TTKYMN18L","GSON5241441041")</f>
        <v>#NAME?</v>
      </c>
      <c r="W3448" s="24" t="e">
        <f ca="1">[1]!BexGetData("DP_1","00O2TNJGODT0G5Z4TTKYMN7K5","GSON5241441041")</f>
        <v>#NAME?</v>
      </c>
    </row>
    <row r="3449" spans="1:23" x14ac:dyDescent="0.2">
      <c r="A3449" s="36" t="s">
        <v>6996</v>
      </c>
      <c r="B3449" s="27" t="s">
        <v>6997</v>
      </c>
      <c r="C3449" s="23" t="e">
        <f ca="1">[1]!BexGetData("DP_1","003N8EMH8GTFRCSWKMPXRR8GU","GSON5241441081")</f>
        <v>#NAME?</v>
      </c>
      <c r="D3449" s="28" t="e">
        <f ca="1">[1]!BexGetData("DP_1","003N8EMH8GTFRCSWKMPXRRESE","GSON5241441081")</f>
        <v>#NAME?</v>
      </c>
      <c r="E3449" s="23" t="e">
        <f ca="1">[1]!BexGetData("DP_1","003N8EMH8GTFRCSWKMPXRRL3Y","GSON5241441081")</f>
        <v>#NAME?</v>
      </c>
      <c r="F3449" s="24" t="e">
        <f ca="1">[1]!BexGetData("DP_1","003N8EMH8GTFRCSWKMPXRRRFI","GSON5241441081")</f>
        <v>#NAME?</v>
      </c>
      <c r="G3449" s="24" t="e">
        <f ca="1">[1]!BexGetData("DP_1","003N8EMH8GTFRCSWKMPXRRXR2","GSON5241441081")</f>
        <v>#NAME?</v>
      </c>
      <c r="H3449" s="24" t="e">
        <f ca="1">[1]!BexGetData("DP_1","003N8EMH8GTFRCSWKMPXRS42M","GSON5241441081")</f>
        <v>#NAME?</v>
      </c>
      <c r="I3449" s="24" t="e">
        <f ca="1">[1]!BexGetData("DP_1","003N8EMH8GTFRCSWKMPXRSAE6","GSON5241441081")</f>
        <v>#NAME?</v>
      </c>
      <c r="J3449" s="24" t="e">
        <f ca="1">[1]!BexGetData("DP_1","003N8EMH8GTFRCSWKMPXRSGPQ","GSON5241441081")</f>
        <v>#NAME?</v>
      </c>
      <c r="K3449" s="23" t="e">
        <f ca="1">[1]!BexGetData("DP_1","003N8EMH8GTFRIVNUPY288VJH","GSON5241441081")</f>
        <v>#NAME?</v>
      </c>
      <c r="L3449" s="23" t="e">
        <f ca="1">[1]!BexGetData("DP_1","003N8EMH8GTFRIVNUPY2891V1","GSON5241441081")</f>
        <v>#NAME?</v>
      </c>
      <c r="M3449" s="28" t="e">
        <f ca="1">[1]!BexGetData("DP_1","003N8EMH8GTFRIVOG7KG9IQXA","GSON5241441081")</f>
        <v>#NAME?</v>
      </c>
      <c r="N3449" s="23" t="e">
        <f ca="1">[1]!BexGetData("DP_1","003N8EMH8GTFRIVOG7KG9IX8U","GSON5241441081")</f>
        <v>#NAME?</v>
      </c>
      <c r="O3449" s="28" t="e">
        <f ca="1">[1]!BexGetData("DP_1","003N8EMH8GTFRIVOG7KG9J3KE","GSON5241441081")</f>
        <v>#NAME?</v>
      </c>
      <c r="P3449" s="23" t="e">
        <f ca="1">[1]!BexGetData("DP_1","003N8EMH8GTFRIVOG7KG9J9VY","GSON5241441081")</f>
        <v>#NAME?</v>
      </c>
      <c r="Q3449" s="24" t="e">
        <f ca="1">[1]!BexGetData("DP_1","00O2TNJGODT0G5Z4TTKYMM5MT","GSON5241441081")</f>
        <v>#NAME?</v>
      </c>
      <c r="R3449" s="24" t="e">
        <f ca="1">[1]!BexGetData("DP_1","00O2TNJGODT0G5Z4TTKYMMBYD","GSON5241441081")</f>
        <v>#NAME?</v>
      </c>
      <c r="S3449" s="24" t="e">
        <f ca="1">[1]!BexGetData("DP_1","00O2TNJGODT0G5Z4TTKYMMI9X","GSON5241441081")</f>
        <v>#NAME?</v>
      </c>
      <c r="T3449" s="24" t="e">
        <f ca="1">[1]!BexGetData("DP_1","00O2TNJGODT0G5Z4TTKYMMOLH","GSON5241441081")</f>
        <v>#NAME?</v>
      </c>
      <c r="U3449" s="24" t="e">
        <f ca="1">[1]!BexGetData("DP_1","00O2TNJGODT0G5Z4TTKYMMUX1","GSON5241441081")</f>
        <v>#NAME?</v>
      </c>
      <c r="V3449" s="24" t="e">
        <f ca="1">[1]!BexGetData("DP_1","00O2TNJGODT0G5Z4TTKYMN18L","GSON5241441081")</f>
        <v>#NAME?</v>
      </c>
      <c r="W3449" s="24" t="e">
        <f ca="1">[1]!BexGetData("DP_1","00O2TNJGODT0G5Z4TTKYMN7K5","GSON5241441081")</f>
        <v>#NAME?</v>
      </c>
    </row>
    <row r="3450" spans="1:23" x14ac:dyDescent="0.2">
      <c r="A3450" s="36" t="s">
        <v>6998</v>
      </c>
      <c r="B3450" s="27" t="s">
        <v>6999</v>
      </c>
      <c r="C3450" s="23" t="e">
        <f ca="1">[1]!BexGetData("DP_1","003N8EMH8GTFRCSWKMPXRR8GU","GSON5241441091")</f>
        <v>#NAME?</v>
      </c>
      <c r="D3450" s="28" t="e">
        <f ca="1">[1]!BexGetData("DP_1","003N8EMH8GTFRCSWKMPXRRESE","GSON5241441091")</f>
        <v>#NAME?</v>
      </c>
      <c r="E3450" s="23" t="e">
        <f ca="1">[1]!BexGetData("DP_1","003N8EMH8GTFRCSWKMPXRRL3Y","GSON5241441091")</f>
        <v>#NAME?</v>
      </c>
      <c r="F3450" s="24" t="e">
        <f ca="1">[1]!BexGetData("DP_1","003N8EMH8GTFRCSWKMPXRRRFI","GSON5241441091")</f>
        <v>#NAME?</v>
      </c>
      <c r="G3450" s="24" t="e">
        <f ca="1">[1]!BexGetData("DP_1","003N8EMH8GTFRCSWKMPXRRXR2","GSON5241441091")</f>
        <v>#NAME?</v>
      </c>
      <c r="H3450" s="24" t="e">
        <f ca="1">[1]!BexGetData("DP_1","003N8EMH8GTFRCSWKMPXRS42M","GSON5241441091")</f>
        <v>#NAME?</v>
      </c>
      <c r="I3450" s="24" t="e">
        <f ca="1">[1]!BexGetData("DP_1","003N8EMH8GTFRCSWKMPXRSAE6","GSON5241441091")</f>
        <v>#NAME?</v>
      </c>
      <c r="J3450" s="24" t="e">
        <f ca="1">[1]!BexGetData("DP_1","003N8EMH8GTFRCSWKMPXRSGPQ","GSON5241441091")</f>
        <v>#NAME?</v>
      </c>
      <c r="K3450" s="23" t="e">
        <f ca="1">[1]!BexGetData("DP_1","003N8EMH8GTFRIVNUPY288VJH","GSON5241441091")</f>
        <v>#NAME?</v>
      </c>
      <c r="L3450" s="23" t="e">
        <f ca="1">[1]!BexGetData("DP_1","003N8EMH8GTFRIVNUPY2891V1","GSON5241441091")</f>
        <v>#NAME?</v>
      </c>
      <c r="M3450" s="28" t="e">
        <f ca="1">[1]!BexGetData("DP_1","003N8EMH8GTFRIVOG7KG9IQXA","GSON5241441091")</f>
        <v>#NAME?</v>
      </c>
      <c r="N3450" s="23" t="e">
        <f ca="1">[1]!BexGetData("DP_1","003N8EMH8GTFRIVOG7KG9IX8U","GSON5241441091")</f>
        <v>#NAME?</v>
      </c>
      <c r="O3450" s="28" t="e">
        <f ca="1">[1]!BexGetData("DP_1","003N8EMH8GTFRIVOG7KG9J3KE","GSON5241441091")</f>
        <v>#NAME?</v>
      </c>
      <c r="P3450" s="23" t="e">
        <f ca="1">[1]!BexGetData("DP_1","003N8EMH8GTFRIVOG7KG9J9VY","GSON5241441091")</f>
        <v>#NAME?</v>
      </c>
      <c r="Q3450" s="24" t="e">
        <f ca="1">[1]!BexGetData("DP_1","00O2TNJGODT0G5Z4TTKYMM5MT","GSON5241441091")</f>
        <v>#NAME?</v>
      </c>
      <c r="R3450" s="24" t="e">
        <f ca="1">[1]!BexGetData("DP_1","00O2TNJGODT0G5Z4TTKYMMBYD","GSON5241441091")</f>
        <v>#NAME?</v>
      </c>
      <c r="S3450" s="24" t="e">
        <f ca="1">[1]!BexGetData("DP_1","00O2TNJGODT0G5Z4TTKYMMI9X","GSON5241441091")</f>
        <v>#NAME?</v>
      </c>
      <c r="T3450" s="24" t="e">
        <f ca="1">[1]!BexGetData("DP_1","00O2TNJGODT0G5Z4TTKYMMOLH","GSON5241441091")</f>
        <v>#NAME?</v>
      </c>
      <c r="U3450" s="24" t="e">
        <f ca="1">[1]!BexGetData("DP_1","00O2TNJGODT0G5Z4TTKYMMUX1","GSON5241441091")</f>
        <v>#NAME?</v>
      </c>
      <c r="V3450" s="24" t="e">
        <f ca="1">[1]!BexGetData("DP_1","00O2TNJGODT0G5Z4TTKYMN18L","GSON5241441091")</f>
        <v>#NAME?</v>
      </c>
      <c r="W3450" s="24" t="e">
        <f ca="1">[1]!BexGetData("DP_1","00O2TNJGODT0G5Z4TTKYMN7K5","GSON5241441091")</f>
        <v>#NAME?</v>
      </c>
    </row>
    <row r="3451" spans="1:23" x14ac:dyDescent="0.2">
      <c r="A3451" s="36" t="s">
        <v>7000</v>
      </c>
      <c r="B3451" s="27" t="s">
        <v>7001</v>
      </c>
      <c r="C3451" s="23" t="e">
        <f ca="1">[1]!BexGetData("DP_1","003N8EMH8GTFRCSWKMPXRR8GU","GSON5241441101")</f>
        <v>#NAME?</v>
      </c>
      <c r="D3451" s="23" t="e">
        <f ca="1">[1]!BexGetData("DP_1","003N8EMH8GTFRCSWKMPXRRESE","GSON5241441101")</f>
        <v>#NAME?</v>
      </c>
      <c r="E3451" s="23" t="e">
        <f ca="1">[1]!BexGetData("DP_1","003N8EMH8GTFRCSWKMPXRRL3Y","GSON5241441101")</f>
        <v>#NAME?</v>
      </c>
      <c r="F3451" s="23" t="e">
        <f ca="1">[1]!BexGetData("DP_1","003N8EMH8GTFRCSWKMPXRRRFI","GSON5241441101")</f>
        <v>#NAME?</v>
      </c>
      <c r="G3451" s="23" t="e">
        <f ca="1">[1]!BexGetData("DP_1","003N8EMH8GTFRCSWKMPXRRXR2","GSON5241441101")</f>
        <v>#NAME?</v>
      </c>
      <c r="H3451" s="23" t="e">
        <f ca="1">[1]!BexGetData("DP_1","003N8EMH8GTFRCSWKMPXRS42M","GSON5241441101")</f>
        <v>#NAME?</v>
      </c>
      <c r="I3451" s="23" t="e">
        <f ca="1">[1]!BexGetData("DP_1","003N8EMH8GTFRCSWKMPXRSAE6","GSON5241441101")</f>
        <v>#NAME?</v>
      </c>
      <c r="J3451" s="24" t="e">
        <f ca="1">[1]!BexGetData("DP_1","003N8EMH8GTFRCSWKMPXRSGPQ","GSON5241441101")</f>
        <v>#NAME?</v>
      </c>
      <c r="K3451" s="23" t="e">
        <f ca="1">[1]!BexGetData("DP_1","003N8EMH8GTFRIVNUPY288VJH","GSON5241441101")</f>
        <v>#NAME?</v>
      </c>
      <c r="L3451" s="23" t="e">
        <f ca="1">[1]!BexGetData("DP_1","003N8EMH8GTFRIVNUPY2891V1","GSON5241441101")</f>
        <v>#NAME?</v>
      </c>
      <c r="M3451" s="23" t="e">
        <f ca="1">[1]!BexGetData("DP_1","003N8EMH8GTFRIVOG7KG9IQXA","GSON5241441101")</f>
        <v>#NAME?</v>
      </c>
      <c r="N3451" s="28" t="e">
        <f ca="1">[1]!BexGetData("DP_1","003N8EMH8GTFRIVOG7KG9IX8U","GSON5241441101")</f>
        <v>#NAME?</v>
      </c>
      <c r="O3451" s="23" t="e">
        <f ca="1">[1]!BexGetData("DP_1","003N8EMH8GTFRIVOG7KG9J3KE","GSON5241441101")</f>
        <v>#NAME?</v>
      </c>
      <c r="P3451" s="28" t="e">
        <f ca="1">[1]!BexGetData("DP_1","003N8EMH8GTFRIVOG7KG9J9VY","GSON5241441101")</f>
        <v>#NAME?</v>
      </c>
      <c r="Q3451" s="24" t="e">
        <f ca="1">[1]!BexGetData("DP_1","00O2TNJGODT0G5Z4TTKYMM5MT","GSON5241441101")</f>
        <v>#NAME?</v>
      </c>
      <c r="R3451" s="23" t="e">
        <f ca="1">[1]!BexGetData("DP_1","00O2TNJGODT0G5Z4TTKYMMBYD","GSON5241441101")</f>
        <v>#NAME?</v>
      </c>
      <c r="S3451" s="23" t="e">
        <f ca="1">[1]!BexGetData("DP_1","00O2TNJGODT0G5Z4TTKYMMI9X","GSON5241441101")</f>
        <v>#NAME?</v>
      </c>
      <c r="T3451" s="28" t="e">
        <f ca="1">[1]!BexGetData("DP_1","00O2TNJGODT0G5Z4TTKYMMOLH","GSON5241441101")</f>
        <v>#NAME?</v>
      </c>
      <c r="U3451" s="23" t="e">
        <f ca="1">[1]!BexGetData("DP_1","00O2TNJGODT0G5Z4TTKYMMUX1","GSON5241441101")</f>
        <v>#NAME?</v>
      </c>
      <c r="V3451" s="28" t="e">
        <f ca="1">[1]!BexGetData("DP_1","00O2TNJGODT0G5Z4TTKYMN18L","GSON5241441101")</f>
        <v>#NAME?</v>
      </c>
      <c r="W3451" s="23" t="e">
        <f ca="1">[1]!BexGetData("DP_1","00O2TNJGODT0G5Z4TTKYMN7K5","GSON5241441101")</f>
        <v>#NAME?</v>
      </c>
    </row>
    <row r="3452" spans="1:23" x14ac:dyDescent="0.2">
      <c r="A3452" s="36" t="s">
        <v>7002</v>
      </c>
      <c r="B3452" s="27" t="s">
        <v>7003</v>
      </c>
      <c r="C3452" s="23" t="e">
        <f ca="1">[1]!BexGetData("DP_1","003N8EMH8GTFRCSWKMPXRR8GU","GSON5241441111")</f>
        <v>#NAME?</v>
      </c>
      <c r="D3452" s="28" t="e">
        <f ca="1">[1]!BexGetData("DP_1","003N8EMH8GTFRCSWKMPXRRESE","GSON5241441111")</f>
        <v>#NAME?</v>
      </c>
      <c r="E3452" s="23" t="e">
        <f ca="1">[1]!BexGetData("DP_1","003N8EMH8GTFRCSWKMPXRRL3Y","GSON5241441111")</f>
        <v>#NAME?</v>
      </c>
      <c r="F3452" s="23" t="e">
        <f ca="1">[1]!BexGetData("DP_1","003N8EMH8GTFRCSWKMPXRRRFI","GSON5241441111")</f>
        <v>#NAME?</v>
      </c>
      <c r="G3452" s="23" t="e">
        <f ca="1">[1]!BexGetData("DP_1","003N8EMH8GTFRCSWKMPXRRXR2","GSON5241441111")</f>
        <v>#NAME?</v>
      </c>
      <c r="H3452" s="23" t="e">
        <f ca="1">[1]!BexGetData("DP_1","003N8EMH8GTFRCSWKMPXRS42M","GSON5241441111")</f>
        <v>#NAME?</v>
      </c>
      <c r="I3452" s="23" t="e">
        <f ca="1">[1]!BexGetData("DP_1","003N8EMH8GTFRCSWKMPXRSAE6","GSON5241441111")</f>
        <v>#NAME?</v>
      </c>
      <c r="J3452" s="24" t="e">
        <f ca="1">[1]!BexGetData("DP_1","003N8EMH8GTFRCSWKMPXRSGPQ","GSON5241441111")</f>
        <v>#NAME?</v>
      </c>
      <c r="K3452" s="23" t="e">
        <f ca="1">[1]!BexGetData("DP_1","003N8EMH8GTFRIVNUPY288VJH","GSON5241441111")</f>
        <v>#NAME?</v>
      </c>
      <c r="L3452" s="23" t="e">
        <f ca="1">[1]!BexGetData("DP_1","003N8EMH8GTFRIVNUPY2891V1","GSON5241441111")</f>
        <v>#NAME?</v>
      </c>
      <c r="M3452" s="28" t="e">
        <f ca="1">[1]!BexGetData("DP_1","003N8EMH8GTFRIVOG7KG9IQXA","GSON5241441111")</f>
        <v>#NAME?</v>
      </c>
      <c r="N3452" s="23" t="e">
        <f ca="1">[1]!BexGetData("DP_1","003N8EMH8GTFRIVOG7KG9IX8U","GSON5241441111")</f>
        <v>#NAME?</v>
      </c>
      <c r="O3452" s="28" t="e">
        <f ca="1">[1]!BexGetData("DP_1","003N8EMH8GTFRIVOG7KG9J3KE","GSON5241441111")</f>
        <v>#NAME?</v>
      </c>
      <c r="P3452" s="23" t="e">
        <f ca="1">[1]!BexGetData("DP_1","003N8EMH8GTFRIVOG7KG9J9VY","GSON5241441111")</f>
        <v>#NAME?</v>
      </c>
      <c r="Q3452" s="24" t="e">
        <f ca="1">[1]!BexGetData("DP_1","00O2TNJGODT0G5Z4TTKYMM5MT","GSON5241441111")</f>
        <v>#NAME?</v>
      </c>
      <c r="R3452" s="23" t="e">
        <f ca="1">[1]!BexGetData("DP_1","00O2TNJGODT0G5Z4TTKYMMBYD","GSON5241441111")</f>
        <v>#NAME?</v>
      </c>
      <c r="S3452" s="23" t="e">
        <f ca="1">[1]!BexGetData("DP_1","00O2TNJGODT0G5Z4TTKYMMI9X","GSON5241441111")</f>
        <v>#NAME?</v>
      </c>
      <c r="T3452" s="28" t="e">
        <f ca="1">[1]!BexGetData("DP_1","00O2TNJGODT0G5Z4TTKYMMOLH","GSON5241441111")</f>
        <v>#NAME?</v>
      </c>
      <c r="U3452" s="23" t="e">
        <f ca="1">[1]!BexGetData("DP_1","00O2TNJGODT0G5Z4TTKYMMUX1","GSON5241441111")</f>
        <v>#NAME?</v>
      </c>
      <c r="V3452" s="28" t="e">
        <f ca="1">[1]!BexGetData("DP_1","00O2TNJGODT0G5Z4TTKYMN18L","GSON5241441111")</f>
        <v>#NAME?</v>
      </c>
      <c r="W3452" s="23" t="e">
        <f ca="1">[1]!BexGetData("DP_1","00O2TNJGODT0G5Z4TTKYMN7K5","GSON5241441111")</f>
        <v>#NAME?</v>
      </c>
    </row>
    <row r="3453" spans="1:23" x14ac:dyDescent="0.2">
      <c r="A3453" s="36" t="s">
        <v>7004</v>
      </c>
      <c r="B3453" s="27" t="s">
        <v>7005</v>
      </c>
      <c r="C3453" s="24" t="e">
        <f ca="1">[1]!BexGetData("DP_1","003N8EMH8GTFRCSWKMPXRR8GU","GSON5241441121")</f>
        <v>#NAME?</v>
      </c>
      <c r="D3453" s="24" t="e">
        <f ca="1">[1]!BexGetData("DP_1","003N8EMH8GTFRCSWKMPXRRESE","GSON5241441121")</f>
        <v>#NAME?</v>
      </c>
      <c r="E3453" s="24" t="e">
        <f ca="1">[1]!BexGetData("DP_1","003N8EMH8GTFRCSWKMPXRRL3Y","GSON5241441121")</f>
        <v>#NAME?</v>
      </c>
      <c r="F3453" s="23" t="e">
        <f ca="1">[1]!BexGetData("DP_1","003N8EMH8GTFRCSWKMPXRRRFI","GSON5241441121")</f>
        <v>#NAME?</v>
      </c>
      <c r="G3453" s="23" t="e">
        <f ca="1">[1]!BexGetData("DP_1","003N8EMH8GTFRCSWKMPXRRXR2","GSON5241441121")</f>
        <v>#NAME?</v>
      </c>
      <c r="H3453" s="28" t="e">
        <f ca="1">[1]!BexGetData("DP_1","003N8EMH8GTFRCSWKMPXRS42M","GSON5241441121")</f>
        <v>#NAME?</v>
      </c>
      <c r="I3453" s="23" t="e">
        <f ca="1">[1]!BexGetData("DP_1","003N8EMH8GTFRCSWKMPXRSAE6","GSON5241441121")</f>
        <v>#NAME?</v>
      </c>
      <c r="J3453" s="24" t="e">
        <f ca="1">[1]!BexGetData("DP_1","003N8EMH8GTFRCSWKMPXRSGPQ","GSON5241441121")</f>
        <v>#NAME?</v>
      </c>
      <c r="K3453" s="23" t="e">
        <f ca="1">[1]!BexGetData("DP_1","003N8EMH8GTFRIVNUPY288VJH","GSON5241441121")</f>
        <v>#NAME?</v>
      </c>
      <c r="L3453" s="23" t="e">
        <f ca="1">[1]!BexGetData("DP_1","003N8EMH8GTFRIVNUPY2891V1","GSON5241441121")</f>
        <v>#NAME?</v>
      </c>
      <c r="M3453" s="23" t="e">
        <f ca="1">[1]!BexGetData("DP_1","003N8EMH8GTFRIVOG7KG9IQXA","GSON5241441121")</f>
        <v>#NAME?</v>
      </c>
      <c r="N3453" s="28" t="e">
        <f ca="1">[1]!BexGetData("DP_1","003N8EMH8GTFRIVOG7KG9IX8U","GSON5241441121")</f>
        <v>#NAME?</v>
      </c>
      <c r="O3453" s="23" t="e">
        <f ca="1">[1]!BexGetData("DP_1","003N8EMH8GTFRIVOG7KG9J3KE","GSON5241441121")</f>
        <v>#NAME?</v>
      </c>
      <c r="P3453" s="28" t="e">
        <f ca="1">[1]!BexGetData("DP_1","003N8EMH8GTFRIVOG7KG9J9VY","GSON5241441121")</f>
        <v>#NAME?</v>
      </c>
      <c r="Q3453" s="24" t="e">
        <f ca="1">[1]!BexGetData("DP_1","00O2TNJGODT0G5Z4TTKYMM5MT","GSON5241441121")</f>
        <v>#NAME?</v>
      </c>
      <c r="R3453" s="23" t="e">
        <f ca="1">[1]!BexGetData("DP_1","00O2TNJGODT0G5Z4TTKYMMBYD","GSON5241441121")</f>
        <v>#NAME?</v>
      </c>
      <c r="S3453" s="23" t="e">
        <f ca="1">[1]!BexGetData("DP_1","00O2TNJGODT0G5Z4TTKYMMI9X","GSON5241441121")</f>
        <v>#NAME?</v>
      </c>
      <c r="T3453" s="28" t="e">
        <f ca="1">[1]!BexGetData("DP_1","00O2TNJGODT0G5Z4TTKYMMOLH","GSON5241441121")</f>
        <v>#NAME?</v>
      </c>
      <c r="U3453" s="23" t="e">
        <f ca="1">[1]!BexGetData("DP_1","00O2TNJGODT0G5Z4TTKYMMUX1","GSON5241441121")</f>
        <v>#NAME?</v>
      </c>
      <c r="V3453" s="28" t="e">
        <f ca="1">[1]!BexGetData("DP_1","00O2TNJGODT0G5Z4TTKYMN18L","GSON5241441121")</f>
        <v>#NAME?</v>
      </c>
      <c r="W3453" s="23" t="e">
        <f ca="1">[1]!BexGetData("DP_1","00O2TNJGODT0G5Z4TTKYMN7K5","GSON5241441121")</f>
        <v>#NAME?</v>
      </c>
    </row>
    <row r="3454" spans="1:23" x14ac:dyDescent="0.2">
      <c r="A3454" s="36" t="s">
        <v>7006</v>
      </c>
      <c r="B3454" s="27" t="s">
        <v>7007</v>
      </c>
      <c r="C3454" s="23" t="e">
        <f ca="1">[1]!BexGetData("DP_1","003N8EMH8GTFRCSWKMPXRR8GU","GSON5241441151")</f>
        <v>#NAME?</v>
      </c>
      <c r="D3454" s="23" t="e">
        <f ca="1">[1]!BexGetData("DP_1","003N8EMH8GTFRCSWKMPXRRESE","GSON5241441151")</f>
        <v>#NAME?</v>
      </c>
      <c r="E3454" s="23" t="e">
        <f ca="1">[1]!BexGetData("DP_1","003N8EMH8GTFRCSWKMPXRRL3Y","GSON5241441151")</f>
        <v>#NAME?</v>
      </c>
      <c r="F3454" s="23" t="e">
        <f ca="1">[1]!BexGetData("DP_1","003N8EMH8GTFRCSWKMPXRRRFI","GSON5241441151")</f>
        <v>#NAME?</v>
      </c>
      <c r="G3454" s="23" t="e">
        <f ca="1">[1]!BexGetData("DP_1","003N8EMH8GTFRCSWKMPXRRXR2","GSON5241441151")</f>
        <v>#NAME?</v>
      </c>
      <c r="H3454" s="28" t="e">
        <f ca="1">[1]!BexGetData("DP_1","003N8EMH8GTFRCSWKMPXRS42M","GSON5241441151")</f>
        <v>#NAME?</v>
      </c>
      <c r="I3454" s="23" t="e">
        <f ca="1">[1]!BexGetData("DP_1","003N8EMH8GTFRCSWKMPXRSAE6","GSON5241441151")</f>
        <v>#NAME?</v>
      </c>
      <c r="J3454" s="24" t="e">
        <f ca="1">[1]!BexGetData("DP_1","003N8EMH8GTFRCSWKMPXRSGPQ","GSON5241441151")</f>
        <v>#NAME?</v>
      </c>
      <c r="K3454" s="23" t="e">
        <f ca="1">[1]!BexGetData("DP_1","003N8EMH8GTFRIVNUPY288VJH","GSON5241441151")</f>
        <v>#NAME?</v>
      </c>
      <c r="L3454" s="23" t="e">
        <f ca="1">[1]!BexGetData("DP_1","003N8EMH8GTFRIVNUPY2891V1","GSON5241441151")</f>
        <v>#NAME?</v>
      </c>
      <c r="M3454" s="28" t="e">
        <f ca="1">[1]!BexGetData("DP_1","003N8EMH8GTFRIVOG7KG9IQXA","GSON5241441151")</f>
        <v>#NAME?</v>
      </c>
      <c r="N3454" s="23" t="e">
        <f ca="1">[1]!BexGetData("DP_1","003N8EMH8GTFRIVOG7KG9IX8U","GSON5241441151")</f>
        <v>#NAME?</v>
      </c>
      <c r="O3454" s="28" t="e">
        <f ca="1">[1]!BexGetData("DP_1","003N8EMH8GTFRIVOG7KG9J3KE","GSON5241441151")</f>
        <v>#NAME?</v>
      </c>
      <c r="P3454" s="23" t="e">
        <f ca="1">[1]!BexGetData("DP_1","003N8EMH8GTFRIVOG7KG9J9VY","GSON5241441151")</f>
        <v>#NAME?</v>
      </c>
      <c r="Q3454" s="24" t="e">
        <f ca="1">[1]!BexGetData("DP_1","00O2TNJGODT0G5Z4TTKYMM5MT","GSON5241441151")</f>
        <v>#NAME?</v>
      </c>
      <c r="R3454" s="23" t="e">
        <f ca="1">[1]!BexGetData("DP_1","00O2TNJGODT0G5Z4TTKYMMBYD","GSON5241441151")</f>
        <v>#NAME?</v>
      </c>
      <c r="S3454" s="23" t="e">
        <f ca="1">[1]!BexGetData("DP_1","00O2TNJGODT0G5Z4TTKYMMI9X","GSON5241441151")</f>
        <v>#NAME?</v>
      </c>
      <c r="T3454" s="28" t="e">
        <f ca="1">[1]!BexGetData("DP_1","00O2TNJGODT0G5Z4TTKYMMOLH","GSON5241441151")</f>
        <v>#NAME?</v>
      </c>
      <c r="U3454" s="23" t="e">
        <f ca="1">[1]!BexGetData("DP_1","00O2TNJGODT0G5Z4TTKYMMUX1","GSON5241441151")</f>
        <v>#NAME?</v>
      </c>
      <c r="V3454" s="28" t="e">
        <f ca="1">[1]!BexGetData("DP_1","00O2TNJGODT0G5Z4TTKYMN18L","GSON5241441151")</f>
        <v>#NAME?</v>
      </c>
      <c r="W3454" s="23" t="e">
        <f ca="1">[1]!BexGetData("DP_1","00O2TNJGODT0G5Z4TTKYMN7K5","GSON5241441151")</f>
        <v>#NAME?</v>
      </c>
    </row>
    <row r="3455" spans="1:23" x14ac:dyDescent="0.2">
      <c r="A3455" s="36" t="s">
        <v>7008</v>
      </c>
      <c r="B3455" s="27" t="s">
        <v>7009</v>
      </c>
      <c r="C3455" s="23" t="e">
        <f ca="1">[1]!BexGetData("DP_1","003N8EMH8GTFRCSWKMPXRR8GU","GSON5241441161")</f>
        <v>#NAME?</v>
      </c>
      <c r="D3455" s="23" t="e">
        <f ca="1">[1]!BexGetData("DP_1","003N8EMH8GTFRCSWKMPXRRESE","GSON5241441161")</f>
        <v>#NAME?</v>
      </c>
      <c r="E3455" s="23" t="e">
        <f ca="1">[1]!BexGetData("DP_1","003N8EMH8GTFRCSWKMPXRRL3Y","GSON5241441161")</f>
        <v>#NAME?</v>
      </c>
      <c r="F3455" s="23" t="e">
        <f ca="1">[1]!BexGetData("DP_1","003N8EMH8GTFRCSWKMPXRRRFI","GSON5241441161")</f>
        <v>#NAME?</v>
      </c>
      <c r="G3455" s="23" t="e">
        <f ca="1">[1]!BexGetData("DP_1","003N8EMH8GTFRCSWKMPXRRXR2","GSON5241441161")</f>
        <v>#NAME?</v>
      </c>
      <c r="H3455" s="23" t="e">
        <f ca="1">[1]!BexGetData("DP_1","003N8EMH8GTFRCSWKMPXRS42M","GSON5241441161")</f>
        <v>#NAME?</v>
      </c>
      <c r="I3455" s="23" t="e">
        <f ca="1">[1]!BexGetData("DP_1","003N8EMH8GTFRCSWKMPXRSAE6","GSON5241441161")</f>
        <v>#NAME?</v>
      </c>
      <c r="J3455" s="24" t="e">
        <f ca="1">[1]!BexGetData("DP_1","003N8EMH8GTFRCSWKMPXRSGPQ","GSON5241441161")</f>
        <v>#NAME?</v>
      </c>
      <c r="K3455" s="23" t="e">
        <f ca="1">[1]!BexGetData("DP_1","003N8EMH8GTFRIVNUPY288VJH","GSON5241441161")</f>
        <v>#NAME?</v>
      </c>
      <c r="L3455" s="23" t="e">
        <f ca="1">[1]!BexGetData("DP_1","003N8EMH8GTFRIVNUPY2891V1","GSON5241441161")</f>
        <v>#NAME?</v>
      </c>
      <c r="M3455" s="28" t="e">
        <f ca="1">[1]!BexGetData("DP_1","003N8EMH8GTFRIVOG7KG9IQXA","GSON5241441161")</f>
        <v>#NAME?</v>
      </c>
      <c r="N3455" s="23" t="e">
        <f ca="1">[1]!BexGetData("DP_1","003N8EMH8GTFRIVOG7KG9IX8U","GSON5241441161")</f>
        <v>#NAME?</v>
      </c>
      <c r="O3455" s="28" t="e">
        <f ca="1">[1]!BexGetData("DP_1","003N8EMH8GTFRIVOG7KG9J3KE","GSON5241441161")</f>
        <v>#NAME?</v>
      </c>
      <c r="P3455" s="23" t="e">
        <f ca="1">[1]!BexGetData("DP_1","003N8EMH8GTFRIVOG7KG9J9VY","GSON5241441161")</f>
        <v>#NAME?</v>
      </c>
      <c r="Q3455" s="24" t="e">
        <f ca="1">[1]!BexGetData("DP_1","00O2TNJGODT0G5Z4TTKYMM5MT","GSON5241441161")</f>
        <v>#NAME?</v>
      </c>
      <c r="R3455" s="23" t="e">
        <f ca="1">[1]!BexGetData("DP_1","00O2TNJGODT0G5Z4TTKYMMBYD","GSON5241441161")</f>
        <v>#NAME?</v>
      </c>
      <c r="S3455" s="23" t="e">
        <f ca="1">[1]!BexGetData("DP_1","00O2TNJGODT0G5Z4TTKYMMI9X","GSON5241441161")</f>
        <v>#NAME?</v>
      </c>
      <c r="T3455" s="28" t="e">
        <f ca="1">[1]!BexGetData("DP_1","00O2TNJGODT0G5Z4TTKYMMOLH","GSON5241441161")</f>
        <v>#NAME?</v>
      </c>
      <c r="U3455" s="23" t="e">
        <f ca="1">[1]!BexGetData("DP_1","00O2TNJGODT0G5Z4TTKYMMUX1","GSON5241441161")</f>
        <v>#NAME?</v>
      </c>
      <c r="V3455" s="28" t="e">
        <f ca="1">[1]!BexGetData("DP_1","00O2TNJGODT0G5Z4TTKYMN18L","GSON5241441161")</f>
        <v>#NAME?</v>
      </c>
      <c r="W3455" s="23" t="e">
        <f ca="1">[1]!BexGetData("DP_1","00O2TNJGODT0G5Z4TTKYMN7K5","GSON5241441161")</f>
        <v>#NAME?</v>
      </c>
    </row>
    <row r="3456" spans="1:23" x14ac:dyDescent="0.2">
      <c r="A3456" s="36" t="s">
        <v>6998</v>
      </c>
      <c r="B3456" s="27" t="s">
        <v>7010</v>
      </c>
      <c r="C3456" s="23" t="e">
        <f ca="1">[1]!BexGetData("DP_1","003N8EMH8GTFRCSWKMPXRR8GU","GSON5241441171")</f>
        <v>#NAME?</v>
      </c>
      <c r="D3456" s="28" t="e">
        <f ca="1">[1]!BexGetData("DP_1","003N8EMH8GTFRCSWKMPXRRESE","GSON5241441171")</f>
        <v>#NAME?</v>
      </c>
      <c r="E3456" s="23" t="e">
        <f ca="1">[1]!BexGetData("DP_1","003N8EMH8GTFRCSWKMPXRRL3Y","GSON5241441171")</f>
        <v>#NAME?</v>
      </c>
      <c r="F3456" s="24" t="e">
        <f ca="1">[1]!BexGetData("DP_1","003N8EMH8GTFRCSWKMPXRRRFI","GSON5241441171")</f>
        <v>#NAME?</v>
      </c>
      <c r="G3456" s="24" t="e">
        <f ca="1">[1]!BexGetData("DP_1","003N8EMH8GTFRCSWKMPXRRXR2","GSON5241441171")</f>
        <v>#NAME?</v>
      </c>
      <c r="H3456" s="24" t="e">
        <f ca="1">[1]!BexGetData("DP_1","003N8EMH8GTFRCSWKMPXRS42M","GSON5241441171")</f>
        <v>#NAME?</v>
      </c>
      <c r="I3456" s="24" t="e">
        <f ca="1">[1]!BexGetData("DP_1","003N8EMH8GTFRCSWKMPXRSAE6","GSON5241441171")</f>
        <v>#NAME?</v>
      </c>
      <c r="J3456" s="24" t="e">
        <f ca="1">[1]!BexGetData("DP_1","003N8EMH8GTFRCSWKMPXRSGPQ","GSON5241441171")</f>
        <v>#NAME?</v>
      </c>
      <c r="K3456" s="23" t="e">
        <f ca="1">[1]!BexGetData("DP_1","003N8EMH8GTFRIVNUPY288VJH","GSON5241441171")</f>
        <v>#NAME?</v>
      </c>
      <c r="L3456" s="23" t="e">
        <f ca="1">[1]!BexGetData("DP_1","003N8EMH8GTFRIVNUPY2891V1","GSON5241441171")</f>
        <v>#NAME?</v>
      </c>
      <c r="M3456" s="28" t="e">
        <f ca="1">[1]!BexGetData("DP_1","003N8EMH8GTFRIVOG7KG9IQXA","GSON5241441171")</f>
        <v>#NAME?</v>
      </c>
      <c r="N3456" s="23" t="e">
        <f ca="1">[1]!BexGetData("DP_1","003N8EMH8GTFRIVOG7KG9IX8U","GSON5241441171")</f>
        <v>#NAME?</v>
      </c>
      <c r="O3456" s="28" t="e">
        <f ca="1">[1]!BexGetData("DP_1","003N8EMH8GTFRIVOG7KG9J3KE","GSON5241441171")</f>
        <v>#NAME?</v>
      </c>
      <c r="P3456" s="23" t="e">
        <f ca="1">[1]!BexGetData("DP_1","003N8EMH8GTFRIVOG7KG9J9VY","GSON5241441171")</f>
        <v>#NAME?</v>
      </c>
      <c r="Q3456" s="24" t="e">
        <f ca="1">[1]!BexGetData("DP_1","00O2TNJGODT0G5Z4TTKYMM5MT","GSON5241441171")</f>
        <v>#NAME?</v>
      </c>
      <c r="R3456" s="24" t="e">
        <f ca="1">[1]!BexGetData("DP_1","00O2TNJGODT0G5Z4TTKYMMBYD","GSON5241441171")</f>
        <v>#NAME?</v>
      </c>
      <c r="S3456" s="24" t="e">
        <f ca="1">[1]!BexGetData("DP_1","00O2TNJGODT0G5Z4TTKYMMI9X","GSON5241441171")</f>
        <v>#NAME?</v>
      </c>
      <c r="T3456" s="24" t="e">
        <f ca="1">[1]!BexGetData("DP_1","00O2TNJGODT0G5Z4TTKYMMOLH","GSON5241441171")</f>
        <v>#NAME?</v>
      </c>
      <c r="U3456" s="24" t="e">
        <f ca="1">[1]!BexGetData("DP_1","00O2TNJGODT0G5Z4TTKYMMUX1","GSON5241441171")</f>
        <v>#NAME?</v>
      </c>
      <c r="V3456" s="24" t="e">
        <f ca="1">[1]!BexGetData("DP_1","00O2TNJGODT0G5Z4TTKYMN18L","GSON5241441171")</f>
        <v>#NAME?</v>
      </c>
      <c r="W3456" s="24" t="e">
        <f ca="1">[1]!BexGetData("DP_1","00O2TNJGODT0G5Z4TTKYMN7K5","GSON5241441171")</f>
        <v>#NAME?</v>
      </c>
    </row>
    <row r="3457" spans="1:23" x14ac:dyDescent="0.2">
      <c r="A3457" s="36" t="s">
        <v>7011</v>
      </c>
      <c r="B3457" s="27" t="s">
        <v>7012</v>
      </c>
      <c r="C3457" s="23" t="e">
        <f ca="1">[1]!BexGetData("DP_1","003N8EMH8GTFRCSWKMPXRR8GU","GSON5241441181")</f>
        <v>#NAME?</v>
      </c>
      <c r="D3457" s="28" t="e">
        <f ca="1">[1]!BexGetData("DP_1","003N8EMH8GTFRCSWKMPXRRESE","GSON5241441181")</f>
        <v>#NAME?</v>
      </c>
      <c r="E3457" s="23" t="e">
        <f ca="1">[1]!BexGetData("DP_1","003N8EMH8GTFRCSWKMPXRRL3Y","GSON5241441181")</f>
        <v>#NAME?</v>
      </c>
      <c r="F3457" s="23" t="e">
        <f ca="1">[1]!BexGetData("DP_1","003N8EMH8GTFRCSWKMPXRRRFI","GSON5241441181")</f>
        <v>#NAME?</v>
      </c>
      <c r="G3457" s="23" t="e">
        <f ca="1">[1]!BexGetData("DP_1","003N8EMH8GTFRCSWKMPXRRXR2","GSON5241441181")</f>
        <v>#NAME?</v>
      </c>
      <c r="H3457" s="23" t="e">
        <f ca="1">[1]!BexGetData("DP_1","003N8EMH8GTFRCSWKMPXRS42M","GSON5241441181")</f>
        <v>#NAME?</v>
      </c>
      <c r="I3457" s="23" t="e">
        <f ca="1">[1]!BexGetData("DP_1","003N8EMH8GTFRCSWKMPXRSAE6","GSON5241441181")</f>
        <v>#NAME?</v>
      </c>
      <c r="J3457" s="24" t="e">
        <f ca="1">[1]!BexGetData("DP_1","003N8EMH8GTFRCSWKMPXRSGPQ","GSON5241441181")</f>
        <v>#NAME?</v>
      </c>
      <c r="K3457" s="23" t="e">
        <f ca="1">[1]!BexGetData("DP_1","003N8EMH8GTFRIVNUPY288VJH","GSON5241441181")</f>
        <v>#NAME?</v>
      </c>
      <c r="L3457" s="23" t="e">
        <f ca="1">[1]!BexGetData("DP_1","003N8EMH8GTFRIVNUPY2891V1","GSON5241441181")</f>
        <v>#NAME?</v>
      </c>
      <c r="M3457" s="23" t="e">
        <f ca="1">[1]!BexGetData("DP_1","003N8EMH8GTFRIVOG7KG9IQXA","GSON5241441181")</f>
        <v>#NAME?</v>
      </c>
      <c r="N3457" s="28" t="e">
        <f ca="1">[1]!BexGetData("DP_1","003N8EMH8GTFRIVOG7KG9IX8U","GSON5241441181")</f>
        <v>#NAME?</v>
      </c>
      <c r="O3457" s="23" t="e">
        <f ca="1">[1]!BexGetData("DP_1","003N8EMH8GTFRIVOG7KG9J3KE","GSON5241441181")</f>
        <v>#NAME?</v>
      </c>
      <c r="P3457" s="28" t="e">
        <f ca="1">[1]!BexGetData("DP_1","003N8EMH8GTFRIVOG7KG9J9VY","GSON5241441181")</f>
        <v>#NAME?</v>
      </c>
      <c r="Q3457" s="24" t="e">
        <f ca="1">[1]!BexGetData("DP_1","00O2TNJGODT0G5Z4TTKYMM5MT","GSON5241441181")</f>
        <v>#NAME?</v>
      </c>
      <c r="R3457" s="23" t="e">
        <f ca="1">[1]!BexGetData("DP_1","00O2TNJGODT0G5Z4TTKYMMBYD","GSON5241441181")</f>
        <v>#NAME?</v>
      </c>
      <c r="S3457" s="23" t="e">
        <f ca="1">[1]!BexGetData("DP_1","00O2TNJGODT0G5Z4TTKYMMI9X","GSON5241441181")</f>
        <v>#NAME?</v>
      </c>
      <c r="T3457" s="28" t="e">
        <f ca="1">[1]!BexGetData("DP_1","00O2TNJGODT0G5Z4TTKYMMOLH","GSON5241441181")</f>
        <v>#NAME?</v>
      </c>
      <c r="U3457" s="23" t="e">
        <f ca="1">[1]!BexGetData("DP_1","00O2TNJGODT0G5Z4TTKYMMUX1","GSON5241441181")</f>
        <v>#NAME?</v>
      </c>
      <c r="V3457" s="28" t="e">
        <f ca="1">[1]!BexGetData("DP_1","00O2TNJGODT0G5Z4TTKYMN18L","GSON5241441181")</f>
        <v>#NAME?</v>
      </c>
      <c r="W3457" s="23" t="e">
        <f ca="1">[1]!BexGetData("DP_1","00O2TNJGODT0G5Z4TTKYMN7K5","GSON5241441181")</f>
        <v>#NAME?</v>
      </c>
    </row>
    <row r="3458" spans="1:23" x14ac:dyDescent="0.2">
      <c r="A3458" s="35" t="s">
        <v>7013</v>
      </c>
      <c r="B3458" s="27" t="s">
        <v>7014</v>
      </c>
      <c r="C3458" s="23" t="e">
        <f ca="1">[1]!BexGetData("DP_1","003N8EMH8GTFRCSWKMPXRR8GU","GSON5242")</f>
        <v>#NAME?</v>
      </c>
      <c r="D3458" s="28" t="e">
        <f ca="1">[1]!BexGetData("DP_1","003N8EMH8GTFRCSWKMPXRRESE","GSON5242")</f>
        <v>#NAME?</v>
      </c>
      <c r="E3458" s="23" t="e">
        <f ca="1">[1]!BexGetData("DP_1","003N8EMH8GTFRCSWKMPXRRL3Y","GSON5242")</f>
        <v>#NAME?</v>
      </c>
      <c r="F3458" s="23" t="e">
        <f ca="1">[1]!BexGetData("DP_1","003N8EMH8GTFRCSWKMPXRRRFI","GSON5242")</f>
        <v>#NAME?</v>
      </c>
      <c r="G3458" s="23" t="e">
        <f ca="1">[1]!BexGetData("DP_1","003N8EMH8GTFRCSWKMPXRRXR2","GSON5242")</f>
        <v>#NAME?</v>
      </c>
      <c r="H3458" s="23" t="e">
        <f ca="1">[1]!BexGetData("DP_1","003N8EMH8GTFRCSWKMPXRS42M","GSON5242")</f>
        <v>#NAME?</v>
      </c>
      <c r="I3458" s="23" t="e">
        <f ca="1">[1]!BexGetData("DP_1","003N8EMH8GTFRCSWKMPXRSAE6","GSON5242")</f>
        <v>#NAME?</v>
      </c>
      <c r="J3458" s="24" t="e">
        <f ca="1">[1]!BexGetData("DP_1","003N8EMH8GTFRCSWKMPXRSGPQ","GSON5242")</f>
        <v>#NAME?</v>
      </c>
      <c r="K3458" s="23" t="e">
        <f ca="1">[1]!BexGetData("DP_1","003N8EMH8GTFRIVNUPY288VJH","GSON5242")</f>
        <v>#NAME?</v>
      </c>
      <c r="L3458" s="23" t="e">
        <f ca="1">[1]!BexGetData("DP_1","003N8EMH8GTFRIVNUPY2891V1","GSON5242")</f>
        <v>#NAME?</v>
      </c>
      <c r="M3458" s="23" t="e">
        <f ca="1">[1]!BexGetData("DP_1","003N8EMH8GTFRIVOG7KG9IQXA","GSON5242")</f>
        <v>#NAME?</v>
      </c>
      <c r="N3458" s="28" t="e">
        <f ca="1">[1]!BexGetData("DP_1","003N8EMH8GTFRIVOG7KG9IX8U","GSON5242")</f>
        <v>#NAME?</v>
      </c>
      <c r="O3458" s="23" t="e">
        <f ca="1">[1]!BexGetData("DP_1","003N8EMH8GTFRIVOG7KG9J3KE","GSON5242")</f>
        <v>#NAME?</v>
      </c>
      <c r="P3458" s="28" t="e">
        <f ca="1">[1]!BexGetData("DP_1","003N8EMH8GTFRIVOG7KG9J9VY","GSON5242")</f>
        <v>#NAME?</v>
      </c>
      <c r="Q3458" s="24" t="e">
        <f ca="1">[1]!BexGetData("DP_1","00O2TNJGODT0G5Z4TTKYMM5MT","GSON5242")</f>
        <v>#NAME?</v>
      </c>
      <c r="R3458" s="23" t="e">
        <f ca="1">[1]!BexGetData("DP_1","00O2TNJGODT0G5Z4TTKYMMBYD","GSON5242")</f>
        <v>#NAME?</v>
      </c>
      <c r="S3458" s="23" t="e">
        <f ca="1">[1]!BexGetData("DP_1","00O2TNJGODT0G5Z4TTKYMMI9X","GSON5242")</f>
        <v>#NAME?</v>
      </c>
      <c r="T3458" s="28" t="e">
        <f ca="1">[1]!BexGetData("DP_1","00O2TNJGODT0G5Z4TTKYMMOLH","GSON5242")</f>
        <v>#NAME?</v>
      </c>
      <c r="U3458" s="23" t="e">
        <f ca="1">[1]!BexGetData("DP_1","00O2TNJGODT0G5Z4TTKYMMUX1","GSON5242")</f>
        <v>#NAME?</v>
      </c>
      <c r="V3458" s="28" t="e">
        <f ca="1">[1]!BexGetData("DP_1","00O2TNJGODT0G5Z4TTKYMN18L","GSON5242")</f>
        <v>#NAME?</v>
      </c>
      <c r="W3458" s="23" t="e">
        <f ca="1">[1]!BexGetData("DP_1","00O2TNJGODT0G5Z4TTKYMN7K5","GSON5242")</f>
        <v>#NAME?</v>
      </c>
    </row>
    <row r="3459" spans="1:23" x14ac:dyDescent="0.2">
      <c r="A3459" s="36" t="s">
        <v>7015</v>
      </c>
      <c r="B3459" s="27" t="s">
        <v>7016</v>
      </c>
      <c r="C3459" s="23" t="e">
        <f ca="1">[1]!BexGetData("DP_1","003N8EMH8GTFRCSWKMPXRR8GU","GSON5242442011")</f>
        <v>#NAME?</v>
      </c>
      <c r="D3459" s="28" t="e">
        <f ca="1">[1]!BexGetData("DP_1","003N8EMH8GTFRCSWKMPXRRESE","GSON5242442011")</f>
        <v>#NAME?</v>
      </c>
      <c r="E3459" s="23" t="e">
        <f ca="1">[1]!BexGetData("DP_1","003N8EMH8GTFRCSWKMPXRRL3Y","GSON5242442011")</f>
        <v>#NAME?</v>
      </c>
      <c r="F3459" s="23" t="e">
        <f ca="1">[1]!BexGetData("DP_1","003N8EMH8GTFRCSWKMPXRRRFI","GSON5242442011")</f>
        <v>#NAME?</v>
      </c>
      <c r="G3459" s="23" t="e">
        <f ca="1">[1]!BexGetData("DP_1","003N8EMH8GTFRCSWKMPXRRXR2","GSON5242442011")</f>
        <v>#NAME?</v>
      </c>
      <c r="H3459" s="28" t="e">
        <f ca="1">[1]!BexGetData("DP_1","003N8EMH8GTFRCSWKMPXRS42M","GSON5242442011")</f>
        <v>#NAME?</v>
      </c>
      <c r="I3459" s="23" t="e">
        <f ca="1">[1]!BexGetData("DP_1","003N8EMH8GTFRCSWKMPXRSAE6","GSON5242442011")</f>
        <v>#NAME?</v>
      </c>
      <c r="J3459" s="24" t="e">
        <f ca="1">[1]!BexGetData("DP_1","003N8EMH8GTFRCSWKMPXRSGPQ","GSON5242442011")</f>
        <v>#NAME?</v>
      </c>
      <c r="K3459" s="23" t="e">
        <f ca="1">[1]!BexGetData("DP_1","003N8EMH8GTFRIVNUPY288VJH","GSON5242442011")</f>
        <v>#NAME?</v>
      </c>
      <c r="L3459" s="23" t="e">
        <f ca="1">[1]!BexGetData("DP_1","003N8EMH8GTFRIVNUPY2891V1","GSON5242442011")</f>
        <v>#NAME?</v>
      </c>
      <c r="M3459" s="23" t="e">
        <f ca="1">[1]!BexGetData("DP_1","003N8EMH8GTFRIVOG7KG9IQXA","GSON5242442011")</f>
        <v>#NAME?</v>
      </c>
      <c r="N3459" s="28" t="e">
        <f ca="1">[1]!BexGetData("DP_1","003N8EMH8GTFRIVOG7KG9IX8U","GSON5242442011")</f>
        <v>#NAME?</v>
      </c>
      <c r="O3459" s="23" t="e">
        <f ca="1">[1]!BexGetData("DP_1","003N8EMH8GTFRIVOG7KG9J3KE","GSON5242442011")</f>
        <v>#NAME?</v>
      </c>
      <c r="P3459" s="28" t="e">
        <f ca="1">[1]!BexGetData("DP_1","003N8EMH8GTFRIVOG7KG9J9VY","GSON5242442011")</f>
        <v>#NAME?</v>
      </c>
      <c r="Q3459" s="24" t="e">
        <f ca="1">[1]!BexGetData("DP_1","00O2TNJGODT0G5Z4TTKYMM5MT","GSON5242442011")</f>
        <v>#NAME?</v>
      </c>
      <c r="R3459" s="23" t="e">
        <f ca="1">[1]!BexGetData("DP_1","00O2TNJGODT0G5Z4TTKYMMBYD","GSON5242442011")</f>
        <v>#NAME?</v>
      </c>
      <c r="S3459" s="23" t="e">
        <f ca="1">[1]!BexGetData("DP_1","00O2TNJGODT0G5Z4TTKYMMI9X","GSON5242442011")</f>
        <v>#NAME?</v>
      </c>
      <c r="T3459" s="28" t="e">
        <f ca="1">[1]!BexGetData("DP_1","00O2TNJGODT0G5Z4TTKYMMOLH","GSON5242442011")</f>
        <v>#NAME?</v>
      </c>
      <c r="U3459" s="23" t="e">
        <f ca="1">[1]!BexGetData("DP_1","00O2TNJGODT0G5Z4TTKYMMUX1","GSON5242442011")</f>
        <v>#NAME?</v>
      </c>
      <c r="V3459" s="28" t="e">
        <f ca="1">[1]!BexGetData("DP_1","00O2TNJGODT0G5Z4TTKYMN18L","GSON5242442011")</f>
        <v>#NAME?</v>
      </c>
      <c r="W3459" s="23" t="e">
        <f ca="1">[1]!BexGetData("DP_1","00O2TNJGODT0G5Z4TTKYMN7K5","GSON5242442011")</f>
        <v>#NAME?</v>
      </c>
    </row>
    <row r="3460" spans="1:23" x14ac:dyDescent="0.2">
      <c r="A3460" s="36" t="s">
        <v>7017</v>
      </c>
      <c r="B3460" s="27" t="s">
        <v>7018</v>
      </c>
      <c r="C3460" s="24" t="e">
        <f ca="1">[1]!BexGetData("DP_1","003N8EMH8GTFRCSWKMPXRR8GU","GSON5242442041")</f>
        <v>#NAME?</v>
      </c>
      <c r="D3460" s="24" t="e">
        <f ca="1">[1]!BexGetData("DP_1","003N8EMH8GTFRCSWKMPXRRESE","GSON5242442041")</f>
        <v>#NAME?</v>
      </c>
      <c r="E3460" s="24" t="e">
        <f ca="1">[1]!BexGetData("DP_1","003N8EMH8GTFRCSWKMPXRRL3Y","GSON5242442041")</f>
        <v>#NAME?</v>
      </c>
      <c r="F3460" s="23" t="e">
        <f ca="1">[1]!BexGetData("DP_1","003N8EMH8GTFRCSWKMPXRRRFI","GSON5242442041")</f>
        <v>#NAME?</v>
      </c>
      <c r="G3460" s="23" t="e">
        <f ca="1">[1]!BexGetData("DP_1","003N8EMH8GTFRCSWKMPXRRXR2","GSON5242442041")</f>
        <v>#NAME?</v>
      </c>
      <c r="H3460" s="23" t="e">
        <f ca="1">[1]!BexGetData("DP_1","003N8EMH8GTFRCSWKMPXRS42M","GSON5242442041")</f>
        <v>#NAME?</v>
      </c>
      <c r="I3460" s="23" t="e">
        <f ca="1">[1]!BexGetData("DP_1","003N8EMH8GTFRCSWKMPXRSAE6","GSON5242442041")</f>
        <v>#NAME?</v>
      </c>
      <c r="J3460" s="24" t="e">
        <f ca="1">[1]!BexGetData("DP_1","003N8EMH8GTFRCSWKMPXRSGPQ","GSON5242442041")</f>
        <v>#NAME?</v>
      </c>
      <c r="K3460" s="23" t="e">
        <f ca="1">[1]!BexGetData("DP_1","003N8EMH8GTFRIVNUPY288VJH","GSON5242442041")</f>
        <v>#NAME?</v>
      </c>
      <c r="L3460" s="23" t="e">
        <f ca="1">[1]!BexGetData("DP_1","003N8EMH8GTFRIVNUPY2891V1","GSON5242442041")</f>
        <v>#NAME?</v>
      </c>
      <c r="M3460" s="23" t="e">
        <f ca="1">[1]!BexGetData("DP_1","003N8EMH8GTFRIVOG7KG9IQXA","GSON5242442041")</f>
        <v>#NAME?</v>
      </c>
      <c r="N3460" s="28" t="e">
        <f ca="1">[1]!BexGetData("DP_1","003N8EMH8GTFRIVOG7KG9IX8U","GSON5242442041")</f>
        <v>#NAME?</v>
      </c>
      <c r="O3460" s="23" t="e">
        <f ca="1">[1]!BexGetData("DP_1","003N8EMH8GTFRIVOG7KG9J3KE","GSON5242442041")</f>
        <v>#NAME?</v>
      </c>
      <c r="P3460" s="28" t="e">
        <f ca="1">[1]!BexGetData("DP_1","003N8EMH8GTFRIVOG7KG9J9VY","GSON5242442041")</f>
        <v>#NAME?</v>
      </c>
      <c r="Q3460" s="24" t="e">
        <f ca="1">[1]!BexGetData("DP_1","00O2TNJGODT0G5Z4TTKYMM5MT","GSON5242442041")</f>
        <v>#NAME?</v>
      </c>
      <c r="R3460" s="23" t="e">
        <f ca="1">[1]!BexGetData("DP_1","00O2TNJGODT0G5Z4TTKYMMBYD","GSON5242442041")</f>
        <v>#NAME?</v>
      </c>
      <c r="S3460" s="23" t="e">
        <f ca="1">[1]!BexGetData("DP_1","00O2TNJGODT0G5Z4TTKYMMI9X","GSON5242442041")</f>
        <v>#NAME?</v>
      </c>
      <c r="T3460" s="28" t="e">
        <f ca="1">[1]!BexGetData("DP_1","00O2TNJGODT0G5Z4TTKYMMOLH","GSON5242442041")</f>
        <v>#NAME?</v>
      </c>
      <c r="U3460" s="23" t="e">
        <f ca="1">[1]!BexGetData("DP_1","00O2TNJGODT0G5Z4TTKYMMUX1","GSON5242442041")</f>
        <v>#NAME?</v>
      </c>
      <c r="V3460" s="28" t="e">
        <f ca="1">[1]!BexGetData("DP_1","00O2TNJGODT0G5Z4TTKYMN18L","GSON5242442041")</f>
        <v>#NAME?</v>
      </c>
      <c r="W3460" s="23" t="e">
        <f ca="1">[1]!BexGetData("DP_1","00O2TNJGODT0G5Z4TTKYMN7K5","GSON5242442041")</f>
        <v>#NAME?</v>
      </c>
    </row>
    <row r="3461" spans="1:23" x14ac:dyDescent="0.2">
      <c r="A3461" s="36" t="s">
        <v>7019</v>
      </c>
      <c r="B3461" s="27" t="s">
        <v>7020</v>
      </c>
      <c r="C3461" s="24" t="e">
        <f ca="1">[1]!BexGetData("DP_1","003N8EMH8GTFRCSWKMPXRR8GU","GSON5242442061")</f>
        <v>#NAME?</v>
      </c>
      <c r="D3461" s="24" t="e">
        <f ca="1">[1]!BexGetData("DP_1","003N8EMH8GTFRCSWKMPXRRESE","GSON5242442061")</f>
        <v>#NAME?</v>
      </c>
      <c r="E3461" s="24" t="e">
        <f ca="1">[1]!BexGetData("DP_1","003N8EMH8GTFRCSWKMPXRRL3Y","GSON5242442061")</f>
        <v>#NAME?</v>
      </c>
      <c r="F3461" s="23" t="e">
        <f ca="1">[1]!BexGetData("DP_1","003N8EMH8GTFRCSWKMPXRRRFI","GSON5242442061")</f>
        <v>#NAME?</v>
      </c>
      <c r="G3461" s="23" t="e">
        <f ca="1">[1]!BexGetData("DP_1","003N8EMH8GTFRCSWKMPXRRXR2","GSON5242442061")</f>
        <v>#NAME?</v>
      </c>
      <c r="H3461" s="23" t="e">
        <f ca="1">[1]!BexGetData("DP_1","003N8EMH8GTFRCSWKMPXRS42M","GSON5242442061")</f>
        <v>#NAME?</v>
      </c>
      <c r="I3461" s="23" t="e">
        <f ca="1">[1]!BexGetData("DP_1","003N8EMH8GTFRCSWKMPXRSAE6","GSON5242442061")</f>
        <v>#NAME?</v>
      </c>
      <c r="J3461" s="24" t="e">
        <f ca="1">[1]!BexGetData("DP_1","003N8EMH8GTFRCSWKMPXRSGPQ","GSON5242442061")</f>
        <v>#NAME?</v>
      </c>
      <c r="K3461" s="23" t="e">
        <f ca="1">[1]!BexGetData("DP_1","003N8EMH8GTFRIVNUPY288VJH","GSON5242442061")</f>
        <v>#NAME?</v>
      </c>
      <c r="L3461" s="23" t="e">
        <f ca="1">[1]!BexGetData("DP_1","003N8EMH8GTFRIVNUPY2891V1","GSON5242442061")</f>
        <v>#NAME?</v>
      </c>
      <c r="M3461" s="23" t="e">
        <f ca="1">[1]!BexGetData("DP_1","003N8EMH8GTFRIVOG7KG9IQXA","GSON5242442061")</f>
        <v>#NAME?</v>
      </c>
      <c r="N3461" s="28" t="e">
        <f ca="1">[1]!BexGetData("DP_1","003N8EMH8GTFRIVOG7KG9IX8U","GSON5242442061")</f>
        <v>#NAME?</v>
      </c>
      <c r="O3461" s="23" t="e">
        <f ca="1">[1]!BexGetData("DP_1","003N8EMH8GTFRIVOG7KG9J3KE","GSON5242442061")</f>
        <v>#NAME?</v>
      </c>
      <c r="P3461" s="28" t="e">
        <f ca="1">[1]!BexGetData("DP_1","003N8EMH8GTFRIVOG7KG9J9VY","GSON5242442061")</f>
        <v>#NAME?</v>
      </c>
      <c r="Q3461" s="24" t="e">
        <f ca="1">[1]!BexGetData("DP_1","00O2TNJGODT0G5Z4TTKYMM5MT","GSON5242442061")</f>
        <v>#NAME?</v>
      </c>
      <c r="R3461" s="23" t="e">
        <f ca="1">[1]!BexGetData("DP_1","00O2TNJGODT0G5Z4TTKYMMBYD","GSON5242442061")</f>
        <v>#NAME?</v>
      </c>
      <c r="S3461" s="23" t="e">
        <f ca="1">[1]!BexGetData("DP_1","00O2TNJGODT0G5Z4TTKYMMI9X","GSON5242442061")</f>
        <v>#NAME?</v>
      </c>
      <c r="T3461" s="28" t="e">
        <f ca="1">[1]!BexGetData("DP_1","00O2TNJGODT0G5Z4TTKYMMOLH","GSON5242442061")</f>
        <v>#NAME?</v>
      </c>
      <c r="U3461" s="23" t="e">
        <f ca="1">[1]!BexGetData("DP_1","00O2TNJGODT0G5Z4TTKYMMUX1","GSON5242442061")</f>
        <v>#NAME?</v>
      </c>
      <c r="V3461" s="28" t="e">
        <f ca="1">[1]!BexGetData("DP_1","00O2TNJGODT0G5Z4TTKYMN18L","GSON5242442061")</f>
        <v>#NAME?</v>
      </c>
      <c r="W3461" s="23" t="e">
        <f ca="1">[1]!BexGetData("DP_1","00O2TNJGODT0G5Z4TTKYMN7K5","GSON5242442061")</f>
        <v>#NAME?</v>
      </c>
    </row>
    <row r="3462" spans="1:23" x14ac:dyDescent="0.2">
      <c r="A3462" s="35" t="s">
        <v>1745</v>
      </c>
      <c r="B3462" s="27" t="s">
        <v>1746</v>
      </c>
      <c r="C3462" s="23" t="e">
        <f ca="1">[1]!BexGetData("DP_1","003N8EMH8GTFRCSWKMPXRR8GU","GSON5243")</f>
        <v>#NAME?</v>
      </c>
      <c r="D3462" s="23" t="e">
        <f ca="1">[1]!BexGetData("DP_1","003N8EMH8GTFRCSWKMPXRRESE","GSON5243")</f>
        <v>#NAME?</v>
      </c>
      <c r="E3462" s="23" t="e">
        <f ca="1">[1]!BexGetData("DP_1","003N8EMH8GTFRCSWKMPXRRL3Y","GSON5243")</f>
        <v>#NAME?</v>
      </c>
      <c r="F3462" s="23" t="e">
        <f ca="1">[1]!BexGetData("DP_1","003N8EMH8GTFRCSWKMPXRRRFI","GSON5243")</f>
        <v>#NAME?</v>
      </c>
      <c r="G3462" s="23" t="e">
        <f ca="1">[1]!BexGetData("DP_1","003N8EMH8GTFRCSWKMPXRRXR2","GSON5243")</f>
        <v>#NAME?</v>
      </c>
      <c r="H3462" s="23" t="e">
        <f ca="1">[1]!BexGetData("DP_1","003N8EMH8GTFRCSWKMPXRS42M","GSON5243")</f>
        <v>#NAME?</v>
      </c>
      <c r="I3462" s="23" t="e">
        <f ca="1">[1]!BexGetData("DP_1","003N8EMH8GTFRCSWKMPXRSAE6","GSON5243")</f>
        <v>#NAME?</v>
      </c>
      <c r="J3462" s="24" t="e">
        <f ca="1">[1]!BexGetData("DP_1","003N8EMH8GTFRCSWKMPXRSGPQ","GSON5243")</f>
        <v>#NAME?</v>
      </c>
      <c r="K3462" s="23" t="e">
        <f ca="1">[1]!BexGetData("DP_1","003N8EMH8GTFRIVNUPY288VJH","GSON5243")</f>
        <v>#NAME?</v>
      </c>
      <c r="L3462" s="23" t="e">
        <f ca="1">[1]!BexGetData("DP_1","003N8EMH8GTFRIVNUPY2891V1","GSON5243")</f>
        <v>#NAME?</v>
      </c>
      <c r="M3462" s="23" t="e">
        <f ca="1">[1]!BexGetData("DP_1","003N8EMH8GTFRIVOG7KG9IQXA","GSON5243")</f>
        <v>#NAME?</v>
      </c>
      <c r="N3462" s="28" t="e">
        <f ca="1">[1]!BexGetData("DP_1","003N8EMH8GTFRIVOG7KG9IX8U","GSON5243")</f>
        <v>#NAME?</v>
      </c>
      <c r="O3462" s="23" t="e">
        <f ca="1">[1]!BexGetData("DP_1","003N8EMH8GTFRIVOG7KG9J3KE","GSON5243")</f>
        <v>#NAME?</v>
      </c>
      <c r="P3462" s="28" t="e">
        <f ca="1">[1]!BexGetData("DP_1","003N8EMH8GTFRIVOG7KG9J9VY","GSON5243")</f>
        <v>#NAME?</v>
      </c>
      <c r="Q3462" s="24" t="e">
        <f ca="1">[1]!BexGetData("DP_1","00O2TNJGODT0G5Z4TTKYMM5MT","GSON5243")</f>
        <v>#NAME?</v>
      </c>
      <c r="R3462" s="23" t="e">
        <f ca="1">[1]!BexGetData("DP_1","00O2TNJGODT0G5Z4TTKYMMBYD","GSON5243")</f>
        <v>#NAME?</v>
      </c>
      <c r="S3462" s="23" t="e">
        <f ca="1">[1]!BexGetData("DP_1","00O2TNJGODT0G5Z4TTKYMMI9X","GSON5243")</f>
        <v>#NAME?</v>
      </c>
      <c r="T3462" s="28" t="e">
        <f ca="1">[1]!BexGetData("DP_1","00O2TNJGODT0G5Z4TTKYMMOLH","GSON5243")</f>
        <v>#NAME?</v>
      </c>
      <c r="U3462" s="23" t="e">
        <f ca="1">[1]!BexGetData("DP_1","00O2TNJGODT0G5Z4TTKYMMUX1","GSON5243")</f>
        <v>#NAME?</v>
      </c>
      <c r="V3462" s="28" t="e">
        <f ca="1">[1]!BexGetData("DP_1","00O2TNJGODT0G5Z4TTKYMN18L","GSON5243")</f>
        <v>#NAME?</v>
      </c>
      <c r="W3462" s="23" t="e">
        <f ca="1">[1]!BexGetData("DP_1","00O2TNJGODT0G5Z4TTKYMN7K5","GSON5243")</f>
        <v>#NAME?</v>
      </c>
    </row>
    <row r="3463" spans="1:23" x14ac:dyDescent="0.2">
      <c r="A3463" s="36" t="s">
        <v>7021</v>
      </c>
      <c r="B3463" s="27" t="s">
        <v>7022</v>
      </c>
      <c r="C3463" s="23" t="e">
        <f ca="1">[1]!BexGetData("DP_1","003N8EMH8GTFRCSWKMPXRR8GU","GSON5243443011")</f>
        <v>#NAME?</v>
      </c>
      <c r="D3463" s="28" t="e">
        <f ca="1">[1]!BexGetData("DP_1","003N8EMH8GTFRCSWKMPXRRESE","GSON5243443011")</f>
        <v>#NAME?</v>
      </c>
      <c r="E3463" s="23" t="e">
        <f ca="1">[1]!BexGetData("DP_1","003N8EMH8GTFRCSWKMPXRRL3Y","GSON5243443011")</f>
        <v>#NAME?</v>
      </c>
      <c r="F3463" s="24" t="e">
        <f ca="1">[1]!BexGetData("DP_1","003N8EMH8GTFRCSWKMPXRRRFI","GSON5243443011")</f>
        <v>#NAME?</v>
      </c>
      <c r="G3463" s="24" t="e">
        <f ca="1">[1]!BexGetData("DP_1","003N8EMH8GTFRCSWKMPXRRXR2","GSON5243443011")</f>
        <v>#NAME?</v>
      </c>
      <c r="H3463" s="24" t="e">
        <f ca="1">[1]!BexGetData("DP_1","003N8EMH8GTFRCSWKMPXRS42M","GSON5243443011")</f>
        <v>#NAME?</v>
      </c>
      <c r="I3463" s="24" t="e">
        <f ca="1">[1]!BexGetData("DP_1","003N8EMH8GTFRCSWKMPXRSAE6","GSON5243443011")</f>
        <v>#NAME?</v>
      </c>
      <c r="J3463" s="24" t="e">
        <f ca="1">[1]!BexGetData("DP_1","003N8EMH8GTFRCSWKMPXRSGPQ","GSON5243443011")</f>
        <v>#NAME?</v>
      </c>
      <c r="K3463" s="23" t="e">
        <f ca="1">[1]!BexGetData("DP_1","003N8EMH8GTFRIVNUPY288VJH","GSON5243443011")</f>
        <v>#NAME?</v>
      </c>
      <c r="L3463" s="23" t="e">
        <f ca="1">[1]!BexGetData("DP_1","003N8EMH8GTFRIVNUPY2891V1","GSON5243443011")</f>
        <v>#NAME?</v>
      </c>
      <c r="M3463" s="28" t="e">
        <f ca="1">[1]!BexGetData("DP_1","003N8EMH8GTFRIVOG7KG9IQXA","GSON5243443011")</f>
        <v>#NAME?</v>
      </c>
      <c r="N3463" s="23" t="e">
        <f ca="1">[1]!BexGetData("DP_1","003N8EMH8GTFRIVOG7KG9IX8U","GSON5243443011")</f>
        <v>#NAME?</v>
      </c>
      <c r="O3463" s="28" t="e">
        <f ca="1">[1]!BexGetData("DP_1","003N8EMH8GTFRIVOG7KG9J3KE","GSON5243443011")</f>
        <v>#NAME?</v>
      </c>
      <c r="P3463" s="23" t="e">
        <f ca="1">[1]!BexGetData("DP_1","003N8EMH8GTFRIVOG7KG9J9VY","GSON5243443011")</f>
        <v>#NAME?</v>
      </c>
      <c r="Q3463" s="24" t="e">
        <f ca="1">[1]!BexGetData("DP_1","00O2TNJGODT0G5Z4TTKYMM5MT","GSON5243443011")</f>
        <v>#NAME?</v>
      </c>
      <c r="R3463" s="24" t="e">
        <f ca="1">[1]!BexGetData("DP_1","00O2TNJGODT0G5Z4TTKYMMBYD","GSON5243443011")</f>
        <v>#NAME?</v>
      </c>
      <c r="S3463" s="24" t="e">
        <f ca="1">[1]!BexGetData("DP_1","00O2TNJGODT0G5Z4TTKYMMI9X","GSON5243443011")</f>
        <v>#NAME?</v>
      </c>
      <c r="T3463" s="24" t="e">
        <f ca="1">[1]!BexGetData("DP_1","00O2TNJGODT0G5Z4TTKYMMOLH","GSON5243443011")</f>
        <v>#NAME?</v>
      </c>
      <c r="U3463" s="24" t="e">
        <f ca="1">[1]!BexGetData("DP_1","00O2TNJGODT0G5Z4TTKYMMUX1","GSON5243443011")</f>
        <v>#NAME?</v>
      </c>
      <c r="V3463" s="24" t="e">
        <f ca="1">[1]!BexGetData("DP_1","00O2TNJGODT0G5Z4TTKYMN18L","GSON5243443011")</f>
        <v>#NAME?</v>
      </c>
      <c r="W3463" s="24" t="e">
        <f ca="1">[1]!BexGetData("DP_1","00O2TNJGODT0G5Z4TTKYMN7K5","GSON5243443011")</f>
        <v>#NAME?</v>
      </c>
    </row>
    <row r="3464" spans="1:23" x14ac:dyDescent="0.2">
      <c r="A3464" s="36" t="s">
        <v>7021</v>
      </c>
      <c r="B3464" s="27" t="s">
        <v>7023</v>
      </c>
      <c r="C3464" s="23" t="e">
        <f ca="1">[1]!BexGetData("DP_1","003N8EMH8GTFRCSWKMPXRR8GU","GSON5243445011")</f>
        <v>#NAME?</v>
      </c>
      <c r="D3464" s="23" t="e">
        <f ca="1">[1]!BexGetData("DP_1","003N8EMH8GTFRCSWKMPXRRESE","GSON5243445011")</f>
        <v>#NAME?</v>
      </c>
      <c r="E3464" s="23" t="e">
        <f ca="1">[1]!BexGetData("DP_1","003N8EMH8GTFRCSWKMPXRRL3Y","GSON5243445011")</f>
        <v>#NAME?</v>
      </c>
      <c r="F3464" s="23" t="e">
        <f ca="1">[1]!BexGetData("DP_1","003N8EMH8GTFRCSWKMPXRRRFI","GSON5243445011")</f>
        <v>#NAME?</v>
      </c>
      <c r="G3464" s="23" t="e">
        <f ca="1">[1]!BexGetData("DP_1","003N8EMH8GTFRCSWKMPXRRXR2","GSON5243445011")</f>
        <v>#NAME?</v>
      </c>
      <c r="H3464" s="23" t="e">
        <f ca="1">[1]!BexGetData("DP_1","003N8EMH8GTFRCSWKMPXRS42M","GSON5243445011")</f>
        <v>#NAME?</v>
      </c>
      <c r="I3464" s="23" t="e">
        <f ca="1">[1]!BexGetData("DP_1","003N8EMH8GTFRCSWKMPXRSAE6","GSON5243445011")</f>
        <v>#NAME?</v>
      </c>
      <c r="J3464" s="24" t="e">
        <f ca="1">[1]!BexGetData("DP_1","003N8EMH8GTFRCSWKMPXRSGPQ","GSON5243445011")</f>
        <v>#NAME?</v>
      </c>
      <c r="K3464" s="23" t="e">
        <f ca="1">[1]!BexGetData("DP_1","003N8EMH8GTFRIVNUPY288VJH","GSON5243445011")</f>
        <v>#NAME?</v>
      </c>
      <c r="L3464" s="23" t="e">
        <f ca="1">[1]!BexGetData("DP_1","003N8EMH8GTFRIVNUPY2891V1","GSON5243445011")</f>
        <v>#NAME?</v>
      </c>
      <c r="M3464" s="28" t="e">
        <f ca="1">[1]!BexGetData("DP_1","003N8EMH8GTFRIVOG7KG9IQXA","GSON5243445011")</f>
        <v>#NAME?</v>
      </c>
      <c r="N3464" s="23" t="e">
        <f ca="1">[1]!BexGetData("DP_1","003N8EMH8GTFRIVOG7KG9IX8U","GSON5243445011")</f>
        <v>#NAME?</v>
      </c>
      <c r="O3464" s="28" t="e">
        <f ca="1">[1]!BexGetData("DP_1","003N8EMH8GTFRIVOG7KG9J3KE","GSON5243445011")</f>
        <v>#NAME?</v>
      </c>
      <c r="P3464" s="23" t="e">
        <f ca="1">[1]!BexGetData("DP_1","003N8EMH8GTFRIVOG7KG9J9VY","GSON5243445011")</f>
        <v>#NAME?</v>
      </c>
      <c r="Q3464" s="24" t="e">
        <f ca="1">[1]!BexGetData("DP_1","00O2TNJGODT0G5Z4TTKYMM5MT","GSON5243445011")</f>
        <v>#NAME?</v>
      </c>
      <c r="R3464" s="23" t="e">
        <f ca="1">[1]!BexGetData("DP_1","00O2TNJGODT0G5Z4TTKYMMBYD","GSON5243445011")</f>
        <v>#NAME?</v>
      </c>
      <c r="S3464" s="23" t="e">
        <f ca="1">[1]!BexGetData("DP_1","00O2TNJGODT0G5Z4TTKYMMI9X","GSON5243445011")</f>
        <v>#NAME?</v>
      </c>
      <c r="T3464" s="28" t="e">
        <f ca="1">[1]!BexGetData("DP_1","00O2TNJGODT0G5Z4TTKYMMOLH","GSON5243445011")</f>
        <v>#NAME?</v>
      </c>
      <c r="U3464" s="23" t="e">
        <f ca="1">[1]!BexGetData("DP_1","00O2TNJGODT0G5Z4TTKYMMUX1","GSON5243445011")</f>
        <v>#NAME?</v>
      </c>
      <c r="V3464" s="28" t="e">
        <f ca="1">[1]!BexGetData("DP_1","00O2TNJGODT0G5Z4TTKYMN18L","GSON5243445011")</f>
        <v>#NAME?</v>
      </c>
      <c r="W3464" s="23" t="e">
        <f ca="1">[1]!BexGetData("DP_1","00O2TNJGODT0G5Z4TTKYMN7K5","GSON5243445011")</f>
        <v>#NAME?</v>
      </c>
    </row>
    <row r="3465" spans="1:23" x14ac:dyDescent="0.2">
      <c r="A3465" s="36" t="s">
        <v>7024</v>
      </c>
      <c r="B3465" s="27" t="s">
        <v>1747</v>
      </c>
      <c r="C3465" s="23" t="e">
        <f ca="1">[1]!BexGetData("DP_1","003N8EMH8GTFRCSWKMPXRR8GU","GSON5243445021")</f>
        <v>#NAME?</v>
      </c>
      <c r="D3465" s="28" t="e">
        <f ca="1">[1]!BexGetData("DP_1","003N8EMH8GTFRCSWKMPXRRESE","GSON5243445021")</f>
        <v>#NAME?</v>
      </c>
      <c r="E3465" s="23" t="e">
        <f ca="1">[1]!BexGetData("DP_1","003N8EMH8GTFRCSWKMPXRRL3Y","GSON5243445021")</f>
        <v>#NAME?</v>
      </c>
      <c r="F3465" s="23" t="e">
        <f ca="1">[1]!BexGetData("DP_1","003N8EMH8GTFRCSWKMPXRRRFI","GSON5243445021")</f>
        <v>#NAME?</v>
      </c>
      <c r="G3465" s="23" t="e">
        <f ca="1">[1]!BexGetData("DP_1","003N8EMH8GTFRCSWKMPXRRXR2","GSON5243445021")</f>
        <v>#NAME?</v>
      </c>
      <c r="H3465" s="23" t="e">
        <f ca="1">[1]!BexGetData("DP_1","003N8EMH8GTFRCSWKMPXRS42M","GSON5243445021")</f>
        <v>#NAME?</v>
      </c>
      <c r="I3465" s="23" t="e">
        <f ca="1">[1]!BexGetData("DP_1","003N8EMH8GTFRCSWKMPXRSAE6","GSON5243445021")</f>
        <v>#NAME?</v>
      </c>
      <c r="J3465" s="24" t="e">
        <f ca="1">[1]!BexGetData("DP_1","003N8EMH8GTFRCSWKMPXRSGPQ","GSON5243445021")</f>
        <v>#NAME?</v>
      </c>
      <c r="K3465" s="23" t="e">
        <f ca="1">[1]!BexGetData("DP_1","003N8EMH8GTFRIVNUPY288VJH","GSON5243445021")</f>
        <v>#NAME?</v>
      </c>
      <c r="L3465" s="23" t="e">
        <f ca="1">[1]!BexGetData("DP_1","003N8EMH8GTFRIVNUPY2891V1","GSON5243445021")</f>
        <v>#NAME?</v>
      </c>
      <c r="M3465" s="28" t="e">
        <f ca="1">[1]!BexGetData("DP_1","003N8EMH8GTFRIVOG7KG9IQXA","GSON5243445021")</f>
        <v>#NAME?</v>
      </c>
      <c r="N3465" s="23" t="e">
        <f ca="1">[1]!BexGetData("DP_1","003N8EMH8GTFRIVOG7KG9IX8U","GSON5243445021")</f>
        <v>#NAME?</v>
      </c>
      <c r="O3465" s="28" t="e">
        <f ca="1">[1]!BexGetData("DP_1","003N8EMH8GTFRIVOG7KG9J3KE","GSON5243445021")</f>
        <v>#NAME?</v>
      </c>
      <c r="P3465" s="23" t="e">
        <f ca="1">[1]!BexGetData("DP_1","003N8EMH8GTFRIVOG7KG9J9VY","GSON5243445021")</f>
        <v>#NAME?</v>
      </c>
      <c r="Q3465" s="24" t="e">
        <f ca="1">[1]!BexGetData("DP_1","00O2TNJGODT0G5Z4TTKYMM5MT","GSON5243445021")</f>
        <v>#NAME?</v>
      </c>
      <c r="R3465" s="23" t="e">
        <f ca="1">[1]!BexGetData("DP_1","00O2TNJGODT0G5Z4TTKYMMBYD","GSON5243445021")</f>
        <v>#NAME?</v>
      </c>
      <c r="S3465" s="23" t="e">
        <f ca="1">[1]!BexGetData("DP_1","00O2TNJGODT0G5Z4TTKYMMI9X","GSON5243445021")</f>
        <v>#NAME?</v>
      </c>
      <c r="T3465" s="28" t="e">
        <f ca="1">[1]!BexGetData("DP_1","00O2TNJGODT0G5Z4TTKYMMOLH","GSON5243445021")</f>
        <v>#NAME?</v>
      </c>
      <c r="U3465" s="23" t="e">
        <f ca="1">[1]!BexGetData("DP_1","00O2TNJGODT0G5Z4TTKYMMUX1","GSON5243445021")</f>
        <v>#NAME?</v>
      </c>
      <c r="V3465" s="28" t="e">
        <f ca="1">[1]!BexGetData("DP_1","00O2TNJGODT0G5Z4TTKYMN18L","GSON5243445021")</f>
        <v>#NAME?</v>
      </c>
      <c r="W3465" s="23" t="e">
        <f ca="1">[1]!BexGetData("DP_1","00O2TNJGODT0G5Z4TTKYMN7K5","GSON5243445021")</f>
        <v>#NAME?</v>
      </c>
    </row>
    <row r="3466" spans="1:23" x14ac:dyDescent="0.2">
      <c r="A3466" s="36" t="s">
        <v>7025</v>
      </c>
      <c r="B3466" s="27" t="s">
        <v>7026</v>
      </c>
      <c r="C3466" s="24" t="e">
        <f ca="1">[1]!BexGetData("DP_1","003N8EMH8GTFRCSWKMPXRR8GU","GSON5243447011")</f>
        <v>#NAME?</v>
      </c>
      <c r="D3466" s="24" t="e">
        <f ca="1">[1]!BexGetData("DP_1","003N8EMH8GTFRCSWKMPXRRESE","GSON5243447011")</f>
        <v>#NAME?</v>
      </c>
      <c r="E3466" s="24" t="e">
        <f ca="1">[1]!BexGetData("DP_1","003N8EMH8GTFRCSWKMPXRRL3Y","GSON5243447011")</f>
        <v>#NAME?</v>
      </c>
      <c r="F3466" s="23" t="e">
        <f ca="1">[1]!BexGetData("DP_1","003N8EMH8GTFRCSWKMPXRRRFI","GSON5243447011")</f>
        <v>#NAME?</v>
      </c>
      <c r="G3466" s="23" t="e">
        <f ca="1">[1]!BexGetData("DP_1","003N8EMH8GTFRCSWKMPXRRXR2","GSON5243447011")</f>
        <v>#NAME?</v>
      </c>
      <c r="H3466" s="23" t="e">
        <f ca="1">[1]!BexGetData("DP_1","003N8EMH8GTFRCSWKMPXRS42M","GSON5243447011")</f>
        <v>#NAME?</v>
      </c>
      <c r="I3466" s="23" t="e">
        <f ca="1">[1]!BexGetData("DP_1","003N8EMH8GTFRCSWKMPXRSAE6","GSON5243447011")</f>
        <v>#NAME?</v>
      </c>
      <c r="J3466" s="24" t="e">
        <f ca="1">[1]!BexGetData("DP_1","003N8EMH8GTFRCSWKMPXRSGPQ","GSON5243447011")</f>
        <v>#NAME?</v>
      </c>
      <c r="K3466" s="23" t="e">
        <f ca="1">[1]!BexGetData("DP_1","003N8EMH8GTFRIVNUPY288VJH","GSON5243447011")</f>
        <v>#NAME?</v>
      </c>
      <c r="L3466" s="23" t="e">
        <f ca="1">[1]!BexGetData("DP_1","003N8EMH8GTFRIVNUPY2891V1","GSON5243447011")</f>
        <v>#NAME?</v>
      </c>
      <c r="M3466" s="23" t="e">
        <f ca="1">[1]!BexGetData("DP_1","003N8EMH8GTFRIVOG7KG9IQXA","GSON5243447011")</f>
        <v>#NAME?</v>
      </c>
      <c r="N3466" s="28" t="e">
        <f ca="1">[1]!BexGetData("DP_1","003N8EMH8GTFRIVOG7KG9IX8U","GSON5243447011")</f>
        <v>#NAME?</v>
      </c>
      <c r="O3466" s="23" t="e">
        <f ca="1">[1]!BexGetData("DP_1","003N8EMH8GTFRIVOG7KG9J3KE","GSON5243447011")</f>
        <v>#NAME?</v>
      </c>
      <c r="P3466" s="28" t="e">
        <f ca="1">[1]!BexGetData("DP_1","003N8EMH8GTFRIVOG7KG9J9VY","GSON5243447011")</f>
        <v>#NAME?</v>
      </c>
      <c r="Q3466" s="24" t="e">
        <f ca="1">[1]!BexGetData("DP_1","00O2TNJGODT0G5Z4TTKYMM5MT","GSON5243447011")</f>
        <v>#NAME?</v>
      </c>
      <c r="R3466" s="23" t="e">
        <f ca="1">[1]!BexGetData("DP_1","00O2TNJGODT0G5Z4TTKYMMBYD","GSON5243447011")</f>
        <v>#NAME?</v>
      </c>
      <c r="S3466" s="23" t="e">
        <f ca="1">[1]!BexGetData("DP_1","00O2TNJGODT0G5Z4TTKYMMI9X","GSON5243447011")</f>
        <v>#NAME?</v>
      </c>
      <c r="T3466" s="28" t="e">
        <f ca="1">[1]!BexGetData("DP_1","00O2TNJGODT0G5Z4TTKYMMOLH","GSON5243447011")</f>
        <v>#NAME?</v>
      </c>
      <c r="U3466" s="23" t="e">
        <f ca="1">[1]!BexGetData("DP_1","00O2TNJGODT0G5Z4TTKYMMUX1","GSON5243447011")</f>
        <v>#NAME?</v>
      </c>
      <c r="V3466" s="28" t="e">
        <f ca="1">[1]!BexGetData("DP_1","00O2TNJGODT0G5Z4TTKYMN18L","GSON5243447011")</f>
        <v>#NAME?</v>
      </c>
      <c r="W3466" s="23" t="e">
        <f ca="1">[1]!BexGetData("DP_1","00O2TNJGODT0G5Z4TTKYMN7K5","GSON5243447011")</f>
        <v>#NAME?</v>
      </c>
    </row>
    <row r="3467" spans="1:23" x14ac:dyDescent="0.2">
      <c r="A3467" s="35" t="s">
        <v>7027</v>
      </c>
      <c r="B3467" s="27" t="s">
        <v>7028</v>
      </c>
      <c r="C3467" s="23" t="e">
        <f ca="1">[1]!BexGetData("DP_1","003N8EMH8GTFRCSWKMPXRR8GU","GSON5244")</f>
        <v>#NAME?</v>
      </c>
      <c r="D3467" s="28" t="e">
        <f ca="1">[1]!BexGetData("DP_1","003N8EMH8GTFRCSWKMPXRRESE","GSON5244")</f>
        <v>#NAME?</v>
      </c>
      <c r="E3467" s="23" t="e">
        <f ca="1">[1]!BexGetData("DP_1","003N8EMH8GTFRCSWKMPXRRL3Y","GSON5244")</f>
        <v>#NAME?</v>
      </c>
      <c r="F3467" s="24" t="e">
        <f ca="1">[1]!BexGetData("DP_1","003N8EMH8GTFRCSWKMPXRRRFI","GSON5244")</f>
        <v>#NAME?</v>
      </c>
      <c r="G3467" s="24" t="e">
        <f ca="1">[1]!BexGetData("DP_1","003N8EMH8GTFRCSWKMPXRRXR2","GSON5244")</f>
        <v>#NAME?</v>
      </c>
      <c r="H3467" s="24" t="e">
        <f ca="1">[1]!BexGetData("DP_1","003N8EMH8GTFRCSWKMPXRS42M","GSON5244")</f>
        <v>#NAME?</v>
      </c>
      <c r="I3467" s="24" t="e">
        <f ca="1">[1]!BexGetData("DP_1","003N8EMH8GTFRCSWKMPXRSAE6","GSON5244")</f>
        <v>#NAME?</v>
      </c>
      <c r="J3467" s="24" t="e">
        <f ca="1">[1]!BexGetData("DP_1","003N8EMH8GTFRCSWKMPXRSGPQ","GSON5244")</f>
        <v>#NAME?</v>
      </c>
      <c r="K3467" s="23" t="e">
        <f ca="1">[1]!BexGetData("DP_1","003N8EMH8GTFRIVNUPY288VJH","GSON5244")</f>
        <v>#NAME?</v>
      </c>
      <c r="L3467" s="23" t="e">
        <f ca="1">[1]!BexGetData("DP_1","003N8EMH8GTFRIVNUPY2891V1","GSON5244")</f>
        <v>#NAME?</v>
      </c>
      <c r="M3467" s="28" t="e">
        <f ca="1">[1]!BexGetData("DP_1","003N8EMH8GTFRIVOG7KG9IQXA","GSON5244")</f>
        <v>#NAME?</v>
      </c>
      <c r="N3467" s="23" t="e">
        <f ca="1">[1]!BexGetData("DP_1","003N8EMH8GTFRIVOG7KG9IX8U","GSON5244")</f>
        <v>#NAME?</v>
      </c>
      <c r="O3467" s="28" t="e">
        <f ca="1">[1]!BexGetData("DP_1","003N8EMH8GTFRIVOG7KG9J3KE","GSON5244")</f>
        <v>#NAME?</v>
      </c>
      <c r="P3467" s="23" t="e">
        <f ca="1">[1]!BexGetData("DP_1","003N8EMH8GTFRIVOG7KG9J9VY","GSON5244")</f>
        <v>#NAME?</v>
      </c>
      <c r="Q3467" s="24" t="e">
        <f ca="1">[1]!BexGetData("DP_1","00O2TNJGODT0G5Z4TTKYMM5MT","GSON5244")</f>
        <v>#NAME?</v>
      </c>
      <c r="R3467" s="24" t="e">
        <f ca="1">[1]!BexGetData("DP_1","00O2TNJGODT0G5Z4TTKYMMBYD","GSON5244")</f>
        <v>#NAME?</v>
      </c>
      <c r="S3467" s="24" t="e">
        <f ca="1">[1]!BexGetData("DP_1","00O2TNJGODT0G5Z4TTKYMMI9X","GSON5244")</f>
        <v>#NAME?</v>
      </c>
      <c r="T3467" s="24" t="e">
        <f ca="1">[1]!BexGetData("DP_1","00O2TNJGODT0G5Z4TTKYMMOLH","GSON5244")</f>
        <v>#NAME?</v>
      </c>
      <c r="U3467" s="24" t="e">
        <f ca="1">[1]!BexGetData("DP_1","00O2TNJGODT0G5Z4TTKYMMUX1","GSON5244")</f>
        <v>#NAME?</v>
      </c>
      <c r="V3467" s="24" t="e">
        <f ca="1">[1]!BexGetData("DP_1","00O2TNJGODT0G5Z4TTKYMN18L","GSON5244")</f>
        <v>#NAME?</v>
      </c>
      <c r="W3467" s="24" t="e">
        <f ca="1">[1]!BexGetData("DP_1","00O2TNJGODT0G5Z4TTKYMN7K5","GSON5244")</f>
        <v>#NAME?</v>
      </c>
    </row>
    <row r="3468" spans="1:23" x14ac:dyDescent="0.2">
      <c r="A3468" s="36" t="s">
        <v>7029</v>
      </c>
      <c r="B3468" s="27" t="s">
        <v>7030</v>
      </c>
      <c r="C3468" s="23" t="e">
        <f ca="1">[1]!BexGetData("DP_1","003N8EMH8GTFRCSWKMPXRR8GU","GSON5244448011")</f>
        <v>#NAME?</v>
      </c>
      <c r="D3468" s="28" t="e">
        <f ca="1">[1]!BexGetData("DP_1","003N8EMH8GTFRCSWKMPXRRESE","GSON5244448011")</f>
        <v>#NAME?</v>
      </c>
      <c r="E3468" s="23" t="e">
        <f ca="1">[1]!BexGetData("DP_1","003N8EMH8GTFRCSWKMPXRRL3Y","GSON5244448011")</f>
        <v>#NAME?</v>
      </c>
      <c r="F3468" s="24" t="e">
        <f ca="1">[1]!BexGetData("DP_1","003N8EMH8GTFRCSWKMPXRRRFI","GSON5244448011")</f>
        <v>#NAME?</v>
      </c>
      <c r="G3468" s="24" t="e">
        <f ca="1">[1]!BexGetData("DP_1","003N8EMH8GTFRCSWKMPXRRXR2","GSON5244448011")</f>
        <v>#NAME?</v>
      </c>
      <c r="H3468" s="24" t="e">
        <f ca="1">[1]!BexGetData("DP_1","003N8EMH8GTFRCSWKMPXRS42M","GSON5244448011")</f>
        <v>#NAME?</v>
      </c>
      <c r="I3468" s="24" t="e">
        <f ca="1">[1]!BexGetData("DP_1","003N8EMH8GTFRCSWKMPXRSAE6","GSON5244448011")</f>
        <v>#NAME?</v>
      </c>
      <c r="J3468" s="24" t="e">
        <f ca="1">[1]!BexGetData("DP_1","003N8EMH8GTFRCSWKMPXRSGPQ","GSON5244448011")</f>
        <v>#NAME?</v>
      </c>
      <c r="K3468" s="23" t="e">
        <f ca="1">[1]!BexGetData("DP_1","003N8EMH8GTFRIVNUPY288VJH","GSON5244448011")</f>
        <v>#NAME?</v>
      </c>
      <c r="L3468" s="23" t="e">
        <f ca="1">[1]!BexGetData("DP_1","003N8EMH8GTFRIVNUPY2891V1","GSON5244448011")</f>
        <v>#NAME?</v>
      </c>
      <c r="M3468" s="28" t="e">
        <f ca="1">[1]!BexGetData("DP_1","003N8EMH8GTFRIVOG7KG9IQXA","GSON5244448011")</f>
        <v>#NAME?</v>
      </c>
      <c r="N3468" s="23" t="e">
        <f ca="1">[1]!BexGetData("DP_1","003N8EMH8GTFRIVOG7KG9IX8U","GSON5244448011")</f>
        <v>#NAME?</v>
      </c>
      <c r="O3468" s="28" t="e">
        <f ca="1">[1]!BexGetData("DP_1","003N8EMH8GTFRIVOG7KG9J3KE","GSON5244448011")</f>
        <v>#NAME?</v>
      </c>
      <c r="P3468" s="23" t="e">
        <f ca="1">[1]!BexGetData("DP_1","003N8EMH8GTFRIVOG7KG9J9VY","GSON5244448011")</f>
        <v>#NAME?</v>
      </c>
      <c r="Q3468" s="24" t="e">
        <f ca="1">[1]!BexGetData("DP_1","00O2TNJGODT0G5Z4TTKYMM5MT","GSON5244448011")</f>
        <v>#NAME?</v>
      </c>
      <c r="R3468" s="24" t="e">
        <f ca="1">[1]!BexGetData("DP_1","00O2TNJGODT0G5Z4TTKYMMBYD","GSON5244448011")</f>
        <v>#NAME?</v>
      </c>
      <c r="S3468" s="24" t="e">
        <f ca="1">[1]!BexGetData("DP_1","00O2TNJGODT0G5Z4TTKYMMI9X","GSON5244448011")</f>
        <v>#NAME?</v>
      </c>
      <c r="T3468" s="24" t="e">
        <f ca="1">[1]!BexGetData("DP_1","00O2TNJGODT0G5Z4TTKYMMOLH","GSON5244448011")</f>
        <v>#NAME?</v>
      </c>
      <c r="U3468" s="24" t="e">
        <f ca="1">[1]!BexGetData("DP_1","00O2TNJGODT0G5Z4TTKYMMUX1","GSON5244448011")</f>
        <v>#NAME?</v>
      </c>
      <c r="V3468" s="24" t="e">
        <f ca="1">[1]!BexGetData("DP_1","00O2TNJGODT0G5Z4TTKYMN18L","GSON5244448011")</f>
        <v>#NAME?</v>
      </c>
      <c r="W3468" s="24" t="e">
        <f ca="1">[1]!BexGetData("DP_1","00O2TNJGODT0G5Z4TTKYMN7K5","GSON5244448011")</f>
        <v>#NAME?</v>
      </c>
    </row>
    <row r="3469" spans="1:23" x14ac:dyDescent="0.2">
      <c r="A3469" s="34" t="s">
        <v>7031</v>
      </c>
      <c r="B3469" s="27" t="s">
        <v>7032</v>
      </c>
      <c r="C3469" s="23" t="e">
        <f ca="1">[1]!BexGetData("DP_1","003N8EMH8GTFRCSWKMPXRR8GU","GSON525")</f>
        <v>#NAME?</v>
      </c>
      <c r="D3469" s="28" t="e">
        <f ca="1">[1]!BexGetData("DP_1","003N8EMH8GTFRCSWKMPXRRESE","GSON525")</f>
        <v>#NAME?</v>
      </c>
      <c r="E3469" s="23" t="e">
        <f ca="1">[1]!BexGetData("DP_1","003N8EMH8GTFRCSWKMPXRRL3Y","GSON525")</f>
        <v>#NAME?</v>
      </c>
      <c r="F3469" s="23" t="e">
        <f ca="1">[1]!BexGetData("DP_1","003N8EMH8GTFRCSWKMPXRRRFI","GSON525")</f>
        <v>#NAME?</v>
      </c>
      <c r="G3469" s="23" t="e">
        <f ca="1">[1]!BexGetData("DP_1","003N8EMH8GTFRCSWKMPXRRXR2","GSON525")</f>
        <v>#NAME?</v>
      </c>
      <c r="H3469" s="28" t="e">
        <f ca="1">[1]!BexGetData("DP_1","003N8EMH8GTFRCSWKMPXRS42M","GSON525")</f>
        <v>#NAME?</v>
      </c>
      <c r="I3469" s="23" t="e">
        <f ca="1">[1]!BexGetData("DP_1","003N8EMH8GTFRCSWKMPXRSAE6","GSON525")</f>
        <v>#NAME?</v>
      </c>
      <c r="J3469" s="24" t="e">
        <f ca="1">[1]!BexGetData("DP_1","003N8EMH8GTFRCSWKMPXRSGPQ","GSON525")</f>
        <v>#NAME?</v>
      </c>
      <c r="K3469" s="23" t="e">
        <f ca="1">[1]!BexGetData("DP_1","003N8EMH8GTFRIVNUPY288VJH","GSON525")</f>
        <v>#NAME?</v>
      </c>
      <c r="L3469" s="23" t="e">
        <f ca="1">[1]!BexGetData("DP_1","003N8EMH8GTFRIVNUPY2891V1","GSON525")</f>
        <v>#NAME?</v>
      </c>
      <c r="M3469" s="23" t="e">
        <f ca="1">[1]!BexGetData("DP_1","003N8EMH8GTFRIVOG7KG9IQXA","GSON525")</f>
        <v>#NAME?</v>
      </c>
      <c r="N3469" s="28" t="e">
        <f ca="1">[1]!BexGetData("DP_1","003N8EMH8GTFRIVOG7KG9IX8U","GSON525")</f>
        <v>#NAME?</v>
      </c>
      <c r="O3469" s="23" t="e">
        <f ca="1">[1]!BexGetData("DP_1","003N8EMH8GTFRIVOG7KG9J3KE","GSON525")</f>
        <v>#NAME?</v>
      </c>
      <c r="P3469" s="28" t="e">
        <f ca="1">[1]!BexGetData("DP_1","003N8EMH8GTFRIVOG7KG9J9VY","GSON525")</f>
        <v>#NAME?</v>
      </c>
      <c r="Q3469" s="24" t="e">
        <f ca="1">[1]!BexGetData("DP_1","00O2TNJGODT0G5Z4TTKYMM5MT","GSON525")</f>
        <v>#NAME?</v>
      </c>
      <c r="R3469" s="23" t="e">
        <f ca="1">[1]!BexGetData("DP_1","00O2TNJGODT0G5Z4TTKYMMBYD","GSON525")</f>
        <v>#NAME?</v>
      </c>
      <c r="S3469" s="23" t="e">
        <f ca="1">[1]!BexGetData("DP_1","00O2TNJGODT0G5Z4TTKYMMI9X","GSON525")</f>
        <v>#NAME?</v>
      </c>
      <c r="T3469" s="28" t="e">
        <f ca="1">[1]!BexGetData("DP_1","00O2TNJGODT0G5Z4TTKYMMOLH","GSON525")</f>
        <v>#NAME?</v>
      </c>
      <c r="U3469" s="23" t="e">
        <f ca="1">[1]!BexGetData("DP_1","00O2TNJGODT0G5Z4TTKYMMUX1","GSON525")</f>
        <v>#NAME?</v>
      </c>
      <c r="V3469" s="28" t="e">
        <f ca="1">[1]!BexGetData("DP_1","00O2TNJGODT0G5Z4TTKYMN18L","GSON525")</f>
        <v>#NAME?</v>
      </c>
      <c r="W3469" s="23" t="e">
        <f ca="1">[1]!BexGetData("DP_1","00O2TNJGODT0G5Z4TTKYMN7K5","GSON525")</f>
        <v>#NAME?</v>
      </c>
    </row>
    <row r="3470" spans="1:23" x14ac:dyDescent="0.2">
      <c r="A3470" s="35" t="s">
        <v>7033</v>
      </c>
      <c r="B3470" s="27" t="s">
        <v>7034</v>
      </c>
      <c r="C3470" s="23" t="e">
        <f ca="1">[1]!BexGetData("DP_1","003N8EMH8GTFRCSWKMPXRR8GU","GSON5259")</f>
        <v>#NAME?</v>
      </c>
      <c r="D3470" s="28" t="e">
        <f ca="1">[1]!BexGetData("DP_1","003N8EMH8GTFRCSWKMPXRRESE","GSON5259")</f>
        <v>#NAME?</v>
      </c>
      <c r="E3470" s="23" t="e">
        <f ca="1">[1]!BexGetData("DP_1","003N8EMH8GTFRCSWKMPXRRL3Y","GSON5259")</f>
        <v>#NAME?</v>
      </c>
      <c r="F3470" s="23" t="e">
        <f ca="1">[1]!BexGetData("DP_1","003N8EMH8GTFRCSWKMPXRRRFI","GSON5259")</f>
        <v>#NAME?</v>
      </c>
      <c r="G3470" s="23" t="e">
        <f ca="1">[1]!BexGetData("DP_1","003N8EMH8GTFRCSWKMPXRRXR2","GSON5259")</f>
        <v>#NAME?</v>
      </c>
      <c r="H3470" s="28" t="e">
        <f ca="1">[1]!BexGetData("DP_1","003N8EMH8GTFRCSWKMPXRS42M","GSON5259")</f>
        <v>#NAME?</v>
      </c>
      <c r="I3470" s="23" t="e">
        <f ca="1">[1]!BexGetData("DP_1","003N8EMH8GTFRCSWKMPXRSAE6","GSON5259")</f>
        <v>#NAME?</v>
      </c>
      <c r="J3470" s="24" t="e">
        <f ca="1">[1]!BexGetData("DP_1","003N8EMH8GTFRCSWKMPXRSGPQ","GSON5259")</f>
        <v>#NAME?</v>
      </c>
      <c r="K3470" s="23" t="e">
        <f ca="1">[1]!BexGetData("DP_1","003N8EMH8GTFRIVNUPY288VJH","GSON5259")</f>
        <v>#NAME?</v>
      </c>
      <c r="L3470" s="23" t="e">
        <f ca="1">[1]!BexGetData("DP_1","003N8EMH8GTFRIVNUPY2891V1","GSON5259")</f>
        <v>#NAME?</v>
      </c>
      <c r="M3470" s="23" t="e">
        <f ca="1">[1]!BexGetData("DP_1","003N8EMH8GTFRIVOG7KG9IQXA","GSON5259")</f>
        <v>#NAME?</v>
      </c>
      <c r="N3470" s="28" t="e">
        <f ca="1">[1]!BexGetData("DP_1","003N8EMH8GTFRIVOG7KG9IX8U","GSON5259")</f>
        <v>#NAME?</v>
      </c>
      <c r="O3470" s="23" t="e">
        <f ca="1">[1]!BexGetData("DP_1","003N8EMH8GTFRIVOG7KG9J3KE","GSON5259")</f>
        <v>#NAME?</v>
      </c>
      <c r="P3470" s="28" t="e">
        <f ca="1">[1]!BexGetData("DP_1","003N8EMH8GTFRIVOG7KG9J9VY","GSON5259")</f>
        <v>#NAME?</v>
      </c>
      <c r="Q3470" s="24" t="e">
        <f ca="1">[1]!BexGetData("DP_1","00O2TNJGODT0G5Z4TTKYMM5MT","GSON5259")</f>
        <v>#NAME?</v>
      </c>
      <c r="R3470" s="23" t="e">
        <f ca="1">[1]!BexGetData("DP_1","00O2TNJGODT0G5Z4TTKYMMBYD","GSON5259")</f>
        <v>#NAME?</v>
      </c>
      <c r="S3470" s="23" t="e">
        <f ca="1">[1]!BexGetData("DP_1","00O2TNJGODT0G5Z4TTKYMMI9X","GSON5259")</f>
        <v>#NAME?</v>
      </c>
      <c r="T3470" s="28" t="e">
        <f ca="1">[1]!BexGetData("DP_1","00O2TNJGODT0G5Z4TTKYMMOLH","GSON5259")</f>
        <v>#NAME?</v>
      </c>
      <c r="U3470" s="23" t="e">
        <f ca="1">[1]!BexGetData("DP_1","00O2TNJGODT0G5Z4TTKYMMUX1","GSON5259")</f>
        <v>#NAME?</v>
      </c>
      <c r="V3470" s="28" t="e">
        <f ca="1">[1]!BexGetData("DP_1","00O2TNJGODT0G5Z4TTKYMN18L","GSON5259")</f>
        <v>#NAME?</v>
      </c>
      <c r="W3470" s="23" t="e">
        <f ca="1">[1]!BexGetData("DP_1","00O2TNJGODT0G5Z4TTKYMN7K5","GSON5259")</f>
        <v>#NAME?</v>
      </c>
    </row>
    <row r="3471" spans="1:23" x14ac:dyDescent="0.2">
      <c r="A3471" s="36" t="s">
        <v>7035</v>
      </c>
      <c r="B3471" s="27" t="s">
        <v>7036</v>
      </c>
      <c r="C3471" s="23" t="e">
        <f ca="1">[1]!BexGetData("DP_1","003N8EMH8GTFRCSWKMPXRR8GU","GSON5259459031")</f>
        <v>#NAME?</v>
      </c>
      <c r="D3471" s="28" t="e">
        <f ca="1">[1]!BexGetData("DP_1","003N8EMH8GTFRCSWKMPXRRESE","GSON5259459031")</f>
        <v>#NAME?</v>
      </c>
      <c r="E3471" s="23" t="e">
        <f ca="1">[1]!BexGetData("DP_1","003N8EMH8GTFRCSWKMPXRRL3Y","GSON5259459031")</f>
        <v>#NAME?</v>
      </c>
      <c r="F3471" s="23" t="e">
        <f ca="1">[1]!BexGetData("DP_1","003N8EMH8GTFRCSWKMPXRRRFI","GSON5259459031")</f>
        <v>#NAME?</v>
      </c>
      <c r="G3471" s="23" t="e">
        <f ca="1">[1]!BexGetData("DP_1","003N8EMH8GTFRCSWKMPXRRXR2","GSON5259459031")</f>
        <v>#NAME?</v>
      </c>
      <c r="H3471" s="28" t="e">
        <f ca="1">[1]!BexGetData("DP_1","003N8EMH8GTFRCSWKMPXRS42M","GSON5259459031")</f>
        <v>#NAME?</v>
      </c>
      <c r="I3471" s="23" t="e">
        <f ca="1">[1]!BexGetData("DP_1","003N8EMH8GTFRCSWKMPXRSAE6","GSON5259459031")</f>
        <v>#NAME?</v>
      </c>
      <c r="J3471" s="24" t="e">
        <f ca="1">[1]!BexGetData("DP_1","003N8EMH8GTFRCSWKMPXRSGPQ","GSON5259459031")</f>
        <v>#NAME?</v>
      </c>
      <c r="K3471" s="23" t="e">
        <f ca="1">[1]!BexGetData("DP_1","003N8EMH8GTFRIVNUPY288VJH","GSON5259459031")</f>
        <v>#NAME?</v>
      </c>
      <c r="L3471" s="23" t="e">
        <f ca="1">[1]!BexGetData("DP_1","003N8EMH8GTFRIVNUPY2891V1","GSON5259459031")</f>
        <v>#NAME?</v>
      </c>
      <c r="M3471" s="23" t="e">
        <f ca="1">[1]!BexGetData("DP_1","003N8EMH8GTFRIVOG7KG9IQXA","GSON5259459031")</f>
        <v>#NAME?</v>
      </c>
      <c r="N3471" s="28" t="e">
        <f ca="1">[1]!BexGetData("DP_1","003N8EMH8GTFRIVOG7KG9IX8U","GSON5259459031")</f>
        <v>#NAME?</v>
      </c>
      <c r="O3471" s="23" t="e">
        <f ca="1">[1]!BexGetData("DP_1","003N8EMH8GTFRIVOG7KG9J3KE","GSON5259459031")</f>
        <v>#NAME?</v>
      </c>
      <c r="P3471" s="28" t="e">
        <f ca="1">[1]!BexGetData("DP_1","003N8EMH8GTFRIVOG7KG9J9VY","GSON5259459031")</f>
        <v>#NAME?</v>
      </c>
      <c r="Q3471" s="24" t="e">
        <f ca="1">[1]!BexGetData("DP_1","00O2TNJGODT0G5Z4TTKYMM5MT","GSON5259459031")</f>
        <v>#NAME?</v>
      </c>
      <c r="R3471" s="23" t="e">
        <f ca="1">[1]!BexGetData("DP_1","00O2TNJGODT0G5Z4TTKYMMBYD","GSON5259459031")</f>
        <v>#NAME?</v>
      </c>
      <c r="S3471" s="23" t="e">
        <f ca="1">[1]!BexGetData("DP_1","00O2TNJGODT0G5Z4TTKYMMI9X","GSON5259459031")</f>
        <v>#NAME?</v>
      </c>
      <c r="T3471" s="28" t="e">
        <f ca="1">[1]!BexGetData("DP_1","00O2TNJGODT0G5Z4TTKYMMOLH","GSON5259459031")</f>
        <v>#NAME?</v>
      </c>
      <c r="U3471" s="23" t="e">
        <f ca="1">[1]!BexGetData("DP_1","00O2TNJGODT0G5Z4TTKYMMUX1","GSON5259459031")</f>
        <v>#NAME?</v>
      </c>
      <c r="V3471" s="28" t="e">
        <f ca="1">[1]!BexGetData("DP_1","00O2TNJGODT0G5Z4TTKYMN18L","GSON5259459031")</f>
        <v>#NAME?</v>
      </c>
      <c r="W3471" s="23" t="e">
        <f ca="1">[1]!BexGetData("DP_1","00O2TNJGODT0G5Z4TTKYMN7K5","GSON5259459031")</f>
        <v>#NAME?</v>
      </c>
    </row>
    <row r="3472" spans="1:23" x14ac:dyDescent="0.2">
      <c r="A3472" s="34" t="s">
        <v>7037</v>
      </c>
      <c r="B3472" s="27" t="s">
        <v>7038</v>
      </c>
      <c r="C3472" s="24" t="e">
        <f ca="1">[1]!BexGetData("DP_1","003N8EMH8GTFRCSWKMPXRR8GU","GSON526")</f>
        <v>#NAME?</v>
      </c>
      <c r="D3472" s="24" t="e">
        <f ca="1">[1]!BexGetData("DP_1","003N8EMH8GTFRCSWKMPXRRESE","GSON526")</f>
        <v>#NAME?</v>
      </c>
      <c r="E3472" s="24" t="e">
        <f ca="1">[1]!BexGetData("DP_1","003N8EMH8GTFRCSWKMPXRRL3Y","GSON526")</f>
        <v>#NAME?</v>
      </c>
      <c r="F3472" s="23" t="e">
        <f ca="1">[1]!BexGetData("DP_1","003N8EMH8GTFRCSWKMPXRRRFI","GSON526")</f>
        <v>#NAME?</v>
      </c>
      <c r="G3472" s="23" t="e">
        <f ca="1">[1]!BexGetData("DP_1","003N8EMH8GTFRCSWKMPXRRXR2","GSON526")</f>
        <v>#NAME?</v>
      </c>
      <c r="H3472" s="23" t="e">
        <f ca="1">[1]!BexGetData("DP_1","003N8EMH8GTFRCSWKMPXRS42M","GSON526")</f>
        <v>#NAME?</v>
      </c>
      <c r="I3472" s="23" t="e">
        <f ca="1">[1]!BexGetData("DP_1","003N8EMH8GTFRCSWKMPXRSAE6","GSON526")</f>
        <v>#NAME?</v>
      </c>
      <c r="J3472" s="24" t="e">
        <f ca="1">[1]!BexGetData("DP_1","003N8EMH8GTFRCSWKMPXRSGPQ","GSON526")</f>
        <v>#NAME?</v>
      </c>
      <c r="K3472" s="23" t="e">
        <f ca="1">[1]!BexGetData("DP_1","003N8EMH8GTFRIVNUPY288VJH","GSON526")</f>
        <v>#NAME?</v>
      </c>
      <c r="L3472" s="23" t="e">
        <f ca="1">[1]!BexGetData("DP_1","003N8EMH8GTFRIVNUPY2891V1","GSON526")</f>
        <v>#NAME?</v>
      </c>
      <c r="M3472" s="23" t="e">
        <f ca="1">[1]!BexGetData("DP_1","003N8EMH8GTFRIVOG7KG9IQXA","GSON526")</f>
        <v>#NAME?</v>
      </c>
      <c r="N3472" s="28" t="e">
        <f ca="1">[1]!BexGetData("DP_1","003N8EMH8GTFRIVOG7KG9IX8U","GSON526")</f>
        <v>#NAME?</v>
      </c>
      <c r="O3472" s="23" t="e">
        <f ca="1">[1]!BexGetData("DP_1","003N8EMH8GTFRIVOG7KG9J3KE","GSON526")</f>
        <v>#NAME?</v>
      </c>
      <c r="P3472" s="28" t="e">
        <f ca="1">[1]!BexGetData("DP_1","003N8EMH8GTFRIVOG7KG9J9VY","GSON526")</f>
        <v>#NAME?</v>
      </c>
      <c r="Q3472" s="24" t="e">
        <f ca="1">[1]!BexGetData("DP_1","00O2TNJGODT0G5Z4TTKYMM5MT","GSON526")</f>
        <v>#NAME?</v>
      </c>
      <c r="R3472" s="23" t="e">
        <f ca="1">[1]!BexGetData("DP_1","00O2TNJGODT0G5Z4TTKYMMBYD","GSON526")</f>
        <v>#NAME?</v>
      </c>
      <c r="S3472" s="23" t="e">
        <f ca="1">[1]!BexGetData("DP_1","00O2TNJGODT0G5Z4TTKYMMI9X","GSON526")</f>
        <v>#NAME?</v>
      </c>
      <c r="T3472" s="28" t="e">
        <f ca="1">[1]!BexGetData("DP_1","00O2TNJGODT0G5Z4TTKYMMOLH","GSON526")</f>
        <v>#NAME?</v>
      </c>
      <c r="U3472" s="23" t="e">
        <f ca="1">[1]!BexGetData("DP_1","00O2TNJGODT0G5Z4TTKYMMUX1","GSON526")</f>
        <v>#NAME?</v>
      </c>
      <c r="V3472" s="28" t="e">
        <f ca="1">[1]!BexGetData("DP_1","00O2TNJGODT0G5Z4TTKYMN18L","GSON526")</f>
        <v>#NAME?</v>
      </c>
      <c r="W3472" s="23" t="e">
        <f ca="1">[1]!BexGetData("DP_1","00O2TNJGODT0G5Z4TTKYMN7K5","GSON526")</f>
        <v>#NAME?</v>
      </c>
    </row>
    <row r="3473" spans="1:23" x14ac:dyDescent="0.2">
      <c r="A3473" s="35" t="s">
        <v>7039</v>
      </c>
      <c r="B3473" s="27" t="s">
        <v>7040</v>
      </c>
      <c r="C3473" s="24" t="e">
        <f ca="1">[1]!BexGetData("DP_1","003N8EMH8GTFRCSWKMPXRR8GU","GSON5261")</f>
        <v>#NAME?</v>
      </c>
      <c r="D3473" s="24" t="e">
        <f ca="1">[1]!BexGetData("DP_1","003N8EMH8GTFRCSWKMPXRRESE","GSON5261")</f>
        <v>#NAME?</v>
      </c>
      <c r="E3473" s="24" t="e">
        <f ca="1">[1]!BexGetData("DP_1","003N8EMH8GTFRCSWKMPXRRL3Y","GSON5261")</f>
        <v>#NAME?</v>
      </c>
      <c r="F3473" s="23" t="e">
        <f ca="1">[1]!BexGetData("DP_1","003N8EMH8GTFRCSWKMPXRRRFI","GSON5261")</f>
        <v>#NAME?</v>
      </c>
      <c r="G3473" s="23" t="e">
        <f ca="1">[1]!BexGetData("DP_1","003N8EMH8GTFRCSWKMPXRRXR2","GSON5261")</f>
        <v>#NAME?</v>
      </c>
      <c r="H3473" s="23" t="e">
        <f ca="1">[1]!BexGetData("DP_1","003N8EMH8GTFRCSWKMPXRS42M","GSON5261")</f>
        <v>#NAME?</v>
      </c>
      <c r="I3473" s="23" t="e">
        <f ca="1">[1]!BexGetData("DP_1","003N8EMH8GTFRCSWKMPXRSAE6","GSON5261")</f>
        <v>#NAME?</v>
      </c>
      <c r="J3473" s="24" t="e">
        <f ca="1">[1]!BexGetData("DP_1","003N8EMH8GTFRCSWKMPXRSGPQ","GSON5261")</f>
        <v>#NAME?</v>
      </c>
      <c r="K3473" s="23" t="e">
        <f ca="1">[1]!BexGetData("DP_1","003N8EMH8GTFRIVNUPY288VJH","GSON5261")</f>
        <v>#NAME?</v>
      </c>
      <c r="L3473" s="23" t="e">
        <f ca="1">[1]!BexGetData("DP_1","003N8EMH8GTFRIVNUPY2891V1","GSON5261")</f>
        <v>#NAME?</v>
      </c>
      <c r="M3473" s="23" t="e">
        <f ca="1">[1]!BexGetData("DP_1","003N8EMH8GTFRIVOG7KG9IQXA","GSON5261")</f>
        <v>#NAME?</v>
      </c>
      <c r="N3473" s="28" t="e">
        <f ca="1">[1]!BexGetData("DP_1","003N8EMH8GTFRIVOG7KG9IX8U","GSON5261")</f>
        <v>#NAME?</v>
      </c>
      <c r="O3473" s="23" t="e">
        <f ca="1">[1]!BexGetData("DP_1","003N8EMH8GTFRIVOG7KG9J3KE","GSON5261")</f>
        <v>#NAME?</v>
      </c>
      <c r="P3473" s="28" t="e">
        <f ca="1">[1]!BexGetData("DP_1","003N8EMH8GTFRIVOG7KG9J9VY","GSON5261")</f>
        <v>#NAME?</v>
      </c>
      <c r="Q3473" s="24" t="e">
        <f ca="1">[1]!BexGetData("DP_1","00O2TNJGODT0G5Z4TTKYMM5MT","GSON5261")</f>
        <v>#NAME?</v>
      </c>
      <c r="R3473" s="23" t="e">
        <f ca="1">[1]!BexGetData("DP_1","00O2TNJGODT0G5Z4TTKYMMBYD","GSON5261")</f>
        <v>#NAME?</v>
      </c>
      <c r="S3473" s="23" t="e">
        <f ca="1">[1]!BexGetData("DP_1","00O2TNJGODT0G5Z4TTKYMMI9X","GSON5261")</f>
        <v>#NAME?</v>
      </c>
      <c r="T3473" s="28" t="e">
        <f ca="1">[1]!BexGetData("DP_1","00O2TNJGODT0G5Z4TTKYMMOLH","GSON5261")</f>
        <v>#NAME?</v>
      </c>
      <c r="U3473" s="23" t="e">
        <f ca="1">[1]!BexGetData("DP_1","00O2TNJGODT0G5Z4TTKYMMUX1","GSON5261")</f>
        <v>#NAME?</v>
      </c>
      <c r="V3473" s="28" t="e">
        <f ca="1">[1]!BexGetData("DP_1","00O2TNJGODT0G5Z4TTKYMN18L","GSON5261")</f>
        <v>#NAME?</v>
      </c>
      <c r="W3473" s="23" t="e">
        <f ca="1">[1]!BexGetData("DP_1","00O2TNJGODT0G5Z4TTKYMN7K5","GSON5261")</f>
        <v>#NAME?</v>
      </c>
    </row>
    <row r="3474" spans="1:23" x14ac:dyDescent="0.2">
      <c r="A3474" s="36" t="s">
        <v>7041</v>
      </c>
      <c r="B3474" s="27" t="s">
        <v>7042</v>
      </c>
      <c r="C3474" s="24" t="e">
        <f ca="1">[1]!BexGetData("DP_1","003N8EMH8GTFRCSWKMPXRR8GU","GSON5261461011")</f>
        <v>#NAME?</v>
      </c>
      <c r="D3474" s="24" t="e">
        <f ca="1">[1]!BexGetData("DP_1","003N8EMH8GTFRCSWKMPXRRESE","GSON5261461011")</f>
        <v>#NAME?</v>
      </c>
      <c r="E3474" s="24" t="e">
        <f ca="1">[1]!BexGetData("DP_1","003N8EMH8GTFRCSWKMPXRRL3Y","GSON5261461011")</f>
        <v>#NAME?</v>
      </c>
      <c r="F3474" s="23" t="e">
        <f ca="1">[1]!BexGetData("DP_1","003N8EMH8GTFRCSWKMPXRRRFI","GSON5261461011")</f>
        <v>#NAME?</v>
      </c>
      <c r="G3474" s="23" t="e">
        <f ca="1">[1]!BexGetData("DP_1","003N8EMH8GTFRCSWKMPXRRXR2","GSON5261461011")</f>
        <v>#NAME?</v>
      </c>
      <c r="H3474" s="28" t="e">
        <f ca="1">[1]!BexGetData("DP_1","003N8EMH8GTFRCSWKMPXRS42M","GSON5261461011")</f>
        <v>#NAME?</v>
      </c>
      <c r="I3474" s="23" t="e">
        <f ca="1">[1]!BexGetData("DP_1","003N8EMH8GTFRCSWKMPXRSAE6","GSON5261461011")</f>
        <v>#NAME?</v>
      </c>
      <c r="J3474" s="24" t="e">
        <f ca="1">[1]!BexGetData("DP_1","003N8EMH8GTFRCSWKMPXRSGPQ","GSON5261461011")</f>
        <v>#NAME?</v>
      </c>
      <c r="K3474" s="23" t="e">
        <f ca="1">[1]!BexGetData("DP_1","003N8EMH8GTFRIVNUPY288VJH","GSON5261461011")</f>
        <v>#NAME?</v>
      </c>
      <c r="L3474" s="23" t="e">
        <f ca="1">[1]!BexGetData("DP_1","003N8EMH8GTFRIVNUPY2891V1","GSON5261461011")</f>
        <v>#NAME?</v>
      </c>
      <c r="M3474" s="23" t="e">
        <f ca="1">[1]!BexGetData("DP_1","003N8EMH8GTFRIVOG7KG9IQXA","GSON5261461011")</f>
        <v>#NAME?</v>
      </c>
      <c r="N3474" s="28" t="e">
        <f ca="1">[1]!BexGetData("DP_1","003N8EMH8GTFRIVOG7KG9IX8U","GSON5261461011")</f>
        <v>#NAME?</v>
      </c>
      <c r="O3474" s="23" t="e">
        <f ca="1">[1]!BexGetData("DP_1","003N8EMH8GTFRIVOG7KG9J3KE","GSON5261461011")</f>
        <v>#NAME?</v>
      </c>
      <c r="P3474" s="28" t="e">
        <f ca="1">[1]!BexGetData("DP_1","003N8EMH8GTFRIVOG7KG9J9VY","GSON5261461011")</f>
        <v>#NAME?</v>
      </c>
      <c r="Q3474" s="24" t="e">
        <f ca="1">[1]!BexGetData("DP_1","00O2TNJGODT0G5Z4TTKYMM5MT","GSON5261461011")</f>
        <v>#NAME?</v>
      </c>
      <c r="R3474" s="23" t="e">
        <f ca="1">[1]!BexGetData("DP_1","00O2TNJGODT0G5Z4TTKYMMBYD","GSON5261461011")</f>
        <v>#NAME?</v>
      </c>
      <c r="S3474" s="23" t="e">
        <f ca="1">[1]!BexGetData("DP_1","00O2TNJGODT0G5Z4TTKYMMI9X","GSON5261461011")</f>
        <v>#NAME?</v>
      </c>
      <c r="T3474" s="28" t="e">
        <f ca="1">[1]!BexGetData("DP_1","00O2TNJGODT0G5Z4TTKYMMOLH","GSON5261461011")</f>
        <v>#NAME?</v>
      </c>
      <c r="U3474" s="23" t="e">
        <f ca="1">[1]!BexGetData("DP_1","00O2TNJGODT0G5Z4TTKYMMUX1","GSON5261461011")</f>
        <v>#NAME?</v>
      </c>
      <c r="V3474" s="28" t="e">
        <f ca="1">[1]!BexGetData("DP_1","00O2TNJGODT0G5Z4TTKYMN18L","GSON5261461011")</f>
        <v>#NAME?</v>
      </c>
      <c r="W3474" s="23" t="e">
        <f ca="1">[1]!BexGetData("DP_1","00O2TNJGODT0G5Z4TTKYMN7K5","GSON5261461011")</f>
        <v>#NAME?</v>
      </c>
    </row>
    <row r="3475" spans="1:23" x14ac:dyDescent="0.2">
      <c r="A3475" s="36" t="s">
        <v>6970</v>
      </c>
      <c r="B3475" s="27" t="s">
        <v>7043</v>
      </c>
      <c r="C3475" s="24" t="e">
        <f ca="1">[1]!BexGetData("DP_1","003N8EMH8GTFRCSWKMPXRR8GU","GSON5261463011")</f>
        <v>#NAME?</v>
      </c>
      <c r="D3475" s="24" t="e">
        <f ca="1">[1]!BexGetData("DP_1","003N8EMH8GTFRCSWKMPXRRESE","GSON5261463011")</f>
        <v>#NAME?</v>
      </c>
      <c r="E3475" s="24" t="e">
        <f ca="1">[1]!BexGetData("DP_1","003N8EMH8GTFRCSWKMPXRRL3Y","GSON5261463011")</f>
        <v>#NAME?</v>
      </c>
      <c r="F3475" s="23" t="e">
        <f ca="1">[1]!BexGetData("DP_1","003N8EMH8GTFRCSWKMPXRRRFI","GSON5261463011")</f>
        <v>#NAME?</v>
      </c>
      <c r="G3475" s="23" t="e">
        <f ca="1">[1]!BexGetData("DP_1","003N8EMH8GTFRCSWKMPXRRXR2","GSON5261463011")</f>
        <v>#NAME?</v>
      </c>
      <c r="H3475" s="23" t="e">
        <f ca="1">[1]!BexGetData("DP_1","003N8EMH8GTFRCSWKMPXRS42M","GSON5261463011")</f>
        <v>#NAME?</v>
      </c>
      <c r="I3475" s="23" t="e">
        <f ca="1">[1]!BexGetData("DP_1","003N8EMH8GTFRCSWKMPXRSAE6","GSON5261463011")</f>
        <v>#NAME?</v>
      </c>
      <c r="J3475" s="24" t="e">
        <f ca="1">[1]!BexGetData("DP_1","003N8EMH8GTFRCSWKMPXRSGPQ","GSON5261463011")</f>
        <v>#NAME?</v>
      </c>
      <c r="K3475" s="23" t="e">
        <f ca="1">[1]!BexGetData("DP_1","003N8EMH8GTFRIVNUPY288VJH","GSON5261463011")</f>
        <v>#NAME?</v>
      </c>
      <c r="L3475" s="23" t="e">
        <f ca="1">[1]!BexGetData("DP_1","003N8EMH8GTFRIVNUPY2891V1","GSON5261463011")</f>
        <v>#NAME?</v>
      </c>
      <c r="M3475" s="23" t="e">
        <f ca="1">[1]!BexGetData("DP_1","003N8EMH8GTFRIVOG7KG9IQXA","GSON5261463011")</f>
        <v>#NAME?</v>
      </c>
      <c r="N3475" s="28" t="e">
        <f ca="1">[1]!BexGetData("DP_1","003N8EMH8GTFRIVOG7KG9IX8U","GSON5261463011")</f>
        <v>#NAME?</v>
      </c>
      <c r="O3475" s="23" t="e">
        <f ca="1">[1]!BexGetData("DP_1","003N8EMH8GTFRIVOG7KG9J3KE","GSON5261463011")</f>
        <v>#NAME?</v>
      </c>
      <c r="P3475" s="28" t="e">
        <f ca="1">[1]!BexGetData("DP_1","003N8EMH8GTFRIVOG7KG9J9VY","GSON5261463011")</f>
        <v>#NAME?</v>
      </c>
      <c r="Q3475" s="24" t="e">
        <f ca="1">[1]!BexGetData("DP_1","00O2TNJGODT0G5Z4TTKYMM5MT","GSON5261463011")</f>
        <v>#NAME?</v>
      </c>
      <c r="R3475" s="23" t="e">
        <f ca="1">[1]!BexGetData("DP_1","00O2TNJGODT0G5Z4TTKYMMBYD","GSON5261463011")</f>
        <v>#NAME?</v>
      </c>
      <c r="S3475" s="23" t="e">
        <f ca="1">[1]!BexGetData("DP_1","00O2TNJGODT0G5Z4TTKYMMI9X","GSON5261463011")</f>
        <v>#NAME?</v>
      </c>
      <c r="T3475" s="28" t="e">
        <f ca="1">[1]!BexGetData("DP_1","00O2TNJGODT0G5Z4TTKYMMOLH","GSON5261463011")</f>
        <v>#NAME?</v>
      </c>
      <c r="U3475" s="23" t="e">
        <f ca="1">[1]!BexGetData("DP_1","00O2TNJGODT0G5Z4TTKYMMUX1","GSON5261463011")</f>
        <v>#NAME?</v>
      </c>
      <c r="V3475" s="28" t="e">
        <f ca="1">[1]!BexGetData("DP_1","00O2TNJGODT0G5Z4TTKYMN18L","GSON5261463011")</f>
        <v>#NAME?</v>
      </c>
      <c r="W3475" s="23" t="e">
        <f ca="1">[1]!BexGetData("DP_1","00O2TNJGODT0G5Z4TTKYMN7K5","GSON5261463011")</f>
        <v>#NAME?</v>
      </c>
    </row>
    <row r="3476" spans="1:23" x14ac:dyDescent="0.2">
      <c r="A3476" s="33" t="s">
        <v>347</v>
      </c>
      <c r="B3476" s="27" t="s">
        <v>596</v>
      </c>
      <c r="C3476" s="23" t="e">
        <f ca="1">[1]!BexGetData("DP_1","003N8EMH8GTFRCSWKMPXRR8GU","GSON53")</f>
        <v>#NAME?</v>
      </c>
      <c r="D3476" s="23" t="e">
        <f ca="1">[1]!BexGetData("DP_1","003N8EMH8GTFRCSWKMPXRRESE","GSON53")</f>
        <v>#NAME?</v>
      </c>
      <c r="E3476" s="23" t="e">
        <f ca="1">[1]!BexGetData("DP_1","003N8EMH8GTFRCSWKMPXRRL3Y","GSON53")</f>
        <v>#NAME?</v>
      </c>
      <c r="F3476" s="23" t="e">
        <f ca="1">[1]!BexGetData("DP_1","003N8EMH8GTFRCSWKMPXRRRFI","GSON53")</f>
        <v>#NAME?</v>
      </c>
      <c r="G3476" s="23" t="e">
        <f ca="1">[1]!BexGetData("DP_1","003N8EMH8GTFRCSWKMPXRRXR2","GSON53")</f>
        <v>#NAME?</v>
      </c>
      <c r="H3476" s="23" t="e">
        <f ca="1">[1]!BexGetData("DP_1","003N8EMH8GTFRCSWKMPXRS42M","GSON53")</f>
        <v>#NAME?</v>
      </c>
      <c r="I3476" s="23" t="e">
        <f ca="1">[1]!BexGetData("DP_1","003N8EMH8GTFRCSWKMPXRSAE6","GSON53")</f>
        <v>#NAME?</v>
      </c>
      <c r="J3476" s="24" t="e">
        <f ca="1">[1]!BexGetData("DP_1","003N8EMH8GTFRCSWKMPXRSGPQ","GSON53")</f>
        <v>#NAME?</v>
      </c>
      <c r="K3476" s="23" t="e">
        <f ca="1">[1]!BexGetData("DP_1","003N8EMH8GTFRIVNUPY288VJH","GSON53")</f>
        <v>#NAME?</v>
      </c>
      <c r="L3476" s="23" t="e">
        <f ca="1">[1]!BexGetData("DP_1","003N8EMH8GTFRIVNUPY2891V1","GSON53")</f>
        <v>#NAME?</v>
      </c>
      <c r="M3476" s="23" t="e">
        <f ca="1">[1]!BexGetData("DP_1","003N8EMH8GTFRIVOG7KG9IQXA","GSON53")</f>
        <v>#NAME?</v>
      </c>
      <c r="N3476" s="28" t="e">
        <f ca="1">[1]!BexGetData("DP_1","003N8EMH8GTFRIVOG7KG9IX8U","GSON53")</f>
        <v>#NAME?</v>
      </c>
      <c r="O3476" s="23" t="e">
        <f ca="1">[1]!BexGetData("DP_1","003N8EMH8GTFRIVOG7KG9J3KE","GSON53")</f>
        <v>#NAME?</v>
      </c>
      <c r="P3476" s="28" t="e">
        <f ca="1">[1]!BexGetData("DP_1","003N8EMH8GTFRIVOG7KG9J9VY","GSON53")</f>
        <v>#NAME?</v>
      </c>
      <c r="Q3476" s="24" t="e">
        <f ca="1">[1]!BexGetData("DP_1","00O2TNJGODT0G5Z4TTKYMM5MT","GSON53")</f>
        <v>#NAME?</v>
      </c>
      <c r="R3476" s="23" t="e">
        <f ca="1">[1]!BexGetData("DP_1","00O2TNJGODT0G5Z4TTKYMMBYD","GSON53")</f>
        <v>#NAME?</v>
      </c>
      <c r="S3476" s="23" t="e">
        <f ca="1">[1]!BexGetData("DP_1","00O2TNJGODT0G5Z4TTKYMMI9X","GSON53")</f>
        <v>#NAME?</v>
      </c>
      <c r="T3476" s="28" t="e">
        <f ca="1">[1]!BexGetData("DP_1","00O2TNJGODT0G5Z4TTKYMMOLH","GSON53")</f>
        <v>#NAME?</v>
      </c>
      <c r="U3476" s="23" t="e">
        <f ca="1">[1]!BexGetData("DP_1","00O2TNJGODT0G5Z4TTKYMMUX1","GSON53")</f>
        <v>#NAME?</v>
      </c>
      <c r="V3476" s="28" t="e">
        <f ca="1">[1]!BexGetData("DP_1","00O2TNJGODT0G5Z4TTKYMN18L","GSON53")</f>
        <v>#NAME?</v>
      </c>
      <c r="W3476" s="23" t="e">
        <f ca="1">[1]!BexGetData("DP_1","00O2TNJGODT0G5Z4TTKYMN7K5","GSON53")</f>
        <v>#NAME?</v>
      </c>
    </row>
    <row r="3477" spans="1:23" x14ac:dyDescent="0.2">
      <c r="A3477" s="34" t="s">
        <v>581</v>
      </c>
      <c r="B3477" s="27" t="s">
        <v>597</v>
      </c>
      <c r="C3477" s="23" t="e">
        <f ca="1">[1]!BexGetData("DP_1","003N8EMH8GTFRCSWKMPXRR8GU","GSON531")</f>
        <v>#NAME?</v>
      </c>
      <c r="D3477" s="23" t="e">
        <f ca="1">[1]!BexGetData("DP_1","003N8EMH8GTFRCSWKMPXRRESE","GSON531")</f>
        <v>#NAME?</v>
      </c>
      <c r="E3477" s="23" t="e">
        <f ca="1">[1]!BexGetData("DP_1","003N8EMH8GTFRCSWKMPXRRL3Y","GSON531")</f>
        <v>#NAME?</v>
      </c>
      <c r="F3477" s="23" t="e">
        <f ca="1">[1]!BexGetData("DP_1","003N8EMH8GTFRCSWKMPXRRRFI","GSON531")</f>
        <v>#NAME?</v>
      </c>
      <c r="G3477" s="23" t="e">
        <f ca="1">[1]!BexGetData("DP_1","003N8EMH8GTFRCSWKMPXRRXR2","GSON531")</f>
        <v>#NAME?</v>
      </c>
      <c r="H3477" s="23" t="e">
        <f ca="1">[1]!BexGetData("DP_1","003N8EMH8GTFRCSWKMPXRS42M","GSON531")</f>
        <v>#NAME?</v>
      </c>
      <c r="I3477" s="23" t="e">
        <f ca="1">[1]!BexGetData("DP_1","003N8EMH8GTFRCSWKMPXRSAE6","GSON531")</f>
        <v>#NAME?</v>
      </c>
      <c r="J3477" s="24" t="e">
        <f ca="1">[1]!BexGetData("DP_1","003N8EMH8GTFRCSWKMPXRSGPQ","GSON531")</f>
        <v>#NAME?</v>
      </c>
      <c r="K3477" s="23" t="e">
        <f ca="1">[1]!BexGetData("DP_1","003N8EMH8GTFRIVNUPY288VJH","GSON531")</f>
        <v>#NAME?</v>
      </c>
      <c r="L3477" s="23" t="e">
        <f ca="1">[1]!BexGetData("DP_1","003N8EMH8GTFRIVNUPY2891V1","GSON531")</f>
        <v>#NAME?</v>
      </c>
      <c r="M3477" s="28" t="e">
        <f ca="1">[1]!BexGetData("DP_1","003N8EMH8GTFRIVOG7KG9IQXA","GSON531")</f>
        <v>#NAME?</v>
      </c>
      <c r="N3477" s="23" t="e">
        <f ca="1">[1]!BexGetData("DP_1","003N8EMH8GTFRIVOG7KG9IX8U","GSON531")</f>
        <v>#NAME?</v>
      </c>
      <c r="O3477" s="28" t="e">
        <f ca="1">[1]!BexGetData("DP_1","003N8EMH8GTFRIVOG7KG9J3KE","GSON531")</f>
        <v>#NAME?</v>
      </c>
      <c r="P3477" s="23" t="e">
        <f ca="1">[1]!BexGetData("DP_1","003N8EMH8GTFRIVOG7KG9J9VY","GSON531")</f>
        <v>#NAME?</v>
      </c>
      <c r="Q3477" s="24" t="e">
        <f ca="1">[1]!BexGetData("DP_1","00O2TNJGODT0G5Z4TTKYMM5MT","GSON531")</f>
        <v>#NAME?</v>
      </c>
      <c r="R3477" s="23" t="e">
        <f ca="1">[1]!BexGetData("DP_1","00O2TNJGODT0G5Z4TTKYMMBYD","GSON531")</f>
        <v>#NAME?</v>
      </c>
      <c r="S3477" s="23" t="e">
        <f ca="1">[1]!BexGetData("DP_1","00O2TNJGODT0G5Z4TTKYMMI9X","GSON531")</f>
        <v>#NAME?</v>
      </c>
      <c r="T3477" s="28" t="e">
        <f ca="1">[1]!BexGetData("DP_1","00O2TNJGODT0G5Z4TTKYMMOLH","GSON531")</f>
        <v>#NAME?</v>
      </c>
      <c r="U3477" s="23" t="e">
        <f ca="1">[1]!BexGetData("DP_1","00O2TNJGODT0G5Z4TTKYMMUX1","GSON531")</f>
        <v>#NAME?</v>
      </c>
      <c r="V3477" s="28" t="e">
        <f ca="1">[1]!BexGetData("DP_1","00O2TNJGODT0G5Z4TTKYMN18L","GSON531")</f>
        <v>#NAME?</v>
      </c>
      <c r="W3477" s="23" t="e">
        <f ca="1">[1]!BexGetData("DP_1","00O2TNJGODT0G5Z4TTKYMN7K5","GSON531")</f>
        <v>#NAME?</v>
      </c>
    </row>
    <row r="3478" spans="1:23" x14ac:dyDescent="0.2">
      <c r="A3478" s="35" t="s">
        <v>1581</v>
      </c>
      <c r="B3478" s="27" t="s">
        <v>1582</v>
      </c>
      <c r="C3478" s="23" t="e">
        <f ca="1">[1]!BexGetData("DP_1","003N8EMH8GTFRCSWKMPXRR8GU","GSON5311")</f>
        <v>#NAME?</v>
      </c>
      <c r="D3478" s="23" t="e">
        <f ca="1">[1]!BexGetData("DP_1","003N8EMH8GTFRCSWKMPXRRESE","GSON5311")</f>
        <v>#NAME?</v>
      </c>
      <c r="E3478" s="23" t="e">
        <f ca="1">[1]!BexGetData("DP_1","003N8EMH8GTFRCSWKMPXRRL3Y","GSON5311")</f>
        <v>#NAME?</v>
      </c>
      <c r="F3478" s="23" t="e">
        <f ca="1">[1]!BexGetData("DP_1","003N8EMH8GTFRCSWKMPXRRRFI","GSON5311")</f>
        <v>#NAME?</v>
      </c>
      <c r="G3478" s="23" t="e">
        <f ca="1">[1]!BexGetData("DP_1","003N8EMH8GTFRCSWKMPXRRXR2","GSON5311")</f>
        <v>#NAME?</v>
      </c>
      <c r="H3478" s="23" t="e">
        <f ca="1">[1]!BexGetData("DP_1","003N8EMH8GTFRCSWKMPXRS42M","GSON5311")</f>
        <v>#NAME?</v>
      </c>
      <c r="I3478" s="23" t="e">
        <f ca="1">[1]!BexGetData("DP_1","003N8EMH8GTFRCSWKMPXRSAE6","GSON5311")</f>
        <v>#NAME?</v>
      </c>
      <c r="J3478" s="24" t="e">
        <f ca="1">[1]!BexGetData("DP_1","003N8EMH8GTFRCSWKMPXRSGPQ","GSON5311")</f>
        <v>#NAME?</v>
      </c>
      <c r="K3478" s="23" t="e">
        <f ca="1">[1]!BexGetData("DP_1","003N8EMH8GTFRIVNUPY288VJH","GSON5311")</f>
        <v>#NAME?</v>
      </c>
      <c r="L3478" s="23" t="e">
        <f ca="1">[1]!BexGetData("DP_1","003N8EMH8GTFRIVNUPY2891V1","GSON5311")</f>
        <v>#NAME?</v>
      </c>
      <c r="M3478" s="28" t="e">
        <f ca="1">[1]!BexGetData("DP_1","003N8EMH8GTFRIVOG7KG9IQXA","GSON5311")</f>
        <v>#NAME?</v>
      </c>
      <c r="N3478" s="23" t="e">
        <f ca="1">[1]!BexGetData("DP_1","003N8EMH8GTFRIVOG7KG9IX8U","GSON5311")</f>
        <v>#NAME?</v>
      </c>
      <c r="O3478" s="28" t="e">
        <f ca="1">[1]!BexGetData("DP_1","003N8EMH8GTFRIVOG7KG9J3KE","GSON5311")</f>
        <v>#NAME?</v>
      </c>
      <c r="P3478" s="23" t="e">
        <f ca="1">[1]!BexGetData("DP_1","003N8EMH8GTFRIVOG7KG9J9VY","GSON5311")</f>
        <v>#NAME?</v>
      </c>
      <c r="Q3478" s="24" t="e">
        <f ca="1">[1]!BexGetData("DP_1","00O2TNJGODT0G5Z4TTKYMM5MT","GSON5311")</f>
        <v>#NAME?</v>
      </c>
      <c r="R3478" s="23" t="e">
        <f ca="1">[1]!BexGetData("DP_1","00O2TNJGODT0G5Z4TTKYMMBYD","GSON5311")</f>
        <v>#NAME?</v>
      </c>
      <c r="S3478" s="23" t="e">
        <f ca="1">[1]!BexGetData("DP_1","00O2TNJGODT0G5Z4TTKYMMI9X","GSON5311")</f>
        <v>#NAME?</v>
      </c>
      <c r="T3478" s="28" t="e">
        <f ca="1">[1]!BexGetData("DP_1","00O2TNJGODT0G5Z4TTKYMMOLH","GSON5311")</f>
        <v>#NAME?</v>
      </c>
      <c r="U3478" s="23" t="e">
        <f ca="1">[1]!BexGetData("DP_1","00O2TNJGODT0G5Z4TTKYMMUX1","GSON5311")</f>
        <v>#NAME?</v>
      </c>
      <c r="V3478" s="28" t="e">
        <f ca="1">[1]!BexGetData("DP_1","00O2TNJGODT0G5Z4TTKYMN18L","GSON5311")</f>
        <v>#NAME?</v>
      </c>
      <c r="W3478" s="23" t="e">
        <f ca="1">[1]!BexGetData("DP_1","00O2TNJGODT0G5Z4TTKYMN7K5","GSON5311")</f>
        <v>#NAME?</v>
      </c>
    </row>
    <row r="3479" spans="1:23" x14ac:dyDescent="0.2">
      <c r="A3479" s="36" t="s">
        <v>7044</v>
      </c>
      <c r="B3479" s="27" t="s">
        <v>1583</v>
      </c>
      <c r="C3479" s="24" t="e">
        <f ca="1">[1]!BexGetData("DP_1","003N8EMH8GTFRCSWKMPXRR8GU","GSON5311811011")</f>
        <v>#NAME?</v>
      </c>
      <c r="D3479" s="24" t="e">
        <f ca="1">[1]!BexGetData("DP_1","003N8EMH8GTFRCSWKMPXRRESE","GSON5311811011")</f>
        <v>#NAME?</v>
      </c>
      <c r="E3479" s="24" t="e">
        <f ca="1">[1]!BexGetData("DP_1","003N8EMH8GTFRCSWKMPXRRL3Y","GSON5311811011")</f>
        <v>#NAME?</v>
      </c>
      <c r="F3479" s="23" t="e">
        <f ca="1">[1]!BexGetData("DP_1","003N8EMH8GTFRCSWKMPXRRRFI","GSON5311811011")</f>
        <v>#NAME?</v>
      </c>
      <c r="G3479" s="23" t="e">
        <f ca="1">[1]!BexGetData("DP_1","003N8EMH8GTFRCSWKMPXRRXR2","GSON5311811011")</f>
        <v>#NAME?</v>
      </c>
      <c r="H3479" s="23" t="e">
        <f ca="1">[1]!BexGetData("DP_1","003N8EMH8GTFRCSWKMPXRS42M","GSON5311811011")</f>
        <v>#NAME?</v>
      </c>
      <c r="I3479" s="23" t="e">
        <f ca="1">[1]!BexGetData("DP_1","003N8EMH8GTFRCSWKMPXRSAE6","GSON5311811011")</f>
        <v>#NAME?</v>
      </c>
      <c r="J3479" s="24" t="e">
        <f ca="1">[1]!BexGetData("DP_1","003N8EMH8GTFRCSWKMPXRSGPQ","GSON5311811011")</f>
        <v>#NAME?</v>
      </c>
      <c r="K3479" s="23" t="e">
        <f ca="1">[1]!BexGetData("DP_1","003N8EMH8GTFRIVNUPY288VJH","GSON5311811011")</f>
        <v>#NAME?</v>
      </c>
      <c r="L3479" s="23" t="e">
        <f ca="1">[1]!BexGetData("DP_1","003N8EMH8GTFRIVNUPY2891V1","GSON5311811011")</f>
        <v>#NAME?</v>
      </c>
      <c r="M3479" s="23" t="e">
        <f ca="1">[1]!BexGetData("DP_1","003N8EMH8GTFRIVOG7KG9IQXA","GSON5311811011")</f>
        <v>#NAME?</v>
      </c>
      <c r="N3479" s="28" t="e">
        <f ca="1">[1]!BexGetData("DP_1","003N8EMH8GTFRIVOG7KG9IX8U","GSON5311811011")</f>
        <v>#NAME?</v>
      </c>
      <c r="O3479" s="23" t="e">
        <f ca="1">[1]!BexGetData("DP_1","003N8EMH8GTFRIVOG7KG9J3KE","GSON5311811011")</f>
        <v>#NAME?</v>
      </c>
      <c r="P3479" s="28" t="e">
        <f ca="1">[1]!BexGetData("DP_1","003N8EMH8GTFRIVOG7KG9J9VY","GSON5311811011")</f>
        <v>#NAME?</v>
      </c>
      <c r="Q3479" s="24" t="e">
        <f ca="1">[1]!BexGetData("DP_1","00O2TNJGODT0G5Z4TTKYMM5MT","GSON5311811011")</f>
        <v>#NAME?</v>
      </c>
      <c r="R3479" s="23" t="e">
        <f ca="1">[1]!BexGetData("DP_1","00O2TNJGODT0G5Z4TTKYMMBYD","GSON5311811011")</f>
        <v>#NAME?</v>
      </c>
      <c r="S3479" s="23" t="e">
        <f ca="1">[1]!BexGetData("DP_1","00O2TNJGODT0G5Z4TTKYMMI9X","GSON5311811011")</f>
        <v>#NAME?</v>
      </c>
      <c r="T3479" s="28" t="e">
        <f ca="1">[1]!BexGetData("DP_1","00O2TNJGODT0G5Z4TTKYMMOLH","GSON5311811011")</f>
        <v>#NAME?</v>
      </c>
      <c r="U3479" s="23" t="e">
        <f ca="1">[1]!BexGetData("DP_1","00O2TNJGODT0G5Z4TTKYMMUX1","GSON5311811011")</f>
        <v>#NAME?</v>
      </c>
      <c r="V3479" s="28" t="e">
        <f ca="1">[1]!BexGetData("DP_1","00O2TNJGODT0G5Z4TTKYMN18L","GSON5311811011")</f>
        <v>#NAME?</v>
      </c>
      <c r="W3479" s="23" t="e">
        <f ca="1">[1]!BexGetData("DP_1","00O2TNJGODT0G5Z4TTKYMN7K5","GSON5311811011")</f>
        <v>#NAME?</v>
      </c>
    </row>
    <row r="3480" spans="1:23" x14ac:dyDescent="0.2">
      <c r="A3480" s="36" t="s">
        <v>7045</v>
      </c>
      <c r="B3480" s="27" t="s">
        <v>7046</v>
      </c>
      <c r="C3480" s="23" t="e">
        <f ca="1">[1]!BexGetData("DP_1","003N8EMH8GTFRCSWKMPXRR8GU","GSON5311811015")</f>
        <v>#NAME?</v>
      </c>
      <c r="D3480" s="23" t="e">
        <f ca="1">[1]!BexGetData("DP_1","003N8EMH8GTFRCSWKMPXRRESE","GSON5311811015")</f>
        <v>#NAME?</v>
      </c>
      <c r="E3480" s="23" t="e">
        <f ca="1">[1]!BexGetData("DP_1","003N8EMH8GTFRCSWKMPXRRL3Y","GSON5311811015")</f>
        <v>#NAME?</v>
      </c>
      <c r="F3480" s="24" t="e">
        <f ca="1">[1]!BexGetData("DP_1","003N8EMH8GTFRCSWKMPXRRRFI","GSON5311811015")</f>
        <v>#NAME?</v>
      </c>
      <c r="G3480" s="24" t="e">
        <f ca="1">[1]!BexGetData("DP_1","003N8EMH8GTFRCSWKMPXRRXR2","GSON5311811015")</f>
        <v>#NAME?</v>
      </c>
      <c r="H3480" s="24" t="e">
        <f ca="1">[1]!BexGetData("DP_1","003N8EMH8GTFRCSWKMPXRS42M","GSON5311811015")</f>
        <v>#NAME?</v>
      </c>
      <c r="I3480" s="24" t="e">
        <f ca="1">[1]!BexGetData("DP_1","003N8EMH8GTFRCSWKMPXRSAE6","GSON5311811015")</f>
        <v>#NAME?</v>
      </c>
      <c r="J3480" s="24" t="e">
        <f ca="1">[1]!BexGetData("DP_1","003N8EMH8GTFRCSWKMPXRSGPQ","GSON5311811015")</f>
        <v>#NAME?</v>
      </c>
      <c r="K3480" s="23" t="e">
        <f ca="1">[1]!BexGetData("DP_1","003N8EMH8GTFRIVNUPY288VJH","GSON5311811015")</f>
        <v>#NAME?</v>
      </c>
      <c r="L3480" s="23" t="e">
        <f ca="1">[1]!BexGetData("DP_1","003N8EMH8GTFRIVNUPY2891V1","GSON5311811015")</f>
        <v>#NAME?</v>
      </c>
      <c r="M3480" s="28" t="e">
        <f ca="1">[1]!BexGetData("DP_1","003N8EMH8GTFRIVOG7KG9IQXA","GSON5311811015")</f>
        <v>#NAME?</v>
      </c>
      <c r="N3480" s="23" t="e">
        <f ca="1">[1]!BexGetData("DP_1","003N8EMH8GTFRIVOG7KG9IX8U","GSON5311811015")</f>
        <v>#NAME?</v>
      </c>
      <c r="O3480" s="28" t="e">
        <f ca="1">[1]!BexGetData("DP_1","003N8EMH8GTFRIVOG7KG9J3KE","GSON5311811015")</f>
        <v>#NAME?</v>
      </c>
      <c r="P3480" s="23" t="e">
        <f ca="1">[1]!BexGetData("DP_1","003N8EMH8GTFRIVOG7KG9J9VY","GSON5311811015")</f>
        <v>#NAME?</v>
      </c>
      <c r="Q3480" s="24" t="e">
        <f ca="1">[1]!BexGetData("DP_1","00O2TNJGODT0G5Z4TTKYMM5MT","GSON5311811015")</f>
        <v>#NAME?</v>
      </c>
      <c r="R3480" s="24" t="e">
        <f ca="1">[1]!BexGetData("DP_1","00O2TNJGODT0G5Z4TTKYMMBYD","GSON5311811015")</f>
        <v>#NAME?</v>
      </c>
      <c r="S3480" s="24" t="e">
        <f ca="1">[1]!BexGetData("DP_1","00O2TNJGODT0G5Z4TTKYMMI9X","GSON5311811015")</f>
        <v>#NAME?</v>
      </c>
      <c r="T3480" s="24" t="e">
        <f ca="1">[1]!BexGetData("DP_1","00O2TNJGODT0G5Z4TTKYMMOLH","GSON5311811015")</f>
        <v>#NAME?</v>
      </c>
      <c r="U3480" s="24" t="e">
        <f ca="1">[1]!BexGetData("DP_1","00O2TNJGODT0G5Z4TTKYMMUX1","GSON5311811015")</f>
        <v>#NAME?</v>
      </c>
      <c r="V3480" s="24" t="e">
        <f ca="1">[1]!BexGetData("DP_1","00O2TNJGODT0G5Z4TTKYMN18L","GSON5311811015")</f>
        <v>#NAME?</v>
      </c>
      <c r="W3480" s="24" t="e">
        <f ca="1">[1]!BexGetData("DP_1","00O2TNJGODT0G5Z4TTKYMN7K5","GSON5311811015")</f>
        <v>#NAME?</v>
      </c>
    </row>
    <row r="3481" spans="1:23" x14ac:dyDescent="0.2">
      <c r="A3481" s="36" t="s">
        <v>7047</v>
      </c>
      <c r="B3481" s="27" t="s">
        <v>1748</v>
      </c>
      <c r="C3481" s="24" t="e">
        <f ca="1">[1]!BexGetData("DP_1","003N8EMH8GTFRCSWKMPXRR8GU","GSON5311812011")</f>
        <v>#NAME?</v>
      </c>
      <c r="D3481" s="24" t="e">
        <f ca="1">[1]!BexGetData("DP_1","003N8EMH8GTFRCSWKMPXRRESE","GSON5311812011")</f>
        <v>#NAME?</v>
      </c>
      <c r="E3481" s="24" t="e">
        <f ca="1">[1]!BexGetData("DP_1","003N8EMH8GTFRCSWKMPXRRL3Y","GSON5311812011")</f>
        <v>#NAME?</v>
      </c>
      <c r="F3481" s="23" t="e">
        <f ca="1">[1]!BexGetData("DP_1","003N8EMH8GTFRCSWKMPXRRRFI","GSON5311812011")</f>
        <v>#NAME?</v>
      </c>
      <c r="G3481" s="23" t="e">
        <f ca="1">[1]!BexGetData("DP_1","003N8EMH8GTFRCSWKMPXRRXR2","GSON5311812011")</f>
        <v>#NAME?</v>
      </c>
      <c r="H3481" s="23" t="e">
        <f ca="1">[1]!BexGetData("DP_1","003N8EMH8GTFRCSWKMPXRS42M","GSON5311812011")</f>
        <v>#NAME?</v>
      </c>
      <c r="I3481" s="23" t="e">
        <f ca="1">[1]!BexGetData("DP_1","003N8EMH8GTFRCSWKMPXRSAE6","GSON5311812011")</f>
        <v>#NAME?</v>
      </c>
      <c r="J3481" s="24" t="e">
        <f ca="1">[1]!BexGetData("DP_1","003N8EMH8GTFRCSWKMPXRSGPQ","GSON5311812011")</f>
        <v>#NAME?</v>
      </c>
      <c r="K3481" s="23" t="e">
        <f ca="1">[1]!BexGetData("DP_1","003N8EMH8GTFRIVNUPY288VJH","GSON5311812011")</f>
        <v>#NAME?</v>
      </c>
      <c r="L3481" s="23" t="e">
        <f ca="1">[1]!BexGetData("DP_1","003N8EMH8GTFRIVNUPY2891V1","GSON5311812011")</f>
        <v>#NAME?</v>
      </c>
      <c r="M3481" s="23" t="e">
        <f ca="1">[1]!BexGetData("DP_1","003N8EMH8GTFRIVOG7KG9IQXA","GSON5311812011")</f>
        <v>#NAME?</v>
      </c>
      <c r="N3481" s="28" t="e">
        <f ca="1">[1]!BexGetData("DP_1","003N8EMH8GTFRIVOG7KG9IX8U","GSON5311812011")</f>
        <v>#NAME?</v>
      </c>
      <c r="O3481" s="23" t="e">
        <f ca="1">[1]!BexGetData("DP_1","003N8EMH8GTFRIVOG7KG9J3KE","GSON5311812011")</f>
        <v>#NAME?</v>
      </c>
      <c r="P3481" s="28" t="e">
        <f ca="1">[1]!BexGetData("DP_1","003N8EMH8GTFRIVOG7KG9J9VY","GSON5311812011")</f>
        <v>#NAME?</v>
      </c>
      <c r="Q3481" s="24" t="e">
        <f ca="1">[1]!BexGetData("DP_1","00O2TNJGODT0G5Z4TTKYMM5MT","GSON5311812011")</f>
        <v>#NAME?</v>
      </c>
      <c r="R3481" s="23" t="e">
        <f ca="1">[1]!BexGetData("DP_1","00O2TNJGODT0G5Z4TTKYMMBYD","GSON5311812011")</f>
        <v>#NAME?</v>
      </c>
      <c r="S3481" s="23" t="e">
        <f ca="1">[1]!BexGetData("DP_1","00O2TNJGODT0G5Z4TTKYMMI9X","GSON5311812011")</f>
        <v>#NAME?</v>
      </c>
      <c r="T3481" s="28" t="e">
        <f ca="1">[1]!BexGetData("DP_1","00O2TNJGODT0G5Z4TTKYMMOLH","GSON5311812011")</f>
        <v>#NAME?</v>
      </c>
      <c r="U3481" s="23" t="e">
        <f ca="1">[1]!BexGetData("DP_1","00O2TNJGODT0G5Z4TTKYMMUX1","GSON5311812011")</f>
        <v>#NAME?</v>
      </c>
      <c r="V3481" s="28" t="e">
        <f ca="1">[1]!BexGetData("DP_1","00O2TNJGODT0G5Z4TTKYMN18L","GSON5311812011")</f>
        <v>#NAME?</v>
      </c>
      <c r="W3481" s="23" t="e">
        <f ca="1">[1]!BexGetData("DP_1","00O2TNJGODT0G5Z4TTKYMN7K5","GSON5311812011")</f>
        <v>#NAME?</v>
      </c>
    </row>
    <row r="3482" spans="1:23" x14ac:dyDescent="0.2">
      <c r="A3482" s="36" t="s">
        <v>7048</v>
      </c>
      <c r="B3482" s="27" t="s">
        <v>7049</v>
      </c>
      <c r="C3482" s="23" t="e">
        <f ca="1">[1]!BexGetData("DP_1","003N8EMH8GTFRCSWKMPXRR8GU","GSON5311812015")</f>
        <v>#NAME?</v>
      </c>
      <c r="D3482" s="23" t="e">
        <f ca="1">[1]!BexGetData("DP_1","003N8EMH8GTFRCSWKMPXRRESE","GSON5311812015")</f>
        <v>#NAME?</v>
      </c>
      <c r="E3482" s="23" t="e">
        <f ca="1">[1]!BexGetData("DP_1","003N8EMH8GTFRCSWKMPXRRL3Y","GSON5311812015")</f>
        <v>#NAME?</v>
      </c>
      <c r="F3482" s="24" t="e">
        <f ca="1">[1]!BexGetData("DP_1","003N8EMH8GTFRCSWKMPXRRRFI","GSON5311812015")</f>
        <v>#NAME?</v>
      </c>
      <c r="G3482" s="24" t="e">
        <f ca="1">[1]!BexGetData("DP_1","003N8EMH8GTFRCSWKMPXRRXR2","GSON5311812015")</f>
        <v>#NAME?</v>
      </c>
      <c r="H3482" s="24" t="e">
        <f ca="1">[1]!BexGetData("DP_1","003N8EMH8GTFRCSWKMPXRS42M","GSON5311812015")</f>
        <v>#NAME?</v>
      </c>
      <c r="I3482" s="24" t="e">
        <f ca="1">[1]!BexGetData("DP_1","003N8EMH8GTFRCSWKMPXRSAE6","GSON5311812015")</f>
        <v>#NAME?</v>
      </c>
      <c r="J3482" s="24" t="e">
        <f ca="1">[1]!BexGetData("DP_1","003N8EMH8GTFRCSWKMPXRSGPQ","GSON5311812015")</f>
        <v>#NAME?</v>
      </c>
      <c r="K3482" s="23" t="e">
        <f ca="1">[1]!BexGetData("DP_1","003N8EMH8GTFRIVNUPY288VJH","GSON5311812015")</f>
        <v>#NAME?</v>
      </c>
      <c r="L3482" s="23" t="e">
        <f ca="1">[1]!BexGetData("DP_1","003N8EMH8GTFRIVNUPY2891V1","GSON5311812015")</f>
        <v>#NAME?</v>
      </c>
      <c r="M3482" s="28" t="e">
        <f ca="1">[1]!BexGetData("DP_1","003N8EMH8GTFRIVOG7KG9IQXA","GSON5311812015")</f>
        <v>#NAME?</v>
      </c>
      <c r="N3482" s="23" t="e">
        <f ca="1">[1]!BexGetData("DP_1","003N8EMH8GTFRIVOG7KG9IX8U","GSON5311812015")</f>
        <v>#NAME?</v>
      </c>
      <c r="O3482" s="28" t="e">
        <f ca="1">[1]!BexGetData("DP_1","003N8EMH8GTFRIVOG7KG9J3KE","GSON5311812015")</f>
        <v>#NAME?</v>
      </c>
      <c r="P3482" s="23" t="e">
        <f ca="1">[1]!BexGetData("DP_1","003N8EMH8GTFRIVOG7KG9J9VY","GSON5311812015")</f>
        <v>#NAME?</v>
      </c>
      <c r="Q3482" s="24" t="e">
        <f ca="1">[1]!BexGetData("DP_1","00O2TNJGODT0G5Z4TTKYMM5MT","GSON5311812015")</f>
        <v>#NAME?</v>
      </c>
      <c r="R3482" s="24" t="e">
        <f ca="1">[1]!BexGetData("DP_1","00O2TNJGODT0G5Z4TTKYMMBYD","GSON5311812015")</f>
        <v>#NAME?</v>
      </c>
      <c r="S3482" s="24" t="e">
        <f ca="1">[1]!BexGetData("DP_1","00O2TNJGODT0G5Z4TTKYMMI9X","GSON5311812015")</f>
        <v>#NAME?</v>
      </c>
      <c r="T3482" s="24" t="e">
        <f ca="1">[1]!BexGetData("DP_1","00O2TNJGODT0G5Z4TTKYMMOLH","GSON5311812015")</f>
        <v>#NAME?</v>
      </c>
      <c r="U3482" s="24" t="e">
        <f ca="1">[1]!BexGetData("DP_1","00O2TNJGODT0G5Z4TTKYMMUX1","GSON5311812015")</f>
        <v>#NAME?</v>
      </c>
      <c r="V3482" s="24" t="e">
        <f ca="1">[1]!BexGetData("DP_1","00O2TNJGODT0G5Z4TTKYMN18L","GSON5311812015")</f>
        <v>#NAME?</v>
      </c>
      <c r="W3482" s="24" t="e">
        <f ca="1">[1]!BexGetData("DP_1","00O2TNJGODT0G5Z4TTKYMN7K5","GSON5311812015")</f>
        <v>#NAME?</v>
      </c>
    </row>
    <row r="3483" spans="1:23" x14ac:dyDescent="0.2">
      <c r="A3483" s="36" t="s">
        <v>7050</v>
      </c>
      <c r="B3483" s="27" t="s">
        <v>1749</v>
      </c>
      <c r="C3483" s="24" t="e">
        <f ca="1">[1]!BexGetData("DP_1","003N8EMH8GTFRCSWKMPXRR8GU","GSON5311815011")</f>
        <v>#NAME?</v>
      </c>
      <c r="D3483" s="24" t="e">
        <f ca="1">[1]!BexGetData("DP_1","003N8EMH8GTFRCSWKMPXRRESE","GSON5311815011")</f>
        <v>#NAME?</v>
      </c>
      <c r="E3483" s="24" t="e">
        <f ca="1">[1]!BexGetData("DP_1","003N8EMH8GTFRCSWKMPXRRL3Y","GSON5311815011")</f>
        <v>#NAME?</v>
      </c>
      <c r="F3483" s="23" t="e">
        <f ca="1">[1]!BexGetData("DP_1","003N8EMH8GTFRCSWKMPXRRRFI","GSON5311815011")</f>
        <v>#NAME?</v>
      </c>
      <c r="G3483" s="23" t="e">
        <f ca="1">[1]!BexGetData("DP_1","003N8EMH8GTFRCSWKMPXRRXR2","GSON5311815011")</f>
        <v>#NAME?</v>
      </c>
      <c r="H3483" s="23" t="e">
        <f ca="1">[1]!BexGetData("DP_1","003N8EMH8GTFRCSWKMPXRS42M","GSON5311815011")</f>
        <v>#NAME?</v>
      </c>
      <c r="I3483" s="23" t="e">
        <f ca="1">[1]!BexGetData("DP_1","003N8EMH8GTFRCSWKMPXRSAE6","GSON5311815011")</f>
        <v>#NAME?</v>
      </c>
      <c r="J3483" s="24" t="e">
        <f ca="1">[1]!BexGetData("DP_1","003N8EMH8GTFRCSWKMPXRSGPQ","GSON5311815011")</f>
        <v>#NAME?</v>
      </c>
      <c r="K3483" s="23" t="e">
        <f ca="1">[1]!BexGetData("DP_1","003N8EMH8GTFRIVNUPY288VJH","GSON5311815011")</f>
        <v>#NAME?</v>
      </c>
      <c r="L3483" s="23" t="e">
        <f ca="1">[1]!BexGetData("DP_1","003N8EMH8GTFRIVNUPY2891V1","GSON5311815011")</f>
        <v>#NAME?</v>
      </c>
      <c r="M3483" s="23" t="e">
        <f ca="1">[1]!BexGetData("DP_1","003N8EMH8GTFRIVOG7KG9IQXA","GSON5311815011")</f>
        <v>#NAME?</v>
      </c>
      <c r="N3483" s="28" t="e">
        <f ca="1">[1]!BexGetData("DP_1","003N8EMH8GTFRIVOG7KG9IX8U","GSON5311815011")</f>
        <v>#NAME?</v>
      </c>
      <c r="O3483" s="23" t="e">
        <f ca="1">[1]!BexGetData("DP_1","003N8EMH8GTFRIVOG7KG9J3KE","GSON5311815011")</f>
        <v>#NAME?</v>
      </c>
      <c r="P3483" s="28" t="e">
        <f ca="1">[1]!BexGetData("DP_1","003N8EMH8GTFRIVOG7KG9J9VY","GSON5311815011")</f>
        <v>#NAME?</v>
      </c>
      <c r="Q3483" s="24" t="e">
        <f ca="1">[1]!BexGetData("DP_1","00O2TNJGODT0G5Z4TTKYMM5MT","GSON5311815011")</f>
        <v>#NAME?</v>
      </c>
      <c r="R3483" s="23" t="e">
        <f ca="1">[1]!BexGetData("DP_1","00O2TNJGODT0G5Z4TTKYMMBYD","GSON5311815011")</f>
        <v>#NAME?</v>
      </c>
      <c r="S3483" s="23" t="e">
        <f ca="1">[1]!BexGetData("DP_1","00O2TNJGODT0G5Z4TTKYMMI9X","GSON5311815011")</f>
        <v>#NAME?</v>
      </c>
      <c r="T3483" s="28" t="e">
        <f ca="1">[1]!BexGetData("DP_1","00O2TNJGODT0G5Z4TTKYMMOLH","GSON5311815011")</f>
        <v>#NAME?</v>
      </c>
      <c r="U3483" s="23" t="e">
        <f ca="1">[1]!BexGetData("DP_1","00O2TNJGODT0G5Z4TTKYMMUX1","GSON5311815011")</f>
        <v>#NAME?</v>
      </c>
      <c r="V3483" s="28" t="e">
        <f ca="1">[1]!BexGetData("DP_1","00O2TNJGODT0G5Z4TTKYMN18L","GSON5311815011")</f>
        <v>#NAME?</v>
      </c>
      <c r="W3483" s="23" t="e">
        <f ca="1">[1]!BexGetData("DP_1","00O2TNJGODT0G5Z4TTKYMN7K5","GSON5311815011")</f>
        <v>#NAME?</v>
      </c>
    </row>
    <row r="3484" spans="1:23" x14ac:dyDescent="0.2">
      <c r="A3484" s="36" t="s">
        <v>7051</v>
      </c>
      <c r="B3484" s="27" t="s">
        <v>7052</v>
      </c>
      <c r="C3484" s="23" t="e">
        <f ca="1">[1]!BexGetData("DP_1","003N8EMH8GTFRCSWKMPXRR8GU","GSON5311815015")</f>
        <v>#NAME?</v>
      </c>
      <c r="D3484" s="23" t="e">
        <f ca="1">[1]!BexGetData("DP_1","003N8EMH8GTFRCSWKMPXRRESE","GSON5311815015")</f>
        <v>#NAME?</v>
      </c>
      <c r="E3484" s="23" t="e">
        <f ca="1">[1]!BexGetData("DP_1","003N8EMH8GTFRCSWKMPXRRL3Y","GSON5311815015")</f>
        <v>#NAME?</v>
      </c>
      <c r="F3484" s="24" t="e">
        <f ca="1">[1]!BexGetData("DP_1","003N8EMH8GTFRCSWKMPXRRRFI","GSON5311815015")</f>
        <v>#NAME?</v>
      </c>
      <c r="G3484" s="24" t="e">
        <f ca="1">[1]!BexGetData("DP_1","003N8EMH8GTFRCSWKMPXRRXR2","GSON5311815015")</f>
        <v>#NAME?</v>
      </c>
      <c r="H3484" s="24" t="e">
        <f ca="1">[1]!BexGetData("DP_1","003N8EMH8GTFRCSWKMPXRS42M","GSON5311815015")</f>
        <v>#NAME?</v>
      </c>
      <c r="I3484" s="24" t="e">
        <f ca="1">[1]!BexGetData("DP_1","003N8EMH8GTFRCSWKMPXRSAE6","GSON5311815015")</f>
        <v>#NAME?</v>
      </c>
      <c r="J3484" s="24" t="e">
        <f ca="1">[1]!BexGetData("DP_1","003N8EMH8GTFRCSWKMPXRSGPQ","GSON5311815015")</f>
        <v>#NAME?</v>
      </c>
      <c r="K3484" s="23" t="e">
        <f ca="1">[1]!BexGetData("DP_1","003N8EMH8GTFRIVNUPY288VJH","GSON5311815015")</f>
        <v>#NAME?</v>
      </c>
      <c r="L3484" s="23" t="e">
        <f ca="1">[1]!BexGetData("DP_1","003N8EMH8GTFRIVNUPY2891V1","GSON5311815015")</f>
        <v>#NAME?</v>
      </c>
      <c r="M3484" s="28" t="e">
        <f ca="1">[1]!BexGetData("DP_1","003N8EMH8GTFRIVOG7KG9IQXA","GSON5311815015")</f>
        <v>#NAME?</v>
      </c>
      <c r="N3484" s="23" t="e">
        <f ca="1">[1]!BexGetData("DP_1","003N8EMH8GTFRIVOG7KG9IX8U","GSON5311815015")</f>
        <v>#NAME?</v>
      </c>
      <c r="O3484" s="28" t="e">
        <f ca="1">[1]!BexGetData("DP_1","003N8EMH8GTFRIVOG7KG9J3KE","GSON5311815015")</f>
        <v>#NAME?</v>
      </c>
      <c r="P3484" s="23" t="e">
        <f ca="1">[1]!BexGetData("DP_1","003N8EMH8GTFRIVOG7KG9J9VY","GSON5311815015")</f>
        <v>#NAME?</v>
      </c>
      <c r="Q3484" s="24" t="e">
        <f ca="1">[1]!BexGetData("DP_1","00O2TNJGODT0G5Z4TTKYMM5MT","GSON5311815015")</f>
        <v>#NAME?</v>
      </c>
      <c r="R3484" s="24" t="e">
        <f ca="1">[1]!BexGetData("DP_1","00O2TNJGODT0G5Z4TTKYMMBYD","GSON5311815015")</f>
        <v>#NAME?</v>
      </c>
      <c r="S3484" s="24" t="e">
        <f ca="1">[1]!BexGetData("DP_1","00O2TNJGODT0G5Z4TTKYMMI9X","GSON5311815015")</f>
        <v>#NAME?</v>
      </c>
      <c r="T3484" s="24" t="e">
        <f ca="1">[1]!BexGetData("DP_1","00O2TNJGODT0G5Z4TTKYMMOLH","GSON5311815015")</f>
        <v>#NAME?</v>
      </c>
      <c r="U3484" s="24" t="e">
        <f ca="1">[1]!BexGetData("DP_1","00O2TNJGODT0G5Z4TTKYMMUX1","GSON5311815015")</f>
        <v>#NAME?</v>
      </c>
      <c r="V3484" s="24" t="e">
        <f ca="1">[1]!BexGetData("DP_1","00O2TNJGODT0G5Z4TTKYMN18L","GSON5311815015")</f>
        <v>#NAME?</v>
      </c>
      <c r="W3484" s="24" t="e">
        <f ca="1">[1]!BexGetData("DP_1","00O2TNJGODT0G5Z4TTKYMN7K5","GSON5311815015")</f>
        <v>#NAME?</v>
      </c>
    </row>
    <row r="3485" spans="1:23" x14ac:dyDescent="0.2">
      <c r="A3485" s="36" t="s">
        <v>7053</v>
      </c>
      <c r="B3485" s="27" t="s">
        <v>1750</v>
      </c>
      <c r="C3485" s="24" t="e">
        <f ca="1">[1]!BexGetData("DP_1","003N8EMH8GTFRCSWKMPXRR8GU","GSON5311815021")</f>
        <v>#NAME?</v>
      </c>
      <c r="D3485" s="24" t="e">
        <f ca="1">[1]!BexGetData("DP_1","003N8EMH8GTFRCSWKMPXRRESE","GSON5311815021")</f>
        <v>#NAME?</v>
      </c>
      <c r="E3485" s="24" t="e">
        <f ca="1">[1]!BexGetData("DP_1","003N8EMH8GTFRCSWKMPXRRL3Y","GSON5311815021")</f>
        <v>#NAME?</v>
      </c>
      <c r="F3485" s="23" t="e">
        <f ca="1">[1]!BexGetData("DP_1","003N8EMH8GTFRCSWKMPXRRRFI","GSON5311815021")</f>
        <v>#NAME?</v>
      </c>
      <c r="G3485" s="23" t="e">
        <f ca="1">[1]!BexGetData("DP_1","003N8EMH8GTFRCSWKMPXRRXR2","GSON5311815021")</f>
        <v>#NAME?</v>
      </c>
      <c r="H3485" s="23" t="e">
        <f ca="1">[1]!BexGetData("DP_1","003N8EMH8GTFRCSWKMPXRS42M","GSON5311815021")</f>
        <v>#NAME?</v>
      </c>
      <c r="I3485" s="23" t="e">
        <f ca="1">[1]!BexGetData("DP_1","003N8EMH8GTFRCSWKMPXRSAE6","GSON5311815021")</f>
        <v>#NAME?</v>
      </c>
      <c r="J3485" s="24" t="e">
        <f ca="1">[1]!BexGetData("DP_1","003N8EMH8GTFRCSWKMPXRSGPQ","GSON5311815021")</f>
        <v>#NAME?</v>
      </c>
      <c r="K3485" s="23" t="e">
        <f ca="1">[1]!BexGetData("DP_1","003N8EMH8GTFRIVNUPY288VJH","GSON5311815021")</f>
        <v>#NAME?</v>
      </c>
      <c r="L3485" s="23" t="e">
        <f ca="1">[1]!BexGetData("DP_1","003N8EMH8GTFRIVNUPY2891V1","GSON5311815021")</f>
        <v>#NAME?</v>
      </c>
      <c r="M3485" s="23" t="e">
        <f ca="1">[1]!BexGetData("DP_1","003N8EMH8GTFRIVOG7KG9IQXA","GSON5311815021")</f>
        <v>#NAME?</v>
      </c>
      <c r="N3485" s="28" t="e">
        <f ca="1">[1]!BexGetData("DP_1","003N8EMH8GTFRIVOG7KG9IX8U","GSON5311815021")</f>
        <v>#NAME?</v>
      </c>
      <c r="O3485" s="23" t="e">
        <f ca="1">[1]!BexGetData("DP_1","003N8EMH8GTFRIVOG7KG9J3KE","GSON5311815021")</f>
        <v>#NAME?</v>
      </c>
      <c r="P3485" s="28" t="e">
        <f ca="1">[1]!BexGetData("DP_1","003N8EMH8GTFRIVOG7KG9J9VY","GSON5311815021")</f>
        <v>#NAME?</v>
      </c>
      <c r="Q3485" s="24" t="e">
        <f ca="1">[1]!BexGetData("DP_1","00O2TNJGODT0G5Z4TTKYMM5MT","GSON5311815021")</f>
        <v>#NAME?</v>
      </c>
      <c r="R3485" s="23" t="e">
        <f ca="1">[1]!BexGetData("DP_1","00O2TNJGODT0G5Z4TTKYMMBYD","GSON5311815021")</f>
        <v>#NAME?</v>
      </c>
      <c r="S3485" s="23" t="e">
        <f ca="1">[1]!BexGetData("DP_1","00O2TNJGODT0G5Z4TTKYMMI9X","GSON5311815021")</f>
        <v>#NAME?</v>
      </c>
      <c r="T3485" s="28" t="e">
        <f ca="1">[1]!BexGetData("DP_1","00O2TNJGODT0G5Z4TTKYMMOLH","GSON5311815021")</f>
        <v>#NAME?</v>
      </c>
      <c r="U3485" s="23" t="e">
        <f ca="1">[1]!BexGetData("DP_1","00O2TNJGODT0G5Z4TTKYMMUX1","GSON5311815021")</f>
        <v>#NAME?</v>
      </c>
      <c r="V3485" s="28" t="e">
        <f ca="1">[1]!BexGetData("DP_1","00O2TNJGODT0G5Z4TTKYMN18L","GSON5311815021")</f>
        <v>#NAME?</v>
      </c>
      <c r="W3485" s="23" t="e">
        <f ca="1">[1]!BexGetData("DP_1","00O2TNJGODT0G5Z4TTKYMN7K5","GSON5311815021")</f>
        <v>#NAME?</v>
      </c>
    </row>
    <row r="3486" spans="1:23" x14ac:dyDescent="0.2">
      <c r="A3486" s="36" t="s">
        <v>7054</v>
      </c>
      <c r="B3486" s="27" t="s">
        <v>7055</v>
      </c>
      <c r="C3486" s="23" t="e">
        <f ca="1">[1]!BexGetData("DP_1","003N8EMH8GTFRCSWKMPXRR8GU","GSON5311815025")</f>
        <v>#NAME?</v>
      </c>
      <c r="D3486" s="23" t="e">
        <f ca="1">[1]!BexGetData("DP_1","003N8EMH8GTFRCSWKMPXRRESE","GSON5311815025")</f>
        <v>#NAME?</v>
      </c>
      <c r="E3486" s="23" t="e">
        <f ca="1">[1]!BexGetData("DP_1","003N8EMH8GTFRCSWKMPXRRL3Y","GSON5311815025")</f>
        <v>#NAME?</v>
      </c>
      <c r="F3486" s="24" t="e">
        <f ca="1">[1]!BexGetData("DP_1","003N8EMH8GTFRCSWKMPXRRRFI","GSON5311815025")</f>
        <v>#NAME?</v>
      </c>
      <c r="G3486" s="24" t="e">
        <f ca="1">[1]!BexGetData("DP_1","003N8EMH8GTFRCSWKMPXRRXR2","GSON5311815025")</f>
        <v>#NAME?</v>
      </c>
      <c r="H3486" s="24" t="e">
        <f ca="1">[1]!BexGetData("DP_1","003N8EMH8GTFRCSWKMPXRS42M","GSON5311815025")</f>
        <v>#NAME?</v>
      </c>
      <c r="I3486" s="24" t="e">
        <f ca="1">[1]!BexGetData("DP_1","003N8EMH8GTFRCSWKMPXRSAE6","GSON5311815025")</f>
        <v>#NAME?</v>
      </c>
      <c r="J3486" s="24" t="e">
        <f ca="1">[1]!BexGetData("DP_1","003N8EMH8GTFRCSWKMPXRSGPQ","GSON5311815025")</f>
        <v>#NAME?</v>
      </c>
      <c r="K3486" s="23" t="e">
        <f ca="1">[1]!BexGetData("DP_1","003N8EMH8GTFRIVNUPY288VJH","GSON5311815025")</f>
        <v>#NAME?</v>
      </c>
      <c r="L3486" s="23" t="e">
        <f ca="1">[1]!BexGetData("DP_1","003N8EMH8GTFRIVNUPY2891V1","GSON5311815025")</f>
        <v>#NAME?</v>
      </c>
      <c r="M3486" s="28" t="e">
        <f ca="1">[1]!BexGetData("DP_1","003N8EMH8GTFRIVOG7KG9IQXA","GSON5311815025")</f>
        <v>#NAME?</v>
      </c>
      <c r="N3486" s="23" t="e">
        <f ca="1">[1]!BexGetData("DP_1","003N8EMH8GTFRIVOG7KG9IX8U","GSON5311815025")</f>
        <v>#NAME?</v>
      </c>
      <c r="O3486" s="28" t="e">
        <f ca="1">[1]!BexGetData("DP_1","003N8EMH8GTFRIVOG7KG9J3KE","GSON5311815025")</f>
        <v>#NAME?</v>
      </c>
      <c r="P3486" s="23" t="e">
        <f ca="1">[1]!BexGetData("DP_1","003N8EMH8GTFRIVOG7KG9J9VY","GSON5311815025")</f>
        <v>#NAME?</v>
      </c>
      <c r="Q3486" s="24" t="e">
        <f ca="1">[1]!BexGetData("DP_1","00O2TNJGODT0G5Z4TTKYMM5MT","GSON5311815025")</f>
        <v>#NAME?</v>
      </c>
      <c r="R3486" s="24" t="e">
        <f ca="1">[1]!BexGetData("DP_1","00O2TNJGODT0G5Z4TTKYMMBYD","GSON5311815025")</f>
        <v>#NAME?</v>
      </c>
      <c r="S3486" s="24" t="e">
        <f ca="1">[1]!BexGetData("DP_1","00O2TNJGODT0G5Z4TTKYMMI9X","GSON5311815025")</f>
        <v>#NAME?</v>
      </c>
      <c r="T3486" s="24" t="e">
        <f ca="1">[1]!BexGetData("DP_1","00O2TNJGODT0G5Z4TTKYMMOLH","GSON5311815025")</f>
        <v>#NAME?</v>
      </c>
      <c r="U3486" s="24" t="e">
        <f ca="1">[1]!BexGetData("DP_1","00O2TNJGODT0G5Z4TTKYMMUX1","GSON5311815025")</f>
        <v>#NAME?</v>
      </c>
      <c r="V3486" s="24" t="e">
        <f ca="1">[1]!BexGetData("DP_1","00O2TNJGODT0G5Z4TTKYMN18L","GSON5311815025")</f>
        <v>#NAME?</v>
      </c>
      <c r="W3486" s="24" t="e">
        <f ca="1">[1]!BexGetData("DP_1","00O2TNJGODT0G5Z4TTKYMN7K5","GSON5311815025")</f>
        <v>#NAME?</v>
      </c>
    </row>
    <row r="3487" spans="1:23" x14ac:dyDescent="0.2">
      <c r="A3487" s="36" t="s">
        <v>7056</v>
      </c>
      <c r="B3487" s="27" t="s">
        <v>1751</v>
      </c>
      <c r="C3487" s="24" t="e">
        <f ca="1">[1]!BexGetData("DP_1","003N8EMH8GTFRCSWKMPXRR8GU","GSON5311815031")</f>
        <v>#NAME?</v>
      </c>
      <c r="D3487" s="24" t="e">
        <f ca="1">[1]!BexGetData("DP_1","003N8EMH8GTFRCSWKMPXRRESE","GSON5311815031")</f>
        <v>#NAME?</v>
      </c>
      <c r="E3487" s="24" t="e">
        <f ca="1">[1]!BexGetData("DP_1","003N8EMH8GTFRCSWKMPXRRL3Y","GSON5311815031")</f>
        <v>#NAME?</v>
      </c>
      <c r="F3487" s="23" t="e">
        <f ca="1">[1]!BexGetData("DP_1","003N8EMH8GTFRCSWKMPXRRRFI","GSON5311815031")</f>
        <v>#NAME?</v>
      </c>
      <c r="G3487" s="23" t="e">
        <f ca="1">[1]!BexGetData("DP_1","003N8EMH8GTFRCSWKMPXRRXR2","GSON5311815031")</f>
        <v>#NAME?</v>
      </c>
      <c r="H3487" s="23" t="e">
        <f ca="1">[1]!BexGetData("DP_1","003N8EMH8GTFRCSWKMPXRS42M","GSON5311815031")</f>
        <v>#NAME?</v>
      </c>
      <c r="I3487" s="23" t="e">
        <f ca="1">[1]!BexGetData("DP_1","003N8EMH8GTFRCSWKMPXRSAE6","GSON5311815031")</f>
        <v>#NAME?</v>
      </c>
      <c r="J3487" s="24" t="e">
        <f ca="1">[1]!BexGetData("DP_1","003N8EMH8GTFRCSWKMPXRSGPQ","GSON5311815031")</f>
        <v>#NAME?</v>
      </c>
      <c r="K3487" s="23" t="e">
        <f ca="1">[1]!BexGetData("DP_1","003N8EMH8GTFRIVNUPY288VJH","GSON5311815031")</f>
        <v>#NAME?</v>
      </c>
      <c r="L3487" s="23" t="e">
        <f ca="1">[1]!BexGetData("DP_1","003N8EMH8GTFRIVNUPY2891V1","GSON5311815031")</f>
        <v>#NAME?</v>
      </c>
      <c r="M3487" s="23" t="e">
        <f ca="1">[1]!BexGetData("DP_1","003N8EMH8GTFRIVOG7KG9IQXA","GSON5311815031")</f>
        <v>#NAME?</v>
      </c>
      <c r="N3487" s="28" t="e">
        <f ca="1">[1]!BexGetData("DP_1","003N8EMH8GTFRIVOG7KG9IX8U","GSON5311815031")</f>
        <v>#NAME?</v>
      </c>
      <c r="O3487" s="23" t="e">
        <f ca="1">[1]!BexGetData("DP_1","003N8EMH8GTFRIVOG7KG9J3KE","GSON5311815031")</f>
        <v>#NAME?</v>
      </c>
      <c r="P3487" s="28" t="e">
        <f ca="1">[1]!BexGetData("DP_1","003N8EMH8GTFRIVOG7KG9J9VY","GSON5311815031")</f>
        <v>#NAME?</v>
      </c>
      <c r="Q3487" s="24" t="e">
        <f ca="1">[1]!BexGetData("DP_1","00O2TNJGODT0G5Z4TTKYMM5MT","GSON5311815031")</f>
        <v>#NAME?</v>
      </c>
      <c r="R3487" s="23" t="e">
        <f ca="1">[1]!BexGetData("DP_1","00O2TNJGODT0G5Z4TTKYMMBYD","GSON5311815031")</f>
        <v>#NAME?</v>
      </c>
      <c r="S3487" s="23" t="e">
        <f ca="1">[1]!BexGetData("DP_1","00O2TNJGODT0G5Z4TTKYMMI9X","GSON5311815031")</f>
        <v>#NAME?</v>
      </c>
      <c r="T3487" s="28" t="e">
        <f ca="1">[1]!BexGetData("DP_1","00O2TNJGODT0G5Z4TTKYMMOLH","GSON5311815031")</f>
        <v>#NAME?</v>
      </c>
      <c r="U3487" s="23" t="e">
        <f ca="1">[1]!BexGetData("DP_1","00O2TNJGODT0G5Z4TTKYMMUX1","GSON5311815031")</f>
        <v>#NAME?</v>
      </c>
      <c r="V3487" s="28" t="e">
        <f ca="1">[1]!BexGetData("DP_1","00O2TNJGODT0G5Z4TTKYMN18L","GSON5311815031")</f>
        <v>#NAME?</v>
      </c>
      <c r="W3487" s="23" t="e">
        <f ca="1">[1]!BexGetData("DP_1","00O2TNJGODT0G5Z4TTKYMN7K5","GSON5311815031")</f>
        <v>#NAME?</v>
      </c>
    </row>
    <row r="3488" spans="1:23" x14ac:dyDescent="0.2">
      <c r="A3488" s="36" t="s">
        <v>7057</v>
      </c>
      <c r="B3488" s="27" t="s">
        <v>7058</v>
      </c>
      <c r="C3488" s="23" t="e">
        <f ca="1">[1]!BexGetData("DP_1","003N8EMH8GTFRCSWKMPXRR8GU","GSON5311815035")</f>
        <v>#NAME?</v>
      </c>
      <c r="D3488" s="23" t="e">
        <f ca="1">[1]!BexGetData("DP_1","003N8EMH8GTFRCSWKMPXRRESE","GSON5311815035")</f>
        <v>#NAME?</v>
      </c>
      <c r="E3488" s="23" t="e">
        <f ca="1">[1]!BexGetData("DP_1","003N8EMH8GTFRCSWKMPXRRL3Y","GSON5311815035")</f>
        <v>#NAME?</v>
      </c>
      <c r="F3488" s="24" t="e">
        <f ca="1">[1]!BexGetData("DP_1","003N8EMH8GTFRCSWKMPXRRRFI","GSON5311815035")</f>
        <v>#NAME?</v>
      </c>
      <c r="G3488" s="24" t="e">
        <f ca="1">[1]!BexGetData("DP_1","003N8EMH8GTFRCSWKMPXRRXR2","GSON5311815035")</f>
        <v>#NAME?</v>
      </c>
      <c r="H3488" s="24" t="e">
        <f ca="1">[1]!BexGetData("DP_1","003N8EMH8GTFRCSWKMPXRS42M","GSON5311815035")</f>
        <v>#NAME?</v>
      </c>
      <c r="I3488" s="24" t="e">
        <f ca="1">[1]!BexGetData("DP_1","003N8EMH8GTFRCSWKMPXRSAE6","GSON5311815035")</f>
        <v>#NAME?</v>
      </c>
      <c r="J3488" s="24" t="e">
        <f ca="1">[1]!BexGetData("DP_1","003N8EMH8GTFRCSWKMPXRSGPQ","GSON5311815035")</f>
        <v>#NAME?</v>
      </c>
      <c r="K3488" s="23" t="e">
        <f ca="1">[1]!BexGetData("DP_1","003N8EMH8GTFRIVNUPY288VJH","GSON5311815035")</f>
        <v>#NAME?</v>
      </c>
      <c r="L3488" s="23" t="e">
        <f ca="1">[1]!BexGetData("DP_1","003N8EMH8GTFRIVNUPY2891V1","GSON5311815035")</f>
        <v>#NAME?</v>
      </c>
      <c r="M3488" s="28" t="e">
        <f ca="1">[1]!BexGetData("DP_1","003N8EMH8GTFRIVOG7KG9IQXA","GSON5311815035")</f>
        <v>#NAME?</v>
      </c>
      <c r="N3488" s="23" t="e">
        <f ca="1">[1]!BexGetData("DP_1","003N8EMH8GTFRIVOG7KG9IX8U","GSON5311815035")</f>
        <v>#NAME?</v>
      </c>
      <c r="O3488" s="28" t="e">
        <f ca="1">[1]!BexGetData("DP_1","003N8EMH8GTFRIVOG7KG9J3KE","GSON5311815035")</f>
        <v>#NAME?</v>
      </c>
      <c r="P3488" s="23" t="e">
        <f ca="1">[1]!BexGetData("DP_1","003N8EMH8GTFRIVOG7KG9J9VY","GSON5311815035")</f>
        <v>#NAME?</v>
      </c>
      <c r="Q3488" s="24" t="e">
        <f ca="1">[1]!BexGetData("DP_1","00O2TNJGODT0G5Z4TTKYMM5MT","GSON5311815035")</f>
        <v>#NAME?</v>
      </c>
      <c r="R3488" s="24" t="e">
        <f ca="1">[1]!BexGetData("DP_1","00O2TNJGODT0G5Z4TTKYMMBYD","GSON5311815035")</f>
        <v>#NAME?</v>
      </c>
      <c r="S3488" s="24" t="e">
        <f ca="1">[1]!BexGetData("DP_1","00O2TNJGODT0G5Z4TTKYMMI9X","GSON5311815035")</f>
        <v>#NAME?</v>
      </c>
      <c r="T3488" s="24" t="e">
        <f ca="1">[1]!BexGetData("DP_1","00O2TNJGODT0G5Z4TTKYMMOLH","GSON5311815035")</f>
        <v>#NAME?</v>
      </c>
      <c r="U3488" s="24" t="e">
        <f ca="1">[1]!BexGetData("DP_1","00O2TNJGODT0G5Z4TTKYMMUX1","GSON5311815035")</f>
        <v>#NAME?</v>
      </c>
      <c r="V3488" s="24" t="e">
        <f ca="1">[1]!BexGetData("DP_1","00O2TNJGODT0G5Z4TTKYMN18L","GSON5311815035")</f>
        <v>#NAME?</v>
      </c>
      <c r="W3488" s="24" t="e">
        <f ca="1">[1]!BexGetData("DP_1","00O2TNJGODT0G5Z4TTKYMN7K5","GSON5311815035")</f>
        <v>#NAME?</v>
      </c>
    </row>
    <row r="3489" spans="1:23" x14ac:dyDescent="0.2">
      <c r="A3489" s="36" t="s">
        <v>7059</v>
      </c>
      <c r="B3489" s="27" t="s">
        <v>1752</v>
      </c>
      <c r="C3489" s="24" t="e">
        <f ca="1">[1]!BexGetData("DP_1","003N8EMH8GTFRCSWKMPXRR8GU","GSON5311815041")</f>
        <v>#NAME?</v>
      </c>
      <c r="D3489" s="24" t="e">
        <f ca="1">[1]!BexGetData("DP_1","003N8EMH8GTFRCSWKMPXRRESE","GSON5311815041")</f>
        <v>#NAME?</v>
      </c>
      <c r="E3489" s="24" t="e">
        <f ca="1">[1]!BexGetData("DP_1","003N8EMH8GTFRCSWKMPXRRL3Y","GSON5311815041")</f>
        <v>#NAME?</v>
      </c>
      <c r="F3489" s="23" t="e">
        <f ca="1">[1]!BexGetData("DP_1","003N8EMH8GTFRCSWKMPXRRRFI","GSON5311815041")</f>
        <v>#NAME?</v>
      </c>
      <c r="G3489" s="23" t="e">
        <f ca="1">[1]!BexGetData("DP_1","003N8EMH8GTFRCSWKMPXRRXR2","GSON5311815041")</f>
        <v>#NAME?</v>
      </c>
      <c r="H3489" s="23" t="e">
        <f ca="1">[1]!BexGetData("DP_1","003N8EMH8GTFRCSWKMPXRS42M","GSON5311815041")</f>
        <v>#NAME?</v>
      </c>
      <c r="I3489" s="23" t="e">
        <f ca="1">[1]!BexGetData("DP_1","003N8EMH8GTFRCSWKMPXRSAE6","GSON5311815041")</f>
        <v>#NAME?</v>
      </c>
      <c r="J3489" s="24" t="e">
        <f ca="1">[1]!BexGetData("DP_1","003N8EMH8GTFRCSWKMPXRSGPQ","GSON5311815041")</f>
        <v>#NAME?</v>
      </c>
      <c r="K3489" s="23" t="e">
        <f ca="1">[1]!BexGetData("DP_1","003N8EMH8GTFRIVNUPY288VJH","GSON5311815041")</f>
        <v>#NAME?</v>
      </c>
      <c r="L3489" s="23" t="e">
        <f ca="1">[1]!BexGetData("DP_1","003N8EMH8GTFRIVNUPY2891V1","GSON5311815041")</f>
        <v>#NAME?</v>
      </c>
      <c r="M3489" s="23" t="e">
        <f ca="1">[1]!BexGetData("DP_1","003N8EMH8GTFRIVOG7KG9IQXA","GSON5311815041")</f>
        <v>#NAME?</v>
      </c>
      <c r="N3489" s="28" t="e">
        <f ca="1">[1]!BexGetData("DP_1","003N8EMH8GTFRIVOG7KG9IX8U","GSON5311815041")</f>
        <v>#NAME?</v>
      </c>
      <c r="O3489" s="23" t="e">
        <f ca="1">[1]!BexGetData("DP_1","003N8EMH8GTFRIVOG7KG9J3KE","GSON5311815041")</f>
        <v>#NAME?</v>
      </c>
      <c r="P3489" s="28" t="e">
        <f ca="1">[1]!BexGetData("DP_1","003N8EMH8GTFRIVOG7KG9J9VY","GSON5311815041")</f>
        <v>#NAME?</v>
      </c>
      <c r="Q3489" s="24" t="e">
        <f ca="1">[1]!BexGetData("DP_1","00O2TNJGODT0G5Z4TTKYMM5MT","GSON5311815041")</f>
        <v>#NAME?</v>
      </c>
      <c r="R3489" s="23" t="e">
        <f ca="1">[1]!BexGetData("DP_1","00O2TNJGODT0G5Z4TTKYMMBYD","GSON5311815041")</f>
        <v>#NAME?</v>
      </c>
      <c r="S3489" s="23" t="e">
        <f ca="1">[1]!BexGetData("DP_1","00O2TNJGODT0G5Z4TTKYMMI9X","GSON5311815041")</f>
        <v>#NAME?</v>
      </c>
      <c r="T3489" s="28" t="e">
        <f ca="1">[1]!BexGetData("DP_1","00O2TNJGODT0G5Z4TTKYMMOLH","GSON5311815041")</f>
        <v>#NAME?</v>
      </c>
      <c r="U3489" s="23" t="e">
        <f ca="1">[1]!BexGetData("DP_1","00O2TNJGODT0G5Z4TTKYMMUX1","GSON5311815041")</f>
        <v>#NAME?</v>
      </c>
      <c r="V3489" s="28" t="e">
        <f ca="1">[1]!BexGetData("DP_1","00O2TNJGODT0G5Z4TTKYMN18L","GSON5311815041")</f>
        <v>#NAME?</v>
      </c>
      <c r="W3489" s="23" t="e">
        <f ca="1">[1]!BexGetData("DP_1","00O2TNJGODT0G5Z4TTKYMN7K5","GSON5311815041")</f>
        <v>#NAME?</v>
      </c>
    </row>
    <row r="3490" spans="1:23" x14ac:dyDescent="0.2">
      <c r="A3490" s="36" t="s">
        <v>7060</v>
      </c>
      <c r="B3490" s="27" t="s">
        <v>7061</v>
      </c>
      <c r="C3490" s="23" t="e">
        <f ca="1">[1]!BexGetData("DP_1","003N8EMH8GTFRCSWKMPXRR8GU","GSON5311815045")</f>
        <v>#NAME?</v>
      </c>
      <c r="D3490" s="23" t="e">
        <f ca="1">[1]!BexGetData("DP_1","003N8EMH8GTFRCSWKMPXRRESE","GSON5311815045")</f>
        <v>#NAME?</v>
      </c>
      <c r="E3490" s="23" t="e">
        <f ca="1">[1]!BexGetData("DP_1","003N8EMH8GTFRCSWKMPXRRL3Y","GSON5311815045")</f>
        <v>#NAME?</v>
      </c>
      <c r="F3490" s="24" t="e">
        <f ca="1">[1]!BexGetData("DP_1","003N8EMH8GTFRCSWKMPXRRRFI","GSON5311815045")</f>
        <v>#NAME?</v>
      </c>
      <c r="G3490" s="24" t="e">
        <f ca="1">[1]!BexGetData("DP_1","003N8EMH8GTFRCSWKMPXRRXR2","GSON5311815045")</f>
        <v>#NAME?</v>
      </c>
      <c r="H3490" s="24" t="e">
        <f ca="1">[1]!BexGetData("DP_1","003N8EMH8GTFRCSWKMPXRS42M","GSON5311815045")</f>
        <v>#NAME?</v>
      </c>
      <c r="I3490" s="24" t="e">
        <f ca="1">[1]!BexGetData("DP_1","003N8EMH8GTFRCSWKMPXRSAE6","GSON5311815045")</f>
        <v>#NAME?</v>
      </c>
      <c r="J3490" s="24" t="e">
        <f ca="1">[1]!BexGetData("DP_1","003N8EMH8GTFRCSWKMPXRSGPQ","GSON5311815045")</f>
        <v>#NAME?</v>
      </c>
      <c r="K3490" s="23" t="e">
        <f ca="1">[1]!BexGetData("DP_1","003N8EMH8GTFRIVNUPY288VJH","GSON5311815045")</f>
        <v>#NAME?</v>
      </c>
      <c r="L3490" s="23" t="e">
        <f ca="1">[1]!BexGetData("DP_1","003N8EMH8GTFRIVNUPY2891V1","GSON5311815045")</f>
        <v>#NAME?</v>
      </c>
      <c r="M3490" s="28" t="e">
        <f ca="1">[1]!BexGetData("DP_1","003N8EMH8GTFRIVOG7KG9IQXA","GSON5311815045")</f>
        <v>#NAME?</v>
      </c>
      <c r="N3490" s="23" t="e">
        <f ca="1">[1]!BexGetData("DP_1","003N8EMH8GTFRIVOG7KG9IX8U","GSON5311815045")</f>
        <v>#NAME?</v>
      </c>
      <c r="O3490" s="28" t="e">
        <f ca="1">[1]!BexGetData("DP_1","003N8EMH8GTFRIVOG7KG9J3KE","GSON5311815045")</f>
        <v>#NAME?</v>
      </c>
      <c r="P3490" s="23" t="e">
        <f ca="1">[1]!BexGetData("DP_1","003N8EMH8GTFRIVOG7KG9J9VY","GSON5311815045")</f>
        <v>#NAME?</v>
      </c>
      <c r="Q3490" s="24" t="e">
        <f ca="1">[1]!BexGetData("DP_1","00O2TNJGODT0G5Z4TTKYMM5MT","GSON5311815045")</f>
        <v>#NAME?</v>
      </c>
      <c r="R3490" s="24" t="e">
        <f ca="1">[1]!BexGetData("DP_1","00O2TNJGODT0G5Z4TTKYMMBYD","GSON5311815045")</f>
        <v>#NAME?</v>
      </c>
      <c r="S3490" s="24" t="e">
        <f ca="1">[1]!BexGetData("DP_1","00O2TNJGODT0G5Z4TTKYMMI9X","GSON5311815045")</f>
        <v>#NAME?</v>
      </c>
      <c r="T3490" s="24" t="e">
        <f ca="1">[1]!BexGetData("DP_1","00O2TNJGODT0G5Z4TTKYMMOLH","GSON5311815045")</f>
        <v>#NAME?</v>
      </c>
      <c r="U3490" s="24" t="e">
        <f ca="1">[1]!BexGetData("DP_1","00O2TNJGODT0G5Z4TTKYMMUX1","GSON5311815045")</f>
        <v>#NAME?</v>
      </c>
      <c r="V3490" s="24" t="e">
        <f ca="1">[1]!BexGetData("DP_1","00O2TNJGODT0G5Z4TTKYMN18L","GSON5311815045")</f>
        <v>#NAME?</v>
      </c>
      <c r="W3490" s="24" t="e">
        <f ca="1">[1]!BexGetData("DP_1","00O2TNJGODT0G5Z4TTKYMN7K5","GSON5311815045")</f>
        <v>#NAME?</v>
      </c>
    </row>
    <row r="3491" spans="1:23" x14ac:dyDescent="0.2">
      <c r="A3491" s="36" t="s">
        <v>7062</v>
      </c>
      <c r="B3491" s="27" t="s">
        <v>1753</v>
      </c>
      <c r="C3491" s="24" t="e">
        <f ca="1">[1]!BexGetData("DP_1","003N8EMH8GTFRCSWKMPXRR8GU","GSON5311815051")</f>
        <v>#NAME?</v>
      </c>
      <c r="D3491" s="24" t="e">
        <f ca="1">[1]!BexGetData("DP_1","003N8EMH8GTFRCSWKMPXRRESE","GSON5311815051")</f>
        <v>#NAME?</v>
      </c>
      <c r="E3491" s="24" t="e">
        <f ca="1">[1]!BexGetData("DP_1","003N8EMH8GTFRCSWKMPXRRL3Y","GSON5311815051")</f>
        <v>#NAME?</v>
      </c>
      <c r="F3491" s="23" t="e">
        <f ca="1">[1]!BexGetData("DP_1","003N8EMH8GTFRCSWKMPXRRRFI","GSON5311815051")</f>
        <v>#NAME?</v>
      </c>
      <c r="G3491" s="23" t="e">
        <f ca="1">[1]!BexGetData("DP_1","003N8EMH8GTFRCSWKMPXRRXR2","GSON5311815051")</f>
        <v>#NAME?</v>
      </c>
      <c r="H3491" s="23" t="e">
        <f ca="1">[1]!BexGetData("DP_1","003N8EMH8GTFRCSWKMPXRS42M","GSON5311815051")</f>
        <v>#NAME?</v>
      </c>
      <c r="I3491" s="23" t="e">
        <f ca="1">[1]!BexGetData("DP_1","003N8EMH8GTFRCSWKMPXRSAE6","GSON5311815051")</f>
        <v>#NAME?</v>
      </c>
      <c r="J3491" s="24" t="e">
        <f ca="1">[1]!BexGetData("DP_1","003N8EMH8GTFRCSWKMPXRSGPQ","GSON5311815051")</f>
        <v>#NAME?</v>
      </c>
      <c r="K3491" s="23" t="e">
        <f ca="1">[1]!BexGetData("DP_1","003N8EMH8GTFRIVNUPY288VJH","GSON5311815051")</f>
        <v>#NAME?</v>
      </c>
      <c r="L3491" s="23" t="e">
        <f ca="1">[1]!BexGetData("DP_1","003N8EMH8GTFRIVNUPY2891V1","GSON5311815051")</f>
        <v>#NAME?</v>
      </c>
      <c r="M3491" s="23" t="e">
        <f ca="1">[1]!BexGetData("DP_1","003N8EMH8GTFRIVOG7KG9IQXA","GSON5311815051")</f>
        <v>#NAME?</v>
      </c>
      <c r="N3491" s="28" t="e">
        <f ca="1">[1]!BexGetData("DP_1","003N8EMH8GTFRIVOG7KG9IX8U","GSON5311815051")</f>
        <v>#NAME?</v>
      </c>
      <c r="O3491" s="23" t="e">
        <f ca="1">[1]!BexGetData("DP_1","003N8EMH8GTFRIVOG7KG9J3KE","GSON5311815051")</f>
        <v>#NAME?</v>
      </c>
      <c r="P3491" s="28" t="e">
        <f ca="1">[1]!BexGetData("DP_1","003N8EMH8GTFRIVOG7KG9J9VY","GSON5311815051")</f>
        <v>#NAME?</v>
      </c>
      <c r="Q3491" s="24" t="e">
        <f ca="1">[1]!BexGetData("DP_1","00O2TNJGODT0G5Z4TTKYMM5MT","GSON5311815051")</f>
        <v>#NAME?</v>
      </c>
      <c r="R3491" s="23" t="e">
        <f ca="1">[1]!BexGetData("DP_1","00O2TNJGODT0G5Z4TTKYMMBYD","GSON5311815051")</f>
        <v>#NAME?</v>
      </c>
      <c r="S3491" s="23" t="e">
        <f ca="1">[1]!BexGetData("DP_1","00O2TNJGODT0G5Z4TTKYMMI9X","GSON5311815051")</f>
        <v>#NAME?</v>
      </c>
      <c r="T3491" s="28" t="e">
        <f ca="1">[1]!BexGetData("DP_1","00O2TNJGODT0G5Z4TTKYMMOLH","GSON5311815051")</f>
        <v>#NAME?</v>
      </c>
      <c r="U3491" s="23" t="e">
        <f ca="1">[1]!BexGetData("DP_1","00O2TNJGODT0G5Z4TTKYMMUX1","GSON5311815051")</f>
        <v>#NAME?</v>
      </c>
      <c r="V3491" s="28" t="e">
        <f ca="1">[1]!BexGetData("DP_1","00O2TNJGODT0G5Z4TTKYMN18L","GSON5311815051")</f>
        <v>#NAME?</v>
      </c>
      <c r="W3491" s="23" t="e">
        <f ca="1">[1]!BexGetData("DP_1","00O2TNJGODT0G5Z4TTKYMN7K5","GSON5311815051")</f>
        <v>#NAME?</v>
      </c>
    </row>
    <row r="3492" spans="1:23" x14ac:dyDescent="0.2">
      <c r="A3492" s="36" t="s">
        <v>7063</v>
      </c>
      <c r="B3492" s="27" t="s">
        <v>7064</v>
      </c>
      <c r="C3492" s="23" t="e">
        <f ca="1">[1]!BexGetData("DP_1","003N8EMH8GTFRCSWKMPXRR8GU","GSON5311815055")</f>
        <v>#NAME?</v>
      </c>
      <c r="D3492" s="23" t="e">
        <f ca="1">[1]!BexGetData("DP_1","003N8EMH8GTFRCSWKMPXRRESE","GSON5311815055")</f>
        <v>#NAME?</v>
      </c>
      <c r="E3492" s="23" t="e">
        <f ca="1">[1]!BexGetData("DP_1","003N8EMH8GTFRCSWKMPXRRL3Y","GSON5311815055")</f>
        <v>#NAME?</v>
      </c>
      <c r="F3492" s="24" t="e">
        <f ca="1">[1]!BexGetData("DP_1","003N8EMH8GTFRCSWKMPXRRRFI","GSON5311815055")</f>
        <v>#NAME?</v>
      </c>
      <c r="G3492" s="24" t="e">
        <f ca="1">[1]!BexGetData("DP_1","003N8EMH8GTFRCSWKMPXRRXR2","GSON5311815055")</f>
        <v>#NAME?</v>
      </c>
      <c r="H3492" s="24" t="e">
        <f ca="1">[1]!BexGetData("DP_1","003N8EMH8GTFRCSWKMPXRS42M","GSON5311815055")</f>
        <v>#NAME?</v>
      </c>
      <c r="I3492" s="24" t="e">
        <f ca="1">[1]!BexGetData("DP_1","003N8EMH8GTFRCSWKMPXRSAE6","GSON5311815055")</f>
        <v>#NAME?</v>
      </c>
      <c r="J3492" s="24" t="e">
        <f ca="1">[1]!BexGetData("DP_1","003N8EMH8GTFRCSWKMPXRSGPQ","GSON5311815055")</f>
        <v>#NAME?</v>
      </c>
      <c r="K3492" s="23" t="e">
        <f ca="1">[1]!BexGetData("DP_1","003N8EMH8GTFRIVNUPY288VJH","GSON5311815055")</f>
        <v>#NAME?</v>
      </c>
      <c r="L3492" s="23" t="e">
        <f ca="1">[1]!BexGetData("DP_1","003N8EMH8GTFRIVNUPY2891V1","GSON5311815055")</f>
        <v>#NAME?</v>
      </c>
      <c r="M3492" s="28" t="e">
        <f ca="1">[1]!BexGetData("DP_1","003N8EMH8GTFRIVOG7KG9IQXA","GSON5311815055")</f>
        <v>#NAME?</v>
      </c>
      <c r="N3492" s="23" t="e">
        <f ca="1">[1]!BexGetData("DP_1","003N8EMH8GTFRIVOG7KG9IX8U","GSON5311815055")</f>
        <v>#NAME?</v>
      </c>
      <c r="O3492" s="28" t="e">
        <f ca="1">[1]!BexGetData("DP_1","003N8EMH8GTFRIVOG7KG9J3KE","GSON5311815055")</f>
        <v>#NAME?</v>
      </c>
      <c r="P3492" s="23" t="e">
        <f ca="1">[1]!BexGetData("DP_1","003N8EMH8GTFRIVOG7KG9J9VY","GSON5311815055")</f>
        <v>#NAME?</v>
      </c>
      <c r="Q3492" s="24" t="e">
        <f ca="1">[1]!BexGetData("DP_1","00O2TNJGODT0G5Z4TTKYMM5MT","GSON5311815055")</f>
        <v>#NAME?</v>
      </c>
      <c r="R3492" s="24" t="e">
        <f ca="1">[1]!BexGetData("DP_1","00O2TNJGODT0G5Z4TTKYMMBYD","GSON5311815055")</f>
        <v>#NAME?</v>
      </c>
      <c r="S3492" s="24" t="e">
        <f ca="1">[1]!BexGetData("DP_1","00O2TNJGODT0G5Z4TTKYMMI9X","GSON5311815055")</f>
        <v>#NAME?</v>
      </c>
      <c r="T3492" s="24" t="e">
        <f ca="1">[1]!BexGetData("DP_1","00O2TNJGODT0G5Z4TTKYMMOLH","GSON5311815055")</f>
        <v>#NAME?</v>
      </c>
      <c r="U3492" s="24" t="e">
        <f ca="1">[1]!BexGetData("DP_1","00O2TNJGODT0G5Z4TTKYMMUX1","GSON5311815055")</f>
        <v>#NAME?</v>
      </c>
      <c r="V3492" s="24" t="e">
        <f ca="1">[1]!BexGetData("DP_1","00O2TNJGODT0G5Z4TTKYMN18L","GSON5311815055")</f>
        <v>#NAME?</v>
      </c>
      <c r="W3492" s="24" t="e">
        <f ca="1">[1]!BexGetData("DP_1","00O2TNJGODT0G5Z4TTKYMN7K5","GSON5311815055")</f>
        <v>#NAME?</v>
      </c>
    </row>
    <row r="3493" spans="1:23" x14ac:dyDescent="0.2">
      <c r="A3493" s="36" t="s">
        <v>7065</v>
      </c>
      <c r="B3493" s="27" t="s">
        <v>1754</v>
      </c>
      <c r="C3493" s="24" t="e">
        <f ca="1">[1]!BexGetData("DP_1","003N8EMH8GTFRCSWKMPXRR8GU","GSON5311815061")</f>
        <v>#NAME?</v>
      </c>
      <c r="D3493" s="24" t="e">
        <f ca="1">[1]!BexGetData("DP_1","003N8EMH8GTFRCSWKMPXRRESE","GSON5311815061")</f>
        <v>#NAME?</v>
      </c>
      <c r="E3493" s="24" t="e">
        <f ca="1">[1]!BexGetData("DP_1","003N8EMH8GTFRCSWKMPXRRL3Y","GSON5311815061")</f>
        <v>#NAME?</v>
      </c>
      <c r="F3493" s="23" t="e">
        <f ca="1">[1]!BexGetData("DP_1","003N8EMH8GTFRCSWKMPXRRRFI","GSON5311815061")</f>
        <v>#NAME?</v>
      </c>
      <c r="G3493" s="23" t="e">
        <f ca="1">[1]!BexGetData("DP_1","003N8EMH8GTFRCSWKMPXRRXR2","GSON5311815061")</f>
        <v>#NAME?</v>
      </c>
      <c r="H3493" s="23" t="e">
        <f ca="1">[1]!BexGetData("DP_1","003N8EMH8GTFRCSWKMPXRS42M","GSON5311815061")</f>
        <v>#NAME?</v>
      </c>
      <c r="I3493" s="23" t="e">
        <f ca="1">[1]!BexGetData("DP_1","003N8EMH8GTFRCSWKMPXRSAE6","GSON5311815061")</f>
        <v>#NAME?</v>
      </c>
      <c r="J3493" s="24" t="e">
        <f ca="1">[1]!BexGetData("DP_1","003N8EMH8GTFRCSWKMPXRSGPQ","GSON5311815061")</f>
        <v>#NAME?</v>
      </c>
      <c r="K3493" s="23" t="e">
        <f ca="1">[1]!BexGetData("DP_1","003N8EMH8GTFRIVNUPY288VJH","GSON5311815061")</f>
        <v>#NAME?</v>
      </c>
      <c r="L3493" s="23" t="e">
        <f ca="1">[1]!BexGetData("DP_1","003N8EMH8GTFRIVNUPY2891V1","GSON5311815061")</f>
        <v>#NAME?</v>
      </c>
      <c r="M3493" s="23" t="e">
        <f ca="1">[1]!BexGetData("DP_1","003N8EMH8GTFRIVOG7KG9IQXA","GSON5311815061")</f>
        <v>#NAME?</v>
      </c>
      <c r="N3493" s="28" t="e">
        <f ca="1">[1]!BexGetData("DP_1","003N8EMH8GTFRIVOG7KG9IX8U","GSON5311815061")</f>
        <v>#NAME?</v>
      </c>
      <c r="O3493" s="23" t="e">
        <f ca="1">[1]!BexGetData("DP_1","003N8EMH8GTFRIVOG7KG9J3KE","GSON5311815061")</f>
        <v>#NAME?</v>
      </c>
      <c r="P3493" s="28" t="e">
        <f ca="1">[1]!BexGetData("DP_1","003N8EMH8GTFRIVOG7KG9J9VY","GSON5311815061")</f>
        <v>#NAME?</v>
      </c>
      <c r="Q3493" s="24" t="e">
        <f ca="1">[1]!BexGetData("DP_1","00O2TNJGODT0G5Z4TTKYMM5MT","GSON5311815061")</f>
        <v>#NAME?</v>
      </c>
      <c r="R3493" s="23" t="e">
        <f ca="1">[1]!BexGetData("DP_1","00O2TNJGODT0G5Z4TTKYMMBYD","GSON5311815061")</f>
        <v>#NAME?</v>
      </c>
      <c r="S3493" s="23" t="e">
        <f ca="1">[1]!BexGetData("DP_1","00O2TNJGODT0G5Z4TTKYMMI9X","GSON5311815061")</f>
        <v>#NAME?</v>
      </c>
      <c r="T3493" s="28" t="e">
        <f ca="1">[1]!BexGetData("DP_1","00O2TNJGODT0G5Z4TTKYMMOLH","GSON5311815061")</f>
        <v>#NAME?</v>
      </c>
      <c r="U3493" s="23" t="e">
        <f ca="1">[1]!BexGetData("DP_1","00O2TNJGODT0G5Z4TTKYMMUX1","GSON5311815061")</f>
        <v>#NAME?</v>
      </c>
      <c r="V3493" s="28" t="e">
        <f ca="1">[1]!BexGetData("DP_1","00O2TNJGODT0G5Z4TTKYMN18L","GSON5311815061")</f>
        <v>#NAME?</v>
      </c>
      <c r="W3493" s="23" t="e">
        <f ca="1">[1]!BexGetData("DP_1","00O2TNJGODT0G5Z4TTKYMN7K5","GSON5311815061")</f>
        <v>#NAME?</v>
      </c>
    </row>
    <row r="3494" spans="1:23" x14ac:dyDescent="0.2">
      <c r="A3494" s="36" t="s">
        <v>7066</v>
      </c>
      <c r="B3494" s="27" t="s">
        <v>7067</v>
      </c>
      <c r="C3494" s="23" t="e">
        <f ca="1">[1]!BexGetData("DP_1","003N8EMH8GTFRCSWKMPXRR8GU","GSON5311815065")</f>
        <v>#NAME?</v>
      </c>
      <c r="D3494" s="23" t="e">
        <f ca="1">[1]!BexGetData("DP_1","003N8EMH8GTFRCSWKMPXRRESE","GSON5311815065")</f>
        <v>#NAME?</v>
      </c>
      <c r="E3494" s="23" t="e">
        <f ca="1">[1]!BexGetData("DP_1","003N8EMH8GTFRCSWKMPXRRL3Y","GSON5311815065")</f>
        <v>#NAME?</v>
      </c>
      <c r="F3494" s="24" t="e">
        <f ca="1">[1]!BexGetData("DP_1","003N8EMH8GTFRCSWKMPXRRRFI","GSON5311815065")</f>
        <v>#NAME?</v>
      </c>
      <c r="G3494" s="24" t="e">
        <f ca="1">[1]!BexGetData("DP_1","003N8EMH8GTFRCSWKMPXRRXR2","GSON5311815065")</f>
        <v>#NAME?</v>
      </c>
      <c r="H3494" s="24" t="e">
        <f ca="1">[1]!BexGetData("DP_1","003N8EMH8GTFRCSWKMPXRS42M","GSON5311815065")</f>
        <v>#NAME?</v>
      </c>
      <c r="I3494" s="24" t="e">
        <f ca="1">[1]!BexGetData("DP_1","003N8EMH8GTFRCSWKMPXRSAE6","GSON5311815065")</f>
        <v>#NAME?</v>
      </c>
      <c r="J3494" s="24" t="e">
        <f ca="1">[1]!BexGetData("DP_1","003N8EMH8GTFRCSWKMPXRSGPQ","GSON5311815065")</f>
        <v>#NAME?</v>
      </c>
      <c r="K3494" s="23" t="e">
        <f ca="1">[1]!BexGetData("DP_1","003N8EMH8GTFRIVNUPY288VJH","GSON5311815065")</f>
        <v>#NAME?</v>
      </c>
      <c r="L3494" s="23" t="e">
        <f ca="1">[1]!BexGetData("DP_1","003N8EMH8GTFRIVNUPY2891V1","GSON5311815065")</f>
        <v>#NAME?</v>
      </c>
      <c r="M3494" s="28" t="e">
        <f ca="1">[1]!BexGetData("DP_1","003N8EMH8GTFRIVOG7KG9IQXA","GSON5311815065")</f>
        <v>#NAME?</v>
      </c>
      <c r="N3494" s="23" t="e">
        <f ca="1">[1]!BexGetData("DP_1","003N8EMH8GTFRIVOG7KG9IX8U","GSON5311815065")</f>
        <v>#NAME?</v>
      </c>
      <c r="O3494" s="28" t="e">
        <f ca="1">[1]!BexGetData("DP_1","003N8EMH8GTFRIVOG7KG9J3KE","GSON5311815065")</f>
        <v>#NAME?</v>
      </c>
      <c r="P3494" s="23" t="e">
        <f ca="1">[1]!BexGetData("DP_1","003N8EMH8GTFRIVOG7KG9J9VY","GSON5311815065")</f>
        <v>#NAME?</v>
      </c>
      <c r="Q3494" s="24" t="e">
        <f ca="1">[1]!BexGetData("DP_1","00O2TNJGODT0G5Z4TTKYMM5MT","GSON5311815065")</f>
        <v>#NAME?</v>
      </c>
      <c r="R3494" s="24" t="e">
        <f ca="1">[1]!BexGetData("DP_1","00O2TNJGODT0G5Z4TTKYMMBYD","GSON5311815065")</f>
        <v>#NAME?</v>
      </c>
      <c r="S3494" s="24" t="e">
        <f ca="1">[1]!BexGetData("DP_1","00O2TNJGODT0G5Z4TTKYMMI9X","GSON5311815065")</f>
        <v>#NAME?</v>
      </c>
      <c r="T3494" s="24" t="e">
        <f ca="1">[1]!BexGetData("DP_1","00O2TNJGODT0G5Z4TTKYMMOLH","GSON5311815065")</f>
        <v>#NAME?</v>
      </c>
      <c r="U3494" s="24" t="e">
        <f ca="1">[1]!BexGetData("DP_1","00O2TNJGODT0G5Z4TTKYMMUX1","GSON5311815065")</f>
        <v>#NAME?</v>
      </c>
      <c r="V3494" s="24" t="e">
        <f ca="1">[1]!BexGetData("DP_1","00O2TNJGODT0G5Z4TTKYMN18L","GSON5311815065")</f>
        <v>#NAME?</v>
      </c>
      <c r="W3494" s="24" t="e">
        <f ca="1">[1]!BexGetData("DP_1","00O2TNJGODT0G5Z4TTKYMN7K5","GSON5311815065")</f>
        <v>#NAME?</v>
      </c>
    </row>
    <row r="3495" spans="1:23" x14ac:dyDescent="0.2">
      <c r="A3495" s="36" t="s">
        <v>7068</v>
      </c>
      <c r="B3495" s="27" t="s">
        <v>7069</v>
      </c>
      <c r="C3495" s="23" t="e">
        <f ca="1">[1]!BexGetData("DP_1","003N8EMH8GTFRCSWKMPXRR8GU","GSON5311815071")</f>
        <v>#NAME?</v>
      </c>
      <c r="D3495" s="28" t="e">
        <f ca="1">[1]!BexGetData("DP_1","003N8EMH8GTFRCSWKMPXRRESE","GSON5311815071")</f>
        <v>#NAME?</v>
      </c>
      <c r="E3495" s="23" t="e">
        <f ca="1">[1]!BexGetData("DP_1","003N8EMH8GTFRCSWKMPXRRL3Y","GSON5311815071")</f>
        <v>#NAME?</v>
      </c>
      <c r="F3495" s="24" t="e">
        <f ca="1">[1]!BexGetData("DP_1","003N8EMH8GTFRCSWKMPXRRRFI","GSON5311815071")</f>
        <v>#NAME?</v>
      </c>
      <c r="G3495" s="24" t="e">
        <f ca="1">[1]!BexGetData("DP_1","003N8EMH8GTFRCSWKMPXRRXR2","GSON5311815071")</f>
        <v>#NAME?</v>
      </c>
      <c r="H3495" s="24" t="e">
        <f ca="1">[1]!BexGetData("DP_1","003N8EMH8GTFRCSWKMPXRS42M","GSON5311815071")</f>
        <v>#NAME?</v>
      </c>
      <c r="I3495" s="24" t="e">
        <f ca="1">[1]!BexGetData("DP_1","003N8EMH8GTFRCSWKMPXRSAE6","GSON5311815071")</f>
        <v>#NAME?</v>
      </c>
      <c r="J3495" s="24" t="e">
        <f ca="1">[1]!BexGetData("DP_1","003N8EMH8GTFRCSWKMPXRSGPQ","GSON5311815071")</f>
        <v>#NAME?</v>
      </c>
      <c r="K3495" s="23" t="e">
        <f ca="1">[1]!BexGetData("DP_1","003N8EMH8GTFRIVNUPY288VJH","GSON5311815071")</f>
        <v>#NAME?</v>
      </c>
      <c r="L3495" s="23" t="e">
        <f ca="1">[1]!BexGetData("DP_1","003N8EMH8GTFRIVNUPY2891V1","GSON5311815071")</f>
        <v>#NAME?</v>
      </c>
      <c r="M3495" s="28" t="e">
        <f ca="1">[1]!BexGetData("DP_1","003N8EMH8GTFRIVOG7KG9IQXA","GSON5311815071")</f>
        <v>#NAME?</v>
      </c>
      <c r="N3495" s="23" t="e">
        <f ca="1">[1]!BexGetData("DP_1","003N8EMH8GTFRIVOG7KG9IX8U","GSON5311815071")</f>
        <v>#NAME?</v>
      </c>
      <c r="O3495" s="28" t="e">
        <f ca="1">[1]!BexGetData("DP_1","003N8EMH8GTFRIVOG7KG9J3KE","GSON5311815071")</f>
        <v>#NAME?</v>
      </c>
      <c r="P3495" s="23" t="e">
        <f ca="1">[1]!BexGetData("DP_1","003N8EMH8GTFRIVOG7KG9J9VY","GSON5311815071")</f>
        <v>#NAME?</v>
      </c>
      <c r="Q3495" s="24" t="e">
        <f ca="1">[1]!BexGetData("DP_1","00O2TNJGODT0G5Z4TTKYMM5MT","GSON5311815071")</f>
        <v>#NAME?</v>
      </c>
      <c r="R3495" s="24" t="e">
        <f ca="1">[1]!BexGetData("DP_1","00O2TNJGODT0G5Z4TTKYMMBYD","GSON5311815071")</f>
        <v>#NAME?</v>
      </c>
      <c r="S3495" s="24" t="e">
        <f ca="1">[1]!BexGetData("DP_1","00O2TNJGODT0G5Z4TTKYMMI9X","GSON5311815071")</f>
        <v>#NAME?</v>
      </c>
      <c r="T3495" s="24" t="e">
        <f ca="1">[1]!BexGetData("DP_1","00O2TNJGODT0G5Z4TTKYMMOLH","GSON5311815071")</f>
        <v>#NAME?</v>
      </c>
      <c r="U3495" s="24" t="e">
        <f ca="1">[1]!BexGetData("DP_1","00O2TNJGODT0G5Z4TTKYMMUX1","GSON5311815071")</f>
        <v>#NAME?</v>
      </c>
      <c r="V3495" s="24" t="e">
        <f ca="1">[1]!BexGetData("DP_1","00O2TNJGODT0G5Z4TTKYMN18L","GSON5311815071")</f>
        <v>#NAME?</v>
      </c>
      <c r="W3495" s="24" t="e">
        <f ca="1">[1]!BexGetData("DP_1","00O2TNJGODT0G5Z4TTKYMN7K5","GSON5311815071")</f>
        <v>#NAME?</v>
      </c>
    </row>
    <row r="3496" spans="1:23" x14ac:dyDescent="0.2">
      <c r="A3496" s="35" t="s">
        <v>1755</v>
      </c>
      <c r="B3496" s="27" t="s">
        <v>1756</v>
      </c>
      <c r="C3496" s="23" t="e">
        <f ca="1">[1]!BexGetData("DP_1","003N8EMH8GTFRCSWKMPXRR8GU","GSON5312")</f>
        <v>#NAME?</v>
      </c>
      <c r="D3496" s="23" t="e">
        <f ca="1">[1]!BexGetData("DP_1","003N8EMH8GTFRCSWKMPXRRESE","GSON5312")</f>
        <v>#NAME?</v>
      </c>
      <c r="E3496" s="23" t="e">
        <f ca="1">[1]!BexGetData("DP_1","003N8EMH8GTFRCSWKMPXRRL3Y","GSON5312")</f>
        <v>#NAME?</v>
      </c>
      <c r="F3496" s="23" t="e">
        <f ca="1">[1]!BexGetData("DP_1","003N8EMH8GTFRCSWKMPXRRRFI","GSON5312")</f>
        <v>#NAME?</v>
      </c>
      <c r="G3496" s="23" t="e">
        <f ca="1">[1]!BexGetData("DP_1","003N8EMH8GTFRCSWKMPXRRXR2","GSON5312")</f>
        <v>#NAME?</v>
      </c>
      <c r="H3496" s="23" t="e">
        <f ca="1">[1]!BexGetData("DP_1","003N8EMH8GTFRCSWKMPXRS42M","GSON5312")</f>
        <v>#NAME?</v>
      </c>
      <c r="I3496" s="23" t="e">
        <f ca="1">[1]!BexGetData("DP_1","003N8EMH8GTFRCSWKMPXRSAE6","GSON5312")</f>
        <v>#NAME?</v>
      </c>
      <c r="J3496" s="24" t="e">
        <f ca="1">[1]!BexGetData("DP_1","003N8EMH8GTFRCSWKMPXRSGPQ","GSON5312")</f>
        <v>#NAME?</v>
      </c>
      <c r="K3496" s="23" t="e">
        <f ca="1">[1]!BexGetData("DP_1","003N8EMH8GTFRIVNUPY288VJH","GSON5312")</f>
        <v>#NAME?</v>
      </c>
      <c r="L3496" s="23" t="e">
        <f ca="1">[1]!BexGetData("DP_1","003N8EMH8GTFRIVNUPY2891V1","GSON5312")</f>
        <v>#NAME?</v>
      </c>
      <c r="M3496" s="23" t="e">
        <f ca="1">[1]!BexGetData("DP_1","003N8EMH8GTFRIVOG7KG9IQXA","GSON5312")</f>
        <v>#NAME?</v>
      </c>
      <c r="N3496" s="28" t="e">
        <f ca="1">[1]!BexGetData("DP_1","003N8EMH8GTFRIVOG7KG9IX8U","GSON5312")</f>
        <v>#NAME?</v>
      </c>
      <c r="O3496" s="23" t="e">
        <f ca="1">[1]!BexGetData("DP_1","003N8EMH8GTFRIVOG7KG9J3KE","GSON5312")</f>
        <v>#NAME?</v>
      </c>
      <c r="P3496" s="28" t="e">
        <f ca="1">[1]!BexGetData("DP_1","003N8EMH8GTFRIVOG7KG9J9VY","GSON5312")</f>
        <v>#NAME?</v>
      </c>
      <c r="Q3496" s="24" t="e">
        <f ca="1">[1]!BexGetData("DP_1","00O2TNJGODT0G5Z4TTKYMM5MT","GSON5312")</f>
        <v>#NAME?</v>
      </c>
      <c r="R3496" s="23" t="e">
        <f ca="1">[1]!BexGetData("DP_1","00O2TNJGODT0G5Z4TTKYMMBYD","GSON5312")</f>
        <v>#NAME?</v>
      </c>
      <c r="S3496" s="23" t="e">
        <f ca="1">[1]!BexGetData("DP_1","00O2TNJGODT0G5Z4TTKYMMI9X","GSON5312")</f>
        <v>#NAME?</v>
      </c>
      <c r="T3496" s="28" t="e">
        <f ca="1">[1]!BexGetData("DP_1","00O2TNJGODT0G5Z4TTKYMMOLH","GSON5312")</f>
        <v>#NAME?</v>
      </c>
      <c r="U3496" s="23" t="e">
        <f ca="1">[1]!BexGetData("DP_1","00O2TNJGODT0G5Z4TTKYMMUX1","GSON5312")</f>
        <v>#NAME?</v>
      </c>
      <c r="V3496" s="28" t="e">
        <f ca="1">[1]!BexGetData("DP_1","00O2TNJGODT0G5Z4TTKYMN18L","GSON5312")</f>
        <v>#NAME?</v>
      </c>
      <c r="W3496" s="23" t="e">
        <f ca="1">[1]!BexGetData("DP_1","00O2TNJGODT0G5Z4TTKYMN7K5","GSON5312")</f>
        <v>#NAME?</v>
      </c>
    </row>
    <row r="3497" spans="1:23" x14ac:dyDescent="0.2">
      <c r="A3497" s="36" t="s">
        <v>7070</v>
      </c>
      <c r="B3497" s="27" t="s">
        <v>1757</v>
      </c>
      <c r="C3497" s="24" t="e">
        <f ca="1">[1]!BexGetData("DP_1","003N8EMH8GTFRCSWKMPXRR8GU","GSON5312813011")</f>
        <v>#NAME?</v>
      </c>
      <c r="D3497" s="24" t="e">
        <f ca="1">[1]!BexGetData("DP_1","003N8EMH8GTFRCSWKMPXRRESE","GSON5312813011")</f>
        <v>#NAME?</v>
      </c>
      <c r="E3497" s="24" t="e">
        <f ca="1">[1]!BexGetData("DP_1","003N8EMH8GTFRCSWKMPXRRL3Y","GSON5312813011")</f>
        <v>#NAME?</v>
      </c>
      <c r="F3497" s="23" t="e">
        <f ca="1">[1]!BexGetData("DP_1","003N8EMH8GTFRCSWKMPXRRRFI","GSON5312813011")</f>
        <v>#NAME?</v>
      </c>
      <c r="G3497" s="23" t="e">
        <f ca="1">[1]!BexGetData("DP_1","003N8EMH8GTFRCSWKMPXRRXR2","GSON5312813011")</f>
        <v>#NAME?</v>
      </c>
      <c r="H3497" s="23" t="e">
        <f ca="1">[1]!BexGetData("DP_1","003N8EMH8GTFRCSWKMPXRS42M","GSON5312813011")</f>
        <v>#NAME?</v>
      </c>
      <c r="I3497" s="23" t="e">
        <f ca="1">[1]!BexGetData("DP_1","003N8EMH8GTFRCSWKMPXRSAE6","GSON5312813011")</f>
        <v>#NAME?</v>
      </c>
      <c r="J3497" s="24" t="e">
        <f ca="1">[1]!BexGetData("DP_1","003N8EMH8GTFRCSWKMPXRSGPQ","GSON5312813011")</f>
        <v>#NAME?</v>
      </c>
      <c r="K3497" s="23" t="e">
        <f ca="1">[1]!BexGetData("DP_1","003N8EMH8GTFRIVNUPY288VJH","GSON5312813011")</f>
        <v>#NAME?</v>
      </c>
      <c r="L3497" s="23" t="e">
        <f ca="1">[1]!BexGetData("DP_1","003N8EMH8GTFRIVNUPY2891V1","GSON5312813011")</f>
        <v>#NAME?</v>
      </c>
      <c r="M3497" s="23" t="e">
        <f ca="1">[1]!BexGetData("DP_1","003N8EMH8GTFRIVOG7KG9IQXA","GSON5312813011")</f>
        <v>#NAME?</v>
      </c>
      <c r="N3497" s="28" t="e">
        <f ca="1">[1]!BexGetData("DP_1","003N8EMH8GTFRIVOG7KG9IX8U","GSON5312813011")</f>
        <v>#NAME?</v>
      </c>
      <c r="O3497" s="23" t="e">
        <f ca="1">[1]!BexGetData("DP_1","003N8EMH8GTFRIVOG7KG9J3KE","GSON5312813011")</f>
        <v>#NAME?</v>
      </c>
      <c r="P3497" s="28" t="e">
        <f ca="1">[1]!BexGetData("DP_1","003N8EMH8GTFRIVOG7KG9J9VY","GSON5312813011")</f>
        <v>#NAME?</v>
      </c>
      <c r="Q3497" s="24" t="e">
        <f ca="1">[1]!BexGetData("DP_1","00O2TNJGODT0G5Z4TTKYMM5MT","GSON5312813011")</f>
        <v>#NAME?</v>
      </c>
      <c r="R3497" s="23" t="e">
        <f ca="1">[1]!BexGetData("DP_1","00O2TNJGODT0G5Z4TTKYMMBYD","GSON5312813011")</f>
        <v>#NAME?</v>
      </c>
      <c r="S3497" s="23" t="e">
        <f ca="1">[1]!BexGetData("DP_1","00O2TNJGODT0G5Z4TTKYMMI9X","GSON5312813011")</f>
        <v>#NAME?</v>
      </c>
      <c r="T3497" s="28" t="e">
        <f ca="1">[1]!BexGetData("DP_1","00O2TNJGODT0G5Z4TTKYMMOLH","GSON5312813011")</f>
        <v>#NAME?</v>
      </c>
      <c r="U3497" s="23" t="e">
        <f ca="1">[1]!BexGetData("DP_1","00O2TNJGODT0G5Z4TTKYMMUX1","GSON5312813011")</f>
        <v>#NAME?</v>
      </c>
      <c r="V3497" s="28" t="e">
        <f ca="1">[1]!BexGetData("DP_1","00O2TNJGODT0G5Z4TTKYMN18L","GSON5312813011")</f>
        <v>#NAME?</v>
      </c>
      <c r="W3497" s="23" t="e">
        <f ca="1">[1]!BexGetData("DP_1","00O2TNJGODT0G5Z4TTKYMN7K5","GSON5312813011")</f>
        <v>#NAME?</v>
      </c>
    </row>
    <row r="3498" spans="1:23" x14ac:dyDescent="0.2">
      <c r="A3498" s="36" t="s">
        <v>7071</v>
      </c>
      <c r="B3498" s="27" t="s">
        <v>7072</v>
      </c>
      <c r="C3498" s="23" t="e">
        <f ca="1">[1]!BexGetData("DP_1","003N8EMH8GTFRCSWKMPXRR8GU","GSON5312813015")</f>
        <v>#NAME?</v>
      </c>
      <c r="D3498" s="23" t="e">
        <f ca="1">[1]!BexGetData("DP_1","003N8EMH8GTFRCSWKMPXRRESE","GSON5312813015")</f>
        <v>#NAME?</v>
      </c>
      <c r="E3498" s="23" t="e">
        <f ca="1">[1]!BexGetData("DP_1","003N8EMH8GTFRCSWKMPXRRL3Y","GSON5312813015")</f>
        <v>#NAME?</v>
      </c>
      <c r="F3498" s="24" t="e">
        <f ca="1">[1]!BexGetData("DP_1","003N8EMH8GTFRCSWKMPXRRRFI","GSON5312813015")</f>
        <v>#NAME?</v>
      </c>
      <c r="G3498" s="24" t="e">
        <f ca="1">[1]!BexGetData("DP_1","003N8EMH8GTFRCSWKMPXRRXR2","GSON5312813015")</f>
        <v>#NAME?</v>
      </c>
      <c r="H3498" s="24" t="e">
        <f ca="1">[1]!BexGetData("DP_1","003N8EMH8GTFRCSWKMPXRS42M","GSON5312813015")</f>
        <v>#NAME?</v>
      </c>
      <c r="I3498" s="24" t="e">
        <f ca="1">[1]!BexGetData("DP_1","003N8EMH8GTFRCSWKMPXRSAE6","GSON5312813015")</f>
        <v>#NAME?</v>
      </c>
      <c r="J3498" s="24" t="e">
        <f ca="1">[1]!BexGetData("DP_1","003N8EMH8GTFRCSWKMPXRSGPQ","GSON5312813015")</f>
        <v>#NAME?</v>
      </c>
      <c r="K3498" s="23" t="e">
        <f ca="1">[1]!BexGetData("DP_1","003N8EMH8GTFRIVNUPY288VJH","GSON5312813015")</f>
        <v>#NAME?</v>
      </c>
      <c r="L3498" s="23" t="e">
        <f ca="1">[1]!BexGetData("DP_1","003N8EMH8GTFRIVNUPY2891V1","GSON5312813015")</f>
        <v>#NAME?</v>
      </c>
      <c r="M3498" s="28" t="e">
        <f ca="1">[1]!BexGetData("DP_1","003N8EMH8GTFRIVOG7KG9IQXA","GSON5312813015")</f>
        <v>#NAME?</v>
      </c>
      <c r="N3498" s="23" t="e">
        <f ca="1">[1]!BexGetData("DP_1","003N8EMH8GTFRIVOG7KG9IX8U","GSON5312813015")</f>
        <v>#NAME?</v>
      </c>
      <c r="O3498" s="28" t="e">
        <f ca="1">[1]!BexGetData("DP_1","003N8EMH8GTFRIVOG7KG9J3KE","GSON5312813015")</f>
        <v>#NAME?</v>
      </c>
      <c r="P3498" s="23" t="e">
        <f ca="1">[1]!BexGetData("DP_1","003N8EMH8GTFRIVOG7KG9J9VY","GSON5312813015")</f>
        <v>#NAME?</v>
      </c>
      <c r="Q3498" s="24" t="e">
        <f ca="1">[1]!BexGetData("DP_1","00O2TNJGODT0G5Z4TTKYMM5MT","GSON5312813015")</f>
        <v>#NAME?</v>
      </c>
      <c r="R3498" s="24" t="e">
        <f ca="1">[1]!BexGetData("DP_1","00O2TNJGODT0G5Z4TTKYMMBYD","GSON5312813015")</f>
        <v>#NAME?</v>
      </c>
      <c r="S3498" s="24" t="e">
        <f ca="1">[1]!BexGetData("DP_1","00O2TNJGODT0G5Z4TTKYMMI9X","GSON5312813015")</f>
        <v>#NAME?</v>
      </c>
      <c r="T3498" s="24" t="e">
        <f ca="1">[1]!BexGetData("DP_1","00O2TNJGODT0G5Z4TTKYMMOLH","GSON5312813015")</f>
        <v>#NAME?</v>
      </c>
      <c r="U3498" s="24" t="e">
        <f ca="1">[1]!BexGetData("DP_1","00O2TNJGODT0G5Z4TTKYMMUX1","GSON5312813015")</f>
        <v>#NAME?</v>
      </c>
      <c r="V3498" s="24" t="e">
        <f ca="1">[1]!BexGetData("DP_1","00O2TNJGODT0G5Z4TTKYMN18L","GSON5312813015")</f>
        <v>#NAME?</v>
      </c>
      <c r="W3498" s="24" t="e">
        <f ca="1">[1]!BexGetData("DP_1","00O2TNJGODT0G5Z4TTKYMN7K5","GSON5312813015")</f>
        <v>#NAME?</v>
      </c>
    </row>
    <row r="3499" spans="1:23" x14ac:dyDescent="0.2">
      <c r="A3499" s="36" t="s">
        <v>7073</v>
      </c>
      <c r="B3499" s="27" t="s">
        <v>1758</v>
      </c>
      <c r="C3499" s="24" t="e">
        <f ca="1">[1]!BexGetData("DP_1","003N8EMH8GTFRCSWKMPXRR8GU","GSON5312813021")</f>
        <v>#NAME?</v>
      </c>
      <c r="D3499" s="24" t="e">
        <f ca="1">[1]!BexGetData("DP_1","003N8EMH8GTFRCSWKMPXRRESE","GSON5312813021")</f>
        <v>#NAME?</v>
      </c>
      <c r="E3499" s="24" t="e">
        <f ca="1">[1]!BexGetData("DP_1","003N8EMH8GTFRCSWKMPXRRL3Y","GSON5312813021")</f>
        <v>#NAME?</v>
      </c>
      <c r="F3499" s="23" t="e">
        <f ca="1">[1]!BexGetData("DP_1","003N8EMH8GTFRCSWKMPXRRRFI","GSON5312813021")</f>
        <v>#NAME?</v>
      </c>
      <c r="G3499" s="23" t="e">
        <f ca="1">[1]!BexGetData("DP_1","003N8EMH8GTFRCSWKMPXRRXR2","GSON5312813021")</f>
        <v>#NAME?</v>
      </c>
      <c r="H3499" s="23" t="e">
        <f ca="1">[1]!BexGetData("DP_1","003N8EMH8GTFRCSWKMPXRS42M","GSON5312813021")</f>
        <v>#NAME?</v>
      </c>
      <c r="I3499" s="23" t="e">
        <f ca="1">[1]!BexGetData("DP_1","003N8EMH8GTFRCSWKMPXRSAE6","GSON5312813021")</f>
        <v>#NAME?</v>
      </c>
      <c r="J3499" s="24" t="e">
        <f ca="1">[1]!BexGetData("DP_1","003N8EMH8GTFRCSWKMPXRSGPQ","GSON5312813021")</f>
        <v>#NAME?</v>
      </c>
      <c r="K3499" s="23" t="e">
        <f ca="1">[1]!BexGetData("DP_1","003N8EMH8GTFRIVNUPY288VJH","GSON5312813021")</f>
        <v>#NAME?</v>
      </c>
      <c r="L3499" s="23" t="e">
        <f ca="1">[1]!BexGetData("DP_1","003N8EMH8GTFRIVNUPY2891V1","GSON5312813021")</f>
        <v>#NAME?</v>
      </c>
      <c r="M3499" s="23" t="e">
        <f ca="1">[1]!BexGetData("DP_1","003N8EMH8GTFRIVOG7KG9IQXA","GSON5312813021")</f>
        <v>#NAME?</v>
      </c>
      <c r="N3499" s="28" t="e">
        <f ca="1">[1]!BexGetData("DP_1","003N8EMH8GTFRIVOG7KG9IX8U","GSON5312813021")</f>
        <v>#NAME?</v>
      </c>
      <c r="O3499" s="23" t="e">
        <f ca="1">[1]!BexGetData("DP_1","003N8EMH8GTFRIVOG7KG9J3KE","GSON5312813021")</f>
        <v>#NAME?</v>
      </c>
      <c r="P3499" s="28" t="e">
        <f ca="1">[1]!BexGetData("DP_1","003N8EMH8GTFRIVOG7KG9J9VY","GSON5312813021")</f>
        <v>#NAME?</v>
      </c>
      <c r="Q3499" s="24" t="e">
        <f ca="1">[1]!BexGetData("DP_1","00O2TNJGODT0G5Z4TTKYMM5MT","GSON5312813021")</f>
        <v>#NAME?</v>
      </c>
      <c r="R3499" s="23" t="e">
        <f ca="1">[1]!BexGetData("DP_1","00O2TNJGODT0G5Z4TTKYMMBYD","GSON5312813021")</f>
        <v>#NAME?</v>
      </c>
      <c r="S3499" s="23" t="e">
        <f ca="1">[1]!BexGetData("DP_1","00O2TNJGODT0G5Z4TTKYMMI9X","GSON5312813021")</f>
        <v>#NAME?</v>
      </c>
      <c r="T3499" s="28" t="e">
        <f ca="1">[1]!BexGetData("DP_1","00O2TNJGODT0G5Z4TTKYMMOLH","GSON5312813021")</f>
        <v>#NAME?</v>
      </c>
      <c r="U3499" s="23" t="e">
        <f ca="1">[1]!BexGetData("DP_1","00O2TNJGODT0G5Z4TTKYMMUX1","GSON5312813021")</f>
        <v>#NAME?</v>
      </c>
      <c r="V3499" s="28" t="e">
        <f ca="1">[1]!BexGetData("DP_1","00O2TNJGODT0G5Z4TTKYMN18L","GSON5312813021")</f>
        <v>#NAME?</v>
      </c>
      <c r="W3499" s="23" t="e">
        <f ca="1">[1]!BexGetData("DP_1","00O2TNJGODT0G5Z4TTKYMN7K5","GSON5312813021")</f>
        <v>#NAME?</v>
      </c>
    </row>
    <row r="3500" spans="1:23" x14ac:dyDescent="0.2">
      <c r="A3500" s="36" t="s">
        <v>7074</v>
      </c>
      <c r="B3500" s="27" t="s">
        <v>7075</v>
      </c>
      <c r="C3500" s="23" t="e">
        <f ca="1">[1]!BexGetData("DP_1","003N8EMH8GTFRCSWKMPXRR8GU","GSON5312813025")</f>
        <v>#NAME?</v>
      </c>
      <c r="D3500" s="23" t="e">
        <f ca="1">[1]!BexGetData("DP_1","003N8EMH8GTFRCSWKMPXRRESE","GSON5312813025")</f>
        <v>#NAME?</v>
      </c>
      <c r="E3500" s="23" t="e">
        <f ca="1">[1]!BexGetData("DP_1","003N8EMH8GTFRCSWKMPXRRL3Y","GSON5312813025")</f>
        <v>#NAME?</v>
      </c>
      <c r="F3500" s="24" t="e">
        <f ca="1">[1]!BexGetData("DP_1","003N8EMH8GTFRCSWKMPXRRRFI","GSON5312813025")</f>
        <v>#NAME?</v>
      </c>
      <c r="G3500" s="24" t="e">
        <f ca="1">[1]!BexGetData("DP_1","003N8EMH8GTFRCSWKMPXRRXR2","GSON5312813025")</f>
        <v>#NAME?</v>
      </c>
      <c r="H3500" s="24" t="e">
        <f ca="1">[1]!BexGetData("DP_1","003N8EMH8GTFRCSWKMPXRS42M","GSON5312813025")</f>
        <v>#NAME?</v>
      </c>
      <c r="I3500" s="24" t="e">
        <f ca="1">[1]!BexGetData("DP_1","003N8EMH8GTFRCSWKMPXRSAE6","GSON5312813025")</f>
        <v>#NAME?</v>
      </c>
      <c r="J3500" s="24" t="e">
        <f ca="1">[1]!BexGetData("DP_1","003N8EMH8GTFRCSWKMPXRSGPQ","GSON5312813025")</f>
        <v>#NAME?</v>
      </c>
      <c r="K3500" s="23" t="e">
        <f ca="1">[1]!BexGetData("DP_1","003N8EMH8GTFRIVNUPY288VJH","GSON5312813025")</f>
        <v>#NAME?</v>
      </c>
      <c r="L3500" s="23" t="e">
        <f ca="1">[1]!BexGetData("DP_1","003N8EMH8GTFRIVNUPY2891V1","GSON5312813025")</f>
        <v>#NAME?</v>
      </c>
      <c r="M3500" s="28" t="e">
        <f ca="1">[1]!BexGetData("DP_1","003N8EMH8GTFRIVOG7KG9IQXA","GSON5312813025")</f>
        <v>#NAME?</v>
      </c>
      <c r="N3500" s="23" t="e">
        <f ca="1">[1]!BexGetData("DP_1","003N8EMH8GTFRIVOG7KG9IX8U","GSON5312813025")</f>
        <v>#NAME?</v>
      </c>
      <c r="O3500" s="28" t="e">
        <f ca="1">[1]!BexGetData("DP_1","003N8EMH8GTFRIVOG7KG9J3KE","GSON5312813025")</f>
        <v>#NAME?</v>
      </c>
      <c r="P3500" s="23" t="e">
        <f ca="1">[1]!BexGetData("DP_1","003N8EMH8GTFRIVOG7KG9J9VY","GSON5312813025")</f>
        <v>#NAME?</v>
      </c>
      <c r="Q3500" s="24" t="e">
        <f ca="1">[1]!BexGetData("DP_1","00O2TNJGODT0G5Z4TTKYMM5MT","GSON5312813025")</f>
        <v>#NAME?</v>
      </c>
      <c r="R3500" s="24" t="e">
        <f ca="1">[1]!BexGetData("DP_1","00O2TNJGODT0G5Z4TTKYMMBYD","GSON5312813025")</f>
        <v>#NAME?</v>
      </c>
      <c r="S3500" s="24" t="e">
        <f ca="1">[1]!BexGetData("DP_1","00O2TNJGODT0G5Z4TTKYMMI9X","GSON5312813025")</f>
        <v>#NAME?</v>
      </c>
      <c r="T3500" s="24" t="e">
        <f ca="1">[1]!BexGetData("DP_1","00O2TNJGODT0G5Z4TTKYMMOLH","GSON5312813025")</f>
        <v>#NAME?</v>
      </c>
      <c r="U3500" s="24" t="e">
        <f ca="1">[1]!BexGetData("DP_1","00O2TNJGODT0G5Z4TTKYMMUX1","GSON5312813025")</f>
        <v>#NAME?</v>
      </c>
      <c r="V3500" s="24" t="e">
        <f ca="1">[1]!BexGetData("DP_1","00O2TNJGODT0G5Z4TTKYMN18L","GSON5312813025")</f>
        <v>#NAME?</v>
      </c>
      <c r="W3500" s="24" t="e">
        <f ca="1">[1]!BexGetData("DP_1","00O2TNJGODT0G5Z4TTKYMN7K5","GSON5312813025")</f>
        <v>#NAME?</v>
      </c>
    </row>
    <row r="3501" spans="1:23" x14ac:dyDescent="0.2">
      <c r="A3501" s="36" t="s">
        <v>7070</v>
      </c>
      <c r="B3501" s="27" t="s">
        <v>1759</v>
      </c>
      <c r="C3501" s="24" t="e">
        <f ca="1">[1]!BexGetData("DP_1","003N8EMH8GTFRCSWKMPXRR8GU","GSON5312813031")</f>
        <v>#NAME?</v>
      </c>
      <c r="D3501" s="24" t="e">
        <f ca="1">[1]!BexGetData("DP_1","003N8EMH8GTFRCSWKMPXRRESE","GSON5312813031")</f>
        <v>#NAME?</v>
      </c>
      <c r="E3501" s="24" t="e">
        <f ca="1">[1]!BexGetData("DP_1","003N8EMH8GTFRCSWKMPXRRL3Y","GSON5312813031")</f>
        <v>#NAME?</v>
      </c>
      <c r="F3501" s="23" t="e">
        <f ca="1">[1]!BexGetData("DP_1","003N8EMH8GTFRCSWKMPXRRRFI","GSON5312813031")</f>
        <v>#NAME?</v>
      </c>
      <c r="G3501" s="23" t="e">
        <f ca="1">[1]!BexGetData("DP_1","003N8EMH8GTFRCSWKMPXRRXR2","GSON5312813031")</f>
        <v>#NAME?</v>
      </c>
      <c r="H3501" s="23" t="e">
        <f ca="1">[1]!BexGetData("DP_1","003N8EMH8GTFRCSWKMPXRS42M","GSON5312813031")</f>
        <v>#NAME?</v>
      </c>
      <c r="I3501" s="23" t="e">
        <f ca="1">[1]!BexGetData("DP_1","003N8EMH8GTFRCSWKMPXRSAE6","GSON5312813031")</f>
        <v>#NAME?</v>
      </c>
      <c r="J3501" s="24" t="e">
        <f ca="1">[1]!BexGetData("DP_1","003N8EMH8GTFRCSWKMPXRSGPQ","GSON5312813031")</f>
        <v>#NAME?</v>
      </c>
      <c r="K3501" s="23" t="e">
        <f ca="1">[1]!BexGetData("DP_1","003N8EMH8GTFRIVNUPY288VJH","GSON5312813031")</f>
        <v>#NAME?</v>
      </c>
      <c r="L3501" s="23" t="e">
        <f ca="1">[1]!BexGetData("DP_1","003N8EMH8GTFRIVNUPY2891V1","GSON5312813031")</f>
        <v>#NAME?</v>
      </c>
      <c r="M3501" s="23" t="e">
        <f ca="1">[1]!BexGetData("DP_1","003N8EMH8GTFRIVOG7KG9IQXA","GSON5312813031")</f>
        <v>#NAME?</v>
      </c>
      <c r="N3501" s="28" t="e">
        <f ca="1">[1]!BexGetData("DP_1","003N8EMH8GTFRIVOG7KG9IX8U","GSON5312813031")</f>
        <v>#NAME?</v>
      </c>
      <c r="O3501" s="23" t="e">
        <f ca="1">[1]!BexGetData("DP_1","003N8EMH8GTFRIVOG7KG9J3KE","GSON5312813031")</f>
        <v>#NAME?</v>
      </c>
      <c r="P3501" s="28" t="e">
        <f ca="1">[1]!BexGetData("DP_1","003N8EMH8GTFRIVOG7KG9J9VY","GSON5312813031")</f>
        <v>#NAME?</v>
      </c>
      <c r="Q3501" s="24" t="e">
        <f ca="1">[1]!BexGetData("DP_1","00O2TNJGODT0G5Z4TTKYMM5MT","GSON5312813031")</f>
        <v>#NAME?</v>
      </c>
      <c r="R3501" s="23" t="e">
        <f ca="1">[1]!BexGetData("DP_1","00O2TNJGODT0G5Z4TTKYMMBYD","GSON5312813031")</f>
        <v>#NAME?</v>
      </c>
      <c r="S3501" s="23" t="e">
        <f ca="1">[1]!BexGetData("DP_1","00O2TNJGODT0G5Z4TTKYMMI9X","GSON5312813031")</f>
        <v>#NAME?</v>
      </c>
      <c r="T3501" s="28" t="e">
        <f ca="1">[1]!BexGetData("DP_1","00O2TNJGODT0G5Z4TTKYMMOLH","GSON5312813031")</f>
        <v>#NAME?</v>
      </c>
      <c r="U3501" s="23" t="e">
        <f ca="1">[1]!BexGetData("DP_1","00O2TNJGODT0G5Z4TTKYMMUX1","GSON5312813031")</f>
        <v>#NAME?</v>
      </c>
      <c r="V3501" s="28" t="e">
        <f ca="1">[1]!BexGetData("DP_1","00O2TNJGODT0G5Z4TTKYMN18L","GSON5312813031")</f>
        <v>#NAME?</v>
      </c>
      <c r="W3501" s="23" t="e">
        <f ca="1">[1]!BexGetData("DP_1","00O2TNJGODT0G5Z4TTKYMN7K5","GSON5312813031")</f>
        <v>#NAME?</v>
      </c>
    </row>
    <row r="3502" spans="1:23" x14ac:dyDescent="0.2">
      <c r="A3502" s="36" t="s">
        <v>7076</v>
      </c>
      <c r="B3502" s="27" t="s">
        <v>7077</v>
      </c>
      <c r="C3502" s="23" t="e">
        <f ca="1">[1]!BexGetData("DP_1","003N8EMH8GTFRCSWKMPXRR8GU","GSON5312813035")</f>
        <v>#NAME?</v>
      </c>
      <c r="D3502" s="23" t="e">
        <f ca="1">[1]!BexGetData("DP_1","003N8EMH8GTFRCSWKMPXRRESE","GSON5312813035")</f>
        <v>#NAME?</v>
      </c>
      <c r="E3502" s="23" t="e">
        <f ca="1">[1]!BexGetData("DP_1","003N8EMH8GTFRCSWKMPXRRL3Y","GSON5312813035")</f>
        <v>#NAME?</v>
      </c>
      <c r="F3502" s="24" t="e">
        <f ca="1">[1]!BexGetData("DP_1","003N8EMH8GTFRCSWKMPXRRRFI","GSON5312813035")</f>
        <v>#NAME?</v>
      </c>
      <c r="G3502" s="24" t="e">
        <f ca="1">[1]!BexGetData("DP_1","003N8EMH8GTFRCSWKMPXRRXR2","GSON5312813035")</f>
        <v>#NAME?</v>
      </c>
      <c r="H3502" s="24" t="e">
        <f ca="1">[1]!BexGetData("DP_1","003N8EMH8GTFRCSWKMPXRS42M","GSON5312813035")</f>
        <v>#NAME?</v>
      </c>
      <c r="I3502" s="24" t="e">
        <f ca="1">[1]!BexGetData("DP_1","003N8EMH8GTFRCSWKMPXRSAE6","GSON5312813035")</f>
        <v>#NAME?</v>
      </c>
      <c r="J3502" s="24" t="e">
        <f ca="1">[1]!BexGetData("DP_1","003N8EMH8GTFRCSWKMPXRSGPQ","GSON5312813035")</f>
        <v>#NAME?</v>
      </c>
      <c r="K3502" s="23" t="e">
        <f ca="1">[1]!BexGetData("DP_1","003N8EMH8GTFRIVNUPY288VJH","GSON5312813035")</f>
        <v>#NAME?</v>
      </c>
      <c r="L3502" s="23" t="e">
        <f ca="1">[1]!BexGetData("DP_1","003N8EMH8GTFRIVNUPY2891V1","GSON5312813035")</f>
        <v>#NAME?</v>
      </c>
      <c r="M3502" s="28" t="e">
        <f ca="1">[1]!BexGetData("DP_1","003N8EMH8GTFRIVOG7KG9IQXA","GSON5312813035")</f>
        <v>#NAME?</v>
      </c>
      <c r="N3502" s="23" t="e">
        <f ca="1">[1]!BexGetData("DP_1","003N8EMH8GTFRIVOG7KG9IX8U","GSON5312813035")</f>
        <v>#NAME?</v>
      </c>
      <c r="O3502" s="28" t="e">
        <f ca="1">[1]!BexGetData("DP_1","003N8EMH8GTFRIVOG7KG9J3KE","GSON5312813035")</f>
        <v>#NAME?</v>
      </c>
      <c r="P3502" s="23" t="e">
        <f ca="1">[1]!BexGetData("DP_1","003N8EMH8GTFRIVOG7KG9J9VY","GSON5312813035")</f>
        <v>#NAME?</v>
      </c>
      <c r="Q3502" s="24" t="e">
        <f ca="1">[1]!BexGetData("DP_1","00O2TNJGODT0G5Z4TTKYMM5MT","GSON5312813035")</f>
        <v>#NAME?</v>
      </c>
      <c r="R3502" s="24" t="e">
        <f ca="1">[1]!BexGetData("DP_1","00O2TNJGODT0G5Z4TTKYMMBYD","GSON5312813035")</f>
        <v>#NAME?</v>
      </c>
      <c r="S3502" s="24" t="e">
        <f ca="1">[1]!BexGetData("DP_1","00O2TNJGODT0G5Z4TTKYMMI9X","GSON5312813035")</f>
        <v>#NAME?</v>
      </c>
      <c r="T3502" s="24" t="e">
        <f ca="1">[1]!BexGetData("DP_1","00O2TNJGODT0G5Z4TTKYMMOLH","GSON5312813035")</f>
        <v>#NAME?</v>
      </c>
      <c r="U3502" s="24" t="e">
        <f ca="1">[1]!BexGetData("DP_1","00O2TNJGODT0G5Z4TTKYMMUX1","GSON5312813035")</f>
        <v>#NAME?</v>
      </c>
      <c r="V3502" s="24" t="e">
        <f ca="1">[1]!BexGetData("DP_1","00O2TNJGODT0G5Z4TTKYMN18L","GSON5312813035")</f>
        <v>#NAME?</v>
      </c>
      <c r="W3502" s="24" t="e">
        <f ca="1">[1]!BexGetData("DP_1","00O2TNJGODT0G5Z4TTKYMN7K5","GSON5312813035")</f>
        <v>#NAME?</v>
      </c>
    </row>
    <row r="3503" spans="1:23" x14ac:dyDescent="0.2">
      <c r="A3503" s="36" t="s">
        <v>7078</v>
      </c>
      <c r="B3503" s="27" t="s">
        <v>1760</v>
      </c>
      <c r="C3503" s="24" t="e">
        <f ca="1">[1]!BexGetData("DP_1","003N8EMH8GTFRCSWKMPXRR8GU","GSON5312813041")</f>
        <v>#NAME?</v>
      </c>
      <c r="D3503" s="24" t="e">
        <f ca="1">[1]!BexGetData("DP_1","003N8EMH8GTFRCSWKMPXRRESE","GSON5312813041")</f>
        <v>#NAME?</v>
      </c>
      <c r="E3503" s="24" t="e">
        <f ca="1">[1]!BexGetData("DP_1","003N8EMH8GTFRCSWKMPXRRL3Y","GSON5312813041")</f>
        <v>#NAME?</v>
      </c>
      <c r="F3503" s="23" t="e">
        <f ca="1">[1]!BexGetData("DP_1","003N8EMH8GTFRCSWKMPXRRRFI","GSON5312813041")</f>
        <v>#NAME?</v>
      </c>
      <c r="G3503" s="23" t="e">
        <f ca="1">[1]!BexGetData("DP_1","003N8EMH8GTFRCSWKMPXRRXR2","GSON5312813041")</f>
        <v>#NAME?</v>
      </c>
      <c r="H3503" s="23" t="e">
        <f ca="1">[1]!BexGetData("DP_1","003N8EMH8GTFRCSWKMPXRS42M","GSON5312813041")</f>
        <v>#NAME?</v>
      </c>
      <c r="I3503" s="23" t="e">
        <f ca="1">[1]!BexGetData("DP_1","003N8EMH8GTFRCSWKMPXRSAE6","GSON5312813041")</f>
        <v>#NAME?</v>
      </c>
      <c r="J3503" s="24" t="e">
        <f ca="1">[1]!BexGetData("DP_1","003N8EMH8GTFRCSWKMPXRSGPQ","GSON5312813041")</f>
        <v>#NAME?</v>
      </c>
      <c r="K3503" s="23" t="e">
        <f ca="1">[1]!BexGetData("DP_1","003N8EMH8GTFRIVNUPY288VJH","GSON5312813041")</f>
        <v>#NAME?</v>
      </c>
      <c r="L3503" s="23" t="e">
        <f ca="1">[1]!BexGetData("DP_1","003N8EMH8GTFRIVNUPY2891V1","GSON5312813041")</f>
        <v>#NAME?</v>
      </c>
      <c r="M3503" s="23" t="e">
        <f ca="1">[1]!BexGetData("DP_1","003N8EMH8GTFRIVOG7KG9IQXA","GSON5312813041")</f>
        <v>#NAME?</v>
      </c>
      <c r="N3503" s="28" t="e">
        <f ca="1">[1]!BexGetData("DP_1","003N8EMH8GTFRIVOG7KG9IX8U","GSON5312813041")</f>
        <v>#NAME?</v>
      </c>
      <c r="O3503" s="23" t="e">
        <f ca="1">[1]!BexGetData("DP_1","003N8EMH8GTFRIVOG7KG9J3KE","GSON5312813041")</f>
        <v>#NAME?</v>
      </c>
      <c r="P3503" s="28" t="e">
        <f ca="1">[1]!BexGetData("DP_1","003N8EMH8GTFRIVOG7KG9J9VY","GSON5312813041")</f>
        <v>#NAME?</v>
      </c>
      <c r="Q3503" s="24" t="e">
        <f ca="1">[1]!BexGetData("DP_1","00O2TNJGODT0G5Z4TTKYMM5MT","GSON5312813041")</f>
        <v>#NAME?</v>
      </c>
      <c r="R3503" s="23" t="e">
        <f ca="1">[1]!BexGetData("DP_1","00O2TNJGODT0G5Z4TTKYMMBYD","GSON5312813041")</f>
        <v>#NAME?</v>
      </c>
      <c r="S3503" s="23" t="e">
        <f ca="1">[1]!BexGetData("DP_1","00O2TNJGODT0G5Z4TTKYMMI9X","GSON5312813041")</f>
        <v>#NAME?</v>
      </c>
      <c r="T3503" s="28" t="e">
        <f ca="1">[1]!BexGetData("DP_1","00O2TNJGODT0G5Z4TTKYMMOLH","GSON5312813041")</f>
        <v>#NAME?</v>
      </c>
      <c r="U3503" s="23" t="e">
        <f ca="1">[1]!BexGetData("DP_1","00O2TNJGODT0G5Z4TTKYMMUX1","GSON5312813041")</f>
        <v>#NAME?</v>
      </c>
      <c r="V3503" s="28" t="e">
        <f ca="1">[1]!BexGetData("DP_1","00O2TNJGODT0G5Z4TTKYMN18L","GSON5312813041")</f>
        <v>#NAME?</v>
      </c>
      <c r="W3503" s="23" t="e">
        <f ca="1">[1]!BexGetData("DP_1","00O2TNJGODT0G5Z4TTKYMN7K5","GSON5312813041")</f>
        <v>#NAME?</v>
      </c>
    </row>
    <row r="3504" spans="1:23" x14ac:dyDescent="0.2">
      <c r="A3504" s="36" t="s">
        <v>7079</v>
      </c>
      <c r="B3504" s="27" t="s">
        <v>7080</v>
      </c>
      <c r="C3504" s="23" t="e">
        <f ca="1">[1]!BexGetData("DP_1","003N8EMH8GTFRCSWKMPXRR8GU","GSON5312813045")</f>
        <v>#NAME?</v>
      </c>
      <c r="D3504" s="23" t="e">
        <f ca="1">[1]!BexGetData("DP_1","003N8EMH8GTFRCSWKMPXRRESE","GSON5312813045")</f>
        <v>#NAME?</v>
      </c>
      <c r="E3504" s="23" t="e">
        <f ca="1">[1]!BexGetData("DP_1","003N8EMH8GTFRCSWKMPXRRL3Y","GSON5312813045")</f>
        <v>#NAME?</v>
      </c>
      <c r="F3504" s="24" t="e">
        <f ca="1">[1]!BexGetData("DP_1","003N8EMH8GTFRCSWKMPXRRRFI","GSON5312813045")</f>
        <v>#NAME?</v>
      </c>
      <c r="G3504" s="24" t="e">
        <f ca="1">[1]!BexGetData("DP_1","003N8EMH8GTFRCSWKMPXRRXR2","GSON5312813045")</f>
        <v>#NAME?</v>
      </c>
      <c r="H3504" s="24" t="e">
        <f ca="1">[1]!BexGetData("DP_1","003N8EMH8GTFRCSWKMPXRS42M","GSON5312813045")</f>
        <v>#NAME?</v>
      </c>
      <c r="I3504" s="24" t="e">
        <f ca="1">[1]!BexGetData("DP_1","003N8EMH8GTFRCSWKMPXRSAE6","GSON5312813045")</f>
        <v>#NAME?</v>
      </c>
      <c r="J3504" s="24" t="e">
        <f ca="1">[1]!BexGetData("DP_1","003N8EMH8GTFRCSWKMPXRSGPQ","GSON5312813045")</f>
        <v>#NAME?</v>
      </c>
      <c r="K3504" s="23" t="e">
        <f ca="1">[1]!BexGetData("DP_1","003N8EMH8GTFRIVNUPY288VJH","GSON5312813045")</f>
        <v>#NAME?</v>
      </c>
      <c r="L3504" s="23" t="e">
        <f ca="1">[1]!BexGetData("DP_1","003N8EMH8GTFRIVNUPY2891V1","GSON5312813045")</f>
        <v>#NAME?</v>
      </c>
      <c r="M3504" s="28" t="e">
        <f ca="1">[1]!BexGetData("DP_1","003N8EMH8GTFRIVOG7KG9IQXA","GSON5312813045")</f>
        <v>#NAME?</v>
      </c>
      <c r="N3504" s="23" t="e">
        <f ca="1">[1]!BexGetData("DP_1","003N8EMH8GTFRIVOG7KG9IX8U","GSON5312813045")</f>
        <v>#NAME?</v>
      </c>
      <c r="O3504" s="28" t="e">
        <f ca="1">[1]!BexGetData("DP_1","003N8EMH8GTFRIVOG7KG9J3KE","GSON5312813045")</f>
        <v>#NAME?</v>
      </c>
      <c r="P3504" s="23" t="e">
        <f ca="1">[1]!BexGetData("DP_1","003N8EMH8GTFRIVOG7KG9J9VY","GSON5312813045")</f>
        <v>#NAME?</v>
      </c>
      <c r="Q3504" s="24" t="e">
        <f ca="1">[1]!BexGetData("DP_1","00O2TNJGODT0G5Z4TTKYMM5MT","GSON5312813045")</f>
        <v>#NAME?</v>
      </c>
      <c r="R3504" s="24" t="e">
        <f ca="1">[1]!BexGetData("DP_1","00O2TNJGODT0G5Z4TTKYMMBYD","GSON5312813045")</f>
        <v>#NAME?</v>
      </c>
      <c r="S3504" s="24" t="e">
        <f ca="1">[1]!BexGetData("DP_1","00O2TNJGODT0G5Z4TTKYMMI9X","GSON5312813045")</f>
        <v>#NAME?</v>
      </c>
      <c r="T3504" s="24" t="e">
        <f ca="1">[1]!BexGetData("DP_1","00O2TNJGODT0G5Z4TTKYMMOLH","GSON5312813045")</f>
        <v>#NAME?</v>
      </c>
      <c r="U3504" s="24" t="e">
        <f ca="1">[1]!BexGetData("DP_1","00O2TNJGODT0G5Z4TTKYMMUX1","GSON5312813045")</f>
        <v>#NAME?</v>
      </c>
      <c r="V3504" s="24" t="e">
        <f ca="1">[1]!BexGetData("DP_1","00O2TNJGODT0G5Z4TTKYMN18L","GSON5312813045")</f>
        <v>#NAME?</v>
      </c>
      <c r="W3504" s="24" t="e">
        <f ca="1">[1]!BexGetData("DP_1","00O2TNJGODT0G5Z4TTKYMN7K5","GSON5312813045")</f>
        <v>#NAME?</v>
      </c>
    </row>
    <row r="3505" spans="1:23" x14ac:dyDescent="0.2">
      <c r="A3505" s="36" t="s">
        <v>7081</v>
      </c>
      <c r="B3505" s="27" t="s">
        <v>1761</v>
      </c>
      <c r="C3505" s="24" t="e">
        <f ca="1">[1]!BexGetData("DP_1","003N8EMH8GTFRCSWKMPXRR8GU","GSON5312813051")</f>
        <v>#NAME?</v>
      </c>
      <c r="D3505" s="24" t="e">
        <f ca="1">[1]!BexGetData("DP_1","003N8EMH8GTFRCSWKMPXRRESE","GSON5312813051")</f>
        <v>#NAME?</v>
      </c>
      <c r="E3505" s="24" t="e">
        <f ca="1">[1]!BexGetData("DP_1","003N8EMH8GTFRCSWKMPXRRL3Y","GSON5312813051")</f>
        <v>#NAME?</v>
      </c>
      <c r="F3505" s="23" t="e">
        <f ca="1">[1]!BexGetData("DP_1","003N8EMH8GTFRCSWKMPXRRRFI","GSON5312813051")</f>
        <v>#NAME?</v>
      </c>
      <c r="G3505" s="23" t="e">
        <f ca="1">[1]!BexGetData("DP_1","003N8EMH8GTFRCSWKMPXRRXR2","GSON5312813051")</f>
        <v>#NAME?</v>
      </c>
      <c r="H3505" s="23" t="e">
        <f ca="1">[1]!BexGetData("DP_1","003N8EMH8GTFRCSWKMPXRS42M","GSON5312813051")</f>
        <v>#NAME?</v>
      </c>
      <c r="I3505" s="23" t="e">
        <f ca="1">[1]!BexGetData("DP_1","003N8EMH8GTFRCSWKMPXRSAE6","GSON5312813051")</f>
        <v>#NAME?</v>
      </c>
      <c r="J3505" s="24" t="e">
        <f ca="1">[1]!BexGetData("DP_1","003N8EMH8GTFRCSWKMPXRSGPQ","GSON5312813051")</f>
        <v>#NAME?</v>
      </c>
      <c r="K3505" s="23" t="e">
        <f ca="1">[1]!BexGetData("DP_1","003N8EMH8GTFRIVNUPY288VJH","GSON5312813051")</f>
        <v>#NAME?</v>
      </c>
      <c r="L3505" s="23" t="e">
        <f ca="1">[1]!BexGetData("DP_1","003N8EMH8GTFRIVNUPY2891V1","GSON5312813051")</f>
        <v>#NAME?</v>
      </c>
      <c r="M3505" s="23" t="e">
        <f ca="1">[1]!BexGetData("DP_1","003N8EMH8GTFRIVOG7KG9IQXA","GSON5312813051")</f>
        <v>#NAME?</v>
      </c>
      <c r="N3505" s="28" t="e">
        <f ca="1">[1]!BexGetData("DP_1","003N8EMH8GTFRIVOG7KG9IX8U","GSON5312813051")</f>
        <v>#NAME?</v>
      </c>
      <c r="O3505" s="23" t="e">
        <f ca="1">[1]!BexGetData("DP_1","003N8EMH8GTFRIVOG7KG9J3KE","GSON5312813051")</f>
        <v>#NAME?</v>
      </c>
      <c r="P3505" s="28" t="e">
        <f ca="1">[1]!BexGetData("DP_1","003N8EMH8GTFRIVOG7KG9J9VY","GSON5312813051")</f>
        <v>#NAME?</v>
      </c>
      <c r="Q3505" s="24" t="e">
        <f ca="1">[1]!BexGetData("DP_1","00O2TNJGODT0G5Z4TTKYMM5MT","GSON5312813051")</f>
        <v>#NAME?</v>
      </c>
      <c r="R3505" s="23" t="e">
        <f ca="1">[1]!BexGetData("DP_1","00O2TNJGODT0G5Z4TTKYMMBYD","GSON5312813051")</f>
        <v>#NAME?</v>
      </c>
      <c r="S3505" s="23" t="e">
        <f ca="1">[1]!BexGetData("DP_1","00O2TNJGODT0G5Z4TTKYMMI9X","GSON5312813051")</f>
        <v>#NAME?</v>
      </c>
      <c r="T3505" s="28" t="e">
        <f ca="1">[1]!BexGetData("DP_1","00O2TNJGODT0G5Z4TTKYMMOLH","GSON5312813051")</f>
        <v>#NAME?</v>
      </c>
      <c r="U3505" s="23" t="e">
        <f ca="1">[1]!BexGetData("DP_1","00O2TNJGODT0G5Z4TTKYMMUX1","GSON5312813051")</f>
        <v>#NAME?</v>
      </c>
      <c r="V3505" s="28" t="e">
        <f ca="1">[1]!BexGetData("DP_1","00O2TNJGODT0G5Z4TTKYMN18L","GSON5312813051")</f>
        <v>#NAME?</v>
      </c>
      <c r="W3505" s="23" t="e">
        <f ca="1">[1]!BexGetData("DP_1","00O2TNJGODT0G5Z4TTKYMN7K5","GSON5312813051")</f>
        <v>#NAME?</v>
      </c>
    </row>
    <row r="3506" spans="1:23" x14ac:dyDescent="0.2">
      <c r="A3506" s="36" t="s">
        <v>7082</v>
      </c>
      <c r="B3506" s="27" t="s">
        <v>7083</v>
      </c>
      <c r="C3506" s="23" t="e">
        <f ca="1">[1]!BexGetData("DP_1","003N8EMH8GTFRCSWKMPXRR8GU","GSON5312813055")</f>
        <v>#NAME?</v>
      </c>
      <c r="D3506" s="23" t="e">
        <f ca="1">[1]!BexGetData("DP_1","003N8EMH8GTFRCSWKMPXRRESE","GSON5312813055")</f>
        <v>#NAME?</v>
      </c>
      <c r="E3506" s="23" t="e">
        <f ca="1">[1]!BexGetData("DP_1","003N8EMH8GTFRCSWKMPXRRL3Y","GSON5312813055")</f>
        <v>#NAME?</v>
      </c>
      <c r="F3506" s="24" t="e">
        <f ca="1">[1]!BexGetData("DP_1","003N8EMH8GTFRCSWKMPXRRRFI","GSON5312813055")</f>
        <v>#NAME?</v>
      </c>
      <c r="G3506" s="24" t="e">
        <f ca="1">[1]!BexGetData("DP_1","003N8EMH8GTFRCSWKMPXRRXR2","GSON5312813055")</f>
        <v>#NAME?</v>
      </c>
      <c r="H3506" s="24" t="e">
        <f ca="1">[1]!BexGetData("DP_1","003N8EMH8GTFRCSWKMPXRS42M","GSON5312813055")</f>
        <v>#NAME?</v>
      </c>
      <c r="I3506" s="24" t="e">
        <f ca="1">[1]!BexGetData("DP_1","003N8EMH8GTFRCSWKMPXRSAE6","GSON5312813055")</f>
        <v>#NAME?</v>
      </c>
      <c r="J3506" s="24" t="e">
        <f ca="1">[1]!BexGetData("DP_1","003N8EMH8GTFRCSWKMPXRSGPQ","GSON5312813055")</f>
        <v>#NAME?</v>
      </c>
      <c r="K3506" s="23" t="e">
        <f ca="1">[1]!BexGetData("DP_1","003N8EMH8GTFRIVNUPY288VJH","GSON5312813055")</f>
        <v>#NAME?</v>
      </c>
      <c r="L3506" s="23" t="e">
        <f ca="1">[1]!BexGetData("DP_1","003N8EMH8GTFRIVNUPY2891V1","GSON5312813055")</f>
        <v>#NAME?</v>
      </c>
      <c r="M3506" s="28" t="e">
        <f ca="1">[1]!BexGetData("DP_1","003N8EMH8GTFRIVOG7KG9IQXA","GSON5312813055")</f>
        <v>#NAME?</v>
      </c>
      <c r="N3506" s="23" t="e">
        <f ca="1">[1]!BexGetData("DP_1","003N8EMH8GTFRIVOG7KG9IX8U","GSON5312813055")</f>
        <v>#NAME?</v>
      </c>
      <c r="O3506" s="28" t="e">
        <f ca="1">[1]!BexGetData("DP_1","003N8EMH8GTFRIVOG7KG9J3KE","GSON5312813055")</f>
        <v>#NAME?</v>
      </c>
      <c r="P3506" s="23" t="e">
        <f ca="1">[1]!BexGetData("DP_1","003N8EMH8GTFRIVOG7KG9J9VY","GSON5312813055")</f>
        <v>#NAME?</v>
      </c>
      <c r="Q3506" s="24" t="e">
        <f ca="1">[1]!BexGetData("DP_1","00O2TNJGODT0G5Z4TTKYMM5MT","GSON5312813055")</f>
        <v>#NAME?</v>
      </c>
      <c r="R3506" s="24" t="e">
        <f ca="1">[1]!BexGetData("DP_1","00O2TNJGODT0G5Z4TTKYMMBYD","GSON5312813055")</f>
        <v>#NAME?</v>
      </c>
      <c r="S3506" s="24" t="e">
        <f ca="1">[1]!BexGetData("DP_1","00O2TNJGODT0G5Z4TTKYMMI9X","GSON5312813055")</f>
        <v>#NAME?</v>
      </c>
      <c r="T3506" s="24" t="e">
        <f ca="1">[1]!BexGetData("DP_1","00O2TNJGODT0G5Z4TTKYMMOLH","GSON5312813055")</f>
        <v>#NAME?</v>
      </c>
      <c r="U3506" s="24" t="e">
        <f ca="1">[1]!BexGetData("DP_1","00O2TNJGODT0G5Z4TTKYMMUX1","GSON5312813055")</f>
        <v>#NAME?</v>
      </c>
      <c r="V3506" s="24" t="e">
        <f ca="1">[1]!BexGetData("DP_1","00O2TNJGODT0G5Z4TTKYMN18L","GSON5312813055")</f>
        <v>#NAME?</v>
      </c>
      <c r="W3506" s="24" t="e">
        <f ca="1">[1]!BexGetData("DP_1","00O2TNJGODT0G5Z4TTKYMN7K5","GSON5312813055")</f>
        <v>#NAME?</v>
      </c>
    </row>
    <row r="3507" spans="1:23" x14ac:dyDescent="0.2">
      <c r="A3507" s="36" t="s">
        <v>7084</v>
      </c>
      <c r="B3507" s="27" t="s">
        <v>7085</v>
      </c>
      <c r="C3507" s="23" t="e">
        <f ca="1">[1]!BexGetData("DP_1","003N8EMH8GTFRCSWKMPXRR8GU","GSON5312813061")</f>
        <v>#NAME?</v>
      </c>
      <c r="D3507" s="23" t="e">
        <f ca="1">[1]!BexGetData("DP_1","003N8EMH8GTFRCSWKMPXRRESE","GSON5312813061")</f>
        <v>#NAME?</v>
      </c>
      <c r="E3507" s="23" t="e">
        <f ca="1">[1]!BexGetData("DP_1","003N8EMH8GTFRCSWKMPXRRL3Y","GSON5312813061")</f>
        <v>#NAME?</v>
      </c>
      <c r="F3507" s="23" t="e">
        <f ca="1">[1]!BexGetData("DP_1","003N8EMH8GTFRCSWKMPXRRRFI","GSON5312813061")</f>
        <v>#NAME?</v>
      </c>
      <c r="G3507" s="23" t="e">
        <f ca="1">[1]!BexGetData("DP_1","003N8EMH8GTFRCSWKMPXRRXR2","GSON5312813061")</f>
        <v>#NAME?</v>
      </c>
      <c r="H3507" s="23" t="e">
        <f ca="1">[1]!BexGetData("DP_1","003N8EMH8GTFRCSWKMPXRS42M","GSON5312813061")</f>
        <v>#NAME?</v>
      </c>
      <c r="I3507" s="23" t="e">
        <f ca="1">[1]!BexGetData("DP_1","003N8EMH8GTFRCSWKMPXRSAE6","GSON5312813061")</f>
        <v>#NAME?</v>
      </c>
      <c r="J3507" s="24" t="e">
        <f ca="1">[1]!BexGetData("DP_1","003N8EMH8GTFRCSWKMPXRSGPQ","GSON5312813061")</f>
        <v>#NAME?</v>
      </c>
      <c r="K3507" s="23" t="e">
        <f ca="1">[1]!BexGetData("DP_1","003N8EMH8GTFRIVNUPY288VJH","GSON5312813061")</f>
        <v>#NAME?</v>
      </c>
      <c r="L3507" s="23" t="e">
        <f ca="1">[1]!BexGetData("DP_1","003N8EMH8GTFRIVNUPY2891V1","GSON5312813061")</f>
        <v>#NAME?</v>
      </c>
      <c r="M3507" s="28" t="e">
        <f ca="1">[1]!BexGetData("DP_1","003N8EMH8GTFRIVOG7KG9IQXA","GSON5312813061")</f>
        <v>#NAME?</v>
      </c>
      <c r="N3507" s="23" t="e">
        <f ca="1">[1]!BexGetData("DP_1","003N8EMH8GTFRIVOG7KG9IX8U","GSON5312813061")</f>
        <v>#NAME?</v>
      </c>
      <c r="O3507" s="28" t="e">
        <f ca="1">[1]!BexGetData("DP_1","003N8EMH8GTFRIVOG7KG9J3KE","GSON5312813061")</f>
        <v>#NAME?</v>
      </c>
      <c r="P3507" s="23" t="e">
        <f ca="1">[1]!BexGetData("DP_1","003N8EMH8GTFRIVOG7KG9J9VY","GSON5312813061")</f>
        <v>#NAME?</v>
      </c>
      <c r="Q3507" s="24" t="e">
        <f ca="1">[1]!BexGetData("DP_1","00O2TNJGODT0G5Z4TTKYMM5MT","GSON5312813061")</f>
        <v>#NAME?</v>
      </c>
      <c r="R3507" s="23" t="e">
        <f ca="1">[1]!BexGetData("DP_1","00O2TNJGODT0G5Z4TTKYMMBYD","GSON5312813061")</f>
        <v>#NAME?</v>
      </c>
      <c r="S3507" s="23" t="e">
        <f ca="1">[1]!BexGetData("DP_1","00O2TNJGODT0G5Z4TTKYMMI9X","GSON5312813061")</f>
        <v>#NAME?</v>
      </c>
      <c r="T3507" s="28" t="e">
        <f ca="1">[1]!BexGetData("DP_1","00O2TNJGODT0G5Z4TTKYMMOLH","GSON5312813061")</f>
        <v>#NAME?</v>
      </c>
      <c r="U3507" s="23" t="e">
        <f ca="1">[1]!BexGetData("DP_1","00O2TNJGODT0G5Z4TTKYMMUX1","GSON5312813061")</f>
        <v>#NAME?</v>
      </c>
      <c r="V3507" s="28" t="e">
        <f ca="1">[1]!BexGetData("DP_1","00O2TNJGODT0G5Z4TTKYMN18L","GSON5312813061")</f>
        <v>#NAME?</v>
      </c>
      <c r="W3507" s="23" t="e">
        <f ca="1">[1]!BexGetData("DP_1","00O2TNJGODT0G5Z4TTKYMN7K5","GSON5312813061")</f>
        <v>#NAME?</v>
      </c>
    </row>
    <row r="3508" spans="1:23" x14ac:dyDescent="0.2">
      <c r="A3508" s="34" t="s">
        <v>27</v>
      </c>
      <c r="B3508" s="27" t="s">
        <v>7086</v>
      </c>
      <c r="C3508" s="23" t="e">
        <f ca="1">[1]!BexGetData("DP_1","003N8EMH8GTFRCSWKMPXRR8GU","GSON532")</f>
        <v>#NAME?</v>
      </c>
      <c r="D3508" s="23" t="e">
        <f ca="1">[1]!BexGetData("DP_1","003N8EMH8GTFRCSWKMPXRRESE","GSON532")</f>
        <v>#NAME?</v>
      </c>
      <c r="E3508" s="23" t="e">
        <f ca="1">[1]!BexGetData("DP_1","003N8EMH8GTFRCSWKMPXRRL3Y","GSON532")</f>
        <v>#NAME?</v>
      </c>
      <c r="F3508" s="23" t="e">
        <f ca="1">[1]!BexGetData("DP_1","003N8EMH8GTFRCSWKMPXRRRFI","GSON532")</f>
        <v>#NAME?</v>
      </c>
      <c r="G3508" s="23" t="e">
        <f ca="1">[1]!BexGetData("DP_1","003N8EMH8GTFRCSWKMPXRRXR2","GSON532")</f>
        <v>#NAME?</v>
      </c>
      <c r="H3508" s="23" t="e">
        <f ca="1">[1]!BexGetData("DP_1","003N8EMH8GTFRCSWKMPXRS42M","GSON532")</f>
        <v>#NAME?</v>
      </c>
      <c r="I3508" s="23" t="e">
        <f ca="1">[1]!BexGetData("DP_1","003N8EMH8GTFRCSWKMPXRSAE6","GSON532")</f>
        <v>#NAME?</v>
      </c>
      <c r="J3508" s="24" t="e">
        <f ca="1">[1]!BexGetData("DP_1","003N8EMH8GTFRCSWKMPXRSGPQ","GSON532")</f>
        <v>#NAME?</v>
      </c>
      <c r="K3508" s="23" t="e">
        <f ca="1">[1]!BexGetData("DP_1","003N8EMH8GTFRIVNUPY288VJH","GSON532")</f>
        <v>#NAME?</v>
      </c>
      <c r="L3508" s="23" t="e">
        <f ca="1">[1]!BexGetData("DP_1","003N8EMH8GTFRIVNUPY2891V1","GSON532")</f>
        <v>#NAME?</v>
      </c>
      <c r="M3508" s="28" t="e">
        <f ca="1">[1]!BexGetData("DP_1","003N8EMH8GTFRIVOG7KG9IQXA","GSON532")</f>
        <v>#NAME?</v>
      </c>
      <c r="N3508" s="23" t="e">
        <f ca="1">[1]!BexGetData("DP_1","003N8EMH8GTFRIVOG7KG9IX8U","GSON532")</f>
        <v>#NAME?</v>
      </c>
      <c r="O3508" s="28" t="e">
        <f ca="1">[1]!BexGetData("DP_1","003N8EMH8GTFRIVOG7KG9J3KE","GSON532")</f>
        <v>#NAME?</v>
      </c>
      <c r="P3508" s="23" t="e">
        <f ca="1">[1]!BexGetData("DP_1","003N8EMH8GTFRIVOG7KG9J9VY","GSON532")</f>
        <v>#NAME?</v>
      </c>
      <c r="Q3508" s="24" t="e">
        <f ca="1">[1]!BexGetData("DP_1","00O2TNJGODT0G5Z4TTKYMM5MT","GSON532")</f>
        <v>#NAME?</v>
      </c>
      <c r="R3508" s="23" t="e">
        <f ca="1">[1]!BexGetData("DP_1","00O2TNJGODT0G5Z4TTKYMMBYD","GSON532")</f>
        <v>#NAME?</v>
      </c>
      <c r="S3508" s="23" t="e">
        <f ca="1">[1]!BexGetData("DP_1","00O2TNJGODT0G5Z4TTKYMMI9X","GSON532")</f>
        <v>#NAME?</v>
      </c>
      <c r="T3508" s="28" t="e">
        <f ca="1">[1]!BexGetData("DP_1","00O2TNJGODT0G5Z4TTKYMMOLH","GSON532")</f>
        <v>#NAME?</v>
      </c>
      <c r="U3508" s="23" t="e">
        <f ca="1">[1]!BexGetData("DP_1","00O2TNJGODT0G5Z4TTKYMMUX1","GSON532")</f>
        <v>#NAME?</v>
      </c>
      <c r="V3508" s="28" t="e">
        <f ca="1">[1]!BexGetData("DP_1","00O2TNJGODT0G5Z4TTKYMN18L","GSON532")</f>
        <v>#NAME?</v>
      </c>
      <c r="W3508" s="23" t="e">
        <f ca="1">[1]!BexGetData("DP_1","00O2TNJGODT0G5Z4TTKYMN7K5","GSON532")</f>
        <v>#NAME?</v>
      </c>
    </row>
    <row r="3509" spans="1:23" x14ac:dyDescent="0.2">
      <c r="A3509" s="35" t="s">
        <v>7087</v>
      </c>
      <c r="B3509" s="27" t="s">
        <v>7088</v>
      </c>
      <c r="C3509" s="23" t="e">
        <f ca="1">[1]!BexGetData("DP_1","003N8EMH8GTFRCSWKMPXRR8GU","GSON5321")</f>
        <v>#NAME?</v>
      </c>
      <c r="D3509" s="23" t="e">
        <f ca="1">[1]!BexGetData("DP_1","003N8EMH8GTFRCSWKMPXRRESE","GSON5321")</f>
        <v>#NAME?</v>
      </c>
      <c r="E3509" s="23" t="e">
        <f ca="1">[1]!BexGetData("DP_1","003N8EMH8GTFRCSWKMPXRRL3Y","GSON5321")</f>
        <v>#NAME?</v>
      </c>
      <c r="F3509" s="23" t="e">
        <f ca="1">[1]!BexGetData("DP_1","003N8EMH8GTFRCSWKMPXRRRFI","GSON5321")</f>
        <v>#NAME?</v>
      </c>
      <c r="G3509" s="23" t="e">
        <f ca="1">[1]!BexGetData("DP_1","003N8EMH8GTFRCSWKMPXRRXR2","GSON5321")</f>
        <v>#NAME?</v>
      </c>
      <c r="H3509" s="23" t="e">
        <f ca="1">[1]!BexGetData("DP_1","003N8EMH8GTFRCSWKMPXRS42M","GSON5321")</f>
        <v>#NAME?</v>
      </c>
      <c r="I3509" s="23" t="e">
        <f ca="1">[1]!BexGetData("DP_1","003N8EMH8GTFRCSWKMPXRSAE6","GSON5321")</f>
        <v>#NAME?</v>
      </c>
      <c r="J3509" s="24" t="e">
        <f ca="1">[1]!BexGetData("DP_1","003N8EMH8GTFRCSWKMPXRSGPQ","GSON5321")</f>
        <v>#NAME?</v>
      </c>
      <c r="K3509" s="23" t="e">
        <f ca="1">[1]!BexGetData("DP_1","003N8EMH8GTFRIVNUPY288VJH","GSON5321")</f>
        <v>#NAME?</v>
      </c>
      <c r="L3509" s="23" t="e">
        <f ca="1">[1]!BexGetData("DP_1","003N8EMH8GTFRIVNUPY2891V1","GSON5321")</f>
        <v>#NAME?</v>
      </c>
      <c r="M3509" s="28" t="e">
        <f ca="1">[1]!BexGetData("DP_1","003N8EMH8GTFRIVOG7KG9IQXA","GSON5321")</f>
        <v>#NAME?</v>
      </c>
      <c r="N3509" s="23" t="e">
        <f ca="1">[1]!BexGetData("DP_1","003N8EMH8GTFRIVOG7KG9IX8U","GSON5321")</f>
        <v>#NAME?</v>
      </c>
      <c r="O3509" s="28" t="e">
        <f ca="1">[1]!BexGetData("DP_1","003N8EMH8GTFRIVOG7KG9J3KE","GSON5321")</f>
        <v>#NAME?</v>
      </c>
      <c r="P3509" s="23" t="e">
        <f ca="1">[1]!BexGetData("DP_1","003N8EMH8GTFRIVOG7KG9J9VY","GSON5321")</f>
        <v>#NAME?</v>
      </c>
      <c r="Q3509" s="24" t="e">
        <f ca="1">[1]!BexGetData("DP_1","00O2TNJGODT0G5Z4TTKYMM5MT","GSON5321")</f>
        <v>#NAME?</v>
      </c>
      <c r="R3509" s="23" t="e">
        <f ca="1">[1]!BexGetData("DP_1","00O2TNJGODT0G5Z4TTKYMMBYD","GSON5321")</f>
        <v>#NAME?</v>
      </c>
      <c r="S3509" s="23" t="e">
        <f ca="1">[1]!BexGetData("DP_1","00O2TNJGODT0G5Z4TTKYMMI9X","GSON5321")</f>
        <v>#NAME?</v>
      </c>
      <c r="T3509" s="28" t="e">
        <f ca="1">[1]!BexGetData("DP_1","00O2TNJGODT0G5Z4TTKYMMOLH","GSON5321")</f>
        <v>#NAME?</v>
      </c>
      <c r="U3509" s="23" t="e">
        <f ca="1">[1]!BexGetData("DP_1","00O2TNJGODT0G5Z4TTKYMMUX1","GSON5321")</f>
        <v>#NAME?</v>
      </c>
      <c r="V3509" s="28" t="e">
        <f ca="1">[1]!BexGetData("DP_1","00O2TNJGODT0G5Z4TTKYMN18L","GSON5321")</f>
        <v>#NAME?</v>
      </c>
      <c r="W3509" s="23" t="e">
        <f ca="1">[1]!BexGetData("DP_1","00O2TNJGODT0G5Z4TTKYMN7K5","GSON5321")</f>
        <v>#NAME?</v>
      </c>
    </row>
    <row r="3510" spans="1:23" x14ac:dyDescent="0.2">
      <c r="A3510" s="36" t="s">
        <v>7089</v>
      </c>
      <c r="B3510" s="27" t="s">
        <v>7090</v>
      </c>
      <c r="C3510" s="23" t="e">
        <f ca="1">[1]!BexGetData("DP_1","003N8EMH8GTFRCSWKMPXRR8GU","GSON5321832011")</f>
        <v>#NAME?</v>
      </c>
      <c r="D3510" s="23" t="e">
        <f ca="1">[1]!BexGetData("DP_1","003N8EMH8GTFRCSWKMPXRRESE","GSON5321832011")</f>
        <v>#NAME?</v>
      </c>
      <c r="E3510" s="23" t="e">
        <f ca="1">[1]!BexGetData("DP_1","003N8EMH8GTFRCSWKMPXRRL3Y","GSON5321832011")</f>
        <v>#NAME?</v>
      </c>
      <c r="F3510" s="23" t="e">
        <f ca="1">[1]!BexGetData("DP_1","003N8EMH8GTFRCSWKMPXRRRFI","GSON5321832011")</f>
        <v>#NAME?</v>
      </c>
      <c r="G3510" s="23" t="e">
        <f ca="1">[1]!BexGetData("DP_1","003N8EMH8GTFRCSWKMPXRRXR2","GSON5321832011")</f>
        <v>#NAME?</v>
      </c>
      <c r="H3510" s="23" t="e">
        <f ca="1">[1]!BexGetData("DP_1","003N8EMH8GTFRCSWKMPXRS42M","GSON5321832011")</f>
        <v>#NAME?</v>
      </c>
      <c r="I3510" s="23" t="e">
        <f ca="1">[1]!BexGetData("DP_1","003N8EMH8GTFRCSWKMPXRSAE6","GSON5321832011")</f>
        <v>#NAME?</v>
      </c>
      <c r="J3510" s="24" t="e">
        <f ca="1">[1]!BexGetData("DP_1","003N8EMH8GTFRCSWKMPXRSGPQ","GSON5321832011")</f>
        <v>#NAME?</v>
      </c>
      <c r="K3510" s="23" t="e">
        <f ca="1">[1]!BexGetData("DP_1","003N8EMH8GTFRIVNUPY288VJH","GSON5321832011")</f>
        <v>#NAME?</v>
      </c>
      <c r="L3510" s="23" t="e">
        <f ca="1">[1]!BexGetData("DP_1","003N8EMH8GTFRIVNUPY2891V1","GSON5321832011")</f>
        <v>#NAME?</v>
      </c>
      <c r="M3510" s="28" t="e">
        <f ca="1">[1]!BexGetData("DP_1","003N8EMH8GTFRIVOG7KG9IQXA","GSON5321832011")</f>
        <v>#NAME?</v>
      </c>
      <c r="N3510" s="23" t="e">
        <f ca="1">[1]!BexGetData("DP_1","003N8EMH8GTFRIVOG7KG9IX8U","GSON5321832011")</f>
        <v>#NAME?</v>
      </c>
      <c r="O3510" s="28" t="e">
        <f ca="1">[1]!BexGetData("DP_1","003N8EMH8GTFRIVOG7KG9J3KE","GSON5321832011")</f>
        <v>#NAME?</v>
      </c>
      <c r="P3510" s="23" t="e">
        <f ca="1">[1]!BexGetData("DP_1","003N8EMH8GTFRIVOG7KG9J9VY","GSON5321832011")</f>
        <v>#NAME?</v>
      </c>
      <c r="Q3510" s="24" t="e">
        <f ca="1">[1]!BexGetData("DP_1","00O2TNJGODT0G5Z4TTKYMM5MT","GSON5321832011")</f>
        <v>#NAME?</v>
      </c>
      <c r="R3510" s="23" t="e">
        <f ca="1">[1]!BexGetData("DP_1","00O2TNJGODT0G5Z4TTKYMMBYD","GSON5321832011")</f>
        <v>#NAME?</v>
      </c>
      <c r="S3510" s="23" t="e">
        <f ca="1">[1]!BexGetData("DP_1","00O2TNJGODT0G5Z4TTKYMMI9X","GSON5321832011")</f>
        <v>#NAME?</v>
      </c>
      <c r="T3510" s="28" t="e">
        <f ca="1">[1]!BexGetData("DP_1","00O2TNJGODT0G5Z4TTKYMMOLH","GSON5321832011")</f>
        <v>#NAME?</v>
      </c>
      <c r="U3510" s="23" t="e">
        <f ca="1">[1]!BexGetData("DP_1","00O2TNJGODT0G5Z4TTKYMMUX1","GSON5321832011")</f>
        <v>#NAME?</v>
      </c>
      <c r="V3510" s="28" t="e">
        <f ca="1">[1]!BexGetData("DP_1","00O2TNJGODT0G5Z4TTKYMN18L","GSON5321832011")</f>
        <v>#NAME?</v>
      </c>
      <c r="W3510" s="23" t="e">
        <f ca="1">[1]!BexGetData("DP_1","00O2TNJGODT0G5Z4TTKYMN7K5","GSON5321832011")</f>
        <v>#NAME?</v>
      </c>
    </row>
    <row r="3511" spans="1:23" x14ac:dyDescent="0.2">
      <c r="A3511" s="36" t="s">
        <v>7089</v>
      </c>
      <c r="B3511" s="27" t="s">
        <v>7091</v>
      </c>
      <c r="C3511" s="23" t="e">
        <f ca="1">[1]!BexGetData("DP_1","003N8EMH8GTFRCSWKMPXRR8GU","GSON5321832021")</f>
        <v>#NAME?</v>
      </c>
      <c r="D3511" s="23" t="e">
        <f ca="1">[1]!BexGetData("DP_1","003N8EMH8GTFRCSWKMPXRRESE","GSON5321832021")</f>
        <v>#NAME?</v>
      </c>
      <c r="E3511" s="23" t="e">
        <f ca="1">[1]!BexGetData("DP_1","003N8EMH8GTFRCSWKMPXRRL3Y","GSON5321832021")</f>
        <v>#NAME?</v>
      </c>
      <c r="F3511" s="23" t="e">
        <f ca="1">[1]!BexGetData("DP_1","003N8EMH8GTFRCSWKMPXRRRFI","GSON5321832021")</f>
        <v>#NAME?</v>
      </c>
      <c r="G3511" s="23" t="e">
        <f ca="1">[1]!BexGetData("DP_1","003N8EMH8GTFRCSWKMPXRRXR2","GSON5321832021")</f>
        <v>#NAME?</v>
      </c>
      <c r="H3511" s="28" t="e">
        <f ca="1">[1]!BexGetData("DP_1","003N8EMH8GTFRCSWKMPXRS42M","GSON5321832021")</f>
        <v>#NAME?</v>
      </c>
      <c r="I3511" s="23" t="e">
        <f ca="1">[1]!BexGetData("DP_1","003N8EMH8GTFRCSWKMPXRSAE6","GSON5321832021")</f>
        <v>#NAME?</v>
      </c>
      <c r="J3511" s="24" t="e">
        <f ca="1">[1]!BexGetData("DP_1","003N8EMH8GTFRCSWKMPXRSGPQ","GSON5321832021")</f>
        <v>#NAME?</v>
      </c>
      <c r="K3511" s="23" t="e">
        <f ca="1">[1]!BexGetData("DP_1","003N8EMH8GTFRIVNUPY288VJH","GSON5321832021")</f>
        <v>#NAME?</v>
      </c>
      <c r="L3511" s="23" t="e">
        <f ca="1">[1]!BexGetData("DP_1","003N8EMH8GTFRIVNUPY2891V1","GSON5321832021")</f>
        <v>#NAME?</v>
      </c>
      <c r="M3511" s="28" t="e">
        <f ca="1">[1]!BexGetData("DP_1","003N8EMH8GTFRIVOG7KG9IQXA","GSON5321832021")</f>
        <v>#NAME?</v>
      </c>
      <c r="N3511" s="23" t="e">
        <f ca="1">[1]!BexGetData("DP_1","003N8EMH8GTFRIVOG7KG9IX8U","GSON5321832021")</f>
        <v>#NAME?</v>
      </c>
      <c r="O3511" s="28" t="e">
        <f ca="1">[1]!BexGetData("DP_1","003N8EMH8GTFRIVOG7KG9J3KE","GSON5321832021")</f>
        <v>#NAME?</v>
      </c>
      <c r="P3511" s="23" t="e">
        <f ca="1">[1]!BexGetData("DP_1","003N8EMH8GTFRIVOG7KG9J9VY","GSON5321832021")</f>
        <v>#NAME?</v>
      </c>
      <c r="Q3511" s="24" t="e">
        <f ca="1">[1]!BexGetData("DP_1","00O2TNJGODT0G5Z4TTKYMM5MT","GSON5321832021")</f>
        <v>#NAME?</v>
      </c>
      <c r="R3511" s="23" t="e">
        <f ca="1">[1]!BexGetData("DP_1","00O2TNJGODT0G5Z4TTKYMMBYD","GSON5321832021")</f>
        <v>#NAME?</v>
      </c>
      <c r="S3511" s="23" t="e">
        <f ca="1">[1]!BexGetData("DP_1","00O2TNJGODT0G5Z4TTKYMMI9X","GSON5321832021")</f>
        <v>#NAME?</v>
      </c>
      <c r="T3511" s="28" t="e">
        <f ca="1">[1]!BexGetData("DP_1","00O2TNJGODT0G5Z4TTKYMMOLH","GSON5321832021")</f>
        <v>#NAME?</v>
      </c>
      <c r="U3511" s="23" t="e">
        <f ca="1">[1]!BexGetData("DP_1","00O2TNJGODT0G5Z4TTKYMMUX1","GSON5321832021")</f>
        <v>#NAME?</v>
      </c>
      <c r="V3511" s="28" t="e">
        <f ca="1">[1]!BexGetData("DP_1","00O2TNJGODT0G5Z4TTKYMN18L","GSON5321832021")</f>
        <v>#NAME?</v>
      </c>
      <c r="W3511" s="23" t="e">
        <f ca="1">[1]!BexGetData("DP_1","00O2TNJGODT0G5Z4TTKYMN7K5","GSON5321832021")</f>
        <v>#NAME?</v>
      </c>
    </row>
    <row r="3512" spans="1:23" x14ac:dyDescent="0.2">
      <c r="A3512" s="36" t="s">
        <v>7092</v>
      </c>
      <c r="B3512" s="27" t="s">
        <v>7093</v>
      </c>
      <c r="C3512" s="23" t="e">
        <f ca="1">[1]!BexGetData("DP_1","003N8EMH8GTFRCSWKMPXRR8GU","GSON5321835011")</f>
        <v>#NAME?</v>
      </c>
      <c r="D3512" s="28" t="e">
        <f ca="1">[1]!BexGetData("DP_1","003N8EMH8GTFRCSWKMPXRRESE","GSON5321835011")</f>
        <v>#NAME?</v>
      </c>
      <c r="E3512" s="23" t="e">
        <f ca="1">[1]!BexGetData("DP_1","003N8EMH8GTFRCSWKMPXRRL3Y","GSON5321835011")</f>
        <v>#NAME?</v>
      </c>
      <c r="F3512" s="23" t="e">
        <f ca="1">[1]!BexGetData("DP_1","003N8EMH8GTFRCSWKMPXRRRFI","GSON5321835011")</f>
        <v>#NAME?</v>
      </c>
      <c r="G3512" s="23" t="e">
        <f ca="1">[1]!BexGetData("DP_1","003N8EMH8GTFRCSWKMPXRRXR2","GSON5321835011")</f>
        <v>#NAME?</v>
      </c>
      <c r="H3512" s="28" t="e">
        <f ca="1">[1]!BexGetData("DP_1","003N8EMH8GTFRCSWKMPXRS42M","GSON5321835011")</f>
        <v>#NAME?</v>
      </c>
      <c r="I3512" s="23" t="e">
        <f ca="1">[1]!BexGetData("DP_1","003N8EMH8GTFRCSWKMPXRSAE6","GSON5321835011")</f>
        <v>#NAME?</v>
      </c>
      <c r="J3512" s="24" t="e">
        <f ca="1">[1]!BexGetData("DP_1","003N8EMH8GTFRCSWKMPXRSGPQ","GSON5321835011")</f>
        <v>#NAME?</v>
      </c>
      <c r="K3512" s="23" t="e">
        <f ca="1">[1]!BexGetData("DP_1","003N8EMH8GTFRIVNUPY288VJH","GSON5321835011")</f>
        <v>#NAME?</v>
      </c>
      <c r="L3512" s="23" t="e">
        <f ca="1">[1]!BexGetData("DP_1","003N8EMH8GTFRIVNUPY2891V1","GSON5321835011")</f>
        <v>#NAME?</v>
      </c>
      <c r="M3512" s="28" t="e">
        <f ca="1">[1]!BexGetData("DP_1","003N8EMH8GTFRIVOG7KG9IQXA","GSON5321835011")</f>
        <v>#NAME?</v>
      </c>
      <c r="N3512" s="23" t="e">
        <f ca="1">[1]!BexGetData("DP_1","003N8EMH8GTFRIVOG7KG9IX8U","GSON5321835011")</f>
        <v>#NAME?</v>
      </c>
      <c r="O3512" s="28" t="e">
        <f ca="1">[1]!BexGetData("DP_1","003N8EMH8GTFRIVOG7KG9J3KE","GSON5321835011")</f>
        <v>#NAME?</v>
      </c>
      <c r="P3512" s="23" t="e">
        <f ca="1">[1]!BexGetData("DP_1","003N8EMH8GTFRIVOG7KG9J9VY","GSON5321835011")</f>
        <v>#NAME?</v>
      </c>
      <c r="Q3512" s="24" t="e">
        <f ca="1">[1]!BexGetData("DP_1","00O2TNJGODT0G5Z4TTKYMM5MT","GSON5321835011")</f>
        <v>#NAME?</v>
      </c>
      <c r="R3512" s="23" t="e">
        <f ca="1">[1]!BexGetData("DP_1","00O2TNJGODT0G5Z4TTKYMMBYD","GSON5321835011")</f>
        <v>#NAME?</v>
      </c>
      <c r="S3512" s="23" t="e">
        <f ca="1">[1]!BexGetData("DP_1","00O2TNJGODT0G5Z4TTKYMMI9X","GSON5321835011")</f>
        <v>#NAME?</v>
      </c>
      <c r="T3512" s="28" t="e">
        <f ca="1">[1]!BexGetData("DP_1","00O2TNJGODT0G5Z4TTKYMMOLH","GSON5321835011")</f>
        <v>#NAME?</v>
      </c>
      <c r="U3512" s="23" t="e">
        <f ca="1">[1]!BexGetData("DP_1","00O2TNJGODT0G5Z4TTKYMMUX1","GSON5321835011")</f>
        <v>#NAME?</v>
      </c>
      <c r="V3512" s="28" t="e">
        <f ca="1">[1]!BexGetData("DP_1","00O2TNJGODT0G5Z4TTKYMN18L","GSON5321835011")</f>
        <v>#NAME?</v>
      </c>
      <c r="W3512" s="23" t="e">
        <f ca="1">[1]!BexGetData("DP_1","00O2TNJGODT0G5Z4TTKYMN7K5","GSON5321835011")</f>
        <v>#NAME?</v>
      </c>
    </row>
    <row r="3513" spans="1:23" x14ac:dyDescent="0.2">
      <c r="A3513" s="34" t="s">
        <v>715</v>
      </c>
      <c r="B3513" s="27" t="s">
        <v>7094</v>
      </c>
      <c r="C3513" s="23" t="e">
        <f ca="1">[1]!BexGetData("DP_1","003N8EMH8GTFRCSWKMPXRR8GU","GSON533")</f>
        <v>#NAME?</v>
      </c>
      <c r="D3513" s="23" t="e">
        <f ca="1">[1]!BexGetData("DP_1","003N8EMH8GTFRCSWKMPXRRESE","GSON533")</f>
        <v>#NAME?</v>
      </c>
      <c r="E3513" s="23" t="e">
        <f ca="1">[1]!BexGetData("DP_1","003N8EMH8GTFRCSWKMPXRRL3Y","GSON533")</f>
        <v>#NAME?</v>
      </c>
      <c r="F3513" s="23" t="e">
        <f ca="1">[1]!BexGetData("DP_1","003N8EMH8GTFRCSWKMPXRRRFI","GSON533")</f>
        <v>#NAME?</v>
      </c>
      <c r="G3513" s="23" t="e">
        <f ca="1">[1]!BexGetData("DP_1","003N8EMH8GTFRCSWKMPXRRXR2","GSON533")</f>
        <v>#NAME?</v>
      </c>
      <c r="H3513" s="23" t="e">
        <f ca="1">[1]!BexGetData("DP_1","003N8EMH8GTFRCSWKMPXRS42M","GSON533")</f>
        <v>#NAME?</v>
      </c>
      <c r="I3513" s="23" t="e">
        <f ca="1">[1]!BexGetData("DP_1","003N8EMH8GTFRCSWKMPXRSAE6","GSON533")</f>
        <v>#NAME?</v>
      </c>
      <c r="J3513" s="24" t="e">
        <f ca="1">[1]!BexGetData("DP_1","003N8EMH8GTFRCSWKMPXRSGPQ","GSON533")</f>
        <v>#NAME?</v>
      </c>
      <c r="K3513" s="23" t="e">
        <f ca="1">[1]!BexGetData("DP_1","003N8EMH8GTFRIVNUPY288VJH","GSON533")</f>
        <v>#NAME?</v>
      </c>
      <c r="L3513" s="23" t="e">
        <f ca="1">[1]!BexGetData("DP_1","003N8EMH8GTFRIVNUPY2891V1","GSON533")</f>
        <v>#NAME?</v>
      </c>
      <c r="M3513" s="23" t="e">
        <f ca="1">[1]!BexGetData("DP_1","003N8EMH8GTFRIVOG7KG9IQXA","GSON533")</f>
        <v>#NAME?</v>
      </c>
      <c r="N3513" s="28" t="e">
        <f ca="1">[1]!BexGetData("DP_1","003N8EMH8GTFRIVOG7KG9IX8U","GSON533")</f>
        <v>#NAME?</v>
      </c>
      <c r="O3513" s="23" t="e">
        <f ca="1">[1]!BexGetData("DP_1","003N8EMH8GTFRIVOG7KG9J3KE","GSON533")</f>
        <v>#NAME?</v>
      </c>
      <c r="P3513" s="28" t="e">
        <f ca="1">[1]!BexGetData("DP_1","003N8EMH8GTFRIVOG7KG9J9VY","GSON533")</f>
        <v>#NAME?</v>
      </c>
      <c r="Q3513" s="24" t="e">
        <f ca="1">[1]!BexGetData("DP_1","00O2TNJGODT0G5Z4TTKYMM5MT","GSON533")</f>
        <v>#NAME?</v>
      </c>
      <c r="R3513" s="23" t="e">
        <f ca="1">[1]!BexGetData("DP_1","00O2TNJGODT0G5Z4TTKYMMBYD","GSON533")</f>
        <v>#NAME?</v>
      </c>
      <c r="S3513" s="23" t="e">
        <f ca="1">[1]!BexGetData("DP_1","00O2TNJGODT0G5Z4TTKYMMI9X","GSON533")</f>
        <v>#NAME?</v>
      </c>
      <c r="T3513" s="28" t="e">
        <f ca="1">[1]!BexGetData("DP_1","00O2TNJGODT0G5Z4TTKYMMOLH","GSON533")</f>
        <v>#NAME?</v>
      </c>
      <c r="U3513" s="23" t="e">
        <f ca="1">[1]!BexGetData("DP_1","00O2TNJGODT0G5Z4TTKYMMUX1","GSON533")</f>
        <v>#NAME?</v>
      </c>
      <c r="V3513" s="28" t="e">
        <f ca="1">[1]!BexGetData("DP_1","00O2TNJGODT0G5Z4TTKYMN18L","GSON533")</f>
        <v>#NAME?</v>
      </c>
      <c r="W3513" s="23" t="e">
        <f ca="1">[1]!BexGetData("DP_1","00O2TNJGODT0G5Z4TTKYMN7K5","GSON533")</f>
        <v>#NAME?</v>
      </c>
    </row>
    <row r="3514" spans="1:23" x14ac:dyDescent="0.2">
      <c r="A3514" s="35" t="s">
        <v>7095</v>
      </c>
      <c r="B3514" s="27" t="s">
        <v>7096</v>
      </c>
      <c r="C3514" s="23" t="e">
        <f ca="1">[1]!BexGetData("DP_1","003N8EMH8GTFRCSWKMPXRR8GU","GSON5332")</f>
        <v>#NAME?</v>
      </c>
      <c r="D3514" s="23" t="e">
        <f ca="1">[1]!BexGetData("DP_1","003N8EMH8GTFRCSWKMPXRRESE","GSON5332")</f>
        <v>#NAME?</v>
      </c>
      <c r="E3514" s="23" t="e">
        <f ca="1">[1]!BexGetData("DP_1","003N8EMH8GTFRCSWKMPXRRL3Y","GSON5332")</f>
        <v>#NAME?</v>
      </c>
      <c r="F3514" s="23" t="e">
        <f ca="1">[1]!BexGetData("DP_1","003N8EMH8GTFRCSWKMPXRRRFI","GSON5332")</f>
        <v>#NAME?</v>
      </c>
      <c r="G3514" s="23" t="e">
        <f ca="1">[1]!BexGetData("DP_1","003N8EMH8GTFRCSWKMPXRRXR2","GSON5332")</f>
        <v>#NAME?</v>
      </c>
      <c r="H3514" s="23" t="e">
        <f ca="1">[1]!BexGetData("DP_1","003N8EMH8GTFRCSWKMPXRS42M","GSON5332")</f>
        <v>#NAME?</v>
      </c>
      <c r="I3514" s="23" t="e">
        <f ca="1">[1]!BexGetData("DP_1","003N8EMH8GTFRCSWKMPXRSAE6","GSON5332")</f>
        <v>#NAME?</v>
      </c>
      <c r="J3514" s="24" t="e">
        <f ca="1">[1]!BexGetData("DP_1","003N8EMH8GTFRCSWKMPXRSGPQ","GSON5332")</f>
        <v>#NAME?</v>
      </c>
      <c r="K3514" s="23" t="e">
        <f ca="1">[1]!BexGetData("DP_1","003N8EMH8GTFRIVNUPY288VJH","GSON5332")</f>
        <v>#NAME?</v>
      </c>
      <c r="L3514" s="23" t="e">
        <f ca="1">[1]!BexGetData("DP_1","003N8EMH8GTFRIVNUPY2891V1","GSON5332")</f>
        <v>#NAME?</v>
      </c>
      <c r="M3514" s="23" t="e">
        <f ca="1">[1]!BexGetData("DP_1","003N8EMH8GTFRIVOG7KG9IQXA","GSON5332")</f>
        <v>#NAME?</v>
      </c>
      <c r="N3514" s="28" t="e">
        <f ca="1">[1]!BexGetData("DP_1","003N8EMH8GTFRIVOG7KG9IX8U","GSON5332")</f>
        <v>#NAME?</v>
      </c>
      <c r="O3514" s="23" t="e">
        <f ca="1">[1]!BexGetData("DP_1","003N8EMH8GTFRIVOG7KG9J3KE","GSON5332")</f>
        <v>#NAME?</v>
      </c>
      <c r="P3514" s="28" t="e">
        <f ca="1">[1]!BexGetData("DP_1","003N8EMH8GTFRIVOG7KG9J9VY","GSON5332")</f>
        <v>#NAME?</v>
      </c>
      <c r="Q3514" s="24" t="e">
        <f ca="1">[1]!BexGetData("DP_1","00O2TNJGODT0G5Z4TTKYMM5MT","GSON5332")</f>
        <v>#NAME?</v>
      </c>
      <c r="R3514" s="23" t="e">
        <f ca="1">[1]!BexGetData("DP_1","00O2TNJGODT0G5Z4TTKYMMBYD","GSON5332")</f>
        <v>#NAME?</v>
      </c>
      <c r="S3514" s="23" t="e">
        <f ca="1">[1]!BexGetData("DP_1","00O2TNJGODT0G5Z4TTKYMMI9X","GSON5332")</f>
        <v>#NAME?</v>
      </c>
      <c r="T3514" s="28" t="e">
        <f ca="1">[1]!BexGetData("DP_1","00O2TNJGODT0G5Z4TTKYMMOLH","GSON5332")</f>
        <v>#NAME?</v>
      </c>
      <c r="U3514" s="23" t="e">
        <f ca="1">[1]!BexGetData("DP_1","00O2TNJGODT0G5Z4TTKYMMUX1","GSON5332")</f>
        <v>#NAME?</v>
      </c>
      <c r="V3514" s="28" t="e">
        <f ca="1">[1]!BexGetData("DP_1","00O2TNJGODT0G5Z4TTKYMN18L","GSON5332")</f>
        <v>#NAME?</v>
      </c>
      <c r="W3514" s="23" t="e">
        <f ca="1">[1]!BexGetData("DP_1","00O2TNJGODT0G5Z4TTKYMN7K5","GSON5332")</f>
        <v>#NAME?</v>
      </c>
    </row>
    <row r="3515" spans="1:23" x14ac:dyDescent="0.2">
      <c r="A3515" s="36" t="s">
        <v>7097</v>
      </c>
      <c r="B3515" s="27" t="s">
        <v>7098</v>
      </c>
      <c r="C3515" s="23" t="e">
        <f ca="1">[1]!BexGetData("DP_1","003N8EMH8GTFRCSWKMPXRR8GU","GSON5332852011")</f>
        <v>#NAME?</v>
      </c>
      <c r="D3515" s="23" t="e">
        <f ca="1">[1]!BexGetData("DP_1","003N8EMH8GTFRCSWKMPXRRESE","GSON5332852011")</f>
        <v>#NAME?</v>
      </c>
      <c r="E3515" s="23" t="e">
        <f ca="1">[1]!BexGetData("DP_1","003N8EMH8GTFRCSWKMPXRRL3Y","GSON5332852011")</f>
        <v>#NAME?</v>
      </c>
      <c r="F3515" s="23" t="e">
        <f ca="1">[1]!BexGetData("DP_1","003N8EMH8GTFRCSWKMPXRRRFI","GSON5332852011")</f>
        <v>#NAME?</v>
      </c>
      <c r="G3515" s="23" t="e">
        <f ca="1">[1]!BexGetData("DP_1","003N8EMH8GTFRCSWKMPXRRXR2","GSON5332852011")</f>
        <v>#NAME?</v>
      </c>
      <c r="H3515" s="23" t="e">
        <f ca="1">[1]!BexGetData("DP_1","003N8EMH8GTFRCSWKMPXRS42M","GSON5332852011")</f>
        <v>#NAME?</v>
      </c>
      <c r="I3515" s="23" t="e">
        <f ca="1">[1]!BexGetData("DP_1","003N8EMH8GTFRCSWKMPXRSAE6","GSON5332852011")</f>
        <v>#NAME?</v>
      </c>
      <c r="J3515" s="24" t="e">
        <f ca="1">[1]!BexGetData("DP_1","003N8EMH8GTFRCSWKMPXRSGPQ","GSON5332852011")</f>
        <v>#NAME?</v>
      </c>
      <c r="K3515" s="23" t="e">
        <f ca="1">[1]!BexGetData("DP_1","003N8EMH8GTFRIVNUPY288VJH","GSON5332852011")</f>
        <v>#NAME?</v>
      </c>
      <c r="L3515" s="23" t="e">
        <f ca="1">[1]!BexGetData("DP_1","003N8EMH8GTFRIVNUPY2891V1","GSON5332852011")</f>
        <v>#NAME?</v>
      </c>
      <c r="M3515" s="23" t="e">
        <f ca="1">[1]!BexGetData("DP_1","003N8EMH8GTFRIVOG7KG9IQXA","GSON5332852011")</f>
        <v>#NAME?</v>
      </c>
      <c r="N3515" s="28" t="e">
        <f ca="1">[1]!BexGetData("DP_1","003N8EMH8GTFRIVOG7KG9IX8U","GSON5332852011")</f>
        <v>#NAME?</v>
      </c>
      <c r="O3515" s="23" t="e">
        <f ca="1">[1]!BexGetData("DP_1","003N8EMH8GTFRIVOG7KG9J3KE","GSON5332852011")</f>
        <v>#NAME?</v>
      </c>
      <c r="P3515" s="28" t="e">
        <f ca="1">[1]!BexGetData("DP_1","003N8EMH8GTFRIVOG7KG9J9VY","GSON5332852011")</f>
        <v>#NAME?</v>
      </c>
      <c r="Q3515" s="24" t="e">
        <f ca="1">[1]!BexGetData("DP_1","00O2TNJGODT0G5Z4TTKYMM5MT","GSON5332852011")</f>
        <v>#NAME?</v>
      </c>
      <c r="R3515" s="23" t="e">
        <f ca="1">[1]!BexGetData("DP_1","00O2TNJGODT0G5Z4TTKYMMBYD","GSON5332852011")</f>
        <v>#NAME?</v>
      </c>
      <c r="S3515" s="23" t="e">
        <f ca="1">[1]!BexGetData("DP_1","00O2TNJGODT0G5Z4TTKYMMI9X","GSON5332852011")</f>
        <v>#NAME?</v>
      </c>
      <c r="T3515" s="28" t="e">
        <f ca="1">[1]!BexGetData("DP_1","00O2TNJGODT0G5Z4TTKYMMOLH","GSON5332852011")</f>
        <v>#NAME?</v>
      </c>
      <c r="U3515" s="23" t="e">
        <f ca="1">[1]!BexGetData("DP_1","00O2TNJGODT0G5Z4TTKYMMUX1","GSON5332852011")</f>
        <v>#NAME?</v>
      </c>
      <c r="V3515" s="28" t="e">
        <f ca="1">[1]!BexGetData("DP_1","00O2TNJGODT0G5Z4TTKYMN18L","GSON5332852011")</f>
        <v>#NAME?</v>
      </c>
      <c r="W3515" s="23" t="e">
        <f ca="1">[1]!BexGetData("DP_1","00O2TNJGODT0G5Z4TTKYMN7K5","GSON5332852011")</f>
        <v>#NAME?</v>
      </c>
    </row>
    <row r="3516" spans="1:23" x14ac:dyDescent="0.2">
      <c r="A3516" s="36" t="s">
        <v>7099</v>
      </c>
      <c r="B3516" s="27" t="s">
        <v>7100</v>
      </c>
      <c r="C3516" s="23" t="e">
        <f ca="1">[1]!BexGetData("DP_1","003N8EMH8GTFRCSWKMPXRR8GU","GSON5332853011")</f>
        <v>#NAME?</v>
      </c>
      <c r="D3516" s="28" t="e">
        <f ca="1">[1]!BexGetData("DP_1","003N8EMH8GTFRCSWKMPXRRESE","GSON5332853011")</f>
        <v>#NAME?</v>
      </c>
      <c r="E3516" s="23" t="e">
        <f ca="1">[1]!BexGetData("DP_1","003N8EMH8GTFRCSWKMPXRRL3Y","GSON5332853011")</f>
        <v>#NAME?</v>
      </c>
      <c r="F3516" s="24" t="e">
        <f ca="1">[1]!BexGetData("DP_1","003N8EMH8GTFRCSWKMPXRRRFI","GSON5332853011")</f>
        <v>#NAME?</v>
      </c>
      <c r="G3516" s="24" t="e">
        <f ca="1">[1]!BexGetData("DP_1","003N8EMH8GTFRCSWKMPXRRXR2","GSON5332853011")</f>
        <v>#NAME?</v>
      </c>
      <c r="H3516" s="24" t="e">
        <f ca="1">[1]!BexGetData("DP_1","003N8EMH8GTFRCSWKMPXRS42M","GSON5332853011")</f>
        <v>#NAME?</v>
      </c>
      <c r="I3516" s="24" t="e">
        <f ca="1">[1]!BexGetData("DP_1","003N8EMH8GTFRCSWKMPXRSAE6","GSON5332853011")</f>
        <v>#NAME?</v>
      </c>
      <c r="J3516" s="24" t="e">
        <f ca="1">[1]!BexGetData("DP_1","003N8EMH8GTFRCSWKMPXRSGPQ","GSON5332853011")</f>
        <v>#NAME?</v>
      </c>
      <c r="K3516" s="23" t="e">
        <f ca="1">[1]!BexGetData("DP_1","003N8EMH8GTFRIVNUPY288VJH","GSON5332853011")</f>
        <v>#NAME?</v>
      </c>
      <c r="L3516" s="23" t="e">
        <f ca="1">[1]!BexGetData("DP_1","003N8EMH8GTFRIVNUPY2891V1","GSON5332853011")</f>
        <v>#NAME?</v>
      </c>
      <c r="M3516" s="28" t="e">
        <f ca="1">[1]!BexGetData("DP_1","003N8EMH8GTFRIVOG7KG9IQXA","GSON5332853011")</f>
        <v>#NAME?</v>
      </c>
      <c r="N3516" s="23" t="e">
        <f ca="1">[1]!BexGetData("DP_1","003N8EMH8GTFRIVOG7KG9IX8U","GSON5332853011")</f>
        <v>#NAME?</v>
      </c>
      <c r="O3516" s="28" t="e">
        <f ca="1">[1]!BexGetData("DP_1","003N8EMH8GTFRIVOG7KG9J3KE","GSON5332853011")</f>
        <v>#NAME?</v>
      </c>
      <c r="P3516" s="23" t="e">
        <f ca="1">[1]!BexGetData("DP_1","003N8EMH8GTFRIVOG7KG9J9VY","GSON5332853011")</f>
        <v>#NAME?</v>
      </c>
      <c r="Q3516" s="24" t="e">
        <f ca="1">[1]!BexGetData("DP_1","00O2TNJGODT0G5Z4TTKYMM5MT","GSON5332853011")</f>
        <v>#NAME?</v>
      </c>
      <c r="R3516" s="24" t="e">
        <f ca="1">[1]!BexGetData("DP_1","00O2TNJGODT0G5Z4TTKYMMBYD","GSON5332853011")</f>
        <v>#NAME?</v>
      </c>
      <c r="S3516" s="24" t="e">
        <f ca="1">[1]!BexGetData("DP_1","00O2TNJGODT0G5Z4TTKYMMI9X","GSON5332853011")</f>
        <v>#NAME?</v>
      </c>
      <c r="T3516" s="24" t="e">
        <f ca="1">[1]!BexGetData("DP_1","00O2TNJGODT0G5Z4TTKYMMOLH","GSON5332853011")</f>
        <v>#NAME?</v>
      </c>
      <c r="U3516" s="24" t="e">
        <f ca="1">[1]!BexGetData("DP_1","00O2TNJGODT0G5Z4TTKYMMUX1","GSON5332853011")</f>
        <v>#NAME?</v>
      </c>
      <c r="V3516" s="24" t="e">
        <f ca="1">[1]!BexGetData("DP_1","00O2TNJGODT0G5Z4TTKYMN18L","GSON5332853011")</f>
        <v>#NAME?</v>
      </c>
      <c r="W3516" s="24" t="e">
        <f ca="1">[1]!BexGetData("DP_1","00O2TNJGODT0G5Z4TTKYMN7K5","GSON5332853011")</f>
        <v>#NAME?</v>
      </c>
    </row>
    <row r="3517" spans="1:23" x14ac:dyDescent="0.2">
      <c r="A3517" s="33" t="s">
        <v>598</v>
      </c>
      <c r="B3517" s="27" t="s">
        <v>599</v>
      </c>
      <c r="C3517" s="23" t="e">
        <f ca="1">[1]!BexGetData("DP_1","003N8EMH8GTFRCSWKMPXRR8GU","GSON54")</f>
        <v>#NAME?</v>
      </c>
      <c r="D3517" s="23" t="e">
        <f ca="1">[1]!BexGetData("DP_1","003N8EMH8GTFRCSWKMPXRRESE","GSON54")</f>
        <v>#NAME?</v>
      </c>
      <c r="E3517" s="23" t="e">
        <f ca="1">[1]!BexGetData("DP_1","003N8EMH8GTFRCSWKMPXRRL3Y","GSON54")</f>
        <v>#NAME?</v>
      </c>
      <c r="F3517" s="23" t="e">
        <f ca="1">[1]!BexGetData("DP_1","003N8EMH8GTFRCSWKMPXRRRFI","GSON54")</f>
        <v>#NAME?</v>
      </c>
      <c r="G3517" s="23" t="e">
        <f ca="1">[1]!BexGetData("DP_1","003N8EMH8GTFRCSWKMPXRRXR2","GSON54")</f>
        <v>#NAME?</v>
      </c>
      <c r="H3517" s="23" t="e">
        <f ca="1">[1]!BexGetData("DP_1","003N8EMH8GTFRCSWKMPXRS42M","GSON54")</f>
        <v>#NAME?</v>
      </c>
      <c r="I3517" s="23" t="e">
        <f ca="1">[1]!BexGetData("DP_1","003N8EMH8GTFRCSWKMPXRSAE6","GSON54")</f>
        <v>#NAME?</v>
      </c>
      <c r="J3517" s="24" t="e">
        <f ca="1">[1]!BexGetData("DP_1","003N8EMH8GTFRCSWKMPXRSGPQ","GSON54")</f>
        <v>#NAME?</v>
      </c>
      <c r="K3517" s="23" t="e">
        <f ca="1">[1]!BexGetData("DP_1","003N8EMH8GTFRIVNUPY288VJH","GSON54")</f>
        <v>#NAME?</v>
      </c>
      <c r="L3517" s="23" t="e">
        <f ca="1">[1]!BexGetData("DP_1","003N8EMH8GTFRIVNUPY2891V1","GSON54")</f>
        <v>#NAME?</v>
      </c>
      <c r="M3517" s="28" t="e">
        <f ca="1">[1]!BexGetData("DP_1","003N8EMH8GTFRIVOG7KG9IQXA","GSON54")</f>
        <v>#NAME?</v>
      </c>
      <c r="N3517" s="23" t="e">
        <f ca="1">[1]!BexGetData("DP_1","003N8EMH8GTFRIVOG7KG9IX8U","GSON54")</f>
        <v>#NAME?</v>
      </c>
      <c r="O3517" s="28" t="e">
        <f ca="1">[1]!BexGetData("DP_1","003N8EMH8GTFRIVOG7KG9J3KE","GSON54")</f>
        <v>#NAME?</v>
      </c>
      <c r="P3517" s="23" t="e">
        <f ca="1">[1]!BexGetData("DP_1","003N8EMH8GTFRIVOG7KG9J9VY","GSON54")</f>
        <v>#NAME?</v>
      </c>
      <c r="Q3517" s="24" t="e">
        <f ca="1">[1]!BexGetData("DP_1","00O2TNJGODT0G5Z4TTKYMM5MT","GSON54")</f>
        <v>#NAME?</v>
      </c>
      <c r="R3517" s="23" t="e">
        <f ca="1">[1]!BexGetData("DP_1","00O2TNJGODT0G5Z4TTKYMMBYD","GSON54")</f>
        <v>#NAME?</v>
      </c>
      <c r="S3517" s="23" t="e">
        <f ca="1">[1]!BexGetData("DP_1","00O2TNJGODT0G5Z4TTKYMMI9X","GSON54")</f>
        <v>#NAME?</v>
      </c>
      <c r="T3517" s="28" t="e">
        <f ca="1">[1]!BexGetData("DP_1","00O2TNJGODT0G5Z4TTKYMMOLH","GSON54")</f>
        <v>#NAME?</v>
      </c>
      <c r="U3517" s="23" t="e">
        <f ca="1">[1]!BexGetData("DP_1","00O2TNJGODT0G5Z4TTKYMMUX1","GSON54")</f>
        <v>#NAME?</v>
      </c>
      <c r="V3517" s="28" t="e">
        <f ca="1">[1]!BexGetData("DP_1","00O2TNJGODT0G5Z4TTKYMN18L","GSON54")</f>
        <v>#NAME?</v>
      </c>
      <c r="W3517" s="23" t="e">
        <f ca="1">[1]!BexGetData("DP_1","00O2TNJGODT0G5Z4TTKYMN7K5","GSON54")</f>
        <v>#NAME?</v>
      </c>
    </row>
    <row r="3518" spans="1:23" x14ac:dyDescent="0.2">
      <c r="A3518" s="34" t="s">
        <v>600</v>
      </c>
      <c r="B3518" s="27" t="s">
        <v>601</v>
      </c>
      <c r="C3518" s="23" t="e">
        <f ca="1">[1]!BexGetData("DP_1","003N8EMH8GTFRCSWKMPXRR8GU","GSON541")</f>
        <v>#NAME?</v>
      </c>
      <c r="D3518" s="23" t="e">
        <f ca="1">[1]!BexGetData("DP_1","003N8EMH8GTFRCSWKMPXRRESE","GSON541")</f>
        <v>#NAME?</v>
      </c>
      <c r="E3518" s="23" t="e">
        <f ca="1">[1]!BexGetData("DP_1","003N8EMH8GTFRCSWKMPXRRL3Y","GSON541")</f>
        <v>#NAME?</v>
      </c>
      <c r="F3518" s="23" t="e">
        <f ca="1">[1]!BexGetData("DP_1","003N8EMH8GTFRCSWKMPXRRRFI","GSON541")</f>
        <v>#NAME?</v>
      </c>
      <c r="G3518" s="23" t="e">
        <f ca="1">[1]!BexGetData("DP_1","003N8EMH8GTFRCSWKMPXRRXR2","GSON541")</f>
        <v>#NAME?</v>
      </c>
      <c r="H3518" s="23" t="e">
        <f ca="1">[1]!BexGetData("DP_1","003N8EMH8GTFRCSWKMPXRS42M","GSON541")</f>
        <v>#NAME?</v>
      </c>
      <c r="I3518" s="23" t="e">
        <f ca="1">[1]!BexGetData("DP_1","003N8EMH8GTFRCSWKMPXRSAE6","GSON541")</f>
        <v>#NAME?</v>
      </c>
      <c r="J3518" s="24" t="e">
        <f ca="1">[1]!BexGetData("DP_1","003N8EMH8GTFRCSWKMPXRSGPQ","GSON541")</f>
        <v>#NAME?</v>
      </c>
      <c r="K3518" s="23" t="e">
        <f ca="1">[1]!BexGetData("DP_1","003N8EMH8GTFRIVNUPY288VJH","GSON541")</f>
        <v>#NAME?</v>
      </c>
      <c r="L3518" s="23" t="e">
        <f ca="1">[1]!BexGetData("DP_1","003N8EMH8GTFRIVNUPY2891V1","GSON541")</f>
        <v>#NAME?</v>
      </c>
      <c r="M3518" s="28" t="e">
        <f ca="1">[1]!BexGetData("DP_1","003N8EMH8GTFRIVOG7KG9IQXA","GSON541")</f>
        <v>#NAME?</v>
      </c>
      <c r="N3518" s="23" t="e">
        <f ca="1">[1]!BexGetData("DP_1","003N8EMH8GTFRIVOG7KG9IX8U","GSON541")</f>
        <v>#NAME?</v>
      </c>
      <c r="O3518" s="28" t="e">
        <f ca="1">[1]!BexGetData("DP_1","003N8EMH8GTFRIVOG7KG9J3KE","GSON541")</f>
        <v>#NAME?</v>
      </c>
      <c r="P3518" s="23" t="e">
        <f ca="1">[1]!BexGetData("DP_1","003N8EMH8GTFRIVOG7KG9J9VY","GSON541")</f>
        <v>#NAME?</v>
      </c>
      <c r="Q3518" s="24" t="e">
        <f ca="1">[1]!BexGetData("DP_1","00O2TNJGODT0G5Z4TTKYMM5MT","GSON541")</f>
        <v>#NAME?</v>
      </c>
      <c r="R3518" s="23" t="e">
        <f ca="1">[1]!BexGetData("DP_1","00O2TNJGODT0G5Z4TTKYMMBYD","GSON541")</f>
        <v>#NAME?</v>
      </c>
      <c r="S3518" s="23" t="e">
        <f ca="1">[1]!BexGetData("DP_1","00O2TNJGODT0G5Z4TTKYMMI9X","GSON541")</f>
        <v>#NAME?</v>
      </c>
      <c r="T3518" s="28" t="e">
        <f ca="1">[1]!BexGetData("DP_1","00O2TNJGODT0G5Z4TTKYMMOLH","GSON541")</f>
        <v>#NAME?</v>
      </c>
      <c r="U3518" s="23" t="e">
        <f ca="1">[1]!BexGetData("DP_1","00O2TNJGODT0G5Z4TTKYMMUX1","GSON541")</f>
        <v>#NAME?</v>
      </c>
      <c r="V3518" s="28" t="e">
        <f ca="1">[1]!BexGetData("DP_1","00O2TNJGODT0G5Z4TTKYMN18L","GSON541")</f>
        <v>#NAME?</v>
      </c>
      <c r="W3518" s="23" t="e">
        <f ca="1">[1]!BexGetData("DP_1","00O2TNJGODT0G5Z4TTKYMN7K5","GSON541")</f>
        <v>#NAME?</v>
      </c>
    </row>
    <row r="3519" spans="1:23" x14ac:dyDescent="0.2">
      <c r="A3519" s="35" t="s">
        <v>600</v>
      </c>
      <c r="B3519" s="27" t="s">
        <v>602</v>
      </c>
      <c r="C3519" s="23" t="e">
        <f ca="1">[1]!BexGetData("DP_1","003N8EMH8GTFRCSWKMPXRR8GU","GSON5411")</f>
        <v>#NAME?</v>
      </c>
      <c r="D3519" s="23" t="e">
        <f ca="1">[1]!BexGetData("DP_1","003N8EMH8GTFRCSWKMPXRRESE","GSON5411")</f>
        <v>#NAME?</v>
      </c>
      <c r="E3519" s="23" t="e">
        <f ca="1">[1]!BexGetData("DP_1","003N8EMH8GTFRCSWKMPXRRL3Y","GSON5411")</f>
        <v>#NAME?</v>
      </c>
      <c r="F3519" s="23" t="e">
        <f ca="1">[1]!BexGetData("DP_1","003N8EMH8GTFRCSWKMPXRRRFI","GSON5411")</f>
        <v>#NAME?</v>
      </c>
      <c r="G3519" s="23" t="e">
        <f ca="1">[1]!BexGetData("DP_1","003N8EMH8GTFRCSWKMPXRRXR2","GSON5411")</f>
        <v>#NAME?</v>
      </c>
      <c r="H3519" s="23" t="e">
        <f ca="1">[1]!BexGetData("DP_1","003N8EMH8GTFRCSWKMPXRS42M","GSON5411")</f>
        <v>#NAME?</v>
      </c>
      <c r="I3519" s="23" t="e">
        <f ca="1">[1]!BexGetData("DP_1","003N8EMH8GTFRCSWKMPXRSAE6","GSON5411")</f>
        <v>#NAME?</v>
      </c>
      <c r="J3519" s="24" t="e">
        <f ca="1">[1]!BexGetData("DP_1","003N8EMH8GTFRCSWKMPXRSGPQ","GSON5411")</f>
        <v>#NAME?</v>
      </c>
      <c r="K3519" s="23" t="e">
        <f ca="1">[1]!BexGetData("DP_1","003N8EMH8GTFRIVNUPY288VJH","GSON5411")</f>
        <v>#NAME?</v>
      </c>
      <c r="L3519" s="23" t="e">
        <f ca="1">[1]!BexGetData("DP_1","003N8EMH8GTFRIVNUPY2891V1","GSON5411")</f>
        <v>#NAME?</v>
      </c>
      <c r="M3519" s="28" t="e">
        <f ca="1">[1]!BexGetData("DP_1","003N8EMH8GTFRIVOG7KG9IQXA","GSON5411")</f>
        <v>#NAME?</v>
      </c>
      <c r="N3519" s="23" t="e">
        <f ca="1">[1]!BexGetData("DP_1","003N8EMH8GTFRIVOG7KG9IX8U","GSON5411")</f>
        <v>#NAME?</v>
      </c>
      <c r="O3519" s="28" t="e">
        <f ca="1">[1]!BexGetData("DP_1","003N8EMH8GTFRIVOG7KG9J3KE","GSON5411")</f>
        <v>#NAME?</v>
      </c>
      <c r="P3519" s="23" t="e">
        <f ca="1">[1]!BexGetData("DP_1","003N8EMH8GTFRIVOG7KG9J9VY","GSON5411")</f>
        <v>#NAME?</v>
      </c>
      <c r="Q3519" s="24" t="e">
        <f ca="1">[1]!BexGetData("DP_1","00O2TNJGODT0G5Z4TTKYMM5MT","GSON5411")</f>
        <v>#NAME?</v>
      </c>
      <c r="R3519" s="23" t="e">
        <f ca="1">[1]!BexGetData("DP_1","00O2TNJGODT0G5Z4TTKYMMBYD","GSON5411")</f>
        <v>#NAME?</v>
      </c>
      <c r="S3519" s="23" t="e">
        <f ca="1">[1]!BexGetData("DP_1","00O2TNJGODT0G5Z4TTKYMMI9X","GSON5411")</f>
        <v>#NAME?</v>
      </c>
      <c r="T3519" s="28" t="e">
        <f ca="1">[1]!BexGetData("DP_1","00O2TNJGODT0G5Z4TTKYMMOLH","GSON5411")</f>
        <v>#NAME?</v>
      </c>
      <c r="U3519" s="23" t="e">
        <f ca="1">[1]!BexGetData("DP_1","00O2TNJGODT0G5Z4TTKYMMUX1","GSON5411")</f>
        <v>#NAME?</v>
      </c>
      <c r="V3519" s="28" t="e">
        <f ca="1">[1]!BexGetData("DP_1","00O2TNJGODT0G5Z4TTKYMN18L","GSON5411")</f>
        <v>#NAME?</v>
      </c>
      <c r="W3519" s="23" t="e">
        <f ca="1">[1]!BexGetData("DP_1","00O2TNJGODT0G5Z4TTKYMN7K5","GSON5411")</f>
        <v>#NAME?</v>
      </c>
    </row>
    <row r="3520" spans="1:23" x14ac:dyDescent="0.2">
      <c r="A3520" s="36" t="s">
        <v>7101</v>
      </c>
      <c r="B3520" s="27" t="s">
        <v>603</v>
      </c>
      <c r="C3520" s="23" t="e">
        <f ca="1">[1]!BexGetData("DP_1","003N8EMH8GTFRCSWKMPXRR8GU","GSON5411921013")</f>
        <v>#NAME?</v>
      </c>
      <c r="D3520" s="23" t="e">
        <f ca="1">[1]!BexGetData("DP_1","003N8EMH8GTFRCSWKMPXRRESE","GSON5411921013")</f>
        <v>#NAME?</v>
      </c>
      <c r="E3520" s="23" t="e">
        <f ca="1">[1]!BexGetData("DP_1","003N8EMH8GTFRCSWKMPXRRL3Y","GSON5411921013")</f>
        <v>#NAME?</v>
      </c>
      <c r="F3520" s="23" t="e">
        <f ca="1">[1]!BexGetData("DP_1","003N8EMH8GTFRCSWKMPXRRRFI","GSON5411921013")</f>
        <v>#NAME?</v>
      </c>
      <c r="G3520" s="23" t="e">
        <f ca="1">[1]!BexGetData("DP_1","003N8EMH8GTFRCSWKMPXRRXR2","GSON5411921013")</f>
        <v>#NAME?</v>
      </c>
      <c r="H3520" s="23" t="e">
        <f ca="1">[1]!BexGetData("DP_1","003N8EMH8GTFRCSWKMPXRS42M","GSON5411921013")</f>
        <v>#NAME?</v>
      </c>
      <c r="I3520" s="23" t="e">
        <f ca="1">[1]!BexGetData("DP_1","003N8EMH8GTFRCSWKMPXRSAE6","GSON5411921013")</f>
        <v>#NAME?</v>
      </c>
      <c r="J3520" s="24" t="e">
        <f ca="1">[1]!BexGetData("DP_1","003N8EMH8GTFRCSWKMPXRSGPQ","GSON5411921013")</f>
        <v>#NAME?</v>
      </c>
      <c r="K3520" s="23" t="e">
        <f ca="1">[1]!BexGetData("DP_1","003N8EMH8GTFRIVNUPY288VJH","GSON5411921013")</f>
        <v>#NAME?</v>
      </c>
      <c r="L3520" s="23" t="e">
        <f ca="1">[1]!BexGetData("DP_1","003N8EMH8GTFRIVNUPY2891V1","GSON5411921013")</f>
        <v>#NAME?</v>
      </c>
      <c r="M3520" s="28" t="e">
        <f ca="1">[1]!BexGetData("DP_1","003N8EMH8GTFRIVOG7KG9IQXA","GSON5411921013")</f>
        <v>#NAME?</v>
      </c>
      <c r="N3520" s="23" t="e">
        <f ca="1">[1]!BexGetData("DP_1","003N8EMH8GTFRIVOG7KG9IX8U","GSON5411921013")</f>
        <v>#NAME?</v>
      </c>
      <c r="O3520" s="28" t="e">
        <f ca="1">[1]!BexGetData("DP_1","003N8EMH8GTFRIVOG7KG9J3KE","GSON5411921013")</f>
        <v>#NAME?</v>
      </c>
      <c r="P3520" s="23" t="e">
        <f ca="1">[1]!BexGetData("DP_1","003N8EMH8GTFRIVOG7KG9J9VY","GSON5411921013")</f>
        <v>#NAME?</v>
      </c>
      <c r="Q3520" s="24" t="e">
        <f ca="1">[1]!BexGetData("DP_1","00O2TNJGODT0G5Z4TTKYMM5MT","GSON5411921013")</f>
        <v>#NAME?</v>
      </c>
      <c r="R3520" s="23" t="e">
        <f ca="1">[1]!BexGetData("DP_1","00O2TNJGODT0G5Z4TTKYMMBYD","GSON5411921013")</f>
        <v>#NAME?</v>
      </c>
      <c r="S3520" s="23" t="e">
        <f ca="1">[1]!BexGetData("DP_1","00O2TNJGODT0G5Z4TTKYMMI9X","GSON5411921013")</f>
        <v>#NAME?</v>
      </c>
      <c r="T3520" s="28" t="e">
        <f ca="1">[1]!BexGetData("DP_1","00O2TNJGODT0G5Z4TTKYMMOLH","GSON5411921013")</f>
        <v>#NAME?</v>
      </c>
      <c r="U3520" s="23" t="e">
        <f ca="1">[1]!BexGetData("DP_1","00O2TNJGODT0G5Z4TTKYMMUX1","GSON5411921013")</f>
        <v>#NAME?</v>
      </c>
      <c r="V3520" s="28" t="e">
        <f ca="1">[1]!BexGetData("DP_1","00O2TNJGODT0G5Z4TTKYMN18L","GSON5411921013")</f>
        <v>#NAME?</v>
      </c>
      <c r="W3520" s="23" t="e">
        <f ca="1">[1]!BexGetData("DP_1","00O2TNJGODT0G5Z4TTKYMN7K5","GSON5411921013")</f>
        <v>#NAME?</v>
      </c>
    </row>
    <row r="3521" spans="1:23" x14ac:dyDescent="0.2">
      <c r="A3521" s="36" t="s">
        <v>7101</v>
      </c>
      <c r="B3521" s="27" t="s">
        <v>604</v>
      </c>
      <c r="C3521" s="23" t="e">
        <f ca="1">[1]!BexGetData("DP_1","003N8EMH8GTFRCSWKMPXRR8GU","GSON5411921014")</f>
        <v>#NAME?</v>
      </c>
      <c r="D3521" s="23" t="e">
        <f ca="1">[1]!BexGetData("DP_1","003N8EMH8GTFRCSWKMPXRRESE","GSON5411921014")</f>
        <v>#NAME?</v>
      </c>
      <c r="E3521" s="23" t="e">
        <f ca="1">[1]!BexGetData("DP_1","003N8EMH8GTFRCSWKMPXRRL3Y","GSON5411921014")</f>
        <v>#NAME?</v>
      </c>
      <c r="F3521" s="23" t="e">
        <f ca="1">[1]!BexGetData("DP_1","003N8EMH8GTFRCSWKMPXRRRFI","GSON5411921014")</f>
        <v>#NAME?</v>
      </c>
      <c r="G3521" s="23" t="e">
        <f ca="1">[1]!BexGetData("DP_1","003N8EMH8GTFRCSWKMPXRRXR2","GSON5411921014")</f>
        <v>#NAME?</v>
      </c>
      <c r="H3521" s="23" t="e">
        <f ca="1">[1]!BexGetData("DP_1","003N8EMH8GTFRCSWKMPXRS42M","GSON5411921014")</f>
        <v>#NAME?</v>
      </c>
      <c r="I3521" s="23" t="e">
        <f ca="1">[1]!BexGetData("DP_1","003N8EMH8GTFRCSWKMPXRSAE6","GSON5411921014")</f>
        <v>#NAME?</v>
      </c>
      <c r="J3521" s="24" t="e">
        <f ca="1">[1]!BexGetData("DP_1","003N8EMH8GTFRCSWKMPXRSGPQ","GSON5411921014")</f>
        <v>#NAME?</v>
      </c>
      <c r="K3521" s="23" t="e">
        <f ca="1">[1]!BexGetData("DP_1","003N8EMH8GTFRIVNUPY288VJH","GSON5411921014")</f>
        <v>#NAME?</v>
      </c>
      <c r="L3521" s="23" t="e">
        <f ca="1">[1]!BexGetData("DP_1","003N8EMH8GTFRIVNUPY2891V1","GSON5411921014")</f>
        <v>#NAME?</v>
      </c>
      <c r="M3521" s="28" t="e">
        <f ca="1">[1]!BexGetData("DP_1","003N8EMH8GTFRIVOG7KG9IQXA","GSON5411921014")</f>
        <v>#NAME?</v>
      </c>
      <c r="N3521" s="23" t="e">
        <f ca="1">[1]!BexGetData("DP_1","003N8EMH8GTFRIVOG7KG9IX8U","GSON5411921014")</f>
        <v>#NAME?</v>
      </c>
      <c r="O3521" s="28" t="e">
        <f ca="1">[1]!BexGetData("DP_1","003N8EMH8GTFRIVOG7KG9J3KE","GSON5411921014")</f>
        <v>#NAME?</v>
      </c>
      <c r="P3521" s="23" t="e">
        <f ca="1">[1]!BexGetData("DP_1","003N8EMH8GTFRIVOG7KG9J9VY","GSON5411921014")</f>
        <v>#NAME?</v>
      </c>
      <c r="Q3521" s="24" t="e">
        <f ca="1">[1]!BexGetData("DP_1","00O2TNJGODT0G5Z4TTKYMM5MT","GSON5411921014")</f>
        <v>#NAME?</v>
      </c>
      <c r="R3521" s="23" t="e">
        <f ca="1">[1]!BexGetData("DP_1","00O2TNJGODT0G5Z4TTKYMMBYD","GSON5411921014")</f>
        <v>#NAME?</v>
      </c>
      <c r="S3521" s="23" t="e">
        <f ca="1">[1]!BexGetData("DP_1","00O2TNJGODT0G5Z4TTKYMMI9X","GSON5411921014")</f>
        <v>#NAME?</v>
      </c>
      <c r="T3521" s="28" t="e">
        <f ca="1">[1]!BexGetData("DP_1","00O2TNJGODT0G5Z4TTKYMMOLH","GSON5411921014")</f>
        <v>#NAME?</v>
      </c>
      <c r="U3521" s="23" t="e">
        <f ca="1">[1]!BexGetData("DP_1","00O2TNJGODT0G5Z4TTKYMMUX1","GSON5411921014")</f>
        <v>#NAME?</v>
      </c>
      <c r="V3521" s="28" t="e">
        <f ca="1">[1]!BexGetData("DP_1","00O2TNJGODT0G5Z4TTKYMN18L","GSON5411921014")</f>
        <v>#NAME?</v>
      </c>
      <c r="W3521" s="23" t="e">
        <f ca="1">[1]!BexGetData("DP_1","00O2TNJGODT0G5Z4TTKYMN7K5","GSON5411921014")</f>
        <v>#NAME?</v>
      </c>
    </row>
    <row r="3522" spans="1:23" x14ac:dyDescent="0.2">
      <c r="A3522" s="36" t="s">
        <v>7102</v>
      </c>
      <c r="B3522" s="27" t="s">
        <v>642</v>
      </c>
      <c r="C3522" s="23" t="e">
        <f ca="1">[1]!BexGetData("DP_1","003N8EMH8GTFRCSWKMPXRR8GU","GSON5411921023")</f>
        <v>#NAME?</v>
      </c>
      <c r="D3522" s="23" t="e">
        <f ca="1">[1]!BexGetData("DP_1","003N8EMH8GTFRCSWKMPXRRESE","GSON5411921023")</f>
        <v>#NAME?</v>
      </c>
      <c r="E3522" s="23" t="e">
        <f ca="1">[1]!BexGetData("DP_1","003N8EMH8GTFRCSWKMPXRRL3Y","GSON5411921023")</f>
        <v>#NAME?</v>
      </c>
      <c r="F3522" s="23" t="e">
        <f ca="1">[1]!BexGetData("DP_1","003N8EMH8GTFRCSWKMPXRRRFI","GSON5411921023")</f>
        <v>#NAME?</v>
      </c>
      <c r="G3522" s="23" t="e">
        <f ca="1">[1]!BexGetData("DP_1","003N8EMH8GTFRCSWKMPXRRXR2","GSON5411921023")</f>
        <v>#NAME?</v>
      </c>
      <c r="H3522" s="23" t="e">
        <f ca="1">[1]!BexGetData("DP_1","003N8EMH8GTFRCSWKMPXRS42M","GSON5411921023")</f>
        <v>#NAME?</v>
      </c>
      <c r="I3522" s="23" t="e">
        <f ca="1">[1]!BexGetData("DP_1","003N8EMH8GTFRCSWKMPXRSAE6","GSON5411921023")</f>
        <v>#NAME?</v>
      </c>
      <c r="J3522" s="24" t="e">
        <f ca="1">[1]!BexGetData("DP_1","003N8EMH8GTFRCSWKMPXRSGPQ","GSON5411921023")</f>
        <v>#NAME?</v>
      </c>
      <c r="K3522" s="23" t="e">
        <f ca="1">[1]!BexGetData("DP_1","003N8EMH8GTFRIVNUPY288VJH","GSON5411921023")</f>
        <v>#NAME?</v>
      </c>
      <c r="L3522" s="23" t="e">
        <f ca="1">[1]!BexGetData("DP_1","003N8EMH8GTFRIVNUPY2891V1","GSON5411921023")</f>
        <v>#NAME?</v>
      </c>
      <c r="M3522" s="28" t="e">
        <f ca="1">[1]!BexGetData("DP_1","003N8EMH8GTFRIVOG7KG9IQXA","GSON5411921023")</f>
        <v>#NAME?</v>
      </c>
      <c r="N3522" s="23" t="e">
        <f ca="1">[1]!BexGetData("DP_1","003N8EMH8GTFRIVOG7KG9IX8U","GSON5411921023")</f>
        <v>#NAME?</v>
      </c>
      <c r="O3522" s="28" t="e">
        <f ca="1">[1]!BexGetData("DP_1","003N8EMH8GTFRIVOG7KG9J3KE","GSON5411921023")</f>
        <v>#NAME?</v>
      </c>
      <c r="P3522" s="23" t="e">
        <f ca="1">[1]!BexGetData("DP_1","003N8EMH8GTFRIVOG7KG9J9VY","GSON5411921023")</f>
        <v>#NAME?</v>
      </c>
      <c r="Q3522" s="24" t="e">
        <f ca="1">[1]!BexGetData("DP_1","00O2TNJGODT0G5Z4TTKYMM5MT","GSON5411921023")</f>
        <v>#NAME?</v>
      </c>
      <c r="R3522" s="23" t="e">
        <f ca="1">[1]!BexGetData("DP_1","00O2TNJGODT0G5Z4TTKYMMBYD","GSON5411921023")</f>
        <v>#NAME?</v>
      </c>
      <c r="S3522" s="23" t="e">
        <f ca="1">[1]!BexGetData("DP_1","00O2TNJGODT0G5Z4TTKYMMI9X","GSON5411921023")</f>
        <v>#NAME?</v>
      </c>
      <c r="T3522" s="28" t="e">
        <f ca="1">[1]!BexGetData("DP_1","00O2TNJGODT0G5Z4TTKYMMOLH","GSON5411921023")</f>
        <v>#NAME?</v>
      </c>
      <c r="U3522" s="23" t="e">
        <f ca="1">[1]!BexGetData("DP_1","00O2TNJGODT0G5Z4TTKYMMUX1","GSON5411921023")</f>
        <v>#NAME?</v>
      </c>
      <c r="V3522" s="28" t="e">
        <f ca="1">[1]!BexGetData("DP_1","00O2TNJGODT0G5Z4TTKYMN18L","GSON5411921023")</f>
        <v>#NAME?</v>
      </c>
      <c r="W3522" s="23" t="e">
        <f ca="1">[1]!BexGetData("DP_1","00O2TNJGODT0G5Z4TTKYMN7K5","GSON5411921023")</f>
        <v>#NAME?</v>
      </c>
    </row>
    <row r="3523" spans="1:23" x14ac:dyDescent="0.2">
      <c r="A3523" s="34" t="s">
        <v>605</v>
      </c>
      <c r="B3523" s="27" t="s">
        <v>606</v>
      </c>
      <c r="C3523" s="23" t="e">
        <f ca="1">[1]!BexGetData("DP_1","003N8EMH8GTFRCSWKMPXRR8GU","GSON542")</f>
        <v>#NAME?</v>
      </c>
      <c r="D3523" s="28" t="e">
        <f ca="1">[1]!BexGetData("DP_1","003N8EMH8GTFRCSWKMPXRRESE","GSON542")</f>
        <v>#NAME?</v>
      </c>
      <c r="E3523" s="23" t="e">
        <f ca="1">[1]!BexGetData("DP_1","003N8EMH8GTFRCSWKMPXRRL3Y","GSON542")</f>
        <v>#NAME?</v>
      </c>
      <c r="F3523" s="23" t="e">
        <f ca="1">[1]!BexGetData("DP_1","003N8EMH8GTFRCSWKMPXRRRFI","GSON542")</f>
        <v>#NAME?</v>
      </c>
      <c r="G3523" s="23" t="e">
        <f ca="1">[1]!BexGetData("DP_1","003N8EMH8GTFRCSWKMPXRRXR2","GSON542")</f>
        <v>#NAME?</v>
      </c>
      <c r="H3523" s="23" t="e">
        <f ca="1">[1]!BexGetData("DP_1","003N8EMH8GTFRCSWKMPXRS42M","GSON542")</f>
        <v>#NAME?</v>
      </c>
      <c r="I3523" s="23" t="e">
        <f ca="1">[1]!BexGetData("DP_1","003N8EMH8GTFRCSWKMPXRSAE6","GSON542")</f>
        <v>#NAME?</v>
      </c>
      <c r="J3523" s="24" t="e">
        <f ca="1">[1]!BexGetData("DP_1","003N8EMH8GTFRCSWKMPXRSGPQ","GSON542")</f>
        <v>#NAME?</v>
      </c>
      <c r="K3523" s="23" t="e">
        <f ca="1">[1]!BexGetData("DP_1","003N8EMH8GTFRIVNUPY288VJH","GSON542")</f>
        <v>#NAME?</v>
      </c>
      <c r="L3523" s="23" t="e">
        <f ca="1">[1]!BexGetData("DP_1","003N8EMH8GTFRIVNUPY2891V1","GSON542")</f>
        <v>#NAME?</v>
      </c>
      <c r="M3523" s="23" t="e">
        <f ca="1">[1]!BexGetData("DP_1","003N8EMH8GTFRIVOG7KG9IQXA","GSON542")</f>
        <v>#NAME?</v>
      </c>
      <c r="N3523" s="28" t="e">
        <f ca="1">[1]!BexGetData("DP_1","003N8EMH8GTFRIVOG7KG9IX8U","GSON542")</f>
        <v>#NAME?</v>
      </c>
      <c r="O3523" s="23" t="e">
        <f ca="1">[1]!BexGetData("DP_1","003N8EMH8GTFRIVOG7KG9J3KE","GSON542")</f>
        <v>#NAME?</v>
      </c>
      <c r="P3523" s="28" t="e">
        <f ca="1">[1]!BexGetData("DP_1","003N8EMH8GTFRIVOG7KG9J9VY","GSON542")</f>
        <v>#NAME?</v>
      </c>
      <c r="Q3523" s="24" t="e">
        <f ca="1">[1]!BexGetData("DP_1","00O2TNJGODT0G5Z4TTKYMM5MT","GSON542")</f>
        <v>#NAME?</v>
      </c>
      <c r="R3523" s="23" t="e">
        <f ca="1">[1]!BexGetData("DP_1","00O2TNJGODT0G5Z4TTKYMMBYD","GSON542")</f>
        <v>#NAME?</v>
      </c>
      <c r="S3523" s="23" t="e">
        <f ca="1">[1]!BexGetData("DP_1","00O2TNJGODT0G5Z4TTKYMMI9X","GSON542")</f>
        <v>#NAME?</v>
      </c>
      <c r="T3523" s="28" t="e">
        <f ca="1">[1]!BexGetData("DP_1","00O2TNJGODT0G5Z4TTKYMMOLH","GSON542")</f>
        <v>#NAME?</v>
      </c>
      <c r="U3523" s="23" t="e">
        <f ca="1">[1]!BexGetData("DP_1","00O2TNJGODT0G5Z4TTKYMMUX1","GSON542")</f>
        <v>#NAME?</v>
      </c>
      <c r="V3523" s="28" t="e">
        <f ca="1">[1]!BexGetData("DP_1","00O2TNJGODT0G5Z4TTKYMN18L","GSON542")</f>
        <v>#NAME?</v>
      </c>
      <c r="W3523" s="23" t="e">
        <f ca="1">[1]!BexGetData("DP_1","00O2TNJGODT0G5Z4TTKYMN7K5","GSON542")</f>
        <v>#NAME?</v>
      </c>
    </row>
    <row r="3524" spans="1:23" x14ac:dyDescent="0.2">
      <c r="A3524" s="35" t="s">
        <v>607</v>
      </c>
      <c r="B3524" s="27" t="s">
        <v>608</v>
      </c>
      <c r="C3524" s="23" t="e">
        <f ca="1">[1]!BexGetData("DP_1","003N8EMH8GTFRCSWKMPXRR8GU","GSON5421")</f>
        <v>#NAME?</v>
      </c>
      <c r="D3524" s="28" t="e">
        <f ca="1">[1]!BexGetData("DP_1","003N8EMH8GTFRCSWKMPXRRESE","GSON5421")</f>
        <v>#NAME?</v>
      </c>
      <c r="E3524" s="23" t="e">
        <f ca="1">[1]!BexGetData("DP_1","003N8EMH8GTFRCSWKMPXRRL3Y","GSON5421")</f>
        <v>#NAME?</v>
      </c>
      <c r="F3524" s="23" t="e">
        <f ca="1">[1]!BexGetData("DP_1","003N8EMH8GTFRCSWKMPXRRRFI","GSON5421")</f>
        <v>#NAME?</v>
      </c>
      <c r="G3524" s="23" t="e">
        <f ca="1">[1]!BexGetData("DP_1","003N8EMH8GTFRCSWKMPXRRXR2","GSON5421")</f>
        <v>#NAME?</v>
      </c>
      <c r="H3524" s="23" t="e">
        <f ca="1">[1]!BexGetData("DP_1","003N8EMH8GTFRCSWKMPXRS42M","GSON5421")</f>
        <v>#NAME?</v>
      </c>
      <c r="I3524" s="23" t="e">
        <f ca="1">[1]!BexGetData("DP_1","003N8EMH8GTFRCSWKMPXRSAE6","GSON5421")</f>
        <v>#NAME?</v>
      </c>
      <c r="J3524" s="24" t="e">
        <f ca="1">[1]!BexGetData("DP_1","003N8EMH8GTFRCSWKMPXRSGPQ","GSON5421")</f>
        <v>#NAME?</v>
      </c>
      <c r="K3524" s="23" t="e">
        <f ca="1">[1]!BexGetData("DP_1","003N8EMH8GTFRIVNUPY288VJH","GSON5421")</f>
        <v>#NAME?</v>
      </c>
      <c r="L3524" s="23" t="e">
        <f ca="1">[1]!BexGetData("DP_1","003N8EMH8GTFRIVNUPY2891V1","GSON5421")</f>
        <v>#NAME?</v>
      </c>
      <c r="M3524" s="23" t="e">
        <f ca="1">[1]!BexGetData("DP_1","003N8EMH8GTFRIVOG7KG9IQXA","GSON5421")</f>
        <v>#NAME?</v>
      </c>
      <c r="N3524" s="28" t="e">
        <f ca="1">[1]!BexGetData("DP_1","003N8EMH8GTFRIVOG7KG9IX8U","GSON5421")</f>
        <v>#NAME?</v>
      </c>
      <c r="O3524" s="23" t="e">
        <f ca="1">[1]!BexGetData("DP_1","003N8EMH8GTFRIVOG7KG9J3KE","GSON5421")</f>
        <v>#NAME?</v>
      </c>
      <c r="P3524" s="28" t="e">
        <f ca="1">[1]!BexGetData("DP_1","003N8EMH8GTFRIVOG7KG9J9VY","GSON5421")</f>
        <v>#NAME?</v>
      </c>
      <c r="Q3524" s="24" t="e">
        <f ca="1">[1]!BexGetData("DP_1","00O2TNJGODT0G5Z4TTKYMM5MT","GSON5421")</f>
        <v>#NAME?</v>
      </c>
      <c r="R3524" s="23" t="e">
        <f ca="1">[1]!BexGetData("DP_1","00O2TNJGODT0G5Z4TTKYMMBYD","GSON5421")</f>
        <v>#NAME?</v>
      </c>
      <c r="S3524" s="23" t="e">
        <f ca="1">[1]!BexGetData("DP_1","00O2TNJGODT0G5Z4TTKYMMI9X","GSON5421")</f>
        <v>#NAME?</v>
      </c>
      <c r="T3524" s="28" t="e">
        <f ca="1">[1]!BexGetData("DP_1","00O2TNJGODT0G5Z4TTKYMMOLH","GSON5421")</f>
        <v>#NAME?</v>
      </c>
      <c r="U3524" s="23" t="e">
        <f ca="1">[1]!BexGetData("DP_1","00O2TNJGODT0G5Z4TTKYMMUX1","GSON5421")</f>
        <v>#NAME?</v>
      </c>
      <c r="V3524" s="28" t="e">
        <f ca="1">[1]!BexGetData("DP_1","00O2TNJGODT0G5Z4TTKYMN18L","GSON5421")</f>
        <v>#NAME?</v>
      </c>
      <c r="W3524" s="23" t="e">
        <f ca="1">[1]!BexGetData("DP_1","00O2TNJGODT0G5Z4TTKYMN7K5","GSON5421")</f>
        <v>#NAME?</v>
      </c>
    </row>
    <row r="3525" spans="1:23" x14ac:dyDescent="0.2">
      <c r="A3525" s="36" t="s">
        <v>7103</v>
      </c>
      <c r="B3525" s="27" t="s">
        <v>609</v>
      </c>
      <c r="C3525" s="23" t="e">
        <f ca="1">[1]!BexGetData("DP_1","003N8EMH8GTFRCSWKMPXRR8GU","GSON5421931013")</f>
        <v>#NAME?</v>
      </c>
      <c r="D3525" s="28" t="e">
        <f ca="1">[1]!BexGetData("DP_1","003N8EMH8GTFRCSWKMPXRRESE","GSON5421931013")</f>
        <v>#NAME?</v>
      </c>
      <c r="E3525" s="23" t="e">
        <f ca="1">[1]!BexGetData("DP_1","003N8EMH8GTFRCSWKMPXRRL3Y","GSON5421931013")</f>
        <v>#NAME?</v>
      </c>
      <c r="F3525" s="23" t="e">
        <f ca="1">[1]!BexGetData("DP_1","003N8EMH8GTFRCSWKMPXRRRFI","GSON5421931013")</f>
        <v>#NAME?</v>
      </c>
      <c r="G3525" s="23" t="e">
        <f ca="1">[1]!BexGetData("DP_1","003N8EMH8GTFRCSWKMPXRRXR2","GSON5421931013")</f>
        <v>#NAME?</v>
      </c>
      <c r="H3525" s="23" t="e">
        <f ca="1">[1]!BexGetData("DP_1","003N8EMH8GTFRCSWKMPXRS42M","GSON5421931013")</f>
        <v>#NAME?</v>
      </c>
      <c r="I3525" s="23" t="e">
        <f ca="1">[1]!BexGetData("DP_1","003N8EMH8GTFRCSWKMPXRSAE6","GSON5421931013")</f>
        <v>#NAME?</v>
      </c>
      <c r="J3525" s="24" t="e">
        <f ca="1">[1]!BexGetData("DP_1","003N8EMH8GTFRCSWKMPXRSGPQ","GSON5421931013")</f>
        <v>#NAME?</v>
      </c>
      <c r="K3525" s="23" t="e">
        <f ca="1">[1]!BexGetData("DP_1","003N8EMH8GTFRIVNUPY288VJH","GSON5421931013")</f>
        <v>#NAME?</v>
      </c>
      <c r="L3525" s="23" t="e">
        <f ca="1">[1]!BexGetData("DP_1","003N8EMH8GTFRIVNUPY2891V1","GSON5421931013")</f>
        <v>#NAME?</v>
      </c>
      <c r="M3525" s="23" t="e">
        <f ca="1">[1]!BexGetData("DP_1","003N8EMH8GTFRIVOG7KG9IQXA","GSON5421931013")</f>
        <v>#NAME?</v>
      </c>
      <c r="N3525" s="28" t="e">
        <f ca="1">[1]!BexGetData("DP_1","003N8EMH8GTFRIVOG7KG9IX8U","GSON5421931013")</f>
        <v>#NAME?</v>
      </c>
      <c r="O3525" s="23" t="e">
        <f ca="1">[1]!BexGetData("DP_1","003N8EMH8GTFRIVOG7KG9J3KE","GSON5421931013")</f>
        <v>#NAME?</v>
      </c>
      <c r="P3525" s="28" t="e">
        <f ca="1">[1]!BexGetData("DP_1","003N8EMH8GTFRIVOG7KG9J9VY","GSON5421931013")</f>
        <v>#NAME?</v>
      </c>
      <c r="Q3525" s="24" t="e">
        <f ca="1">[1]!BexGetData("DP_1","00O2TNJGODT0G5Z4TTKYMM5MT","GSON5421931013")</f>
        <v>#NAME?</v>
      </c>
      <c r="R3525" s="23" t="e">
        <f ca="1">[1]!BexGetData("DP_1","00O2TNJGODT0G5Z4TTKYMMBYD","GSON5421931013")</f>
        <v>#NAME?</v>
      </c>
      <c r="S3525" s="23" t="e">
        <f ca="1">[1]!BexGetData("DP_1","00O2TNJGODT0G5Z4TTKYMMI9X","GSON5421931013")</f>
        <v>#NAME?</v>
      </c>
      <c r="T3525" s="28" t="e">
        <f ca="1">[1]!BexGetData("DP_1","00O2TNJGODT0G5Z4TTKYMMOLH","GSON5421931013")</f>
        <v>#NAME?</v>
      </c>
      <c r="U3525" s="23" t="e">
        <f ca="1">[1]!BexGetData("DP_1","00O2TNJGODT0G5Z4TTKYMMUX1","GSON5421931013")</f>
        <v>#NAME?</v>
      </c>
      <c r="V3525" s="28" t="e">
        <f ca="1">[1]!BexGetData("DP_1","00O2TNJGODT0G5Z4TTKYMN18L","GSON5421931013")</f>
        <v>#NAME?</v>
      </c>
      <c r="W3525" s="23" t="e">
        <f ca="1">[1]!BexGetData("DP_1","00O2TNJGODT0G5Z4TTKYMN7K5","GSON5421931013")</f>
        <v>#NAME?</v>
      </c>
    </row>
    <row r="3526" spans="1:23" x14ac:dyDescent="0.2">
      <c r="A3526" s="36" t="s">
        <v>7103</v>
      </c>
      <c r="B3526" s="27" t="s">
        <v>1635</v>
      </c>
      <c r="C3526" s="23" t="e">
        <f ca="1">[1]!BexGetData("DP_1","003N8EMH8GTFRCSWKMPXRR8GU","GSON5421931014")</f>
        <v>#NAME?</v>
      </c>
      <c r="D3526" s="28" t="e">
        <f ca="1">[1]!BexGetData("DP_1","003N8EMH8GTFRCSWKMPXRRESE","GSON5421931014")</f>
        <v>#NAME?</v>
      </c>
      <c r="E3526" s="23" t="e">
        <f ca="1">[1]!BexGetData("DP_1","003N8EMH8GTFRCSWKMPXRRL3Y","GSON5421931014")</f>
        <v>#NAME?</v>
      </c>
      <c r="F3526" s="24" t="e">
        <f ca="1">[1]!BexGetData("DP_1","003N8EMH8GTFRCSWKMPXRRRFI","GSON5421931014")</f>
        <v>#NAME?</v>
      </c>
      <c r="G3526" s="24" t="e">
        <f ca="1">[1]!BexGetData("DP_1","003N8EMH8GTFRCSWKMPXRRXR2","GSON5421931014")</f>
        <v>#NAME?</v>
      </c>
      <c r="H3526" s="24" t="e">
        <f ca="1">[1]!BexGetData("DP_1","003N8EMH8GTFRCSWKMPXRS42M","GSON5421931014")</f>
        <v>#NAME?</v>
      </c>
      <c r="I3526" s="24" t="e">
        <f ca="1">[1]!BexGetData("DP_1","003N8EMH8GTFRCSWKMPXRSAE6","GSON5421931014")</f>
        <v>#NAME?</v>
      </c>
      <c r="J3526" s="24" t="e">
        <f ca="1">[1]!BexGetData("DP_1","003N8EMH8GTFRCSWKMPXRSGPQ","GSON5421931014")</f>
        <v>#NAME?</v>
      </c>
      <c r="K3526" s="23" t="e">
        <f ca="1">[1]!BexGetData("DP_1","003N8EMH8GTFRIVNUPY288VJH","GSON5421931014")</f>
        <v>#NAME?</v>
      </c>
      <c r="L3526" s="23" t="e">
        <f ca="1">[1]!BexGetData("DP_1","003N8EMH8GTFRIVNUPY2891V1","GSON5421931014")</f>
        <v>#NAME?</v>
      </c>
      <c r="M3526" s="28" t="e">
        <f ca="1">[1]!BexGetData("DP_1","003N8EMH8GTFRIVOG7KG9IQXA","GSON5421931014")</f>
        <v>#NAME?</v>
      </c>
      <c r="N3526" s="23" t="e">
        <f ca="1">[1]!BexGetData("DP_1","003N8EMH8GTFRIVOG7KG9IX8U","GSON5421931014")</f>
        <v>#NAME?</v>
      </c>
      <c r="O3526" s="28" t="e">
        <f ca="1">[1]!BexGetData("DP_1","003N8EMH8GTFRIVOG7KG9J3KE","GSON5421931014")</f>
        <v>#NAME?</v>
      </c>
      <c r="P3526" s="23" t="e">
        <f ca="1">[1]!BexGetData("DP_1","003N8EMH8GTFRIVOG7KG9J9VY","GSON5421931014")</f>
        <v>#NAME?</v>
      </c>
      <c r="Q3526" s="24" t="e">
        <f ca="1">[1]!BexGetData("DP_1","00O2TNJGODT0G5Z4TTKYMM5MT","GSON5421931014")</f>
        <v>#NAME?</v>
      </c>
      <c r="R3526" s="24" t="e">
        <f ca="1">[1]!BexGetData("DP_1","00O2TNJGODT0G5Z4TTKYMMBYD","GSON5421931014")</f>
        <v>#NAME?</v>
      </c>
      <c r="S3526" s="24" t="e">
        <f ca="1">[1]!BexGetData("DP_1","00O2TNJGODT0G5Z4TTKYMMI9X","GSON5421931014")</f>
        <v>#NAME?</v>
      </c>
      <c r="T3526" s="24" t="e">
        <f ca="1">[1]!BexGetData("DP_1","00O2TNJGODT0G5Z4TTKYMMOLH","GSON5421931014")</f>
        <v>#NAME?</v>
      </c>
      <c r="U3526" s="24" t="e">
        <f ca="1">[1]!BexGetData("DP_1","00O2TNJGODT0G5Z4TTKYMMUX1","GSON5421931014")</f>
        <v>#NAME?</v>
      </c>
      <c r="V3526" s="24" t="e">
        <f ca="1">[1]!BexGetData("DP_1","00O2TNJGODT0G5Z4TTKYMN18L","GSON5421931014")</f>
        <v>#NAME?</v>
      </c>
      <c r="W3526" s="24" t="e">
        <f ca="1">[1]!BexGetData("DP_1","00O2TNJGODT0G5Z4TTKYMN7K5","GSON5421931014")</f>
        <v>#NAME?</v>
      </c>
    </row>
    <row r="3527" spans="1:23" x14ac:dyDescent="0.2">
      <c r="A3527" s="34" t="s">
        <v>610</v>
      </c>
      <c r="B3527" s="27" t="s">
        <v>611</v>
      </c>
      <c r="C3527" s="23" t="e">
        <f ca="1">[1]!BexGetData("DP_1","003N8EMH8GTFRCSWKMPXRR8GU","GSON543")</f>
        <v>#NAME?</v>
      </c>
      <c r="D3527" s="28" t="e">
        <f ca="1">[1]!BexGetData("DP_1","003N8EMH8GTFRCSWKMPXRRESE","GSON543")</f>
        <v>#NAME?</v>
      </c>
      <c r="E3527" s="23" t="e">
        <f ca="1">[1]!BexGetData("DP_1","003N8EMH8GTFRCSWKMPXRRL3Y","GSON543")</f>
        <v>#NAME?</v>
      </c>
      <c r="F3527" s="23" t="e">
        <f ca="1">[1]!BexGetData("DP_1","003N8EMH8GTFRCSWKMPXRRRFI","GSON543")</f>
        <v>#NAME?</v>
      </c>
      <c r="G3527" s="23" t="e">
        <f ca="1">[1]!BexGetData("DP_1","003N8EMH8GTFRCSWKMPXRRXR2","GSON543")</f>
        <v>#NAME?</v>
      </c>
      <c r="H3527" s="28" t="e">
        <f ca="1">[1]!BexGetData("DP_1","003N8EMH8GTFRCSWKMPXRS42M","GSON543")</f>
        <v>#NAME?</v>
      </c>
      <c r="I3527" s="23" t="e">
        <f ca="1">[1]!BexGetData("DP_1","003N8EMH8GTFRCSWKMPXRSAE6","GSON543")</f>
        <v>#NAME?</v>
      </c>
      <c r="J3527" s="24" t="e">
        <f ca="1">[1]!BexGetData("DP_1","003N8EMH8GTFRCSWKMPXRSGPQ","GSON543")</f>
        <v>#NAME?</v>
      </c>
      <c r="K3527" s="23" t="e">
        <f ca="1">[1]!BexGetData("DP_1","003N8EMH8GTFRIVNUPY288VJH","GSON543")</f>
        <v>#NAME?</v>
      </c>
      <c r="L3527" s="23" t="e">
        <f ca="1">[1]!BexGetData("DP_1","003N8EMH8GTFRIVNUPY2891V1","GSON543")</f>
        <v>#NAME?</v>
      </c>
      <c r="M3527" s="23" t="e">
        <f ca="1">[1]!BexGetData("DP_1","003N8EMH8GTFRIVOG7KG9IQXA","GSON543")</f>
        <v>#NAME?</v>
      </c>
      <c r="N3527" s="28" t="e">
        <f ca="1">[1]!BexGetData("DP_1","003N8EMH8GTFRIVOG7KG9IX8U","GSON543")</f>
        <v>#NAME?</v>
      </c>
      <c r="O3527" s="23" t="e">
        <f ca="1">[1]!BexGetData("DP_1","003N8EMH8GTFRIVOG7KG9J3KE","GSON543")</f>
        <v>#NAME?</v>
      </c>
      <c r="P3527" s="28" t="e">
        <f ca="1">[1]!BexGetData("DP_1","003N8EMH8GTFRIVOG7KG9J9VY","GSON543")</f>
        <v>#NAME?</v>
      </c>
      <c r="Q3527" s="24" t="e">
        <f ca="1">[1]!BexGetData("DP_1","00O2TNJGODT0G5Z4TTKYMM5MT","GSON543")</f>
        <v>#NAME?</v>
      </c>
      <c r="R3527" s="23" t="e">
        <f ca="1">[1]!BexGetData("DP_1","00O2TNJGODT0G5Z4TTKYMMBYD","GSON543")</f>
        <v>#NAME?</v>
      </c>
      <c r="S3527" s="23" t="e">
        <f ca="1">[1]!BexGetData("DP_1","00O2TNJGODT0G5Z4TTKYMMI9X","GSON543")</f>
        <v>#NAME?</v>
      </c>
      <c r="T3527" s="28" t="e">
        <f ca="1">[1]!BexGetData("DP_1","00O2TNJGODT0G5Z4TTKYMMOLH","GSON543")</f>
        <v>#NAME?</v>
      </c>
      <c r="U3527" s="23" t="e">
        <f ca="1">[1]!BexGetData("DP_1","00O2TNJGODT0G5Z4TTKYMMUX1","GSON543")</f>
        <v>#NAME?</v>
      </c>
      <c r="V3527" s="28" t="e">
        <f ca="1">[1]!BexGetData("DP_1","00O2TNJGODT0G5Z4TTKYMN18L","GSON543")</f>
        <v>#NAME?</v>
      </c>
      <c r="W3527" s="23" t="e">
        <f ca="1">[1]!BexGetData("DP_1","00O2TNJGODT0G5Z4TTKYMN7K5","GSON543")</f>
        <v>#NAME?</v>
      </c>
    </row>
    <row r="3528" spans="1:23" x14ac:dyDescent="0.2">
      <c r="A3528" s="35" t="s">
        <v>612</v>
      </c>
      <c r="B3528" s="27" t="s">
        <v>613</v>
      </c>
      <c r="C3528" s="23" t="e">
        <f ca="1">[1]!BexGetData("DP_1","003N8EMH8GTFRCSWKMPXRR8GU","GSON5431")</f>
        <v>#NAME?</v>
      </c>
      <c r="D3528" s="28" t="e">
        <f ca="1">[1]!BexGetData("DP_1","003N8EMH8GTFRCSWKMPXRRESE","GSON5431")</f>
        <v>#NAME?</v>
      </c>
      <c r="E3528" s="23" t="e">
        <f ca="1">[1]!BexGetData("DP_1","003N8EMH8GTFRCSWKMPXRRL3Y","GSON5431")</f>
        <v>#NAME?</v>
      </c>
      <c r="F3528" s="23" t="e">
        <f ca="1">[1]!BexGetData("DP_1","003N8EMH8GTFRCSWKMPXRRRFI","GSON5431")</f>
        <v>#NAME?</v>
      </c>
      <c r="G3528" s="23" t="e">
        <f ca="1">[1]!BexGetData("DP_1","003N8EMH8GTFRCSWKMPXRRXR2","GSON5431")</f>
        <v>#NAME?</v>
      </c>
      <c r="H3528" s="28" t="e">
        <f ca="1">[1]!BexGetData("DP_1","003N8EMH8GTFRCSWKMPXRS42M","GSON5431")</f>
        <v>#NAME?</v>
      </c>
      <c r="I3528" s="23" t="e">
        <f ca="1">[1]!BexGetData("DP_1","003N8EMH8GTFRCSWKMPXRSAE6","GSON5431")</f>
        <v>#NAME?</v>
      </c>
      <c r="J3528" s="24" t="e">
        <f ca="1">[1]!BexGetData("DP_1","003N8EMH8GTFRCSWKMPXRSGPQ","GSON5431")</f>
        <v>#NAME?</v>
      </c>
      <c r="K3528" s="23" t="e">
        <f ca="1">[1]!BexGetData("DP_1","003N8EMH8GTFRIVNUPY288VJH","GSON5431")</f>
        <v>#NAME?</v>
      </c>
      <c r="L3528" s="23" t="e">
        <f ca="1">[1]!BexGetData("DP_1","003N8EMH8GTFRIVNUPY2891V1","GSON5431")</f>
        <v>#NAME?</v>
      </c>
      <c r="M3528" s="23" t="e">
        <f ca="1">[1]!BexGetData("DP_1","003N8EMH8GTFRIVOG7KG9IQXA","GSON5431")</f>
        <v>#NAME?</v>
      </c>
      <c r="N3528" s="28" t="e">
        <f ca="1">[1]!BexGetData("DP_1","003N8EMH8GTFRIVOG7KG9IX8U","GSON5431")</f>
        <v>#NAME?</v>
      </c>
      <c r="O3528" s="23" t="e">
        <f ca="1">[1]!BexGetData("DP_1","003N8EMH8GTFRIVOG7KG9J3KE","GSON5431")</f>
        <v>#NAME?</v>
      </c>
      <c r="P3528" s="28" t="e">
        <f ca="1">[1]!BexGetData("DP_1","003N8EMH8GTFRIVOG7KG9J9VY","GSON5431")</f>
        <v>#NAME?</v>
      </c>
      <c r="Q3528" s="24" t="e">
        <f ca="1">[1]!BexGetData("DP_1","00O2TNJGODT0G5Z4TTKYMM5MT","GSON5431")</f>
        <v>#NAME?</v>
      </c>
      <c r="R3528" s="23" t="e">
        <f ca="1">[1]!BexGetData("DP_1","00O2TNJGODT0G5Z4TTKYMMBYD","GSON5431")</f>
        <v>#NAME?</v>
      </c>
      <c r="S3528" s="23" t="e">
        <f ca="1">[1]!BexGetData("DP_1","00O2TNJGODT0G5Z4TTKYMMI9X","GSON5431")</f>
        <v>#NAME?</v>
      </c>
      <c r="T3528" s="28" t="e">
        <f ca="1">[1]!BexGetData("DP_1","00O2TNJGODT0G5Z4TTKYMMOLH","GSON5431")</f>
        <v>#NAME?</v>
      </c>
      <c r="U3528" s="23" t="e">
        <f ca="1">[1]!BexGetData("DP_1","00O2TNJGODT0G5Z4TTKYMMUX1","GSON5431")</f>
        <v>#NAME?</v>
      </c>
      <c r="V3528" s="28" t="e">
        <f ca="1">[1]!BexGetData("DP_1","00O2TNJGODT0G5Z4TTKYMN18L","GSON5431")</f>
        <v>#NAME?</v>
      </c>
      <c r="W3528" s="23" t="e">
        <f ca="1">[1]!BexGetData("DP_1","00O2TNJGODT0G5Z4TTKYMN7K5","GSON5431")</f>
        <v>#NAME?</v>
      </c>
    </row>
    <row r="3529" spans="1:23" x14ac:dyDescent="0.2">
      <c r="A3529" s="36" t="s">
        <v>7104</v>
      </c>
      <c r="B3529" s="27" t="s">
        <v>614</v>
      </c>
      <c r="C3529" s="23" t="e">
        <f ca="1">[1]!BexGetData("DP_1","003N8EMH8GTFRCSWKMPXRR8GU","GSON5431941013")</f>
        <v>#NAME?</v>
      </c>
      <c r="D3529" s="28" t="e">
        <f ca="1">[1]!BexGetData("DP_1","003N8EMH8GTFRCSWKMPXRRESE","GSON5431941013")</f>
        <v>#NAME?</v>
      </c>
      <c r="E3529" s="23" t="e">
        <f ca="1">[1]!BexGetData("DP_1","003N8EMH8GTFRCSWKMPXRRL3Y","GSON5431941013")</f>
        <v>#NAME?</v>
      </c>
      <c r="F3529" s="23" t="e">
        <f ca="1">[1]!BexGetData("DP_1","003N8EMH8GTFRCSWKMPXRRRFI","GSON5431941013")</f>
        <v>#NAME?</v>
      </c>
      <c r="G3529" s="23" t="e">
        <f ca="1">[1]!BexGetData("DP_1","003N8EMH8GTFRCSWKMPXRRXR2","GSON5431941013")</f>
        <v>#NAME?</v>
      </c>
      <c r="H3529" s="28" t="e">
        <f ca="1">[1]!BexGetData("DP_1","003N8EMH8GTFRCSWKMPXRS42M","GSON5431941013")</f>
        <v>#NAME?</v>
      </c>
      <c r="I3529" s="23" t="e">
        <f ca="1">[1]!BexGetData("DP_1","003N8EMH8GTFRCSWKMPXRSAE6","GSON5431941013")</f>
        <v>#NAME?</v>
      </c>
      <c r="J3529" s="24" t="e">
        <f ca="1">[1]!BexGetData("DP_1","003N8EMH8GTFRCSWKMPXRSGPQ","GSON5431941013")</f>
        <v>#NAME?</v>
      </c>
      <c r="K3529" s="23" t="e">
        <f ca="1">[1]!BexGetData("DP_1","003N8EMH8GTFRIVNUPY288VJH","GSON5431941013")</f>
        <v>#NAME?</v>
      </c>
      <c r="L3529" s="23" t="e">
        <f ca="1">[1]!BexGetData("DP_1","003N8EMH8GTFRIVNUPY2891V1","GSON5431941013")</f>
        <v>#NAME?</v>
      </c>
      <c r="M3529" s="23" t="e">
        <f ca="1">[1]!BexGetData("DP_1","003N8EMH8GTFRIVOG7KG9IQXA","GSON5431941013")</f>
        <v>#NAME?</v>
      </c>
      <c r="N3529" s="28" t="e">
        <f ca="1">[1]!BexGetData("DP_1","003N8EMH8GTFRIVOG7KG9IX8U","GSON5431941013")</f>
        <v>#NAME?</v>
      </c>
      <c r="O3529" s="23" t="e">
        <f ca="1">[1]!BexGetData("DP_1","003N8EMH8GTFRIVOG7KG9J3KE","GSON5431941013")</f>
        <v>#NAME?</v>
      </c>
      <c r="P3529" s="28" t="e">
        <f ca="1">[1]!BexGetData("DP_1","003N8EMH8GTFRIVOG7KG9J9VY","GSON5431941013")</f>
        <v>#NAME?</v>
      </c>
      <c r="Q3529" s="24" t="e">
        <f ca="1">[1]!BexGetData("DP_1","00O2TNJGODT0G5Z4TTKYMM5MT","GSON5431941013")</f>
        <v>#NAME?</v>
      </c>
      <c r="R3529" s="23" t="e">
        <f ca="1">[1]!BexGetData("DP_1","00O2TNJGODT0G5Z4TTKYMMBYD","GSON5431941013")</f>
        <v>#NAME?</v>
      </c>
      <c r="S3529" s="23" t="e">
        <f ca="1">[1]!BexGetData("DP_1","00O2TNJGODT0G5Z4TTKYMMI9X","GSON5431941013")</f>
        <v>#NAME?</v>
      </c>
      <c r="T3529" s="28" t="e">
        <f ca="1">[1]!BexGetData("DP_1","00O2TNJGODT0G5Z4TTKYMMOLH","GSON5431941013")</f>
        <v>#NAME?</v>
      </c>
      <c r="U3529" s="23" t="e">
        <f ca="1">[1]!BexGetData("DP_1","00O2TNJGODT0G5Z4TTKYMMUX1","GSON5431941013")</f>
        <v>#NAME?</v>
      </c>
      <c r="V3529" s="28" t="e">
        <f ca="1">[1]!BexGetData("DP_1","00O2TNJGODT0G5Z4TTKYMN18L","GSON5431941013")</f>
        <v>#NAME?</v>
      </c>
      <c r="W3529" s="23" t="e">
        <f ca="1">[1]!BexGetData("DP_1","00O2TNJGODT0G5Z4TTKYMN7K5","GSON5431941013")</f>
        <v>#NAME?</v>
      </c>
    </row>
    <row r="3530" spans="1:23" x14ac:dyDescent="0.2">
      <c r="A3530" s="34" t="s">
        <v>7105</v>
      </c>
      <c r="B3530" s="27" t="s">
        <v>7106</v>
      </c>
      <c r="C3530" s="23" t="e">
        <f ca="1">[1]!BexGetData("DP_1","003N8EMH8GTFRCSWKMPXRR8GU","GSON544")</f>
        <v>#NAME?</v>
      </c>
      <c r="D3530" s="23" t="e">
        <f ca="1">[1]!BexGetData("DP_1","003N8EMH8GTFRCSWKMPXRRESE","GSON544")</f>
        <v>#NAME?</v>
      </c>
      <c r="E3530" s="23" t="e">
        <f ca="1">[1]!BexGetData("DP_1","003N8EMH8GTFRCSWKMPXRRL3Y","GSON544")</f>
        <v>#NAME?</v>
      </c>
      <c r="F3530" s="23" t="e">
        <f ca="1">[1]!BexGetData("DP_1","003N8EMH8GTFRCSWKMPXRRRFI","GSON544")</f>
        <v>#NAME?</v>
      </c>
      <c r="G3530" s="23" t="e">
        <f ca="1">[1]!BexGetData("DP_1","003N8EMH8GTFRCSWKMPXRRXR2","GSON544")</f>
        <v>#NAME?</v>
      </c>
      <c r="H3530" s="28" t="e">
        <f ca="1">[1]!BexGetData("DP_1","003N8EMH8GTFRCSWKMPXRS42M","GSON544")</f>
        <v>#NAME?</v>
      </c>
      <c r="I3530" s="23" t="e">
        <f ca="1">[1]!BexGetData("DP_1","003N8EMH8GTFRCSWKMPXRSAE6","GSON544")</f>
        <v>#NAME?</v>
      </c>
      <c r="J3530" s="24" t="e">
        <f ca="1">[1]!BexGetData("DP_1","003N8EMH8GTFRCSWKMPXRSGPQ","GSON544")</f>
        <v>#NAME?</v>
      </c>
      <c r="K3530" s="23" t="e">
        <f ca="1">[1]!BexGetData("DP_1","003N8EMH8GTFRIVNUPY288VJH","GSON544")</f>
        <v>#NAME?</v>
      </c>
      <c r="L3530" s="23" t="e">
        <f ca="1">[1]!BexGetData("DP_1","003N8EMH8GTFRIVNUPY2891V1","GSON544")</f>
        <v>#NAME?</v>
      </c>
      <c r="M3530" s="23" t="e">
        <f ca="1">[1]!BexGetData("DP_1","003N8EMH8GTFRIVOG7KG9IQXA","GSON544")</f>
        <v>#NAME?</v>
      </c>
      <c r="N3530" s="28" t="e">
        <f ca="1">[1]!BexGetData("DP_1","003N8EMH8GTFRIVOG7KG9IX8U","GSON544")</f>
        <v>#NAME?</v>
      </c>
      <c r="O3530" s="23" t="e">
        <f ca="1">[1]!BexGetData("DP_1","003N8EMH8GTFRIVOG7KG9J3KE","GSON544")</f>
        <v>#NAME?</v>
      </c>
      <c r="P3530" s="28" t="e">
        <f ca="1">[1]!BexGetData("DP_1","003N8EMH8GTFRIVOG7KG9J9VY","GSON544")</f>
        <v>#NAME?</v>
      </c>
      <c r="Q3530" s="24" t="e">
        <f ca="1">[1]!BexGetData("DP_1","00O2TNJGODT0G5Z4TTKYMM5MT","GSON544")</f>
        <v>#NAME?</v>
      </c>
      <c r="R3530" s="23" t="e">
        <f ca="1">[1]!BexGetData("DP_1","00O2TNJGODT0G5Z4TTKYMMBYD","GSON544")</f>
        <v>#NAME?</v>
      </c>
      <c r="S3530" s="23" t="e">
        <f ca="1">[1]!BexGetData("DP_1","00O2TNJGODT0G5Z4TTKYMMI9X","GSON544")</f>
        <v>#NAME?</v>
      </c>
      <c r="T3530" s="28" t="e">
        <f ca="1">[1]!BexGetData("DP_1","00O2TNJGODT0G5Z4TTKYMMOLH","GSON544")</f>
        <v>#NAME?</v>
      </c>
      <c r="U3530" s="23" t="e">
        <f ca="1">[1]!BexGetData("DP_1","00O2TNJGODT0G5Z4TTKYMMUX1","GSON544")</f>
        <v>#NAME?</v>
      </c>
      <c r="V3530" s="28" t="e">
        <f ca="1">[1]!BexGetData("DP_1","00O2TNJGODT0G5Z4TTKYMN18L","GSON544")</f>
        <v>#NAME?</v>
      </c>
      <c r="W3530" s="23" t="e">
        <f ca="1">[1]!BexGetData("DP_1","00O2TNJGODT0G5Z4TTKYMN7K5","GSON544")</f>
        <v>#NAME?</v>
      </c>
    </row>
    <row r="3531" spans="1:23" x14ac:dyDescent="0.2">
      <c r="A3531" s="35" t="s">
        <v>7105</v>
      </c>
      <c r="B3531" s="27" t="s">
        <v>7107</v>
      </c>
      <c r="C3531" s="23" t="e">
        <f ca="1">[1]!BexGetData("DP_1","003N8EMH8GTFRCSWKMPXRR8GU","GSON5441")</f>
        <v>#NAME?</v>
      </c>
      <c r="D3531" s="23" t="e">
        <f ca="1">[1]!BexGetData("DP_1","003N8EMH8GTFRCSWKMPXRRESE","GSON5441")</f>
        <v>#NAME?</v>
      </c>
      <c r="E3531" s="23" t="e">
        <f ca="1">[1]!BexGetData("DP_1","003N8EMH8GTFRCSWKMPXRRL3Y","GSON5441")</f>
        <v>#NAME?</v>
      </c>
      <c r="F3531" s="23" t="e">
        <f ca="1">[1]!BexGetData("DP_1","003N8EMH8GTFRCSWKMPXRRRFI","GSON5441")</f>
        <v>#NAME?</v>
      </c>
      <c r="G3531" s="23" t="e">
        <f ca="1">[1]!BexGetData("DP_1","003N8EMH8GTFRCSWKMPXRRXR2","GSON5441")</f>
        <v>#NAME?</v>
      </c>
      <c r="H3531" s="28" t="e">
        <f ca="1">[1]!BexGetData("DP_1","003N8EMH8GTFRCSWKMPXRS42M","GSON5441")</f>
        <v>#NAME?</v>
      </c>
      <c r="I3531" s="23" t="e">
        <f ca="1">[1]!BexGetData("DP_1","003N8EMH8GTFRCSWKMPXRSAE6","GSON5441")</f>
        <v>#NAME?</v>
      </c>
      <c r="J3531" s="24" t="e">
        <f ca="1">[1]!BexGetData("DP_1","003N8EMH8GTFRCSWKMPXRSGPQ","GSON5441")</f>
        <v>#NAME?</v>
      </c>
      <c r="K3531" s="23" t="e">
        <f ca="1">[1]!BexGetData("DP_1","003N8EMH8GTFRIVNUPY288VJH","GSON5441")</f>
        <v>#NAME?</v>
      </c>
      <c r="L3531" s="23" t="e">
        <f ca="1">[1]!BexGetData("DP_1","003N8EMH8GTFRIVNUPY2891V1","GSON5441")</f>
        <v>#NAME?</v>
      </c>
      <c r="M3531" s="23" t="e">
        <f ca="1">[1]!BexGetData("DP_1","003N8EMH8GTFRIVOG7KG9IQXA","GSON5441")</f>
        <v>#NAME?</v>
      </c>
      <c r="N3531" s="28" t="e">
        <f ca="1">[1]!BexGetData("DP_1","003N8EMH8GTFRIVOG7KG9IX8U","GSON5441")</f>
        <v>#NAME?</v>
      </c>
      <c r="O3531" s="23" t="e">
        <f ca="1">[1]!BexGetData("DP_1","003N8EMH8GTFRIVOG7KG9J3KE","GSON5441")</f>
        <v>#NAME?</v>
      </c>
      <c r="P3531" s="28" t="e">
        <f ca="1">[1]!BexGetData("DP_1","003N8EMH8GTFRIVOG7KG9J9VY","GSON5441")</f>
        <v>#NAME?</v>
      </c>
      <c r="Q3531" s="24" t="e">
        <f ca="1">[1]!BexGetData("DP_1","00O2TNJGODT0G5Z4TTKYMM5MT","GSON5441")</f>
        <v>#NAME?</v>
      </c>
      <c r="R3531" s="23" t="e">
        <f ca="1">[1]!BexGetData("DP_1","00O2TNJGODT0G5Z4TTKYMMBYD","GSON5441")</f>
        <v>#NAME?</v>
      </c>
      <c r="S3531" s="23" t="e">
        <f ca="1">[1]!BexGetData("DP_1","00O2TNJGODT0G5Z4TTKYMMI9X","GSON5441")</f>
        <v>#NAME?</v>
      </c>
      <c r="T3531" s="28" t="e">
        <f ca="1">[1]!BexGetData("DP_1","00O2TNJGODT0G5Z4TTKYMMOLH","GSON5441")</f>
        <v>#NAME?</v>
      </c>
      <c r="U3531" s="23" t="e">
        <f ca="1">[1]!BexGetData("DP_1","00O2TNJGODT0G5Z4TTKYMMUX1","GSON5441")</f>
        <v>#NAME?</v>
      </c>
      <c r="V3531" s="28" t="e">
        <f ca="1">[1]!BexGetData("DP_1","00O2TNJGODT0G5Z4TTKYMN18L","GSON5441")</f>
        <v>#NAME?</v>
      </c>
      <c r="W3531" s="23" t="e">
        <f ca="1">[1]!BexGetData("DP_1","00O2TNJGODT0G5Z4TTKYMN7K5","GSON5441")</f>
        <v>#NAME?</v>
      </c>
    </row>
    <row r="3532" spans="1:23" x14ac:dyDescent="0.2">
      <c r="A3532" s="36" t="s">
        <v>7108</v>
      </c>
      <c r="B3532" s="27" t="s">
        <v>7109</v>
      </c>
      <c r="C3532" s="23" t="e">
        <f ca="1">[1]!BexGetData("DP_1","003N8EMH8GTFRCSWKMPXRR8GU","GSON5441951013")</f>
        <v>#NAME?</v>
      </c>
      <c r="D3532" s="23" t="e">
        <f ca="1">[1]!BexGetData("DP_1","003N8EMH8GTFRCSWKMPXRRESE","GSON5441951013")</f>
        <v>#NAME?</v>
      </c>
      <c r="E3532" s="23" t="e">
        <f ca="1">[1]!BexGetData("DP_1","003N8EMH8GTFRCSWKMPXRRL3Y","GSON5441951013")</f>
        <v>#NAME?</v>
      </c>
      <c r="F3532" s="23" t="e">
        <f ca="1">[1]!BexGetData("DP_1","003N8EMH8GTFRCSWKMPXRRRFI","GSON5441951013")</f>
        <v>#NAME?</v>
      </c>
      <c r="G3532" s="23" t="e">
        <f ca="1">[1]!BexGetData("DP_1","003N8EMH8GTFRCSWKMPXRRXR2","GSON5441951013")</f>
        <v>#NAME?</v>
      </c>
      <c r="H3532" s="28" t="e">
        <f ca="1">[1]!BexGetData("DP_1","003N8EMH8GTFRCSWKMPXRS42M","GSON5441951013")</f>
        <v>#NAME?</v>
      </c>
      <c r="I3532" s="23" t="e">
        <f ca="1">[1]!BexGetData("DP_1","003N8EMH8GTFRCSWKMPXRSAE6","GSON5441951013")</f>
        <v>#NAME?</v>
      </c>
      <c r="J3532" s="24" t="e">
        <f ca="1">[1]!BexGetData("DP_1","003N8EMH8GTFRCSWKMPXRSGPQ","GSON5441951013")</f>
        <v>#NAME?</v>
      </c>
      <c r="K3532" s="23" t="e">
        <f ca="1">[1]!BexGetData("DP_1","003N8EMH8GTFRIVNUPY288VJH","GSON5441951013")</f>
        <v>#NAME?</v>
      </c>
      <c r="L3532" s="23" t="e">
        <f ca="1">[1]!BexGetData("DP_1","003N8EMH8GTFRIVNUPY2891V1","GSON5441951013")</f>
        <v>#NAME?</v>
      </c>
      <c r="M3532" s="23" t="e">
        <f ca="1">[1]!BexGetData("DP_1","003N8EMH8GTFRIVOG7KG9IQXA","GSON5441951013")</f>
        <v>#NAME?</v>
      </c>
      <c r="N3532" s="28" t="e">
        <f ca="1">[1]!BexGetData("DP_1","003N8EMH8GTFRIVOG7KG9IX8U","GSON5441951013")</f>
        <v>#NAME?</v>
      </c>
      <c r="O3532" s="23" t="e">
        <f ca="1">[1]!BexGetData("DP_1","003N8EMH8GTFRIVOG7KG9J3KE","GSON5441951013")</f>
        <v>#NAME?</v>
      </c>
      <c r="P3532" s="28" t="e">
        <f ca="1">[1]!BexGetData("DP_1","003N8EMH8GTFRIVOG7KG9J9VY","GSON5441951013")</f>
        <v>#NAME?</v>
      </c>
      <c r="Q3532" s="24" t="e">
        <f ca="1">[1]!BexGetData("DP_1","00O2TNJGODT0G5Z4TTKYMM5MT","GSON5441951013")</f>
        <v>#NAME?</v>
      </c>
      <c r="R3532" s="23" t="e">
        <f ca="1">[1]!BexGetData("DP_1","00O2TNJGODT0G5Z4TTKYMMBYD","GSON5441951013")</f>
        <v>#NAME?</v>
      </c>
      <c r="S3532" s="23" t="e">
        <f ca="1">[1]!BexGetData("DP_1","00O2TNJGODT0G5Z4TTKYMMI9X","GSON5441951013")</f>
        <v>#NAME?</v>
      </c>
      <c r="T3532" s="28" t="e">
        <f ca="1">[1]!BexGetData("DP_1","00O2TNJGODT0G5Z4TTKYMMOLH","GSON5441951013")</f>
        <v>#NAME?</v>
      </c>
      <c r="U3532" s="23" t="e">
        <f ca="1">[1]!BexGetData("DP_1","00O2TNJGODT0G5Z4TTKYMMUX1","GSON5441951013")</f>
        <v>#NAME?</v>
      </c>
      <c r="V3532" s="28" t="e">
        <f ca="1">[1]!BexGetData("DP_1","00O2TNJGODT0G5Z4TTKYMN18L","GSON5441951013")</f>
        <v>#NAME?</v>
      </c>
      <c r="W3532" s="23" t="e">
        <f ca="1">[1]!BexGetData("DP_1","00O2TNJGODT0G5Z4TTKYMN7K5","GSON5441951013")</f>
        <v>#NAME?</v>
      </c>
    </row>
    <row r="3533" spans="1:23" x14ac:dyDescent="0.2">
      <c r="A3533" s="34" t="s">
        <v>7110</v>
      </c>
      <c r="B3533" s="27" t="s">
        <v>7111</v>
      </c>
      <c r="C3533" s="23" t="e">
        <f ca="1">[1]!BexGetData("DP_1","003N8EMH8GTFRCSWKMPXRR8GU","GSON545")</f>
        <v>#NAME?</v>
      </c>
      <c r="D3533" s="23" t="e">
        <f ca="1">[1]!BexGetData("DP_1","003N8EMH8GTFRCSWKMPXRRESE","GSON545")</f>
        <v>#NAME?</v>
      </c>
      <c r="E3533" s="23" t="e">
        <f ca="1">[1]!BexGetData("DP_1","003N8EMH8GTFRCSWKMPXRRL3Y","GSON545")</f>
        <v>#NAME?</v>
      </c>
      <c r="F3533" s="23" t="e">
        <f ca="1">[1]!BexGetData("DP_1","003N8EMH8GTFRCSWKMPXRRRFI","GSON545")</f>
        <v>#NAME?</v>
      </c>
      <c r="G3533" s="23" t="e">
        <f ca="1">[1]!BexGetData("DP_1","003N8EMH8GTFRCSWKMPXRRXR2","GSON545")</f>
        <v>#NAME?</v>
      </c>
      <c r="H3533" s="23" t="e">
        <f ca="1">[1]!BexGetData("DP_1","003N8EMH8GTFRCSWKMPXRS42M","GSON545")</f>
        <v>#NAME?</v>
      </c>
      <c r="I3533" s="23" t="e">
        <f ca="1">[1]!BexGetData("DP_1","003N8EMH8GTFRCSWKMPXRSAE6","GSON545")</f>
        <v>#NAME?</v>
      </c>
      <c r="J3533" s="24" t="e">
        <f ca="1">[1]!BexGetData("DP_1","003N8EMH8GTFRCSWKMPXRSGPQ","GSON545")</f>
        <v>#NAME?</v>
      </c>
      <c r="K3533" s="23" t="e">
        <f ca="1">[1]!BexGetData("DP_1","003N8EMH8GTFRIVNUPY288VJH","GSON545")</f>
        <v>#NAME?</v>
      </c>
      <c r="L3533" s="23" t="e">
        <f ca="1">[1]!BexGetData("DP_1","003N8EMH8GTFRIVNUPY2891V1","GSON545")</f>
        <v>#NAME?</v>
      </c>
      <c r="M3533" s="28" t="e">
        <f ca="1">[1]!BexGetData("DP_1","003N8EMH8GTFRIVOG7KG9IQXA","GSON545")</f>
        <v>#NAME?</v>
      </c>
      <c r="N3533" s="23" t="e">
        <f ca="1">[1]!BexGetData("DP_1","003N8EMH8GTFRIVOG7KG9IX8U","GSON545")</f>
        <v>#NAME?</v>
      </c>
      <c r="O3533" s="28" t="e">
        <f ca="1">[1]!BexGetData("DP_1","003N8EMH8GTFRIVOG7KG9J3KE","GSON545")</f>
        <v>#NAME?</v>
      </c>
      <c r="P3533" s="23" t="e">
        <f ca="1">[1]!BexGetData("DP_1","003N8EMH8GTFRIVOG7KG9J9VY","GSON545")</f>
        <v>#NAME?</v>
      </c>
      <c r="Q3533" s="24" t="e">
        <f ca="1">[1]!BexGetData("DP_1","00O2TNJGODT0G5Z4TTKYMM5MT","GSON545")</f>
        <v>#NAME?</v>
      </c>
      <c r="R3533" s="23" t="e">
        <f ca="1">[1]!BexGetData("DP_1","00O2TNJGODT0G5Z4TTKYMMBYD","GSON545")</f>
        <v>#NAME?</v>
      </c>
      <c r="S3533" s="23" t="e">
        <f ca="1">[1]!BexGetData("DP_1","00O2TNJGODT0G5Z4TTKYMMI9X","GSON545")</f>
        <v>#NAME?</v>
      </c>
      <c r="T3533" s="28" t="e">
        <f ca="1">[1]!BexGetData("DP_1","00O2TNJGODT0G5Z4TTKYMMOLH","GSON545")</f>
        <v>#NAME?</v>
      </c>
      <c r="U3533" s="23" t="e">
        <f ca="1">[1]!BexGetData("DP_1","00O2TNJGODT0G5Z4TTKYMMUX1","GSON545")</f>
        <v>#NAME?</v>
      </c>
      <c r="V3533" s="28" t="e">
        <f ca="1">[1]!BexGetData("DP_1","00O2TNJGODT0G5Z4TTKYMN18L","GSON545")</f>
        <v>#NAME?</v>
      </c>
      <c r="W3533" s="23" t="e">
        <f ca="1">[1]!BexGetData("DP_1","00O2TNJGODT0G5Z4TTKYMN7K5","GSON545")</f>
        <v>#NAME?</v>
      </c>
    </row>
    <row r="3534" spans="1:23" x14ac:dyDescent="0.2">
      <c r="A3534" s="35" t="s">
        <v>7112</v>
      </c>
      <c r="B3534" s="27" t="s">
        <v>7113</v>
      </c>
      <c r="C3534" s="23" t="e">
        <f ca="1">[1]!BexGetData("DP_1","003N8EMH8GTFRCSWKMPXRR8GU","GSON5452")</f>
        <v>#NAME?</v>
      </c>
      <c r="D3534" s="23" t="e">
        <f ca="1">[1]!BexGetData("DP_1","003N8EMH8GTFRCSWKMPXRRESE","GSON5452")</f>
        <v>#NAME?</v>
      </c>
      <c r="E3534" s="23" t="e">
        <f ca="1">[1]!BexGetData("DP_1","003N8EMH8GTFRCSWKMPXRRL3Y","GSON5452")</f>
        <v>#NAME?</v>
      </c>
      <c r="F3534" s="23" t="e">
        <f ca="1">[1]!BexGetData("DP_1","003N8EMH8GTFRCSWKMPXRRRFI","GSON5452")</f>
        <v>#NAME?</v>
      </c>
      <c r="G3534" s="23" t="e">
        <f ca="1">[1]!BexGetData("DP_1","003N8EMH8GTFRCSWKMPXRRXR2","GSON5452")</f>
        <v>#NAME?</v>
      </c>
      <c r="H3534" s="23" t="e">
        <f ca="1">[1]!BexGetData("DP_1","003N8EMH8GTFRCSWKMPXRS42M","GSON5452")</f>
        <v>#NAME?</v>
      </c>
      <c r="I3534" s="23" t="e">
        <f ca="1">[1]!BexGetData("DP_1","003N8EMH8GTFRCSWKMPXRSAE6","GSON5452")</f>
        <v>#NAME?</v>
      </c>
      <c r="J3534" s="24" t="e">
        <f ca="1">[1]!BexGetData("DP_1","003N8EMH8GTFRCSWKMPXRSGPQ","GSON5452")</f>
        <v>#NAME?</v>
      </c>
      <c r="K3534" s="23" t="e">
        <f ca="1">[1]!BexGetData("DP_1","003N8EMH8GTFRIVNUPY288VJH","GSON5452")</f>
        <v>#NAME?</v>
      </c>
      <c r="L3534" s="23" t="e">
        <f ca="1">[1]!BexGetData("DP_1","003N8EMH8GTFRIVNUPY2891V1","GSON5452")</f>
        <v>#NAME?</v>
      </c>
      <c r="M3534" s="28" t="e">
        <f ca="1">[1]!BexGetData("DP_1","003N8EMH8GTFRIVOG7KG9IQXA","GSON5452")</f>
        <v>#NAME?</v>
      </c>
      <c r="N3534" s="23" t="e">
        <f ca="1">[1]!BexGetData("DP_1","003N8EMH8GTFRIVOG7KG9IX8U","GSON5452")</f>
        <v>#NAME?</v>
      </c>
      <c r="O3534" s="28" t="e">
        <f ca="1">[1]!BexGetData("DP_1","003N8EMH8GTFRIVOG7KG9J3KE","GSON5452")</f>
        <v>#NAME?</v>
      </c>
      <c r="P3534" s="23" t="e">
        <f ca="1">[1]!BexGetData("DP_1","003N8EMH8GTFRIVOG7KG9J9VY","GSON5452")</f>
        <v>#NAME?</v>
      </c>
      <c r="Q3534" s="24" t="e">
        <f ca="1">[1]!BexGetData("DP_1","00O2TNJGODT0G5Z4TTKYMM5MT","GSON5452")</f>
        <v>#NAME?</v>
      </c>
      <c r="R3534" s="23" t="e">
        <f ca="1">[1]!BexGetData("DP_1","00O2TNJGODT0G5Z4TTKYMMBYD","GSON5452")</f>
        <v>#NAME?</v>
      </c>
      <c r="S3534" s="23" t="e">
        <f ca="1">[1]!BexGetData("DP_1","00O2TNJGODT0G5Z4TTKYMMI9X","GSON5452")</f>
        <v>#NAME?</v>
      </c>
      <c r="T3534" s="28" t="e">
        <f ca="1">[1]!BexGetData("DP_1","00O2TNJGODT0G5Z4TTKYMMOLH","GSON5452")</f>
        <v>#NAME?</v>
      </c>
      <c r="U3534" s="23" t="e">
        <f ca="1">[1]!BexGetData("DP_1","00O2TNJGODT0G5Z4TTKYMMUX1","GSON5452")</f>
        <v>#NAME?</v>
      </c>
      <c r="V3534" s="28" t="e">
        <f ca="1">[1]!BexGetData("DP_1","00O2TNJGODT0G5Z4TTKYMN18L","GSON5452")</f>
        <v>#NAME?</v>
      </c>
      <c r="W3534" s="23" t="e">
        <f ca="1">[1]!BexGetData("DP_1","00O2TNJGODT0G5Z4TTKYMN7K5","GSON5452")</f>
        <v>#NAME?</v>
      </c>
    </row>
    <row r="3535" spans="1:23" x14ac:dyDescent="0.2">
      <c r="A3535" s="36" t="s">
        <v>7114</v>
      </c>
      <c r="B3535" s="27" t="s">
        <v>7115</v>
      </c>
      <c r="C3535" s="23" t="e">
        <f ca="1">[1]!BexGetData("DP_1","003N8EMH8GTFRCSWKMPXRR8GU","GSON5452962013")</f>
        <v>#NAME?</v>
      </c>
      <c r="D3535" s="23" t="e">
        <f ca="1">[1]!BexGetData("DP_1","003N8EMH8GTFRCSWKMPXRRESE","GSON5452962013")</f>
        <v>#NAME?</v>
      </c>
      <c r="E3535" s="23" t="e">
        <f ca="1">[1]!BexGetData("DP_1","003N8EMH8GTFRCSWKMPXRRL3Y","GSON5452962013")</f>
        <v>#NAME?</v>
      </c>
      <c r="F3535" s="23" t="e">
        <f ca="1">[1]!BexGetData("DP_1","003N8EMH8GTFRCSWKMPXRRRFI","GSON5452962013")</f>
        <v>#NAME?</v>
      </c>
      <c r="G3535" s="23" t="e">
        <f ca="1">[1]!BexGetData("DP_1","003N8EMH8GTFRCSWKMPXRRXR2","GSON5452962013")</f>
        <v>#NAME?</v>
      </c>
      <c r="H3535" s="23" t="e">
        <f ca="1">[1]!BexGetData("DP_1","003N8EMH8GTFRCSWKMPXRS42M","GSON5452962013")</f>
        <v>#NAME?</v>
      </c>
      <c r="I3535" s="23" t="e">
        <f ca="1">[1]!BexGetData("DP_1","003N8EMH8GTFRCSWKMPXRSAE6","GSON5452962013")</f>
        <v>#NAME?</v>
      </c>
      <c r="J3535" s="24" t="e">
        <f ca="1">[1]!BexGetData("DP_1","003N8EMH8GTFRCSWKMPXRSGPQ","GSON5452962013")</f>
        <v>#NAME?</v>
      </c>
      <c r="K3535" s="23" t="e">
        <f ca="1">[1]!BexGetData("DP_1","003N8EMH8GTFRIVNUPY288VJH","GSON5452962013")</f>
        <v>#NAME?</v>
      </c>
      <c r="L3535" s="23" t="e">
        <f ca="1">[1]!BexGetData("DP_1","003N8EMH8GTFRIVNUPY2891V1","GSON5452962013")</f>
        <v>#NAME?</v>
      </c>
      <c r="M3535" s="28" t="e">
        <f ca="1">[1]!BexGetData("DP_1","003N8EMH8GTFRIVOG7KG9IQXA","GSON5452962013")</f>
        <v>#NAME?</v>
      </c>
      <c r="N3535" s="23" t="e">
        <f ca="1">[1]!BexGetData("DP_1","003N8EMH8GTFRIVOG7KG9IX8U","GSON5452962013")</f>
        <v>#NAME?</v>
      </c>
      <c r="O3535" s="28" t="e">
        <f ca="1">[1]!BexGetData("DP_1","003N8EMH8GTFRIVOG7KG9J3KE","GSON5452962013")</f>
        <v>#NAME?</v>
      </c>
      <c r="P3535" s="23" t="e">
        <f ca="1">[1]!BexGetData("DP_1","003N8EMH8GTFRIVOG7KG9J9VY","GSON5452962013")</f>
        <v>#NAME?</v>
      </c>
      <c r="Q3535" s="24" t="e">
        <f ca="1">[1]!BexGetData("DP_1","00O2TNJGODT0G5Z4TTKYMM5MT","GSON5452962013")</f>
        <v>#NAME?</v>
      </c>
      <c r="R3535" s="23" t="e">
        <f ca="1">[1]!BexGetData("DP_1","00O2TNJGODT0G5Z4TTKYMMBYD","GSON5452962013")</f>
        <v>#NAME?</v>
      </c>
      <c r="S3535" s="23" t="e">
        <f ca="1">[1]!BexGetData("DP_1","00O2TNJGODT0G5Z4TTKYMMI9X","GSON5452962013")</f>
        <v>#NAME?</v>
      </c>
      <c r="T3535" s="28" t="e">
        <f ca="1">[1]!BexGetData("DP_1","00O2TNJGODT0G5Z4TTKYMMOLH","GSON5452962013")</f>
        <v>#NAME?</v>
      </c>
      <c r="U3535" s="23" t="e">
        <f ca="1">[1]!BexGetData("DP_1","00O2TNJGODT0G5Z4TTKYMMUX1","GSON5452962013")</f>
        <v>#NAME?</v>
      </c>
      <c r="V3535" s="28" t="e">
        <f ca="1">[1]!BexGetData("DP_1","00O2TNJGODT0G5Z4TTKYMN18L","GSON5452962013")</f>
        <v>#NAME?</v>
      </c>
      <c r="W3535" s="23" t="e">
        <f ca="1">[1]!BexGetData("DP_1","00O2TNJGODT0G5Z4TTKYMN7K5","GSON5452962013")</f>
        <v>#NAME?</v>
      </c>
    </row>
    <row r="3536" spans="1:23" x14ac:dyDescent="0.2">
      <c r="A3536" s="33" t="s">
        <v>113</v>
      </c>
      <c r="B3536" s="27" t="s">
        <v>114</v>
      </c>
      <c r="C3536" s="23" t="e">
        <f ca="1">[1]!BexGetData("DP_1","003N8EMH8GTFRCSWKMPXRR8GU","GSON55")</f>
        <v>#NAME?</v>
      </c>
      <c r="D3536" s="23" t="e">
        <f ca="1">[1]!BexGetData("DP_1","003N8EMH8GTFRCSWKMPXRRESE","GSON55")</f>
        <v>#NAME?</v>
      </c>
      <c r="E3536" s="23" t="e">
        <f ca="1">[1]!BexGetData("DP_1","003N8EMH8GTFRCSWKMPXRRL3Y","GSON55")</f>
        <v>#NAME?</v>
      </c>
      <c r="F3536" s="23" t="e">
        <f ca="1">[1]!BexGetData("DP_1","003N8EMH8GTFRCSWKMPXRRRFI","GSON55")</f>
        <v>#NAME?</v>
      </c>
      <c r="G3536" s="23" t="e">
        <f ca="1">[1]!BexGetData("DP_1","003N8EMH8GTFRCSWKMPXRRXR2","GSON55")</f>
        <v>#NAME?</v>
      </c>
      <c r="H3536" s="23" t="e">
        <f ca="1">[1]!BexGetData("DP_1","003N8EMH8GTFRCSWKMPXRS42M","GSON55")</f>
        <v>#NAME?</v>
      </c>
      <c r="I3536" s="23" t="e">
        <f ca="1">[1]!BexGetData("DP_1","003N8EMH8GTFRCSWKMPXRSAE6","GSON55")</f>
        <v>#NAME?</v>
      </c>
      <c r="J3536" s="24" t="e">
        <f ca="1">[1]!BexGetData("DP_1","003N8EMH8GTFRCSWKMPXRSGPQ","GSON55")</f>
        <v>#NAME?</v>
      </c>
      <c r="K3536" s="23" t="e">
        <f ca="1">[1]!BexGetData("DP_1","003N8EMH8GTFRIVNUPY288VJH","GSON55")</f>
        <v>#NAME?</v>
      </c>
      <c r="L3536" s="23" t="e">
        <f ca="1">[1]!BexGetData("DP_1","003N8EMH8GTFRIVNUPY2891V1","GSON55")</f>
        <v>#NAME?</v>
      </c>
      <c r="M3536" s="28" t="e">
        <f ca="1">[1]!BexGetData("DP_1","003N8EMH8GTFRIVOG7KG9IQXA","GSON55")</f>
        <v>#NAME?</v>
      </c>
      <c r="N3536" s="23" t="e">
        <f ca="1">[1]!BexGetData("DP_1","003N8EMH8GTFRIVOG7KG9IX8U","GSON55")</f>
        <v>#NAME?</v>
      </c>
      <c r="O3536" s="28" t="e">
        <f ca="1">[1]!BexGetData("DP_1","003N8EMH8GTFRIVOG7KG9J3KE","GSON55")</f>
        <v>#NAME?</v>
      </c>
      <c r="P3536" s="23" t="e">
        <f ca="1">[1]!BexGetData("DP_1","003N8EMH8GTFRIVOG7KG9J9VY","GSON55")</f>
        <v>#NAME?</v>
      </c>
      <c r="Q3536" s="24" t="e">
        <f ca="1">[1]!BexGetData("DP_1","00O2TNJGODT0G5Z4TTKYMM5MT","GSON55")</f>
        <v>#NAME?</v>
      </c>
      <c r="R3536" s="23" t="e">
        <f ca="1">[1]!BexGetData("DP_1","00O2TNJGODT0G5Z4TTKYMMBYD","GSON55")</f>
        <v>#NAME?</v>
      </c>
      <c r="S3536" s="23" t="e">
        <f ca="1">[1]!BexGetData("DP_1","00O2TNJGODT0G5Z4TTKYMMI9X","GSON55")</f>
        <v>#NAME?</v>
      </c>
      <c r="T3536" s="28" t="e">
        <f ca="1">[1]!BexGetData("DP_1","00O2TNJGODT0G5Z4TTKYMMOLH","GSON55")</f>
        <v>#NAME?</v>
      </c>
      <c r="U3536" s="23" t="e">
        <f ca="1">[1]!BexGetData("DP_1","00O2TNJGODT0G5Z4TTKYMMUX1","GSON55")</f>
        <v>#NAME?</v>
      </c>
      <c r="V3536" s="28" t="e">
        <f ca="1">[1]!BexGetData("DP_1","00O2TNJGODT0G5Z4TTKYMN18L","GSON55")</f>
        <v>#NAME?</v>
      </c>
      <c r="W3536" s="23" t="e">
        <f ca="1">[1]!BexGetData("DP_1","00O2TNJGODT0G5Z4TTKYMN7K5","GSON55")</f>
        <v>#NAME?</v>
      </c>
    </row>
    <row r="3537" spans="1:23" x14ac:dyDescent="0.2">
      <c r="A3537" s="34" t="s">
        <v>1584</v>
      </c>
      <c r="B3537" s="27" t="s">
        <v>1585</v>
      </c>
      <c r="C3537" s="23" t="e">
        <f ca="1">[1]!BexGetData("DP_1","003N8EMH8GTFRCSWKMPXRR8GU","GSON551")</f>
        <v>#NAME?</v>
      </c>
      <c r="D3537" s="23" t="e">
        <f ca="1">[1]!BexGetData("DP_1","003N8EMH8GTFRCSWKMPXRRESE","GSON551")</f>
        <v>#NAME?</v>
      </c>
      <c r="E3537" s="23" t="e">
        <f ca="1">[1]!BexGetData("DP_1","003N8EMH8GTFRCSWKMPXRRL3Y","GSON551")</f>
        <v>#NAME?</v>
      </c>
      <c r="F3537" s="23" t="e">
        <f ca="1">[1]!BexGetData("DP_1","003N8EMH8GTFRCSWKMPXRRRFI","GSON551")</f>
        <v>#NAME?</v>
      </c>
      <c r="G3537" s="23" t="e">
        <f ca="1">[1]!BexGetData("DP_1","003N8EMH8GTFRCSWKMPXRRXR2","GSON551")</f>
        <v>#NAME?</v>
      </c>
      <c r="H3537" s="23" t="e">
        <f ca="1">[1]!BexGetData("DP_1","003N8EMH8GTFRCSWKMPXRS42M","GSON551")</f>
        <v>#NAME?</v>
      </c>
      <c r="I3537" s="23" t="e">
        <f ca="1">[1]!BexGetData("DP_1","003N8EMH8GTFRCSWKMPXRSAE6","GSON551")</f>
        <v>#NAME?</v>
      </c>
      <c r="J3537" s="24" t="e">
        <f ca="1">[1]!BexGetData("DP_1","003N8EMH8GTFRCSWKMPXRSGPQ","GSON551")</f>
        <v>#NAME?</v>
      </c>
      <c r="K3537" s="23" t="e">
        <f ca="1">[1]!BexGetData("DP_1","003N8EMH8GTFRIVNUPY288VJH","GSON551")</f>
        <v>#NAME?</v>
      </c>
      <c r="L3537" s="23" t="e">
        <f ca="1">[1]!BexGetData("DP_1","003N8EMH8GTFRIVNUPY2891V1","GSON551")</f>
        <v>#NAME?</v>
      </c>
      <c r="M3537" s="28" t="e">
        <f ca="1">[1]!BexGetData("DP_1","003N8EMH8GTFRIVOG7KG9IQXA","GSON551")</f>
        <v>#NAME?</v>
      </c>
      <c r="N3537" s="23" t="e">
        <f ca="1">[1]!BexGetData("DP_1","003N8EMH8GTFRIVOG7KG9IX8U","GSON551")</f>
        <v>#NAME?</v>
      </c>
      <c r="O3537" s="28" t="e">
        <f ca="1">[1]!BexGetData("DP_1","003N8EMH8GTFRIVOG7KG9J3KE","GSON551")</f>
        <v>#NAME?</v>
      </c>
      <c r="P3537" s="23" t="e">
        <f ca="1">[1]!BexGetData("DP_1","003N8EMH8GTFRIVOG7KG9J9VY","GSON551")</f>
        <v>#NAME?</v>
      </c>
      <c r="Q3537" s="24" t="e">
        <f ca="1">[1]!BexGetData("DP_1","00O2TNJGODT0G5Z4TTKYMM5MT","GSON551")</f>
        <v>#NAME?</v>
      </c>
      <c r="R3537" s="23" t="e">
        <f ca="1">[1]!BexGetData("DP_1","00O2TNJGODT0G5Z4TTKYMMBYD","GSON551")</f>
        <v>#NAME?</v>
      </c>
      <c r="S3537" s="23" t="e">
        <f ca="1">[1]!BexGetData("DP_1","00O2TNJGODT0G5Z4TTKYMMI9X","GSON551")</f>
        <v>#NAME?</v>
      </c>
      <c r="T3537" s="28" t="e">
        <f ca="1">[1]!BexGetData("DP_1","00O2TNJGODT0G5Z4TTKYMMOLH","GSON551")</f>
        <v>#NAME?</v>
      </c>
      <c r="U3537" s="23" t="e">
        <f ca="1">[1]!BexGetData("DP_1","00O2TNJGODT0G5Z4TTKYMMUX1","GSON551")</f>
        <v>#NAME?</v>
      </c>
      <c r="V3537" s="28" t="e">
        <f ca="1">[1]!BexGetData("DP_1","00O2TNJGODT0G5Z4TTKYMN18L","GSON551")</f>
        <v>#NAME?</v>
      </c>
      <c r="W3537" s="23" t="e">
        <f ca="1">[1]!BexGetData("DP_1","00O2TNJGODT0G5Z4TTKYMN7K5","GSON551")</f>
        <v>#NAME?</v>
      </c>
    </row>
    <row r="3538" spans="1:23" x14ac:dyDescent="0.2">
      <c r="A3538" s="35" t="s">
        <v>1586</v>
      </c>
      <c r="B3538" s="27" t="s">
        <v>1587</v>
      </c>
      <c r="C3538" s="23" t="e">
        <f ca="1">[1]!BexGetData("DP_1","003N8EMH8GTFRCSWKMPXRR8GU","GSON5513")</f>
        <v>#NAME?</v>
      </c>
      <c r="D3538" s="28" t="e">
        <f ca="1">[1]!BexGetData("DP_1","003N8EMH8GTFRCSWKMPXRRESE","GSON5513")</f>
        <v>#NAME?</v>
      </c>
      <c r="E3538" s="23" t="e">
        <f ca="1">[1]!BexGetData("DP_1","003N8EMH8GTFRCSWKMPXRRL3Y","GSON5513")</f>
        <v>#NAME?</v>
      </c>
      <c r="F3538" s="23" t="e">
        <f ca="1">[1]!BexGetData("DP_1","003N8EMH8GTFRCSWKMPXRRRFI","GSON5513")</f>
        <v>#NAME?</v>
      </c>
      <c r="G3538" s="23" t="e">
        <f ca="1">[1]!BexGetData("DP_1","003N8EMH8GTFRCSWKMPXRRXR2","GSON5513")</f>
        <v>#NAME?</v>
      </c>
      <c r="H3538" s="28" t="e">
        <f ca="1">[1]!BexGetData("DP_1","003N8EMH8GTFRCSWKMPXRS42M","GSON5513")</f>
        <v>#NAME?</v>
      </c>
      <c r="I3538" s="23" t="e">
        <f ca="1">[1]!BexGetData("DP_1","003N8EMH8GTFRCSWKMPXRSAE6","GSON5513")</f>
        <v>#NAME?</v>
      </c>
      <c r="J3538" s="24" t="e">
        <f ca="1">[1]!BexGetData("DP_1","003N8EMH8GTFRCSWKMPXRSGPQ","GSON5513")</f>
        <v>#NAME?</v>
      </c>
      <c r="K3538" s="23" t="e">
        <f ca="1">[1]!BexGetData("DP_1","003N8EMH8GTFRIVNUPY288VJH","GSON5513")</f>
        <v>#NAME?</v>
      </c>
      <c r="L3538" s="23" t="e">
        <f ca="1">[1]!BexGetData("DP_1","003N8EMH8GTFRIVNUPY2891V1","GSON5513")</f>
        <v>#NAME?</v>
      </c>
      <c r="M3538" s="23" t="e">
        <f ca="1">[1]!BexGetData("DP_1","003N8EMH8GTFRIVOG7KG9IQXA","GSON5513")</f>
        <v>#NAME?</v>
      </c>
      <c r="N3538" s="28" t="e">
        <f ca="1">[1]!BexGetData("DP_1","003N8EMH8GTFRIVOG7KG9IX8U","GSON5513")</f>
        <v>#NAME?</v>
      </c>
      <c r="O3538" s="23" t="e">
        <f ca="1">[1]!BexGetData("DP_1","003N8EMH8GTFRIVOG7KG9J3KE","GSON5513")</f>
        <v>#NAME?</v>
      </c>
      <c r="P3538" s="28" t="e">
        <f ca="1">[1]!BexGetData("DP_1","003N8EMH8GTFRIVOG7KG9J9VY","GSON5513")</f>
        <v>#NAME?</v>
      </c>
      <c r="Q3538" s="24" t="e">
        <f ca="1">[1]!BexGetData("DP_1","00O2TNJGODT0G5Z4TTKYMM5MT","GSON5513")</f>
        <v>#NAME?</v>
      </c>
      <c r="R3538" s="23" t="e">
        <f ca="1">[1]!BexGetData("DP_1","00O2TNJGODT0G5Z4TTKYMMBYD","GSON5513")</f>
        <v>#NAME?</v>
      </c>
      <c r="S3538" s="23" t="e">
        <f ca="1">[1]!BexGetData("DP_1","00O2TNJGODT0G5Z4TTKYMMI9X","GSON5513")</f>
        <v>#NAME?</v>
      </c>
      <c r="T3538" s="28" t="e">
        <f ca="1">[1]!BexGetData("DP_1","00O2TNJGODT0G5Z4TTKYMMOLH","GSON5513")</f>
        <v>#NAME?</v>
      </c>
      <c r="U3538" s="23" t="e">
        <f ca="1">[1]!BexGetData("DP_1","00O2TNJGODT0G5Z4TTKYMMUX1","GSON5513")</f>
        <v>#NAME?</v>
      </c>
      <c r="V3538" s="28" t="e">
        <f ca="1">[1]!BexGetData("DP_1","00O2TNJGODT0G5Z4TTKYMN18L","GSON5513")</f>
        <v>#NAME?</v>
      </c>
      <c r="W3538" s="23" t="e">
        <f ca="1">[1]!BexGetData("DP_1","00O2TNJGODT0G5Z4TTKYMN7K5","GSON5513")</f>
        <v>#NAME?</v>
      </c>
    </row>
    <row r="3539" spans="1:23" x14ac:dyDescent="0.2">
      <c r="A3539" s="36" t="s">
        <v>1588</v>
      </c>
      <c r="B3539" s="27" t="s">
        <v>1589</v>
      </c>
      <c r="C3539" s="23" t="e">
        <f ca="1">[1]!BexGetData("DP_1","003N8EMH8GTFRCSWKMPXRR8GU","GSON5513100001")</f>
        <v>#NAME?</v>
      </c>
      <c r="D3539" s="28" t="e">
        <f ca="1">[1]!BexGetData("DP_1","003N8EMH8GTFRCSWKMPXRRESE","GSON5513100001")</f>
        <v>#NAME?</v>
      </c>
      <c r="E3539" s="23" t="e">
        <f ca="1">[1]!BexGetData("DP_1","003N8EMH8GTFRCSWKMPXRRL3Y","GSON5513100001")</f>
        <v>#NAME?</v>
      </c>
      <c r="F3539" s="23" t="e">
        <f ca="1">[1]!BexGetData("DP_1","003N8EMH8GTFRCSWKMPXRRRFI","GSON5513100001")</f>
        <v>#NAME?</v>
      </c>
      <c r="G3539" s="23" t="e">
        <f ca="1">[1]!BexGetData("DP_1","003N8EMH8GTFRCSWKMPXRRXR2","GSON5513100001")</f>
        <v>#NAME?</v>
      </c>
      <c r="H3539" s="28" t="e">
        <f ca="1">[1]!BexGetData("DP_1","003N8EMH8GTFRCSWKMPXRS42M","GSON5513100001")</f>
        <v>#NAME?</v>
      </c>
      <c r="I3539" s="23" t="e">
        <f ca="1">[1]!BexGetData("DP_1","003N8EMH8GTFRCSWKMPXRSAE6","GSON5513100001")</f>
        <v>#NAME?</v>
      </c>
      <c r="J3539" s="24" t="e">
        <f ca="1">[1]!BexGetData("DP_1","003N8EMH8GTFRCSWKMPXRSGPQ","GSON5513100001")</f>
        <v>#NAME?</v>
      </c>
      <c r="K3539" s="23" t="e">
        <f ca="1">[1]!BexGetData("DP_1","003N8EMH8GTFRIVNUPY288VJH","GSON5513100001")</f>
        <v>#NAME?</v>
      </c>
      <c r="L3539" s="23" t="e">
        <f ca="1">[1]!BexGetData("DP_1","003N8EMH8GTFRIVNUPY2891V1","GSON5513100001")</f>
        <v>#NAME?</v>
      </c>
      <c r="M3539" s="23" t="e">
        <f ca="1">[1]!BexGetData("DP_1","003N8EMH8GTFRIVOG7KG9IQXA","GSON5513100001")</f>
        <v>#NAME?</v>
      </c>
      <c r="N3539" s="28" t="e">
        <f ca="1">[1]!BexGetData("DP_1","003N8EMH8GTFRIVOG7KG9IX8U","GSON5513100001")</f>
        <v>#NAME?</v>
      </c>
      <c r="O3539" s="23" t="e">
        <f ca="1">[1]!BexGetData("DP_1","003N8EMH8GTFRIVOG7KG9J3KE","GSON5513100001")</f>
        <v>#NAME?</v>
      </c>
      <c r="P3539" s="28" t="e">
        <f ca="1">[1]!BexGetData("DP_1","003N8EMH8GTFRIVOG7KG9J9VY","GSON5513100001")</f>
        <v>#NAME?</v>
      </c>
      <c r="Q3539" s="24" t="e">
        <f ca="1">[1]!BexGetData("DP_1","00O2TNJGODT0G5Z4TTKYMM5MT","GSON5513100001")</f>
        <v>#NAME?</v>
      </c>
      <c r="R3539" s="23" t="e">
        <f ca="1">[1]!BexGetData("DP_1","00O2TNJGODT0G5Z4TTKYMMBYD","GSON5513100001")</f>
        <v>#NAME?</v>
      </c>
      <c r="S3539" s="23" t="e">
        <f ca="1">[1]!BexGetData("DP_1","00O2TNJGODT0G5Z4TTKYMMI9X","GSON5513100001")</f>
        <v>#NAME?</v>
      </c>
      <c r="T3539" s="28" t="e">
        <f ca="1">[1]!BexGetData("DP_1","00O2TNJGODT0G5Z4TTKYMMOLH","GSON5513100001")</f>
        <v>#NAME?</v>
      </c>
      <c r="U3539" s="23" t="e">
        <f ca="1">[1]!BexGetData("DP_1","00O2TNJGODT0G5Z4TTKYMMUX1","GSON5513100001")</f>
        <v>#NAME?</v>
      </c>
      <c r="V3539" s="28" t="e">
        <f ca="1">[1]!BexGetData("DP_1","00O2TNJGODT0G5Z4TTKYMN18L","GSON5513100001")</f>
        <v>#NAME?</v>
      </c>
      <c r="W3539" s="23" t="e">
        <f ca="1">[1]!BexGetData("DP_1","00O2TNJGODT0G5Z4TTKYMN7K5","GSON5513100001")</f>
        <v>#NAME?</v>
      </c>
    </row>
    <row r="3540" spans="1:23" x14ac:dyDescent="0.2">
      <c r="A3540" s="35" t="s">
        <v>1590</v>
      </c>
      <c r="B3540" s="27" t="s">
        <v>1591</v>
      </c>
      <c r="C3540" s="23" t="e">
        <f ca="1">[1]!BexGetData("DP_1","003N8EMH8GTFRCSWKMPXRR8GU","GSON5514")</f>
        <v>#NAME?</v>
      </c>
      <c r="D3540" s="28" t="e">
        <f ca="1">[1]!BexGetData("DP_1","003N8EMH8GTFRCSWKMPXRRESE","GSON5514")</f>
        <v>#NAME?</v>
      </c>
      <c r="E3540" s="23" t="e">
        <f ca="1">[1]!BexGetData("DP_1","003N8EMH8GTFRCSWKMPXRRL3Y","GSON5514")</f>
        <v>#NAME?</v>
      </c>
      <c r="F3540" s="23" t="e">
        <f ca="1">[1]!BexGetData("DP_1","003N8EMH8GTFRCSWKMPXRRRFI","GSON5514")</f>
        <v>#NAME?</v>
      </c>
      <c r="G3540" s="23" t="e">
        <f ca="1">[1]!BexGetData("DP_1","003N8EMH8GTFRCSWKMPXRRXR2","GSON5514")</f>
        <v>#NAME?</v>
      </c>
      <c r="H3540" s="28" t="e">
        <f ca="1">[1]!BexGetData("DP_1","003N8EMH8GTFRCSWKMPXRS42M","GSON5514")</f>
        <v>#NAME?</v>
      </c>
      <c r="I3540" s="23" t="e">
        <f ca="1">[1]!BexGetData("DP_1","003N8EMH8GTFRCSWKMPXRSAE6","GSON5514")</f>
        <v>#NAME?</v>
      </c>
      <c r="J3540" s="24" t="e">
        <f ca="1">[1]!BexGetData("DP_1","003N8EMH8GTFRCSWKMPXRSGPQ","GSON5514")</f>
        <v>#NAME?</v>
      </c>
      <c r="K3540" s="28" t="e">
        <f ca="1">[1]!BexGetData("DP_1","003N8EMH8GTFRIVNUPY288VJH","GSON5514")</f>
        <v>#NAME?</v>
      </c>
      <c r="L3540" s="28" t="e">
        <f ca="1">[1]!BexGetData("DP_1","003N8EMH8GTFRIVNUPY2891V1","GSON5514")</f>
        <v>#NAME?</v>
      </c>
      <c r="M3540" s="28" t="e">
        <f ca="1">[1]!BexGetData("DP_1","003N8EMH8GTFRIVOG7KG9IQXA","GSON5514")</f>
        <v>#NAME?</v>
      </c>
      <c r="N3540" s="28" t="e">
        <f ca="1">[1]!BexGetData("DP_1","003N8EMH8GTFRIVOG7KG9IX8U","GSON5514")</f>
        <v>#NAME?</v>
      </c>
      <c r="O3540" s="28" t="e">
        <f ca="1">[1]!BexGetData("DP_1","003N8EMH8GTFRIVOG7KG9J3KE","GSON5514")</f>
        <v>#NAME?</v>
      </c>
      <c r="P3540" s="28" t="e">
        <f ca="1">[1]!BexGetData("DP_1","003N8EMH8GTFRIVOG7KG9J9VY","GSON5514")</f>
        <v>#NAME?</v>
      </c>
      <c r="Q3540" s="24" t="e">
        <f ca="1">[1]!BexGetData("DP_1","00O2TNJGODT0G5Z4TTKYMM5MT","GSON5514")</f>
        <v>#NAME?</v>
      </c>
      <c r="R3540" s="23" t="e">
        <f ca="1">[1]!BexGetData("DP_1","00O2TNJGODT0G5Z4TTKYMMBYD","GSON5514")</f>
        <v>#NAME?</v>
      </c>
      <c r="S3540" s="23" t="e">
        <f ca="1">[1]!BexGetData("DP_1","00O2TNJGODT0G5Z4TTKYMMI9X","GSON5514")</f>
        <v>#NAME?</v>
      </c>
      <c r="T3540" s="28" t="e">
        <f ca="1">[1]!BexGetData("DP_1","00O2TNJGODT0G5Z4TTKYMMOLH","GSON5514")</f>
        <v>#NAME?</v>
      </c>
      <c r="U3540" s="23" t="e">
        <f ca="1">[1]!BexGetData("DP_1","00O2TNJGODT0G5Z4TTKYMMUX1","GSON5514")</f>
        <v>#NAME?</v>
      </c>
      <c r="V3540" s="28" t="e">
        <f ca="1">[1]!BexGetData("DP_1","00O2TNJGODT0G5Z4TTKYMN18L","GSON5514")</f>
        <v>#NAME?</v>
      </c>
      <c r="W3540" s="23" t="e">
        <f ca="1">[1]!BexGetData("DP_1","00O2TNJGODT0G5Z4TTKYMN7K5","GSON5514")</f>
        <v>#NAME?</v>
      </c>
    </row>
    <row r="3541" spans="1:23" x14ac:dyDescent="0.2">
      <c r="A3541" s="36" t="s">
        <v>1592</v>
      </c>
      <c r="B3541" s="27" t="s">
        <v>1593</v>
      </c>
      <c r="C3541" s="23" t="e">
        <f ca="1">[1]!BexGetData("DP_1","003N8EMH8GTFRCSWKMPXRR8GU","GSON5514100001")</f>
        <v>#NAME?</v>
      </c>
      <c r="D3541" s="28" t="e">
        <f ca="1">[1]!BexGetData("DP_1","003N8EMH8GTFRCSWKMPXRRESE","GSON5514100001")</f>
        <v>#NAME?</v>
      </c>
      <c r="E3541" s="23" t="e">
        <f ca="1">[1]!BexGetData("DP_1","003N8EMH8GTFRCSWKMPXRRL3Y","GSON5514100001")</f>
        <v>#NAME?</v>
      </c>
      <c r="F3541" s="23" t="e">
        <f ca="1">[1]!BexGetData("DP_1","003N8EMH8GTFRCSWKMPXRRRFI","GSON5514100001")</f>
        <v>#NAME?</v>
      </c>
      <c r="G3541" s="23" t="e">
        <f ca="1">[1]!BexGetData("DP_1","003N8EMH8GTFRCSWKMPXRRXR2","GSON5514100001")</f>
        <v>#NAME?</v>
      </c>
      <c r="H3541" s="28" t="e">
        <f ca="1">[1]!BexGetData("DP_1","003N8EMH8GTFRCSWKMPXRS42M","GSON5514100001")</f>
        <v>#NAME?</v>
      </c>
      <c r="I3541" s="23" t="e">
        <f ca="1">[1]!BexGetData("DP_1","003N8EMH8GTFRCSWKMPXRSAE6","GSON5514100001")</f>
        <v>#NAME?</v>
      </c>
      <c r="J3541" s="24" t="e">
        <f ca="1">[1]!BexGetData("DP_1","003N8EMH8GTFRCSWKMPXRSGPQ","GSON5514100001")</f>
        <v>#NAME?</v>
      </c>
      <c r="K3541" s="28" t="e">
        <f ca="1">[1]!BexGetData("DP_1","003N8EMH8GTFRIVNUPY288VJH","GSON5514100001")</f>
        <v>#NAME?</v>
      </c>
      <c r="L3541" s="28" t="e">
        <f ca="1">[1]!BexGetData("DP_1","003N8EMH8GTFRIVNUPY2891V1","GSON5514100001")</f>
        <v>#NAME?</v>
      </c>
      <c r="M3541" s="28" t="e">
        <f ca="1">[1]!BexGetData("DP_1","003N8EMH8GTFRIVOG7KG9IQXA","GSON5514100001")</f>
        <v>#NAME?</v>
      </c>
      <c r="N3541" s="28" t="e">
        <f ca="1">[1]!BexGetData("DP_1","003N8EMH8GTFRIVOG7KG9IX8U","GSON5514100001")</f>
        <v>#NAME?</v>
      </c>
      <c r="O3541" s="28" t="e">
        <f ca="1">[1]!BexGetData("DP_1","003N8EMH8GTFRIVOG7KG9J3KE","GSON5514100001")</f>
        <v>#NAME?</v>
      </c>
      <c r="P3541" s="28" t="e">
        <f ca="1">[1]!BexGetData("DP_1","003N8EMH8GTFRIVOG7KG9J9VY","GSON5514100001")</f>
        <v>#NAME?</v>
      </c>
      <c r="Q3541" s="24" t="e">
        <f ca="1">[1]!BexGetData("DP_1","00O2TNJGODT0G5Z4TTKYMM5MT","GSON5514100001")</f>
        <v>#NAME?</v>
      </c>
      <c r="R3541" s="23" t="e">
        <f ca="1">[1]!BexGetData("DP_1","00O2TNJGODT0G5Z4TTKYMMBYD","GSON5514100001")</f>
        <v>#NAME?</v>
      </c>
      <c r="S3541" s="23" t="e">
        <f ca="1">[1]!BexGetData("DP_1","00O2TNJGODT0G5Z4TTKYMMI9X","GSON5514100001")</f>
        <v>#NAME?</v>
      </c>
      <c r="T3541" s="28" t="e">
        <f ca="1">[1]!BexGetData("DP_1","00O2TNJGODT0G5Z4TTKYMMOLH","GSON5514100001")</f>
        <v>#NAME?</v>
      </c>
      <c r="U3541" s="23" t="e">
        <f ca="1">[1]!BexGetData("DP_1","00O2TNJGODT0G5Z4TTKYMMUX1","GSON5514100001")</f>
        <v>#NAME?</v>
      </c>
      <c r="V3541" s="28" t="e">
        <f ca="1">[1]!BexGetData("DP_1","00O2TNJGODT0G5Z4TTKYMN18L","GSON5514100001")</f>
        <v>#NAME?</v>
      </c>
      <c r="W3541" s="23" t="e">
        <f ca="1">[1]!BexGetData("DP_1","00O2TNJGODT0G5Z4TTKYMN7K5","GSON5514100001")</f>
        <v>#NAME?</v>
      </c>
    </row>
    <row r="3542" spans="1:23" x14ac:dyDescent="0.2">
      <c r="A3542" s="35" t="s">
        <v>1586</v>
      </c>
      <c r="B3542" s="27" t="s">
        <v>1594</v>
      </c>
      <c r="C3542" s="23" t="e">
        <f ca="1">[1]!BexGetData("DP_1","003N8EMH8GTFRCSWKMPXRR8GU","GSON5515")</f>
        <v>#NAME?</v>
      </c>
      <c r="D3542" s="23" t="e">
        <f ca="1">[1]!BexGetData("DP_1","003N8EMH8GTFRCSWKMPXRRESE","GSON5515")</f>
        <v>#NAME?</v>
      </c>
      <c r="E3542" s="23" t="e">
        <f ca="1">[1]!BexGetData("DP_1","003N8EMH8GTFRCSWKMPXRRL3Y","GSON5515")</f>
        <v>#NAME?</v>
      </c>
      <c r="F3542" s="23" t="e">
        <f ca="1">[1]!BexGetData("DP_1","003N8EMH8GTFRCSWKMPXRRRFI","GSON5515")</f>
        <v>#NAME?</v>
      </c>
      <c r="G3542" s="23" t="e">
        <f ca="1">[1]!BexGetData("DP_1","003N8EMH8GTFRCSWKMPXRRXR2","GSON5515")</f>
        <v>#NAME?</v>
      </c>
      <c r="H3542" s="23" t="e">
        <f ca="1">[1]!BexGetData("DP_1","003N8EMH8GTFRCSWKMPXRS42M","GSON5515")</f>
        <v>#NAME?</v>
      </c>
      <c r="I3542" s="23" t="e">
        <f ca="1">[1]!BexGetData("DP_1","003N8EMH8GTFRCSWKMPXRSAE6","GSON5515")</f>
        <v>#NAME?</v>
      </c>
      <c r="J3542" s="24" t="e">
        <f ca="1">[1]!BexGetData("DP_1","003N8EMH8GTFRCSWKMPXRSGPQ","GSON5515")</f>
        <v>#NAME?</v>
      </c>
      <c r="K3542" s="23" t="e">
        <f ca="1">[1]!BexGetData("DP_1","003N8EMH8GTFRIVNUPY288VJH","GSON5515")</f>
        <v>#NAME?</v>
      </c>
      <c r="L3542" s="23" t="e">
        <f ca="1">[1]!BexGetData("DP_1","003N8EMH8GTFRIVNUPY2891V1","GSON5515")</f>
        <v>#NAME?</v>
      </c>
      <c r="M3542" s="28" t="e">
        <f ca="1">[1]!BexGetData("DP_1","003N8EMH8GTFRIVOG7KG9IQXA","GSON5515")</f>
        <v>#NAME?</v>
      </c>
      <c r="N3542" s="23" t="e">
        <f ca="1">[1]!BexGetData("DP_1","003N8EMH8GTFRIVOG7KG9IX8U","GSON5515")</f>
        <v>#NAME?</v>
      </c>
      <c r="O3542" s="28" t="e">
        <f ca="1">[1]!BexGetData("DP_1","003N8EMH8GTFRIVOG7KG9J3KE","GSON5515")</f>
        <v>#NAME?</v>
      </c>
      <c r="P3542" s="23" t="e">
        <f ca="1">[1]!BexGetData("DP_1","003N8EMH8GTFRIVOG7KG9J9VY","GSON5515")</f>
        <v>#NAME?</v>
      </c>
      <c r="Q3542" s="24" t="e">
        <f ca="1">[1]!BexGetData("DP_1","00O2TNJGODT0G5Z4TTKYMM5MT","GSON5515")</f>
        <v>#NAME?</v>
      </c>
      <c r="R3542" s="23" t="e">
        <f ca="1">[1]!BexGetData("DP_1","00O2TNJGODT0G5Z4TTKYMMBYD","GSON5515")</f>
        <v>#NAME?</v>
      </c>
      <c r="S3542" s="23" t="e">
        <f ca="1">[1]!BexGetData("DP_1","00O2TNJGODT0G5Z4TTKYMMI9X","GSON5515")</f>
        <v>#NAME?</v>
      </c>
      <c r="T3542" s="28" t="e">
        <f ca="1">[1]!BexGetData("DP_1","00O2TNJGODT0G5Z4TTKYMMOLH","GSON5515")</f>
        <v>#NAME?</v>
      </c>
      <c r="U3542" s="23" t="e">
        <f ca="1">[1]!BexGetData("DP_1","00O2TNJGODT0G5Z4TTKYMMUX1","GSON5515")</f>
        <v>#NAME?</v>
      </c>
      <c r="V3542" s="28" t="e">
        <f ca="1">[1]!BexGetData("DP_1","00O2TNJGODT0G5Z4TTKYMN18L","GSON5515")</f>
        <v>#NAME?</v>
      </c>
      <c r="W3542" s="23" t="e">
        <f ca="1">[1]!BexGetData("DP_1","00O2TNJGODT0G5Z4TTKYMN7K5","GSON5515")</f>
        <v>#NAME?</v>
      </c>
    </row>
    <row r="3543" spans="1:23" x14ac:dyDescent="0.2">
      <c r="A3543" s="36" t="s">
        <v>1588</v>
      </c>
      <c r="B3543" s="27" t="s">
        <v>1595</v>
      </c>
      <c r="C3543" s="23" t="e">
        <f ca="1">[1]!BexGetData("DP_1","003N8EMH8GTFRCSWKMPXRR8GU","GSON5515100001")</f>
        <v>#NAME?</v>
      </c>
      <c r="D3543" s="23" t="e">
        <f ca="1">[1]!BexGetData("DP_1","003N8EMH8GTFRCSWKMPXRRESE","GSON5515100001")</f>
        <v>#NAME?</v>
      </c>
      <c r="E3543" s="23" t="e">
        <f ca="1">[1]!BexGetData("DP_1","003N8EMH8GTFRCSWKMPXRRL3Y","GSON5515100001")</f>
        <v>#NAME?</v>
      </c>
      <c r="F3543" s="23" t="e">
        <f ca="1">[1]!BexGetData("DP_1","003N8EMH8GTFRCSWKMPXRRRFI","GSON5515100001")</f>
        <v>#NAME?</v>
      </c>
      <c r="G3543" s="23" t="e">
        <f ca="1">[1]!BexGetData("DP_1","003N8EMH8GTFRCSWKMPXRRXR2","GSON5515100001")</f>
        <v>#NAME?</v>
      </c>
      <c r="H3543" s="23" t="e">
        <f ca="1">[1]!BexGetData("DP_1","003N8EMH8GTFRCSWKMPXRS42M","GSON5515100001")</f>
        <v>#NAME?</v>
      </c>
      <c r="I3543" s="23" t="e">
        <f ca="1">[1]!BexGetData("DP_1","003N8EMH8GTFRCSWKMPXRSAE6","GSON5515100001")</f>
        <v>#NAME?</v>
      </c>
      <c r="J3543" s="24" t="e">
        <f ca="1">[1]!BexGetData("DP_1","003N8EMH8GTFRCSWKMPXRSGPQ","GSON5515100001")</f>
        <v>#NAME?</v>
      </c>
      <c r="K3543" s="23" t="e">
        <f ca="1">[1]!BexGetData("DP_1","003N8EMH8GTFRIVNUPY288VJH","GSON5515100001")</f>
        <v>#NAME?</v>
      </c>
      <c r="L3543" s="23" t="e">
        <f ca="1">[1]!BexGetData("DP_1","003N8EMH8GTFRIVNUPY2891V1","GSON5515100001")</f>
        <v>#NAME?</v>
      </c>
      <c r="M3543" s="28" t="e">
        <f ca="1">[1]!BexGetData("DP_1","003N8EMH8GTFRIVOG7KG9IQXA","GSON5515100001")</f>
        <v>#NAME?</v>
      </c>
      <c r="N3543" s="23" t="e">
        <f ca="1">[1]!BexGetData("DP_1","003N8EMH8GTFRIVOG7KG9IX8U","GSON5515100001")</f>
        <v>#NAME?</v>
      </c>
      <c r="O3543" s="28" t="e">
        <f ca="1">[1]!BexGetData("DP_1","003N8EMH8GTFRIVOG7KG9J3KE","GSON5515100001")</f>
        <v>#NAME?</v>
      </c>
      <c r="P3543" s="23" t="e">
        <f ca="1">[1]!BexGetData("DP_1","003N8EMH8GTFRIVOG7KG9J9VY","GSON5515100001")</f>
        <v>#NAME?</v>
      </c>
      <c r="Q3543" s="24" t="e">
        <f ca="1">[1]!BexGetData("DP_1","00O2TNJGODT0G5Z4TTKYMM5MT","GSON5515100001")</f>
        <v>#NAME?</v>
      </c>
      <c r="R3543" s="23" t="e">
        <f ca="1">[1]!BexGetData("DP_1","00O2TNJGODT0G5Z4TTKYMMBYD","GSON5515100001")</f>
        <v>#NAME?</v>
      </c>
      <c r="S3543" s="23" t="e">
        <f ca="1">[1]!BexGetData("DP_1","00O2TNJGODT0G5Z4TTKYMMI9X","GSON5515100001")</f>
        <v>#NAME?</v>
      </c>
      <c r="T3543" s="28" t="e">
        <f ca="1">[1]!BexGetData("DP_1","00O2TNJGODT0G5Z4TTKYMMOLH","GSON5515100001")</f>
        <v>#NAME?</v>
      </c>
      <c r="U3543" s="23" t="e">
        <f ca="1">[1]!BexGetData("DP_1","00O2TNJGODT0G5Z4TTKYMMUX1","GSON5515100001")</f>
        <v>#NAME?</v>
      </c>
      <c r="V3543" s="28" t="e">
        <f ca="1">[1]!BexGetData("DP_1","00O2TNJGODT0G5Z4TTKYMN18L","GSON5515100001")</f>
        <v>#NAME?</v>
      </c>
      <c r="W3543" s="23" t="e">
        <f ca="1">[1]!BexGetData("DP_1","00O2TNJGODT0G5Z4TTKYMN7K5","GSON5515100001")</f>
        <v>#NAME?</v>
      </c>
    </row>
    <row r="3544" spans="1:23" x14ac:dyDescent="0.2">
      <c r="A3544" s="35" t="s">
        <v>1596</v>
      </c>
      <c r="B3544" s="27" t="s">
        <v>1597</v>
      </c>
      <c r="C3544" s="23" t="e">
        <f ca="1">[1]!BexGetData("DP_1","003N8EMH8GTFRCSWKMPXRR8GU","GSON5517")</f>
        <v>#NAME?</v>
      </c>
      <c r="D3544" s="28" t="e">
        <f ca="1">[1]!BexGetData("DP_1","003N8EMH8GTFRCSWKMPXRRESE","GSON5517")</f>
        <v>#NAME?</v>
      </c>
      <c r="E3544" s="23" t="e">
        <f ca="1">[1]!BexGetData("DP_1","003N8EMH8GTFRCSWKMPXRRL3Y","GSON5517")</f>
        <v>#NAME?</v>
      </c>
      <c r="F3544" s="23" t="e">
        <f ca="1">[1]!BexGetData("DP_1","003N8EMH8GTFRCSWKMPXRRRFI","GSON5517")</f>
        <v>#NAME?</v>
      </c>
      <c r="G3544" s="23" t="e">
        <f ca="1">[1]!BexGetData("DP_1","003N8EMH8GTFRCSWKMPXRRXR2","GSON5517")</f>
        <v>#NAME?</v>
      </c>
      <c r="H3544" s="23" t="e">
        <f ca="1">[1]!BexGetData("DP_1","003N8EMH8GTFRCSWKMPXRS42M","GSON5517")</f>
        <v>#NAME?</v>
      </c>
      <c r="I3544" s="23" t="e">
        <f ca="1">[1]!BexGetData("DP_1","003N8EMH8GTFRCSWKMPXRSAE6","GSON5517")</f>
        <v>#NAME?</v>
      </c>
      <c r="J3544" s="24" t="e">
        <f ca="1">[1]!BexGetData("DP_1","003N8EMH8GTFRCSWKMPXRSGPQ","GSON5517")</f>
        <v>#NAME?</v>
      </c>
      <c r="K3544" s="23" t="e">
        <f ca="1">[1]!BexGetData("DP_1","003N8EMH8GTFRIVNUPY288VJH","GSON5517")</f>
        <v>#NAME?</v>
      </c>
      <c r="L3544" s="23" t="e">
        <f ca="1">[1]!BexGetData("DP_1","003N8EMH8GTFRIVNUPY2891V1","GSON5517")</f>
        <v>#NAME?</v>
      </c>
      <c r="M3544" s="28" t="e">
        <f ca="1">[1]!BexGetData("DP_1","003N8EMH8GTFRIVOG7KG9IQXA","GSON5517")</f>
        <v>#NAME?</v>
      </c>
      <c r="N3544" s="23" t="e">
        <f ca="1">[1]!BexGetData("DP_1","003N8EMH8GTFRIVOG7KG9IX8U","GSON5517")</f>
        <v>#NAME?</v>
      </c>
      <c r="O3544" s="28" t="e">
        <f ca="1">[1]!BexGetData("DP_1","003N8EMH8GTFRIVOG7KG9J3KE","GSON5517")</f>
        <v>#NAME?</v>
      </c>
      <c r="P3544" s="23" t="e">
        <f ca="1">[1]!BexGetData("DP_1","003N8EMH8GTFRIVOG7KG9J9VY","GSON5517")</f>
        <v>#NAME?</v>
      </c>
      <c r="Q3544" s="24" t="e">
        <f ca="1">[1]!BexGetData("DP_1","00O2TNJGODT0G5Z4TTKYMM5MT","GSON5517")</f>
        <v>#NAME?</v>
      </c>
      <c r="R3544" s="23" t="e">
        <f ca="1">[1]!BexGetData("DP_1","00O2TNJGODT0G5Z4TTKYMMBYD","GSON5517")</f>
        <v>#NAME?</v>
      </c>
      <c r="S3544" s="23" t="e">
        <f ca="1">[1]!BexGetData("DP_1","00O2TNJGODT0G5Z4TTKYMMI9X","GSON5517")</f>
        <v>#NAME?</v>
      </c>
      <c r="T3544" s="28" t="e">
        <f ca="1">[1]!BexGetData("DP_1","00O2TNJGODT0G5Z4TTKYMMOLH","GSON5517")</f>
        <v>#NAME?</v>
      </c>
      <c r="U3544" s="23" t="e">
        <f ca="1">[1]!BexGetData("DP_1","00O2TNJGODT0G5Z4TTKYMMUX1","GSON5517")</f>
        <v>#NAME?</v>
      </c>
      <c r="V3544" s="28" t="e">
        <f ca="1">[1]!BexGetData("DP_1","00O2TNJGODT0G5Z4TTKYMN18L","GSON5517")</f>
        <v>#NAME?</v>
      </c>
      <c r="W3544" s="23" t="e">
        <f ca="1">[1]!BexGetData("DP_1","00O2TNJGODT0G5Z4TTKYMN7K5","GSON5517")</f>
        <v>#NAME?</v>
      </c>
    </row>
    <row r="3545" spans="1:23" x14ac:dyDescent="0.2">
      <c r="A3545" s="36" t="s">
        <v>7116</v>
      </c>
      <c r="B3545" s="27" t="s">
        <v>1598</v>
      </c>
      <c r="C3545" s="23" t="e">
        <f ca="1">[1]!BexGetData("DP_1","003N8EMH8GTFRCSWKMPXRR8GU","GSON5517100001")</f>
        <v>#NAME?</v>
      </c>
      <c r="D3545" s="28" t="e">
        <f ca="1">[1]!BexGetData("DP_1","003N8EMH8GTFRCSWKMPXRRESE","GSON5517100001")</f>
        <v>#NAME?</v>
      </c>
      <c r="E3545" s="23" t="e">
        <f ca="1">[1]!BexGetData("DP_1","003N8EMH8GTFRCSWKMPXRRL3Y","GSON5517100001")</f>
        <v>#NAME?</v>
      </c>
      <c r="F3545" s="23" t="e">
        <f ca="1">[1]!BexGetData("DP_1","003N8EMH8GTFRCSWKMPXRRRFI","GSON5517100001")</f>
        <v>#NAME?</v>
      </c>
      <c r="G3545" s="23" t="e">
        <f ca="1">[1]!BexGetData("DP_1","003N8EMH8GTFRCSWKMPXRRXR2","GSON5517100001")</f>
        <v>#NAME?</v>
      </c>
      <c r="H3545" s="23" t="e">
        <f ca="1">[1]!BexGetData("DP_1","003N8EMH8GTFRCSWKMPXRS42M","GSON5517100001")</f>
        <v>#NAME?</v>
      </c>
      <c r="I3545" s="23" t="e">
        <f ca="1">[1]!BexGetData("DP_1","003N8EMH8GTFRCSWKMPXRSAE6","GSON5517100001")</f>
        <v>#NAME?</v>
      </c>
      <c r="J3545" s="24" t="e">
        <f ca="1">[1]!BexGetData("DP_1","003N8EMH8GTFRCSWKMPXRSGPQ","GSON5517100001")</f>
        <v>#NAME?</v>
      </c>
      <c r="K3545" s="23" t="e">
        <f ca="1">[1]!BexGetData("DP_1","003N8EMH8GTFRIVNUPY288VJH","GSON5517100001")</f>
        <v>#NAME?</v>
      </c>
      <c r="L3545" s="23" t="e">
        <f ca="1">[1]!BexGetData("DP_1","003N8EMH8GTFRIVNUPY2891V1","GSON5517100001")</f>
        <v>#NAME?</v>
      </c>
      <c r="M3545" s="28" t="e">
        <f ca="1">[1]!BexGetData("DP_1","003N8EMH8GTFRIVOG7KG9IQXA","GSON5517100001")</f>
        <v>#NAME?</v>
      </c>
      <c r="N3545" s="23" t="e">
        <f ca="1">[1]!BexGetData("DP_1","003N8EMH8GTFRIVOG7KG9IX8U","GSON5517100001")</f>
        <v>#NAME?</v>
      </c>
      <c r="O3545" s="28" t="e">
        <f ca="1">[1]!BexGetData("DP_1","003N8EMH8GTFRIVOG7KG9J3KE","GSON5517100001")</f>
        <v>#NAME?</v>
      </c>
      <c r="P3545" s="23" t="e">
        <f ca="1">[1]!BexGetData("DP_1","003N8EMH8GTFRIVOG7KG9J9VY","GSON5517100001")</f>
        <v>#NAME?</v>
      </c>
      <c r="Q3545" s="24" t="e">
        <f ca="1">[1]!BexGetData("DP_1","00O2TNJGODT0G5Z4TTKYMM5MT","GSON5517100001")</f>
        <v>#NAME?</v>
      </c>
      <c r="R3545" s="23" t="e">
        <f ca="1">[1]!BexGetData("DP_1","00O2TNJGODT0G5Z4TTKYMMBYD","GSON5517100001")</f>
        <v>#NAME?</v>
      </c>
      <c r="S3545" s="23" t="e">
        <f ca="1">[1]!BexGetData("DP_1","00O2TNJGODT0G5Z4TTKYMMI9X","GSON5517100001")</f>
        <v>#NAME?</v>
      </c>
      <c r="T3545" s="28" t="e">
        <f ca="1">[1]!BexGetData("DP_1","00O2TNJGODT0G5Z4TTKYMMOLH","GSON5517100001")</f>
        <v>#NAME?</v>
      </c>
      <c r="U3545" s="23" t="e">
        <f ca="1">[1]!BexGetData("DP_1","00O2TNJGODT0G5Z4TTKYMMUX1","GSON5517100001")</f>
        <v>#NAME?</v>
      </c>
      <c r="V3545" s="28" t="e">
        <f ca="1">[1]!BexGetData("DP_1","00O2TNJGODT0G5Z4TTKYMN18L","GSON5517100001")</f>
        <v>#NAME?</v>
      </c>
      <c r="W3545" s="23" t="e">
        <f ca="1">[1]!BexGetData("DP_1","00O2TNJGODT0G5Z4TTKYMN7K5","GSON5517100001")</f>
        <v>#NAME?</v>
      </c>
    </row>
    <row r="3546" spans="1:23" x14ac:dyDescent="0.2">
      <c r="A3546" s="34" t="s">
        <v>115</v>
      </c>
      <c r="B3546" s="27" t="s">
        <v>116</v>
      </c>
      <c r="C3546" s="23" t="e">
        <f ca="1">[1]!BexGetData("DP_1","003N8EMH8GTFRCSWKMPXRR8GU","GSON559")</f>
        <v>#NAME?</v>
      </c>
      <c r="D3546" s="23" t="e">
        <f ca="1">[1]!BexGetData("DP_1","003N8EMH8GTFRCSWKMPXRRESE","GSON559")</f>
        <v>#NAME?</v>
      </c>
      <c r="E3546" s="23" t="e">
        <f ca="1">[1]!BexGetData("DP_1","003N8EMH8GTFRCSWKMPXRRL3Y","GSON559")</f>
        <v>#NAME?</v>
      </c>
      <c r="F3546" s="23" t="e">
        <f ca="1">[1]!BexGetData("DP_1","003N8EMH8GTFRCSWKMPXRRRFI","GSON559")</f>
        <v>#NAME?</v>
      </c>
      <c r="G3546" s="23" t="e">
        <f ca="1">[1]!BexGetData("DP_1","003N8EMH8GTFRCSWKMPXRRXR2","GSON559")</f>
        <v>#NAME?</v>
      </c>
      <c r="H3546" s="28" t="e">
        <f ca="1">[1]!BexGetData("DP_1","003N8EMH8GTFRCSWKMPXRS42M","GSON559")</f>
        <v>#NAME?</v>
      </c>
      <c r="I3546" s="23" t="e">
        <f ca="1">[1]!BexGetData("DP_1","003N8EMH8GTFRCSWKMPXRSAE6","GSON559")</f>
        <v>#NAME?</v>
      </c>
      <c r="J3546" s="24" t="e">
        <f ca="1">[1]!BexGetData("DP_1","003N8EMH8GTFRCSWKMPXRSGPQ","GSON559")</f>
        <v>#NAME?</v>
      </c>
      <c r="K3546" s="23" t="e">
        <f ca="1">[1]!BexGetData("DP_1","003N8EMH8GTFRIVNUPY288VJH","GSON559")</f>
        <v>#NAME?</v>
      </c>
      <c r="L3546" s="23" t="e">
        <f ca="1">[1]!BexGetData("DP_1","003N8EMH8GTFRIVNUPY2891V1","GSON559")</f>
        <v>#NAME?</v>
      </c>
      <c r="M3546" s="28" t="e">
        <f ca="1">[1]!BexGetData("DP_1","003N8EMH8GTFRIVOG7KG9IQXA","GSON559")</f>
        <v>#NAME?</v>
      </c>
      <c r="N3546" s="23" t="e">
        <f ca="1">[1]!BexGetData("DP_1","003N8EMH8GTFRIVOG7KG9IX8U","GSON559")</f>
        <v>#NAME?</v>
      </c>
      <c r="O3546" s="28" t="e">
        <f ca="1">[1]!BexGetData("DP_1","003N8EMH8GTFRIVOG7KG9J3KE","GSON559")</f>
        <v>#NAME?</v>
      </c>
      <c r="P3546" s="23" t="e">
        <f ca="1">[1]!BexGetData("DP_1","003N8EMH8GTFRIVOG7KG9J9VY","GSON559")</f>
        <v>#NAME?</v>
      </c>
      <c r="Q3546" s="24" t="e">
        <f ca="1">[1]!BexGetData("DP_1","00O2TNJGODT0G5Z4TTKYMM5MT","GSON559")</f>
        <v>#NAME?</v>
      </c>
      <c r="R3546" s="23" t="e">
        <f ca="1">[1]!BexGetData("DP_1","00O2TNJGODT0G5Z4TTKYMMBYD","GSON559")</f>
        <v>#NAME?</v>
      </c>
      <c r="S3546" s="23" t="e">
        <f ca="1">[1]!BexGetData("DP_1","00O2TNJGODT0G5Z4TTKYMMI9X","GSON559")</f>
        <v>#NAME?</v>
      </c>
      <c r="T3546" s="28" t="e">
        <f ca="1">[1]!BexGetData("DP_1","00O2TNJGODT0G5Z4TTKYMMOLH","GSON559")</f>
        <v>#NAME?</v>
      </c>
      <c r="U3546" s="23" t="e">
        <f ca="1">[1]!BexGetData("DP_1","00O2TNJGODT0G5Z4TTKYMMUX1","GSON559")</f>
        <v>#NAME?</v>
      </c>
      <c r="V3546" s="28" t="e">
        <f ca="1">[1]!BexGetData("DP_1","00O2TNJGODT0G5Z4TTKYMN18L","GSON559")</f>
        <v>#NAME?</v>
      </c>
      <c r="W3546" s="23" t="e">
        <f ca="1">[1]!BexGetData("DP_1","00O2TNJGODT0G5Z4TTKYMN7K5","GSON559")</f>
        <v>#NAME?</v>
      </c>
    </row>
    <row r="3547" spans="1:23" x14ac:dyDescent="0.2">
      <c r="A3547" s="35" t="s">
        <v>6497</v>
      </c>
      <c r="B3547" s="27" t="s">
        <v>7117</v>
      </c>
      <c r="C3547" s="24" t="e">
        <f ca="1">[1]!BexGetData("DP_1","003N8EMH8GTFRCSWKMPXRR8GU","GSON5596")</f>
        <v>#NAME?</v>
      </c>
      <c r="D3547" s="24" t="e">
        <f ca="1">[1]!BexGetData("DP_1","003N8EMH8GTFRCSWKMPXRRESE","GSON5596")</f>
        <v>#NAME?</v>
      </c>
      <c r="E3547" s="24" t="e">
        <f ca="1">[1]!BexGetData("DP_1","003N8EMH8GTFRCSWKMPXRRL3Y","GSON5596")</f>
        <v>#NAME?</v>
      </c>
      <c r="F3547" s="23" t="e">
        <f ca="1">[1]!BexGetData("DP_1","003N8EMH8GTFRCSWKMPXRRRFI","GSON5596")</f>
        <v>#NAME?</v>
      </c>
      <c r="G3547" s="23" t="e">
        <f ca="1">[1]!BexGetData("DP_1","003N8EMH8GTFRCSWKMPXRRXR2","GSON5596")</f>
        <v>#NAME?</v>
      </c>
      <c r="H3547" s="28" t="e">
        <f ca="1">[1]!BexGetData("DP_1","003N8EMH8GTFRCSWKMPXRS42M","GSON5596")</f>
        <v>#NAME?</v>
      </c>
      <c r="I3547" s="23" t="e">
        <f ca="1">[1]!BexGetData("DP_1","003N8EMH8GTFRCSWKMPXRSAE6","GSON5596")</f>
        <v>#NAME?</v>
      </c>
      <c r="J3547" s="24" t="e">
        <f ca="1">[1]!BexGetData("DP_1","003N8EMH8GTFRCSWKMPXRSGPQ","GSON5596")</f>
        <v>#NAME?</v>
      </c>
      <c r="K3547" s="23" t="e">
        <f ca="1">[1]!BexGetData("DP_1","003N8EMH8GTFRIVNUPY288VJH","GSON5596")</f>
        <v>#NAME?</v>
      </c>
      <c r="L3547" s="23" t="e">
        <f ca="1">[1]!BexGetData("DP_1","003N8EMH8GTFRIVNUPY2891V1","GSON5596")</f>
        <v>#NAME?</v>
      </c>
      <c r="M3547" s="23" t="e">
        <f ca="1">[1]!BexGetData("DP_1","003N8EMH8GTFRIVOG7KG9IQXA","GSON5596")</f>
        <v>#NAME?</v>
      </c>
      <c r="N3547" s="28" t="e">
        <f ca="1">[1]!BexGetData("DP_1","003N8EMH8GTFRIVOG7KG9IX8U","GSON5596")</f>
        <v>#NAME?</v>
      </c>
      <c r="O3547" s="23" t="e">
        <f ca="1">[1]!BexGetData("DP_1","003N8EMH8GTFRIVOG7KG9J3KE","GSON5596")</f>
        <v>#NAME?</v>
      </c>
      <c r="P3547" s="28" t="e">
        <f ca="1">[1]!BexGetData("DP_1","003N8EMH8GTFRIVOG7KG9J9VY","GSON5596")</f>
        <v>#NAME?</v>
      </c>
      <c r="Q3547" s="24" t="e">
        <f ca="1">[1]!BexGetData("DP_1","00O2TNJGODT0G5Z4TTKYMM5MT","GSON5596")</f>
        <v>#NAME?</v>
      </c>
      <c r="R3547" s="23" t="e">
        <f ca="1">[1]!BexGetData("DP_1","00O2TNJGODT0G5Z4TTKYMMBYD","GSON5596")</f>
        <v>#NAME?</v>
      </c>
      <c r="S3547" s="23" t="e">
        <f ca="1">[1]!BexGetData("DP_1","00O2TNJGODT0G5Z4TTKYMMI9X","GSON5596")</f>
        <v>#NAME?</v>
      </c>
      <c r="T3547" s="28" t="e">
        <f ca="1">[1]!BexGetData("DP_1","00O2TNJGODT0G5Z4TTKYMMOLH","GSON5596")</f>
        <v>#NAME?</v>
      </c>
      <c r="U3547" s="23" t="e">
        <f ca="1">[1]!BexGetData("DP_1","00O2TNJGODT0G5Z4TTKYMMUX1","GSON5596")</f>
        <v>#NAME?</v>
      </c>
      <c r="V3547" s="28" t="e">
        <f ca="1">[1]!BexGetData("DP_1","00O2TNJGODT0G5Z4TTKYMN18L","GSON5596")</f>
        <v>#NAME?</v>
      </c>
      <c r="W3547" s="23" t="e">
        <f ca="1">[1]!BexGetData("DP_1","00O2TNJGODT0G5Z4TTKYMN7K5","GSON5596")</f>
        <v>#NAME?</v>
      </c>
    </row>
    <row r="3548" spans="1:23" x14ac:dyDescent="0.2">
      <c r="A3548" s="36" t="s">
        <v>7118</v>
      </c>
      <c r="B3548" s="27" t="s">
        <v>7119</v>
      </c>
      <c r="C3548" s="24" t="e">
        <f ca="1">[1]!BexGetData("DP_1","003N8EMH8GTFRCSWKMPXRR8GU","GSON5596100001")</f>
        <v>#NAME?</v>
      </c>
      <c r="D3548" s="24" t="e">
        <f ca="1">[1]!BexGetData("DP_1","003N8EMH8GTFRCSWKMPXRRESE","GSON5596100001")</f>
        <v>#NAME?</v>
      </c>
      <c r="E3548" s="24" t="e">
        <f ca="1">[1]!BexGetData("DP_1","003N8EMH8GTFRCSWKMPXRRL3Y","GSON5596100001")</f>
        <v>#NAME?</v>
      </c>
      <c r="F3548" s="23" t="e">
        <f ca="1">[1]!BexGetData("DP_1","003N8EMH8GTFRCSWKMPXRRRFI","GSON5596100001")</f>
        <v>#NAME?</v>
      </c>
      <c r="G3548" s="23" t="e">
        <f ca="1">[1]!BexGetData("DP_1","003N8EMH8GTFRCSWKMPXRRXR2","GSON5596100001")</f>
        <v>#NAME?</v>
      </c>
      <c r="H3548" s="28" t="e">
        <f ca="1">[1]!BexGetData("DP_1","003N8EMH8GTFRCSWKMPXRS42M","GSON5596100001")</f>
        <v>#NAME?</v>
      </c>
      <c r="I3548" s="23" t="e">
        <f ca="1">[1]!BexGetData("DP_1","003N8EMH8GTFRCSWKMPXRSAE6","GSON5596100001")</f>
        <v>#NAME?</v>
      </c>
      <c r="J3548" s="24" t="e">
        <f ca="1">[1]!BexGetData("DP_1","003N8EMH8GTFRCSWKMPXRSGPQ","GSON5596100001")</f>
        <v>#NAME?</v>
      </c>
      <c r="K3548" s="23" t="e">
        <f ca="1">[1]!BexGetData("DP_1","003N8EMH8GTFRIVNUPY288VJH","GSON5596100001")</f>
        <v>#NAME?</v>
      </c>
      <c r="L3548" s="23" t="e">
        <f ca="1">[1]!BexGetData("DP_1","003N8EMH8GTFRIVNUPY2891V1","GSON5596100001")</f>
        <v>#NAME?</v>
      </c>
      <c r="M3548" s="23" t="e">
        <f ca="1">[1]!BexGetData("DP_1","003N8EMH8GTFRIVOG7KG9IQXA","GSON5596100001")</f>
        <v>#NAME?</v>
      </c>
      <c r="N3548" s="28" t="e">
        <f ca="1">[1]!BexGetData("DP_1","003N8EMH8GTFRIVOG7KG9IX8U","GSON5596100001")</f>
        <v>#NAME?</v>
      </c>
      <c r="O3548" s="23" t="e">
        <f ca="1">[1]!BexGetData("DP_1","003N8EMH8GTFRIVOG7KG9J3KE","GSON5596100001")</f>
        <v>#NAME?</v>
      </c>
      <c r="P3548" s="28" t="e">
        <f ca="1">[1]!BexGetData("DP_1","003N8EMH8GTFRIVOG7KG9J9VY","GSON5596100001")</f>
        <v>#NAME?</v>
      </c>
      <c r="Q3548" s="24" t="e">
        <f ca="1">[1]!BexGetData("DP_1","00O2TNJGODT0G5Z4TTKYMM5MT","GSON5596100001")</f>
        <v>#NAME?</v>
      </c>
      <c r="R3548" s="23" t="e">
        <f ca="1">[1]!BexGetData("DP_1","00O2TNJGODT0G5Z4TTKYMMBYD","GSON5596100001")</f>
        <v>#NAME?</v>
      </c>
      <c r="S3548" s="23" t="e">
        <f ca="1">[1]!BexGetData("DP_1","00O2TNJGODT0G5Z4TTKYMMI9X","GSON5596100001")</f>
        <v>#NAME?</v>
      </c>
      <c r="T3548" s="28" t="e">
        <f ca="1">[1]!BexGetData("DP_1","00O2TNJGODT0G5Z4TTKYMMOLH","GSON5596100001")</f>
        <v>#NAME?</v>
      </c>
      <c r="U3548" s="23" t="e">
        <f ca="1">[1]!BexGetData("DP_1","00O2TNJGODT0G5Z4TTKYMMUX1","GSON5596100001")</f>
        <v>#NAME?</v>
      </c>
      <c r="V3548" s="28" t="e">
        <f ca="1">[1]!BexGetData("DP_1","00O2TNJGODT0G5Z4TTKYMN18L","GSON5596100001")</f>
        <v>#NAME?</v>
      </c>
      <c r="W3548" s="23" t="e">
        <f ca="1">[1]!BexGetData("DP_1","00O2TNJGODT0G5Z4TTKYMN7K5","GSON5596100001")</f>
        <v>#NAME?</v>
      </c>
    </row>
    <row r="3549" spans="1:23" x14ac:dyDescent="0.2">
      <c r="A3549" s="35" t="s">
        <v>7120</v>
      </c>
      <c r="B3549" s="27" t="s">
        <v>7121</v>
      </c>
      <c r="C3549" s="23" t="e">
        <f ca="1">[1]!BexGetData("DP_1","003N8EMH8GTFRCSWKMPXRR8GU","GSON5597")</f>
        <v>#NAME?</v>
      </c>
      <c r="D3549" s="23" t="e">
        <f ca="1">[1]!BexGetData("DP_1","003N8EMH8GTFRCSWKMPXRRESE","GSON5597")</f>
        <v>#NAME?</v>
      </c>
      <c r="E3549" s="23" t="e">
        <f ca="1">[1]!BexGetData("DP_1","003N8EMH8GTFRCSWKMPXRRL3Y","GSON5597")</f>
        <v>#NAME?</v>
      </c>
      <c r="F3549" s="24" t="e">
        <f ca="1">[1]!BexGetData("DP_1","003N8EMH8GTFRCSWKMPXRRRFI","GSON5597")</f>
        <v>#NAME?</v>
      </c>
      <c r="G3549" s="24" t="e">
        <f ca="1">[1]!BexGetData("DP_1","003N8EMH8GTFRCSWKMPXRRXR2","GSON5597")</f>
        <v>#NAME?</v>
      </c>
      <c r="H3549" s="24" t="e">
        <f ca="1">[1]!BexGetData("DP_1","003N8EMH8GTFRCSWKMPXRS42M","GSON5597")</f>
        <v>#NAME?</v>
      </c>
      <c r="I3549" s="24" t="e">
        <f ca="1">[1]!BexGetData("DP_1","003N8EMH8GTFRCSWKMPXRSAE6","GSON5597")</f>
        <v>#NAME?</v>
      </c>
      <c r="J3549" s="24" t="e">
        <f ca="1">[1]!BexGetData("DP_1","003N8EMH8GTFRCSWKMPXRSGPQ","GSON5597")</f>
        <v>#NAME?</v>
      </c>
      <c r="K3549" s="23" t="e">
        <f ca="1">[1]!BexGetData("DP_1","003N8EMH8GTFRIVNUPY288VJH","GSON5597")</f>
        <v>#NAME?</v>
      </c>
      <c r="L3549" s="23" t="e">
        <f ca="1">[1]!BexGetData("DP_1","003N8EMH8GTFRIVNUPY2891V1","GSON5597")</f>
        <v>#NAME?</v>
      </c>
      <c r="M3549" s="28" t="e">
        <f ca="1">[1]!BexGetData("DP_1","003N8EMH8GTFRIVOG7KG9IQXA","GSON5597")</f>
        <v>#NAME?</v>
      </c>
      <c r="N3549" s="23" t="e">
        <f ca="1">[1]!BexGetData("DP_1","003N8EMH8GTFRIVOG7KG9IX8U","GSON5597")</f>
        <v>#NAME?</v>
      </c>
      <c r="O3549" s="28" t="e">
        <f ca="1">[1]!BexGetData("DP_1","003N8EMH8GTFRIVOG7KG9J3KE","GSON5597")</f>
        <v>#NAME?</v>
      </c>
      <c r="P3549" s="23" t="e">
        <f ca="1">[1]!BexGetData("DP_1","003N8EMH8GTFRIVOG7KG9J9VY","GSON5597")</f>
        <v>#NAME?</v>
      </c>
      <c r="Q3549" s="24" t="e">
        <f ca="1">[1]!BexGetData("DP_1","00O2TNJGODT0G5Z4TTKYMM5MT","GSON5597")</f>
        <v>#NAME?</v>
      </c>
      <c r="R3549" s="24" t="e">
        <f ca="1">[1]!BexGetData("DP_1","00O2TNJGODT0G5Z4TTKYMMBYD","GSON5597")</f>
        <v>#NAME?</v>
      </c>
      <c r="S3549" s="24" t="e">
        <f ca="1">[1]!BexGetData("DP_1","00O2TNJGODT0G5Z4TTKYMMI9X","GSON5597")</f>
        <v>#NAME?</v>
      </c>
      <c r="T3549" s="24" t="e">
        <f ca="1">[1]!BexGetData("DP_1","00O2TNJGODT0G5Z4TTKYMMOLH","GSON5597")</f>
        <v>#NAME?</v>
      </c>
      <c r="U3549" s="24" t="e">
        <f ca="1">[1]!BexGetData("DP_1","00O2TNJGODT0G5Z4TTKYMMUX1","GSON5597")</f>
        <v>#NAME?</v>
      </c>
      <c r="V3549" s="24" t="e">
        <f ca="1">[1]!BexGetData("DP_1","00O2TNJGODT0G5Z4TTKYMN18L","GSON5597")</f>
        <v>#NAME?</v>
      </c>
      <c r="W3549" s="24" t="e">
        <f ca="1">[1]!BexGetData("DP_1","00O2TNJGODT0G5Z4TTKYMN7K5","GSON5597")</f>
        <v>#NAME?</v>
      </c>
    </row>
    <row r="3550" spans="1:23" x14ac:dyDescent="0.2">
      <c r="A3550" s="36" t="s">
        <v>7122</v>
      </c>
      <c r="B3550" s="27" t="s">
        <v>7123</v>
      </c>
      <c r="C3550" s="23" t="e">
        <f ca="1">[1]!BexGetData("DP_1","003N8EMH8GTFRCSWKMPXRR8GU","GSON5597100001")</f>
        <v>#NAME?</v>
      </c>
      <c r="D3550" s="23" t="e">
        <f ca="1">[1]!BexGetData("DP_1","003N8EMH8GTFRCSWKMPXRRESE","GSON5597100001")</f>
        <v>#NAME?</v>
      </c>
      <c r="E3550" s="23" t="e">
        <f ca="1">[1]!BexGetData("DP_1","003N8EMH8GTFRCSWKMPXRRL3Y","GSON5597100001")</f>
        <v>#NAME?</v>
      </c>
      <c r="F3550" s="24" t="e">
        <f ca="1">[1]!BexGetData("DP_1","003N8EMH8GTFRCSWKMPXRRRFI","GSON5597100001")</f>
        <v>#NAME?</v>
      </c>
      <c r="G3550" s="24" t="e">
        <f ca="1">[1]!BexGetData("DP_1","003N8EMH8GTFRCSWKMPXRRXR2","GSON5597100001")</f>
        <v>#NAME?</v>
      </c>
      <c r="H3550" s="24" t="e">
        <f ca="1">[1]!BexGetData("DP_1","003N8EMH8GTFRCSWKMPXRS42M","GSON5597100001")</f>
        <v>#NAME?</v>
      </c>
      <c r="I3550" s="24" t="e">
        <f ca="1">[1]!BexGetData("DP_1","003N8EMH8GTFRCSWKMPXRSAE6","GSON5597100001")</f>
        <v>#NAME?</v>
      </c>
      <c r="J3550" s="24" t="e">
        <f ca="1">[1]!BexGetData("DP_1","003N8EMH8GTFRCSWKMPXRSGPQ","GSON5597100001")</f>
        <v>#NAME?</v>
      </c>
      <c r="K3550" s="23" t="e">
        <f ca="1">[1]!BexGetData("DP_1","003N8EMH8GTFRIVNUPY288VJH","GSON5597100001")</f>
        <v>#NAME?</v>
      </c>
      <c r="L3550" s="23" t="e">
        <f ca="1">[1]!BexGetData("DP_1","003N8EMH8GTFRIVNUPY2891V1","GSON5597100001")</f>
        <v>#NAME?</v>
      </c>
      <c r="M3550" s="28" t="e">
        <f ca="1">[1]!BexGetData("DP_1","003N8EMH8GTFRIVOG7KG9IQXA","GSON5597100001")</f>
        <v>#NAME?</v>
      </c>
      <c r="N3550" s="23" t="e">
        <f ca="1">[1]!BexGetData("DP_1","003N8EMH8GTFRIVOG7KG9IX8U","GSON5597100001")</f>
        <v>#NAME?</v>
      </c>
      <c r="O3550" s="28" t="e">
        <f ca="1">[1]!BexGetData("DP_1","003N8EMH8GTFRIVOG7KG9J3KE","GSON5597100001")</f>
        <v>#NAME?</v>
      </c>
      <c r="P3550" s="23" t="e">
        <f ca="1">[1]!BexGetData("DP_1","003N8EMH8GTFRIVOG7KG9J9VY","GSON5597100001")</f>
        <v>#NAME?</v>
      </c>
      <c r="Q3550" s="24" t="e">
        <f ca="1">[1]!BexGetData("DP_1","00O2TNJGODT0G5Z4TTKYMM5MT","GSON5597100001")</f>
        <v>#NAME?</v>
      </c>
      <c r="R3550" s="24" t="e">
        <f ca="1">[1]!BexGetData("DP_1","00O2TNJGODT0G5Z4TTKYMMBYD","GSON5597100001")</f>
        <v>#NAME?</v>
      </c>
      <c r="S3550" s="24" t="e">
        <f ca="1">[1]!BexGetData("DP_1","00O2TNJGODT0G5Z4TTKYMMI9X","GSON5597100001")</f>
        <v>#NAME?</v>
      </c>
      <c r="T3550" s="24" t="e">
        <f ca="1">[1]!BexGetData("DP_1","00O2TNJGODT0G5Z4TTKYMMOLH","GSON5597100001")</f>
        <v>#NAME?</v>
      </c>
      <c r="U3550" s="24" t="e">
        <f ca="1">[1]!BexGetData("DP_1","00O2TNJGODT0G5Z4TTKYMMUX1","GSON5597100001")</f>
        <v>#NAME?</v>
      </c>
      <c r="V3550" s="24" t="e">
        <f ca="1">[1]!BexGetData("DP_1","00O2TNJGODT0G5Z4TTKYMN18L","GSON5597100001")</f>
        <v>#NAME?</v>
      </c>
      <c r="W3550" s="24" t="e">
        <f ca="1">[1]!BexGetData("DP_1","00O2TNJGODT0G5Z4TTKYMN7K5","GSON5597100001")</f>
        <v>#NAME?</v>
      </c>
    </row>
    <row r="3551" spans="1:23" x14ac:dyDescent="0.2">
      <c r="A3551" s="35" t="s">
        <v>117</v>
      </c>
      <c r="B3551" s="27" t="s">
        <v>118</v>
      </c>
      <c r="C3551" s="23" t="e">
        <f ca="1">[1]!BexGetData("DP_1","003N8EMH8GTFRCSWKMPXRR8GU","GSON5599")</f>
        <v>#NAME?</v>
      </c>
      <c r="D3551" s="23" t="e">
        <f ca="1">[1]!BexGetData("DP_1","003N8EMH8GTFRCSWKMPXRRESE","GSON5599")</f>
        <v>#NAME?</v>
      </c>
      <c r="E3551" s="23" t="e">
        <f ca="1">[1]!BexGetData("DP_1","003N8EMH8GTFRCSWKMPXRRL3Y","GSON5599")</f>
        <v>#NAME?</v>
      </c>
      <c r="F3551" s="23" t="e">
        <f ca="1">[1]!BexGetData("DP_1","003N8EMH8GTFRCSWKMPXRRRFI","GSON5599")</f>
        <v>#NAME?</v>
      </c>
      <c r="G3551" s="23" t="e">
        <f ca="1">[1]!BexGetData("DP_1","003N8EMH8GTFRCSWKMPXRRXR2","GSON5599")</f>
        <v>#NAME?</v>
      </c>
      <c r="H3551" s="28" t="e">
        <f ca="1">[1]!BexGetData("DP_1","003N8EMH8GTFRCSWKMPXRS42M","GSON5599")</f>
        <v>#NAME?</v>
      </c>
      <c r="I3551" s="23" t="e">
        <f ca="1">[1]!BexGetData("DP_1","003N8EMH8GTFRCSWKMPXRSAE6","GSON5599")</f>
        <v>#NAME?</v>
      </c>
      <c r="J3551" s="24" t="e">
        <f ca="1">[1]!BexGetData("DP_1","003N8EMH8GTFRCSWKMPXRSGPQ","GSON5599")</f>
        <v>#NAME?</v>
      </c>
      <c r="K3551" s="23" t="e">
        <f ca="1">[1]!BexGetData("DP_1","003N8EMH8GTFRIVNUPY288VJH","GSON5599")</f>
        <v>#NAME?</v>
      </c>
      <c r="L3551" s="23" t="e">
        <f ca="1">[1]!BexGetData("DP_1","003N8EMH8GTFRIVNUPY2891V1","GSON5599")</f>
        <v>#NAME?</v>
      </c>
      <c r="M3551" s="23" t="e">
        <f ca="1">[1]!BexGetData("DP_1","003N8EMH8GTFRIVOG7KG9IQXA","GSON5599")</f>
        <v>#NAME?</v>
      </c>
      <c r="N3551" s="28" t="e">
        <f ca="1">[1]!BexGetData("DP_1","003N8EMH8GTFRIVOG7KG9IX8U","GSON5599")</f>
        <v>#NAME?</v>
      </c>
      <c r="O3551" s="23" t="e">
        <f ca="1">[1]!BexGetData("DP_1","003N8EMH8GTFRIVOG7KG9J3KE","GSON5599")</f>
        <v>#NAME?</v>
      </c>
      <c r="P3551" s="28" t="e">
        <f ca="1">[1]!BexGetData("DP_1","003N8EMH8GTFRIVOG7KG9J9VY","GSON5599")</f>
        <v>#NAME?</v>
      </c>
      <c r="Q3551" s="24" t="e">
        <f ca="1">[1]!BexGetData("DP_1","00O2TNJGODT0G5Z4TTKYMM5MT","GSON5599")</f>
        <v>#NAME?</v>
      </c>
      <c r="R3551" s="23" t="e">
        <f ca="1">[1]!BexGetData("DP_1","00O2TNJGODT0G5Z4TTKYMMBYD","GSON5599")</f>
        <v>#NAME?</v>
      </c>
      <c r="S3551" s="23" t="e">
        <f ca="1">[1]!BexGetData("DP_1","00O2TNJGODT0G5Z4TTKYMMI9X","GSON5599")</f>
        <v>#NAME?</v>
      </c>
      <c r="T3551" s="28" t="e">
        <f ca="1">[1]!BexGetData("DP_1","00O2TNJGODT0G5Z4TTKYMMOLH","GSON5599")</f>
        <v>#NAME?</v>
      </c>
      <c r="U3551" s="23" t="e">
        <f ca="1">[1]!BexGetData("DP_1","00O2TNJGODT0G5Z4TTKYMMUX1","GSON5599")</f>
        <v>#NAME?</v>
      </c>
      <c r="V3551" s="28" t="e">
        <f ca="1">[1]!BexGetData("DP_1","00O2TNJGODT0G5Z4TTKYMN18L","GSON5599")</f>
        <v>#NAME?</v>
      </c>
      <c r="W3551" s="23" t="e">
        <f ca="1">[1]!BexGetData("DP_1","00O2TNJGODT0G5Z4TTKYMN7K5","GSON5599")</f>
        <v>#NAME?</v>
      </c>
    </row>
    <row r="3552" spans="1:23" x14ac:dyDescent="0.2">
      <c r="A3552" s="36" t="s">
        <v>7124</v>
      </c>
      <c r="B3552" s="27" t="s">
        <v>1636</v>
      </c>
      <c r="C3552" s="28" t="e">
        <f ca="1">[1]!BexGetData("DP_1","003N8EMH8GTFRCSWKMPXRR8GU","GSON5599109991")</f>
        <v>#NAME?</v>
      </c>
      <c r="D3552" s="23" t="e">
        <f ca="1">[1]!BexGetData("DP_1","003N8EMH8GTFRCSWKMPXRRESE","GSON5599109991")</f>
        <v>#NAME?</v>
      </c>
      <c r="E3552" s="23" t="e">
        <f ca="1">[1]!BexGetData("DP_1","003N8EMH8GTFRCSWKMPXRRL3Y","GSON5599109991")</f>
        <v>#NAME?</v>
      </c>
      <c r="F3552" s="24" t="e">
        <f ca="1">[1]!BexGetData("DP_1","003N8EMH8GTFRCSWKMPXRRRFI","GSON5599109991")</f>
        <v>#NAME?</v>
      </c>
      <c r="G3552" s="24" t="e">
        <f ca="1">[1]!BexGetData("DP_1","003N8EMH8GTFRCSWKMPXRRXR2","GSON5599109991")</f>
        <v>#NAME?</v>
      </c>
      <c r="H3552" s="24" t="e">
        <f ca="1">[1]!BexGetData("DP_1","003N8EMH8GTFRCSWKMPXRS42M","GSON5599109991")</f>
        <v>#NAME?</v>
      </c>
      <c r="I3552" s="24" t="e">
        <f ca="1">[1]!BexGetData("DP_1","003N8EMH8GTFRCSWKMPXRSAE6","GSON5599109991")</f>
        <v>#NAME?</v>
      </c>
      <c r="J3552" s="24" t="e">
        <f ca="1">[1]!BexGetData("DP_1","003N8EMH8GTFRCSWKMPXRSGPQ","GSON5599109991")</f>
        <v>#NAME?</v>
      </c>
      <c r="K3552" s="23" t="e">
        <f ca="1">[1]!BexGetData("DP_1","003N8EMH8GTFRIVNUPY288VJH","GSON5599109991")</f>
        <v>#NAME?</v>
      </c>
      <c r="L3552" s="23" t="e">
        <f ca="1">[1]!BexGetData("DP_1","003N8EMH8GTFRIVNUPY2891V1","GSON5599109991")</f>
        <v>#NAME?</v>
      </c>
      <c r="M3552" s="23" t="e">
        <f ca="1">[1]!BexGetData("DP_1","003N8EMH8GTFRIVOG7KG9IQXA","GSON5599109991")</f>
        <v>#NAME?</v>
      </c>
      <c r="N3552" s="28" t="e">
        <f ca="1">[1]!BexGetData("DP_1","003N8EMH8GTFRIVOG7KG9IX8U","GSON5599109991")</f>
        <v>#NAME?</v>
      </c>
      <c r="O3552" s="23" t="e">
        <f ca="1">[1]!BexGetData("DP_1","003N8EMH8GTFRIVOG7KG9J3KE","GSON5599109991")</f>
        <v>#NAME?</v>
      </c>
      <c r="P3552" s="28" t="e">
        <f ca="1">[1]!BexGetData("DP_1","003N8EMH8GTFRIVOG7KG9J9VY","GSON5599109991")</f>
        <v>#NAME?</v>
      </c>
      <c r="Q3552" s="24" t="e">
        <f ca="1">[1]!BexGetData("DP_1","00O2TNJGODT0G5Z4TTKYMM5MT","GSON5599109991")</f>
        <v>#NAME?</v>
      </c>
      <c r="R3552" s="24" t="e">
        <f ca="1">[1]!BexGetData("DP_1","00O2TNJGODT0G5Z4TTKYMMBYD","GSON5599109991")</f>
        <v>#NAME?</v>
      </c>
      <c r="S3552" s="24" t="e">
        <f ca="1">[1]!BexGetData("DP_1","00O2TNJGODT0G5Z4TTKYMMI9X","GSON5599109991")</f>
        <v>#NAME?</v>
      </c>
      <c r="T3552" s="24" t="e">
        <f ca="1">[1]!BexGetData("DP_1","00O2TNJGODT0G5Z4TTKYMMOLH","GSON5599109991")</f>
        <v>#NAME?</v>
      </c>
      <c r="U3552" s="24" t="e">
        <f ca="1">[1]!BexGetData("DP_1","00O2TNJGODT0G5Z4TTKYMMUX1","GSON5599109991")</f>
        <v>#NAME?</v>
      </c>
      <c r="V3552" s="24" t="e">
        <f ca="1">[1]!BexGetData("DP_1","00O2TNJGODT0G5Z4TTKYMN18L","GSON5599109991")</f>
        <v>#NAME?</v>
      </c>
      <c r="W3552" s="24" t="e">
        <f ca="1">[1]!BexGetData("DP_1","00O2TNJGODT0G5Z4TTKYMN7K5","GSON5599109991")</f>
        <v>#NAME?</v>
      </c>
    </row>
    <row r="3553" spans="1:23" x14ac:dyDescent="0.2">
      <c r="A3553" s="36" t="s">
        <v>7124</v>
      </c>
      <c r="B3553" s="27" t="s">
        <v>404</v>
      </c>
      <c r="C3553" s="23" t="e">
        <f ca="1">[1]!BexGetData("DP_1","003N8EMH8GTFRCSWKMPXRR8GU","GSON5599109992")</f>
        <v>#NAME?</v>
      </c>
      <c r="D3553" s="28" t="e">
        <f ca="1">[1]!BexGetData("DP_1","003N8EMH8GTFRCSWKMPXRRESE","GSON5599109992")</f>
        <v>#NAME?</v>
      </c>
      <c r="E3553" s="23" t="e">
        <f ca="1">[1]!BexGetData("DP_1","003N8EMH8GTFRCSWKMPXRRL3Y","GSON5599109992")</f>
        <v>#NAME?</v>
      </c>
      <c r="F3553" s="23" t="e">
        <f ca="1">[1]!BexGetData("DP_1","003N8EMH8GTFRCSWKMPXRRRFI","GSON5599109992")</f>
        <v>#NAME?</v>
      </c>
      <c r="G3553" s="23" t="e">
        <f ca="1">[1]!BexGetData("DP_1","003N8EMH8GTFRCSWKMPXRRXR2","GSON5599109992")</f>
        <v>#NAME?</v>
      </c>
      <c r="H3553" s="28" t="e">
        <f ca="1">[1]!BexGetData("DP_1","003N8EMH8GTFRCSWKMPXRS42M","GSON5599109992")</f>
        <v>#NAME?</v>
      </c>
      <c r="I3553" s="23" t="e">
        <f ca="1">[1]!BexGetData("DP_1","003N8EMH8GTFRCSWKMPXRSAE6","GSON5599109992")</f>
        <v>#NAME?</v>
      </c>
      <c r="J3553" s="24" t="e">
        <f ca="1">[1]!BexGetData("DP_1","003N8EMH8GTFRCSWKMPXRSGPQ","GSON5599109992")</f>
        <v>#NAME?</v>
      </c>
      <c r="K3553" s="23" t="e">
        <f ca="1">[1]!BexGetData("DP_1","003N8EMH8GTFRIVNUPY288VJH","GSON5599109992")</f>
        <v>#NAME?</v>
      </c>
      <c r="L3553" s="23" t="e">
        <f ca="1">[1]!BexGetData("DP_1","003N8EMH8GTFRIVNUPY2891V1","GSON5599109992")</f>
        <v>#NAME?</v>
      </c>
      <c r="M3553" s="23" t="e">
        <f ca="1">[1]!BexGetData("DP_1","003N8EMH8GTFRIVOG7KG9IQXA","GSON5599109992")</f>
        <v>#NAME?</v>
      </c>
      <c r="N3553" s="28" t="e">
        <f ca="1">[1]!BexGetData("DP_1","003N8EMH8GTFRIVOG7KG9IX8U","GSON5599109992")</f>
        <v>#NAME?</v>
      </c>
      <c r="O3553" s="23" t="e">
        <f ca="1">[1]!BexGetData("DP_1","003N8EMH8GTFRIVOG7KG9J3KE","GSON5599109992")</f>
        <v>#NAME?</v>
      </c>
      <c r="P3553" s="28" t="e">
        <f ca="1">[1]!BexGetData("DP_1","003N8EMH8GTFRIVOG7KG9J9VY","GSON5599109992")</f>
        <v>#NAME?</v>
      </c>
      <c r="Q3553" s="24" t="e">
        <f ca="1">[1]!BexGetData("DP_1","00O2TNJGODT0G5Z4TTKYMM5MT","GSON5599109992")</f>
        <v>#NAME?</v>
      </c>
      <c r="R3553" s="23" t="e">
        <f ca="1">[1]!BexGetData("DP_1","00O2TNJGODT0G5Z4TTKYMMBYD","GSON5599109992")</f>
        <v>#NAME?</v>
      </c>
      <c r="S3553" s="23" t="e">
        <f ca="1">[1]!BexGetData("DP_1","00O2TNJGODT0G5Z4TTKYMMI9X","GSON5599109992")</f>
        <v>#NAME?</v>
      </c>
      <c r="T3553" s="28" t="e">
        <f ca="1">[1]!BexGetData("DP_1","00O2TNJGODT0G5Z4TTKYMMOLH","GSON5599109992")</f>
        <v>#NAME?</v>
      </c>
      <c r="U3553" s="23" t="e">
        <f ca="1">[1]!BexGetData("DP_1","00O2TNJGODT0G5Z4TTKYMMUX1","GSON5599109992")</f>
        <v>#NAME?</v>
      </c>
      <c r="V3553" s="28" t="e">
        <f ca="1">[1]!BexGetData("DP_1","00O2TNJGODT0G5Z4TTKYMN18L","GSON5599109992")</f>
        <v>#NAME?</v>
      </c>
      <c r="W3553" s="23" t="e">
        <f ca="1">[1]!BexGetData("DP_1","00O2TNJGODT0G5Z4TTKYMN7K5","GSON5599109992")</f>
        <v>#NAME?</v>
      </c>
    </row>
    <row r="3554" spans="1:23" x14ac:dyDescent="0.2">
      <c r="A3554" s="36" t="s">
        <v>7125</v>
      </c>
      <c r="B3554" s="27" t="s">
        <v>1637</v>
      </c>
      <c r="C3554" s="23" t="e">
        <f ca="1">[1]!BexGetData("DP_1","003N8EMH8GTFRCSWKMPXRR8GU","GSON5599109993")</f>
        <v>#NAME?</v>
      </c>
      <c r="D3554" s="28" t="e">
        <f ca="1">[1]!BexGetData("DP_1","003N8EMH8GTFRCSWKMPXRRESE","GSON5599109993")</f>
        <v>#NAME?</v>
      </c>
      <c r="E3554" s="23" t="e">
        <f ca="1">[1]!BexGetData("DP_1","003N8EMH8GTFRCSWKMPXRRL3Y","GSON5599109993")</f>
        <v>#NAME?</v>
      </c>
      <c r="F3554" s="24" t="e">
        <f ca="1">[1]!BexGetData("DP_1","003N8EMH8GTFRCSWKMPXRRRFI","GSON5599109993")</f>
        <v>#NAME?</v>
      </c>
      <c r="G3554" s="24" t="e">
        <f ca="1">[1]!BexGetData("DP_1","003N8EMH8GTFRCSWKMPXRRXR2","GSON5599109993")</f>
        <v>#NAME?</v>
      </c>
      <c r="H3554" s="24" t="e">
        <f ca="1">[1]!BexGetData("DP_1","003N8EMH8GTFRCSWKMPXRS42M","GSON5599109993")</f>
        <v>#NAME?</v>
      </c>
      <c r="I3554" s="24" t="e">
        <f ca="1">[1]!BexGetData("DP_1","003N8EMH8GTFRCSWKMPXRSAE6","GSON5599109993")</f>
        <v>#NAME?</v>
      </c>
      <c r="J3554" s="24" t="e">
        <f ca="1">[1]!BexGetData("DP_1","003N8EMH8GTFRCSWKMPXRSGPQ","GSON5599109993")</f>
        <v>#NAME?</v>
      </c>
      <c r="K3554" s="23" t="e">
        <f ca="1">[1]!BexGetData("DP_1","003N8EMH8GTFRIVNUPY288VJH","GSON5599109993")</f>
        <v>#NAME?</v>
      </c>
      <c r="L3554" s="23" t="e">
        <f ca="1">[1]!BexGetData("DP_1","003N8EMH8GTFRIVNUPY2891V1","GSON5599109993")</f>
        <v>#NAME?</v>
      </c>
      <c r="M3554" s="28" t="e">
        <f ca="1">[1]!BexGetData("DP_1","003N8EMH8GTFRIVOG7KG9IQXA","GSON5599109993")</f>
        <v>#NAME?</v>
      </c>
      <c r="N3554" s="23" t="e">
        <f ca="1">[1]!BexGetData("DP_1","003N8EMH8GTFRIVOG7KG9IX8U","GSON5599109993")</f>
        <v>#NAME?</v>
      </c>
      <c r="O3554" s="28" t="e">
        <f ca="1">[1]!BexGetData("DP_1","003N8EMH8GTFRIVOG7KG9J3KE","GSON5599109993")</f>
        <v>#NAME?</v>
      </c>
      <c r="P3554" s="23" t="e">
        <f ca="1">[1]!BexGetData("DP_1","003N8EMH8GTFRIVOG7KG9J9VY","GSON5599109993")</f>
        <v>#NAME?</v>
      </c>
      <c r="Q3554" s="24" t="e">
        <f ca="1">[1]!BexGetData("DP_1","00O2TNJGODT0G5Z4TTKYMM5MT","GSON5599109993")</f>
        <v>#NAME?</v>
      </c>
      <c r="R3554" s="24" t="e">
        <f ca="1">[1]!BexGetData("DP_1","00O2TNJGODT0G5Z4TTKYMMBYD","GSON5599109993")</f>
        <v>#NAME?</v>
      </c>
      <c r="S3554" s="24" t="e">
        <f ca="1">[1]!BexGetData("DP_1","00O2TNJGODT0G5Z4TTKYMMI9X","GSON5599109993")</f>
        <v>#NAME?</v>
      </c>
      <c r="T3554" s="24" t="e">
        <f ca="1">[1]!BexGetData("DP_1","00O2TNJGODT0G5Z4TTKYMMOLH","GSON5599109993")</f>
        <v>#NAME?</v>
      </c>
      <c r="U3554" s="24" t="e">
        <f ca="1">[1]!BexGetData("DP_1","00O2TNJGODT0G5Z4TTKYMMUX1","GSON5599109993")</f>
        <v>#NAME?</v>
      </c>
      <c r="V3554" s="24" t="e">
        <f ca="1">[1]!BexGetData("DP_1","00O2TNJGODT0G5Z4TTKYMN18L","GSON5599109993")</f>
        <v>#NAME?</v>
      </c>
      <c r="W3554" s="24" t="e">
        <f ca="1">[1]!BexGetData("DP_1","00O2TNJGODT0G5Z4TTKYMN7K5","GSON5599109993")</f>
        <v>#NAME?</v>
      </c>
    </row>
    <row r="3555" spans="1:23" x14ac:dyDescent="0.2">
      <c r="A3555" s="33" t="s">
        <v>405</v>
      </c>
      <c r="B3555" s="27" t="s">
        <v>1638</v>
      </c>
      <c r="C3555" s="24" t="e">
        <f ca="1">[1]!BexGetData("DP_1","003N8EMH8GTFRCSWKMPXRR8GU","GSON56")</f>
        <v>#NAME?</v>
      </c>
      <c r="D3555" s="24" t="e">
        <f ca="1">[1]!BexGetData("DP_1","003N8EMH8GTFRCSWKMPXRRESE","GSON56")</f>
        <v>#NAME?</v>
      </c>
      <c r="E3555" s="24" t="e">
        <f ca="1">[1]!BexGetData("DP_1","003N8EMH8GTFRCSWKMPXRRL3Y","GSON56")</f>
        <v>#NAME?</v>
      </c>
      <c r="F3555" s="23" t="e">
        <f ca="1">[1]!BexGetData("DP_1","003N8EMH8GTFRCSWKMPXRRRFI","GSON56")</f>
        <v>#NAME?</v>
      </c>
      <c r="G3555" s="23" t="e">
        <f ca="1">[1]!BexGetData("DP_1","003N8EMH8GTFRCSWKMPXRRXR2","GSON56")</f>
        <v>#NAME?</v>
      </c>
      <c r="H3555" s="28" t="e">
        <f ca="1">[1]!BexGetData("DP_1","003N8EMH8GTFRCSWKMPXRS42M","GSON56")</f>
        <v>#NAME?</v>
      </c>
      <c r="I3555" s="23" t="e">
        <f ca="1">[1]!BexGetData("DP_1","003N8EMH8GTFRCSWKMPXRSAE6","GSON56")</f>
        <v>#NAME?</v>
      </c>
      <c r="J3555" s="24" t="e">
        <f ca="1">[1]!BexGetData("DP_1","003N8EMH8GTFRCSWKMPXRSGPQ","GSON56")</f>
        <v>#NAME?</v>
      </c>
      <c r="K3555" s="23" t="e">
        <f ca="1">[1]!BexGetData("DP_1","003N8EMH8GTFRIVNUPY288VJH","GSON56")</f>
        <v>#NAME?</v>
      </c>
      <c r="L3555" s="23" t="e">
        <f ca="1">[1]!BexGetData("DP_1","003N8EMH8GTFRIVNUPY2891V1","GSON56")</f>
        <v>#NAME?</v>
      </c>
      <c r="M3555" s="23" t="e">
        <f ca="1">[1]!BexGetData("DP_1","003N8EMH8GTFRIVOG7KG9IQXA","GSON56")</f>
        <v>#NAME?</v>
      </c>
      <c r="N3555" s="28" t="e">
        <f ca="1">[1]!BexGetData("DP_1","003N8EMH8GTFRIVOG7KG9IX8U","GSON56")</f>
        <v>#NAME?</v>
      </c>
      <c r="O3555" s="23" t="e">
        <f ca="1">[1]!BexGetData("DP_1","003N8EMH8GTFRIVOG7KG9J3KE","GSON56")</f>
        <v>#NAME?</v>
      </c>
      <c r="P3555" s="28" t="e">
        <f ca="1">[1]!BexGetData("DP_1","003N8EMH8GTFRIVOG7KG9J9VY","GSON56")</f>
        <v>#NAME?</v>
      </c>
      <c r="Q3555" s="24" t="e">
        <f ca="1">[1]!BexGetData("DP_1","00O2TNJGODT0G5Z4TTKYMM5MT","GSON56")</f>
        <v>#NAME?</v>
      </c>
      <c r="R3555" s="23" t="e">
        <f ca="1">[1]!BexGetData("DP_1","00O2TNJGODT0G5Z4TTKYMMBYD","GSON56")</f>
        <v>#NAME?</v>
      </c>
      <c r="S3555" s="23" t="e">
        <f ca="1">[1]!BexGetData("DP_1","00O2TNJGODT0G5Z4TTKYMMI9X","GSON56")</f>
        <v>#NAME?</v>
      </c>
      <c r="T3555" s="28" t="e">
        <f ca="1">[1]!BexGetData("DP_1","00O2TNJGODT0G5Z4TTKYMMOLH","GSON56")</f>
        <v>#NAME?</v>
      </c>
      <c r="U3555" s="23" t="e">
        <f ca="1">[1]!BexGetData("DP_1","00O2TNJGODT0G5Z4TTKYMMUX1","GSON56")</f>
        <v>#NAME?</v>
      </c>
      <c r="V3555" s="28" t="e">
        <f ca="1">[1]!BexGetData("DP_1","00O2TNJGODT0G5Z4TTKYMN18L","GSON56")</f>
        <v>#NAME?</v>
      </c>
      <c r="W3555" s="23" t="e">
        <f ca="1">[1]!BexGetData("DP_1","00O2TNJGODT0G5Z4TTKYMN7K5","GSON56")</f>
        <v>#NAME?</v>
      </c>
    </row>
    <row r="3556" spans="1:23" x14ac:dyDescent="0.2">
      <c r="A3556" s="34" t="s">
        <v>1639</v>
      </c>
      <c r="B3556" s="27" t="s">
        <v>1640</v>
      </c>
      <c r="C3556" s="24" t="e">
        <f ca="1">[1]!BexGetData("DP_1","003N8EMH8GTFRCSWKMPXRR8GU","GSON561")</f>
        <v>#NAME?</v>
      </c>
      <c r="D3556" s="24" t="e">
        <f ca="1">[1]!BexGetData("DP_1","003N8EMH8GTFRCSWKMPXRRESE","GSON561")</f>
        <v>#NAME?</v>
      </c>
      <c r="E3556" s="24" t="e">
        <f ca="1">[1]!BexGetData("DP_1","003N8EMH8GTFRCSWKMPXRRL3Y","GSON561")</f>
        <v>#NAME?</v>
      </c>
      <c r="F3556" s="23" t="e">
        <f ca="1">[1]!BexGetData("DP_1","003N8EMH8GTFRCSWKMPXRRRFI","GSON561")</f>
        <v>#NAME?</v>
      </c>
      <c r="G3556" s="23" t="e">
        <f ca="1">[1]!BexGetData("DP_1","003N8EMH8GTFRCSWKMPXRRXR2","GSON561")</f>
        <v>#NAME?</v>
      </c>
      <c r="H3556" s="28" t="e">
        <f ca="1">[1]!BexGetData("DP_1","003N8EMH8GTFRCSWKMPXRS42M","GSON561")</f>
        <v>#NAME?</v>
      </c>
      <c r="I3556" s="23" t="e">
        <f ca="1">[1]!BexGetData("DP_1","003N8EMH8GTFRCSWKMPXRSAE6","GSON561")</f>
        <v>#NAME?</v>
      </c>
      <c r="J3556" s="24" t="e">
        <f ca="1">[1]!BexGetData("DP_1","003N8EMH8GTFRCSWKMPXRSGPQ","GSON561")</f>
        <v>#NAME?</v>
      </c>
      <c r="K3556" s="23" t="e">
        <f ca="1">[1]!BexGetData("DP_1","003N8EMH8GTFRIVNUPY288VJH","GSON561")</f>
        <v>#NAME?</v>
      </c>
      <c r="L3556" s="23" t="e">
        <f ca="1">[1]!BexGetData("DP_1","003N8EMH8GTFRIVNUPY2891V1","GSON561")</f>
        <v>#NAME?</v>
      </c>
      <c r="M3556" s="23" t="e">
        <f ca="1">[1]!BexGetData("DP_1","003N8EMH8GTFRIVOG7KG9IQXA","GSON561")</f>
        <v>#NAME?</v>
      </c>
      <c r="N3556" s="28" t="e">
        <f ca="1">[1]!BexGetData("DP_1","003N8EMH8GTFRIVOG7KG9IX8U","GSON561")</f>
        <v>#NAME?</v>
      </c>
      <c r="O3556" s="23" t="e">
        <f ca="1">[1]!BexGetData("DP_1","003N8EMH8GTFRIVOG7KG9J3KE","GSON561")</f>
        <v>#NAME?</v>
      </c>
      <c r="P3556" s="28" t="e">
        <f ca="1">[1]!BexGetData("DP_1","003N8EMH8GTFRIVOG7KG9J9VY","GSON561")</f>
        <v>#NAME?</v>
      </c>
      <c r="Q3556" s="24" t="e">
        <f ca="1">[1]!BexGetData("DP_1","00O2TNJGODT0G5Z4TTKYMM5MT","GSON561")</f>
        <v>#NAME?</v>
      </c>
      <c r="R3556" s="23" t="e">
        <f ca="1">[1]!BexGetData("DP_1","00O2TNJGODT0G5Z4TTKYMMBYD","GSON561")</f>
        <v>#NAME?</v>
      </c>
      <c r="S3556" s="23" t="e">
        <f ca="1">[1]!BexGetData("DP_1","00O2TNJGODT0G5Z4TTKYMMI9X","GSON561")</f>
        <v>#NAME?</v>
      </c>
      <c r="T3556" s="28" t="e">
        <f ca="1">[1]!BexGetData("DP_1","00O2TNJGODT0G5Z4TTKYMMOLH","GSON561")</f>
        <v>#NAME?</v>
      </c>
      <c r="U3556" s="23" t="e">
        <f ca="1">[1]!BexGetData("DP_1","00O2TNJGODT0G5Z4TTKYMMUX1","GSON561")</f>
        <v>#NAME?</v>
      </c>
      <c r="V3556" s="28" t="e">
        <f ca="1">[1]!BexGetData("DP_1","00O2TNJGODT0G5Z4TTKYMN18L","GSON561")</f>
        <v>#NAME?</v>
      </c>
      <c r="W3556" s="23" t="e">
        <f ca="1">[1]!BexGetData("DP_1","00O2TNJGODT0G5Z4TTKYMN7K5","GSON561")</f>
        <v>#NAME?</v>
      </c>
    </row>
    <row r="3557" spans="1:23" x14ac:dyDescent="0.2">
      <c r="A3557" s="35" t="s">
        <v>1641</v>
      </c>
      <c r="B3557" s="27" t="s">
        <v>1642</v>
      </c>
      <c r="C3557" s="24" t="e">
        <f ca="1">[1]!BexGetData("DP_1","003N8EMH8GTFRCSWKMPXRR8GU","GSON5611")</f>
        <v>#NAME?</v>
      </c>
      <c r="D3557" s="24" t="e">
        <f ca="1">[1]!BexGetData("DP_1","003N8EMH8GTFRCSWKMPXRRESE","GSON5611")</f>
        <v>#NAME?</v>
      </c>
      <c r="E3557" s="24" t="e">
        <f ca="1">[1]!BexGetData("DP_1","003N8EMH8GTFRCSWKMPXRRL3Y","GSON5611")</f>
        <v>#NAME?</v>
      </c>
      <c r="F3557" s="23" t="e">
        <f ca="1">[1]!BexGetData("DP_1","003N8EMH8GTFRCSWKMPXRRRFI","GSON5611")</f>
        <v>#NAME?</v>
      </c>
      <c r="G3557" s="23" t="e">
        <f ca="1">[1]!BexGetData("DP_1","003N8EMH8GTFRCSWKMPXRRXR2","GSON5611")</f>
        <v>#NAME?</v>
      </c>
      <c r="H3557" s="28" t="e">
        <f ca="1">[1]!BexGetData("DP_1","003N8EMH8GTFRCSWKMPXRS42M","GSON5611")</f>
        <v>#NAME?</v>
      </c>
      <c r="I3557" s="23" t="e">
        <f ca="1">[1]!BexGetData("DP_1","003N8EMH8GTFRCSWKMPXRSAE6","GSON5611")</f>
        <v>#NAME?</v>
      </c>
      <c r="J3557" s="24" t="e">
        <f ca="1">[1]!BexGetData("DP_1","003N8EMH8GTFRCSWKMPXRSGPQ","GSON5611")</f>
        <v>#NAME?</v>
      </c>
      <c r="K3557" s="23" t="e">
        <f ca="1">[1]!BexGetData("DP_1","003N8EMH8GTFRIVNUPY288VJH","GSON5611")</f>
        <v>#NAME?</v>
      </c>
      <c r="L3557" s="23" t="e">
        <f ca="1">[1]!BexGetData("DP_1","003N8EMH8GTFRIVNUPY2891V1","GSON5611")</f>
        <v>#NAME?</v>
      </c>
      <c r="M3557" s="23" t="e">
        <f ca="1">[1]!BexGetData("DP_1","003N8EMH8GTFRIVOG7KG9IQXA","GSON5611")</f>
        <v>#NAME?</v>
      </c>
      <c r="N3557" s="28" t="e">
        <f ca="1">[1]!BexGetData("DP_1","003N8EMH8GTFRIVOG7KG9IX8U","GSON5611")</f>
        <v>#NAME?</v>
      </c>
      <c r="O3557" s="23" t="e">
        <f ca="1">[1]!BexGetData("DP_1","003N8EMH8GTFRIVOG7KG9J3KE","GSON5611")</f>
        <v>#NAME?</v>
      </c>
      <c r="P3557" s="28" t="e">
        <f ca="1">[1]!BexGetData("DP_1","003N8EMH8GTFRIVOG7KG9J9VY","GSON5611")</f>
        <v>#NAME?</v>
      </c>
      <c r="Q3557" s="24" t="e">
        <f ca="1">[1]!BexGetData("DP_1","00O2TNJGODT0G5Z4TTKYMM5MT","GSON5611")</f>
        <v>#NAME?</v>
      </c>
      <c r="R3557" s="23" t="e">
        <f ca="1">[1]!BexGetData("DP_1","00O2TNJGODT0G5Z4TTKYMMBYD","GSON5611")</f>
        <v>#NAME?</v>
      </c>
      <c r="S3557" s="23" t="e">
        <f ca="1">[1]!BexGetData("DP_1","00O2TNJGODT0G5Z4TTKYMMI9X","GSON5611")</f>
        <v>#NAME?</v>
      </c>
      <c r="T3557" s="28" t="e">
        <f ca="1">[1]!BexGetData("DP_1","00O2TNJGODT0G5Z4TTKYMMOLH","GSON5611")</f>
        <v>#NAME?</v>
      </c>
      <c r="U3557" s="23" t="e">
        <f ca="1">[1]!BexGetData("DP_1","00O2TNJGODT0G5Z4TTKYMMUX1","GSON5611")</f>
        <v>#NAME?</v>
      </c>
      <c r="V3557" s="28" t="e">
        <f ca="1">[1]!BexGetData("DP_1","00O2TNJGODT0G5Z4TTKYMN18L","GSON5611")</f>
        <v>#NAME?</v>
      </c>
      <c r="W3557" s="23" t="e">
        <f ca="1">[1]!BexGetData("DP_1","00O2TNJGODT0G5Z4TTKYMN7K5","GSON5611")</f>
        <v>#NAME?</v>
      </c>
    </row>
    <row r="3558" spans="1:23" x14ac:dyDescent="0.2">
      <c r="A3558" s="36" t="s">
        <v>7126</v>
      </c>
      <c r="B3558" s="27" t="s">
        <v>1643</v>
      </c>
      <c r="C3558" s="24" t="e">
        <f ca="1">[1]!BexGetData("DP_1","003N8EMH8GTFRCSWKMPXRR8GU","GSON5611000001")</f>
        <v>#NAME?</v>
      </c>
      <c r="D3558" s="24" t="e">
        <f ca="1">[1]!BexGetData("DP_1","003N8EMH8GTFRCSWKMPXRRESE","GSON5611000001")</f>
        <v>#NAME?</v>
      </c>
      <c r="E3558" s="24" t="e">
        <f ca="1">[1]!BexGetData("DP_1","003N8EMH8GTFRCSWKMPXRRL3Y","GSON5611000001")</f>
        <v>#NAME?</v>
      </c>
      <c r="F3558" s="23" t="e">
        <f ca="1">[1]!BexGetData("DP_1","003N8EMH8GTFRCSWKMPXRRRFI","GSON5611000001")</f>
        <v>#NAME?</v>
      </c>
      <c r="G3558" s="23" t="e">
        <f ca="1">[1]!BexGetData("DP_1","003N8EMH8GTFRCSWKMPXRRXR2","GSON5611000001")</f>
        <v>#NAME?</v>
      </c>
      <c r="H3558" s="28" t="e">
        <f ca="1">[1]!BexGetData("DP_1","003N8EMH8GTFRCSWKMPXRS42M","GSON5611000001")</f>
        <v>#NAME?</v>
      </c>
      <c r="I3558" s="23" t="e">
        <f ca="1">[1]!BexGetData("DP_1","003N8EMH8GTFRCSWKMPXRSAE6","GSON5611000001")</f>
        <v>#NAME?</v>
      </c>
      <c r="J3558" s="24" t="e">
        <f ca="1">[1]!BexGetData("DP_1","003N8EMH8GTFRCSWKMPXRSGPQ","GSON5611000001")</f>
        <v>#NAME?</v>
      </c>
      <c r="K3558" s="23" t="e">
        <f ca="1">[1]!BexGetData("DP_1","003N8EMH8GTFRIVNUPY288VJH","GSON5611000001")</f>
        <v>#NAME?</v>
      </c>
      <c r="L3558" s="23" t="e">
        <f ca="1">[1]!BexGetData("DP_1","003N8EMH8GTFRIVNUPY2891V1","GSON5611000001")</f>
        <v>#NAME?</v>
      </c>
      <c r="M3558" s="23" t="e">
        <f ca="1">[1]!BexGetData("DP_1","003N8EMH8GTFRIVOG7KG9IQXA","GSON5611000001")</f>
        <v>#NAME?</v>
      </c>
      <c r="N3558" s="28" t="e">
        <f ca="1">[1]!BexGetData("DP_1","003N8EMH8GTFRIVOG7KG9IX8U","GSON5611000001")</f>
        <v>#NAME?</v>
      </c>
      <c r="O3558" s="23" t="e">
        <f ca="1">[1]!BexGetData("DP_1","003N8EMH8GTFRIVOG7KG9J3KE","GSON5611000001")</f>
        <v>#NAME?</v>
      </c>
      <c r="P3558" s="28" t="e">
        <f ca="1">[1]!BexGetData("DP_1","003N8EMH8GTFRIVOG7KG9J9VY","GSON5611000001")</f>
        <v>#NAME?</v>
      </c>
      <c r="Q3558" s="24" t="e">
        <f ca="1">[1]!BexGetData("DP_1","00O2TNJGODT0G5Z4TTKYMM5MT","GSON5611000001")</f>
        <v>#NAME?</v>
      </c>
      <c r="R3558" s="23" t="e">
        <f ca="1">[1]!BexGetData("DP_1","00O2TNJGODT0G5Z4TTKYMMBYD","GSON5611000001")</f>
        <v>#NAME?</v>
      </c>
      <c r="S3558" s="23" t="e">
        <f ca="1">[1]!BexGetData("DP_1","00O2TNJGODT0G5Z4TTKYMMI9X","GSON5611000001")</f>
        <v>#NAME?</v>
      </c>
      <c r="T3558" s="28" t="e">
        <f ca="1">[1]!BexGetData("DP_1","00O2TNJGODT0G5Z4TTKYMMOLH","GSON5611000001")</f>
        <v>#NAME?</v>
      </c>
      <c r="U3558" s="23" t="e">
        <f ca="1">[1]!BexGetData("DP_1","00O2TNJGODT0G5Z4TTKYMMUX1","GSON5611000001")</f>
        <v>#NAME?</v>
      </c>
      <c r="V3558" s="28" t="e">
        <f ca="1">[1]!BexGetData("DP_1","00O2TNJGODT0G5Z4TTKYMN18L","GSON5611000001")</f>
        <v>#NAME?</v>
      </c>
      <c r="W3558" s="23" t="e">
        <f ca="1">[1]!BexGetData("DP_1","00O2TNJGODT0G5Z4TTKYMN7K5","GSON5611000001")</f>
        <v>#NAME?</v>
      </c>
    </row>
    <row r="3559" spans="1:23" x14ac:dyDescent="0.2">
      <c r="A3559" s="31" t="s">
        <v>119</v>
      </c>
      <c r="B3559" s="25" t="s">
        <v>120</v>
      </c>
      <c r="C3559" s="23" t="e">
        <f ca="1">[1]!BexGetData("DP_1","003N8EMH8GTFRCSWKMPXRR8GU","GSON7")</f>
        <v>#NAME?</v>
      </c>
      <c r="D3559" s="23" t="e">
        <f ca="1">[1]!BexGetData("DP_1","003N8EMH8GTFRCSWKMPXRRESE","GSON7")</f>
        <v>#NAME?</v>
      </c>
      <c r="E3559" s="28" t="e">
        <f ca="1">[1]!BexGetData("DP_1","003N8EMH8GTFRCSWKMPXRRL3Y","GSON7")</f>
        <v>#NAME?</v>
      </c>
      <c r="F3559" s="28" t="e">
        <f ca="1">[1]!BexGetData("DP_1","003N8EMH8GTFRCSWKMPXRRRFI","GSON7")</f>
        <v>#NAME?</v>
      </c>
      <c r="G3559" s="23" t="e">
        <f ca="1">[1]!BexGetData("DP_1","003N8EMH8GTFRCSWKMPXRRXR2","GSON7")</f>
        <v>#NAME?</v>
      </c>
      <c r="H3559" s="23" t="e">
        <f ca="1">[1]!BexGetData("DP_1","003N8EMH8GTFRCSWKMPXRS42M","GSON7")</f>
        <v>#NAME?</v>
      </c>
      <c r="I3559" s="28" t="e">
        <f ca="1">[1]!BexGetData("DP_1","003N8EMH8GTFRCSWKMPXRSAE6","GSON7")</f>
        <v>#NAME?</v>
      </c>
      <c r="J3559" s="28" t="e">
        <f ca="1">[1]!BexGetData("DP_1","003N8EMH8GTFRCSWKMPXRSGPQ","GSON7")</f>
        <v>#NAME?</v>
      </c>
      <c r="K3559" s="28" t="e">
        <f ca="1">[1]!BexGetData("DP_1","003N8EMH8GTFRIVNUPY288VJH","GSON7")</f>
        <v>#NAME?</v>
      </c>
      <c r="L3559" s="28" t="e">
        <f ca="1">[1]!BexGetData("DP_1","003N8EMH8GTFRIVNUPY2891V1","GSON7")</f>
        <v>#NAME?</v>
      </c>
      <c r="M3559" s="28" t="e">
        <f ca="1">[1]!BexGetData("DP_1","003N8EMH8GTFRIVOG7KG9IQXA","GSON7")</f>
        <v>#NAME?</v>
      </c>
      <c r="N3559" s="28" t="e">
        <f ca="1">[1]!BexGetData("DP_1","003N8EMH8GTFRIVOG7KG9IX8U","GSON7")</f>
        <v>#NAME?</v>
      </c>
      <c r="O3559" s="28" t="e">
        <f ca="1">[1]!BexGetData("DP_1","003N8EMH8GTFRIVOG7KG9J3KE","GSON7")</f>
        <v>#NAME?</v>
      </c>
      <c r="P3559" s="28" t="e">
        <f ca="1">[1]!BexGetData("DP_1","003N8EMH8GTFRIVOG7KG9J9VY","GSON7")</f>
        <v>#NAME?</v>
      </c>
      <c r="Q3559" s="28" t="e">
        <f ca="1">[1]!BexGetData("DP_1","00O2TNJGODT0G5Z4TTKYMM5MT","GSON7")</f>
        <v>#NAME?</v>
      </c>
      <c r="R3559" s="28" t="e">
        <f ca="1">[1]!BexGetData("DP_1","00O2TNJGODT0G5Z4TTKYMMBYD","GSON7")</f>
        <v>#NAME?</v>
      </c>
      <c r="S3559" s="28" t="e">
        <f ca="1">[1]!BexGetData("DP_1","00O2TNJGODT0G5Z4TTKYMMI9X","GSON7")</f>
        <v>#NAME?</v>
      </c>
      <c r="T3559" s="28" t="e">
        <f ca="1">[1]!BexGetData("DP_1","00O2TNJGODT0G5Z4TTKYMMOLH","GSON7")</f>
        <v>#NAME?</v>
      </c>
      <c r="U3559" s="28" t="e">
        <f ca="1">[1]!BexGetData("DP_1","00O2TNJGODT0G5Z4TTKYMMUX1","GSON7")</f>
        <v>#NAME?</v>
      </c>
      <c r="V3559" s="28" t="e">
        <f ca="1">[1]!BexGetData("DP_1","00O2TNJGODT0G5Z4TTKYMN18L","GSON7")</f>
        <v>#NAME?</v>
      </c>
      <c r="W3559" s="28" t="e">
        <f ca="1">[1]!BexGetData("DP_1","00O2TNJGODT0G5Z4TTKYMN7K5","GSON7")</f>
        <v>#NAME?</v>
      </c>
    </row>
    <row r="3560" spans="1:23" x14ac:dyDescent="0.2">
      <c r="A3560" s="32" t="s">
        <v>1599</v>
      </c>
      <c r="B3560" s="26" t="s">
        <v>1600</v>
      </c>
      <c r="C3560" s="23" t="e">
        <f ca="1">[1]!BexGetData("DP_1","003N8EMH8GTFRCSWKMPXRR8GU","GSON73")</f>
        <v>#NAME?</v>
      </c>
      <c r="D3560" s="23" t="e">
        <f ca="1">[1]!BexGetData("DP_1","003N8EMH8GTFRCSWKMPXRRESE","GSON73")</f>
        <v>#NAME?</v>
      </c>
      <c r="E3560" s="28" t="e">
        <f ca="1">[1]!BexGetData("DP_1","003N8EMH8GTFRCSWKMPXRRL3Y","GSON73")</f>
        <v>#NAME?</v>
      </c>
      <c r="F3560" s="28" t="e">
        <f ca="1">[1]!BexGetData("DP_1","003N8EMH8GTFRCSWKMPXRRRFI","GSON73")</f>
        <v>#NAME?</v>
      </c>
      <c r="G3560" s="23" t="e">
        <f ca="1">[1]!BexGetData("DP_1","003N8EMH8GTFRCSWKMPXRRXR2","GSON73")</f>
        <v>#NAME?</v>
      </c>
      <c r="H3560" s="23" t="e">
        <f ca="1">[1]!BexGetData("DP_1","003N8EMH8GTFRCSWKMPXRS42M","GSON73")</f>
        <v>#NAME?</v>
      </c>
      <c r="I3560" s="28" t="e">
        <f ca="1">[1]!BexGetData("DP_1","003N8EMH8GTFRCSWKMPXRSAE6","GSON73")</f>
        <v>#NAME?</v>
      </c>
      <c r="J3560" s="28" t="e">
        <f ca="1">[1]!BexGetData("DP_1","003N8EMH8GTFRCSWKMPXRSGPQ","GSON73")</f>
        <v>#NAME?</v>
      </c>
      <c r="K3560" s="28" t="e">
        <f ca="1">[1]!BexGetData("DP_1","003N8EMH8GTFRIVNUPY288VJH","GSON73")</f>
        <v>#NAME?</v>
      </c>
      <c r="L3560" s="28" t="e">
        <f ca="1">[1]!BexGetData("DP_1","003N8EMH8GTFRIVNUPY2891V1","GSON73")</f>
        <v>#NAME?</v>
      </c>
      <c r="M3560" s="28" t="e">
        <f ca="1">[1]!BexGetData("DP_1","003N8EMH8GTFRIVOG7KG9IQXA","GSON73")</f>
        <v>#NAME?</v>
      </c>
      <c r="N3560" s="28" t="e">
        <f ca="1">[1]!BexGetData("DP_1","003N8EMH8GTFRIVOG7KG9IX8U","GSON73")</f>
        <v>#NAME?</v>
      </c>
      <c r="O3560" s="28" t="e">
        <f ca="1">[1]!BexGetData("DP_1","003N8EMH8GTFRIVOG7KG9J3KE","GSON73")</f>
        <v>#NAME?</v>
      </c>
      <c r="P3560" s="28" t="e">
        <f ca="1">[1]!BexGetData("DP_1","003N8EMH8GTFRIVOG7KG9J9VY","GSON73")</f>
        <v>#NAME?</v>
      </c>
      <c r="Q3560" s="28" t="e">
        <f ca="1">[1]!BexGetData("DP_1","00O2TNJGODT0G5Z4TTKYMM5MT","GSON73")</f>
        <v>#NAME?</v>
      </c>
      <c r="R3560" s="28" t="e">
        <f ca="1">[1]!BexGetData("DP_1","00O2TNJGODT0G5Z4TTKYMMBYD","GSON73")</f>
        <v>#NAME?</v>
      </c>
      <c r="S3560" s="28" t="e">
        <f ca="1">[1]!BexGetData("DP_1","00O2TNJGODT0G5Z4TTKYMMI9X","GSON73")</f>
        <v>#NAME?</v>
      </c>
      <c r="T3560" s="28" t="e">
        <f ca="1">[1]!BexGetData("DP_1","00O2TNJGODT0G5Z4TTKYMMOLH","GSON73")</f>
        <v>#NAME?</v>
      </c>
      <c r="U3560" s="28" t="e">
        <f ca="1">[1]!BexGetData("DP_1","00O2TNJGODT0G5Z4TTKYMMUX1","GSON73")</f>
        <v>#NAME?</v>
      </c>
      <c r="V3560" s="28" t="e">
        <f ca="1">[1]!BexGetData("DP_1","00O2TNJGODT0G5Z4TTKYMN18L","GSON73")</f>
        <v>#NAME?</v>
      </c>
      <c r="W3560" s="28" t="e">
        <f ca="1">[1]!BexGetData("DP_1","00O2TNJGODT0G5Z4TTKYMN7K5","GSON73")</f>
        <v>#NAME?</v>
      </c>
    </row>
    <row r="3561" spans="1:23" x14ac:dyDescent="0.2">
      <c r="A3561" s="33" t="s">
        <v>7127</v>
      </c>
      <c r="B3561" s="27" t="s">
        <v>7128</v>
      </c>
      <c r="C3561" s="28" t="e">
        <f ca="1">[1]!BexGetData("DP_1","003N8EMH8GTFRCSWKMPXRR8GU","GSON7310100001")</f>
        <v>#NAME?</v>
      </c>
      <c r="D3561" s="23" t="e">
        <f ca="1">[1]!BexGetData("DP_1","003N8EMH8GTFRCSWKMPXRRESE","GSON7310100001")</f>
        <v>#NAME?</v>
      </c>
      <c r="E3561" s="28" t="e">
        <f ca="1">[1]!BexGetData("DP_1","003N8EMH8GTFRCSWKMPXRRL3Y","GSON7310100001")</f>
        <v>#NAME?</v>
      </c>
      <c r="F3561" s="23" t="e">
        <f ca="1">[1]!BexGetData("DP_1","003N8EMH8GTFRCSWKMPXRRRFI","GSON7310100001")</f>
        <v>#NAME?</v>
      </c>
      <c r="G3561" s="28" t="e">
        <f ca="1">[1]!BexGetData("DP_1","003N8EMH8GTFRCSWKMPXRRXR2","GSON7310100001")</f>
        <v>#NAME?</v>
      </c>
      <c r="H3561" s="23" t="e">
        <f ca="1">[1]!BexGetData("DP_1","003N8EMH8GTFRCSWKMPXRS42M","GSON7310100001")</f>
        <v>#NAME?</v>
      </c>
      <c r="I3561" s="23" t="e">
        <f ca="1">[1]!BexGetData("DP_1","003N8EMH8GTFRCSWKMPXRSAE6","GSON7310100001")</f>
        <v>#NAME?</v>
      </c>
      <c r="J3561" s="23" t="e">
        <f ca="1">[1]!BexGetData("DP_1","003N8EMH8GTFRCSWKMPXRSGPQ","GSON7310100001")</f>
        <v>#NAME?</v>
      </c>
      <c r="K3561" s="23" t="e">
        <f ca="1">[1]!BexGetData("DP_1","003N8EMH8GTFRIVNUPY288VJH","GSON7310100001")</f>
        <v>#NAME?</v>
      </c>
      <c r="L3561" s="23" t="e">
        <f ca="1">[1]!BexGetData("DP_1","003N8EMH8GTFRIVNUPY2891V1","GSON7310100001")</f>
        <v>#NAME?</v>
      </c>
      <c r="M3561" s="23" t="e">
        <f ca="1">[1]!BexGetData("DP_1","003N8EMH8GTFRIVOG7KG9IQXA","GSON7310100001")</f>
        <v>#NAME?</v>
      </c>
      <c r="N3561" s="28" t="e">
        <f ca="1">[1]!BexGetData("DP_1","003N8EMH8GTFRIVOG7KG9IX8U","GSON7310100001")</f>
        <v>#NAME?</v>
      </c>
      <c r="O3561" s="23" t="e">
        <f ca="1">[1]!BexGetData("DP_1","003N8EMH8GTFRIVOG7KG9J3KE","GSON7310100001")</f>
        <v>#NAME?</v>
      </c>
      <c r="P3561" s="28" t="e">
        <f ca="1">[1]!BexGetData("DP_1","003N8EMH8GTFRIVOG7KG9J9VY","GSON7310100001")</f>
        <v>#NAME?</v>
      </c>
      <c r="Q3561" s="23" t="e">
        <f ca="1">[1]!BexGetData("DP_1","00O2TNJGODT0G5Z4TTKYMM5MT","GSON7310100001")</f>
        <v>#NAME?</v>
      </c>
      <c r="R3561" s="23" t="e">
        <f ca="1">[1]!BexGetData("DP_1","00O2TNJGODT0G5Z4TTKYMMBYD","GSON7310100001")</f>
        <v>#NAME?</v>
      </c>
      <c r="S3561" s="23" t="e">
        <f ca="1">[1]!BexGetData("DP_1","00O2TNJGODT0G5Z4TTKYMMI9X","GSON7310100001")</f>
        <v>#NAME?</v>
      </c>
      <c r="T3561" s="23" t="e">
        <f ca="1">[1]!BexGetData("DP_1","00O2TNJGODT0G5Z4TTKYMMOLH","GSON7310100001")</f>
        <v>#NAME?</v>
      </c>
      <c r="U3561" s="28" t="e">
        <f ca="1">[1]!BexGetData("DP_1","00O2TNJGODT0G5Z4TTKYMMUX1","GSON7310100001")</f>
        <v>#NAME?</v>
      </c>
      <c r="V3561" s="23" t="e">
        <f ca="1">[1]!BexGetData("DP_1","00O2TNJGODT0G5Z4TTKYMN18L","GSON7310100001")</f>
        <v>#NAME?</v>
      </c>
      <c r="W3561" s="28" t="e">
        <f ca="1">[1]!BexGetData("DP_1","00O2TNJGODT0G5Z4TTKYMN7K5","GSON7310100001")</f>
        <v>#NAME?</v>
      </c>
    </row>
    <row r="3562" spans="1:23" x14ac:dyDescent="0.2">
      <c r="A3562" s="33" t="s">
        <v>7129</v>
      </c>
      <c r="B3562" s="27" t="s">
        <v>7130</v>
      </c>
      <c r="C3562" s="23" t="e">
        <f ca="1">[1]!BexGetData("DP_1","003N8EMH8GTFRCSWKMPXRR8GU","GSON7310100002")</f>
        <v>#NAME?</v>
      </c>
      <c r="D3562" s="28" t="e">
        <f ca="1">[1]!BexGetData("DP_1","003N8EMH8GTFRCSWKMPXRRESE","GSON7310100002")</f>
        <v>#NAME?</v>
      </c>
      <c r="E3562" s="28" t="e">
        <f ca="1">[1]!BexGetData("DP_1","003N8EMH8GTFRCSWKMPXRRL3Y","GSON7310100002")</f>
        <v>#NAME?</v>
      </c>
      <c r="F3562" s="23" t="e">
        <f ca="1">[1]!BexGetData("DP_1","003N8EMH8GTFRCSWKMPXRRRFI","GSON7310100002")</f>
        <v>#NAME?</v>
      </c>
      <c r="G3562" s="28" t="e">
        <f ca="1">[1]!BexGetData("DP_1","003N8EMH8GTFRCSWKMPXRRXR2","GSON7310100002")</f>
        <v>#NAME?</v>
      </c>
      <c r="H3562" s="23" t="e">
        <f ca="1">[1]!BexGetData("DP_1","003N8EMH8GTFRCSWKMPXRS42M","GSON7310100002")</f>
        <v>#NAME?</v>
      </c>
      <c r="I3562" s="23" t="e">
        <f ca="1">[1]!BexGetData("DP_1","003N8EMH8GTFRCSWKMPXRSAE6","GSON7310100002")</f>
        <v>#NAME?</v>
      </c>
      <c r="J3562" s="23" t="e">
        <f ca="1">[1]!BexGetData("DP_1","003N8EMH8GTFRCSWKMPXRSGPQ","GSON7310100002")</f>
        <v>#NAME?</v>
      </c>
      <c r="K3562" s="23" t="e">
        <f ca="1">[1]!BexGetData("DP_1","003N8EMH8GTFRIVNUPY288VJH","GSON7310100002")</f>
        <v>#NAME?</v>
      </c>
      <c r="L3562" s="23" t="e">
        <f ca="1">[1]!BexGetData("DP_1","003N8EMH8GTFRIVNUPY2891V1","GSON7310100002")</f>
        <v>#NAME?</v>
      </c>
      <c r="M3562" s="28" t="e">
        <f ca="1">[1]!BexGetData("DP_1","003N8EMH8GTFRIVOG7KG9IQXA","GSON7310100002")</f>
        <v>#NAME?</v>
      </c>
      <c r="N3562" s="23" t="e">
        <f ca="1">[1]!BexGetData("DP_1","003N8EMH8GTFRIVOG7KG9IX8U","GSON7310100002")</f>
        <v>#NAME?</v>
      </c>
      <c r="O3562" s="28" t="e">
        <f ca="1">[1]!BexGetData("DP_1","003N8EMH8GTFRIVOG7KG9J3KE","GSON7310100002")</f>
        <v>#NAME?</v>
      </c>
      <c r="P3562" s="23" t="e">
        <f ca="1">[1]!BexGetData("DP_1","003N8EMH8GTFRIVOG7KG9J9VY","GSON7310100002")</f>
        <v>#NAME?</v>
      </c>
      <c r="Q3562" s="23" t="e">
        <f ca="1">[1]!BexGetData("DP_1","00O2TNJGODT0G5Z4TTKYMM5MT","GSON7310100002")</f>
        <v>#NAME?</v>
      </c>
      <c r="R3562" s="23" t="e">
        <f ca="1">[1]!BexGetData("DP_1","00O2TNJGODT0G5Z4TTKYMMBYD","GSON7310100002")</f>
        <v>#NAME?</v>
      </c>
      <c r="S3562" s="23" t="e">
        <f ca="1">[1]!BexGetData("DP_1","00O2TNJGODT0G5Z4TTKYMMI9X","GSON7310100002")</f>
        <v>#NAME?</v>
      </c>
      <c r="T3562" s="23" t="e">
        <f ca="1">[1]!BexGetData("DP_1","00O2TNJGODT0G5Z4TTKYMMOLH","GSON7310100002")</f>
        <v>#NAME?</v>
      </c>
      <c r="U3562" s="28" t="e">
        <f ca="1">[1]!BexGetData("DP_1","00O2TNJGODT0G5Z4TTKYMMUX1","GSON7310100002")</f>
        <v>#NAME?</v>
      </c>
      <c r="V3562" s="23" t="e">
        <f ca="1">[1]!BexGetData("DP_1","00O2TNJGODT0G5Z4TTKYMN18L","GSON7310100002")</f>
        <v>#NAME?</v>
      </c>
      <c r="W3562" s="28" t="e">
        <f ca="1">[1]!BexGetData("DP_1","00O2TNJGODT0G5Z4TTKYMN7K5","GSON7310100002")</f>
        <v>#NAME?</v>
      </c>
    </row>
    <row r="3563" spans="1:23" x14ac:dyDescent="0.2">
      <c r="A3563" s="33" t="s">
        <v>7131</v>
      </c>
      <c r="B3563" s="27" t="s">
        <v>7132</v>
      </c>
      <c r="C3563" s="24" t="e">
        <f ca="1">[1]!BexGetData("DP_1","003N8EMH8GTFRCSWKMPXRR8GU","GSON7310100003")</f>
        <v>#NAME?</v>
      </c>
      <c r="D3563" s="24" t="e">
        <f ca="1">[1]!BexGetData("DP_1","003N8EMH8GTFRCSWKMPXRRESE","GSON7310100003")</f>
        <v>#NAME?</v>
      </c>
      <c r="E3563" s="24" t="e">
        <f ca="1">[1]!BexGetData("DP_1","003N8EMH8GTFRCSWKMPXRRL3Y","GSON7310100003")</f>
        <v>#NAME?</v>
      </c>
      <c r="F3563" s="28" t="e">
        <f ca="1">[1]!BexGetData("DP_1","003N8EMH8GTFRCSWKMPXRRRFI","GSON7310100003")</f>
        <v>#NAME?</v>
      </c>
      <c r="G3563" s="28" t="e">
        <f ca="1">[1]!BexGetData("DP_1","003N8EMH8GTFRCSWKMPXRRXR2","GSON7310100003")</f>
        <v>#NAME?</v>
      </c>
      <c r="H3563" s="23" t="e">
        <f ca="1">[1]!BexGetData("DP_1","003N8EMH8GTFRCSWKMPXRS42M","GSON7310100003")</f>
        <v>#NAME?</v>
      </c>
      <c r="I3563" s="28" t="e">
        <f ca="1">[1]!BexGetData("DP_1","003N8EMH8GTFRCSWKMPXRSAE6","GSON7310100003")</f>
        <v>#NAME?</v>
      </c>
      <c r="J3563" s="23" t="e">
        <f ca="1">[1]!BexGetData("DP_1","003N8EMH8GTFRCSWKMPXRSGPQ","GSON7310100003")</f>
        <v>#NAME?</v>
      </c>
      <c r="K3563" s="28" t="e">
        <f ca="1">[1]!BexGetData("DP_1","003N8EMH8GTFRIVNUPY288VJH","GSON7310100003")</f>
        <v>#NAME?</v>
      </c>
      <c r="L3563" s="28" t="e">
        <f ca="1">[1]!BexGetData("DP_1","003N8EMH8GTFRIVNUPY2891V1","GSON7310100003")</f>
        <v>#NAME?</v>
      </c>
      <c r="M3563" s="28" t="e">
        <f ca="1">[1]!BexGetData("DP_1","003N8EMH8GTFRIVOG7KG9IQXA","GSON7310100003")</f>
        <v>#NAME?</v>
      </c>
      <c r="N3563" s="28" t="e">
        <f ca="1">[1]!BexGetData("DP_1","003N8EMH8GTFRIVOG7KG9IX8U","GSON7310100003")</f>
        <v>#NAME?</v>
      </c>
      <c r="O3563" s="28" t="e">
        <f ca="1">[1]!BexGetData("DP_1","003N8EMH8GTFRIVOG7KG9J3KE","GSON7310100003")</f>
        <v>#NAME?</v>
      </c>
      <c r="P3563" s="28" t="e">
        <f ca="1">[1]!BexGetData("DP_1","003N8EMH8GTFRIVOG7KG9J9VY","GSON7310100003")</f>
        <v>#NAME?</v>
      </c>
      <c r="Q3563" s="23" t="e">
        <f ca="1">[1]!BexGetData("DP_1","00O2TNJGODT0G5Z4TTKYMM5MT","GSON7310100003")</f>
        <v>#NAME?</v>
      </c>
      <c r="R3563" s="23" t="e">
        <f ca="1">[1]!BexGetData("DP_1","00O2TNJGODT0G5Z4TTKYMMBYD","GSON7310100003")</f>
        <v>#NAME?</v>
      </c>
      <c r="S3563" s="23" t="e">
        <f ca="1">[1]!BexGetData("DP_1","00O2TNJGODT0G5Z4TTKYMMI9X","GSON7310100003")</f>
        <v>#NAME?</v>
      </c>
      <c r="T3563" s="23" t="e">
        <f ca="1">[1]!BexGetData("DP_1","00O2TNJGODT0G5Z4TTKYMMOLH","GSON7310100003")</f>
        <v>#NAME?</v>
      </c>
      <c r="U3563" s="28" t="e">
        <f ca="1">[1]!BexGetData("DP_1","00O2TNJGODT0G5Z4TTKYMMUX1","GSON7310100003")</f>
        <v>#NAME?</v>
      </c>
      <c r="V3563" s="23" t="e">
        <f ca="1">[1]!BexGetData("DP_1","00O2TNJGODT0G5Z4TTKYMN18L","GSON7310100003")</f>
        <v>#NAME?</v>
      </c>
      <c r="W3563" s="28" t="e">
        <f ca="1">[1]!BexGetData("DP_1","00O2TNJGODT0G5Z4TTKYMN7K5","GSON7310100003")</f>
        <v>#NAME?</v>
      </c>
    </row>
    <row r="3564" spans="1:23" x14ac:dyDescent="0.2">
      <c r="A3564" s="33" t="s">
        <v>7133</v>
      </c>
      <c r="B3564" s="27" t="s">
        <v>7134</v>
      </c>
      <c r="C3564" s="24" t="e">
        <f ca="1">[1]!BexGetData("DP_1","003N8EMH8GTFRCSWKMPXRR8GU","GSON7310100004")</f>
        <v>#NAME?</v>
      </c>
      <c r="D3564" s="24" t="e">
        <f ca="1">[1]!BexGetData("DP_1","003N8EMH8GTFRCSWKMPXRRESE","GSON7310100004")</f>
        <v>#NAME?</v>
      </c>
      <c r="E3564" s="24" t="e">
        <f ca="1">[1]!BexGetData("DP_1","003N8EMH8GTFRCSWKMPXRRL3Y","GSON7310100004")</f>
        <v>#NAME?</v>
      </c>
      <c r="F3564" s="28" t="e">
        <f ca="1">[1]!BexGetData("DP_1","003N8EMH8GTFRCSWKMPXRRRFI","GSON7310100004")</f>
        <v>#NAME?</v>
      </c>
      <c r="G3564" s="28" t="e">
        <f ca="1">[1]!BexGetData("DP_1","003N8EMH8GTFRCSWKMPXRRXR2","GSON7310100004")</f>
        <v>#NAME?</v>
      </c>
      <c r="H3564" s="23" t="e">
        <f ca="1">[1]!BexGetData("DP_1","003N8EMH8GTFRCSWKMPXRS42M","GSON7310100004")</f>
        <v>#NAME?</v>
      </c>
      <c r="I3564" s="28" t="e">
        <f ca="1">[1]!BexGetData("DP_1","003N8EMH8GTFRCSWKMPXRSAE6","GSON7310100004")</f>
        <v>#NAME?</v>
      </c>
      <c r="J3564" s="23" t="e">
        <f ca="1">[1]!BexGetData("DP_1","003N8EMH8GTFRCSWKMPXRSGPQ","GSON7310100004")</f>
        <v>#NAME?</v>
      </c>
      <c r="K3564" s="28" t="e">
        <f ca="1">[1]!BexGetData("DP_1","003N8EMH8GTFRIVNUPY288VJH","GSON7310100004")</f>
        <v>#NAME?</v>
      </c>
      <c r="L3564" s="28" t="e">
        <f ca="1">[1]!BexGetData("DP_1","003N8EMH8GTFRIVNUPY2891V1","GSON7310100004")</f>
        <v>#NAME?</v>
      </c>
      <c r="M3564" s="28" t="e">
        <f ca="1">[1]!BexGetData("DP_1","003N8EMH8GTFRIVOG7KG9IQXA","GSON7310100004")</f>
        <v>#NAME?</v>
      </c>
      <c r="N3564" s="28" t="e">
        <f ca="1">[1]!BexGetData("DP_1","003N8EMH8GTFRIVOG7KG9IX8U","GSON7310100004")</f>
        <v>#NAME?</v>
      </c>
      <c r="O3564" s="28" t="e">
        <f ca="1">[1]!BexGetData("DP_1","003N8EMH8GTFRIVOG7KG9J3KE","GSON7310100004")</f>
        <v>#NAME?</v>
      </c>
      <c r="P3564" s="28" t="e">
        <f ca="1">[1]!BexGetData("DP_1","003N8EMH8GTFRIVOG7KG9J9VY","GSON7310100004")</f>
        <v>#NAME?</v>
      </c>
      <c r="Q3564" s="23" t="e">
        <f ca="1">[1]!BexGetData("DP_1","00O2TNJGODT0G5Z4TTKYMM5MT","GSON7310100004")</f>
        <v>#NAME?</v>
      </c>
      <c r="R3564" s="23" t="e">
        <f ca="1">[1]!BexGetData("DP_1","00O2TNJGODT0G5Z4TTKYMMBYD","GSON7310100004")</f>
        <v>#NAME?</v>
      </c>
      <c r="S3564" s="23" t="e">
        <f ca="1">[1]!BexGetData("DP_1","00O2TNJGODT0G5Z4TTKYMMI9X","GSON7310100004")</f>
        <v>#NAME?</v>
      </c>
      <c r="T3564" s="23" t="e">
        <f ca="1">[1]!BexGetData("DP_1","00O2TNJGODT0G5Z4TTKYMMOLH","GSON7310100004")</f>
        <v>#NAME?</v>
      </c>
      <c r="U3564" s="28" t="e">
        <f ca="1">[1]!BexGetData("DP_1","00O2TNJGODT0G5Z4TTKYMMUX1","GSON7310100004")</f>
        <v>#NAME?</v>
      </c>
      <c r="V3564" s="23" t="e">
        <f ca="1">[1]!BexGetData("DP_1","00O2TNJGODT0G5Z4TTKYMN18L","GSON7310100004")</f>
        <v>#NAME?</v>
      </c>
      <c r="W3564" s="28" t="e">
        <f ca="1">[1]!BexGetData("DP_1","00O2TNJGODT0G5Z4TTKYMN7K5","GSON7310100004")</f>
        <v>#NAME?</v>
      </c>
    </row>
    <row r="3565" spans="1:23" x14ac:dyDescent="0.2">
      <c r="A3565" s="33" t="s">
        <v>7135</v>
      </c>
      <c r="B3565" s="27" t="s">
        <v>7136</v>
      </c>
      <c r="C3565" s="24" t="e">
        <f ca="1">[1]!BexGetData("DP_1","003N8EMH8GTFRCSWKMPXRR8GU","GSON7310100005")</f>
        <v>#NAME?</v>
      </c>
      <c r="D3565" s="24" t="e">
        <f ca="1">[1]!BexGetData("DP_1","003N8EMH8GTFRCSWKMPXRRESE","GSON7310100005")</f>
        <v>#NAME?</v>
      </c>
      <c r="E3565" s="24" t="e">
        <f ca="1">[1]!BexGetData("DP_1","003N8EMH8GTFRCSWKMPXRRL3Y","GSON7310100005")</f>
        <v>#NAME?</v>
      </c>
      <c r="F3565" s="28" t="e">
        <f ca="1">[1]!BexGetData("DP_1","003N8EMH8GTFRCSWKMPXRRRFI","GSON7310100005")</f>
        <v>#NAME?</v>
      </c>
      <c r="G3565" s="28" t="e">
        <f ca="1">[1]!BexGetData("DP_1","003N8EMH8GTFRCSWKMPXRRXR2","GSON7310100005")</f>
        <v>#NAME?</v>
      </c>
      <c r="H3565" s="23" t="e">
        <f ca="1">[1]!BexGetData("DP_1","003N8EMH8GTFRCSWKMPXRS42M","GSON7310100005")</f>
        <v>#NAME?</v>
      </c>
      <c r="I3565" s="28" t="e">
        <f ca="1">[1]!BexGetData("DP_1","003N8EMH8GTFRCSWKMPXRSAE6","GSON7310100005")</f>
        <v>#NAME?</v>
      </c>
      <c r="J3565" s="23" t="e">
        <f ca="1">[1]!BexGetData("DP_1","003N8EMH8GTFRCSWKMPXRSGPQ","GSON7310100005")</f>
        <v>#NAME?</v>
      </c>
      <c r="K3565" s="28" t="e">
        <f ca="1">[1]!BexGetData("DP_1","003N8EMH8GTFRIVNUPY288VJH","GSON7310100005")</f>
        <v>#NAME?</v>
      </c>
      <c r="L3565" s="28" t="e">
        <f ca="1">[1]!BexGetData("DP_1","003N8EMH8GTFRIVNUPY2891V1","GSON7310100005")</f>
        <v>#NAME?</v>
      </c>
      <c r="M3565" s="28" t="e">
        <f ca="1">[1]!BexGetData("DP_1","003N8EMH8GTFRIVOG7KG9IQXA","GSON7310100005")</f>
        <v>#NAME?</v>
      </c>
      <c r="N3565" s="28" t="e">
        <f ca="1">[1]!BexGetData("DP_1","003N8EMH8GTFRIVOG7KG9IX8U","GSON7310100005")</f>
        <v>#NAME?</v>
      </c>
      <c r="O3565" s="28" t="e">
        <f ca="1">[1]!BexGetData("DP_1","003N8EMH8GTFRIVOG7KG9J3KE","GSON7310100005")</f>
        <v>#NAME?</v>
      </c>
      <c r="P3565" s="28" t="e">
        <f ca="1">[1]!BexGetData("DP_1","003N8EMH8GTFRIVOG7KG9J9VY","GSON7310100005")</f>
        <v>#NAME?</v>
      </c>
      <c r="Q3565" s="23" t="e">
        <f ca="1">[1]!BexGetData("DP_1","00O2TNJGODT0G5Z4TTKYMM5MT","GSON7310100005")</f>
        <v>#NAME?</v>
      </c>
      <c r="R3565" s="23" t="e">
        <f ca="1">[1]!BexGetData("DP_1","00O2TNJGODT0G5Z4TTKYMMBYD","GSON7310100005")</f>
        <v>#NAME?</v>
      </c>
      <c r="S3565" s="23" t="e">
        <f ca="1">[1]!BexGetData("DP_1","00O2TNJGODT0G5Z4TTKYMMI9X","GSON7310100005")</f>
        <v>#NAME?</v>
      </c>
      <c r="T3565" s="23" t="e">
        <f ca="1">[1]!BexGetData("DP_1","00O2TNJGODT0G5Z4TTKYMMOLH","GSON7310100005")</f>
        <v>#NAME?</v>
      </c>
      <c r="U3565" s="28" t="e">
        <f ca="1">[1]!BexGetData("DP_1","00O2TNJGODT0G5Z4TTKYMMUX1","GSON7310100005")</f>
        <v>#NAME?</v>
      </c>
      <c r="V3565" s="23" t="e">
        <f ca="1">[1]!BexGetData("DP_1","00O2TNJGODT0G5Z4TTKYMN18L","GSON7310100005")</f>
        <v>#NAME?</v>
      </c>
      <c r="W3565" s="28" t="e">
        <f ca="1">[1]!BexGetData("DP_1","00O2TNJGODT0G5Z4TTKYMN7K5","GSON7310100005")</f>
        <v>#NAME?</v>
      </c>
    </row>
    <row r="3566" spans="1:23" x14ac:dyDescent="0.2">
      <c r="A3566" s="33" t="s">
        <v>7137</v>
      </c>
      <c r="B3566" s="27" t="s">
        <v>7138</v>
      </c>
      <c r="C3566" s="24" t="e">
        <f ca="1">[1]!BexGetData("DP_1","003N8EMH8GTFRCSWKMPXRR8GU","GSON7310100006")</f>
        <v>#NAME?</v>
      </c>
      <c r="D3566" s="24" t="e">
        <f ca="1">[1]!BexGetData("DP_1","003N8EMH8GTFRCSWKMPXRRESE","GSON7310100006")</f>
        <v>#NAME?</v>
      </c>
      <c r="E3566" s="24" t="e">
        <f ca="1">[1]!BexGetData("DP_1","003N8EMH8GTFRCSWKMPXRRL3Y","GSON7310100006")</f>
        <v>#NAME?</v>
      </c>
      <c r="F3566" s="28" t="e">
        <f ca="1">[1]!BexGetData("DP_1","003N8EMH8GTFRCSWKMPXRRRFI","GSON7310100006")</f>
        <v>#NAME?</v>
      </c>
      <c r="G3566" s="28" t="e">
        <f ca="1">[1]!BexGetData("DP_1","003N8EMH8GTFRCSWKMPXRRXR2","GSON7310100006")</f>
        <v>#NAME?</v>
      </c>
      <c r="H3566" s="23" t="e">
        <f ca="1">[1]!BexGetData("DP_1","003N8EMH8GTFRCSWKMPXRS42M","GSON7310100006")</f>
        <v>#NAME?</v>
      </c>
      <c r="I3566" s="28" t="e">
        <f ca="1">[1]!BexGetData("DP_1","003N8EMH8GTFRCSWKMPXRSAE6","GSON7310100006")</f>
        <v>#NAME?</v>
      </c>
      <c r="J3566" s="23" t="e">
        <f ca="1">[1]!BexGetData("DP_1","003N8EMH8GTFRCSWKMPXRSGPQ","GSON7310100006")</f>
        <v>#NAME?</v>
      </c>
      <c r="K3566" s="28" t="e">
        <f ca="1">[1]!BexGetData("DP_1","003N8EMH8GTFRIVNUPY288VJH","GSON7310100006")</f>
        <v>#NAME?</v>
      </c>
      <c r="L3566" s="28" t="e">
        <f ca="1">[1]!BexGetData("DP_1","003N8EMH8GTFRIVNUPY2891V1","GSON7310100006")</f>
        <v>#NAME?</v>
      </c>
      <c r="M3566" s="28" t="e">
        <f ca="1">[1]!BexGetData("DP_1","003N8EMH8GTFRIVOG7KG9IQXA","GSON7310100006")</f>
        <v>#NAME?</v>
      </c>
      <c r="N3566" s="28" t="e">
        <f ca="1">[1]!BexGetData("DP_1","003N8EMH8GTFRIVOG7KG9IX8U","GSON7310100006")</f>
        <v>#NAME?</v>
      </c>
      <c r="O3566" s="28" t="e">
        <f ca="1">[1]!BexGetData("DP_1","003N8EMH8GTFRIVOG7KG9J3KE","GSON7310100006")</f>
        <v>#NAME?</v>
      </c>
      <c r="P3566" s="28" t="e">
        <f ca="1">[1]!BexGetData("DP_1","003N8EMH8GTFRIVOG7KG9J9VY","GSON7310100006")</f>
        <v>#NAME?</v>
      </c>
      <c r="Q3566" s="23" t="e">
        <f ca="1">[1]!BexGetData("DP_1","00O2TNJGODT0G5Z4TTKYMM5MT","GSON7310100006")</f>
        <v>#NAME?</v>
      </c>
      <c r="R3566" s="23" t="e">
        <f ca="1">[1]!BexGetData("DP_1","00O2TNJGODT0G5Z4TTKYMMBYD","GSON7310100006")</f>
        <v>#NAME?</v>
      </c>
      <c r="S3566" s="23" t="e">
        <f ca="1">[1]!BexGetData("DP_1","00O2TNJGODT0G5Z4TTKYMMI9X","GSON7310100006")</f>
        <v>#NAME?</v>
      </c>
      <c r="T3566" s="23" t="e">
        <f ca="1">[1]!BexGetData("DP_1","00O2TNJGODT0G5Z4TTKYMMOLH","GSON7310100006")</f>
        <v>#NAME?</v>
      </c>
      <c r="U3566" s="28" t="e">
        <f ca="1">[1]!BexGetData("DP_1","00O2TNJGODT0G5Z4TTKYMMUX1","GSON7310100006")</f>
        <v>#NAME?</v>
      </c>
      <c r="V3566" s="23" t="e">
        <f ca="1">[1]!BexGetData("DP_1","00O2TNJGODT0G5Z4TTKYMN18L","GSON7310100006")</f>
        <v>#NAME?</v>
      </c>
      <c r="W3566" s="28" t="e">
        <f ca="1">[1]!BexGetData("DP_1","00O2TNJGODT0G5Z4TTKYMN7K5","GSON7310100006")</f>
        <v>#NAME?</v>
      </c>
    </row>
    <row r="3567" spans="1:23" x14ac:dyDescent="0.2">
      <c r="A3567" s="33" t="s">
        <v>7139</v>
      </c>
      <c r="B3567" s="27" t="s">
        <v>7140</v>
      </c>
      <c r="C3567" s="24" t="e">
        <f ca="1">[1]!BexGetData("DP_1","003N8EMH8GTFRCSWKMPXRR8GU","GSON7310100007")</f>
        <v>#NAME?</v>
      </c>
      <c r="D3567" s="24" t="e">
        <f ca="1">[1]!BexGetData("DP_1","003N8EMH8GTFRCSWKMPXRRESE","GSON7310100007")</f>
        <v>#NAME?</v>
      </c>
      <c r="E3567" s="24" t="e">
        <f ca="1">[1]!BexGetData("DP_1","003N8EMH8GTFRCSWKMPXRRL3Y","GSON7310100007")</f>
        <v>#NAME?</v>
      </c>
      <c r="F3567" s="28" t="e">
        <f ca="1">[1]!BexGetData("DP_1","003N8EMH8GTFRCSWKMPXRRRFI","GSON7310100007")</f>
        <v>#NAME?</v>
      </c>
      <c r="G3567" s="28" t="e">
        <f ca="1">[1]!BexGetData("DP_1","003N8EMH8GTFRCSWKMPXRRXR2","GSON7310100007")</f>
        <v>#NAME?</v>
      </c>
      <c r="H3567" s="23" t="e">
        <f ca="1">[1]!BexGetData("DP_1","003N8EMH8GTFRCSWKMPXRS42M","GSON7310100007")</f>
        <v>#NAME?</v>
      </c>
      <c r="I3567" s="28" t="e">
        <f ca="1">[1]!BexGetData("DP_1","003N8EMH8GTFRCSWKMPXRSAE6","GSON7310100007")</f>
        <v>#NAME?</v>
      </c>
      <c r="J3567" s="23" t="e">
        <f ca="1">[1]!BexGetData("DP_1","003N8EMH8GTFRCSWKMPXRSGPQ","GSON7310100007")</f>
        <v>#NAME?</v>
      </c>
      <c r="K3567" s="28" t="e">
        <f ca="1">[1]!BexGetData("DP_1","003N8EMH8GTFRIVNUPY288VJH","GSON7310100007")</f>
        <v>#NAME?</v>
      </c>
      <c r="L3567" s="28" t="e">
        <f ca="1">[1]!BexGetData("DP_1","003N8EMH8GTFRIVNUPY2891V1","GSON7310100007")</f>
        <v>#NAME?</v>
      </c>
      <c r="M3567" s="28" t="e">
        <f ca="1">[1]!BexGetData("DP_1","003N8EMH8GTFRIVOG7KG9IQXA","GSON7310100007")</f>
        <v>#NAME?</v>
      </c>
      <c r="N3567" s="28" t="e">
        <f ca="1">[1]!BexGetData("DP_1","003N8EMH8GTFRIVOG7KG9IX8U","GSON7310100007")</f>
        <v>#NAME?</v>
      </c>
      <c r="O3567" s="28" t="e">
        <f ca="1">[1]!BexGetData("DP_1","003N8EMH8GTFRIVOG7KG9J3KE","GSON7310100007")</f>
        <v>#NAME?</v>
      </c>
      <c r="P3567" s="28" t="e">
        <f ca="1">[1]!BexGetData("DP_1","003N8EMH8GTFRIVOG7KG9J9VY","GSON7310100007")</f>
        <v>#NAME?</v>
      </c>
      <c r="Q3567" s="23" t="e">
        <f ca="1">[1]!BexGetData("DP_1","00O2TNJGODT0G5Z4TTKYMM5MT","GSON7310100007")</f>
        <v>#NAME?</v>
      </c>
      <c r="R3567" s="23" t="e">
        <f ca="1">[1]!BexGetData("DP_1","00O2TNJGODT0G5Z4TTKYMMBYD","GSON7310100007")</f>
        <v>#NAME?</v>
      </c>
      <c r="S3567" s="23" t="e">
        <f ca="1">[1]!BexGetData("DP_1","00O2TNJGODT0G5Z4TTKYMMI9X","GSON7310100007")</f>
        <v>#NAME?</v>
      </c>
      <c r="T3567" s="23" t="e">
        <f ca="1">[1]!BexGetData("DP_1","00O2TNJGODT0G5Z4TTKYMMOLH","GSON7310100007")</f>
        <v>#NAME?</v>
      </c>
      <c r="U3567" s="28" t="e">
        <f ca="1">[1]!BexGetData("DP_1","00O2TNJGODT0G5Z4TTKYMMUX1","GSON7310100007")</f>
        <v>#NAME?</v>
      </c>
      <c r="V3567" s="23" t="e">
        <f ca="1">[1]!BexGetData("DP_1","00O2TNJGODT0G5Z4TTKYMN18L","GSON7310100007")</f>
        <v>#NAME?</v>
      </c>
      <c r="W3567" s="28" t="e">
        <f ca="1">[1]!BexGetData("DP_1","00O2TNJGODT0G5Z4TTKYMN7K5","GSON7310100007")</f>
        <v>#NAME?</v>
      </c>
    </row>
    <row r="3568" spans="1:23" x14ac:dyDescent="0.2">
      <c r="A3568" s="33" t="s">
        <v>7141</v>
      </c>
      <c r="B3568" s="27" t="s">
        <v>7142</v>
      </c>
      <c r="C3568" s="24" t="e">
        <f ca="1">[1]!BexGetData("DP_1","003N8EMH8GTFRCSWKMPXRR8GU","GSON7310100008")</f>
        <v>#NAME?</v>
      </c>
      <c r="D3568" s="24" t="e">
        <f ca="1">[1]!BexGetData("DP_1","003N8EMH8GTFRCSWKMPXRRESE","GSON7310100008")</f>
        <v>#NAME?</v>
      </c>
      <c r="E3568" s="24" t="e">
        <f ca="1">[1]!BexGetData("DP_1","003N8EMH8GTFRCSWKMPXRRL3Y","GSON7310100008")</f>
        <v>#NAME?</v>
      </c>
      <c r="F3568" s="28" t="e">
        <f ca="1">[1]!BexGetData("DP_1","003N8EMH8GTFRCSWKMPXRRRFI","GSON7310100008")</f>
        <v>#NAME?</v>
      </c>
      <c r="G3568" s="28" t="e">
        <f ca="1">[1]!BexGetData("DP_1","003N8EMH8GTFRCSWKMPXRRXR2","GSON7310100008")</f>
        <v>#NAME?</v>
      </c>
      <c r="H3568" s="23" t="e">
        <f ca="1">[1]!BexGetData("DP_1","003N8EMH8GTFRCSWKMPXRS42M","GSON7310100008")</f>
        <v>#NAME?</v>
      </c>
      <c r="I3568" s="28" t="e">
        <f ca="1">[1]!BexGetData("DP_1","003N8EMH8GTFRCSWKMPXRSAE6","GSON7310100008")</f>
        <v>#NAME?</v>
      </c>
      <c r="J3568" s="23" t="e">
        <f ca="1">[1]!BexGetData("DP_1","003N8EMH8GTFRCSWKMPXRSGPQ","GSON7310100008")</f>
        <v>#NAME?</v>
      </c>
      <c r="K3568" s="28" t="e">
        <f ca="1">[1]!BexGetData("DP_1","003N8EMH8GTFRIVNUPY288VJH","GSON7310100008")</f>
        <v>#NAME?</v>
      </c>
      <c r="L3568" s="28" t="e">
        <f ca="1">[1]!BexGetData("DP_1","003N8EMH8GTFRIVNUPY2891V1","GSON7310100008")</f>
        <v>#NAME?</v>
      </c>
      <c r="M3568" s="28" t="e">
        <f ca="1">[1]!BexGetData("DP_1","003N8EMH8GTFRIVOG7KG9IQXA","GSON7310100008")</f>
        <v>#NAME?</v>
      </c>
      <c r="N3568" s="28" t="e">
        <f ca="1">[1]!BexGetData("DP_1","003N8EMH8GTFRIVOG7KG9IX8U","GSON7310100008")</f>
        <v>#NAME?</v>
      </c>
      <c r="O3568" s="28" t="e">
        <f ca="1">[1]!BexGetData("DP_1","003N8EMH8GTFRIVOG7KG9J3KE","GSON7310100008")</f>
        <v>#NAME?</v>
      </c>
      <c r="P3568" s="28" t="e">
        <f ca="1">[1]!BexGetData("DP_1","003N8EMH8GTFRIVOG7KG9J9VY","GSON7310100008")</f>
        <v>#NAME?</v>
      </c>
      <c r="Q3568" s="23" t="e">
        <f ca="1">[1]!BexGetData("DP_1","00O2TNJGODT0G5Z4TTKYMM5MT","GSON7310100008")</f>
        <v>#NAME?</v>
      </c>
      <c r="R3568" s="23" t="e">
        <f ca="1">[1]!BexGetData("DP_1","00O2TNJGODT0G5Z4TTKYMMBYD","GSON7310100008")</f>
        <v>#NAME?</v>
      </c>
      <c r="S3568" s="23" t="e">
        <f ca="1">[1]!BexGetData("DP_1","00O2TNJGODT0G5Z4TTKYMMI9X","GSON7310100008")</f>
        <v>#NAME?</v>
      </c>
      <c r="T3568" s="23" t="e">
        <f ca="1">[1]!BexGetData("DP_1","00O2TNJGODT0G5Z4TTKYMMOLH","GSON7310100008")</f>
        <v>#NAME?</v>
      </c>
      <c r="U3568" s="28" t="e">
        <f ca="1">[1]!BexGetData("DP_1","00O2TNJGODT0G5Z4TTKYMMUX1","GSON7310100008")</f>
        <v>#NAME?</v>
      </c>
      <c r="V3568" s="23" t="e">
        <f ca="1">[1]!BexGetData("DP_1","00O2TNJGODT0G5Z4TTKYMN18L","GSON7310100008")</f>
        <v>#NAME?</v>
      </c>
      <c r="W3568" s="28" t="e">
        <f ca="1">[1]!BexGetData("DP_1","00O2TNJGODT0G5Z4TTKYMN7K5","GSON7310100008")</f>
        <v>#NAME?</v>
      </c>
    </row>
    <row r="3569" spans="1:23" x14ac:dyDescent="0.2">
      <c r="A3569" s="33" t="s">
        <v>7143</v>
      </c>
      <c r="B3569" s="27" t="s">
        <v>7144</v>
      </c>
      <c r="C3569" s="24" t="e">
        <f ca="1">[1]!BexGetData("DP_1","003N8EMH8GTFRCSWKMPXRR8GU","GSON7310100010")</f>
        <v>#NAME?</v>
      </c>
      <c r="D3569" s="24" t="e">
        <f ca="1">[1]!BexGetData("DP_1","003N8EMH8GTFRCSWKMPXRRESE","GSON7310100010")</f>
        <v>#NAME?</v>
      </c>
      <c r="E3569" s="24" t="e">
        <f ca="1">[1]!BexGetData("DP_1","003N8EMH8GTFRCSWKMPXRRL3Y","GSON7310100010")</f>
        <v>#NAME?</v>
      </c>
      <c r="F3569" s="28" t="e">
        <f ca="1">[1]!BexGetData("DP_1","003N8EMH8GTFRCSWKMPXRRRFI","GSON7310100010")</f>
        <v>#NAME?</v>
      </c>
      <c r="G3569" s="28" t="e">
        <f ca="1">[1]!BexGetData("DP_1","003N8EMH8GTFRCSWKMPXRRXR2","GSON7310100010")</f>
        <v>#NAME?</v>
      </c>
      <c r="H3569" s="23" t="e">
        <f ca="1">[1]!BexGetData("DP_1","003N8EMH8GTFRCSWKMPXRS42M","GSON7310100010")</f>
        <v>#NAME?</v>
      </c>
      <c r="I3569" s="28" t="e">
        <f ca="1">[1]!BexGetData("DP_1","003N8EMH8GTFRCSWKMPXRSAE6","GSON7310100010")</f>
        <v>#NAME?</v>
      </c>
      <c r="J3569" s="23" t="e">
        <f ca="1">[1]!BexGetData("DP_1","003N8EMH8GTFRCSWKMPXRSGPQ","GSON7310100010")</f>
        <v>#NAME?</v>
      </c>
      <c r="K3569" s="28" t="e">
        <f ca="1">[1]!BexGetData("DP_1","003N8EMH8GTFRIVNUPY288VJH","GSON7310100010")</f>
        <v>#NAME?</v>
      </c>
      <c r="L3569" s="28" t="e">
        <f ca="1">[1]!BexGetData("DP_1","003N8EMH8GTFRIVNUPY2891V1","GSON7310100010")</f>
        <v>#NAME?</v>
      </c>
      <c r="M3569" s="28" t="e">
        <f ca="1">[1]!BexGetData("DP_1","003N8EMH8GTFRIVOG7KG9IQXA","GSON7310100010")</f>
        <v>#NAME?</v>
      </c>
      <c r="N3569" s="28" t="e">
        <f ca="1">[1]!BexGetData("DP_1","003N8EMH8GTFRIVOG7KG9IX8U","GSON7310100010")</f>
        <v>#NAME?</v>
      </c>
      <c r="O3569" s="28" t="e">
        <f ca="1">[1]!BexGetData("DP_1","003N8EMH8GTFRIVOG7KG9J3KE","GSON7310100010")</f>
        <v>#NAME?</v>
      </c>
      <c r="P3569" s="28" t="e">
        <f ca="1">[1]!BexGetData("DP_1","003N8EMH8GTFRIVOG7KG9J9VY","GSON7310100010")</f>
        <v>#NAME?</v>
      </c>
      <c r="Q3569" s="23" t="e">
        <f ca="1">[1]!BexGetData("DP_1","00O2TNJGODT0G5Z4TTKYMM5MT","GSON7310100010")</f>
        <v>#NAME?</v>
      </c>
      <c r="R3569" s="23" t="e">
        <f ca="1">[1]!BexGetData("DP_1","00O2TNJGODT0G5Z4TTKYMMBYD","GSON7310100010")</f>
        <v>#NAME?</v>
      </c>
      <c r="S3569" s="23" t="e">
        <f ca="1">[1]!BexGetData("DP_1","00O2TNJGODT0G5Z4TTKYMMI9X","GSON7310100010")</f>
        <v>#NAME?</v>
      </c>
      <c r="T3569" s="23" t="e">
        <f ca="1">[1]!BexGetData("DP_1","00O2TNJGODT0G5Z4TTKYMMOLH","GSON7310100010")</f>
        <v>#NAME?</v>
      </c>
      <c r="U3569" s="28" t="e">
        <f ca="1">[1]!BexGetData("DP_1","00O2TNJGODT0G5Z4TTKYMMUX1","GSON7310100010")</f>
        <v>#NAME?</v>
      </c>
      <c r="V3569" s="23" t="e">
        <f ca="1">[1]!BexGetData("DP_1","00O2TNJGODT0G5Z4TTKYMN18L","GSON7310100010")</f>
        <v>#NAME?</v>
      </c>
      <c r="W3569" s="28" t="e">
        <f ca="1">[1]!BexGetData("DP_1","00O2TNJGODT0G5Z4TTKYMN7K5","GSON7310100010")</f>
        <v>#NAME?</v>
      </c>
    </row>
    <row r="3570" spans="1:23" x14ac:dyDescent="0.2">
      <c r="A3570" s="33" t="s">
        <v>7145</v>
      </c>
      <c r="B3570" s="27" t="s">
        <v>7146</v>
      </c>
      <c r="C3570" s="24" t="e">
        <f ca="1">[1]!BexGetData("DP_1","003N8EMH8GTFRCSWKMPXRR8GU","GSON7310100011")</f>
        <v>#NAME?</v>
      </c>
      <c r="D3570" s="24" t="e">
        <f ca="1">[1]!BexGetData("DP_1","003N8EMH8GTFRCSWKMPXRRESE","GSON7310100011")</f>
        <v>#NAME?</v>
      </c>
      <c r="E3570" s="24" t="e">
        <f ca="1">[1]!BexGetData("DP_1","003N8EMH8GTFRCSWKMPXRRL3Y","GSON7310100011")</f>
        <v>#NAME?</v>
      </c>
      <c r="F3570" s="28" t="e">
        <f ca="1">[1]!BexGetData("DP_1","003N8EMH8GTFRCSWKMPXRRRFI","GSON7310100011")</f>
        <v>#NAME?</v>
      </c>
      <c r="G3570" s="28" t="e">
        <f ca="1">[1]!BexGetData("DP_1","003N8EMH8GTFRCSWKMPXRRXR2","GSON7310100011")</f>
        <v>#NAME?</v>
      </c>
      <c r="H3570" s="23" t="e">
        <f ca="1">[1]!BexGetData("DP_1","003N8EMH8GTFRCSWKMPXRS42M","GSON7310100011")</f>
        <v>#NAME?</v>
      </c>
      <c r="I3570" s="28" t="e">
        <f ca="1">[1]!BexGetData("DP_1","003N8EMH8GTFRCSWKMPXRSAE6","GSON7310100011")</f>
        <v>#NAME?</v>
      </c>
      <c r="J3570" s="23" t="e">
        <f ca="1">[1]!BexGetData("DP_1","003N8EMH8GTFRCSWKMPXRSGPQ","GSON7310100011")</f>
        <v>#NAME?</v>
      </c>
      <c r="K3570" s="28" t="e">
        <f ca="1">[1]!BexGetData("DP_1","003N8EMH8GTFRIVNUPY288VJH","GSON7310100011")</f>
        <v>#NAME?</v>
      </c>
      <c r="L3570" s="28" t="e">
        <f ca="1">[1]!BexGetData("DP_1","003N8EMH8GTFRIVNUPY2891V1","GSON7310100011")</f>
        <v>#NAME?</v>
      </c>
      <c r="M3570" s="28" t="e">
        <f ca="1">[1]!BexGetData("DP_1","003N8EMH8GTFRIVOG7KG9IQXA","GSON7310100011")</f>
        <v>#NAME?</v>
      </c>
      <c r="N3570" s="28" t="e">
        <f ca="1">[1]!BexGetData("DP_1","003N8EMH8GTFRIVOG7KG9IX8U","GSON7310100011")</f>
        <v>#NAME?</v>
      </c>
      <c r="O3570" s="28" t="e">
        <f ca="1">[1]!BexGetData("DP_1","003N8EMH8GTFRIVOG7KG9J3KE","GSON7310100011")</f>
        <v>#NAME?</v>
      </c>
      <c r="P3570" s="28" t="e">
        <f ca="1">[1]!BexGetData("DP_1","003N8EMH8GTFRIVOG7KG9J9VY","GSON7310100011")</f>
        <v>#NAME?</v>
      </c>
      <c r="Q3570" s="23" t="e">
        <f ca="1">[1]!BexGetData("DP_1","00O2TNJGODT0G5Z4TTKYMM5MT","GSON7310100011")</f>
        <v>#NAME?</v>
      </c>
      <c r="R3570" s="23" t="e">
        <f ca="1">[1]!BexGetData("DP_1","00O2TNJGODT0G5Z4TTKYMMBYD","GSON7310100011")</f>
        <v>#NAME?</v>
      </c>
      <c r="S3570" s="23" t="e">
        <f ca="1">[1]!BexGetData("DP_1","00O2TNJGODT0G5Z4TTKYMMI9X","GSON7310100011")</f>
        <v>#NAME?</v>
      </c>
      <c r="T3570" s="23" t="e">
        <f ca="1">[1]!BexGetData("DP_1","00O2TNJGODT0G5Z4TTKYMMOLH","GSON7310100011")</f>
        <v>#NAME?</v>
      </c>
      <c r="U3570" s="28" t="e">
        <f ca="1">[1]!BexGetData("DP_1","00O2TNJGODT0G5Z4TTKYMMUX1","GSON7310100011")</f>
        <v>#NAME?</v>
      </c>
      <c r="V3570" s="23" t="e">
        <f ca="1">[1]!BexGetData("DP_1","00O2TNJGODT0G5Z4TTKYMN18L","GSON7310100011")</f>
        <v>#NAME?</v>
      </c>
      <c r="W3570" s="28" t="e">
        <f ca="1">[1]!BexGetData("DP_1","00O2TNJGODT0G5Z4TTKYMN7K5","GSON7310100011")</f>
        <v>#NAME?</v>
      </c>
    </row>
    <row r="3571" spans="1:23" x14ac:dyDescent="0.2">
      <c r="A3571" s="33" t="s">
        <v>7147</v>
      </c>
      <c r="B3571" s="27" t="s">
        <v>7148</v>
      </c>
      <c r="C3571" s="28" t="e">
        <f ca="1">[1]!BexGetData("DP_1","003N8EMH8GTFRCSWKMPXRR8GU","GSON7310100012")</f>
        <v>#NAME?</v>
      </c>
      <c r="D3571" s="28" t="e">
        <f ca="1">[1]!BexGetData("DP_1","003N8EMH8GTFRCSWKMPXRRESE","GSON7310100012")</f>
        <v>#NAME?</v>
      </c>
      <c r="E3571" s="23" t="e">
        <f ca="1">[1]!BexGetData("DP_1","003N8EMH8GTFRCSWKMPXRRL3Y","GSON7310100012")</f>
        <v>#NAME?</v>
      </c>
      <c r="F3571" s="23" t="e">
        <f ca="1">[1]!BexGetData("DP_1","003N8EMH8GTFRCSWKMPXRRRFI","GSON7310100012")</f>
        <v>#NAME?</v>
      </c>
      <c r="G3571" s="28" t="e">
        <f ca="1">[1]!BexGetData("DP_1","003N8EMH8GTFRCSWKMPXRRXR2","GSON7310100012")</f>
        <v>#NAME?</v>
      </c>
      <c r="H3571" s="23" t="e">
        <f ca="1">[1]!BexGetData("DP_1","003N8EMH8GTFRCSWKMPXRS42M","GSON7310100012")</f>
        <v>#NAME?</v>
      </c>
      <c r="I3571" s="23" t="e">
        <f ca="1">[1]!BexGetData("DP_1","003N8EMH8GTFRCSWKMPXRSAE6","GSON7310100012")</f>
        <v>#NAME?</v>
      </c>
      <c r="J3571" s="23" t="e">
        <f ca="1">[1]!BexGetData("DP_1","003N8EMH8GTFRCSWKMPXRSGPQ","GSON7310100012")</f>
        <v>#NAME?</v>
      </c>
      <c r="K3571" s="28" t="e">
        <f ca="1">[1]!BexGetData("DP_1","003N8EMH8GTFRIVNUPY288VJH","GSON7310100012")</f>
        <v>#NAME?</v>
      </c>
      <c r="L3571" s="28" t="e">
        <f ca="1">[1]!BexGetData("DP_1","003N8EMH8GTFRIVNUPY2891V1","GSON7310100012")</f>
        <v>#NAME?</v>
      </c>
      <c r="M3571" s="28" t="e">
        <f ca="1">[1]!BexGetData("DP_1","003N8EMH8GTFRIVOG7KG9IQXA","GSON7310100012")</f>
        <v>#NAME?</v>
      </c>
      <c r="N3571" s="28" t="e">
        <f ca="1">[1]!BexGetData("DP_1","003N8EMH8GTFRIVOG7KG9IX8U","GSON7310100012")</f>
        <v>#NAME?</v>
      </c>
      <c r="O3571" s="28" t="e">
        <f ca="1">[1]!BexGetData("DP_1","003N8EMH8GTFRIVOG7KG9J3KE","GSON7310100012")</f>
        <v>#NAME?</v>
      </c>
      <c r="P3571" s="28" t="e">
        <f ca="1">[1]!BexGetData("DP_1","003N8EMH8GTFRIVOG7KG9J9VY","GSON7310100012")</f>
        <v>#NAME?</v>
      </c>
      <c r="Q3571" s="23" t="e">
        <f ca="1">[1]!BexGetData("DP_1","00O2TNJGODT0G5Z4TTKYMM5MT","GSON7310100012")</f>
        <v>#NAME?</v>
      </c>
      <c r="R3571" s="23" t="e">
        <f ca="1">[1]!BexGetData("DP_1","00O2TNJGODT0G5Z4TTKYMMBYD","GSON7310100012")</f>
        <v>#NAME?</v>
      </c>
      <c r="S3571" s="23" t="e">
        <f ca="1">[1]!BexGetData("DP_1","00O2TNJGODT0G5Z4TTKYMMI9X","GSON7310100012")</f>
        <v>#NAME?</v>
      </c>
      <c r="T3571" s="23" t="e">
        <f ca="1">[1]!BexGetData("DP_1","00O2TNJGODT0G5Z4TTKYMMOLH","GSON7310100012")</f>
        <v>#NAME?</v>
      </c>
      <c r="U3571" s="28" t="e">
        <f ca="1">[1]!BexGetData("DP_1","00O2TNJGODT0G5Z4TTKYMMUX1","GSON7310100012")</f>
        <v>#NAME?</v>
      </c>
      <c r="V3571" s="23" t="e">
        <f ca="1">[1]!BexGetData("DP_1","00O2TNJGODT0G5Z4TTKYMN18L","GSON7310100012")</f>
        <v>#NAME?</v>
      </c>
      <c r="W3571" s="28" t="e">
        <f ca="1">[1]!BexGetData("DP_1","00O2TNJGODT0G5Z4TTKYMN7K5","GSON7310100012")</f>
        <v>#NAME?</v>
      </c>
    </row>
    <row r="3572" spans="1:23" x14ac:dyDescent="0.2">
      <c r="A3572" s="33" t="s">
        <v>7149</v>
      </c>
      <c r="B3572" s="27" t="s">
        <v>7150</v>
      </c>
      <c r="C3572" s="24" t="e">
        <f ca="1">[1]!BexGetData("DP_1","003N8EMH8GTFRCSWKMPXRR8GU","GSON7310100015")</f>
        <v>#NAME?</v>
      </c>
      <c r="D3572" s="24" t="e">
        <f ca="1">[1]!BexGetData("DP_1","003N8EMH8GTFRCSWKMPXRRESE","GSON7310100015")</f>
        <v>#NAME?</v>
      </c>
      <c r="E3572" s="24" t="e">
        <f ca="1">[1]!BexGetData("DP_1","003N8EMH8GTFRCSWKMPXRRL3Y","GSON7310100015")</f>
        <v>#NAME?</v>
      </c>
      <c r="F3572" s="28" t="e">
        <f ca="1">[1]!BexGetData("DP_1","003N8EMH8GTFRCSWKMPXRRRFI","GSON7310100015")</f>
        <v>#NAME?</v>
      </c>
      <c r="G3572" s="28" t="e">
        <f ca="1">[1]!BexGetData("DP_1","003N8EMH8GTFRCSWKMPXRRXR2","GSON7310100015")</f>
        <v>#NAME?</v>
      </c>
      <c r="H3572" s="23" t="e">
        <f ca="1">[1]!BexGetData("DP_1","003N8EMH8GTFRCSWKMPXRS42M","GSON7310100015")</f>
        <v>#NAME?</v>
      </c>
      <c r="I3572" s="28" t="e">
        <f ca="1">[1]!BexGetData("DP_1","003N8EMH8GTFRCSWKMPXRSAE6","GSON7310100015")</f>
        <v>#NAME?</v>
      </c>
      <c r="J3572" s="23" t="e">
        <f ca="1">[1]!BexGetData("DP_1","003N8EMH8GTFRCSWKMPXRSGPQ","GSON7310100015")</f>
        <v>#NAME?</v>
      </c>
      <c r="K3572" s="28" t="e">
        <f ca="1">[1]!BexGetData("DP_1","003N8EMH8GTFRIVNUPY288VJH","GSON7310100015")</f>
        <v>#NAME?</v>
      </c>
      <c r="L3572" s="28" t="e">
        <f ca="1">[1]!BexGetData("DP_1","003N8EMH8GTFRIVNUPY2891V1","GSON7310100015")</f>
        <v>#NAME?</v>
      </c>
      <c r="M3572" s="28" t="e">
        <f ca="1">[1]!BexGetData("DP_1","003N8EMH8GTFRIVOG7KG9IQXA","GSON7310100015")</f>
        <v>#NAME?</v>
      </c>
      <c r="N3572" s="28" t="e">
        <f ca="1">[1]!BexGetData("DP_1","003N8EMH8GTFRIVOG7KG9IX8U","GSON7310100015")</f>
        <v>#NAME?</v>
      </c>
      <c r="O3572" s="28" t="e">
        <f ca="1">[1]!BexGetData("DP_1","003N8EMH8GTFRIVOG7KG9J3KE","GSON7310100015")</f>
        <v>#NAME?</v>
      </c>
      <c r="P3572" s="28" t="e">
        <f ca="1">[1]!BexGetData("DP_1","003N8EMH8GTFRIVOG7KG9J9VY","GSON7310100015")</f>
        <v>#NAME?</v>
      </c>
      <c r="Q3572" s="23" t="e">
        <f ca="1">[1]!BexGetData("DP_1","00O2TNJGODT0G5Z4TTKYMM5MT","GSON7310100015")</f>
        <v>#NAME?</v>
      </c>
      <c r="R3572" s="23" t="e">
        <f ca="1">[1]!BexGetData("DP_1","00O2TNJGODT0G5Z4TTKYMMBYD","GSON7310100015")</f>
        <v>#NAME?</v>
      </c>
      <c r="S3572" s="23" t="e">
        <f ca="1">[1]!BexGetData("DP_1","00O2TNJGODT0G5Z4TTKYMMI9X","GSON7310100015")</f>
        <v>#NAME?</v>
      </c>
      <c r="T3572" s="23" t="e">
        <f ca="1">[1]!BexGetData("DP_1","00O2TNJGODT0G5Z4TTKYMMOLH","GSON7310100015")</f>
        <v>#NAME?</v>
      </c>
      <c r="U3572" s="28" t="e">
        <f ca="1">[1]!BexGetData("DP_1","00O2TNJGODT0G5Z4TTKYMMUX1","GSON7310100015")</f>
        <v>#NAME?</v>
      </c>
      <c r="V3572" s="23" t="e">
        <f ca="1">[1]!BexGetData("DP_1","00O2TNJGODT0G5Z4TTKYMN18L","GSON7310100015")</f>
        <v>#NAME?</v>
      </c>
      <c r="W3572" s="28" t="e">
        <f ca="1">[1]!BexGetData("DP_1","00O2TNJGODT0G5Z4TTKYMN7K5","GSON7310100015")</f>
        <v>#NAME?</v>
      </c>
    </row>
    <row r="3573" spans="1:23" x14ac:dyDescent="0.2">
      <c r="A3573" s="33" t="s">
        <v>7151</v>
      </c>
      <c r="B3573" s="27" t="s">
        <v>7152</v>
      </c>
      <c r="C3573" s="24" t="e">
        <f ca="1">[1]!BexGetData("DP_1","003N8EMH8GTFRCSWKMPXRR8GU","GSON7310100016")</f>
        <v>#NAME?</v>
      </c>
      <c r="D3573" s="24" t="e">
        <f ca="1">[1]!BexGetData("DP_1","003N8EMH8GTFRCSWKMPXRRESE","GSON7310100016")</f>
        <v>#NAME?</v>
      </c>
      <c r="E3573" s="24" t="e">
        <f ca="1">[1]!BexGetData("DP_1","003N8EMH8GTFRCSWKMPXRRL3Y","GSON7310100016")</f>
        <v>#NAME?</v>
      </c>
      <c r="F3573" s="28" t="e">
        <f ca="1">[1]!BexGetData("DP_1","003N8EMH8GTFRCSWKMPXRRRFI","GSON7310100016")</f>
        <v>#NAME?</v>
      </c>
      <c r="G3573" s="28" t="e">
        <f ca="1">[1]!BexGetData("DP_1","003N8EMH8GTFRCSWKMPXRRXR2","GSON7310100016")</f>
        <v>#NAME?</v>
      </c>
      <c r="H3573" s="23" t="e">
        <f ca="1">[1]!BexGetData("DP_1","003N8EMH8GTFRCSWKMPXRS42M","GSON7310100016")</f>
        <v>#NAME?</v>
      </c>
      <c r="I3573" s="28" t="e">
        <f ca="1">[1]!BexGetData("DP_1","003N8EMH8GTFRCSWKMPXRSAE6","GSON7310100016")</f>
        <v>#NAME?</v>
      </c>
      <c r="J3573" s="23" t="e">
        <f ca="1">[1]!BexGetData("DP_1","003N8EMH8GTFRCSWKMPXRSGPQ","GSON7310100016")</f>
        <v>#NAME?</v>
      </c>
      <c r="K3573" s="28" t="e">
        <f ca="1">[1]!BexGetData("DP_1","003N8EMH8GTFRIVNUPY288VJH","GSON7310100016")</f>
        <v>#NAME?</v>
      </c>
      <c r="L3573" s="28" t="e">
        <f ca="1">[1]!BexGetData("DP_1","003N8EMH8GTFRIVNUPY2891V1","GSON7310100016")</f>
        <v>#NAME?</v>
      </c>
      <c r="M3573" s="28" t="e">
        <f ca="1">[1]!BexGetData("DP_1","003N8EMH8GTFRIVOG7KG9IQXA","GSON7310100016")</f>
        <v>#NAME?</v>
      </c>
      <c r="N3573" s="28" t="e">
        <f ca="1">[1]!BexGetData("DP_1","003N8EMH8GTFRIVOG7KG9IX8U","GSON7310100016")</f>
        <v>#NAME?</v>
      </c>
      <c r="O3573" s="28" t="e">
        <f ca="1">[1]!BexGetData("DP_1","003N8EMH8GTFRIVOG7KG9J3KE","GSON7310100016")</f>
        <v>#NAME?</v>
      </c>
      <c r="P3573" s="28" t="e">
        <f ca="1">[1]!BexGetData("DP_1","003N8EMH8GTFRIVOG7KG9J9VY","GSON7310100016")</f>
        <v>#NAME?</v>
      </c>
      <c r="Q3573" s="23" t="e">
        <f ca="1">[1]!BexGetData("DP_1","00O2TNJGODT0G5Z4TTKYMM5MT","GSON7310100016")</f>
        <v>#NAME?</v>
      </c>
      <c r="R3573" s="23" t="e">
        <f ca="1">[1]!BexGetData("DP_1","00O2TNJGODT0G5Z4TTKYMMBYD","GSON7310100016")</f>
        <v>#NAME?</v>
      </c>
      <c r="S3573" s="23" t="e">
        <f ca="1">[1]!BexGetData("DP_1","00O2TNJGODT0G5Z4TTKYMMI9X","GSON7310100016")</f>
        <v>#NAME?</v>
      </c>
      <c r="T3573" s="23" t="e">
        <f ca="1">[1]!BexGetData("DP_1","00O2TNJGODT0G5Z4TTKYMMOLH","GSON7310100016")</f>
        <v>#NAME?</v>
      </c>
      <c r="U3573" s="28" t="e">
        <f ca="1">[1]!BexGetData("DP_1","00O2TNJGODT0G5Z4TTKYMMUX1","GSON7310100016")</f>
        <v>#NAME?</v>
      </c>
      <c r="V3573" s="23" t="e">
        <f ca="1">[1]!BexGetData("DP_1","00O2TNJGODT0G5Z4TTKYMN18L","GSON7310100016")</f>
        <v>#NAME?</v>
      </c>
      <c r="W3573" s="28" t="e">
        <f ca="1">[1]!BexGetData("DP_1","00O2TNJGODT0G5Z4TTKYMN7K5","GSON7310100016")</f>
        <v>#NAME?</v>
      </c>
    </row>
    <row r="3574" spans="1:23" x14ac:dyDescent="0.2">
      <c r="A3574" s="33" t="s">
        <v>7153</v>
      </c>
      <c r="B3574" s="27" t="s">
        <v>7154</v>
      </c>
      <c r="C3574" s="24" t="e">
        <f ca="1">[1]!BexGetData("DP_1","003N8EMH8GTFRCSWKMPXRR8GU","GSON7310100017")</f>
        <v>#NAME?</v>
      </c>
      <c r="D3574" s="24" t="e">
        <f ca="1">[1]!BexGetData("DP_1","003N8EMH8GTFRCSWKMPXRRESE","GSON7310100017")</f>
        <v>#NAME?</v>
      </c>
      <c r="E3574" s="24" t="e">
        <f ca="1">[1]!BexGetData("DP_1","003N8EMH8GTFRCSWKMPXRRL3Y","GSON7310100017")</f>
        <v>#NAME?</v>
      </c>
      <c r="F3574" s="28" t="e">
        <f ca="1">[1]!BexGetData("DP_1","003N8EMH8GTFRCSWKMPXRRRFI","GSON7310100017")</f>
        <v>#NAME?</v>
      </c>
      <c r="G3574" s="28" t="e">
        <f ca="1">[1]!BexGetData("DP_1","003N8EMH8GTFRCSWKMPXRRXR2","GSON7310100017")</f>
        <v>#NAME?</v>
      </c>
      <c r="H3574" s="23" t="e">
        <f ca="1">[1]!BexGetData("DP_1","003N8EMH8GTFRCSWKMPXRS42M","GSON7310100017")</f>
        <v>#NAME?</v>
      </c>
      <c r="I3574" s="28" t="e">
        <f ca="1">[1]!BexGetData("DP_1","003N8EMH8GTFRCSWKMPXRSAE6","GSON7310100017")</f>
        <v>#NAME?</v>
      </c>
      <c r="J3574" s="23" t="e">
        <f ca="1">[1]!BexGetData("DP_1","003N8EMH8GTFRCSWKMPXRSGPQ","GSON7310100017")</f>
        <v>#NAME?</v>
      </c>
      <c r="K3574" s="28" t="e">
        <f ca="1">[1]!BexGetData("DP_1","003N8EMH8GTFRIVNUPY288VJH","GSON7310100017")</f>
        <v>#NAME?</v>
      </c>
      <c r="L3574" s="28" t="e">
        <f ca="1">[1]!BexGetData("DP_1","003N8EMH8GTFRIVNUPY2891V1","GSON7310100017")</f>
        <v>#NAME?</v>
      </c>
      <c r="M3574" s="28" t="e">
        <f ca="1">[1]!BexGetData("DP_1","003N8EMH8GTFRIVOG7KG9IQXA","GSON7310100017")</f>
        <v>#NAME?</v>
      </c>
      <c r="N3574" s="28" t="e">
        <f ca="1">[1]!BexGetData("DP_1","003N8EMH8GTFRIVOG7KG9IX8U","GSON7310100017")</f>
        <v>#NAME?</v>
      </c>
      <c r="O3574" s="28" t="e">
        <f ca="1">[1]!BexGetData("DP_1","003N8EMH8GTFRIVOG7KG9J3KE","GSON7310100017")</f>
        <v>#NAME?</v>
      </c>
      <c r="P3574" s="28" t="e">
        <f ca="1">[1]!BexGetData("DP_1","003N8EMH8GTFRIVOG7KG9J9VY","GSON7310100017")</f>
        <v>#NAME?</v>
      </c>
      <c r="Q3574" s="23" t="e">
        <f ca="1">[1]!BexGetData("DP_1","00O2TNJGODT0G5Z4TTKYMM5MT","GSON7310100017")</f>
        <v>#NAME?</v>
      </c>
      <c r="R3574" s="23" t="e">
        <f ca="1">[1]!BexGetData("DP_1","00O2TNJGODT0G5Z4TTKYMMBYD","GSON7310100017")</f>
        <v>#NAME?</v>
      </c>
      <c r="S3574" s="23" t="e">
        <f ca="1">[1]!BexGetData("DP_1","00O2TNJGODT0G5Z4TTKYMMI9X","GSON7310100017")</f>
        <v>#NAME?</v>
      </c>
      <c r="T3574" s="23" t="e">
        <f ca="1">[1]!BexGetData("DP_1","00O2TNJGODT0G5Z4TTKYMMOLH","GSON7310100017")</f>
        <v>#NAME?</v>
      </c>
      <c r="U3574" s="28" t="e">
        <f ca="1">[1]!BexGetData("DP_1","00O2TNJGODT0G5Z4TTKYMMUX1","GSON7310100017")</f>
        <v>#NAME?</v>
      </c>
      <c r="V3574" s="23" t="e">
        <f ca="1">[1]!BexGetData("DP_1","00O2TNJGODT0G5Z4TTKYMN18L","GSON7310100017")</f>
        <v>#NAME?</v>
      </c>
      <c r="W3574" s="28" t="e">
        <f ca="1">[1]!BexGetData("DP_1","00O2TNJGODT0G5Z4TTKYMN7K5","GSON7310100017")</f>
        <v>#NAME?</v>
      </c>
    </row>
    <row r="3575" spans="1:23" x14ac:dyDescent="0.2">
      <c r="A3575" s="33" t="s">
        <v>7155</v>
      </c>
      <c r="B3575" s="27" t="s">
        <v>7156</v>
      </c>
      <c r="C3575" s="24" t="e">
        <f ca="1">[1]!BexGetData("DP_1","003N8EMH8GTFRCSWKMPXRR8GU","GSON7310100019")</f>
        <v>#NAME?</v>
      </c>
      <c r="D3575" s="24" t="e">
        <f ca="1">[1]!BexGetData("DP_1","003N8EMH8GTFRCSWKMPXRRESE","GSON7310100019")</f>
        <v>#NAME?</v>
      </c>
      <c r="E3575" s="24" t="e">
        <f ca="1">[1]!BexGetData("DP_1","003N8EMH8GTFRCSWKMPXRRL3Y","GSON7310100019")</f>
        <v>#NAME?</v>
      </c>
      <c r="F3575" s="28" t="e">
        <f ca="1">[1]!BexGetData("DP_1","003N8EMH8GTFRCSWKMPXRRRFI","GSON7310100019")</f>
        <v>#NAME?</v>
      </c>
      <c r="G3575" s="28" t="e">
        <f ca="1">[1]!BexGetData("DP_1","003N8EMH8GTFRCSWKMPXRRXR2","GSON7310100019")</f>
        <v>#NAME?</v>
      </c>
      <c r="H3575" s="23" t="e">
        <f ca="1">[1]!BexGetData("DP_1","003N8EMH8GTFRCSWKMPXRS42M","GSON7310100019")</f>
        <v>#NAME?</v>
      </c>
      <c r="I3575" s="28" t="e">
        <f ca="1">[1]!BexGetData("DP_1","003N8EMH8GTFRCSWKMPXRSAE6","GSON7310100019")</f>
        <v>#NAME?</v>
      </c>
      <c r="J3575" s="23" t="e">
        <f ca="1">[1]!BexGetData("DP_1","003N8EMH8GTFRCSWKMPXRSGPQ","GSON7310100019")</f>
        <v>#NAME?</v>
      </c>
      <c r="K3575" s="28" t="e">
        <f ca="1">[1]!BexGetData("DP_1","003N8EMH8GTFRIVNUPY288VJH","GSON7310100019")</f>
        <v>#NAME?</v>
      </c>
      <c r="L3575" s="28" t="e">
        <f ca="1">[1]!BexGetData("DP_1","003N8EMH8GTFRIVNUPY2891V1","GSON7310100019")</f>
        <v>#NAME?</v>
      </c>
      <c r="M3575" s="28" t="e">
        <f ca="1">[1]!BexGetData("DP_1","003N8EMH8GTFRIVOG7KG9IQXA","GSON7310100019")</f>
        <v>#NAME?</v>
      </c>
      <c r="N3575" s="28" t="e">
        <f ca="1">[1]!BexGetData("DP_1","003N8EMH8GTFRIVOG7KG9IX8U","GSON7310100019")</f>
        <v>#NAME?</v>
      </c>
      <c r="O3575" s="28" t="e">
        <f ca="1">[1]!BexGetData("DP_1","003N8EMH8GTFRIVOG7KG9J3KE","GSON7310100019")</f>
        <v>#NAME?</v>
      </c>
      <c r="P3575" s="28" t="e">
        <f ca="1">[1]!BexGetData("DP_1","003N8EMH8GTFRIVOG7KG9J9VY","GSON7310100019")</f>
        <v>#NAME?</v>
      </c>
      <c r="Q3575" s="23" t="e">
        <f ca="1">[1]!BexGetData("DP_1","00O2TNJGODT0G5Z4TTKYMM5MT","GSON7310100019")</f>
        <v>#NAME?</v>
      </c>
      <c r="R3575" s="23" t="e">
        <f ca="1">[1]!BexGetData("DP_1","00O2TNJGODT0G5Z4TTKYMMBYD","GSON7310100019")</f>
        <v>#NAME?</v>
      </c>
      <c r="S3575" s="23" t="e">
        <f ca="1">[1]!BexGetData("DP_1","00O2TNJGODT0G5Z4TTKYMMI9X","GSON7310100019")</f>
        <v>#NAME?</v>
      </c>
      <c r="T3575" s="23" t="e">
        <f ca="1">[1]!BexGetData("DP_1","00O2TNJGODT0G5Z4TTKYMMOLH","GSON7310100019")</f>
        <v>#NAME?</v>
      </c>
      <c r="U3575" s="28" t="e">
        <f ca="1">[1]!BexGetData("DP_1","00O2TNJGODT0G5Z4TTKYMMUX1","GSON7310100019")</f>
        <v>#NAME?</v>
      </c>
      <c r="V3575" s="23" t="e">
        <f ca="1">[1]!BexGetData("DP_1","00O2TNJGODT0G5Z4TTKYMN18L","GSON7310100019")</f>
        <v>#NAME?</v>
      </c>
      <c r="W3575" s="28" t="e">
        <f ca="1">[1]!BexGetData("DP_1","00O2TNJGODT0G5Z4TTKYMN7K5","GSON7310100019")</f>
        <v>#NAME?</v>
      </c>
    </row>
    <row r="3576" spans="1:23" x14ac:dyDescent="0.2">
      <c r="A3576" s="33" t="s">
        <v>7157</v>
      </c>
      <c r="B3576" s="27" t="s">
        <v>7158</v>
      </c>
      <c r="C3576" s="24" t="e">
        <f ca="1">[1]!BexGetData("DP_1","003N8EMH8GTFRCSWKMPXRR8GU","GSON7310100020")</f>
        <v>#NAME?</v>
      </c>
      <c r="D3576" s="24" t="e">
        <f ca="1">[1]!BexGetData("DP_1","003N8EMH8GTFRCSWKMPXRRESE","GSON7310100020")</f>
        <v>#NAME?</v>
      </c>
      <c r="E3576" s="24" t="e">
        <f ca="1">[1]!BexGetData("DP_1","003N8EMH8GTFRCSWKMPXRRL3Y","GSON7310100020")</f>
        <v>#NAME?</v>
      </c>
      <c r="F3576" s="28" t="e">
        <f ca="1">[1]!BexGetData("DP_1","003N8EMH8GTFRCSWKMPXRRRFI","GSON7310100020")</f>
        <v>#NAME?</v>
      </c>
      <c r="G3576" s="28" t="e">
        <f ca="1">[1]!BexGetData("DP_1","003N8EMH8GTFRCSWKMPXRRXR2","GSON7310100020")</f>
        <v>#NAME?</v>
      </c>
      <c r="H3576" s="23" t="e">
        <f ca="1">[1]!BexGetData("DP_1","003N8EMH8GTFRCSWKMPXRS42M","GSON7310100020")</f>
        <v>#NAME?</v>
      </c>
      <c r="I3576" s="28" t="e">
        <f ca="1">[1]!BexGetData("DP_1","003N8EMH8GTFRCSWKMPXRSAE6","GSON7310100020")</f>
        <v>#NAME?</v>
      </c>
      <c r="J3576" s="23" t="e">
        <f ca="1">[1]!BexGetData("DP_1","003N8EMH8GTFRCSWKMPXRSGPQ","GSON7310100020")</f>
        <v>#NAME?</v>
      </c>
      <c r="K3576" s="28" t="e">
        <f ca="1">[1]!BexGetData("DP_1","003N8EMH8GTFRIVNUPY288VJH","GSON7310100020")</f>
        <v>#NAME?</v>
      </c>
      <c r="L3576" s="28" t="e">
        <f ca="1">[1]!BexGetData("DP_1","003N8EMH8GTFRIVNUPY2891V1","GSON7310100020")</f>
        <v>#NAME?</v>
      </c>
      <c r="M3576" s="28" t="e">
        <f ca="1">[1]!BexGetData("DP_1","003N8EMH8GTFRIVOG7KG9IQXA","GSON7310100020")</f>
        <v>#NAME?</v>
      </c>
      <c r="N3576" s="28" t="e">
        <f ca="1">[1]!BexGetData("DP_1","003N8EMH8GTFRIVOG7KG9IX8U","GSON7310100020")</f>
        <v>#NAME?</v>
      </c>
      <c r="O3576" s="28" t="e">
        <f ca="1">[1]!BexGetData("DP_1","003N8EMH8GTFRIVOG7KG9J3KE","GSON7310100020")</f>
        <v>#NAME?</v>
      </c>
      <c r="P3576" s="28" t="e">
        <f ca="1">[1]!BexGetData("DP_1","003N8EMH8GTFRIVOG7KG9J9VY","GSON7310100020")</f>
        <v>#NAME?</v>
      </c>
      <c r="Q3576" s="23" t="e">
        <f ca="1">[1]!BexGetData("DP_1","00O2TNJGODT0G5Z4TTKYMM5MT","GSON7310100020")</f>
        <v>#NAME?</v>
      </c>
      <c r="R3576" s="23" t="e">
        <f ca="1">[1]!BexGetData("DP_1","00O2TNJGODT0G5Z4TTKYMMBYD","GSON7310100020")</f>
        <v>#NAME?</v>
      </c>
      <c r="S3576" s="23" t="e">
        <f ca="1">[1]!BexGetData("DP_1","00O2TNJGODT0G5Z4TTKYMMI9X","GSON7310100020")</f>
        <v>#NAME?</v>
      </c>
      <c r="T3576" s="23" t="e">
        <f ca="1">[1]!BexGetData("DP_1","00O2TNJGODT0G5Z4TTKYMMOLH","GSON7310100020")</f>
        <v>#NAME?</v>
      </c>
      <c r="U3576" s="28" t="e">
        <f ca="1">[1]!BexGetData("DP_1","00O2TNJGODT0G5Z4TTKYMMUX1","GSON7310100020")</f>
        <v>#NAME?</v>
      </c>
      <c r="V3576" s="23" t="e">
        <f ca="1">[1]!BexGetData("DP_1","00O2TNJGODT0G5Z4TTKYMN18L","GSON7310100020")</f>
        <v>#NAME?</v>
      </c>
      <c r="W3576" s="28" t="e">
        <f ca="1">[1]!BexGetData("DP_1","00O2TNJGODT0G5Z4TTKYMN7K5","GSON7310100020")</f>
        <v>#NAME?</v>
      </c>
    </row>
    <row r="3577" spans="1:23" x14ac:dyDescent="0.2">
      <c r="A3577" s="33" t="s">
        <v>7159</v>
      </c>
      <c r="B3577" s="27" t="s">
        <v>7160</v>
      </c>
      <c r="C3577" s="24" t="e">
        <f ca="1">[1]!BexGetData("DP_1","003N8EMH8GTFRCSWKMPXRR8GU","GSON7310100021")</f>
        <v>#NAME?</v>
      </c>
      <c r="D3577" s="24" t="e">
        <f ca="1">[1]!BexGetData("DP_1","003N8EMH8GTFRCSWKMPXRRESE","GSON7310100021")</f>
        <v>#NAME?</v>
      </c>
      <c r="E3577" s="24" t="e">
        <f ca="1">[1]!BexGetData("DP_1","003N8EMH8GTFRCSWKMPXRRL3Y","GSON7310100021")</f>
        <v>#NAME?</v>
      </c>
      <c r="F3577" s="28" t="e">
        <f ca="1">[1]!BexGetData("DP_1","003N8EMH8GTFRCSWKMPXRRRFI","GSON7310100021")</f>
        <v>#NAME?</v>
      </c>
      <c r="G3577" s="28" t="e">
        <f ca="1">[1]!BexGetData("DP_1","003N8EMH8GTFRCSWKMPXRRXR2","GSON7310100021")</f>
        <v>#NAME?</v>
      </c>
      <c r="H3577" s="23" t="e">
        <f ca="1">[1]!BexGetData("DP_1","003N8EMH8GTFRCSWKMPXRS42M","GSON7310100021")</f>
        <v>#NAME?</v>
      </c>
      <c r="I3577" s="28" t="e">
        <f ca="1">[1]!BexGetData("DP_1","003N8EMH8GTFRCSWKMPXRSAE6","GSON7310100021")</f>
        <v>#NAME?</v>
      </c>
      <c r="J3577" s="23" t="e">
        <f ca="1">[1]!BexGetData("DP_1","003N8EMH8GTFRCSWKMPXRSGPQ","GSON7310100021")</f>
        <v>#NAME?</v>
      </c>
      <c r="K3577" s="28" t="e">
        <f ca="1">[1]!BexGetData("DP_1","003N8EMH8GTFRIVNUPY288VJH","GSON7310100021")</f>
        <v>#NAME?</v>
      </c>
      <c r="L3577" s="28" t="e">
        <f ca="1">[1]!BexGetData("DP_1","003N8EMH8GTFRIVNUPY2891V1","GSON7310100021")</f>
        <v>#NAME?</v>
      </c>
      <c r="M3577" s="28" t="e">
        <f ca="1">[1]!BexGetData("DP_1","003N8EMH8GTFRIVOG7KG9IQXA","GSON7310100021")</f>
        <v>#NAME?</v>
      </c>
      <c r="N3577" s="28" t="e">
        <f ca="1">[1]!BexGetData("DP_1","003N8EMH8GTFRIVOG7KG9IX8U","GSON7310100021")</f>
        <v>#NAME?</v>
      </c>
      <c r="O3577" s="28" t="e">
        <f ca="1">[1]!BexGetData("DP_1","003N8EMH8GTFRIVOG7KG9J3KE","GSON7310100021")</f>
        <v>#NAME?</v>
      </c>
      <c r="P3577" s="28" t="e">
        <f ca="1">[1]!BexGetData("DP_1","003N8EMH8GTFRIVOG7KG9J9VY","GSON7310100021")</f>
        <v>#NAME?</v>
      </c>
      <c r="Q3577" s="23" t="e">
        <f ca="1">[1]!BexGetData("DP_1","00O2TNJGODT0G5Z4TTKYMM5MT","GSON7310100021")</f>
        <v>#NAME?</v>
      </c>
      <c r="R3577" s="23" t="e">
        <f ca="1">[1]!BexGetData("DP_1","00O2TNJGODT0G5Z4TTKYMMBYD","GSON7310100021")</f>
        <v>#NAME?</v>
      </c>
      <c r="S3577" s="23" t="e">
        <f ca="1">[1]!BexGetData("DP_1","00O2TNJGODT0G5Z4TTKYMMI9X","GSON7310100021")</f>
        <v>#NAME?</v>
      </c>
      <c r="T3577" s="23" t="e">
        <f ca="1">[1]!BexGetData("DP_1","00O2TNJGODT0G5Z4TTKYMMOLH","GSON7310100021")</f>
        <v>#NAME?</v>
      </c>
      <c r="U3577" s="28" t="e">
        <f ca="1">[1]!BexGetData("DP_1","00O2TNJGODT0G5Z4TTKYMMUX1","GSON7310100021")</f>
        <v>#NAME?</v>
      </c>
      <c r="V3577" s="23" t="e">
        <f ca="1">[1]!BexGetData("DP_1","00O2TNJGODT0G5Z4TTKYMN18L","GSON7310100021")</f>
        <v>#NAME?</v>
      </c>
      <c r="W3577" s="28" t="e">
        <f ca="1">[1]!BexGetData("DP_1","00O2TNJGODT0G5Z4TTKYMN7K5","GSON7310100021")</f>
        <v>#NAME?</v>
      </c>
    </row>
    <row r="3578" spans="1:23" x14ac:dyDescent="0.2">
      <c r="A3578" s="33" t="s">
        <v>7161</v>
      </c>
      <c r="B3578" s="27" t="s">
        <v>7162</v>
      </c>
      <c r="C3578" s="24" t="e">
        <f ca="1">[1]!BexGetData("DP_1","003N8EMH8GTFRCSWKMPXRR8GU","GSON7310100022")</f>
        <v>#NAME?</v>
      </c>
      <c r="D3578" s="24" t="e">
        <f ca="1">[1]!BexGetData("DP_1","003N8EMH8GTFRCSWKMPXRRESE","GSON7310100022")</f>
        <v>#NAME?</v>
      </c>
      <c r="E3578" s="24" t="e">
        <f ca="1">[1]!BexGetData("DP_1","003N8EMH8GTFRCSWKMPXRRL3Y","GSON7310100022")</f>
        <v>#NAME?</v>
      </c>
      <c r="F3578" s="28" t="e">
        <f ca="1">[1]!BexGetData("DP_1","003N8EMH8GTFRCSWKMPXRRRFI","GSON7310100022")</f>
        <v>#NAME?</v>
      </c>
      <c r="G3578" s="28" t="e">
        <f ca="1">[1]!BexGetData("DP_1","003N8EMH8GTFRCSWKMPXRRXR2","GSON7310100022")</f>
        <v>#NAME?</v>
      </c>
      <c r="H3578" s="23" t="e">
        <f ca="1">[1]!BexGetData("DP_1","003N8EMH8GTFRCSWKMPXRS42M","GSON7310100022")</f>
        <v>#NAME?</v>
      </c>
      <c r="I3578" s="28" t="e">
        <f ca="1">[1]!BexGetData("DP_1","003N8EMH8GTFRCSWKMPXRSAE6","GSON7310100022")</f>
        <v>#NAME?</v>
      </c>
      <c r="J3578" s="23" t="e">
        <f ca="1">[1]!BexGetData("DP_1","003N8EMH8GTFRCSWKMPXRSGPQ","GSON7310100022")</f>
        <v>#NAME?</v>
      </c>
      <c r="K3578" s="28" t="e">
        <f ca="1">[1]!BexGetData("DP_1","003N8EMH8GTFRIVNUPY288VJH","GSON7310100022")</f>
        <v>#NAME?</v>
      </c>
      <c r="L3578" s="28" t="e">
        <f ca="1">[1]!BexGetData("DP_1","003N8EMH8GTFRIVNUPY2891V1","GSON7310100022")</f>
        <v>#NAME?</v>
      </c>
      <c r="M3578" s="28" t="e">
        <f ca="1">[1]!BexGetData("DP_1","003N8EMH8GTFRIVOG7KG9IQXA","GSON7310100022")</f>
        <v>#NAME?</v>
      </c>
      <c r="N3578" s="28" t="e">
        <f ca="1">[1]!BexGetData("DP_1","003N8EMH8GTFRIVOG7KG9IX8U","GSON7310100022")</f>
        <v>#NAME?</v>
      </c>
      <c r="O3578" s="28" t="e">
        <f ca="1">[1]!BexGetData("DP_1","003N8EMH8GTFRIVOG7KG9J3KE","GSON7310100022")</f>
        <v>#NAME?</v>
      </c>
      <c r="P3578" s="28" t="e">
        <f ca="1">[1]!BexGetData("DP_1","003N8EMH8GTFRIVOG7KG9J9VY","GSON7310100022")</f>
        <v>#NAME?</v>
      </c>
      <c r="Q3578" s="23" t="e">
        <f ca="1">[1]!BexGetData("DP_1","00O2TNJGODT0G5Z4TTKYMM5MT","GSON7310100022")</f>
        <v>#NAME?</v>
      </c>
      <c r="R3578" s="23" t="e">
        <f ca="1">[1]!BexGetData("DP_1","00O2TNJGODT0G5Z4TTKYMMBYD","GSON7310100022")</f>
        <v>#NAME?</v>
      </c>
      <c r="S3578" s="23" t="e">
        <f ca="1">[1]!BexGetData("DP_1","00O2TNJGODT0G5Z4TTKYMMI9X","GSON7310100022")</f>
        <v>#NAME?</v>
      </c>
      <c r="T3578" s="23" t="e">
        <f ca="1">[1]!BexGetData("DP_1","00O2TNJGODT0G5Z4TTKYMMOLH","GSON7310100022")</f>
        <v>#NAME?</v>
      </c>
      <c r="U3578" s="28" t="e">
        <f ca="1">[1]!BexGetData("DP_1","00O2TNJGODT0G5Z4TTKYMMUX1","GSON7310100022")</f>
        <v>#NAME?</v>
      </c>
      <c r="V3578" s="23" t="e">
        <f ca="1">[1]!BexGetData("DP_1","00O2TNJGODT0G5Z4TTKYMN18L","GSON7310100022")</f>
        <v>#NAME?</v>
      </c>
      <c r="W3578" s="28" t="e">
        <f ca="1">[1]!BexGetData("DP_1","00O2TNJGODT0G5Z4TTKYMN7K5","GSON7310100022")</f>
        <v>#NAME?</v>
      </c>
    </row>
    <row r="3579" spans="1:23" x14ac:dyDescent="0.2">
      <c r="A3579" s="33" t="s">
        <v>7163</v>
      </c>
      <c r="B3579" s="27" t="s">
        <v>7164</v>
      </c>
      <c r="C3579" s="24" t="e">
        <f ca="1">[1]!BexGetData("DP_1","003N8EMH8GTFRCSWKMPXRR8GU","GSON7310100023")</f>
        <v>#NAME?</v>
      </c>
      <c r="D3579" s="24" t="e">
        <f ca="1">[1]!BexGetData("DP_1","003N8EMH8GTFRCSWKMPXRRESE","GSON7310100023")</f>
        <v>#NAME?</v>
      </c>
      <c r="E3579" s="24" t="e">
        <f ca="1">[1]!BexGetData("DP_1","003N8EMH8GTFRCSWKMPXRRL3Y","GSON7310100023")</f>
        <v>#NAME?</v>
      </c>
      <c r="F3579" s="28" t="e">
        <f ca="1">[1]!BexGetData("DP_1","003N8EMH8GTFRCSWKMPXRRRFI","GSON7310100023")</f>
        <v>#NAME?</v>
      </c>
      <c r="G3579" s="28" t="e">
        <f ca="1">[1]!BexGetData("DP_1","003N8EMH8GTFRCSWKMPXRRXR2","GSON7310100023")</f>
        <v>#NAME?</v>
      </c>
      <c r="H3579" s="23" t="e">
        <f ca="1">[1]!BexGetData("DP_1","003N8EMH8GTFRCSWKMPXRS42M","GSON7310100023")</f>
        <v>#NAME?</v>
      </c>
      <c r="I3579" s="28" t="e">
        <f ca="1">[1]!BexGetData("DP_1","003N8EMH8GTFRCSWKMPXRSAE6","GSON7310100023")</f>
        <v>#NAME?</v>
      </c>
      <c r="J3579" s="23" t="e">
        <f ca="1">[1]!BexGetData("DP_1","003N8EMH8GTFRCSWKMPXRSGPQ","GSON7310100023")</f>
        <v>#NAME?</v>
      </c>
      <c r="K3579" s="28" t="e">
        <f ca="1">[1]!BexGetData("DP_1","003N8EMH8GTFRIVNUPY288VJH","GSON7310100023")</f>
        <v>#NAME?</v>
      </c>
      <c r="L3579" s="28" t="e">
        <f ca="1">[1]!BexGetData("DP_1","003N8EMH8GTFRIVNUPY2891V1","GSON7310100023")</f>
        <v>#NAME?</v>
      </c>
      <c r="M3579" s="28" t="e">
        <f ca="1">[1]!BexGetData("DP_1","003N8EMH8GTFRIVOG7KG9IQXA","GSON7310100023")</f>
        <v>#NAME?</v>
      </c>
      <c r="N3579" s="28" t="e">
        <f ca="1">[1]!BexGetData("DP_1","003N8EMH8GTFRIVOG7KG9IX8U","GSON7310100023")</f>
        <v>#NAME?</v>
      </c>
      <c r="O3579" s="28" t="e">
        <f ca="1">[1]!BexGetData("DP_1","003N8EMH8GTFRIVOG7KG9J3KE","GSON7310100023")</f>
        <v>#NAME?</v>
      </c>
      <c r="P3579" s="28" t="e">
        <f ca="1">[1]!BexGetData("DP_1","003N8EMH8GTFRIVOG7KG9J9VY","GSON7310100023")</f>
        <v>#NAME?</v>
      </c>
      <c r="Q3579" s="23" t="e">
        <f ca="1">[1]!BexGetData("DP_1","00O2TNJGODT0G5Z4TTKYMM5MT","GSON7310100023")</f>
        <v>#NAME?</v>
      </c>
      <c r="R3579" s="23" t="e">
        <f ca="1">[1]!BexGetData("DP_1","00O2TNJGODT0G5Z4TTKYMMBYD","GSON7310100023")</f>
        <v>#NAME?</v>
      </c>
      <c r="S3579" s="23" t="e">
        <f ca="1">[1]!BexGetData("DP_1","00O2TNJGODT0G5Z4TTKYMMI9X","GSON7310100023")</f>
        <v>#NAME?</v>
      </c>
      <c r="T3579" s="23" t="e">
        <f ca="1">[1]!BexGetData("DP_1","00O2TNJGODT0G5Z4TTKYMMOLH","GSON7310100023")</f>
        <v>#NAME?</v>
      </c>
      <c r="U3579" s="28" t="e">
        <f ca="1">[1]!BexGetData("DP_1","00O2TNJGODT0G5Z4TTKYMMUX1","GSON7310100023")</f>
        <v>#NAME?</v>
      </c>
      <c r="V3579" s="23" t="e">
        <f ca="1">[1]!BexGetData("DP_1","00O2TNJGODT0G5Z4TTKYMN18L","GSON7310100023")</f>
        <v>#NAME?</v>
      </c>
      <c r="W3579" s="28" t="e">
        <f ca="1">[1]!BexGetData("DP_1","00O2TNJGODT0G5Z4TTKYMN7K5","GSON7310100023")</f>
        <v>#NAME?</v>
      </c>
    </row>
    <row r="3580" spans="1:23" x14ac:dyDescent="0.2">
      <c r="A3580" s="33" t="s">
        <v>7165</v>
      </c>
      <c r="B3580" s="27" t="s">
        <v>7166</v>
      </c>
      <c r="C3580" s="24" t="e">
        <f ca="1">[1]!BexGetData("DP_1","003N8EMH8GTFRCSWKMPXRR8GU","GSON7310100024")</f>
        <v>#NAME?</v>
      </c>
      <c r="D3580" s="24" t="e">
        <f ca="1">[1]!BexGetData("DP_1","003N8EMH8GTFRCSWKMPXRRESE","GSON7310100024")</f>
        <v>#NAME?</v>
      </c>
      <c r="E3580" s="24" t="e">
        <f ca="1">[1]!BexGetData("DP_1","003N8EMH8GTFRCSWKMPXRRL3Y","GSON7310100024")</f>
        <v>#NAME?</v>
      </c>
      <c r="F3580" s="28" t="e">
        <f ca="1">[1]!BexGetData("DP_1","003N8EMH8GTFRCSWKMPXRRRFI","GSON7310100024")</f>
        <v>#NAME?</v>
      </c>
      <c r="G3580" s="28" t="e">
        <f ca="1">[1]!BexGetData("DP_1","003N8EMH8GTFRCSWKMPXRRXR2","GSON7310100024")</f>
        <v>#NAME?</v>
      </c>
      <c r="H3580" s="23" t="e">
        <f ca="1">[1]!BexGetData("DP_1","003N8EMH8GTFRCSWKMPXRS42M","GSON7310100024")</f>
        <v>#NAME?</v>
      </c>
      <c r="I3580" s="28" t="e">
        <f ca="1">[1]!BexGetData("DP_1","003N8EMH8GTFRCSWKMPXRSAE6","GSON7310100024")</f>
        <v>#NAME?</v>
      </c>
      <c r="J3580" s="23" t="e">
        <f ca="1">[1]!BexGetData("DP_1","003N8EMH8GTFRCSWKMPXRSGPQ","GSON7310100024")</f>
        <v>#NAME?</v>
      </c>
      <c r="K3580" s="28" t="e">
        <f ca="1">[1]!BexGetData("DP_1","003N8EMH8GTFRIVNUPY288VJH","GSON7310100024")</f>
        <v>#NAME?</v>
      </c>
      <c r="L3580" s="28" t="e">
        <f ca="1">[1]!BexGetData("DP_1","003N8EMH8GTFRIVNUPY2891V1","GSON7310100024")</f>
        <v>#NAME?</v>
      </c>
      <c r="M3580" s="28" t="e">
        <f ca="1">[1]!BexGetData("DP_1","003N8EMH8GTFRIVOG7KG9IQXA","GSON7310100024")</f>
        <v>#NAME?</v>
      </c>
      <c r="N3580" s="28" t="e">
        <f ca="1">[1]!BexGetData("DP_1","003N8EMH8GTFRIVOG7KG9IX8U","GSON7310100024")</f>
        <v>#NAME?</v>
      </c>
      <c r="O3580" s="28" t="e">
        <f ca="1">[1]!BexGetData("DP_1","003N8EMH8GTFRIVOG7KG9J3KE","GSON7310100024")</f>
        <v>#NAME?</v>
      </c>
      <c r="P3580" s="28" t="e">
        <f ca="1">[1]!BexGetData("DP_1","003N8EMH8GTFRIVOG7KG9J9VY","GSON7310100024")</f>
        <v>#NAME?</v>
      </c>
      <c r="Q3580" s="23" t="e">
        <f ca="1">[1]!BexGetData("DP_1","00O2TNJGODT0G5Z4TTKYMM5MT","GSON7310100024")</f>
        <v>#NAME?</v>
      </c>
      <c r="R3580" s="23" t="e">
        <f ca="1">[1]!BexGetData("DP_1","00O2TNJGODT0G5Z4TTKYMMBYD","GSON7310100024")</f>
        <v>#NAME?</v>
      </c>
      <c r="S3580" s="23" t="e">
        <f ca="1">[1]!BexGetData("DP_1","00O2TNJGODT0G5Z4TTKYMMI9X","GSON7310100024")</f>
        <v>#NAME?</v>
      </c>
      <c r="T3580" s="23" t="e">
        <f ca="1">[1]!BexGetData("DP_1","00O2TNJGODT0G5Z4TTKYMMOLH","GSON7310100024")</f>
        <v>#NAME?</v>
      </c>
      <c r="U3580" s="28" t="e">
        <f ca="1">[1]!BexGetData("DP_1","00O2TNJGODT0G5Z4TTKYMMUX1","GSON7310100024")</f>
        <v>#NAME?</v>
      </c>
      <c r="V3580" s="23" t="e">
        <f ca="1">[1]!BexGetData("DP_1","00O2TNJGODT0G5Z4TTKYMN18L","GSON7310100024")</f>
        <v>#NAME?</v>
      </c>
      <c r="W3580" s="28" t="e">
        <f ca="1">[1]!BexGetData("DP_1","00O2TNJGODT0G5Z4TTKYMN7K5","GSON7310100024")</f>
        <v>#NAME?</v>
      </c>
    </row>
    <row r="3581" spans="1:23" x14ac:dyDescent="0.2">
      <c r="A3581" s="33" t="s">
        <v>7167</v>
      </c>
      <c r="B3581" s="27" t="s">
        <v>7168</v>
      </c>
      <c r="C3581" s="28" t="e">
        <f ca="1">[1]!BexGetData("DP_1","003N8EMH8GTFRCSWKMPXRR8GU","GSON7310100025")</f>
        <v>#NAME?</v>
      </c>
      <c r="D3581" s="28" t="e">
        <f ca="1">[1]!BexGetData("DP_1","003N8EMH8GTFRCSWKMPXRRESE","GSON7310100025")</f>
        <v>#NAME?</v>
      </c>
      <c r="E3581" s="23" t="e">
        <f ca="1">[1]!BexGetData("DP_1","003N8EMH8GTFRCSWKMPXRRL3Y","GSON7310100025")</f>
        <v>#NAME?</v>
      </c>
      <c r="F3581" s="23" t="e">
        <f ca="1">[1]!BexGetData("DP_1","003N8EMH8GTFRCSWKMPXRRRFI","GSON7310100025")</f>
        <v>#NAME?</v>
      </c>
      <c r="G3581" s="28" t="e">
        <f ca="1">[1]!BexGetData("DP_1","003N8EMH8GTFRCSWKMPXRRXR2","GSON7310100025")</f>
        <v>#NAME?</v>
      </c>
      <c r="H3581" s="23" t="e">
        <f ca="1">[1]!BexGetData("DP_1","003N8EMH8GTFRCSWKMPXRS42M","GSON7310100025")</f>
        <v>#NAME?</v>
      </c>
      <c r="I3581" s="23" t="e">
        <f ca="1">[1]!BexGetData("DP_1","003N8EMH8GTFRCSWKMPXRSAE6","GSON7310100025")</f>
        <v>#NAME?</v>
      </c>
      <c r="J3581" s="23" t="e">
        <f ca="1">[1]!BexGetData("DP_1","003N8EMH8GTFRCSWKMPXRSGPQ","GSON7310100025")</f>
        <v>#NAME?</v>
      </c>
      <c r="K3581" s="28" t="e">
        <f ca="1">[1]!BexGetData("DP_1","003N8EMH8GTFRIVNUPY288VJH","GSON7310100025")</f>
        <v>#NAME?</v>
      </c>
      <c r="L3581" s="28" t="e">
        <f ca="1">[1]!BexGetData("DP_1","003N8EMH8GTFRIVNUPY2891V1","GSON7310100025")</f>
        <v>#NAME?</v>
      </c>
      <c r="M3581" s="28" t="e">
        <f ca="1">[1]!BexGetData("DP_1","003N8EMH8GTFRIVOG7KG9IQXA","GSON7310100025")</f>
        <v>#NAME?</v>
      </c>
      <c r="N3581" s="28" t="e">
        <f ca="1">[1]!BexGetData("DP_1","003N8EMH8GTFRIVOG7KG9IX8U","GSON7310100025")</f>
        <v>#NAME?</v>
      </c>
      <c r="O3581" s="28" t="e">
        <f ca="1">[1]!BexGetData("DP_1","003N8EMH8GTFRIVOG7KG9J3KE","GSON7310100025")</f>
        <v>#NAME?</v>
      </c>
      <c r="P3581" s="28" t="e">
        <f ca="1">[1]!BexGetData("DP_1","003N8EMH8GTFRIVOG7KG9J9VY","GSON7310100025")</f>
        <v>#NAME?</v>
      </c>
      <c r="Q3581" s="23" t="e">
        <f ca="1">[1]!BexGetData("DP_1","00O2TNJGODT0G5Z4TTKYMM5MT","GSON7310100025")</f>
        <v>#NAME?</v>
      </c>
      <c r="R3581" s="23" t="e">
        <f ca="1">[1]!BexGetData("DP_1","00O2TNJGODT0G5Z4TTKYMMBYD","GSON7310100025")</f>
        <v>#NAME?</v>
      </c>
      <c r="S3581" s="23" t="e">
        <f ca="1">[1]!BexGetData("DP_1","00O2TNJGODT0G5Z4TTKYMMI9X","GSON7310100025")</f>
        <v>#NAME?</v>
      </c>
      <c r="T3581" s="23" t="e">
        <f ca="1">[1]!BexGetData("DP_1","00O2TNJGODT0G5Z4TTKYMMOLH","GSON7310100025")</f>
        <v>#NAME?</v>
      </c>
      <c r="U3581" s="28" t="e">
        <f ca="1">[1]!BexGetData("DP_1","00O2TNJGODT0G5Z4TTKYMMUX1","GSON7310100025")</f>
        <v>#NAME?</v>
      </c>
      <c r="V3581" s="23" t="e">
        <f ca="1">[1]!BexGetData("DP_1","00O2TNJGODT0G5Z4TTKYMN18L","GSON7310100025")</f>
        <v>#NAME?</v>
      </c>
      <c r="W3581" s="28" t="e">
        <f ca="1">[1]!BexGetData("DP_1","00O2TNJGODT0G5Z4TTKYMN7K5","GSON7310100025")</f>
        <v>#NAME?</v>
      </c>
    </row>
    <row r="3582" spans="1:23" x14ac:dyDescent="0.2">
      <c r="A3582" s="33" t="s">
        <v>7169</v>
      </c>
      <c r="B3582" s="27" t="s">
        <v>7170</v>
      </c>
      <c r="C3582" s="28" t="e">
        <f ca="1">[1]!BexGetData("DP_1","003N8EMH8GTFRCSWKMPXRR8GU","GSON7310200001")</f>
        <v>#NAME?</v>
      </c>
      <c r="D3582" s="23" t="e">
        <f ca="1">[1]!BexGetData("DP_1","003N8EMH8GTFRCSWKMPXRRESE","GSON7310200001")</f>
        <v>#NAME?</v>
      </c>
      <c r="E3582" s="23" t="e">
        <f ca="1">[1]!BexGetData("DP_1","003N8EMH8GTFRCSWKMPXRRL3Y","GSON7310200001")</f>
        <v>#NAME?</v>
      </c>
      <c r="F3582" s="23" t="e">
        <f ca="1">[1]!BexGetData("DP_1","003N8EMH8GTFRCSWKMPXRRRFI","GSON7310200001")</f>
        <v>#NAME?</v>
      </c>
      <c r="G3582" s="23" t="e">
        <f ca="1">[1]!BexGetData("DP_1","003N8EMH8GTFRCSWKMPXRRXR2","GSON7310200001")</f>
        <v>#NAME?</v>
      </c>
      <c r="H3582" s="23" t="e">
        <f ca="1">[1]!BexGetData("DP_1","003N8EMH8GTFRCSWKMPXRS42M","GSON7310200001")</f>
        <v>#NAME?</v>
      </c>
      <c r="I3582" s="23" t="e">
        <f ca="1">[1]!BexGetData("DP_1","003N8EMH8GTFRCSWKMPXRSAE6","GSON7310200001")</f>
        <v>#NAME?</v>
      </c>
      <c r="J3582" s="23" t="e">
        <f ca="1">[1]!BexGetData("DP_1","003N8EMH8GTFRCSWKMPXRSGPQ","GSON7310200001")</f>
        <v>#NAME?</v>
      </c>
      <c r="K3582" s="23" t="e">
        <f ca="1">[1]!BexGetData("DP_1","003N8EMH8GTFRIVNUPY288VJH","GSON7310200001")</f>
        <v>#NAME?</v>
      </c>
      <c r="L3582" s="23" t="e">
        <f ca="1">[1]!BexGetData("DP_1","003N8EMH8GTFRIVNUPY2891V1","GSON7310200001")</f>
        <v>#NAME?</v>
      </c>
      <c r="M3582" s="23" t="e">
        <f ca="1">[1]!BexGetData("DP_1","003N8EMH8GTFRIVOG7KG9IQXA","GSON7310200001")</f>
        <v>#NAME?</v>
      </c>
      <c r="N3582" s="28" t="e">
        <f ca="1">[1]!BexGetData("DP_1","003N8EMH8GTFRIVOG7KG9IX8U","GSON7310200001")</f>
        <v>#NAME?</v>
      </c>
      <c r="O3582" s="23" t="e">
        <f ca="1">[1]!BexGetData("DP_1","003N8EMH8GTFRIVOG7KG9J3KE","GSON7310200001")</f>
        <v>#NAME?</v>
      </c>
      <c r="P3582" s="28" t="e">
        <f ca="1">[1]!BexGetData("DP_1","003N8EMH8GTFRIVOG7KG9J9VY","GSON7310200001")</f>
        <v>#NAME?</v>
      </c>
      <c r="Q3582" s="23" t="e">
        <f ca="1">[1]!BexGetData("DP_1","00O2TNJGODT0G5Z4TTKYMM5MT","GSON7310200001")</f>
        <v>#NAME?</v>
      </c>
      <c r="R3582" s="23" t="e">
        <f ca="1">[1]!BexGetData("DP_1","00O2TNJGODT0G5Z4TTKYMMBYD","GSON7310200001")</f>
        <v>#NAME?</v>
      </c>
      <c r="S3582" s="23" t="e">
        <f ca="1">[1]!BexGetData("DP_1","00O2TNJGODT0G5Z4TTKYMMI9X","GSON7310200001")</f>
        <v>#NAME?</v>
      </c>
      <c r="T3582" s="23" t="e">
        <f ca="1">[1]!BexGetData("DP_1","00O2TNJGODT0G5Z4TTKYMMOLH","GSON7310200001")</f>
        <v>#NAME?</v>
      </c>
      <c r="U3582" s="28" t="e">
        <f ca="1">[1]!BexGetData("DP_1","00O2TNJGODT0G5Z4TTKYMMUX1","GSON7310200001")</f>
        <v>#NAME?</v>
      </c>
      <c r="V3582" s="23" t="e">
        <f ca="1">[1]!BexGetData("DP_1","00O2TNJGODT0G5Z4TTKYMN18L","GSON7310200001")</f>
        <v>#NAME?</v>
      </c>
      <c r="W3582" s="28" t="e">
        <f ca="1">[1]!BexGetData("DP_1","00O2TNJGODT0G5Z4TTKYMN7K5","GSON7310200001")</f>
        <v>#NAME?</v>
      </c>
    </row>
    <row r="3583" spans="1:23" x14ac:dyDescent="0.2">
      <c r="A3583" s="33" t="s">
        <v>7171</v>
      </c>
      <c r="B3583" s="27" t="s">
        <v>7172</v>
      </c>
      <c r="C3583" s="24" t="e">
        <f ca="1">[1]!BexGetData("DP_1","003N8EMH8GTFRCSWKMPXRR8GU","GSON7310200002")</f>
        <v>#NAME?</v>
      </c>
      <c r="D3583" s="24" t="e">
        <f ca="1">[1]!BexGetData("DP_1","003N8EMH8GTFRCSWKMPXRRESE","GSON7310200002")</f>
        <v>#NAME?</v>
      </c>
      <c r="E3583" s="24" t="e">
        <f ca="1">[1]!BexGetData("DP_1","003N8EMH8GTFRCSWKMPXRRL3Y","GSON7310200002")</f>
        <v>#NAME?</v>
      </c>
      <c r="F3583" s="28" t="e">
        <f ca="1">[1]!BexGetData("DP_1","003N8EMH8GTFRCSWKMPXRRRFI","GSON7310200002")</f>
        <v>#NAME?</v>
      </c>
      <c r="G3583" s="23" t="e">
        <f ca="1">[1]!BexGetData("DP_1","003N8EMH8GTFRCSWKMPXRRXR2","GSON7310200002")</f>
        <v>#NAME?</v>
      </c>
      <c r="H3583" s="23" t="e">
        <f ca="1">[1]!BexGetData("DP_1","003N8EMH8GTFRCSWKMPXRS42M","GSON7310200002")</f>
        <v>#NAME?</v>
      </c>
      <c r="I3583" s="28" t="e">
        <f ca="1">[1]!BexGetData("DP_1","003N8EMH8GTFRCSWKMPXRSAE6","GSON7310200002")</f>
        <v>#NAME?</v>
      </c>
      <c r="J3583" s="23" t="e">
        <f ca="1">[1]!BexGetData("DP_1","003N8EMH8GTFRCSWKMPXRSGPQ","GSON7310200002")</f>
        <v>#NAME?</v>
      </c>
      <c r="K3583" s="28" t="e">
        <f ca="1">[1]!BexGetData("DP_1","003N8EMH8GTFRIVNUPY288VJH","GSON7310200002")</f>
        <v>#NAME?</v>
      </c>
      <c r="L3583" s="28" t="e">
        <f ca="1">[1]!BexGetData("DP_1","003N8EMH8GTFRIVNUPY2891V1","GSON7310200002")</f>
        <v>#NAME?</v>
      </c>
      <c r="M3583" s="28" t="e">
        <f ca="1">[1]!BexGetData("DP_1","003N8EMH8GTFRIVOG7KG9IQXA","GSON7310200002")</f>
        <v>#NAME?</v>
      </c>
      <c r="N3583" s="28" t="e">
        <f ca="1">[1]!BexGetData("DP_1","003N8EMH8GTFRIVOG7KG9IX8U","GSON7310200002")</f>
        <v>#NAME?</v>
      </c>
      <c r="O3583" s="28" t="e">
        <f ca="1">[1]!BexGetData("DP_1","003N8EMH8GTFRIVOG7KG9J3KE","GSON7310200002")</f>
        <v>#NAME?</v>
      </c>
      <c r="P3583" s="28" t="e">
        <f ca="1">[1]!BexGetData("DP_1","003N8EMH8GTFRIVOG7KG9J9VY","GSON7310200002")</f>
        <v>#NAME?</v>
      </c>
      <c r="Q3583" s="23" t="e">
        <f ca="1">[1]!BexGetData("DP_1","00O2TNJGODT0G5Z4TTKYMM5MT","GSON7310200002")</f>
        <v>#NAME?</v>
      </c>
      <c r="R3583" s="23" t="e">
        <f ca="1">[1]!BexGetData("DP_1","00O2TNJGODT0G5Z4TTKYMMBYD","GSON7310200002")</f>
        <v>#NAME?</v>
      </c>
      <c r="S3583" s="23" t="e">
        <f ca="1">[1]!BexGetData("DP_1","00O2TNJGODT0G5Z4TTKYMMI9X","GSON7310200002")</f>
        <v>#NAME?</v>
      </c>
      <c r="T3583" s="23" t="e">
        <f ca="1">[1]!BexGetData("DP_1","00O2TNJGODT0G5Z4TTKYMMOLH","GSON7310200002")</f>
        <v>#NAME?</v>
      </c>
      <c r="U3583" s="28" t="e">
        <f ca="1">[1]!BexGetData("DP_1","00O2TNJGODT0G5Z4TTKYMMUX1","GSON7310200002")</f>
        <v>#NAME?</v>
      </c>
      <c r="V3583" s="23" t="e">
        <f ca="1">[1]!BexGetData("DP_1","00O2TNJGODT0G5Z4TTKYMN18L","GSON7310200002")</f>
        <v>#NAME?</v>
      </c>
      <c r="W3583" s="28" t="e">
        <f ca="1">[1]!BexGetData("DP_1","00O2TNJGODT0G5Z4TTKYMN7K5","GSON7310200002")</f>
        <v>#NAME?</v>
      </c>
    </row>
    <row r="3584" spans="1:23" x14ac:dyDescent="0.2">
      <c r="A3584" s="33" t="s">
        <v>7173</v>
      </c>
      <c r="B3584" s="27" t="s">
        <v>7174</v>
      </c>
      <c r="C3584" s="24" t="e">
        <f ca="1">[1]!BexGetData("DP_1","003N8EMH8GTFRCSWKMPXRR8GU","GSON7310200003")</f>
        <v>#NAME?</v>
      </c>
      <c r="D3584" s="24" t="e">
        <f ca="1">[1]!BexGetData("DP_1","003N8EMH8GTFRCSWKMPXRRESE","GSON7310200003")</f>
        <v>#NAME?</v>
      </c>
      <c r="E3584" s="24" t="e">
        <f ca="1">[1]!BexGetData("DP_1","003N8EMH8GTFRCSWKMPXRRL3Y","GSON7310200003")</f>
        <v>#NAME?</v>
      </c>
      <c r="F3584" s="28" t="e">
        <f ca="1">[1]!BexGetData("DP_1","003N8EMH8GTFRCSWKMPXRRRFI","GSON7310200003")</f>
        <v>#NAME?</v>
      </c>
      <c r="G3584" s="23" t="e">
        <f ca="1">[1]!BexGetData("DP_1","003N8EMH8GTFRCSWKMPXRRXR2","GSON7310200003")</f>
        <v>#NAME?</v>
      </c>
      <c r="H3584" s="23" t="e">
        <f ca="1">[1]!BexGetData("DP_1","003N8EMH8GTFRCSWKMPXRS42M","GSON7310200003")</f>
        <v>#NAME?</v>
      </c>
      <c r="I3584" s="28" t="e">
        <f ca="1">[1]!BexGetData("DP_1","003N8EMH8GTFRCSWKMPXRSAE6","GSON7310200003")</f>
        <v>#NAME?</v>
      </c>
      <c r="J3584" s="23" t="e">
        <f ca="1">[1]!BexGetData("DP_1","003N8EMH8GTFRCSWKMPXRSGPQ","GSON7310200003")</f>
        <v>#NAME?</v>
      </c>
      <c r="K3584" s="28" t="e">
        <f ca="1">[1]!BexGetData("DP_1","003N8EMH8GTFRIVNUPY288VJH","GSON7310200003")</f>
        <v>#NAME?</v>
      </c>
      <c r="L3584" s="28" t="e">
        <f ca="1">[1]!BexGetData("DP_1","003N8EMH8GTFRIVNUPY2891V1","GSON7310200003")</f>
        <v>#NAME?</v>
      </c>
      <c r="M3584" s="28" t="e">
        <f ca="1">[1]!BexGetData("DP_1","003N8EMH8GTFRIVOG7KG9IQXA","GSON7310200003")</f>
        <v>#NAME?</v>
      </c>
      <c r="N3584" s="28" t="e">
        <f ca="1">[1]!BexGetData("DP_1","003N8EMH8GTFRIVOG7KG9IX8U","GSON7310200003")</f>
        <v>#NAME?</v>
      </c>
      <c r="O3584" s="28" t="e">
        <f ca="1">[1]!BexGetData("DP_1","003N8EMH8GTFRIVOG7KG9J3KE","GSON7310200003")</f>
        <v>#NAME?</v>
      </c>
      <c r="P3584" s="28" t="e">
        <f ca="1">[1]!BexGetData("DP_1","003N8EMH8GTFRIVOG7KG9J9VY","GSON7310200003")</f>
        <v>#NAME?</v>
      </c>
      <c r="Q3584" s="23" t="e">
        <f ca="1">[1]!BexGetData("DP_1","00O2TNJGODT0G5Z4TTKYMM5MT","GSON7310200003")</f>
        <v>#NAME?</v>
      </c>
      <c r="R3584" s="23" t="e">
        <f ca="1">[1]!BexGetData("DP_1","00O2TNJGODT0G5Z4TTKYMMBYD","GSON7310200003")</f>
        <v>#NAME?</v>
      </c>
      <c r="S3584" s="23" t="e">
        <f ca="1">[1]!BexGetData("DP_1","00O2TNJGODT0G5Z4TTKYMMI9X","GSON7310200003")</f>
        <v>#NAME?</v>
      </c>
      <c r="T3584" s="23" t="e">
        <f ca="1">[1]!BexGetData("DP_1","00O2TNJGODT0G5Z4TTKYMMOLH","GSON7310200003")</f>
        <v>#NAME?</v>
      </c>
      <c r="U3584" s="28" t="e">
        <f ca="1">[1]!BexGetData("DP_1","00O2TNJGODT0G5Z4TTKYMMUX1","GSON7310200003")</f>
        <v>#NAME?</v>
      </c>
      <c r="V3584" s="23" t="e">
        <f ca="1">[1]!BexGetData("DP_1","00O2TNJGODT0G5Z4TTKYMN18L","GSON7310200003")</f>
        <v>#NAME?</v>
      </c>
      <c r="W3584" s="28" t="e">
        <f ca="1">[1]!BexGetData("DP_1","00O2TNJGODT0G5Z4TTKYMN7K5","GSON7310200003")</f>
        <v>#NAME?</v>
      </c>
    </row>
    <row r="3585" spans="1:23" x14ac:dyDescent="0.2">
      <c r="A3585" s="33" t="s">
        <v>7175</v>
      </c>
      <c r="B3585" s="27" t="s">
        <v>7176</v>
      </c>
      <c r="C3585" s="28" t="e">
        <f ca="1">[1]!BexGetData("DP_1","003N8EMH8GTFRCSWKMPXRR8GU","GSON7310200004")</f>
        <v>#NAME?</v>
      </c>
      <c r="D3585" s="23" t="e">
        <f ca="1">[1]!BexGetData("DP_1","003N8EMH8GTFRCSWKMPXRRESE","GSON7310200004")</f>
        <v>#NAME?</v>
      </c>
      <c r="E3585" s="23" t="e">
        <f ca="1">[1]!BexGetData("DP_1","003N8EMH8GTFRCSWKMPXRRL3Y","GSON7310200004")</f>
        <v>#NAME?</v>
      </c>
      <c r="F3585" s="23" t="e">
        <f ca="1">[1]!BexGetData("DP_1","003N8EMH8GTFRCSWKMPXRRRFI","GSON7310200004")</f>
        <v>#NAME?</v>
      </c>
      <c r="G3585" s="23" t="e">
        <f ca="1">[1]!BexGetData("DP_1","003N8EMH8GTFRCSWKMPXRRXR2","GSON7310200004")</f>
        <v>#NAME?</v>
      </c>
      <c r="H3585" s="23" t="e">
        <f ca="1">[1]!BexGetData("DP_1","003N8EMH8GTFRCSWKMPXRS42M","GSON7310200004")</f>
        <v>#NAME?</v>
      </c>
      <c r="I3585" s="23" t="e">
        <f ca="1">[1]!BexGetData("DP_1","003N8EMH8GTFRCSWKMPXRSAE6","GSON7310200004")</f>
        <v>#NAME?</v>
      </c>
      <c r="J3585" s="23" t="e">
        <f ca="1">[1]!BexGetData("DP_1","003N8EMH8GTFRCSWKMPXRSGPQ","GSON7310200004")</f>
        <v>#NAME?</v>
      </c>
      <c r="K3585" s="23" t="e">
        <f ca="1">[1]!BexGetData("DP_1","003N8EMH8GTFRIVNUPY288VJH","GSON7310200004")</f>
        <v>#NAME?</v>
      </c>
      <c r="L3585" s="23" t="e">
        <f ca="1">[1]!BexGetData("DP_1","003N8EMH8GTFRIVNUPY2891V1","GSON7310200004")</f>
        <v>#NAME?</v>
      </c>
      <c r="M3585" s="23" t="e">
        <f ca="1">[1]!BexGetData("DP_1","003N8EMH8GTFRIVOG7KG9IQXA","GSON7310200004")</f>
        <v>#NAME?</v>
      </c>
      <c r="N3585" s="28" t="e">
        <f ca="1">[1]!BexGetData("DP_1","003N8EMH8GTFRIVOG7KG9IX8U","GSON7310200004")</f>
        <v>#NAME?</v>
      </c>
      <c r="O3585" s="23" t="e">
        <f ca="1">[1]!BexGetData("DP_1","003N8EMH8GTFRIVOG7KG9J3KE","GSON7310200004")</f>
        <v>#NAME?</v>
      </c>
      <c r="P3585" s="28" t="e">
        <f ca="1">[1]!BexGetData("DP_1","003N8EMH8GTFRIVOG7KG9J9VY","GSON7310200004")</f>
        <v>#NAME?</v>
      </c>
      <c r="Q3585" s="23" t="e">
        <f ca="1">[1]!BexGetData("DP_1","00O2TNJGODT0G5Z4TTKYMM5MT","GSON7310200004")</f>
        <v>#NAME?</v>
      </c>
      <c r="R3585" s="23" t="e">
        <f ca="1">[1]!BexGetData("DP_1","00O2TNJGODT0G5Z4TTKYMMBYD","GSON7310200004")</f>
        <v>#NAME?</v>
      </c>
      <c r="S3585" s="23" t="e">
        <f ca="1">[1]!BexGetData("DP_1","00O2TNJGODT0G5Z4TTKYMMI9X","GSON7310200004")</f>
        <v>#NAME?</v>
      </c>
      <c r="T3585" s="23" t="e">
        <f ca="1">[1]!BexGetData("DP_1","00O2TNJGODT0G5Z4TTKYMMOLH","GSON7310200004")</f>
        <v>#NAME?</v>
      </c>
      <c r="U3585" s="28" t="e">
        <f ca="1">[1]!BexGetData("DP_1","00O2TNJGODT0G5Z4TTKYMMUX1","GSON7310200004")</f>
        <v>#NAME?</v>
      </c>
      <c r="V3585" s="23" t="e">
        <f ca="1">[1]!BexGetData("DP_1","00O2TNJGODT0G5Z4TTKYMN18L","GSON7310200004")</f>
        <v>#NAME?</v>
      </c>
      <c r="W3585" s="28" t="e">
        <f ca="1">[1]!BexGetData("DP_1","00O2TNJGODT0G5Z4TTKYMN7K5","GSON7310200004")</f>
        <v>#NAME?</v>
      </c>
    </row>
    <row r="3586" spans="1:23" x14ac:dyDescent="0.2">
      <c r="A3586" s="33" t="s">
        <v>7177</v>
      </c>
      <c r="B3586" s="27" t="s">
        <v>7178</v>
      </c>
      <c r="C3586" s="28" t="e">
        <f ca="1">[1]!BexGetData("DP_1","003N8EMH8GTFRCSWKMPXRR8GU","GSON7310200005")</f>
        <v>#NAME?</v>
      </c>
      <c r="D3586" s="23" t="e">
        <f ca="1">[1]!BexGetData("DP_1","003N8EMH8GTFRCSWKMPXRRESE","GSON7310200005")</f>
        <v>#NAME?</v>
      </c>
      <c r="E3586" s="23" t="e">
        <f ca="1">[1]!BexGetData("DP_1","003N8EMH8GTFRCSWKMPXRRL3Y","GSON7310200005")</f>
        <v>#NAME?</v>
      </c>
      <c r="F3586" s="23" t="e">
        <f ca="1">[1]!BexGetData("DP_1","003N8EMH8GTFRCSWKMPXRRRFI","GSON7310200005")</f>
        <v>#NAME?</v>
      </c>
      <c r="G3586" s="23" t="e">
        <f ca="1">[1]!BexGetData("DP_1","003N8EMH8GTFRCSWKMPXRRXR2","GSON7310200005")</f>
        <v>#NAME?</v>
      </c>
      <c r="H3586" s="23" t="e">
        <f ca="1">[1]!BexGetData("DP_1","003N8EMH8GTFRCSWKMPXRS42M","GSON7310200005")</f>
        <v>#NAME?</v>
      </c>
      <c r="I3586" s="23" t="e">
        <f ca="1">[1]!BexGetData("DP_1","003N8EMH8GTFRCSWKMPXRSAE6","GSON7310200005")</f>
        <v>#NAME?</v>
      </c>
      <c r="J3586" s="23" t="e">
        <f ca="1">[1]!BexGetData("DP_1","003N8EMH8GTFRCSWKMPXRSGPQ","GSON7310200005")</f>
        <v>#NAME?</v>
      </c>
      <c r="K3586" s="23" t="e">
        <f ca="1">[1]!BexGetData("DP_1","003N8EMH8GTFRIVNUPY288VJH","GSON7310200005")</f>
        <v>#NAME?</v>
      </c>
      <c r="L3586" s="23" t="e">
        <f ca="1">[1]!BexGetData("DP_1","003N8EMH8GTFRIVNUPY2891V1","GSON7310200005")</f>
        <v>#NAME?</v>
      </c>
      <c r="M3586" s="23" t="e">
        <f ca="1">[1]!BexGetData("DP_1","003N8EMH8GTFRIVOG7KG9IQXA","GSON7310200005")</f>
        <v>#NAME?</v>
      </c>
      <c r="N3586" s="28" t="e">
        <f ca="1">[1]!BexGetData("DP_1","003N8EMH8GTFRIVOG7KG9IX8U","GSON7310200005")</f>
        <v>#NAME?</v>
      </c>
      <c r="O3586" s="23" t="e">
        <f ca="1">[1]!BexGetData("DP_1","003N8EMH8GTFRIVOG7KG9J3KE","GSON7310200005")</f>
        <v>#NAME?</v>
      </c>
      <c r="P3586" s="28" t="e">
        <f ca="1">[1]!BexGetData("DP_1","003N8EMH8GTFRIVOG7KG9J9VY","GSON7310200005")</f>
        <v>#NAME?</v>
      </c>
      <c r="Q3586" s="23" t="e">
        <f ca="1">[1]!BexGetData("DP_1","00O2TNJGODT0G5Z4TTKYMM5MT","GSON7310200005")</f>
        <v>#NAME?</v>
      </c>
      <c r="R3586" s="23" t="e">
        <f ca="1">[1]!BexGetData("DP_1","00O2TNJGODT0G5Z4TTKYMMBYD","GSON7310200005")</f>
        <v>#NAME?</v>
      </c>
      <c r="S3586" s="23" t="e">
        <f ca="1">[1]!BexGetData("DP_1","00O2TNJGODT0G5Z4TTKYMMI9X","GSON7310200005")</f>
        <v>#NAME?</v>
      </c>
      <c r="T3586" s="23" t="e">
        <f ca="1">[1]!BexGetData("DP_1","00O2TNJGODT0G5Z4TTKYMMOLH","GSON7310200005")</f>
        <v>#NAME?</v>
      </c>
      <c r="U3586" s="28" t="e">
        <f ca="1">[1]!BexGetData("DP_1","00O2TNJGODT0G5Z4TTKYMMUX1","GSON7310200005")</f>
        <v>#NAME?</v>
      </c>
      <c r="V3586" s="23" t="e">
        <f ca="1">[1]!BexGetData("DP_1","00O2TNJGODT0G5Z4TTKYMN18L","GSON7310200005")</f>
        <v>#NAME?</v>
      </c>
      <c r="W3586" s="28" t="e">
        <f ca="1">[1]!BexGetData("DP_1","00O2TNJGODT0G5Z4TTKYMN7K5","GSON7310200005")</f>
        <v>#NAME?</v>
      </c>
    </row>
    <row r="3587" spans="1:23" x14ac:dyDescent="0.2">
      <c r="A3587" s="33" t="s">
        <v>7179</v>
      </c>
      <c r="B3587" s="27" t="s">
        <v>7180</v>
      </c>
      <c r="C3587" s="28" t="e">
        <f ca="1">[1]!BexGetData("DP_1","003N8EMH8GTFRCSWKMPXRR8GU","GSON7310200006")</f>
        <v>#NAME?</v>
      </c>
      <c r="D3587" s="23" t="e">
        <f ca="1">[1]!BexGetData("DP_1","003N8EMH8GTFRCSWKMPXRRESE","GSON7310200006")</f>
        <v>#NAME?</v>
      </c>
      <c r="E3587" s="23" t="e">
        <f ca="1">[1]!BexGetData("DP_1","003N8EMH8GTFRCSWKMPXRRL3Y","GSON7310200006")</f>
        <v>#NAME?</v>
      </c>
      <c r="F3587" s="23" t="e">
        <f ca="1">[1]!BexGetData("DP_1","003N8EMH8GTFRCSWKMPXRRRFI","GSON7310200006")</f>
        <v>#NAME?</v>
      </c>
      <c r="G3587" s="23" t="e">
        <f ca="1">[1]!BexGetData("DP_1","003N8EMH8GTFRCSWKMPXRRXR2","GSON7310200006")</f>
        <v>#NAME?</v>
      </c>
      <c r="H3587" s="23" t="e">
        <f ca="1">[1]!BexGetData("DP_1","003N8EMH8GTFRCSWKMPXRS42M","GSON7310200006")</f>
        <v>#NAME?</v>
      </c>
      <c r="I3587" s="23" t="e">
        <f ca="1">[1]!BexGetData("DP_1","003N8EMH8GTFRCSWKMPXRSAE6","GSON7310200006")</f>
        <v>#NAME?</v>
      </c>
      <c r="J3587" s="23" t="e">
        <f ca="1">[1]!BexGetData("DP_1","003N8EMH8GTFRCSWKMPXRSGPQ","GSON7310200006")</f>
        <v>#NAME?</v>
      </c>
      <c r="K3587" s="23" t="e">
        <f ca="1">[1]!BexGetData("DP_1","003N8EMH8GTFRIVNUPY288VJH","GSON7310200006")</f>
        <v>#NAME?</v>
      </c>
      <c r="L3587" s="23" t="e">
        <f ca="1">[1]!BexGetData("DP_1","003N8EMH8GTFRIVNUPY2891V1","GSON7310200006")</f>
        <v>#NAME?</v>
      </c>
      <c r="M3587" s="23" t="e">
        <f ca="1">[1]!BexGetData("DP_1","003N8EMH8GTFRIVOG7KG9IQXA","GSON7310200006")</f>
        <v>#NAME?</v>
      </c>
      <c r="N3587" s="28" t="e">
        <f ca="1">[1]!BexGetData("DP_1","003N8EMH8GTFRIVOG7KG9IX8U","GSON7310200006")</f>
        <v>#NAME?</v>
      </c>
      <c r="O3587" s="23" t="e">
        <f ca="1">[1]!BexGetData("DP_1","003N8EMH8GTFRIVOG7KG9J3KE","GSON7310200006")</f>
        <v>#NAME?</v>
      </c>
      <c r="P3587" s="28" t="e">
        <f ca="1">[1]!BexGetData("DP_1","003N8EMH8GTFRIVOG7KG9J9VY","GSON7310200006")</f>
        <v>#NAME?</v>
      </c>
      <c r="Q3587" s="23" t="e">
        <f ca="1">[1]!BexGetData("DP_1","00O2TNJGODT0G5Z4TTKYMM5MT","GSON7310200006")</f>
        <v>#NAME?</v>
      </c>
      <c r="R3587" s="23" t="e">
        <f ca="1">[1]!BexGetData("DP_1","00O2TNJGODT0G5Z4TTKYMMBYD","GSON7310200006")</f>
        <v>#NAME?</v>
      </c>
      <c r="S3587" s="23" t="e">
        <f ca="1">[1]!BexGetData("DP_1","00O2TNJGODT0G5Z4TTKYMMI9X","GSON7310200006")</f>
        <v>#NAME?</v>
      </c>
      <c r="T3587" s="23" t="e">
        <f ca="1">[1]!BexGetData("DP_1","00O2TNJGODT0G5Z4TTKYMMOLH","GSON7310200006")</f>
        <v>#NAME?</v>
      </c>
      <c r="U3587" s="28" t="e">
        <f ca="1">[1]!BexGetData("DP_1","00O2TNJGODT0G5Z4TTKYMMUX1","GSON7310200006")</f>
        <v>#NAME?</v>
      </c>
      <c r="V3587" s="23" t="e">
        <f ca="1">[1]!BexGetData("DP_1","00O2TNJGODT0G5Z4TTKYMN18L","GSON7310200006")</f>
        <v>#NAME?</v>
      </c>
      <c r="W3587" s="28" t="e">
        <f ca="1">[1]!BexGetData("DP_1","00O2TNJGODT0G5Z4TTKYMN7K5","GSON7310200006")</f>
        <v>#NAME?</v>
      </c>
    </row>
    <row r="3588" spans="1:23" x14ac:dyDescent="0.2">
      <c r="A3588" s="33" t="s">
        <v>7181</v>
      </c>
      <c r="B3588" s="27" t="s">
        <v>7182</v>
      </c>
      <c r="C3588" s="23" t="e">
        <f ca="1">[1]!BexGetData("DP_1","003N8EMH8GTFRCSWKMPXRR8GU","GSON7310200007")</f>
        <v>#NAME?</v>
      </c>
      <c r="D3588" s="23" t="e">
        <f ca="1">[1]!BexGetData("DP_1","003N8EMH8GTFRCSWKMPXRRESE","GSON7310200007")</f>
        <v>#NAME?</v>
      </c>
      <c r="E3588" s="23" t="e">
        <f ca="1">[1]!BexGetData("DP_1","003N8EMH8GTFRCSWKMPXRRL3Y","GSON7310200007")</f>
        <v>#NAME?</v>
      </c>
      <c r="F3588" s="23" t="e">
        <f ca="1">[1]!BexGetData("DP_1","003N8EMH8GTFRCSWKMPXRRRFI","GSON7310200007")</f>
        <v>#NAME?</v>
      </c>
      <c r="G3588" s="23" t="e">
        <f ca="1">[1]!BexGetData("DP_1","003N8EMH8GTFRCSWKMPXRRXR2","GSON7310200007")</f>
        <v>#NAME?</v>
      </c>
      <c r="H3588" s="28" t="e">
        <f ca="1">[1]!BexGetData("DP_1","003N8EMH8GTFRCSWKMPXRS42M","GSON7310200007")</f>
        <v>#NAME?</v>
      </c>
      <c r="I3588" s="23" t="e">
        <f ca="1">[1]!BexGetData("DP_1","003N8EMH8GTFRCSWKMPXRSAE6","GSON7310200007")</f>
        <v>#NAME?</v>
      </c>
      <c r="J3588" s="24" t="e">
        <f ca="1">[1]!BexGetData("DP_1","003N8EMH8GTFRCSWKMPXRSGPQ","GSON7310200007")</f>
        <v>#NAME?</v>
      </c>
      <c r="K3588" s="23" t="e">
        <f ca="1">[1]!BexGetData("DP_1","003N8EMH8GTFRIVNUPY288VJH","GSON7310200007")</f>
        <v>#NAME?</v>
      </c>
      <c r="L3588" s="23" t="e">
        <f ca="1">[1]!BexGetData("DP_1","003N8EMH8GTFRIVNUPY2891V1","GSON7310200007")</f>
        <v>#NAME?</v>
      </c>
      <c r="M3588" s="28" t="e">
        <f ca="1">[1]!BexGetData("DP_1","003N8EMH8GTFRIVOG7KG9IQXA","GSON7310200007")</f>
        <v>#NAME?</v>
      </c>
      <c r="N3588" s="23" t="e">
        <f ca="1">[1]!BexGetData("DP_1","003N8EMH8GTFRIVOG7KG9IX8U","GSON7310200007")</f>
        <v>#NAME?</v>
      </c>
      <c r="O3588" s="28" t="e">
        <f ca="1">[1]!BexGetData("DP_1","003N8EMH8GTFRIVOG7KG9J3KE","GSON7310200007")</f>
        <v>#NAME?</v>
      </c>
      <c r="P3588" s="23" t="e">
        <f ca="1">[1]!BexGetData("DP_1","003N8EMH8GTFRIVOG7KG9J9VY","GSON7310200007")</f>
        <v>#NAME?</v>
      </c>
      <c r="Q3588" s="24" t="e">
        <f ca="1">[1]!BexGetData("DP_1","00O2TNJGODT0G5Z4TTKYMM5MT","GSON7310200007")</f>
        <v>#NAME?</v>
      </c>
      <c r="R3588" s="23" t="e">
        <f ca="1">[1]!BexGetData("DP_1","00O2TNJGODT0G5Z4TTKYMMBYD","GSON7310200007")</f>
        <v>#NAME?</v>
      </c>
      <c r="S3588" s="23" t="e">
        <f ca="1">[1]!BexGetData("DP_1","00O2TNJGODT0G5Z4TTKYMMI9X","GSON7310200007")</f>
        <v>#NAME?</v>
      </c>
      <c r="T3588" s="28" t="e">
        <f ca="1">[1]!BexGetData("DP_1","00O2TNJGODT0G5Z4TTKYMMOLH","GSON7310200007")</f>
        <v>#NAME?</v>
      </c>
      <c r="U3588" s="23" t="e">
        <f ca="1">[1]!BexGetData("DP_1","00O2TNJGODT0G5Z4TTKYMMUX1","GSON7310200007")</f>
        <v>#NAME?</v>
      </c>
      <c r="V3588" s="28" t="e">
        <f ca="1">[1]!BexGetData("DP_1","00O2TNJGODT0G5Z4TTKYMN18L","GSON7310200007")</f>
        <v>#NAME?</v>
      </c>
      <c r="W3588" s="23" t="e">
        <f ca="1">[1]!BexGetData("DP_1","00O2TNJGODT0G5Z4TTKYMN7K5","GSON7310200007")</f>
        <v>#NAME?</v>
      </c>
    </row>
    <row r="3589" spans="1:23" x14ac:dyDescent="0.2">
      <c r="A3589" s="33" t="s">
        <v>7183</v>
      </c>
      <c r="B3589" s="27" t="s">
        <v>7184</v>
      </c>
      <c r="C3589" s="24" t="e">
        <f ca="1">[1]!BexGetData("DP_1","003N8EMH8GTFRCSWKMPXRR8GU","GSON7320100001")</f>
        <v>#NAME?</v>
      </c>
      <c r="D3589" s="24" t="e">
        <f ca="1">[1]!BexGetData("DP_1","003N8EMH8GTFRCSWKMPXRRESE","GSON7320100001")</f>
        <v>#NAME?</v>
      </c>
      <c r="E3589" s="24" t="e">
        <f ca="1">[1]!BexGetData("DP_1","003N8EMH8GTFRCSWKMPXRRL3Y","GSON7320100001")</f>
        <v>#NAME?</v>
      </c>
      <c r="F3589" s="28" t="e">
        <f ca="1">[1]!BexGetData("DP_1","003N8EMH8GTFRCSWKMPXRRRFI","GSON7320100001")</f>
        <v>#NAME?</v>
      </c>
      <c r="G3589" s="23" t="e">
        <f ca="1">[1]!BexGetData("DP_1","003N8EMH8GTFRCSWKMPXRRXR2","GSON7320100001")</f>
        <v>#NAME?</v>
      </c>
      <c r="H3589" s="28" t="e">
        <f ca="1">[1]!BexGetData("DP_1","003N8EMH8GTFRCSWKMPXRS42M","GSON7320100001")</f>
        <v>#NAME?</v>
      </c>
      <c r="I3589" s="28" t="e">
        <f ca="1">[1]!BexGetData("DP_1","003N8EMH8GTFRCSWKMPXRSAE6","GSON7320100001")</f>
        <v>#NAME?</v>
      </c>
      <c r="J3589" s="23" t="e">
        <f ca="1">[1]!BexGetData("DP_1","003N8EMH8GTFRCSWKMPXRSGPQ","GSON7320100001")</f>
        <v>#NAME?</v>
      </c>
      <c r="K3589" s="28" t="e">
        <f ca="1">[1]!BexGetData("DP_1","003N8EMH8GTFRIVNUPY288VJH","GSON7320100001")</f>
        <v>#NAME?</v>
      </c>
      <c r="L3589" s="28" t="e">
        <f ca="1">[1]!BexGetData("DP_1","003N8EMH8GTFRIVNUPY2891V1","GSON7320100001")</f>
        <v>#NAME?</v>
      </c>
      <c r="M3589" s="28" t="e">
        <f ca="1">[1]!BexGetData("DP_1","003N8EMH8GTFRIVOG7KG9IQXA","GSON7320100001")</f>
        <v>#NAME?</v>
      </c>
      <c r="N3589" s="28" t="e">
        <f ca="1">[1]!BexGetData("DP_1","003N8EMH8GTFRIVOG7KG9IX8U","GSON7320100001")</f>
        <v>#NAME?</v>
      </c>
      <c r="O3589" s="28" t="e">
        <f ca="1">[1]!BexGetData("DP_1","003N8EMH8GTFRIVOG7KG9J3KE","GSON7320100001")</f>
        <v>#NAME?</v>
      </c>
      <c r="P3589" s="28" t="e">
        <f ca="1">[1]!BexGetData("DP_1","003N8EMH8GTFRIVOG7KG9J9VY","GSON7320100001")</f>
        <v>#NAME?</v>
      </c>
      <c r="Q3589" s="23" t="e">
        <f ca="1">[1]!BexGetData("DP_1","00O2TNJGODT0G5Z4TTKYMM5MT","GSON7320100001")</f>
        <v>#NAME?</v>
      </c>
      <c r="R3589" s="23" t="e">
        <f ca="1">[1]!BexGetData("DP_1","00O2TNJGODT0G5Z4TTKYMMBYD","GSON7320100001")</f>
        <v>#NAME?</v>
      </c>
      <c r="S3589" s="23" t="e">
        <f ca="1">[1]!BexGetData("DP_1","00O2TNJGODT0G5Z4TTKYMMI9X","GSON7320100001")</f>
        <v>#NAME?</v>
      </c>
      <c r="T3589" s="28" t="e">
        <f ca="1">[1]!BexGetData("DP_1","00O2TNJGODT0G5Z4TTKYMMOLH","GSON7320100001")</f>
        <v>#NAME?</v>
      </c>
      <c r="U3589" s="23" t="e">
        <f ca="1">[1]!BexGetData("DP_1","00O2TNJGODT0G5Z4TTKYMMUX1","GSON7320100001")</f>
        <v>#NAME?</v>
      </c>
      <c r="V3589" s="28" t="e">
        <f ca="1">[1]!BexGetData("DP_1","00O2TNJGODT0G5Z4TTKYMN18L","GSON7320100001")</f>
        <v>#NAME?</v>
      </c>
      <c r="W3589" s="23" t="e">
        <f ca="1">[1]!BexGetData("DP_1","00O2TNJGODT0G5Z4TTKYMN7K5","GSON7320100001")</f>
        <v>#NAME?</v>
      </c>
    </row>
    <row r="3590" spans="1:23" x14ac:dyDescent="0.2">
      <c r="A3590" s="33" t="s">
        <v>7185</v>
      </c>
      <c r="B3590" s="27" t="s">
        <v>7186</v>
      </c>
      <c r="C3590" s="23" t="e">
        <f ca="1">[1]!BexGetData("DP_1","003N8EMH8GTFRCSWKMPXRR8GU","GSON7320100002")</f>
        <v>#NAME?</v>
      </c>
      <c r="D3590" s="23" t="e">
        <f ca="1">[1]!BexGetData("DP_1","003N8EMH8GTFRCSWKMPXRRESE","GSON7320100002")</f>
        <v>#NAME?</v>
      </c>
      <c r="E3590" s="23" t="e">
        <f ca="1">[1]!BexGetData("DP_1","003N8EMH8GTFRCSWKMPXRRL3Y","GSON7320100002")</f>
        <v>#NAME?</v>
      </c>
      <c r="F3590" s="23" t="e">
        <f ca="1">[1]!BexGetData("DP_1","003N8EMH8GTFRCSWKMPXRRRFI","GSON7320100002")</f>
        <v>#NAME?</v>
      </c>
      <c r="G3590" s="23" t="e">
        <f ca="1">[1]!BexGetData("DP_1","003N8EMH8GTFRCSWKMPXRRXR2","GSON7320100002")</f>
        <v>#NAME?</v>
      </c>
      <c r="H3590" s="23" t="e">
        <f ca="1">[1]!BexGetData("DP_1","003N8EMH8GTFRCSWKMPXRS42M","GSON7320100002")</f>
        <v>#NAME?</v>
      </c>
      <c r="I3590" s="23" t="e">
        <f ca="1">[1]!BexGetData("DP_1","003N8EMH8GTFRCSWKMPXRSAE6","GSON7320100002")</f>
        <v>#NAME?</v>
      </c>
      <c r="J3590" s="23" t="e">
        <f ca="1">[1]!BexGetData("DP_1","003N8EMH8GTFRCSWKMPXRSGPQ","GSON7320100002")</f>
        <v>#NAME?</v>
      </c>
      <c r="K3590" s="23" t="e">
        <f ca="1">[1]!BexGetData("DP_1","003N8EMH8GTFRIVNUPY288VJH","GSON7320100002")</f>
        <v>#NAME?</v>
      </c>
      <c r="L3590" s="23" t="e">
        <f ca="1">[1]!BexGetData("DP_1","003N8EMH8GTFRIVNUPY2891V1","GSON7320100002")</f>
        <v>#NAME?</v>
      </c>
      <c r="M3590" s="28" t="e">
        <f ca="1">[1]!BexGetData("DP_1","003N8EMH8GTFRIVOG7KG9IQXA","GSON7320100002")</f>
        <v>#NAME?</v>
      </c>
      <c r="N3590" s="23" t="e">
        <f ca="1">[1]!BexGetData("DP_1","003N8EMH8GTFRIVOG7KG9IX8U","GSON7320100002")</f>
        <v>#NAME?</v>
      </c>
      <c r="O3590" s="28" t="e">
        <f ca="1">[1]!BexGetData("DP_1","003N8EMH8GTFRIVOG7KG9J3KE","GSON7320100002")</f>
        <v>#NAME?</v>
      </c>
      <c r="P3590" s="23" t="e">
        <f ca="1">[1]!BexGetData("DP_1","003N8EMH8GTFRIVOG7KG9J9VY","GSON7320100002")</f>
        <v>#NAME?</v>
      </c>
      <c r="Q3590" s="23" t="e">
        <f ca="1">[1]!BexGetData("DP_1","00O2TNJGODT0G5Z4TTKYMM5MT","GSON7320100002")</f>
        <v>#NAME?</v>
      </c>
      <c r="R3590" s="23" t="e">
        <f ca="1">[1]!BexGetData("DP_1","00O2TNJGODT0G5Z4TTKYMMBYD","GSON7320100002")</f>
        <v>#NAME?</v>
      </c>
      <c r="S3590" s="23" t="e">
        <f ca="1">[1]!BexGetData("DP_1","00O2TNJGODT0G5Z4TTKYMMI9X","GSON7320100002")</f>
        <v>#NAME?</v>
      </c>
      <c r="T3590" s="28" t="e">
        <f ca="1">[1]!BexGetData("DP_1","00O2TNJGODT0G5Z4TTKYMMOLH","GSON7320100002")</f>
        <v>#NAME?</v>
      </c>
      <c r="U3590" s="23" t="e">
        <f ca="1">[1]!BexGetData("DP_1","00O2TNJGODT0G5Z4TTKYMMUX1","GSON7320100002")</f>
        <v>#NAME?</v>
      </c>
      <c r="V3590" s="28" t="e">
        <f ca="1">[1]!BexGetData("DP_1","00O2TNJGODT0G5Z4TTKYMN18L","GSON7320100002")</f>
        <v>#NAME?</v>
      </c>
      <c r="W3590" s="23" t="e">
        <f ca="1">[1]!BexGetData("DP_1","00O2TNJGODT0G5Z4TTKYMN7K5","GSON7320100002")</f>
        <v>#NAME?</v>
      </c>
    </row>
    <row r="3591" spans="1:23" x14ac:dyDescent="0.2">
      <c r="A3591" s="32" t="s">
        <v>7187</v>
      </c>
      <c r="B3591" s="26" t="s">
        <v>7188</v>
      </c>
      <c r="C3591" s="28" t="e">
        <f ca="1">[1]!BexGetData("DP_1","003N8EMH8GTFRCSWKMPXRR8GU","GSON74")</f>
        <v>#NAME?</v>
      </c>
      <c r="D3591" s="28" t="e">
        <f ca="1">[1]!BexGetData("DP_1","003N8EMH8GTFRCSWKMPXRRESE","GSON74")</f>
        <v>#NAME?</v>
      </c>
      <c r="E3591" s="28" t="e">
        <f ca="1">[1]!BexGetData("DP_1","003N8EMH8GTFRCSWKMPXRRL3Y","GSON74")</f>
        <v>#NAME?</v>
      </c>
      <c r="F3591" s="28" t="e">
        <f ca="1">[1]!BexGetData("DP_1","003N8EMH8GTFRCSWKMPXRRRFI","GSON74")</f>
        <v>#NAME?</v>
      </c>
      <c r="G3591" s="28" t="e">
        <f ca="1">[1]!BexGetData("DP_1","003N8EMH8GTFRCSWKMPXRRXR2","GSON74")</f>
        <v>#NAME?</v>
      </c>
      <c r="H3591" s="28" t="e">
        <f ca="1">[1]!BexGetData("DP_1","003N8EMH8GTFRCSWKMPXRS42M","GSON74")</f>
        <v>#NAME?</v>
      </c>
      <c r="I3591" s="28" t="e">
        <f ca="1">[1]!BexGetData("DP_1","003N8EMH8GTFRCSWKMPXRSAE6","GSON74")</f>
        <v>#NAME?</v>
      </c>
      <c r="J3591" s="28" t="e">
        <f ca="1">[1]!BexGetData("DP_1","003N8EMH8GTFRCSWKMPXRSGPQ","GSON74")</f>
        <v>#NAME?</v>
      </c>
      <c r="K3591" s="28" t="e">
        <f ca="1">[1]!BexGetData("DP_1","003N8EMH8GTFRIVNUPY288VJH","GSON74")</f>
        <v>#NAME?</v>
      </c>
      <c r="L3591" s="28" t="e">
        <f ca="1">[1]!BexGetData("DP_1","003N8EMH8GTFRIVNUPY2891V1","GSON74")</f>
        <v>#NAME?</v>
      </c>
      <c r="M3591" s="28" t="e">
        <f ca="1">[1]!BexGetData("DP_1","003N8EMH8GTFRIVOG7KG9IQXA","GSON74")</f>
        <v>#NAME?</v>
      </c>
      <c r="N3591" s="28" t="e">
        <f ca="1">[1]!BexGetData("DP_1","003N8EMH8GTFRIVOG7KG9IX8U","GSON74")</f>
        <v>#NAME?</v>
      </c>
      <c r="O3591" s="28" t="e">
        <f ca="1">[1]!BexGetData("DP_1","003N8EMH8GTFRIVOG7KG9J3KE","GSON74")</f>
        <v>#NAME?</v>
      </c>
      <c r="P3591" s="28" t="e">
        <f ca="1">[1]!BexGetData("DP_1","003N8EMH8GTFRIVOG7KG9J9VY","GSON74")</f>
        <v>#NAME?</v>
      </c>
      <c r="Q3591" s="28" t="e">
        <f ca="1">[1]!BexGetData("DP_1","00O2TNJGODT0G5Z4TTKYMM5MT","GSON74")</f>
        <v>#NAME?</v>
      </c>
      <c r="R3591" s="28" t="e">
        <f ca="1">[1]!BexGetData("DP_1","00O2TNJGODT0G5Z4TTKYMMBYD","GSON74")</f>
        <v>#NAME?</v>
      </c>
      <c r="S3591" s="28" t="e">
        <f ca="1">[1]!BexGetData("DP_1","00O2TNJGODT0G5Z4TTKYMMI9X","GSON74")</f>
        <v>#NAME?</v>
      </c>
      <c r="T3591" s="28" t="e">
        <f ca="1">[1]!BexGetData("DP_1","00O2TNJGODT0G5Z4TTKYMMOLH","GSON74")</f>
        <v>#NAME?</v>
      </c>
      <c r="U3591" s="28" t="e">
        <f ca="1">[1]!BexGetData("DP_1","00O2TNJGODT0G5Z4TTKYMMUX1","GSON74")</f>
        <v>#NAME?</v>
      </c>
      <c r="V3591" s="28" t="e">
        <f ca="1">[1]!BexGetData("DP_1","00O2TNJGODT0G5Z4TTKYMN18L","GSON74")</f>
        <v>#NAME?</v>
      </c>
      <c r="W3591" s="28" t="e">
        <f ca="1">[1]!BexGetData("DP_1","00O2TNJGODT0G5Z4TTKYMN7K5","GSON74")</f>
        <v>#NAME?</v>
      </c>
    </row>
    <row r="3592" spans="1:23" x14ac:dyDescent="0.2">
      <c r="A3592" s="33" t="s">
        <v>7189</v>
      </c>
      <c r="B3592" s="27" t="s">
        <v>7190</v>
      </c>
      <c r="C3592" s="28" t="e">
        <f ca="1">[1]!BexGetData("DP_1","003N8EMH8GTFRCSWKMPXRR8GU","GSON7410100001")</f>
        <v>#NAME?</v>
      </c>
      <c r="D3592" s="28" t="e">
        <f ca="1">[1]!BexGetData("DP_1","003N8EMH8GTFRCSWKMPXRRESE","GSON7410100001")</f>
        <v>#NAME?</v>
      </c>
      <c r="E3592" s="23" t="e">
        <f ca="1">[1]!BexGetData("DP_1","003N8EMH8GTFRCSWKMPXRRL3Y","GSON7410100001")</f>
        <v>#NAME?</v>
      </c>
      <c r="F3592" s="23" t="e">
        <f ca="1">[1]!BexGetData("DP_1","003N8EMH8GTFRCSWKMPXRRRFI","GSON7410100001")</f>
        <v>#NAME?</v>
      </c>
      <c r="G3592" s="28" t="e">
        <f ca="1">[1]!BexGetData("DP_1","003N8EMH8GTFRCSWKMPXRRXR2","GSON7410100001")</f>
        <v>#NAME?</v>
      </c>
      <c r="H3592" s="28" t="e">
        <f ca="1">[1]!BexGetData("DP_1","003N8EMH8GTFRCSWKMPXRS42M","GSON7410100001")</f>
        <v>#NAME?</v>
      </c>
      <c r="I3592" s="23" t="e">
        <f ca="1">[1]!BexGetData("DP_1","003N8EMH8GTFRCSWKMPXRSAE6","GSON7410100001")</f>
        <v>#NAME?</v>
      </c>
      <c r="J3592" s="23" t="e">
        <f ca="1">[1]!BexGetData("DP_1","003N8EMH8GTFRCSWKMPXRSGPQ","GSON7410100001")</f>
        <v>#NAME?</v>
      </c>
      <c r="K3592" s="28" t="e">
        <f ca="1">[1]!BexGetData("DP_1","003N8EMH8GTFRIVNUPY288VJH","GSON7410100001")</f>
        <v>#NAME?</v>
      </c>
      <c r="L3592" s="28" t="e">
        <f ca="1">[1]!BexGetData("DP_1","003N8EMH8GTFRIVNUPY2891V1","GSON7410100001")</f>
        <v>#NAME?</v>
      </c>
      <c r="M3592" s="28" t="e">
        <f ca="1">[1]!BexGetData("DP_1","003N8EMH8GTFRIVOG7KG9IQXA","GSON7410100001")</f>
        <v>#NAME?</v>
      </c>
      <c r="N3592" s="28" t="e">
        <f ca="1">[1]!BexGetData("DP_1","003N8EMH8GTFRIVOG7KG9IX8U","GSON7410100001")</f>
        <v>#NAME?</v>
      </c>
      <c r="O3592" s="28" t="e">
        <f ca="1">[1]!BexGetData("DP_1","003N8EMH8GTFRIVOG7KG9J3KE","GSON7410100001")</f>
        <v>#NAME?</v>
      </c>
      <c r="P3592" s="28" t="e">
        <f ca="1">[1]!BexGetData("DP_1","003N8EMH8GTFRIVOG7KG9J9VY","GSON7410100001")</f>
        <v>#NAME?</v>
      </c>
      <c r="Q3592" s="23" t="e">
        <f ca="1">[1]!BexGetData("DP_1","00O2TNJGODT0G5Z4TTKYMM5MT","GSON7410100001")</f>
        <v>#NAME?</v>
      </c>
      <c r="R3592" s="28" t="e">
        <f ca="1">[1]!BexGetData("DP_1","00O2TNJGODT0G5Z4TTKYMMBYD","GSON7410100001")</f>
        <v>#NAME?</v>
      </c>
      <c r="S3592" s="28" t="e">
        <f ca="1">[1]!BexGetData("DP_1","00O2TNJGODT0G5Z4TTKYMMI9X","GSON7410100001")</f>
        <v>#NAME?</v>
      </c>
      <c r="T3592" s="28" t="e">
        <f ca="1">[1]!BexGetData("DP_1","00O2TNJGODT0G5Z4TTKYMMOLH","GSON7410100001")</f>
        <v>#NAME?</v>
      </c>
      <c r="U3592" s="28" t="e">
        <f ca="1">[1]!BexGetData("DP_1","00O2TNJGODT0G5Z4TTKYMMUX1","GSON7410100001")</f>
        <v>#NAME?</v>
      </c>
      <c r="V3592" s="28" t="e">
        <f ca="1">[1]!BexGetData("DP_1","00O2TNJGODT0G5Z4TTKYMN18L","GSON7410100001")</f>
        <v>#NAME?</v>
      </c>
      <c r="W3592" s="28" t="e">
        <f ca="1">[1]!BexGetData("DP_1","00O2TNJGODT0G5Z4TTKYMN7K5","GSON7410100001")</f>
        <v>#NAME?</v>
      </c>
    </row>
    <row r="3593" spans="1:23" x14ac:dyDescent="0.2">
      <c r="A3593" s="33" t="s">
        <v>7191</v>
      </c>
      <c r="B3593" s="27" t="s">
        <v>7192</v>
      </c>
      <c r="C3593" s="28" t="e">
        <f ca="1">[1]!BexGetData("DP_1","003N8EMH8GTFRCSWKMPXRR8GU","GSON7420100001")</f>
        <v>#NAME?</v>
      </c>
      <c r="D3593" s="28" t="e">
        <f ca="1">[1]!BexGetData("DP_1","003N8EMH8GTFRCSWKMPXRRESE","GSON7420100001")</f>
        <v>#NAME?</v>
      </c>
      <c r="E3593" s="23" t="e">
        <f ca="1">[1]!BexGetData("DP_1","003N8EMH8GTFRCSWKMPXRRL3Y","GSON7420100001")</f>
        <v>#NAME?</v>
      </c>
      <c r="F3593" s="23" t="e">
        <f ca="1">[1]!BexGetData("DP_1","003N8EMH8GTFRCSWKMPXRRRFI","GSON7420100001")</f>
        <v>#NAME?</v>
      </c>
      <c r="G3593" s="28" t="e">
        <f ca="1">[1]!BexGetData("DP_1","003N8EMH8GTFRCSWKMPXRRXR2","GSON7420100001")</f>
        <v>#NAME?</v>
      </c>
      <c r="H3593" s="28" t="e">
        <f ca="1">[1]!BexGetData("DP_1","003N8EMH8GTFRCSWKMPXRS42M","GSON7420100001")</f>
        <v>#NAME?</v>
      </c>
      <c r="I3593" s="23" t="e">
        <f ca="1">[1]!BexGetData("DP_1","003N8EMH8GTFRCSWKMPXRSAE6","GSON7420100001")</f>
        <v>#NAME?</v>
      </c>
      <c r="J3593" s="23" t="e">
        <f ca="1">[1]!BexGetData("DP_1","003N8EMH8GTFRCSWKMPXRSGPQ","GSON7420100001")</f>
        <v>#NAME?</v>
      </c>
      <c r="K3593" s="28" t="e">
        <f ca="1">[1]!BexGetData("DP_1","003N8EMH8GTFRIVNUPY288VJH","GSON7420100001")</f>
        <v>#NAME?</v>
      </c>
      <c r="L3593" s="28" t="e">
        <f ca="1">[1]!BexGetData("DP_1","003N8EMH8GTFRIVNUPY2891V1","GSON7420100001")</f>
        <v>#NAME?</v>
      </c>
      <c r="M3593" s="28" t="e">
        <f ca="1">[1]!BexGetData("DP_1","003N8EMH8GTFRIVOG7KG9IQXA","GSON7420100001")</f>
        <v>#NAME?</v>
      </c>
      <c r="N3593" s="28" t="e">
        <f ca="1">[1]!BexGetData("DP_1","003N8EMH8GTFRIVOG7KG9IX8U","GSON7420100001")</f>
        <v>#NAME?</v>
      </c>
      <c r="O3593" s="28" t="e">
        <f ca="1">[1]!BexGetData("DP_1","003N8EMH8GTFRIVOG7KG9J3KE","GSON7420100001")</f>
        <v>#NAME?</v>
      </c>
      <c r="P3593" s="28" t="e">
        <f ca="1">[1]!BexGetData("DP_1","003N8EMH8GTFRIVOG7KG9J9VY","GSON7420100001")</f>
        <v>#NAME?</v>
      </c>
      <c r="Q3593" s="23" t="e">
        <f ca="1">[1]!BexGetData("DP_1","00O2TNJGODT0G5Z4TTKYMM5MT","GSON7420100001")</f>
        <v>#NAME?</v>
      </c>
      <c r="R3593" s="28" t="e">
        <f ca="1">[1]!BexGetData("DP_1","00O2TNJGODT0G5Z4TTKYMMBYD","GSON7420100001")</f>
        <v>#NAME?</v>
      </c>
      <c r="S3593" s="28" t="e">
        <f ca="1">[1]!BexGetData("DP_1","00O2TNJGODT0G5Z4TTKYMMI9X","GSON7420100001")</f>
        <v>#NAME?</v>
      </c>
      <c r="T3593" s="28" t="e">
        <f ca="1">[1]!BexGetData("DP_1","00O2TNJGODT0G5Z4TTKYMMOLH","GSON7420100001")</f>
        <v>#NAME?</v>
      </c>
      <c r="U3593" s="28" t="e">
        <f ca="1">[1]!BexGetData("DP_1","00O2TNJGODT0G5Z4TTKYMMUX1","GSON7420100001")</f>
        <v>#NAME?</v>
      </c>
      <c r="V3593" s="28" t="e">
        <f ca="1">[1]!BexGetData("DP_1","00O2TNJGODT0G5Z4TTKYMN18L","GSON7420100001")</f>
        <v>#NAME?</v>
      </c>
      <c r="W3593" s="28" t="e">
        <f ca="1">[1]!BexGetData("DP_1","00O2TNJGODT0G5Z4TTKYMN7K5","GSON7420100001")</f>
        <v>#NAME?</v>
      </c>
    </row>
    <row r="3594" spans="1:23" x14ac:dyDescent="0.2">
      <c r="A3594" s="32" t="s">
        <v>405</v>
      </c>
      <c r="B3594" s="26" t="s">
        <v>7193</v>
      </c>
      <c r="C3594" s="28" t="e">
        <f ca="1">[1]!BexGetData("DP_1","003N8EMH8GTFRCSWKMPXRR8GU","GSON75")</f>
        <v>#NAME?</v>
      </c>
      <c r="D3594" s="28" t="e">
        <f ca="1">[1]!BexGetData("DP_1","003N8EMH8GTFRCSWKMPXRRESE","GSON75")</f>
        <v>#NAME?</v>
      </c>
      <c r="E3594" s="28" t="e">
        <f ca="1">[1]!BexGetData("DP_1","003N8EMH8GTFRCSWKMPXRRL3Y","GSON75")</f>
        <v>#NAME?</v>
      </c>
      <c r="F3594" s="28" t="e">
        <f ca="1">[1]!BexGetData("DP_1","003N8EMH8GTFRCSWKMPXRRRFI","GSON75")</f>
        <v>#NAME?</v>
      </c>
      <c r="G3594" s="28" t="e">
        <f ca="1">[1]!BexGetData("DP_1","003N8EMH8GTFRCSWKMPXRRXR2","GSON75")</f>
        <v>#NAME?</v>
      </c>
      <c r="H3594" s="28" t="e">
        <f ca="1">[1]!BexGetData("DP_1","003N8EMH8GTFRCSWKMPXRS42M","GSON75")</f>
        <v>#NAME?</v>
      </c>
      <c r="I3594" s="28" t="e">
        <f ca="1">[1]!BexGetData("DP_1","003N8EMH8GTFRCSWKMPXRSAE6","GSON75")</f>
        <v>#NAME?</v>
      </c>
      <c r="J3594" s="28" t="e">
        <f ca="1">[1]!BexGetData("DP_1","003N8EMH8GTFRCSWKMPXRSGPQ","GSON75")</f>
        <v>#NAME?</v>
      </c>
      <c r="K3594" s="28" t="e">
        <f ca="1">[1]!BexGetData("DP_1","003N8EMH8GTFRIVNUPY288VJH","GSON75")</f>
        <v>#NAME?</v>
      </c>
      <c r="L3594" s="28" t="e">
        <f ca="1">[1]!BexGetData("DP_1","003N8EMH8GTFRIVNUPY2891V1","GSON75")</f>
        <v>#NAME?</v>
      </c>
      <c r="M3594" s="28" t="e">
        <f ca="1">[1]!BexGetData("DP_1","003N8EMH8GTFRIVOG7KG9IQXA","GSON75")</f>
        <v>#NAME?</v>
      </c>
      <c r="N3594" s="28" t="e">
        <f ca="1">[1]!BexGetData("DP_1","003N8EMH8GTFRIVOG7KG9IX8U","GSON75")</f>
        <v>#NAME?</v>
      </c>
      <c r="O3594" s="28" t="e">
        <f ca="1">[1]!BexGetData("DP_1","003N8EMH8GTFRIVOG7KG9J3KE","GSON75")</f>
        <v>#NAME?</v>
      </c>
      <c r="P3594" s="28" t="e">
        <f ca="1">[1]!BexGetData("DP_1","003N8EMH8GTFRIVOG7KG9J9VY","GSON75")</f>
        <v>#NAME?</v>
      </c>
      <c r="Q3594" s="28" t="e">
        <f ca="1">[1]!BexGetData("DP_1","00O2TNJGODT0G5Z4TTKYMM5MT","GSON75")</f>
        <v>#NAME?</v>
      </c>
      <c r="R3594" s="28" t="e">
        <f ca="1">[1]!BexGetData("DP_1","00O2TNJGODT0G5Z4TTKYMMBYD","GSON75")</f>
        <v>#NAME?</v>
      </c>
      <c r="S3594" s="28" t="e">
        <f ca="1">[1]!BexGetData("DP_1","00O2TNJGODT0G5Z4TTKYMMI9X","GSON75")</f>
        <v>#NAME?</v>
      </c>
      <c r="T3594" s="28" t="e">
        <f ca="1">[1]!BexGetData("DP_1","00O2TNJGODT0G5Z4TTKYMMOLH","GSON75")</f>
        <v>#NAME?</v>
      </c>
      <c r="U3594" s="28" t="e">
        <f ca="1">[1]!BexGetData("DP_1","00O2TNJGODT0G5Z4TTKYMMUX1","GSON75")</f>
        <v>#NAME?</v>
      </c>
      <c r="V3594" s="28" t="e">
        <f ca="1">[1]!BexGetData("DP_1","00O2TNJGODT0G5Z4TTKYMN18L","GSON75")</f>
        <v>#NAME?</v>
      </c>
      <c r="W3594" s="28" t="e">
        <f ca="1">[1]!BexGetData("DP_1","00O2TNJGODT0G5Z4TTKYMN7K5","GSON75")</f>
        <v>#NAME?</v>
      </c>
    </row>
    <row r="3595" spans="1:23" x14ac:dyDescent="0.2">
      <c r="A3595" s="33" t="s">
        <v>7194</v>
      </c>
      <c r="B3595" s="27" t="s">
        <v>7195</v>
      </c>
      <c r="C3595" s="28" t="e">
        <f ca="1">[1]!BexGetData("DP_1","003N8EMH8GTFRCSWKMPXRR8GU","GSON7510100001")</f>
        <v>#NAME?</v>
      </c>
      <c r="D3595" s="28" t="e">
        <f ca="1">[1]!BexGetData("DP_1","003N8EMH8GTFRCSWKMPXRRESE","GSON7510100001")</f>
        <v>#NAME?</v>
      </c>
      <c r="E3595" s="23" t="e">
        <f ca="1">[1]!BexGetData("DP_1","003N8EMH8GTFRCSWKMPXRRL3Y","GSON7510100001")</f>
        <v>#NAME?</v>
      </c>
      <c r="F3595" s="23" t="e">
        <f ca="1">[1]!BexGetData("DP_1","003N8EMH8GTFRCSWKMPXRRRFI","GSON7510100001")</f>
        <v>#NAME?</v>
      </c>
      <c r="G3595" s="28" t="e">
        <f ca="1">[1]!BexGetData("DP_1","003N8EMH8GTFRCSWKMPXRRXR2","GSON7510100001")</f>
        <v>#NAME?</v>
      </c>
      <c r="H3595" s="28" t="e">
        <f ca="1">[1]!BexGetData("DP_1","003N8EMH8GTFRCSWKMPXRS42M","GSON7510100001")</f>
        <v>#NAME?</v>
      </c>
      <c r="I3595" s="23" t="e">
        <f ca="1">[1]!BexGetData("DP_1","003N8EMH8GTFRCSWKMPXRSAE6","GSON7510100001")</f>
        <v>#NAME?</v>
      </c>
      <c r="J3595" s="23" t="e">
        <f ca="1">[1]!BexGetData("DP_1","003N8EMH8GTFRCSWKMPXRSGPQ","GSON7510100001")</f>
        <v>#NAME?</v>
      </c>
      <c r="K3595" s="28" t="e">
        <f ca="1">[1]!BexGetData("DP_1","003N8EMH8GTFRIVNUPY288VJH","GSON7510100001")</f>
        <v>#NAME?</v>
      </c>
      <c r="L3595" s="28" t="e">
        <f ca="1">[1]!BexGetData("DP_1","003N8EMH8GTFRIVNUPY2891V1","GSON7510100001")</f>
        <v>#NAME?</v>
      </c>
      <c r="M3595" s="28" t="e">
        <f ca="1">[1]!BexGetData("DP_1","003N8EMH8GTFRIVOG7KG9IQXA","GSON7510100001")</f>
        <v>#NAME?</v>
      </c>
      <c r="N3595" s="28" t="e">
        <f ca="1">[1]!BexGetData("DP_1","003N8EMH8GTFRIVOG7KG9IX8U","GSON7510100001")</f>
        <v>#NAME?</v>
      </c>
      <c r="O3595" s="28" t="e">
        <f ca="1">[1]!BexGetData("DP_1","003N8EMH8GTFRIVOG7KG9J3KE","GSON7510100001")</f>
        <v>#NAME?</v>
      </c>
      <c r="P3595" s="28" t="e">
        <f ca="1">[1]!BexGetData("DP_1","003N8EMH8GTFRIVOG7KG9J9VY","GSON7510100001")</f>
        <v>#NAME?</v>
      </c>
      <c r="Q3595" s="23" t="e">
        <f ca="1">[1]!BexGetData("DP_1","00O2TNJGODT0G5Z4TTKYMM5MT","GSON7510100001")</f>
        <v>#NAME?</v>
      </c>
      <c r="R3595" s="28" t="e">
        <f ca="1">[1]!BexGetData("DP_1","00O2TNJGODT0G5Z4TTKYMMBYD","GSON7510100001")</f>
        <v>#NAME?</v>
      </c>
      <c r="S3595" s="28" t="e">
        <f ca="1">[1]!BexGetData("DP_1","00O2TNJGODT0G5Z4TTKYMMI9X","GSON7510100001")</f>
        <v>#NAME?</v>
      </c>
      <c r="T3595" s="28" t="e">
        <f ca="1">[1]!BexGetData("DP_1","00O2TNJGODT0G5Z4TTKYMMOLH","GSON7510100001")</f>
        <v>#NAME?</v>
      </c>
      <c r="U3595" s="28" t="e">
        <f ca="1">[1]!BexGetData("DP_1","00O2TNJGODT0G5Z4TTKYMMUX1","GSON7510100001")</f>
        <v>#NAME?</v>
      </c>
      <c r="V3595" s="28" t="e">
        <f ca="1">[1]!BexGetData("DP_1","00O2TNJGODT0G5Z4TTKYMN18L","GSON7510100001")</f>
        <v>#NAME?</v>
      </c>
      <c r="W3595" s="28" t="e">
        <f ca="1">[1]!BexGetData("DP_1","00O2TNJGODT0G5Z4TTKYMN7K5","GSON7510100001")</f>
        <v>#NAME?</v>
      </c>
    </row>
    <row r="3596" spans="1:23" x14ac:dyDescent="0.2">
      <c r="A3596" s="33" t="s">
        <v>6927</v>
      </c>
      <c r="B3596" s="27" t="s">
        <v>7196</v>
      </c>
      <c r="C3596" s="28" t="e">
        <f ca="1">[1]!BexGetData("DP_1","003N8EMH8GTFRCSWKMPXRR8GU","GSON7520100001")</f>
        <v>#NAME?</v>
      </c>
      <c r="D3596" s="28" t="e">
        <f ca="1">[1]!BexGetData("DP_1","003N8EMH8GTFRCSWKMPXRRESE","GSON7520100001")</f>
        <v>#NAME?</v>
      </c>
      <c r="E3596" s="23" t="e">
        <f ca="1">[1]!BexGetData("DP_1","003N8EMH8GTFRCSWKMPXRRL3Y","GSON7520100001")</f>
        <v>#NAME?</v>
      </c>
      <c r="F3596" s="23" t="e">
        <f ca="1">[1]!BexGetData("DP_1","003N8EMH8GTFRCSWKMPXRRRFI","GSON7520100001")</f>
        <v>#NAME?</v>
      </c>
      <c r="G3596" s="28" t="e">
        <f ca="1">[1]!BexGetData("DP_1","003N8EMH8GTFRCSWKMPXRRXR2","GSON7520100001")</f>
        <v>#NAME?</v>
      </c>
      <c r="H3596" s="28" t="e">
        <f ca="1">[1]!BexGetData("DP_1","003N8EMH8GTFRCSWKMPXRS42M","GSON7520100001")</f>
        <v>#NAME?</v>
      </c>
      <c r="I3596" s="23" t="e">
        <f ca="1">[1]!BexGetData("DP_1","003N8EMH8GTFRCSWKMPXRSAE6","GSON7520100001")</f>
        <v>#NAME?</v>
      </c>
      <c r="J3596" s="23" t="e">
        <f ca="1">[1]!BexGetData("DP_1","003N8EMH8GTFRCSWKMPXRSGPQ","GSON7520100001")</f>
        <v>#NAME?</v>
      </c>
      <c r="K3596" s="28" t="e">
        <f ca="1">[1]!BexGetData("DP_1","003N8EMH8GTFRIVNUPY288VJH","GSON7520100001")</f>
        <v>#NAME?</v>
      </c>
      <c r="L3596" s="28" t="e">
        <f ca="1">[1]!BexGetData("DP_1","003N8EMH8GTFRIVNUPY2891V1","GSON7520100001")</f>
        <v>#NAME?</v>
      </c>
      <c r="M3596" s="28" t="e">
        <f ca="1">[1]!BexGetData("DP_1","003N8EMH8GTFRIVOG7KG9IQXA","GSON7520100001")</f>
        <v>#NAME?</v>
      </c>
      <c r="N3596" s="28" t="e">
        <f ca="1">[1]!BexGetData("DP_1","003N8EMH8GTFRIVOG7KG9IX8U","GSON7520100001")</f>
        <v>#NAME?</v>
      </c>
      <c r="O3596" s="28" t="e">
        <f ca="1">[1]!BexGetData("DP_1","003N8EMH8GTFRIVOG7KG9J3KE","GSON7520100001")</f>
        <v>#NAME?</v>
      </c>
      <c r="P3596" s="28" t="e">
        <f ca="1">[1]!BexGetData("DP_1","003N8EMH8GTFRIVOG7KG9J9VY","GSON7520100001")</f>
        <v>#NAME?</v>
      </c>
      <c r="Q3596" s="23" t="e">
        <f ca="1">[1]!BexGetData("DP_1","00O2TNJGODT0G5Z4TTKYMM5MT","GSON7520100001")</f>
        <v>#NAME?</v>
      </c>
      <c r="R3596" s="28" t="e">
        <f ca="1">[1]!BexGetData("DP_1","00O2TNJGODT0G5Z4TTKYMMBYD","GSON7520100001")</f>
        <v>#NAME?</v>
      </c>
      <c r="S3596" s="28" t="e">
        <f ca="1">[1]!BexGetData("DP_1","00O2TNJGODT0G5Z4TTKYMMI9X","GSON7520100001")</f>
        <v>#NAME?</v>
      </c>
      <c r="T3596" s="28" t="e">
        <f ca="1">[1]!BexGetData("DP_1","00O2TNJGODT0G5Z4TTKYMMOLH","GSON7520100001")</f>
        <v>#NAME?</v>
      </c>
      <c r="U3596" s="28" t="e">
        <f ca="1">[1]!BexGetData("DP_1","00O2TNJGODT0G5Z4TTKYMMUX1","GSON7520100001")</f>
        <v>#NAME?</v>
      </c>
      <c r="V3596" s="28" t="e">
        <f ca="1">[1]!BexGetData("DP_1","00O2TNJGODT0G5Z4TTKYMN18L","GSON7520100001")</f>
        <v>#NAME?</v>
      </c>
      <c r="W3596" s="28" t="e">
        <f ca="1">[1]!BexGetData("DP_1","00O2TNJGODT0G5Z4TTKYMN7K5","GSON7520100001")</f>
        <v>#NAME?</v>
      </c>
    </row>
    <row r="3597" spans="1:23" x14ac:dyDescent="0.2">
      <c r="A3597" s="32" t="s">
        <v>121</v>
      </c>
      <c r="B3597" s="26" t="s">
        <v>122</v>
      </c>
      <c r="C3597" s="28" t="e">
        <f ca="1">[1]!BexGetData("DP_1","003N8EMH8GTFRCSWKMPXRR8GU","GSON76")</f>
        <v>#NAME?</v>
      </c>
      <c r="D3597" s="28" t="e">
        <f ca="1">[1]!BexGetData("DP_1","003N8EMH8GTFRCSWKMPXRRESE","GSON76")</f>
        <v>#NAME?</v>
      </c>
      <c r="E3597" s="28" t="e">
        <f ca="1">[1]!BexGetData("DP_1","003N8EMH8GTFRCSWKMPXRRL3Y","GSON76")</f>
        <v>#NAME?</v>
      </c>
      <c r="F3597" s="28" t="e">
        <f ca="1">[1]!BexGetData("DP_1","003N8EMH8GTFRCSWKMPXRRRFI","GSON76")</f>
        <v>#NAME?</v>
      </c>
      <c r="G3597" s="23" t="e">
        <f ca="1">[1]!BexGetData("DP_1","003N8EMH8GTFRCSWKMPXRRXR2","GSON76")</f>
        <v>#NAME?</v>
      </c>
      <c r="H3597" s="23" t="e">
        <f ca="1">[1]!BexGetData("DP_1","003N8EMH8GTFRCSWKMPXRS42M","GSON76")</f>
        <v>#NAME?</v>
      </c>
      <c r="I3597" s="28" t="e">
        <f ca="1">[1]!BexGetData("DP_1","003N8EMH8GTFRCSWKMPXRSAE6","GSON76")</f>
        <v>#NAME?</v>
      </c>
      <c r="J3597" s="28" t="e">
        <f ca="1">[1]!BexGetData("DP_1","003N8EMH8GTFRCSWKMPXRSGPQ","GSON76")</f>
        <v>#NAME?</v>
      </c>
      <c r="K3597" s="28" t="e">
        <f ca="1">[1]!BexGetData("DP_1","003N8EMH8GTFRIVNUPY288VJH","GSON76")</f>
        <v>#NAME?</v>
      </c>
      <c r="L3597" s="28" t="e">
        <f ca="1">[1]!BexGetData("DP_1","003N8EMH8GTFRIVNUPY2891V1","GSON76")</f>
        <v>#NAME?</v>
      </c>
      <c r="M3597" s="28" t="e">
        <f ca="1">[1]!BexGetData("DP_1","003N8EMH8GTFRIVOG7KG9IQXA","GSON76")</f>
        <v>#NAME?</v>
      </c>
      <c r="N3597" s="28" t="e">
        <f ca="1">[1]!BexGetData("DP_1","003N8EMH8GTFRIVOG7KG9IX8U","GSON76")</f>
        <v>#NAME?</v>
      </c>
      <c r="O3597" s="28" t="e">
        <f ca="1">[1]!BexGetData("DP_1","003N8EMH8GTFRIVOG7KG9J3KE","GSON76")</f>
        <v>#NAME?</v>
      </c>
      <c r="P3597" s="28" t="e">
        <f ca="1">[1]!BexGetData("DP_1","003N8EMH8GTFRIVOG7KG9J9VY","GSON76")</f>
        <v>#NAME?</v>
      </c>
      <c r="Q3597" s="28" t="e">
        <f ca="1">[1]!BexGetData("DP_1","00O2TNJGODT0G5Z4TTKYMM5MT","GSON76")</f>
        <v>#NAME?</v>
      </c>
      <c r="R3597" s="28" t="e">
        <f ca="1">[1]!BexGetData("DP_1","00O2TNJGODT0G5Z4TTKYMMBYD","GSON76")</f>
        <v>#NAME?</v>
      </c>
      <c r="S3597" s="28" t="e">
        <f ca="1">[1]!BexGetData("DP_1","00O2TNJGODT0G5Z4TTKYMMI9X","GSON76")</f>
        <v>#NAME?</v>
      </c>
      <c r="T3597" s="28" t="e">
        <f ca="1">[1]!BexGetData("DP_1","00O2TNJGODT0G5Z4TTKYMMOLH","GSON76")</f>
        <v>#NAME?</v>
      </c>
      <c r="U3597" s="28" t="e">
        <f ca="1">[1]!BexGetData("DP_1","00O2TNJGODT0G5Z4TTKYMMUX1","GSON76")</f>
        <v>#NAME?</v>
      </c>
      <c r="V3597" s="28" t="e">
        <f ca="1">[1]!BexGetData("DP_1","00O2TNJGODT0G5Z4TTKYMN18L","GSON76")</f>
        <v>#NAME?</v>
      </c>
      <c r="W3597" s="28" t="e">
        <f ca="1">[1]!BexGetData("DP_1","00O2TNJGODT0G5Z4TTKYMN7K5","GSON76")</f>
        <v>#NAME?</v>
      </c>
    </row>
    <row r="3598" spans="1:23" x14ac:dyDescent="0.2">
      <c r="A3598" s="33" t="s">
        <v>7197</v>
      </c>
      <c r="B3598" s="27" t="s">
        <v>406</v>
      </c>
      <c r="C3598" s="28" t="e">
        <f ca="1">[1]!BexGetData("DP_1","003N8EMH8GTFRCSWKMPXRR8GU","GSON7630100001")</f>
        <v>#NAME?</v>
      </c>
      <c r="D3598" s="28" t="e">
        <f ca="1">[1]!BexGetData("DP_1","003N8EMH8GTFRCSWKMPXRRESE","GSON7630100001")</f>
        <v>#NAME?</v>
      </c>
      <c r="E3598" s="23" t="e">
        <f ca="1">[1]!BexGetData("DP_1","003N8EMH8GTFRCSWKMPXRRL3Y","GSON7630100001")</f>
        <v>#NAME?</v>
      </c>
      <c r="F3598" s="23" t="e">
        <f ca="1">[1]!BexGetData("DP_1","003N8EMH8GTFRCSWKMPXRRRFI","GSON7630100001")</f>
        <v>#NAME?</v>
      </c>
      <c r="G3598" s="23" t="e">
        <f ca="1">[1]!BexGetData("DP_1","003N8EMH8GTFRCSWKMPXRRXR2","GSON7630100001")</f>
        <v>#NAME?</v>
      </c>
      <c r="H3598" s="28" t="e">
        <f ca="1">[1]!BexGetData("DP_1","003N8EMH8GTFRCSWKMPXRS42M","GSON7630100001")</f>
        <v>#NAME?</v>
      </c>
      <c r="I3598" s="23" t="e">
        <f ca="1">[1]!BexGetData("DP_1","003N8EMH8GTFRCSWKMPXRSAE6","GSON7630100001")</f>
        <v>#NAME?</v>
      </c>
      <c r="J3598" s="23" t="e">
        <f ca="1">[1]!BexGetData("DP_1","003N8EMH8GTFRCSWKMPXRSGPQ","GSON7630100001")</f>
        <v>#NAME?</v>
      </c>
      <c r="K3598" s="28" t="e">
        <f ca="1">[1]!BexGetData("DP_1","003N8EMH8GTFRIVNUPY288VJH","GSON7630100001")</f>
        <v>#NAME?</v>
      </c>
      <c r="L3598" s="28" t="e">
        <f ca="1">[1]!BexGetData("DP_1","003N8EMH8GTFRIVNUPY2891V1","GSON7630100001")</f>
        <v>#NAME?</v>
      </c>
      <c r="M3598" s="28" t="e">
        <f ca="1">[1]!BexGetData("DP_1","003N8EMH8GTFRIVOG7KG9IQXA","GSON7630100001")</f>
        <v>#NAME?</v>
      </c>
      <c r="N3598" s="28" t="e">
        <f ca="1">[1]!BexGetData("DP_1","003N8EMH8GTFRIVOG7KG9IX8U","GSON7630100001")</f>
        <v>#NAME?</v>
      </c>
      <c r="O3598" s="28" t="e">
        <f ca="1">[1]!BexGetData("DP_1","003N8EMH8GTFRIVOG7KG9J3KE","GSON7630100001")</f>
        <v>#NAME?</v>
      </c>
      <c r="P3598" s="28" t="e">
        <f ca="1">[1]!BexGetData("DP_1","003N8EMH8GTFRIVOG7KG9J9VY","GSON7630100001")</f>
        <v>#NAME?</v>
      </c>
      <c r="Q3598" s="23" t="e">
        <f ca="1">[1]!BexGetData("DP_1","00O2TNJGODT0G5Z4TTKYMM5MT","GSON7630100001")</f>
        <v>#NAME?</v>
      </c>
      <c r="R3598" s="23" t="e">
        <f ca="1">[1]!BexGetData("DP_1","00O2TNJGODT0G5Z4TTKYMMBYD","GSON7630100001")</f>
        <v>#NAME?</v>
      </c>
      <c r="S3598" s="23" t="e">
        <f ca="1">[1]!BexGetData("DP_1","00O2TNJGODT0G5Z4TTKYMMI9X","GSON7630100001")</f>
        <v>#NAME?</v>
      </c>
      <c r="T3598" s="28" t="e">
        <f ca="1">[1]!BexGetData("DP_1","00O2TNJGODT0G5Z4TTKYMMOLH","GSON7630100001")</f>
        <v>#NAME?</v>
      </c>
      <c r="U3598" s="23" t="e">
        <f ca="1">[1]!BexGetData("DP_1","00O2TNJGODT0G5Z4TTKYMMUX1","GSON7630100001")</f>
        <v>#NAME?</v>
      </c>
      <c r="V3598" s="28" t="e">
        <f ca="1">[1]!BexGetData("DP_1","00O2TNJGODT0G5Z4TTKYMN18L","GSON7630100001")</f>
        <v>#NAME?</v>
      </c>
      <c r="W3598" s="23" t="e">
        <f ca="1">[1]!BexGetData("DP_1","00O2TNJGODT0G5Z4TTKYMN7K5","GSON7630100001")</f>
        <v>#NAME?</v>
      </c>
    </row>
    <row r="3599" spans="1:23" x14ac:dyDescent="0.2">
      <c r="A3599" s="33" t="s">
        <v>123</v>
      </c>
      <c r="B3599" s="27" t="s">
        <v>407</v>
      </c>
      <c r="C3599" s="28" t="e">
        <f ca="1">[1]!BexGetData("DP_1","003N8EMH8GTFRCSWKMPXRR8GU","GSON7640100001")</f>
        <v>#NAME?</v>
      </c>
      <c r="D3599" s="28" t="e">
        <f ca="1">[1]!BexGetData("DP_1","003N8EMH8GTFRCSWKMPXRRESE","GSON7640100001")</f>
        <v>#NAME?</v>
      </c>
      <c r="E3599" s="23" t="e">
        <f ca="1">[1]!BexGetData("DP_1","003N8EMH8GTFRCSWKMPXRRL3Y","GSON7640100001")</f>
        <v>#NAME?</v>
      </c>
      <c r="F3599" s="23" t="e">
        <f ca="1">[1]!BexGetData("DP_1","003N8EMH8GTFRCSWKMPXRRRFI","GSON7640100001")</f>
        <v>#NAME?</v>
      </c>
      <c r="G3599" s="28" t="e">
        <f ca="1">[1]!BexGetData("DP_1","003N8EMH8GTFRCSWKMPXRRXR2","GSON7640100001")</f>
        <v>#NAME?</v>
      </c>
      <c r="H3599" s="23" t="e">
        <f ca="1">[1]!BexGetData("DP_1","003N8EMH8GTFRCSWKMPXRS42M","GSON7640100001")</f>
        <v>#NAME?</v>
      </c>
      <c r="I3599" s="23" t="e">
        <f ca="1">[1]!BexGetData("DP_1","003N8EMH8GTFRCSWKMPXRSAE6","GSON7640100001")</f>
        <v>#NAME?</v>
      </c>
      <c r="J3599" s="23" t="e">
        <f ca="1">[1]!BexGetData("DP_1","003N8EMH8GTFRCSWKMPXRSGPQ","GSON7640100001")</f>
        <v>#NAME?</v>
      </c>
      <c r="K3599" s="28" t="e">
        <f ca="1">[1]!BexGetData("DP_1","003N8EMH8GTFRIVNUPY288VJH","GSON7640100001")</f>
        <v>#NAME?</v>
      </c>
      <c r="L3599" s="28" t="e">
        <f ca="1">[1]!BexGetData("DP_1","003N8EMH8GTFRIVNUPY2891V1","GSON7640100001")</f>
        <v>#NAME?</v>
      </c>
      <c r="M3599" s="28" t="e">
        <f ca="1">[1]!BexGetData("DP_1","003N8EMH8GTFRIVOG7KG9IQXA","GSON7640100001")</f>
        <v>#NAME?</v>
      </c>
      <c r="N3599" s="28" t="e">
        <f ca="1">[1]!BexGetData("DP_1","003N8EMH8GTFRIVOG7KG9IX8U","GSON7640100001")</f>
        <v>#NAME?</v>
      </c>
      <c r="O3599" s="28" t="e">
        <f ca="1">[1]!BexGetData("DP_1","003N8EMH8GTFRIVOG7KG9J3KE","GSON7640100001")</f>
        <v>#NAME?</v>
      </c>
      <c r="P3599" s="28" t="e">
        <f ca="1">[1]!BexGetData("DP_1","003N8EMH8GTFRIVOG7KG9J9VY","GSON7640100001")</f>
        <v>#NAME?</v>
      </c>
      <c r="Q3599" s="23" t="e">
        <f ca="1">[1]!BexGetData("DP_1","00O2TNJGODT0G5Z4TTKYMM5MT","GSON7640100001")</f>
        <v>#NAME?</v>
      </c>
      <c r="R3599" s="23" t="e">
        <f ca="1">[1]!BexGetData("DP_1","00O2TNJGODT0G5Z4TTKYMMBYD","GSON7640100001")</f>
        <v>#NAME?</v>
      </c>
      <c r="S3599" s="23" t="e">
        <f ca="1">[1]!BexGetData("DP_1","00O2TNJGODT0G5Z4TTKYMMI9X","GSON7640100001")</f>
        <v>#NAME?</v>
      </c>
      <c r="T3599" s="23" t="e">
        <f ca="1">[1]!BexGetData("DP_1","00O2TNJGODT0G5Z4TTKYMMOLH","GSON7640100001")</f>
        <v>#NAME?</v>
      </c>
      <c r="U3599" s="28" t="e">
        <f ca="1">[1]!BexGetData("DP_1","00O2TNJGODT0G5Z4TTKYMMUX1","GSON7640100001")</f>
        <v>#NAME?</v>
      </c>
      <c r="V3599" s="23" t="e">
        <f ca="1">[1]!BexGetData("DP_1","00O2TNJGODT0G5Z4TTKYMN18L","GSON7640100001")</f>
        <v>#NAME?</v>
      </c>
      <c r="W3599" s="28" t="e">
        <f ca="1">[1]!BexGetData("DP_1","00O2TNJGODT0G5Z4TTKYMN7K5","GSON7640100001")</f>
        <v>#NAME?</v>
      </c>
    </row>
    <row r="3600" spans="1:23" x14ac:dyDescent="0.2">
      <c r="A3600" s="33" t="s">
        <v>7198</v>
      </c>
      <c r="B3600" s="27" t="s">
        <v>7199</v>
      </c>
      <c r="C3600" s="28" t="e">
        <f ca="1">[1]!BexGetData("DP_1","003N8EMH8GTFRCSWKMPXRR8GU","GSON7710100001")</f>
        <v>#NAME?</v>
      </c>
      <c r="D3600" s="28" t="e">
        <f ca="1">[1]!BexGetData("DP_1","003N8EMH8GTFRCSWKMPXRRESE","GSON7710100001")</f>
        <v>#NAME?</v>
      </c>
      <c r="E3600" s="23" t="e">
        <f ca="1">[1]!BexGetData("DP_1","003N8EMH8GTFRCSWKMPXRRL3Y","GSON7710100001")</f>
        <v>#NAME?</v>
      </c>
      <c r="F3600" s="23" t="e">
        <f ca="1">[1]!BexGetData("DP_1","003N8EMH8GTFRCSWKMPXRRRFI","GSON7710100001")</f>
        <v>#NAME?</v>
      </c>
      <c r="G3600" s="28" t="e">
        <f ca="1">[1]!BexGetData("DP_1","003N8EMH8GTFRCSWKMPXRRXR2","GSON7710100001")</f>
        <v>#NAME?</v>
      </c>
      <c r="H3600" s="28" t="e">
        <f ca="1">[1]!BexGetData("DP_1","003N8EMH8GTFRCSWKMPXRS42M","GSON7710100001")</f>
        <v>#NAME?</v>
      </c>
      <c r="I3600" s="23" t="e">
        <f ca="1">[1]!BexGetData("DP_1","003N8EMH8GTFRCSWKMPXRSAE6","GSON7710100001")</f>
        <v>#NAME?</v>
      </c>
      <c r="J3600" s="23" t="e">
        <f ca="1">[1]!BexGetData("DP_1","003N8EMH8GTFRCSWKMPXRSGPQ","GSON7710100001")</f>
        <v>#NAME?</v>
      </c>
      <c r="K3600" s="28" t="e">
        <f ca="1">[1]!BexGetData("DP_1","003N8EMH8GTFRIVNUPY288VJH","GSON7710100001")</f>
        <v>#NAME?</v>
      </c>
      <c r="L3600" s="28" t="e">
        <f ca="1">[1]!BexGetData("DP_1","003N8EMH8GTFRIVNUPY2891V1","GSON7710100001")</f>
        <v>#NAME?</v>
      </c>
      <c r="M3600" s="28" t="e">
        <f ca="1">[1]!BexGetData("DP_1","003N8EMH8GTFRIVOG7KG9IQXA","GSON7710100001")</f>
        <v>#NAME?</v>
      </c>
      <c r="N3600" s="28" t="e">
        <f ca="1">[1]!BexGetData("DP_1","003N8EMH8GTFRIVOG7KG9IX8U","GSON7710100001")</f>
        <v>#NAME?</v>
      </c>
      <c r="O3600" s="28" t="e">
        <f ca="1">[1]!BexGetData("DP_1","003N8EMH8GTFRIVOG7KG9J3KE","GSON7710100001")</f>
        <v>#NAME?</v>
      </c>
      <c r="P3600" s="28" t="e">
        <f ca="1">[1]!BexGetData("DP_1","003N8EMH8GTFRIVOG7KG9J9VY","GSON7710100001")</f>
        <v>#NAME?</v>
      </c>
      <c r="Q3600" s="23" t="e">
        <f ca="1">[1]!BexGetData("DP_1","00O2TNJGODT0G5Z4TTKYMM5MT","GSON7710100001")</f>
        <v>#NAME?</v>
      </c>
      <c r="R3600" s="28" t="e">
        <f ca="1">[1]!BexGetData("DP_1","00O2TNJGODT0G5Z4TTKYMMBYD","GSON7710100001")</f>
        <v>#NAME?</v>
      </c>
      <c r="S3600" s="28" t="e">
        <f ca="1">[1]!BexGetData("DP_1","00O2TNJGODT0G5Z4TTKYMMI9X","GSON7710100001")</f>
        <v>#NAME?</v>
      </c>
      <c r="T3600" s="28" t="e">
        <f ca="1">[1]!BexGetData("DP_1","00O2TNJGODT0G5Z4TTKYMMOLH","GSON7710100001")</f>
        <v>#NAME?</v>
      </c>
      <c r="U3600" s="28" t="e">
        <f ca="1">[1]!BexGetData("DP_1","00O2TNJGODT0G5Z4TTKYMMUX1","GSON7710100001")</f>
        <v>#NAME?</v>
      </c>
      <c r="V3600" s="28" t="e">
        <f ca="1">[1]!BexGetData("DP_1","00O2TNJGODT0G5Z4TTKYMN18L","GSON7710100001")</f>
        <v>#NAME?</v>
      </c>
      <c r="W3600" s="28" t="e">
        <f ca="1">[1]!BexGetData("DP_1","00O2TNJGODT0G5Z4TTKYMN7K5","GSON7710100001")</f>
        <v>#NAME?</v>
      </c>
    </row>
    <row r="3601" spans="1:23" x14ac:dyDescent="0.2">
      <c r="A3601" s="33" t="s">
        <v>7200</v>
      </c>
      <c r="B3601" s="27" t="s">
        <v>7201</v>
      </c>
      <c r="C3601" s="28" t="e">
        <f ca="1">[1]!BexGetData("DP_1","003N8EMH8GTFRCSWKMPXRR8GU","GSON7720100001")</f>
        <v>#NAME?</v>
      </c>
      <c r="D3601" s="28" t="e">
        <f ca="1">[1]!BexGetData("DP_1","003N8EMH8GTFRCSWKMPXRRESE","GSON7720100001")</f>
        <v>#NAME?</v>
      </c>
      <c r="E3601" s="23" t="e">
        <f ca="1">[1]!BexGetData("DP_1","003N8EMH8GTFRCSWKMPXRRL3Y","GSON7720100001")</f>
        <v>#NAME?</v>
      </c>
      <c r="F3601" s="23" t="e">
        <f ca="1">[1]!BexGetData("DP_1","003N8EMH8GTFRCSWKMPXRRRFI","GSON7720100001")</f>
        <v>#NAME?</v>
      </c>
      <c r="G3601" s="28" t="e">
        <f ca="1">[1]!BexGetData("DP_1","003N8EMH8GTFRCSWKMPXRRXR2","GSON7720100001")</f>
        <v>#NAME?</v>
      </c>
      <c r="H3601" s="28" t="e">
        <f ca="1">[1]!BexGetData("DP_1","003N8EMH8GTFRCSWKMPXRS42M","GSON7720100001")</f>
        <v>#NAME?</v>
      </c>
      <c r="I3601" s="23" t="e">
        <f ca="1">[1]!BexGetData("DP_1","003N8EMH8GTFRCSWKMPXRSAE6","GSON7720100001")</f>
        <v>#NAME?</v>
      </c>
      <c r="J3601" s="23" t="e">
        <f ca="1">[1]!BexGetData("DP_1","003N8EMH8GTFRCSWKMPXRSGPQ","GSON7720100001")</f>
        <v>#NAME?</v>
      </c>
      <c r="K3601" s="28" t="e">
        <f ca="1">[1]!BexGetData("DP_1","003N8EMH8GTFRIVNUPY288VJH","GSON7720100001")</f>
        <v>#NAME?</v>
      </c>
      <c r="L3601" s="28" t="e">
        <f ca="1">[1]!BexGetData("DP_1","003N8EMH8GTFRIVNUPY2891V1","GSON7720100001")</f>
        <v>#NAME?</v>
      </c>
      <c r="M3601" s="28" t="e">
        <f ca="1">[1]!BexGetData("DP_1","003N8EMH8GTFRIVOG7KG9IQXA","GSON7720100001")</f>
        <v>#NAME?</v>
      </c>
      <c r="N3601" s="28" t="e">
        <f ca="1">[1]!BexGetData("DP_1","003N8EMH8GTFRIVOG7KG9IX8U","GSON7720100001")</f>
        <v>#NAME?</v>
      </c>
      <c r="O3601" s="28" t="e">
        <f ca="1">[1]!BexGetData("DP_1","003N8EMH8GTFRIVOG7KG9J3KE","GSON7720100001")</f>
        <v>#NAME?</v>
      </c>
      <c r="P3601" s="28" t="e">
        <f ca="1">[1]!BexGetData("DP_1","003N8EMH8GTFRIVOG7KG9J9VY","GSON7720100001")</f>
        <v>#NAME?</v>
      </c>
      <c r="Q3601" s="23" t="e">
        <f ca="1">[1]!BexGetData("DP_1","00O2TNJGODT0G5Z4TTKYMM5MT","GSON7720100001")</f>
        <v>#NAME?</v>
      </c>
      <c r="R3601" s="28" t="e">
        <f ca="1">[1]!BexGetData("DP_1","00O2TNJGODT0G5Z4TTKYMMBYD","GSON7720100001")</f>
        <v>#NAME?</v>
      </c>
      <c r="S3601" s="28" t="e">
        <f ca="1">[1]!BexGetData("DP_1","00O2TNJGODT0G5Z4TTKYMMI9X","GSON7720100001")</f>
        <v>#NAME?</v>
      </c>
      <c r="T3601" s="28" t="e">
        <f ca="1">[1]!BexGetData("DP_1","00O2TNJGODT0G5Z4TTKYMMOLH","GSON7720100001")</f>
        <v>#NAME?</v>
      </c>
      <c r="U3601" s="28" t="e">
        <f ca="1">[1]!BexGetData("DP_1","00O2TNJGODT0G5Z4TTKYMMUX1","GSON7720100001")</f>
        <v>#NAME?</v>
      </c>
      <c r="V3601" s="28" t="e">
        <f ca="1">[1]!BexGetData("DP_1","00O2TNJGODT0G5Z4TTKYMN18L","GSON7720100001")</f>
        <v>#NAME?</v>
      </c>
      <c r="W3601" s="28" t="e">
        <f ca="1">[1]!BexGetData("DP_1","00O2TNJGODT0G5Z4TTKYMN7K5","GSON7720100001")</f>
        <v>#NAME?</v>
      </c>
    </row>
    <row r="3602" spans="1:23" x14ac:dyDescent="0.2">
      <c r="A3602" s="31" t="s">
        <v>124</v>
      </c>
      <c r="B3602" s="25" t="s">
        <v>125</v>
      </c>
      <c r="C3602" s="23" t="e">
        <f ca="1">[1]!BexGetData("DP_1","003N8EMH8GTFRCSWKMPXRR8GU","GSON8")</f>
        <v>#NAME?</v>
      </c>
      <c r="D3602" s="23" t="e">
        <f ca="1">[1]!BexGetData("DP_1","003N8EMH8GTFRCSWKMPXRRESE","GSON8")</f>
        <v>#NAME?</v>
      </c>
      <c r="E3602" s="28" t="e">
        <f ca="1">[1]!BexGetData("DP_1","003N8EMH8GTFRCSWKMPXRRL3Y","GSON8")</f>
        <v>#NAME?</v>
      </c>
      <c r="F3602" s="23" t="e">
        <f ca="1">[1]!BexGetData("DP_1","003N8EMH8GTFRCSWKMPXRRRFI","GSON8")</f>
        <v>#NAME?</v>
      </c>
      <c r="G3602" s="23" t="e">
        <f ca="1">[1]!BexGetData("DP_1","003N8EMH8GTFRCSWKMPXRRXR2","GSON8")</f>
        <v>#NAME?</v>
      </c>
      <c r="H3602" s="23" t="e">
        <f ca="1">[1]!BexGetData("DP_1","003N8EMH8GTFRCSWKMPXRS42M","GSON8")</f>
        <v>#NAME?</v>
      </c>
      <c r="I3602" s="23" t="e">
        <f ca="1">[1]!BexGetData("DP_1","003N8EMH8GTFRCSWKMPXRSAE6","GSON8")</f>
        <v>#NAME?</v>
      </c>
      <c r="J3602" s="24" t="e">
        <f ca="1">[1]!BexGetData("DP_1","003N8EMH8GTFRCSWKMPXRSGPQ","GSON8")</f>
        <v>#NAME?</v>
      </c>
      <c r="K3602" s="23" t="e">
        <f ca="1">[1]!BexGetData("DP_1","003N8EMH8GTFRIVNUPY288VJH","GSON8")</f>
        <v>#NAME?</v>
      </c>
      <c r="L3602" s="23" t="e">
        <f ca="1">[1]!BexGetData("DP_1","003N8EMH8GTFRIVNUPY2891V1","GSON8")</f>
        <v>#NAME?</v>
      </c>
      <c r="M3602" s="23" t="e">
        <f ca="1">[1]!BexGetData("DP_1","003N8EMH8GTFRIVOG7KG9IQXA","GSON8")</f>
        <v>#NAME?</v>
      </c>
      <c r="N3602" s="28" t="e">
        <f ca="1">[1]!BexGetData("DP_1","003N8EMH8GTFRIVOG7KG9IX8U","GSON8")</f>
        <v>#NAME?</v>
      </c>
      <c r="O3602" s="23" t="e">
        <f ca="1">[1]!BexGetData("DP_1","003N8EMH8GTFRIVOG7KG9J3KE","GSON8")</f>
        <v>#NAME?</v>
      </c>
      <c r="P3602" s="28" t="e">
        <f ca="1">[1]!BexGetData("DP_1","003N8EMH8GTFRIVOG7KG9J9VY","GSON8")</f>
        <v>#NAME?</v>
      </c>
      <c r="Q3602" s="24" t="e">
        <f ca="1">[1]!BexGetData("DP_1","00O2TNJGODT0G5Z4TTKYMM5MT","GSON8")</f>
        <v>#NAME?</v>
      </c>
      <c r="R3602" s="23" t="e">
        <f ca="1">[1]!BexGetData("DP_1","00O2TNJGODT0G5Z4TTKYMMBYD","GSON8")</f>
        <v>#NAME?</v>
      </c>
      <c r="S3602" s="23" t="e">
        <f ca="1">[1]!BexGetData("DP_1","00O2TNJGODT0G5Z4TTKYMMI9X","GSON8")</f>
        <v>#NAME?</v>
      </c>
      <c r="T3602" s="28" t="e">
        <f ca="1">[1]!BexGetData("DP_1","00O2TNJGODT0G5Z4TTKYMMOLH","GSON8")</f>
        <v>#NAME?</v>
      </c>
      <c r="U3602" s="23" t="e">
        <f ca="1">[1]!BexGetData("DP_1","00O2TNJGODT0G5Z4TTKYMMUX1","GSON8")</f>
        <v>#NAME?</v>
      </c>
      <c r="V3602" s="28" t="e">
        <f ca="1">[1]!BexGetData("DP_1","00O2TNJGODT0G5Z4TTKYMN18L","GSON8")</f>
        <v>#NAME?</v>
      </c>
      <c r="W3602" s="23" t="e">
        <f ca="1">[1]!BexGetData("DP_1","00O2TNJGODT0G5Z4TTKYMN7K5","GSON8")</f>
        <v>#NAME?</v>
      </c>
    </row>
    <row r="3603" spans="1:23" x14ac:dyDescent="0.2">
      <c r="A3603" s="32" t="s">
        <v>615</v>
      </c>
      <c r="B3603" s="26" t="s">
        <v>616</v>
      </c>
      <c r="C3603" s="23" t="e">
        <f ca="1">[1]!BexGetData("DP_1","003N8EMH8GTFRCSWKMPXRR8GU","GSON81")</f>
        <v>#NAME?</v>
      </c>
      <c r="D3603" s="23" t="e">
        <f ca="1">[1]!BexGetData("DP_1","003N8EMH8GTFRCSWKMPXRRESE","GSON81")</f>
        <v>#NAME?</v>
      </c>
      <c r="E3603" s="28" t="e">
        <f ca="1">[1]!BexGetData("DP_1","003N8EMH8GTFRCSWKMPXRRL3Y","GSON81")</f>
        <v>#NAME?</v>
      </c>
      <c r="F3603" s="23" t="e">
        <f ca="1">[1]!BexGetData("DP_1","003N8EMH8GTFRCSWKMPXRRRFI","GSON81")</f>
        <v>#NAME?</v>
      </c>
      <c r="G3603" s="23" t="e">
        <f ca="1">[1]!BexGetData("DP_1","003N8EMH8GTFRCSWKMPXRRXR2","GSON81")</f>
        <v>#NAME?</v>
      </c>
      <c r="H3603" s="23" t="e">
        <f ca="1">[1]!BexGetData("DP_1","003N8EMH8GTFRCSWKMPXRS42M","GSON81")</f>
        <v>#NAME?</v>
      </c>
      <c r="I3603" s="23" t="e">
        <f ca="1">[1]!BexGetData("DP_1","003N8EMH8GTFRCSWKMPXRSAE6","GSON81")</f>
        <v>#NAME?</v>
      </c>
      <c r="J3603" s="24" t="e">
        <f ca="1">[1]!BexGetData("DP_1","003N8EMH8GTFRCSWKMPXRSGPQ","GSON81")</f>
        <v>#NAME?</v>
      </c>
      <c r="K3603" s="23" t="e">
        <f ca="1">[1]!BexGetData("DP_1","003N8EMH8GTFRIVNUPY288VJH","GSON81")</f>
        <v>#NAME?</v>
      </c>
      <c r="L3603" s="23" t="e">
        <f ca="1">[1]!BexGetData("DP_1","003N8EMH8GTFRIVNUPY2891V1","GSON81")</f>
        <v>#NAME?</v>
      </c>
      <c r="M3603" s="23" t="e">
        <f ca="1">[1]!BexGetData("DP_1","003N8EMH8GTFRIVOG7KG9IQXA","GSON81")</f>
        <v>#NAME?</v>
      </c>
      <c r="N3603" s="28" t="e">
        <f ca="1">[1]!BexGetData("DP_1","003N8EMH8GTFRIVOG7KG9IX8U","GSON81")</f>
        <v>#NAME?</v>
      </c>
      <c r="O3603" s="23" t="e">
        <f ca="1">[1]!BexGetData("DP_1","003N8EMH8GTFRIVOG7KG9J3KE","GSON81")</f>
        <v>#NAME?</v>
      </c>
      <c r="P3603" s="28" t="e">
        <f ca="1">[1]!BexGetData("DP_1","003N8EMH8GTFRIVOG7KG9J9VY","GSON81")</f>
        <v>#NAME?</v>
      </c>
      <c r="Q3603" s="24" t="e">
        <f ca="1">[1]!BexGetData("DP_1","00O2TNJGODT0G5Z4TTKYMM5MT","GSON81")</f>
        <v>#NAME?</v>
      </c>
      <c r="R3603" s="23" t="e">
        <f ca="1">[1]!BexGetData("DP_1","00O2TNJGODT0G5Z4TTKYMMBYD","GSON81")</f>
        <v>#NAME?</v>
      </c>
      <c r="S3603" s="23" t="e">
        <f ca="1">[1]!BexGetData("DP_1","00O2TNJGODT0G5Z4TTKYMMI9X","GSON81")</f>
        <v>#NAME?</v>
      </c>
      <c r="T3603" s="28" t="e">
        <f ca="1">[1]!BexGetData("DP_1","00O2TNJGODT0G5Z4TTKYMMOLH","GSON81")</f>
        <v>#NAME?</v>
      </c>
      <c r="U3603" s="23" t="e">
        <f ca="1">[1]!BexGetData("DP_1","00O2TNJGODT0G5Z4TTKYMMUX1","GSON81")</f>
        <v>#NAME?</v>
      </c>
      <c r="V3603" s="28" t="e">
        <f ca="1">[1]!BexGetData("DP_1","00O2TNJGODT0G5Z4TTKYMN18L","GSON81")</f>
        <v>#NAME?</v>
      </c>
      <c r="W3603" s="23" t="e">
        <f ca="1">[1]!BexGetData("DP_1","00O2TNJGODT0G5Z4TTKYMN7K5","GSON81")</f>
        <v>#NAME?</v>
      </c>
    </row>
    <row r="3604" spans="1:23" x14ac:dyDescent="0.2">
      <c r="A3604" s="33" t="s">
        <v>7202</v>
      </c>
      <c r="B3604" s="27" t="s">
        <v>1601</v>
      </c>
      <c r="C3604" s="23" t="e">
        <f ca="1">[1]!BexGetData("DP_1","003N8EMH8GTFRCSWKMPXRR8GU","GSON8110000000")</f>
        <v>#NAME?</v>
      </c>
      <c r="D3604" s="23" t="e">
        <f ca="1">[1]!BexGetData("DP_1","003N8EMH8GTFRCSWKMPXRRESE","GSON8110000000")</f>
        <v>#NAME?</v>
      </c>
      <c r="E3604" s="23" t="e">
        <f ca="1">[1]!BexGetData("DP_1","003N8EMH8GTFRCSWKMPXRRL3Y","GSON8110000000")</f>
        <v>#NAME?</v>
      </c>
      <c r="F3604" s="23" t="e">
        <f ca="1">[1]!BexGetData("DP_1","003N8EMH8GTFRCSWKMPXRRRFI","GSON8110000000")</f>
        <v>#NAME?</v>
      </c>
      <c r="G3604" s="23" t="e">
        <f ca="1">[1]!BexGetData("DP_1","003N8EMH8GTFRCSWKMPXRRXR2","GSON8110000000")</f>
        <v>#NAME?</v>
      </c>
      <c r="H3604" s="23" t="e">
        <f ca="1">[1]!BexGetData("DP_1","003N8EMH8GTFRCSWKMPXRS42M","GSON8110000000")</f>
        <v>#NAME?</v>
      </c>
      <c r="I3604" s="23" t="e">
        <f ca="1">[1]!BexGetData("DP_1","003N8EMH8GTFRCSWKMPXRSAE6","GSON8110000000")</f>
        <v>#NAME?</v>
      </c>
      <c r="J3604" s="24" t="e">
        <f ca="1">[1]!BexGetData("DP_1","003N8EMH8GTFRCSWKMPXRSGPQ","GSON8110000000")</f>
        <v>#NAME?</v>
      </c>
      <c r="K3604" s="23" t="e">
        <f ca="1">[1]!BexGetData("DP_1","003N8EMH8GTFRIVNUPY288VJH","GSON8110000000")</f>
        <v>#NAME?</v>
      </c>
      <c r="L3604" s="23" t="e">
        <f ca="1">[1]!BexGetData("DP_1","003N8EMH8GTFRIVNUPY2891V1","GSON8110000000")</f>
        <v>#NAME?</v>
      </c>
      <c r="M3604" s="28" t="e">
        <f ca="1">[1]!BexGetData("DP_1","003N8EMH8GTFRIVOG7KG9IQXA","GSON8110000000")</f>
        <v>#NAME?</v>
      </c>
      <c r="N3604" s="23" t="e">
        <f ca="1">[1]!BexGetData("DP_1","003N8EMH8GTFRIVOG7KG9IX8U","GSON8110000000")</f>
        <v>#NAME?</v>
      </c>
      <c r="O3604" s="28" t="e">
        <f ca="1">[1]!BexGetData("DP_1","003N8EMH8GTFRIVOG7KG9J3KE","GSON8110000000")</f>
        <v>#NAME?</v>
      </c>
      <c r="P3604" s="23" t="e">
        <f ca="1">[1]!BexGetData("DP_1","003N8EMH8GTFRIVOG7KG9J9VY","GSON8110000000")</f>
        <v>#NAME?</v>
      </c>
      <c r="Q3604" s="24" t="e">
        <f ca="1">[1]!BexGetData("DP_1","00O2TNJGODT0G5Z4TTKYMM5MT","GSON8110000000")</f>
        <v>#NAME?</v>
      </c>
      <c r="R3604" s="23" t="e">
        <f ca="1">[1]!BexGetData("DP_1","00O2TNJGODT0G5Z4TTKYMMBYD","GSON8110000000")</f>
        <v>#NAME?</v>
      </c>
      <c r="S3604" s="23" t="e">
        <f ca="1">[1]!BexGetData("DP_1","00O2TNJGODT0G5Z4TTKYMMI9X","GSON8110000000")</f>
        <v>#NAME?</v>
      </c>
      <c r="T3604" s="28" t="e">
        <f ca="1">[1]!BexGetData("DP_1","00O2TNJGODT0G5Z4TTKYMMOLH","GSON8110000000")</f>
        <v>#NAME?</v>
      </c>
      <c r="U3604" s="23" t="e">
        <f ca="1">[1]!BexGetData("DP_1","00O2TNJGODT0G5Z4TTKYMMUX1","GSON8110000000")</f>
        <v>#NAME?</v>
      </c>
      <c r="V3604" s="28" t="e">
        <f ca="1">[1]!BexGetData("DP_1","00O2TNJGODT0G5Z4TTKYMN18L","GSON8110000000")</f>
        <v>#NAME?</v>
      </c>
      <c r="W3604" s="23" t="e">
        <f ca="1">[1]!BexGetData("DP_1","00O2TNJGODT0G5Z4TTKYMN7K5","GSON8110000000")</f>
        <v>#NAME?</v>
      </c>
    </row>
    <row r="3605" spans="1:23" x14ac:dyDescent="0.2">
      <c r="A3605" s="33" t="s">
        <v>7203</v>
      </c>
      <c r="B3605" s="27" t="s">
        <v>617</v>
      </c>
      <c r="C3605" s="23" t="e">
        <f ca="1">[1]!BexGetData("DP_1","003N8EMH8GTFRCSWKMPXRR8GU","GSON8120000000")</f>
        <v>#NAME?</v>
      </c>
      <c r="D3605" s="23" t="e">
        <f ca="1">[1]!BexGetData("DP_1","003N8EMH8GTFRCSWKMPXRRESE","GSON8120000000")</f>
        <v>#NAME?</v>
      </c>
      <c r="E3605" s="23" t="e">
        <f ca="1">[1]!BexGetData("DP_1","003N8EMH8GTFRCSWKMPXRRL3Y","GSON8120000000")</f>
        <v>#NAME?</v>
      </c>
      <c r="F3605" s="23" t="e">
        <f ca="1">[1]!BexGetData("DP_1","003N8EMH8GTFRCSWKMPXRRRFI","GSON8120000000")</f>
        <v>#NAME?</v>
      </c>
      <c r="G3605" s="23" t="e">
        <f ca="1">[1]!BexGetData("DP_1","003N8EMH8GTFRCSWKMPXRRXR2","GSON8120000000")</f>
        <v>#NAME?</v>
      </c>
      <c r="H3605" s="23" t="e">
        <f ca="1">[1]!BexGetData("DP_1","003N8EMH8GTFRCSWKMPXRS42M","GSON8120000000")</f>
        <v>#NAME?</v>
      </c>
      <c r="I3605" s="23" t="e">
        <f ca="1">[1]!BexGetData("DP_1","003N8EMH8GTFRCSWKMPXRSAE6","GSON8120000000")</f>
        <v>#NAME?</v>
      </c>
      <c r="J3605" s="24" t="e">
        <f ca="1">[1]!BexGetData("DP_1","003N8EMH8GTFRCSWKMPXRSGPQ","GSON8120000000")</f>
        <v>#NAME?</v>
      </c>
      <c r="K3605" s="23" t="e">
        <f ca="1">[1]!BexGetData("DP_1","003N8EMH8GTFRIVNUPY288VJH","GSON8120000000")</f>
        <v>#NAME?</v>
      </c>
      <c r="L3605" s="23" t="e">
        <f ca="1">[1]!BexGetData("DP_1","003N8EMH8GTFRIVNUPY2891V1","GSON8120000000")</f>
        <v>#NAME?</v>
      </c>
      <c r="M3605" s="28" t="e">
        <f ca="1">[1]!BexGetData("DP_1","003N8EMH8GTFRIVOG7KG9IQXA","GSON8120000000")</f>
        <v>#NAME?</v>
      </c>
      <c r="N3605" s="23" t="e">
        <f ca="1">[1]!BexGetData("DP_1","003N8EMH8GTFRIVOG7KG9IX8U","GSON8120000000")</f>
        <v>#NAME?</v>
      </c>
      <c r="O3605" s="28" t="e">
        <f ca="1">[1]!BexGetData("DP_1","003N8EMH8GTFRIVOG7KG9J3KE","GSON8120000000")</f>
        <v>#NAME?</v>
      </c>
      <c r="P3605" s="23" t="e">
        <f ca="1">[1]!BexGetData("DP_1","003N8EMH8GTFRIVOG7KG9J9VY","GSON8120000000")</f>
        <v>#NAME?</v>
      </c>
      <c r="Q3605" s="24" t="e">
        <f ca="1">[1]!BexGetData("DP_1","00O2TNJGODT0G5Z4TTKYMM5MT","GSON8120000000")</f>
        <v>#NAME?</v>
      </c>
      <c r="R3605" s="23" t="e">
        <f ca="1">[1]!BexGetData("DP_1","00O2TNJGODT0G5Z4TTKYMMBYD","GSON8120000000")</f>
        <v>#NAME?</v>
      </c>
      <c r="S3605" s="23" t="e">
        <f ca="1">[1]!BexGetData("DP_1","00O2TNJGODT0G5Z4TTKYMMI9X","GSON8120000000")</f>
        <v>#NAME?</v>
      </c>
      <c r="T3605" s="28" t="e">
        <f ca="1">[1]!BexGetData("DP_1","00O2TNJGODT0G5Z4TTKYMMOLH","GSON8120000000")</f>
        <v>#NAME?</v>
      </c>
      <c r="U3605" s="23" t="e">
        <f ca="1">[1]!BexGetData("DP_1","00O2TNJGODT0G5Z4TTKYMMUX1","GSON8120000000")</f>
        <v>#NAME?</v>
      </c>
      <c r="V3605" s="28" t="e">
        <f ca="1">[1]!BexGetData("DP_1","00O2TNJGODT0G5Z4TTKYMN18L","GSON8120000000")</f>
        <v>#NAME?</v>
      </c>
      <c r="W3605" s="23" t="e">
        <f ca="1">[1]!BexGetData("DP_1","00O2TNJGODT0G5Z4TTKYMN7K5","GSON8120000000")</f>
        <v>#NAME?</v>
      </c>
    </row>
    <row r="3606" spans="1:23" x14ac:dyDescent="0.2">
      <c r="A3606" s="33" t="s">
        <v>7204</v>
      </c>
      <c r="B3606" s="27" t="s">
        <v>730</v>
      </c>
      <c r="C3606" s="23" t="e">
        <f ca="1">[1]!BexGetData("DP_1","003N8EMH8GTFRCSWKMPXRR8GU","GSON8130000000")</f>
        <v>#NAME?</v>
      </c>
      <c r="D3606" s="23" t="e">
        <f ca="1">[1]!BexGetData("DP_1","003N8EMH8GTFRCSWKMPXRRESE","GSON8130000000")</f>
        <v>#NAME?</v>
      </c>
      <c r="E3606" s="23" t="e">
        <f ca="1">[1]!BexGetData("DP_1","003N8EMH8GTFRCSWKMPXRRL3Y","GSON8130000000")</f>
        <v>#NAME?</v>
      </c>
      <c r="F3606" s="23" t="e">
        <f ca="1">[1]!BexGetData("DP_1","003N8EMH8GTFRCSWKMPXRRRFI","GSON8130000000")</f>
        <v>#NAME?</v>
      </c>
      <c r="G3606" s="23" t="e">
        <f ca="1">[1]!BexGetData("DP_1","003N8EMH8GTFRCSWKMPXRRXR2","GSON8130000000")</f>
        <v>#NAME?</v>
      </c>
      <c r="H3606" s="23" t="e">
        <f ca="1">[1]!BexGetData("DP_1","003N8EMH8GTFRCSWKMPXRS42M","GSON8130000000")</f>
        <v>#NAME?</v>
      </c>
      <c r="I3606" s="23" t="e">
        <f ca="1">[1]!BexGetData("DP_1","003N8EMH8GTFRCSWKMPXRSAE6","GSON8130000000")</f>
        <v>#NAME?</v>
      </c>
      <c r="J3606" s="24" t="e">
        <f ca="1">[1]!BexGetData("DP_1","003N8EMH8GTFRCSWKMPXRSGPQ","GSON8130000000")</f>
        <v>#NAME?</v>
      </c>
      <c r="K3606" s="23" t="e">
        <f ca="1">[1]!BexGetData("DP_1","003N8EMH8GTFRIVNUPY288VJH","GSON8130000000")</f>
        <v>#NAME?</v>
      </c>
      <c r="L3606" s="23" t="e">
        <f ca="1">[1]!BexGetData("DP_1","003N8EMH8GTFRIVNUPY2891V1","GSON8130000000")</f>
        <v>#NAME?</v>
      </c>
      <c r="M3606" s="28" t="e">
        <f ca="1">[1]!BexGetData("DP_1","003N8EMH8GTFRIVOG7KG9IQXA","GSON8130000000")</f>
        <v>#NAME?</v>
      </c>
      <c r="N3606" s="23" t="e">
        <f ca="1">[1]!BexGetData("DP_1","003N8EMH8GTFRIVOG7KG9IX8U","GSON8130000000")</f>
        <v>#NAME?</v>
      </c>
      <c r="O3606" s="28" t="e">
        <f ca="1">[1]!BexGetData("DP_1","003N8EMH8GTFRIVOG7KG9J3KE","GSON8130000000")</f>
        <v>#NAME?</v>
      </c>
      <c r="P3606" s="23" t="e">
        <f ca="1">[1]!BexGetData("DP_1","003N8EMH8GTFRIVOG7KG9J9VY","GSON8130000000")</f>
        <v>#NAME?</v>
      </c>
      <c r="Q3606" s="24" t="e">
        <f ca="1">[1]!BexGetData("DP_1","00O2TNJGODT0G5Z4TTKYMM5MT","GSON8130000000")</f>
        <v>#NAME?</v>
      </c>
      <c r="R3606" s="23" t="e">
        <f ca="1">[1]!BexGetData("DP_1","00O2TNJGODT0G5Z4TTKYMMBYD","GSON8130000000")</f>
        <v>#NAME?</v>
      </c>
      <c r="S3606" s="23" t="e">
        <f ca="1">[1]!BexGetData("DP_1","00O2TNJGODT0G5Z4TTKYMMI9X","GSON8130000000")</f>
        <v>#NAME?</v>
      </c>
      <c r="T3606" s="28" t="e">
        <f ca="1">[1]!BexGetData("DP_1","00O2TNJGODT0G5Z4TTKYMMOLH","GSON8130000000")</f>
        <v>#NAME?</v>
      </c>
      <c r="U3606" s="23" t="e">
        <f ca="1">[1]!BexGetData("DP_1","00O2TNJGODT0G5Z4TTKYMMUX1","GSON8130000000")</f>
        <v>#NAME?</v>
      </c>
      <c r="V3606" s="28" t="e">
        <f ca="1">[1]!BexGetData("DP_1","00O2TNJGODT0G5Z4TTKYMN18L","GSON8130000000")</f>
        <v>#NAME?</v>
      </c>
      <c r="W3606" s="23" t="e">
        <f ca="1">[1]!BexGetData("DP_1","00O2TNJGODT0G5Z4TTKYMN7K5","GSON8130000000")</f>
        <v>#NAME?</v>
      </c>
    </row>
    <row r="3607" spans="1:23" x14ac:dyDescent="0.2">
      <c r="A3607" s="33" t="s">
        <v>7205</v>
      </c>
      <c r="B3607" s="27" t="s">
        <v>618</v>
      </c>
      <c r="C3607" s="23" t="e">
        <f ca="1">[1]!BexGetData("DP_1","003N8EMH8GTFRCSWKMPXRR8GU","GSON8140000000")</f>
        <v>#NAME?</v>
      </c>
      <c r="D3607" s="23" t="e">
        <f ca="1">[1]!BexGetData("DP_1","003N8EMH8GTFRCSWKMPXRRESE","GSON8140000000")</f>
        <v>#NAME?</v>
      </c>
      <c r="E3607" s="23" t="e">
        <f ca="1">[1]!BexGetData("DP_1","003N8EMH8GTFRCSWKMPXRRL3Y","GSON8140000000")</f>
        <v>#NAME?</v>
      </c>
      <c r="F3607" s="23" t="e">
        <f ca="1">[1]!BexGetData("DP_1","003N8EMH8GTFRCSWKMPXRRRFI","GSON8140000000")</f>
        <v>#NAME?</v>
      </c>
      <c r="G3607" s="23" t="e">
        <f ca="1">[1]!BexGetData("DP_1","003N8EMH8GTFRCSWKMPXRRXR2","GSON8140000000")</f>
        <v>#NAME?</v>
      </c>
      <c r="H3607" s="23" t="e">
        <f ca="1">[1]!BexGetData("DP_1","003N8EMH8GTFRCSWKMPXRS42M","GSON8140000000")</f>
        <v>#NAME?</v>
      </c>
      <c r="I3607" s="23" t="e">
        <f ca="1">[1]!BexGetData("DP_1","003N8EMH8GTFRCSWKMPXRSAE6","GSON8140000000")</f>
        <v>#NAME?</v>
      </c>
      <c r="J3607" s="24" t="e">
        <f ca="1">[1]!BexGetData("DP_1","003N8EMH8GTFRCSWKMPXRSGPQ","GSON8140000000")</f>
        <v>#NAME?</v>
      </c>
      <c r="K3607" s="23" t="e">
        <f ca="1">[1]!BexGetData("DP_1","003N8EMH8GTFRIVNUPY288VJH","GSON8140000000")</f>
        <v>#NAME?</v>
      </c>
      <c r="L3607" s="23" t="e">
        <f ca="1">[1]!BexGetData("DP_1","003N8EMH8GTFRIVNUPY2891V1","GSON8140000000")</f>
        <v>#NAME?</v>
      </c>
      <c r="M3607" s="28" t="e">
        <f ca="1">[1]!BexGetData("DP_1","003N8EMH8GTFRIVOG7KG9IQXA","GSON8140000000")</f>
        <v>#NAME?</v>
      </c>
      <c r="N3607" s="23" t="e">
        <f ca="1">[1]!BexGetData("DP_1","003N8EMH8GTFRIVOG7KG9IX8U","GSON8140000000")</f>
        <v>#NAME?</v>
      </c>
      <c r="O3607" s="28" t="e">
        <f ca="1">[1]!BexGetData("DP_1","003N8EMH8GTFRIVOG7KG9J3KE","GSON8140000000")</f>
        <v>#NAME?</v>
      </c>
      <c r="P3607" s="23" t="e">
        <f ca="1">[1]!BexGetData("DP_1","003N8EMH8GTFRIVOG7KG9J9VY","GSON8140000000")</f>
        <v>#NAME?</v>
      </c>
      <c r="Q3607" s="24" t="e">
        <f ca="1">[1]!BexGetData("DP_1","00O2TNJGODT0G5Z4TTKYMM5MT","GSON8140000000")</f>
        <v>#NAME?</v>
      </c>
      <c r="R3607" s="23" t="e">
        <f ca="1">[1]!BexGetData("DP_1","00O2TNJGODT0G5Z4TTKYMMBYD","GSON8140000000")</f>
        <v>#NAME?</v>
      </c>
      <c r="S3607" s="23" t="e">
        <f ca="1">[1]!BexGetData("DP_1","00O2TNJGODT0G5Z4TTKYMMI9X","GSON8140000000")</f>
        <v>#NAME?</v>
      </c>
      <c r="T3607" s="28" t="e">
        <f ca="1">[1]!BexGetData("DP_1","00O2TNJGODT0G5Z4TTKYMMOLH","GSON8140000000")</f>
        <v>#NAME?</v>
      </c>
      <c r="U3607" s="23" t="e">
        <f ca="1">[1]!BexGetData("DP_1","00O2TNJGODT0G5Z4TTKYMMUX1","GSON8140000000")</f>
        <v>#NAME?</v>
      </c>
      <c r="V3607" s="28" t="e">
        <f ca="1">[1]!BexGetData("DP_1","00O2TNJGODT0G5Z4TTKYMN18L","GSON8140000000")</f>
        <v>#NAME?</v>
      </c>
      <c r="W3607" s="23" t="e">
        <f ca="1">[1]!BexGetData("DP_1","00O2TNJGODT0G5Z4TTKYMN7K5","GSON8140000000")</f>
        <v>#NAME?</v>
      </c>
    </row>
    <row r="3608" spans="1:23" x14ac:dyDescent="0.2">
      <c r="A3608" s="33" t="s">
        <v>7206</v>
      </c>
      <c r="B3608" s="27" t="s">
        <v>619</v>
      </c>
      <c r="C3608" s="23" t="e">
        <f ca="1">[1]!BexGetData("DP_1","003N8EMH8GTFRCSWKMPXRR8GU","GSON8140000001")</f>
        <v>#NAME?</v>
      </c>
      <c r="D3608" s="23" t="e">
        <f ca="1">[1]!BexGetData("DP_1","003N8EMH8GTFRCSWKMPXRRESE","GSON8140000001")</f>
        <v>#NAME?</v>
      </c>
      <c r="E3608" s="23" t="e">
        <f ca="1">[1]!BexGetData("DP_1","003N8EMH8GTFRCSWKMPXRRL3Y","GSON8140000001")</f>
        <v>#NAME?</v>
      </c>
      <c r="F3608" s="23" t="e">
        <f ca="1">[1]!BexGetData("DP_1","003N8EMH8GTFRCSWKMPXRRRFI","GSON8140000001")</f>
        <v>#NAME?</v>
      </c>
      <c r="G3608" s="23" t="e">
        <f ca="1">[1]!BexGetData("DP_1","003N8EMH8GTFRCSWKMPXRRXR2","GSON8140000001")</f>
        <v>#NAME?</v>
      </c>
      <c r="H3608" s="23" t="e">
        <f ca="1">[1]!BexGetData("DP_1","003N8EMH8GTFRCSWKMPXRS42M","GSON8140000001")</f>
        <v>#NAME?</v>
      </c>
      <c r="I3608" s="23" t="e">
        <f ca="1">[1]!BexGetData("DP_1","003N8EMH8GTFRCSWKMPXRSAE6","GSON8140000001")</f>
        <v>#NAME?</v>
      </c>
      <c r="J3608" s="24" t="e">
        <f ca="1">[1]!BexGetData("DP_1","003N8EMH8GTFRCSWKMPXRSGPQ","GSON8140000001")</f>
        <v>#NAME?</v>
      </c>
      <c r="K3608" s="23" t="e">
        <f ca="1">[1]!BexGetData("DP_1","003N8EMH8GTFRIVNUPY288VJH","GSON8140000001")</f>
        <v>#NAME?</v>
      </c>
      <c r="L3608" s="23" t="e">
        <f ca="1">[1]!BexGetData("DP_1","003N8EMH8GTFRIVNUPY2891V1","GSON8140000001")</f>
        <v>#NAME?</v>
      </c>
      <c r="M3608" s="23" t="e">
        <f ca="1">[1]!BexGetData("DP_1","003N8EMH8GTFRIVOG7KG9IQXA","GSON8140000001")</f>
        <v>#NAME?</v>
      </c>
      <c r="N3608" s="28" t="e">
        <f ca="1">[1]!BexGetData("DP_1","003N8EMH8GTFRIVOG7KG9IX8U","GSON8140000001")</f>
        <v>#NAME?</v>
      </c>
      <c r="O3608" s="23" t="e">
        <f ca="1">[1]!BexGetData("DP_1","003N8EMH8GTFRIVOG7KG9J3KE","GSON8140000001")</f>
        <v>#NAME?</v>
      </c>
      <c r="P3608" s="28" t="e">
        <f ca="1">[1]!BexGetData("DP_1","003N8EMH8GTFRIVOG7KG9J9VY","GSON8140000001")</f>
        <v>#NAME?</v>
      </c>
      <c r="Q3608" s="24" t="e">
        <f ca="1">[1]!BexGetData("DP_1","00O2TNJGODT0G5Z4TTKYMM5MT","GSON8140000001")</f>
        <v>#NAME?</v>
      </c>
      <c r="R3608" s="23" t="e">
        <f ca="1">[1]!BexGetData("DP_1","00O2TNJGODT0G5Z4TTKYMMBYD","GSON8140000001")</f>
        <v>#NAME?</v>
      </c>
      <c r="S3608" s="23" t="e">
        <f ca="1">[1]!BexGetData("DP_1","00O2TNJGODT0G5Z4TTKYMMI9X","GSON8140000001")</f>
        <v>#NAME?</v>
      </c>
      <c r="T3608" s="23" t="e">
        <f ca="1">[1]!BexGetData("DP_1","00O2TNJGODT0G5Z4TTKYMMOLH","GSON8140000001")</f>
        <v>#NAME?</v>
      </c>
      <c r="U3608" s="28" t="e">
        <f ca="1">[1]!BexGetData("DP_1","00O2TNJGODT0G5Z4TTKYMMUX1","GSON8140000001")</f>
        <v>#NAME?</v>
      </c>
      <c r="V3608" s="23" t="e">
        <f ca="1">[1]!BexGetData("DP_1","00O2TNJGODT0G5Z4TTKYMN18L","GSON8140000001")</f>
        <v>#NAME?</v>
      </c>
      <c r="W3608" s="28" t="e">
        <f ca="1">[1]!BexGetData("DP_1","00O2TNJGODT0G5Z4TTKYMN7K5","GSON8140000001")</f>
        <v>#NAME?</v>
      </c>
    </row>
    <row r="3609" spans="1:23" x14ac:dyDescent="0.2">
      <c r="A3609" s="33" t="s">
        <v>7207</v>
      </c>
      <c r="B3609" s="27" t="s">
        <v>620</v>
      </c>
      <c r="C3609" s="23" t="e">
        <f ca="1">[1]!BexGetData("DP_1","003N8EMH8GTFRCSWKMPXRR8GU","GSON8150000000")</f>
        <v>#NAME?</v>
      </c>
      <c r="D3609" s="23" t="e">
        <f ca="1">[1]!BexGetData("DP_1","003N8EMH8GTFRCSWKMPXRRESE","GSON8150000000")</f>
        <v>#NAME?</v>
      </c>
      <c r="E3609" s="23" t="e">
        <f ca="1">[1]!BexGetData("DP_1","003N8EMH8GTFRCSWKMPXRRL3Y","GSON8150000000")</f>
        <v>#NAME?</v>
      </c>
      <c r="F3609" s="23" t="e">
        <f ca="1">[1]!BexGetData("DP_1","003N8EMH8GTFRCSWKMPXRRRFI","GSON8150000000")</f>
        <v>#NAME?</v>
      </c>
      <c r="G3609" s="23" t="e">
        <f ca="1">[1]!BexGetData("DP_1","003N8EMH8GTFRCSWKMPXRRXR2","GSON8150000000")</f>
        <v>#NAME?</v>
      </c>
      <c r="H3609" s="23" t="e">
        <f ca="1">[1]!BexGetData("DP_1","003N8EMH8GTFRCSWKMPXRS42M","GSON8150000000")</f>
        <v>#NAME?</v>
      </c>
      <c r="I3609" s="23" t="e">
        <f ca="1">[1]!BexGetData("DP_1","003N8EMH8GTFRCSWKMPXRSAE6","GSON8150000000")</f>
        <v>#NAME?</v>
      </c>
      <c r="J3609" s="24" t="e">
        <f ca="1">[1]!BexGetData("DP_1","003N8EMH8GTFRCSWKMPXRSGPQ","GSON8150000000")</f>
        <v>#NAME?</v>
      </c>
      <c r="K3609" s="23" t="e">
        <f ca="1">[1]!BexGetData("DP_1","003N8EMH8GTFRIVNUPY288VJH","GSON8150000000")</f>
        <v>#NAME?</v>
      </c>
      <c r="L3609" s="23" t="e">
        <f ca="1">[1]!BexGetData("DP_1","003N8EMH8GTFRIVNUPY2891V1","GSON8150000000")</f>
        <v>#NAME?</v>
      </c>
      <c r="M3609" s="23" t="e">
        <f ca="1">[1]!BexGetData("DP_1","003N8EMH8GTFRIVOG7KG9IQXA","GSON8150000000")</f>
        <v>#NAME?</v>
      </c>
      <c r="N3609" s="28" t="e">
        <f ca="1">[1]!BexGetData("DP_1","003N8EMH8GTFRIVOG7KG9IX8U","GSON8150000000")</f>
        <v>#NAME?</v>
      </c>
      <c r="O3609" s="23" t="e">
        <f ca="1">[1]!BexGetData("DP_1","003N8EMH8GTFRIVOG7KG9J3KE","GSON8150000000")</f>
        <v>#NAME?</v>
      </c>
      <c r="P3609" s="28" t="e">
        <f ca="1">[1]!BexGetData("DP_1","003N8EMH8GTFRIVOG7KG9J9VY","GSON8150000000")</f>
        <v>#NAME?</v>
      </c>
      <c r="Q3609" s="24" t="e">
        <f ca="1">[1]!BexGetData("DP_1","00O2TNJGODT0G5Z4TTKYMM5MT","GSON8150000000")</f>
        <v>#NAME?</v>
      </c>
      <c r="R3609" s="23" t="e">
        <f ca="1">[1]!BexGetData("DP_1","00O2TNJGODT0G5Z4TTKYMMBYD","GSON8150000000")</f>
        <v>#NAME?</v>
      </c>
      <c r="S3609" s="23" t="e">
        <f ca="1">[1]!BexGetData("DP_1","00O2TNJGODT0G5Z4TTKYMMI9X","GSON8150000000")</f>
        <v>#NAME?</v>
      </c>
      <c r="T3609" s="23" t="e">
        <f ca="1">[1]!BexGetData("DP_1","00O2TNJGODT0G5Z4TTKYMMOLH","GSON8150000000")</f>
        <v>#NAME?</v>
      </c>
      <c r="U3609" s="28" t="e">
        <f ca="1">[1]!BexGetData("DP_1","00O2TNJGODT0G5Z4TTKYMMUX1","GSON8150000000")</f>
        <v>#NAME?</v>
      </c>
      <c r="V3609" s="23" t="e">
        <f ca="1">[1]!BexGetData("DP_1","00O2TNJGODT0G5Z4TTKYMN18L","GSON8150000000")</f>
        <v>#NAME?</v>
      </c>
      <c r="W3609" s="28" t="e">
        <f ca="1">[1]!BexGetData("DP_1","00O2TNJGODT0G5Z4TTKYMN7K5","GSON8150000000")</f>
        <v>#NAME?</v>
      </c>
    </row>
    <row r="3610" spans="1:23" x14ac:dyDescent="0.2">
      <c r="A3610" s="32" t="s">
        <v>126</v>
      </c>
      <c r="B3610" s="26" t="s">
        <v>127</v>
      </c>
      <c r="C3610" s="23" t="e">
        <f ca="1">[1]!BexGetData("DP_1","003N8EMH8GTFRCSWKMPXRR8GU","GSON82")</f>
        <v>#NAME?</v>
      </c>
      <c r="D3610" s="23" t="e">
        <f ca="1">[1]!BexGetData("DP_1","003N8EMH8GTFRCSWKMPXRRESE","GSON82")</f>
        <v>#NAME?</v>
      </c>
      <c r="E3610" s="28" t="e">
        <f ca="1">[1]!BexGetData("DP_1","003N8EMH8GTFRCSWKMPXRRL3Y","GSON82")</f>
        <v>#NAME?</v>
      </c>
      <c r="F3610" s="23" t="e">
        <f ca="1">[1]!BexGetData("DP_1","003N8EMH8GTFRCSWKMPXRRRFI","GSON82")</f>
        <v>#NAME?</v>
      </c>
      <c r="G3610" s="23" t="e">
        <f ca="1">[1]!BexGetData("DP_1","003N8EMH8GTFRCSWKMPXRRXR2","GSON82")</f>
        <v>#NAME?</v>
      </c>
      <c r="H3610" s="23" t="e">
        <f ca="1">[1]!BexGetData("DP_1","003N8EMH8GTFRCSWKMPXRS42M","GSON82")</f>
        <v>#NAME?</v>
      </c>
      <c r="I3610" s="23" t="e">
        <f ca="1">[1]!BexGetData("DP_1","003N8EMH8GTFRCSWKMPXRSAE6","GSON82")</f>
        <v>#NAME?</v>
      </c>
      <c r="J3610" s="24" t="e">
        <f ca="1">[1]!BexGetData("DP_1","003N8EMH8GTFRCSWKMPXRSGPQ","GSON82")</f>
        <v>#NAME?</v>
      </c>
      <c r="K3610" s="23" t="e">
        <f ca="1">[1]!BexGetData("DP_1","003N8EMH8GTFRIVNUPY288VJH","GSON82")</f>
        <v>#NAME?</v>
      </c>
      <c r="L3610" s="23" t="e">
        <f ca="1">[1]!BexGetData("DP_1","003N8EMH8GTFRIVNUPY2891V1","GSON82")</f>
        <v>#NAME?</v>
      </c>
      <c r="M3610" s="28" t="e">
        <f ca="1">[1]!BexGetData("DP_1","003N8EMH8GTFRIVOG7KG9IQXA","GSON82")</f>
        <v>#NAME?</v>
      </c>
      <c r="N3610" s="23" t="e">
        <f ca="1">[1]!BexGetData("DP_1","003N8EMH8GTFRIVOG7KG9IX8U","GSON82")</f>
        <v>#NAME?</v>
      </c>
      <c r="O3610" s="28" t="e">
        <f ca="1">[1]!BexGetData("DP_1","003N8EMH8GTFRIVOG7KG9J3KE","GSON82")</f>
        <v>#NAME?</v>
      </c>
      <c r="P3610" s="23" t="e">
        <f ca="1">[1]!BexGetData("DP_1","003N8EMH8GTFRIVOG7KG9J9VY","GSON82")</f>
        <v>#NAME?</v>
      </c>
      <c r="Q3610" s="24" t="e">
        <f ca="1">[1]!BexGetData("DP_1","00O2TNJGODT0G5Z4TTKYMM5MT","GSON82")</f>
        <v>#NAME?</v>
      </c>
      <c r="R3610" s="23" t="e">
        <f ca="1">[1]!BexGetData("DP_1","00O2TNJGODT0G5Z4TTKYMMBYD","GSON82")</f>
        <v>#NAME?</v>
      </c>
      <c r="S3610" s="23" t="e">
        <f ca="1">[1]!BexGetData("DP_1","00O2TNJGODT0G5Z4TTKYMMI9X","GSON82")</f>
        <v>#NAME?</v>
      </c>
      <c r="T3610" s="23" t="e">
        <f ca="1">[1]!BexGetData("DP_1","00O2TNJGODT0G5Z4TTKYMMOLH","GSON82")</f>
        <v>#NAME?</v>
      </c>
      <c r="U3610" s="28" t="e">
        <f ca="1">[1]!BexGetData("DP_1","00O2TNJGODT0G5Z4TTKYMMUX1","GSON82")</f>
        <v>#NAME?</v>
      </c>
      <c r="V3610" s="23" t="e">
        <f ca="1">[1]!BexGetData("DP_1","00O2TNJGODT0G5Z4TTKYMN18L","GSON82")</f>
        <v>#NAME?</v>
      </c>
      <c r="W3610" s="28" t="e">
        <f ca="1">[1]!BexGetData("DP_1","00O2TNJGODT0G5Z4TTKYMN7K5","GSON82")</f>
        <v>#NAME?</v>
      </c>
    </row>
    <row r="3611" spans="1:23" x14ac:dyDescent="0.2">
      <c r="A3611" s="33" t="s">
        <v>7208</v>
      </c>
      <c r="B3611" s="27" t="s">
        <v>128</v>
      </c>
      <c r="C3611" s="23" t="e">
        <f ca="1">[1]!BexGetData("DP_1","003N8EMH8GTFRCSWKMPXRR8GU","GSON8210000000")</f>
        <v>#NAME?</v>
      </c>
      <c r="D3611" s="23" t="e">
        <f ca="1">[1]!BexGetData("DP_1","003N8EMH8GTFRCSWKMPXRRESE","GSON8210000000")</f>
        <v>#NAME?</v>
      </c>
      <c r="E3611" s="23" t="e">
        <f ca="1">[1]!BexGetData("DP_1","003N8EMH8GTFRCSWKMPXRRL3Y","GSON8210000000")</f>
        <v>#NAME?</v>
      </c>
      <c r="F3611" s="23" t="e">
        <f ca="1">[1]!BexGetData("DP_1","003N8EMH8GTFRCSWKMPXRRRFI","GSON8210000000")</f>
        <v>#NAME?</v>
      </c>
      <c r="G3611" s="23" t="e">
        <f ca="1">[1]!BexGetData("DP_1","003N8EMH8GTFRCSWKMPXRRXR2","GSON8210000000")</f>
        <v>#NAME?</v>
      </c>
      <c r="H3611" s="23" t="e">
        <f ca="1">[1]!BexGetData("DP_1","003N8EMH8GTFRCSWKMPXRS42M","GSON8210000000")</f>
        <v>#NAME?</v>
      </c>
      <c r="I3611" s="23" t="e">
        <f ca="1">[1]!BexGetData("DP_1","003N8EMH8GTFRCSWKMPXRSAE6","GSON8210000000")</f>
        <v>#NAME?</v>
      </c>
      <c r="J3611" s="24" t="e">
        <f ca="1">[1]!BexGetData("DP_1","003N8EMH8GTFRCSWKMPXRSGPQ","GSON8210000000")</f>
        <v>#NAME?</v>
      </c>
      <c r="K3611" s="23" t="e">
        <f ca="1">[1]!BexGetData("DP_1","003N8EMH8GTFRIVNUPY288VJH","GSON8210000000")</f>
        <v>#NAME?</v>
      </c>
      <c r="L3611" s="23" t="e">
        <f ca="1">[1]!BexGetData("DP_1","003N8EMH8GTFRIVNUPY2891V1","GSON8210000000")</f>
        <v>#NAME?</v>
      </c>
      <c r="M3611" s="23" t="e">
        <f ca="1">[1]!BexGetData("DP_1","003N8EMH8GTFRIVOG7KG9IQXA","GSON8210000000")</f>
        <v>#NAME?</v>
      </c>
      <c r="N3611" s="28" t="e">
        <f ca="1">[1]!BexGetData("DP_1","003N8EMH8GTFRIVOG7KG9IX8U","GSON8210000000")</f>
        <v>#NAME?</v>
      </c>
      <c r="O3611" s="23" t="e">
        <f ca="1">[1]!BexGetData("DP_1","003N8EMH8GTFRIVOG7KG9J3KE","GSON8210000000")</f>
        <v>#NAME?</v>
      </c>
      <c r="P3611" s="28" t="e">
        <f ca="1">[1]!BexGetData("DP_1","003N8EMH8GTFRIVOG7KG9J9VY","GSON8210000000")</f>
        <v>#NAME?</v>
      </c>
      <c r="Q3611" s="24" t="e">
        <f ca="1">[1]!BexGetData("DP_1","00O2TNJGODT0G5Z4TTKYMM5MT","GSON8210000000")</f>
        <v>#NAME?</v>
      </c>
      <c r="R3611" s="23" t="e">
        <f ca="1">[1]!BexGetData("DP_1","00O2TNJGODT0G5Z4TTKYMMBYD","GSON8210000000")</f>
        <v>#NAME?</v>
      </c>
      <c r="S3611" s="23" t="e">
        <f ca="1">[1]!BexGetData("DP_1","00O2TNJGODT0G5Z4TTKYMMI9X","GSON8210000000")</f>
        <v>#NAME?</v>
      </c>
      <c r="T3611" s="23" t="e">
        <f ca="1">[1]!BexGetData("DP_1","00O2TNJGODT0G5Z4TTKYMMOLH","GSON8210000000")</f>
        <v>#NAME?</v>
      </c>
      <c r="U3611" s="28" t="e">
        <f ca="1">[1]!BexGetData("DP_1","00O2TNJGODT0G5Z4TTKYMMUX1","GSON8210000000")</f>
        <v>#NAME?</v>
      </c>
      <c r="V3611" s="23" t="e">
        <f ca="1">[1]!BexGetData("DP_1","00O2TNJGODT0G5Z4TTKYMN18L","GSON8210000000")</f>
        <v>#NAME?</v>
      </c>
      <c r="W3611" s="28" t="e">
        <f ca="1">[1]!BexGetData("DP_1","00O2TNJGODT0G5Z4TTKYMN7K5","GSON8210000000")</f>
        <v>#NAME?</v>
      </c>
    </row>
    <row r="3612" spans="1:23" x14ac:dyDescent="0.2">
      <c r="A3612" s="33" t="s">
        <v>7209</v>
      </c>
      <c r="B3612" s="27" t="s">
        <v>129</v>
      </c>
      <c r="C3612" s="23" t="e">
        <f ca="1">[1]!BexGetData("DP_1","003N8EMH8GTFRCSWKMPXRR8GU","GSON8220000000")</f>
        <v>#NAME?</v>
      </c>
      <c r="D3612" s="23" t="e">
        <f ca="1">[1]!BexGetData("DP_1","003N8EMH8GTFRCSWKMPXRRESE","GSON8220000000")</f>
        <v>#NAME?</v>
      </c>
      <c r="E3612" s="23" t="e">
        <f ca="1">[1]!BexGetData("DP_1","003N8EMH8GTFRCSWKMPXRRL3Y","GSON8220000000")</f>
        <v>#NAME?</v>
      </c>
      <c r="F3612" s="23" t="e">
        <f ca="1">[1]!BexGetData("DP_1","003N8EMH8GTFRCSWKMPXRRRFI","GSON8220000000")</f>
        <v>#NAME?</v>
      </c>
      <c r="G3612" s="23" t="e">
        <f ca="1">[1]!BexGetData("DP_1","003N8EMH8GTFRCSWKMPXRRXR2","GSON8220000000")</f>
        <v>#NAME?</v>
      </c>
      <c r="H3612" s="23" t="e">
        <f ca="1">[1]!BexGetData("DP_1","003N8EMH8GTFRCSWKMPXRS42M","GSON8220000000")</f>
        <v>#NAME?</v>
      </c>
      <c r="I3612" s="23" t="e">
        <f ca="1">[1]!BexGetData("DP_1","003N8EMH8GTFRCSWKMPXRSAE6","GSON8220000000")</f>
        <v>#NAME?</v>
      </c>
      <c r="J3612" s="24" t="e">
        <f ca="1">[1]!BexGetData("DP_1","003N8EMH8GTFRCSWKMPXRSGPQ","GSON8220000000")</f>
        <v>#NAME?</v>
      </c>
      <c r="K3612" s="23" t="e">
        <f ca="1">[1]!BexGetData("DP_1","003N8EMH8GTFRIVNUPY288VJH","GSON8220000000")</f>
        <v>#NAME?</v>
      </c>
      <c r="L3612" s="23" t="e">
        <f ca="1">[1]!BexGetData("DP_1","003N8EMH8GTFRIVNUPY2891V1","GSON8220000000")</f>
        <v>#NAME?</v>
      </c>
      <c r="M3612" s="23" t="e">
        <f ca="1">[1]!BexGetData("DP_1","003N8EMH8GTFRIVOG7KG9IQXA","GSON8220000000")</f>
        <v>#NAME?</v>
      </c>
      <c r="N3612" s="28" t="e">
        <f ca="1">[1]!BexGetData("DP_1","003N8EMH8GTFRIVOG7KG9IX8U","GSON8220000000")</f>
        <v>#NAME?</v>
      </c>
      <c r="O3612" s="23" t="e">
        <f ca="1">[1]!BexGetData("DP_1","003N8EMH8GTFRIVOG7KG9J3KE","GSON8220000000")</f>
        <v>#NAME?</v>
      </c>
      <c r="P3612" s="28" t="e">
        <f ca="1">[1]!BexGetData("DP_1","003N8EMH8GTFRIVOG7KG9J9VY","GSON8220000000")</f>
        <v>#NAME?</v>
      </c>
      <c r="Q3612" s="24" t="e">
        <f ca="1">[1]!BexGetData("DP_1","00O2TNJGODT0G5Z4TTKYMM5MT","GSON8220000000")</f>
        <v>#NAME?</v>
      </c>
      <c r="R3612" s="23" t="e">
        <f ca="1">[1]!BexGetData("DP_1","00O2TNJGODT0G5Z4TTKYMMBYD","GSON8220000000")</f>
        <v>#NAME?</v>
      </c>
      <c r="S3612" s="23" t="e">
        <f ca="1">[1]!BexGetData("DP_1","00O2TNJGODT0G5Z4TTKYMMI9X","GSON8220000000")</f>
        <v>#NAME?</v>
      </c>
      <c r="T3612" s="28" t="e">
        <f ca="1">[1]!BexGetData("DP_1","00O2TNJGODT0G5Z4TTKYMMOLH","GSON8220000000")</f>
        <v>#NAME?</v>
      </c>
      <c r="U3612" s="23" t="e">
        <f ca="1">[1]!BexGetData("DP_1","00O2TNJGODT0G5Z4TTKYMMUX1","GSON8220000000")</f>
        <v>#NAME?</v>
      </c>
      <c r="V3612" s="28" t="e">
        <f ca="1">[1]!BexGetData("DP_1","00O2TNJGODT0G5Z4TTKYMN18L","GSON8220000000")</f>
        <v>#NAME?</v>
      </c>
      <c r="W3612" s="23" t="e">
        <f ca="1">[1]!BexGetData("DP_1","00O2TNJGODT0G5Z4TTKYMN7K5","GSON8220000000")</f>
        <v>#NAME?</v>
      </c>
    </row>
    <row r="3613" spans="1:23" x14ac:dyDescent="0.2">
      <c r="A3613" s="33" t="s">
        <v>7210</v>
      </c>
      <c r="B3613" s="27" t="s">
        <v>7211</v>
      </c>
      <c r="C3613" s="23" t="e">
        <f ca="1">[1]!BexGetData("DP_1","003N8EMH8GTFRCSWKMPXRR8GU","GSON8220000001")</f>
        <v>#NAME?</v>
      </c>
      <c r="D3613" s="23" t="e">
        <f ca="1">[1]!BexGetData("DP_1","003N8EMH8GTFRCSWKMPXRRESE","GSON8220000001")</f>
        <v>#NAME?</v>
      </c>
      <c r="E3613" s="28" t="e">
        <f ca="1">[1]!BexGetData("DP_1","003N8EMH8GTFRCSWKMPXRRL3Y","GSON8220000001")</f>
        <v>#NAME?</v>
      </c>
      <c r="F3613" s="23" t="e">
        <f ca="1">[1]!BexGetData("DP_1","003N8EMH8GTFRCSWKMPXRRRFI","GSON8220000001")</f>
        <v>#NAME?</v>
      </c>
      <c r="G3613" s="28" t="e">
        <f ca="1">[1]!BexGetData("DP_1","003N8EMH8GTFRCSWKMPXRRXR2","GSON8220000001")</f>
        <v>#NAME?</v>
      </c>
      <c r="H3613" s="23" t="e">
        <f ca="1">[1]!BexGetData("DP_1","003N8EMH8GTFRCSWKMPXRS42M","GSON8220000001")</f>
        <v>#NAME?</v>
      </c>
      <c r="I3613" s="23" t="e">
        <f ca="1">[1]!BexGetData("DP_1","003N8EMH8GTFRCSWKMPXRSAE6","GSON8220000001")</f>
        <v>#NAME?</v>
      </c>
      <c r="J3613" s="24" t="e">
        <f ca="1">[1]!BexGetData("DP_1","003N8EMH8GTFRCSWKMPXRSGPQ","GSON8220000001")</f>
        <v>#NAME?</v>
      </c>
      <c r="K3613" s="23" t="e">
        <f ca="1">[1]!BexGetData("DP_1","003N8EMH8GTFRIVNUPY288VJH","GSON8220000001")</f>
        <v>#NAME?</v>
      </c>
      <c r="L3613" s="23" t="e">
        <f ca="1">[1]!BexGetData("DP_1","003N8EMH8GTFRIVNUPY2891V1","GSON8220000001")</f>
        <v>#NAME?</v>
      </c>
      <c r="M3613" s="28" t="e">
        <f ca="1">[1]!BexGetData("DP_1","003N8EMH8GTFRIVOG7KG9IQXA","GSON8220000001")</f>
        <v>#NAME?</v>
      </c>
      <c r="N3613" s="23" t="e">
        <f ca="1">[1]!BexGetData("DP_1","003N8EMH8GTFRIVOG7KG9IX8U","GSON8220000001")</f>
        <v>#NAME?</v>
      </c>
      <c r="O3613" s="28" t="e">
        <f ca="1">[1]!BexGetData("DP_1","003N8EMH8GTFRIVOG7KG9J3KE","GSON8220000001")</f>
        <v>#NAME?</v>
      </c>
      <c r="P3613" s="23" t="e">
        <f ca="1">[1]!BexGetData("DP_1","003N8EMH8GTFRIVOG7KG9J9VY","GSON8220000001")</f>
        <v>#NAME?</v>
      </c>
      <c r="Q3613" s="24" t="e">
        <f ca="1">[1]!BexGetData("DP_1","00O2TNJGODT0G5Z4TTKYMM5MT","GSON8220000001")</f>
        <v>#NAME?</v>
      </c>
      <c r="R3613" s="23" t="e">
        <f ca="1">[1]!BexGetData("DP_1","00O2TNJGODT0G5Z4TTKYMMBYD","GSON8220000001")</f>
        <v>#NAME?</v>
      </c>
      <c r="S3613" s="23" t="e">
        <f ca="1">[1]!BexGetData("DP_1","00O2TNJGODT0G5Z4TTKYMMI9X","GSON8220000001")</f>
        <v>#NAME?</v>
      </c>
      <c r="T3613" s="23" t="e">
        <f ca="1">[1]!BexGetData("DP_1","00O2TNJGODT0G5Z4TTKYMMOLH","GSON8220000001")</f>
        <v>#NAME?</v>
      </c>
      <c r="U3613" s="28" t="e">
        <f ca="1">[1]!BexGetData("DP_1","00O2TNJGODT0G5Z4TTKYMMUX1","GSON8220000001")</f>
        <v>#NAME?</v>
      </c>
      <c r="V3613" s="23" t="e">
        <f ca="1">[1]!BexGetData("DP_1","00O2TNJGODT0G5Z4TTKYMN18L","GSON8220000001")</f>
        <v>#NAME?</v>
      </c>
      <c r="W3613" s="28" t="e">
        <f ca="1">[1]!BexGetData("DP_1","00O2TNJGODT0G5Z4TTKYMN7K5","GSON8220000001")</f>
        <v>#NAME?</v>
      </c>
    </row>
    <row r="3614" spans="1:23" x14ac:dyDescent="0.2">
      <c r="A3614" s="33" t="s">
        <v>7212</v>
      </c>
      <c r="B3614" s="27" t="s">
        <v>130</v>
      </c>
      <c r="C3614" s="23" t="e">
        <f ca="1">[1]!BexGetData("DP_1","003N8EMH8GTFRCSWKMPXRR8GU","GSON8230000000")</f>
        <v>#NAME?</v>
      </c>
      <c r="D3614" s="23" t="e">
        <f ca="1">[1]!BexGetData("DP_1","003N8EMH8GTFRCSWKMPXRRESE","GSON8230000000")</f>
        <v>#NAME?</v>
      </c>
      <c r="E3614" s="23" t="e">
        <f ca="1">[1]!BexGetData("DP_1","003N8EMH8GTFRCSWKMPXRRL3Y","GSON8230000000")</f>
        <v>#NAME?</v>
      </c>
      <c r="F3614" s="23" t="e">
        <f ca="1">[1]!BexGetData("DP_1","003N8EMH8GTFRCSWKMPXRRRFI","GSON8230000000")</f>
        <v>#NAME?</v>
      </c>
      <c r="G3614" s="23" t="e">
        <f ca="1">[1]!BexGetData("DP_1","003N8EMH8GTFRCSWKMPXRRXR2","GSON8230000000")</f>
        <v>#NAME?</v>
      </c>
      <c r="H3614" s="23" t="e">
        <f ca="1">[1]!BexGetData("DP_1","003N8EMH8GTFRCSWKMPXRS42M","GSON8230000000")</f>
        <v>#NAME?</v>
      </c>
      <c r="I3614" s="23" t="e">
        <f ca="1">[1]!BexGetData("DP_1","003N8EMH8GTFRCSWKMPXRSAE6","GSON8230000000")</f>
        <v>#NAME?</v>
      </c>
      <c r="J3614" s="24" t="e">
        <f ca="1">[1]!BexGetData("DP_1","003N8EMH8GTFRCSWKMPXRSGPQ","GSON8230000000")</f>
        <v>#NAME?</v>
      </c>
      <c r="K3614" s="23" t="e">
        <f ca="1">[1]!BexGetData("DP_1","003N8EMH8GTFRIVNUPY288VJH","GSON8230000000")</f>
        <v>#NAME?</v>
      </c>
      <c r="L3614" s="23" t="e">
        <f ca="1">[1]!BexGetData("DP_1","003N8EMH8GTFRIVNUPY2891V1","GSON8230000000")</f>
        <v>#NAME?</v>
      </c>
      <c r="M3614" s="23" t="e">
        <f ca="1">[1]!BexGetData("DP_1","003N8EMH8GTFRIVOG7KG9IQXA","GSON8230000000")</f>
        <v>#NAME?</v>
      </c>
      <c r="N3614" s="28" t="e">
        <f ca="1">[1]!BexGetData("DP_1","003N8EMH8GTFRIVOG7KG9IX8U","GSON8230000000")</f>
        <v>#NAME?</v>
      </c>
      <c r="O3614" s="23" t="e">
        <f ca="1">[1]!BexGetData("DP_1","003N8EMH8GTFRIVOG7KG9J3KE","GSON8230000000")</f>
        <v>#NAME?</v>
      </c>
      <c r="P3614" s="28" t="e">
        <f ca="1">[1]!BexGetData("DP_1","003N8EMH8GTFRIVOG7KG9J9VY","GSON8230000000")</f>
        <v>#NAME?</v>
      </c>
      <c r="Q3614" s="24" t="e">
        <f ca="1">[1]!BexGetData("DP_1","00O2TNJGODT0G5Z4TTKYMM5MT","GSON8230000000")</f>
        <v>#NAME?</v>
      </c>
      <c r="R3614" s="23" t="e">
        <f ca="1">[1]!BexGetData("DP_1","00O2TNJGODT0G5Z4TTKYMMBYD","GSON8230000000")</f>
        <v>#NAME?</v>
      </c>
      <c r="S3614" s="23" t="e">
        <f ca="1">[1]!BexGetData("DP_1","00O2TNJGODT0G5Z4TTKYMMI9X","GSON8230000000")</f>
        <v>#NAME?</v>
      </c>
      <c r="T3614" s="23" t="e">
        <f ca="1">[1]!BexGetData("DP_1","00O2TNJGODT0G5Z4TTKYMMOLH","GSON8230000000")</f>
        <v>#NAME?</v>
      </c>
      <c r="U3614" s="28" t="e">
        <f ca="1">[1]!BexGetData("DP_1","00O2TNJGODT0G5Z4TTKYMMUX1","GSON8230000000")</f>
        <v>#NAME?</v>
      </c>
      <c r="V3614" s="23" t="e">
        <f ca="1">[1]!BexGetData("DP_1","00O2TNJGODT0G5Z4TTKYMN18L","GSON8230000000")</f>
        <v>#NAME?</v>
      </c>
      <c r="W3614" s="28" t="e">
        <f ca="1">[1]!BexGetData("DP_1","00O2TNJGODT0G5Z4TTKYMN7K5","GSON8230000000")</f>
        <v>#NAME?</v>
      </c>
    </row>
    <row r="3615" spans="1:23" x14ac:dyDescent="0.2">
      <c r="A3615" s="33" t="s">
        <v>7213</v>
      </c>
      <c r="B3615" s="27" t="s">
        <v>131</v>
      </c>
      <c r="C3615" s="23" t="e">
        <f ca="1">[1]!BexGetData("DP_1","003N8EMH8GTFRCSWKMPXRR8GU","GSON8240000000")</f>
        <v>#NAME?</v>
      </c>
      <c r="D3615" s="23" t="e">
        <f ca="1">[1]!BexGetData("DP_1","003N8EMH8GTFRCSWKMPXRRESE","GSON8240000000")</f>
        <v>#NAME?</v>
      </c>
      <c r="E3615" s="23" t="e">
        <f ca="1">[1]!BexGetData("DP_1","003N8EMH8GTFRCSWKMPXRRL3Y","GSON8240000000")</f>
        <v>#NAME?</v>
      </c>
      <c r="F3615" s="23" t="e">
        <f ca="1">[1]!BexGetData("DP_1","003N8EMH8GTFRCSWKMPXRRRFI","GSON8240000000")</f>
        <v>#NAME?</v>
      </c>
      <c r="G3615" s="23" t="e">
        <f ca="1">[1]!BexGetData("DP_1","003N8EMH8GTFRCSWKMPXRRXR2","GSON8240000000")</f>
        <v>#NAME?</v>
      </c>
      <c r="H3615" s="23" t="e">
        <f ca="1">[1]!BexGetData("DP_1","003N8EMH8GTFRCSWKMPXRS42M","GSON8240000000")</f>
        <v>#NAME?</v>
      </c>
      <c r="I3615" s="23" t="e">
        <f ca="1">[1]!BexGetData("DP_1","003N8EMH8GTFRCSWKMPXRSAE6","GSON8240000000")</f>
        <v>#NAME?</v>
      </c>
      <c r="J3615" s="24" t="e">
        <f ca="1">[1]!BexGetData("DP_1","003N8EMH8GTFRCSWKMPXRSGPQ","GSON8240000000")</f>
        <v>#NAME?</v>
      </c>
      <c r="K3615" s="23" t="e">
        <f ca="1">[1]!BexGetData("DP_1","003N8EMH8GTFRIVNUPY288VJH","GSON8240000000")</f>
        <v>#NAME?</v>
      </c>
      <c r="L3615" s="23" t="e">
        <f ca="1">[1]!BexGetData("DP_1","003N8EMH8GTFRIVNUPY2891V1","GSON8240000000")</f>
        <v>#NAME?</v>
      </c>
      <c r="M3615" s="28" t="e">
        <f ca="1">[1]!BexGetData("DP_1","003N8EMH8GTFRIVOG7KG9IQXA","GSON8240000000")</f>
        <v>#NAME?</v>
      </c>
      <c r="N3615" s="23" t="e">
        <f ca="1">[1]!BexGetData("DP_1","003N8EMH8GTFRIVOG7KG9IX8U","GSON8240000000")</f>
        <v>#NAME?</v>
      </c>
      <c r="O3615" s="28" t="e">
        <f ca="1">[1]!BexGetData("DP_1","003N8EMH8GTFRIVOG7KG9J3KE","GSON8240000000")</f>
        <v>#NAME?</v>
      </c>
      <c r="P3615" s="23" t="e">
        <f ca="1">[1]!BexGetData("DP_1","003N8EMH8GTFRIVOG7KG9J9VY","GSON8240000000")</f>
        <v>#NAME?</v>
      </c>
      <c r="Q3615" s="24" t="e">
        <f ca="1">[1]!BexGetData("DP_1","00O2TNJGODT0G5Z4TTKYMM5MT","GSON8240000000")</f>
        <v>#NAME?</v>
      </c>
      <c r="R3615" s="23" t="e">
        <f ca="1">[1]!BexGetData("DP_1","00O2TNJGODT0G5Z4TTKYMMBYD","GSON8240000000")</f>
        <v>#NAME?</v>
      </c>
      <c r="S3615" s="23" t="e">
        <f ca="1">[1]!BexGetData("DP_1","00O2TNJGODT0G5Z4TTKYMMI9X","GSON8240000000")</f>
        <v>#NAME?</v>
      </c>
      <c r="T3615" s="28" t="e">
        <f ca="1">[1]!BexGetData("DP_1","00O2TNJGODT0G5Z4TTKYMMOLH","GSON8240000000")</f>
        <v>#NAME?</v>
      </c>
      <c r="U3615" s="23" t="e">
        <f ca="1">[1]!BexGetData("DP_1","00O2TNJGODT0G5Z4TTKYMMUX1","GSON8240000000")</f>
        <v>#NAME?</v>
      </c>
      <c r="V3615" s="28" t="e">
        <f ca="1">[1]!BexGetData("DP_1","00O2TNJGODT0G5Z4TTKYMN18L","GSON8240000000")</f>
        <v>#NAME?</v>
      </c>
      <c r="W3615" s="23" t="e">
        <f ca="1">[1]!BexGetData("DP_1","00O2TNJGODT0G5Z4TTKYMN7K5","GSON8240000000")</f>
        <v>#NAME?</v>
      </c>
    </row>
    <row r="3616" spans="1:23" x14ac:dyDescent="0.2">
      <c r="A3616" s="33" t="s">
        <v>7214</v>
      </c>
      <c r="B3616" s="27" t="s">
        <v>1602</v>
      </c>
      <c r="C3616" s="23" t="e">
        <f ca="1">[1]!BexGetData("DP_1","003N8EMH8GTFRCSWKMPXRR8GU","GSON8240000001")</f>
        <v>#NAME?</v>
      </c>
      <c r="D3616" s="23" t="e">
        <f ca="1">[1]!BexGetData("DP_1","003N8EMH8GTFRCSWKMPXRRESE","GSON8240000001")</f>
        <v>#NAME?</v>
      </c>
      <c r="E3616" s="23" t="e">
        <f ca="1">[1]!BexGetData("DP_1","003N8EMH8GTFRCSWKMPXRRL3Y","GSON8240000001")</f>
        <v>#NAME?</v>
      </c>
      <c r="F3616" s="23" t="e">
        <f ca="1">[1]!BexGetData("DP_1","003N8EMH8GTFRCSWKMPXRRRFI","GSON8240000001")</f>
        <v>#NAME?</v>
      </c>
      <c r="G3616" s="23" t="e">
        <f ca="1">[1]!BexGetData("DP_1","003N8EMH8GTFRCSWKMPXRRXR2","GSON8240000001")</f>
        <v>#NAME?</v>
      </c>
      <c r="H3616" s="23" t="e">
        <f ca="1">[1]!BexGetData("DP_1","003N8EMH8GTFRCSWKMPXRS42M","GSON8240000001")</f>
        <v>#NAME?</v>
      </c>
      <c r="I3616" s="23" t="e">
        <f ca="1">[1]!BexGetData("DP_1","003N8EMH8GTFRCSWKMPXRSAE6","GSON8240000001")</f>
        <v>#NAME?</v>
      </c>
      <c r="J3616" s="24" t="e">
        <f ca="1">[1]!BexGetData("DP_1","003N8EMH8GTFRCSWKMPXRSGPQ","GSON8240000001")</f>
        <v>#NAME?</v>
      </c>
      <c r="K3616" s="23" t="e">
        <f ca="1">[1]!BexGetData("DP_1","003N8EMH8GTFRIVNUPY288VJH","GSON8240000001")</f>
        <v>#NAME?</v>
      </c>
      <c r="L3616" s="23" t="e">
        <f ca="1">[1]!BexGetData("DP_1","003N8EMH8GTFRIVNUPY2891V1","GSON8240000001")</f>
        <v>#NAME?</v>
      </c>
      <c r="M3616" s="23" t="e">
        <f ca="1">[1]!BexGetData("DP_1","003N8EMH8GTFRIVOG7KG9IQXA","GSON8240000001")</f>
        <v>#NAME?</v>
      </c>
      <c r="N3616" s="28" t="e">
        <f ca="1">[1]!BexGetData("DP_1","003N8EMH8GTFRIVOG7KG9IX8U","GSON8240000001")</f>
        <v>#NAME?</v>
      </c>
      <c r="O3616" s="23" t="e">
        <f ca="1">[1]!BexGetData("DP_1","003N8EMH8GTFRIVOG7KG9J3KE","GSON8240000001")</f>
        <v>#NAME?</v>
      </c>
      <c r="P3616" s="28" t="e">
        <f ca="1">[1]!BexGetData("DP_1","003N8EMH8GTFRIVOG7KG9J9VY","GSON8240000001")</f>
        <v>#NAME?</v>
      </c>
      <c r="Q3616" s="24" t="e">
        <f ca="1">[1]!BexGetData("DP_1","00O2TNJGODT0G5Z4TTKYMM5MT","GSON8240000001")</f>
        <v>#NAME?</v>
      </c>
      <c r="R3616" s="23" t="e">
        <f ca="1">[1]!BexGetData("DP_1","00O2TNJGODT0G5Z4TTKYMMBYD","GSON8240000001")</f>
        <v>#NAME?</v>
      </c>
      <c r="S3616" s="23" t="e">
        <f ca="1">[1]!BexGetData("DP_1","00O2TNJGODT0G5Z4TTKYMMI9X","GSON8240000001")</f>
        <v>#NAME?</v>
      </c>
      <c r="T3616" s="23" t="e">
        <f ca="1">[1]!BexGetData("DP_1","00O2TNJGODT0G5Z4TTKYMMOLH","GSON8240000001")</f>
        <v>#NAME?</v>
      </c>
      <c r="U3616" s="28" t="e">
        <f ca="1">[1]!BexGetData("DP_1","00O2TNJGODT0G5Z4TTKYMMUX1","GSON8240000001")</f>
        <v>#NAME?</v>
      </c>
      <c r="V3616" s="23" t="e">
        <f ca="1">[1]!BexGetData("DP_1","00O2TNJGODT0G5Z4TTKYMN18L","GSON8240000001")</f>
        <v>#NAME?</v>
      </c>
      <c r="W3616" s="28" t="e">
        <f ca="1">[1]!BexGetData("DP_1","00O2TNJGODT0G5Z4TTKYMN7K5","GSON8240000001")</f>
        <v>#NAME?</v>
      </c>
    </row>
    <row r="3617" spans="1:23" x14ac:dyDescent="0.2">
      <c r="A3617" s="33" t="s">
        <v>7215</v>
      </c>
      <c r="B3617" s="27" t="s">
        <v>132</v>
      </c>
      <c r="C3617" s="23" t="e">
        <f ca="1">[1]!BexGetData("DP_1","003N8EMH8GTFRCSWKMPXRR8GU","GSON8250000000")</f>
        <v>#NAME?</v>
      </c>
      <c r="D3617" s="23" t="e">
        <f ca="1">[1]!BexGetData("DP_1","003N8EMH8GTFRCSWKMPXRRESE","GSON8250000000")</f>
        <v>#NAME?</v>
      </c>
      <c r="E3617" s="23" t="e">
        <f ca="1">[1]!BexGetData("DP_1","003N8EMH8GTFRCSWKMPXRRL3Y","GSON8250000000")</f>
        <v>#NAME?</v>
      </c>
      <c r="F3617" s="23" t="e">
        <f ca="1">[1]!BexGetData("DP_1","003N8EMH8GTFRCSWKMPXRRRFI","GSON8250000000")</f>
        <v>#NAME?</v>
      </c>
      <c r="G3617" s="23" t="e">
        <f ca="1">[1]!BexGetData("DP_1","003N8EMH8GTFRCSWKMPXRRXR2","GSON8250000000")</f>
        <v>#NAME?</v>
      </c>
      <c r="H3617" s="23" t="e">
        <f ca="1">[1]!BexGetData("DP_1","003N8EMH8GTFRCSWKMPXRS42M","GSON8250000000")</f>
        <v>#NAME?</v>
      </c>
      <c r="I3617" s="23" t="e">
        <f ca="1">[1]!BexGetData("DP_1","003N8EMH8GTFRCSWKMPXRSAE6","GSON8250000000")</f>
        <v>#NAME?</v>
      </c>
      <c r="J3617" s="24" t="e">
        <f ca="1">[1]!BexGetData("DP_1","003N8EMH8GTFRCSWKMPXRSGPQ","GSON8250000000")</f>
        <v>#NAME?</v>
      </c>
      <c r="K3617" s="23" t="e">
        <f ca="1">[1]!BexGetData("DP_1","003N8EMH8GTFRIVNUPY288VJH","GSON8250000000")</f>
        <v>#NAME?</v>
      </c>
      <c r="L3617" s="23" t="e">
        <f ca="1">[1]!BexGetData("DP_1","003N8EMH8GTFRIVNUPY2891V1","GSON8250000000")</f>
        <v>#NAME?</v>
      </c>
      <c r="M3617" s="28" t="e">
        <f ca="1">[1]!BexGetData("DP_1","003N8EMH8GTFRIVOG7KG9IQXA","GSON8250000000")</f>
        <v>#NAME?</v>
      </c>
      <c r="N3617" s="23" t="e">
        <f ca="1">[1]!BexGetData("DP_1","003N8EMH8GTFRIVOG7KG9IX8U","GSON8250000000")</f>
        <v>#NAME?</v>
      </c>
      <c r="O3617" s="28" t="e">
        <f ca="1">[1]!BexGetData("DP_1","003N8EMH8GTFRIVOG7KG9J3KE","GSON8250000000")</f>
        <v>#NAME?</v>
      </c>
      <c r="P3617" s="23" t="e">
        <f ca="1">[1]!BexGetData("DP_1","003N8EMH8GTFRIVOG7KG9J9VY","GSON8250000000")</f>
        <v>#NAME?</v>
      </c>
      <c r="Q3617" s="24" t="e">
        <f ca="1">[1]!BexGetData("DP_1","00O2TNJGODT0G5Z4TTKYMM5MT","GSON8250000000")</f>
        <v>#NAME?</v>
      </c>
      <c r="R3617" s="23" t="e">
        <f ca="1">[1]!BexGetData("DP_1","00O2TNJGODT0G5Z4TTKYMMBYD","GSON8250000000")</f>
        <v>#NAME?</v>
      </c>
      <c r="S3617" s="23" t="e">
        <f ca="1">[1]!BexGetData("DP_1","00O2TNJGODT0G5Z4TTKYMMI9X","GSON8250000000")</f>
        <v>#NAME?</v>
      </c>
      <c r="T3617" s="28" t="e">
        <f ca="1">[1]!BexGetData("DP_1","00O2TNJGODT0G5Z4TTKYMMOLH","GSON8250000000")</f>
        <v>#NAME?</v>
      </c>
      <c r="U3617" s="23" t="e">
        <f ca="1">[1]!BexGetData("DP_1","00O2TNJGODT0G5Z4TTKYMMUX1","GSON8250000000")</f>
        <v>#NAME?</v>
      </c>
      <c r="V3617" s="28" t="e">
        <f ca="1">[1]!BexGetData("DP_1","00O2TNJGODT0G5Z4TTKYMN18L","GSON8250000000")</f>
        <v>#NAME?</v>
      </c>
      <c r="W3617" s="23" t="e">
        <f ca="1">[1]!BexGetData("DP_1","00O2TNJGODT0G5Z4TTKYMN7K5","GSON8250000000")</f>
        <v>#NAME?</v>
      </c>
    </row>
    <row r="3618" spans="1:23" x14ac:dyDescent="0.2">
      <c r="A3618" s="33" t="s">
        <v>7215</v>
      </c>
      <c r="B3618" s="27" t="s">
        <v>133</v>
      </c>
      <c r="C3618" s="23" t="e">
        <f ca="1">[1]!BexGetData("DP_1","003N8EMH8GTFRCSWKMPXRR8GU","GSON8250000001")</f>
        <v>#NAME?</v>
      </c>
      <c r="D3618" s="23" t="e">
        <f ca="1">[1]!BexGetData("DP_1","003N8EMH8GTFRCSWKMPXRRESE","GSON8250000001")</f>
        <v>#NAME?</v>
      </c>
      <c r="E3618" s="23" t="e">
        <f ca="1">[1]!BexGetData("DP_1","003N8EMH8GTFRCSWKMPXRRL3Y","GSON8250000001")</f>
        <v>#NAME?</v>
      </c>
      <c r="F3618" s="23" t="e">
        <f ca="1">[1]!BexGetData("DP_1","003N8EMH8GTFRCSWKMPXRRRFI","GSON8250000001")</f>
        <v>#NAME?</v>
      </c>
      <c r="G3618" s="23" t="e">
        <f ca="1">[1]!BexGetData("DP_1","003N8EMH8GTFRCSWKMPXRRXR2","GSON8250000001")</f>
        <v>#NAME?</v>
      </c>
      <c r="H3618" s="23" t="e">
        <f ca="1">[1]!BexGetData("DP_1","003N8EMH8GTFRCSWKMPXRS42M","GSON8250000001")</f>
        <v>#NAME?</v>
      </c>
      <c r="I3618" s="23" t="e">
        <f ca="1">[1]!BexGetData("DP_1","003N8EMH8GTFRCSWKMPXRSAE6","GSON8250000001")</f>
        <v>#NAME?</v>
      </c>
      <c r="J3618" s="24" t="e">
        <f ca="1">[1]!BexGetData("DP_1","003N8EMH8GTFRCSWKMPXRSGPQ","GSON8250000001")</f>
        <v>#NAME?</v>
      </c>
      <c r="K3618" s="23" t="e">
        <f ca="1">[1]!BexGetData("DP_1","003N8EMH8GTFRIVNUPY288VJH","GSON8250000001")</f>
        <v>#NAME?</v>
      </c>
      <c r="L3618" s="23" t="e">
        <f ca="1">[1]!BexGetData("DP_1","003N8EMH8GTFRIVNUPY2891V1","GSON8250000001")</f>
        <v>#NAME?</v>
      </c>
      <c r="M3618" s="23" t="e">
        <f ca="1">[1]!BexGetData("DP_1","003N8EMH8GTFRIVOG7KG9IQXA","GSON8250000001")</f>
        <v>#NAME?</v>
      </c>
      <c r="N3618" s="28" t="e">
        <f ca="1">[1]!BexGetData("DP_1","003N8EMH8GTFRIVOG7KG9IX8U","GSON8250000001")</f>
        <v>#NAME?</v>
      </c>
      <c r="O3618" s="23" t="e">
        <f ca="1">[1]!BexGetData("DP_1","003N8EMH8GTFRIVOG7KG9J3KE","GSON8250000001")</f>
        <v>#NAME?</v>
      </c>
      <c r="P3618" s="28" t="e">
        <f ca="1">[1]!BexGetData("DP_1","003N8EMH8GTFRIVOG7KG9J9VY","GSON8250000001")</f>
        <v>#NAME?</v>
      </c>
      <c r="Q3618" s="24" t="e">
        <f ca="1">[1]!BexGetData("DP_1","00O2TNJGODT0G5Z4TTKYMM5MT","GSON8250000001")</f>
        <v>#NAME?</v>
      </c>
      <c r="R3618" s="23" t="e">
        <f ca="1">[1]!BexGetData("DP_1","00O2TNJGODT0G5Z4TTKYMMBYD","GSON8250000001")</f>
        <v>#NAME?</v>
      </c>
      <c r="S3618" s="23" t="e">
        <f ca="1">[1]!BexGetData("DP_1","00O2TNJGODT0G5Z4TTKYMMI9X","GSON8250000001")</f>
        <v>#NAME?</v>
      </c>
      <c r="T3618" s="23" t="e">
        <f ca="1">[1]!BexGetData("DP_1","00O2TNJGODT0G5Z4TTKYMMOLH","GSON8250000001")</f>
        <v>#NAME?</v>
      </c>
      <c r="U3618" s="28" t="e">
        <f ca="1">[1]!BexGetData("DP_1","00O2TNJGODT0G5Z4TTKYMMUX1","GSON8250000001")</f>
        <v>#NAME?</v>
      </c>
      <c r="V3618" s="23" t="e">
        <f ca="1">[1]!BexGetData("DP_1","00O2TNJGODT0G5Z4TTKYMN18L","GSON8250000001")</f>
        <v>#NAME?</v>
      </c>
      <c r="W3618" s="28" t="e">
        <f ca="1">[1]!BexGetData("DP_1","00O2TNJGODT0G5Z4TTKYMN7K5","GSON8250000001")</f>
        <v>#NAME?</v>
      </c>
    </row>
    <row r="3619" spans="1:23" x14ac:dyDescent="0.2">
      <c r="A3619" s="33" t="s">
        <v>7216</v>
      </c>
      <c r="B3619" s="27" t="s">
        <v>134</v>
      </c>
      <c r="C3619" s="23" t="e">
        <f ca="1">[1]!BexGetData("DP_1","003N8EMH8GTFRCSWKMPXRR8GU","GSON8260000000")</f>
        <v>#NAME?</v>
      </c>
      <c r="D3619" s="23" t="e">
        <f ca="1">[1]!BexGetData("DP_1","003N8EMH8GTFRCSWKMPXRRESE","GSON8260000000")</f>
        <v>#NAME?</v>
      </c>
      <c r="E3619" s="23" t="e">
        <f ca="1">[1]!BexGetData("DP_1","003N8EMH8GTFRCSWKMPXRRL3Y","GSON8260000000")</f>
        <v>#NAME?</v>
      </c>
      <c r="F3619" s="23" t="e">
        <f ca="1">[1]!BexGetData("DP_1","003N8EMH8GTFRCSWKMPXRRRFI","GSON8260000000")</f>
        <v>#NAME?</v>
      </c>
      <c r="G3619" s="23" t="e">
        <f ca="1">[1]!BexGetData("DP_1","003N8EMH8GTFRCSWKMPXRRXR2","GSON8260000000")</f>
        <v>#NAME?</v>
      </c>
      <c r="H3619" s="23" t="e">
        <f ca="1">[1]!BexGetData("DP_1","003N8EMH8GTFRCSWKMPXRS42M","GSON8260000000")</f>
        <v>#NAME?</v>
      </c>
      <c r="I3619" s="23" t="e">
        <f ca="1">[1]!BexGetData("DP_1","003N8EMH8GTFRCSWKMPXRSAE6","GSON8260000000")</f>
        <v>#NAME?</v>
      </c>
      <c r="J3619" s="24" t="e">
        <f ca="1">[1]!BexGetData("DP_1","003N8EMH8GTFRCSWKMPXRSGPQ","GSON8260000000")</f>
        <v>#NAME?</v>
      </c>
      <c r="K3619" s="23" t="e">
        <f ca="1">[1]!BexGetData("DP_1","003N8EMH8GTFRIVNUPY288VJH","GSON8260000000")</f>
        <v>#NAME?</v>
      </c>
      <c r="L3619" s="23" t="e">
        <f ca="1">[1]!BexGetData("DP_1","003N8EMH8GTFRIVNUPY2891V1","GSON8260000000")</f>
        <v>#NAME?</v>
      </c>
      <c r="M3619" s="23" t="e">
        <f ca="1">[1]!BexGetData("DP_1","003N8EMH8GTFRIVOG7KG9IQXA","GSON8260000000")</f>
        <v>#NAME?</v>
      </c>
      <c r="N3619" s="28" t="e">
        <f ca="1">[1]!BexGetData("DP_1","003N8EMH8GTFRIVOG7KG9IX8U","GSON8260000000")</f>
        <v>#NAME?</v>
      </c>
      <c r="O3619" s="23" t="e">
        <f ca="1">[1]!BexGetData("DP_1","003N8EMH8GTFRIVOG7KG9J3KE","GSON8260000000")</f>
        <v>#NAME?</v>
      </c>
      <c r="P3619" s="28" t="e">
        <f ca="1">[1]!BexGetData("DP_1","003N8EMH8GTFRIVOG7KG9J9VY","GSON8260000000")</f>
        <v>#NAME?</v>
      </c>
      <c r="Q3619" s="24" t="e">
        <f ca="1">[1]!BexGetData("DP_1","00O2TNJGODT0G5Z4TTKYMM5MT","GSON8260000000")</f>
        <v>#NAME?</v>
      </c>
      <c r="R3619" s="23" t="e">
        <f ca="1">[1]!BexGetData("DP_1","00O2TNJGODT0G5Z4TTKYMMBYD","GSON8260000000")</f>
        <v>#NAME?</v>
      </c>
      <c r="S3619" s="23" t="e">
        <f ca="1">[1]!BexGetData("DP_1","00O2TNJGODT0G5Z4TTKYMMI9X","GSON8260000000")</f>
        <v>#NAME?</v>
      </c>
      <c r="T3619" s="23" t="e">
        <f ca="1">[1]!BexGetData("DP_1","00O2TNJGODT0G5Z4TTKYMMOLH","GSON8260000000")</f>
        <v>#NAME?</v>
      </c>
      <c r="U3619" s="28" t="e">
        <f ca="1">[1]!BexGetData("DP_1","00O2TNJGODT0G5Z4TTKYMMUX1","GSON8260000000")</f>
        <v>#NAME?</v>
      </c>
      <c r="V3619" s="23" t="e">
        <f ca="1">[1]!BexGetData("DP_1","00O2TNJGODT0G5Z4TTKYMN18L","GSON8260000000")</f>
        <v>#NAME?</v>
      </c>
      <c r="W3619" s="28" t="e">
        <f ca="1">[1]!BexGetData("DP_1","00O2TNJGODT0G5Z4TTKYMN7K5","GSON8260000000")</f>
        <v>#NAME?</v>
      </c>
    </row>
    <row r="3620" spans="1:23" x14ac:dyDescent="0.2">
      <c r="A3620" s="33" t="s">
        <v>7217</v>
      </c>
      <c r="B3620" s="27" t="s">
        <v>621</v>
      </c>
      <c r="C3620" s="23" t="e">
        <f ca="1">[1]!BexGetData("DP_1","003N8EMH8GTFRCSWKMPXRR8GU","GSON8260000001")</f>
        <v>#NAME?</v>
      </c>
      <c r="D3620" s="23" t="e">
        <f ca="1">[1]!BexGetData("DP_1","003N8EMH8GTFRCSWKMPXRRESE","GSON8260000001")</f>
        <v>#NAME?</v>
      </c>
      <c r="E3620" s="23" t="e">
        <f ca="1">[1]!BexGetData("DP_1","003N8EMH8GTFRCSWKMPXRRL3Y","GSON8260000001")</f>
        <v>#NAME?</v>
      </c>
      <c r="F3620" s="23" t="e">
        <f ca="1">[1]!BexGetData("DP_1","003N8EMH8GTFRCSWKMPXRRRFI","GSON8260000001")</f>
        <v>#NAME?</v>
      </c>
      <c r="G3620" s="23" t="e">
        <f ca="1">[1]!BexGetData("DP_1","003N8EMH8GTFRCSWKMPXRRXR2","GSON8260000001")</f>
        <v>#NAME?</v>
      </c>
      <c r="H3620" s="23" t="e">
        <f ca="1">[1]!BexGetData("DP_1","003N8EMH8GTFRCSWKMPXRS42M","GSON8260000001")</f>
        <v>#NAME?</v>
      </c>
      <c r="I3620" s="23" t="e">
        <f ca="1">[1]!BexGetData("DP_1","003N8EMH8GTFRCSWKMPXRSAE6","GSON8260000001")</f>
        <v>#NAME?</v>
      </c>
      <c r="J3620" s="24" t="e">
        <f ca="1">[1]!BexGetData("DP_1","003N8EMH8GTFRCSWKMPXRSGPQ","GSON8260000001")</f>
        <v>#NAME?</v>
      </c>
      <c r="K3620" s="23" t="e">
        <f ca="1">[1]!BexGetData("DP_1","003N8EMH8GTFRIVNUPY288VJH","GSON8260000001")</f>
        <v>#NAME?</v>
      </c>
      <c r="L3620" s="23" t="e">
        <f ca="1">[1]!BexGetData("DP_1","003N8EMH8GTFRIVNUPY2891V1","GSON8260000001")</f>
        <v>#NAME?</v>
      </c>
      <c r="M3620" s="28" t="e">
        <f ca="1">[1]!BexGetData("DP_1","003N8EMH8GTFRIVOG7KG9IQXA","GSON8260000001")</f>
        <v>#NAME?</v>
      </c>
      <c r="N3620" s="23" t="e">
        <f ca="1">[1]!BexGetData("DP_1","003N8EMH8GTFRIVOG7KG9IX8U","GSON8260000001")</f>
        <v>#NAME?</v>
      </c>
      <c r="O3620" s="28" t="e">
        <f ca="1">[1]!BexGetData("DP_1","003N8EMH8GTFRIVOG7KG9J3KE","GSON8260000001")</f>
        <v>#NAME?</v>
      </c>
      <c r="P3620" s="23" t="e">
        <f ca="1">[1]!BexGetData("DP_1","003N8EMH8GTFRIVOG7KG9J9VY","GSON8260000001")</f>
        <v>#NAME?</v>
      </c>
      <c r="Q3620" s="24" t="e">
        <f ca="1">[1]!BexGetData("DP_1","00O2TNJGODT0G5Z4TTKYMM5MT","GSON8260000001")</f>
        <v>#NAME?</v>
      </c>
      <c r="R3620" s="23" t="e">
        <f ca="1">[1]!BexGetData("DP_1","00O2TNJGODT0G5Z4TTKYMMBYD","GSON8260000001")</f>
        <v>#NAME?</v>
      </c>
      <c r="S3620" s="23" t="e">
        <f ca="1">[1]!BexGetData("DP_1","00O2TNJGODT0G5Z4TTKYMMI9X","GSON8260000001")</f>
        <v>#NAME?</v>
      </c>
      <c r="T3620" s="28" t="e">
        <f ca="1">[1]!BexGetData("DP_1","00O2TNJGODT0G5Z4TTKYMMOLH","GSON8260000001")</f>
        <v>#NAME?</v>
      </c>
      <c r="U3620" s="23" t="e">
        <f ca="1">[1]!BexGetData("DP_1","00O2TNJGODT0G5Z4TTKYMMUX1","GSON8260000001")</f>
        <v>#NAME?</v>
      </c>
      <c r="V3620" s="28" t="e">
        <f ca="1">[1]!BexGetData("DP_1","00O2TNJGODT0G5Z4TTKYMN18L","GSON8260000001")</f>
        <v>#NAME?</v>
      </c>
      <c r="W3620" s="23" t="e">
        <f ca="1">[1]!BexGetData("DP_1","00O2TNJGODT0G5Z4TTKYMN7K5","GSON8260000001")</f>
        <v>#NAME?</v>
      </c>
    </row>
    <row r="3621" spans="1:23" x14ac:dyDescent="0.2">
      <c r="A3621" s="33" t="s">
        <v>7218</v>
      </c>
      <c r="B3621" s="27" t="s">
        <v>135</v>
      </c>
      <c r="C3621" s="23" t="e">
        <f ca="1">[1]!BexGetData("DP_1","003N8EMH8GTFRCSWKMPXRR8GU","GSON8270000000")</f>
        <v>#NAME?</v>
      </c>
      <c r="D3621" s="23" t="e">
        <f ca="1">[1]!BexGetData("DP_1","003N8EMH8GTFRCSWKMPXRRESE","GSON8270000000")</f>
        <v>#NAME?</v>
      </c>
      <c r="E3621" s="23" t="e">
        <f ca="1">[1]!BexGetData("DP_1","003N8EMH8GTFRCSWKMPXRRL3Y","GSON8270000000")</f>
        <v>#NAME?</v>
      </c>
      <c r="F3621" s="23" t="e">
        <f ca="1">[1]!BexGetData("DP_1","003N8EMH8GTFRCSWKMPXRRRFI","GSON8270000000")</f>
        <v>#NAME?</v>
      </c>
      <c r="G3621" s="23" t="e">
        <f ca="1">[1]!BexGetData("DP_1","003N8EMH8GTFRCSWKMPXRRXR2","GSON8270000000")</f>
        <v>#NAME?</v>
      </c>
      <c r="H3621" s="23" t="e">
        <f ca="1">[1]!BexGetData("DP_1","003N8EMH8GTFRCSWKMPXRS42M","GSON8270000000")</f>
        <v>#NAME?</v>
      </c>
      <c r="I3621" s="23" t="e">
        <f ca="1">[1]!BexGetData("DP_1","003N8EMH8GTFRCSWKMPXRSAE6","GSON8270000000")</f>
        <v>#NAME?</v>
      </c>
      <c r="J3621" s="24" t="e">
        <f ca="1">[1]!BexGetData("DP_1","003N8EMH8GTFRCSWKMPXRSGPQ","GSON8270000000")</f>
        <v>#NAME?</v>
      </c>
      <c r="K3621" s="23" t="e">
        <f ca="1">[1]!BexGetData("DP_1","003N8EMH8GTFRIVNUPY288VJH","GSON8270000000")</f>
        <v>#NAME?</v>
      </c>
      <c r="L3621" s="23" t="e">
        <f ca="1">[1]!BexGetData("DP_1","003N8EMH8GTFRIVNUPY2891V1","GSON8270000000")</f>
        <v>#NAME?</v>
      </c>
      <c r="M3621" s="28" t="e">
        <f ca="1">[1]!BexGetData("DP_1","003N8EMH8GTFRIVOG7KG9IQXA","GSON8270000000")</f>
        <v>#NAME?</v>
      </c>
      <c r="N3621" s="23" t="e">
        <f ca="1">[1]!BexGetData("DP_1","003N8EMH8GTFRIVOG7KG9IX8U","GSON8270000000")</f>
        <v>#NAME?</v>
      </c>
      <c r="O3621" s="28" t="e">
        <f ca="1">[1]!BexGetData("DP_1","003N8EMH8GTFRIVOG7KG9J3KE","GSON8270000000")</f>
        <v>#NAME?</v>
      </c>
      <c r="P3621" s="23" t="e">
        <f ca="1">[1]!BexGetData("DP_1","003N8EMH8GTFRIVOG7KG9J9VY","GSON8270000000")</f>
        <v>#NAME?</v>
      </c>
      <c r="Q3621" s="24" t="e">
        <f ca="1">[1]!BexGetData("DP_1","00O2TNJGODT0G5Z4TTKYMM5MT","GSON8270000000")</f>
        <v>#NAME?</v>
      </c>
      <c r="R3621" s="23" t="e">
        <f ca="1">[1]!BexGetData("DP_1","00O2TNJGODT0G5Z4TTKYMMBYD","GSON8270000000")</f>
        <v>#NAME?</v>
      </c>
      <c r="S3621" s="23" t="e">
        <f ca="1">[1]!BexGetData("DP_1","00O2TNJGODT0G5Z4TTKYMMI9X","GSON8270000000")</f>
        <v>#NAME?</v>
      </c>
      <c r="T3621" s="28" t="e">
        <f ca="1">[1]!BexGetData("DP_1","00O2TNJGODT0G5Z4TTKYMMOLH","GSON8270000000")</f>
        <v>#NAME?</v>
      </c>
      <c r="U3621" s="23" t="e">
        <f ca="1">[1]!BexGetData("DP_1","00O2TNJGODT0G5Z4TTKYMMUX1","GSON8270000000")</f>
        <v>#NAME?</v>
      </c>
      <c r="V3621" s="28" t="e">
        <f ca="1">[1]!BexGetData("DP_1","00O2TNJGODT0G5Z4TTKYMN18L","GSON8270000000")</f>
        <v>#NAME?</v>
      </c>
      <c r="W3621" s="23" t="e">
        <f ca="1">[1]!BexGetData("DP_1","00O2TNJGODT0G5Z4TTKYMN7K5","GSON8270000000")</f>
        <v>#NAME?</v>
      </c>
    </row>
    <row r="3622" spans="1:23" x14ac:dyDescent="0.2">
      <c r="A3622" s="31" t="s">
        <v>7219</v>
      </c>
      <c r="B3622" s="25" t="s">
        <v>7220</v>
      </c>
      <c r="C3622" s="23" t="e">
        <f ca="1">[1]!BexGetData("DP_1","003N8EMH8GTFRCSWKMPXRR8GU","GSON9")</f>
        <v>#NAME?</v>
      </c>
      <c r="D3622" s="23" t="e">
        <f ca="1">[1]!BexGetData("DP_1","003N8EMH8GTFRCSWKMPXRRESE","GSON9")</f>
        <v>#NAME?</v>
      </c>
      <c r="E3622" s="28" t="e">
        <f ca="1">[1]!BexGetData("DP_1","003N8EMH8GTFRCSWKMPXRRL3Y","GSON9")</f>
        <v>#NAME?</v>
      </c>
      <c r="F3622" s="23" t="e">
        <f ca="1">[1]!BexGetData("DP_1","003N8EMH8GTFRCSWKMPXRRRFI","GSON9")</f>
        <v>#NAME?</v>
      </c>
      <c r="G3622" s="23" t="e">
        <f ca="1">[1]!BexGetData("DP_1","003N8EMH8GTFRCSWKMPXRRXR2","GSON9")</f>
        <v>#NAME?</v>
      </c>
      <c r="H3622" s="23" t="e">
        <f ca="1">[1]!BexGetData("DP_1","003N8EMH8GTFRCSWKMPXRS42M","GSON9")</f>
        <v>#NAME?</v>
      </c>
      <c r="I3622" s="23" t="e">
        <f ca="1">[1]!BexGetData("DP_1","003N8EMH8GTFRCSWKMPXRSAE6","GSON9")</f>
        <v>#NAME?</v>
      </c>
      <c r="J3622" s="24" t="e">
        <f ca="1">[1]!BexGetData("DP_1","003N8EMH8GTFRCSWKMPXRSGPQ","GSON9")</f>
        <v>#NAME?</v>
      </c>
      <c r="K3622" s="23" t="e">
        <f ca="1">[1]!BexGetData("DP_1","003N8EMH8GTFRIVNUPY288VJH","GSON9")</f>
        <v>#NAME?</v>
      </c>
      <c r="L3622" s="23" t="e">
        <f ca="1">[1]!BexGetData("DP_1","003N8EMH8GTFRIVNUPY2891V1","GSON9")</f>
        <v>#NAME?</v>
      </c>
      <c r="M3622" s="28" t="e">
        <f ca="1">[1]!BexGetData("DP_1","003N8EMH8GTFRIVOG7KG9IQXA","GSON9")</f>
        <v>#NAME?</v>
      </c>
      <c r="N3622" s="23" t="e">
        <f ca="1">[1]!BexGetData("DP_1","003N8EMH8GTFRIVOG7KG9IX8U","GSON9")</f>
        <v>#NAME?</v>
      </c>
      <c r="O3622" s="28" t="e">
        <f ca="1">[1]!BexGetData("DP_1","003N8EMH8GTFRIVOG7KG9J3KE","GSON9")</f>
        <v>#NAME?</v>
      </c>
      <c r="P3622" s="23" t="e">
        <f ca="1">[1]!BexGetData("DP_1","003N8EMH8GTFRIVOG7KG9J9VY","GSON9")</f>
        <v>#NAME?</v>
      </c>
      <c r="Q3622" s="24" t="e">
        <f ca="1">[1]!BexGetData("DP_1","00O2TNJGODT0G5Z4TTKYMM5MT","GSON9")</f>
        <v>#NAME?</v>
      </c>
      <c r="R3622" s="23" t="e">
        <f ca="1">[1]!BexGetData("DP_1","00O2TNJGODT0G5Z4TTKYMMBYD","GSON9")</f>
        <v>#NAME?</v>
      </c>
      <c r="S3622" s="23" t="e">
        <f ca="1">[1]!BexGetData("DP_1","00O2TNJGODT0G5Z4TTKYMMI9X","GSON9")</f>
        <v>#NAME?</v>
      </c>
      <c r="T3622" s="23" t="e">
        <f ca="1">[1]!BexGetData("DP_1","00O2TNJGODT0G5Z4TTKYMMOLH","GSON9")</f>
        <v>#NAME?</v>
      </c>
      <c r="U3622" s="28" t="e">
        <f ca="1">[1]!BexGetData("DP_1","00O2TNJGODT0G5Z4TTKYMMUX1","GSON9")</f>
        <v>#NAME?</v>
      </c>
      <c r="V3622" s="23" t="e">
        <f ca="1">[1]!BexGetData("DP_1","00O2TNJGODT0G5Z4TTKYMN18L","GSON9")</f>
        <v>#NAME?</v>
      </c>
      <c r="W3622" s="28" t="e">
        <f ca="1">[1]!BexGetData("DP_1","00O2TNJGODT0G5Z4TTKYMN7K5","GSON9")</f>
        <v>#NAME?</v>
      </c>
    </row>
    <row r="3623" spans="1:23" x14ac:dyDescent="0.2">
      <c r="A3623" s="32" t="s">
        <v>7221</v>
      </c>
      <c r="B3623" s="26" t="s">
        <v>7222</v>
      </c>
      <c r="C3623" s="23" t="e">
        <f ca="1">[1]!BexGetData("DP_1","003N8EMH8GTFRCSWKMPXRR8GU","GSON91")</f>
        <v>#NAME?</v>
      </c>
      <c r="D3623" s="23" t="e">
        <f ca="1">[1]!BexGetData("DP_1","003N8EMH8GTFRCSWKMPXRRESE","GSON91")</f>
        <v>#NAME?</v>
      </c>
      <c r="E3623" s="28" t="e">
        <f ca="1">[1]!BexGetData("DP_1","003N8EMH8GTFRCSWKMPXRRL3Y","GSON91")</f>
        <v>#NAME?</v>
      </c>
      <c r="F3623" s="23" t="e">
        <f ca="1">[1]!BexGetData("DP_1","003N8EMH8GTFRCSWKMPXRRRFI","GSON91")</f>
        <v>#NAME?</v>
      </c>
      <c r="G3623" s="23" t="e">
        <f ca="1">[1]!BexGetData("DP_1","003N8EMH8GTFRCSWKMPXRRXR2","GSON91")</f>
        <v>#NAME?</v>
      </c>
      <c r="H3623" s="23" t="e">
        <f ca="1">[1]!BexGetData("DP_1","003N8EMH8GTFRCSWKMPXRS42M","GSON91")</f>
        <v>#NAME?</v>
      </c>
      <c r="I3623" s="23" t="e">
        <f ca="1">[1]!BexGetData("DP_1","003N8EMH8GTFRCSWKMPXRSAE6","GSON91")</f>
        <v>#NAME?</v>
      </c>
      <c r="J3623" s="24" t="e">
        <f ca="1">[1]!BexGetData("DP_1","003N8EMH8GTFRCSWKMPXRSGPQ","GSON91")</f>
        <v>#NAME?</v>
      </c>
      <c r="K3623" s="23" t="e">
        <f ca="1">[1]!BexGetData("DP_1","003N8EMH8GTFRIVNUPY288VJH","GSON91")</f>
        <v>#NAME?</v>
      </c>
      <c r="L3623" s="23" t="e">
        <f ca="1">[1]!BexGetData("DP_1","003N8EMH8GTFRIVNUPY2891V1","GSON91")</f>
        <v>#NAME?</v>
      </c>
      <c r="M3623" s="28" t="e">
        <f ca="1">[1]!BexGetData("DP_1","003N8EMH8GTFRIVOG7KG9IQXA","GSON91")</f>
        <v>#NAME?</v>
      </c>
      <c r="N3623" s="23" t="e">
        <f ca="1">[1]!BexGetData("DP_1","003N8EMH8GTFRIVOG7KG9IX8U","GSON91")</f>
        <v>#NAME?</v>
      </c>
      <c r="O3623" s="28" t="e">
        <f ca="1">[1]!BexGetData("DP_1","003N8EMH8GTFRIVOG7KG9J3KE","GSON91")</f>
        <v>#NAME?</v>
      </c>
      <c r="P3623" s="23" t="e">
        <f ca="1">[1]!BexGetData("DP_1","003N8EMH8GTFRIVOG7KG9J9VY","GSON91")</f>
        <v>#NAME?</v>
      </c>
      <c r="Q3623" s="24" t="e">
        <f ca="1">[1]!BexGetData("DP_1","00O2TNJGODT0G5Z4TTKYMM5MT","GSON91")</f>
        <v>#NAME?</v>
      </c>
      <c r="R3623" s="23" t="e">
        <f ca="1">[1]!BexGetData("DP_1","00O2TNJGODT0G5Z4TTKYMMBYD","GSON91")</f>
        <v>#NAME?</v>
      </c>
      <c r="S3623" s="23" t="e">
        <f ca="1">[1]!BexGetData("DP_1","00O2TNJGODT0G5Z4TTKYMMI9X","GSON91")</f>
        <v>#NAME?</v>
      </c>
      <c r="T3623" s="23" t="e">
        <f ca="1">[1]!BexGetData("DP_1","00O2TNJGODT0G5Z4TTKYMMOLH","GSON91")</f>
        <v>#NAME?</v>
      </c>
      <c r="U3623" s="28" t="e">
        <f ca="1">[1]!BexGetData("DP_1","00O2TNJGODT0G5Z4TTKYMMUX1","GSON91")</f>
        <v>#NAME?</v>
      </c>
      <c r="V3623" s="23" t="e">
        <f ca="1">[1]!BexGetData("DP_1","00O2TNJGODT0G5Z4TTKYMN18L","GSON91")</f>
        <v>#NAME?</v>
      </c>
      <c r="W3623" s="28" t="e">
        <f ca="1">[1]!BexGetData("DP_1","00O2TNJGODT0G5Z4TTKYMN7K5","GSON91")</f>
        <v>#NAME?</v>
      </c>
    </row>
    <row r="3624" spans="1:23" x14ac:dyDescent="0.2">
      <c r="A3624" s="33" t="s">
        <v>7223</v>
      </c>
      <c r="B3624" s="27" t="s">
        <v>7224</v>
      </c>
      <c r="C3624" s="23" t="e">
        <f ca="1">[1]!BexGetData("DP_1","003N8EMH8GTFRCSWKMPXRR8GU","GSON9100000000")</f>
        <v>#NAME?</v>
      </c>
      <c r="D3624" s="23" t="e">
        <f ca="1">[1]!BexGetData("DP_1","003N8EMH8GTFRCSWKMPXRRESE","GSON9100000000")</f>
        <v>#NAME?</v>
      </c>
      <c r="E3624" s="28" t="e">
        <f ca="1">[1]!BexGetData("DP_1","003N8EMH8GTFRCSWKMPXRRL3Y","GSON9100000000")</f>
        <v>#NAME?</v>
      </c>
      <c r="F3624" s="23" t="e">
        <f ca="1">[1]!BexGetData("DP_1","003N8EMH8GTFRCSWKMPXRRRFI","GSON9100000000")</f>
        <v>#NAME?</v>
      </c>
      <c r="G3624" s="23" t="e">
        <f ca="1">[1]!BexGetData("DP_1","003N8EMH8GTFRCSWKMPXRRXR2","GSON9100000000")</f>
        <v>#NAME?</v>
      </c>
      <c r="H3624" s="23" t="e">
        <f ca="1">[1]!BexGetData("DP_1","003N8EMH8GTFRCSWKMPXRS42M","GSON9100000000")</f>
        <v>#NAME?</v>
      </c>
      <c r="I3624" s="23" t="e">
        <f ca="1">[1]!BexGetData("DP_1","003N8EMH8GTFRCSWKMPXRSAE6","GSON9100000000")</f>
        <v>#NAME?</v>
      </c>
      <c r="J3624" s="24" t="e">
        <f ca="1">[1]!BexGetData("DP_1","003N8EMH8GTFRCSWKMPXRSGPQ","GSON9100000000")</f>
        <v>#NAME?</v>
      </c>
      <c r="K3624" s="23" t="e">
        <f ca="1">[1]!BexGetData("DP_1","003N8EMH8GTFRIVNUPY288VJH","GSON9100000000")</f>
        <v>#NAME?</v>
      </c>
      <c r="L3624" s="23" t="e">
        <f ca="1">[1]!BexGetData("DP_1","003N8EMH8GTFRIVNUPY2891V1","GSON9100000000")</f>
        <v>#NAME?</v>
      </c>
      <c r="M3624" s="28" t="e">
        <f ca="1">[1]!BexGetData("DP_1","003N8EMH8GTFRIVOG7KG9IQXA","GSON9100000000")</f>
        <v>#NAME?</v>
      </c>
      <c r="N3624" s="23" t="e">
        <f ca="1">[1]!BexGetData("DP_1","003N8EMH8GTFRIVOG7KG9IX8U","GSON9100000000")</f>
        <v>#NAME?</v>
      </c>
      <c r="O3624" s="28" t="e">
        <f ca="1">[1]!BexGetData("DP_1","003N8EMH8GTFRIVOG7KG9J3KE","GSON9100000000")</f>
        <v>#NAME?</v>
      </c>
      <c r="P3624" s="23" t="e">
        <f ca="1">[1]!BexGetData("DP_1","003N8EMH8GTFRIVOG7KG9J9VY","GSON9100000000")</f>
        <v>#NAME?</v>
      </c>
      <c r="Q3624" s="24" t="e">
        <f ca="1">[1]!BexGetData("DP_1","00O2TNJGODT0G5Z4TTKYMM5MT","GSON9100000000")</f>
        <v>#NAME?</v>
      </c>
      <c r="R3624" s="23" t="e">
        <f ca="1">[1]!BexGetData("DP_1","00O2TNJGODT0G5Z4TTKYMMBYD","GSON9100000000")</f>
        <v>#NAME?</v>
      </c>
      <c r="S3624" s="23" t="e">
        <f ca="1">[1]!BexGetData("DP_1","00O2TNJGODT0G5Z4TTKYMMI9X","GSON9100000000")</f>
        <v>#NAME?</v>
      </c>
      <c r="T3624" s="23" t="e">
        <f ca="1">[1]!BexGetData("DP_1","00O2TNJGODT0G5Z4TTKYMMOLH","GSON9100000000")</f>
        <v>#NAME?</v>
      </c>
      <c r="U3624" s="28" t="e">
        <f ca="1">[1]!BexGetData("DP_1","00O2TNJGODT0G5Z4TTKYMMUX1","GSON9100000000")</f>
        <v>#NAME?</v>
      </c>
      <c r="V3624" s="23" t="e">
        <f ca="1">[1]!BexGetData("DP_1","00O2TNJGODT0G5Z4TTKYMN18L","GSON9100000000")</f>
        <v>#NAME?</v>
      </c>
      <c r="W3624" s="28" t="e">
        <f ca="1">[1]!BexGetData("DP_1","00O2TNJGODT0G5Z4TTKYMN7K5","GSON9100000000")</f>
        <v>#NAME?</v>
      </c>
    </row>
    <row r="3625" spans="1:23" x14ac:dyDescent="0.2">
      <c r="A3625" s="32" t="s">
        <v>7225</v>
      </c>
      <c r="B3625" s="26" t="s">
        <v>7226</v>
      </c>
      <c r="C3625" s="23" t="e">
        <f ca="1">[1]!BexGetData("DP_1","003N8EMH8GTFRCSWKMPXRR8GU","GSON92")</f>
        <v>#NAME?</v>
      </c>
      <c r="D3625" s="23" t="e">
        <f ca="1">[1]!BexGetData("DP_1","003N8EMH8GTFRCSWKMPXRRESE","GSON92")</f>
        <v>#NAME?</v>
      </c>
      <c r="E3625" s="28" t="e">
        <f ca="1">[1]!BexGetData("DP_1","003N8EMH8GTFRCSWKMPXRRL3Y","GSON92")</f>
        <v>#NAME?</v>
      </c>
      <c r="F3625" s="24" t="e">
        <f ca="1">[1]!BexGetData("DP_1","003N8EMH8GTFRCSWKMPXRRRFI","GSON92")</f>
        <v>#NAME?</v>
      </c>
      <c r="G3625" s="24" t="e">
        <f ca="1">[1]!BexGetData("DP_1","003N8EMH8GTFRCSWKMPXRRXR2","GSON92")</f>
        <v>#NAME?</v>
      </c>
      <c r="H3625" s="24" t="e">
        <f ca="1">[1]!BexGetData("DP_1","003N8EMH8GTFRCSWKMPXRS42M","GSON92")</f>
        <v>#NAME?</v>
      </c>
      <c r="I3625" s="24" t="e">
        <f ca="1">[1]!BexGetData("DP_1","003N8EMH8GTFRCSWKMPXRSAE6","GSON92")</f>
        <v>#NAME?</v>
      </c>
      <c r="J3625" s="24" t="e">
        <f ca="1">[1]!BexGetData("DP_1","003N8EMH8GTFRCSWKMPXRSGPQ","GSON92")</f>
        <v>#NAME?</v>
      </c>
      <c r="K3625" s="28" t="e">
        <f ca="1">[1]!BexGetData("DP_1","003N8EMH8GTFRIVNUPY288VJH","GSON92")</f>
        <v>#NAME?</v>
      </c>
      <c r="L3625" s="28" t="e">
        <f ca="1">[1]!BexGetData("DP_1","003N8EMH8GTFRIVNUPY2891V1","GSON92")</f>
        <v>#NAME?</v>
      </c>
      <c r="M3625" s="28" t="e">
        <f ca="1">[1]!BexGetData("DP_1","003N8EMH8GTFRIVOG7KG9IQXA","GSON92")</f>
        <v>#NAME?</v>
      </c>
      <c r="N3625" s="28" t="e">
        <f ca="1">[1]!BexGetData("DP_1","003N8EMH8GTFRIVOG7KG9IX8U","GSON92")</f>
        <v>#NAME?</v>
      </c>
      <c r="O3625" s="28" t="e">
        <f ca="1">[1]!BexGetData("DP_1","003N8EMH8GTFRIVOG7KG9J3KE","GSON92")</f>
        <v>#NAME?</v>
      </c>
      <c r="P3625" s="28" t="e">
        <f ca="1">[1]!BexGetData("DP_1","003N8EMH8GTFRIVOG7KG9J9VY","GSON92")</f>
        <v>#NAME?</v>
      </c>
      <c r="Q3625" s="24" t="e">
        <f ca="1">[1]!BexGetData("DP_1","00O2TNJGODT0G5Z4TTKYMM5MT","GSON92")</f>
        <v>#NAME?</v>
      </c>
      <c r="R3625" s="24" t="e">
        <f ca="1">[1]!BexGetData("DP_1","00O2TNJGODT0G5Z4TTKYMMBYD","GSON92")</f>
        <v>#NAME?</v>
      </c>
      <c r="S3625" s="24" t="e">
        <f ca="1">[1]!BexGetData("DP_1","00O2TNJGODT0G5Z4TTKYMMI9X","GSON92")</f>
        <v>#NAME?</v>
      </c>
      <c r="T3625" s="24" t="e">
        <f ca="1">[1]!BexGetData("DP_1","00O2TNJGODT0G5Z4TTKYMMOLH","GSON92")</f>
        <v>#NAME?</v>
      </c>
      <c r="U3625" s="24" t="e">
        <f ca="1">[1]!BexGetData("DP_1","00O2TNJGODT0G5Z4TTKYMMUX1","GSON92")</f>
        <v>#NAME?</v>
      </c>
      <c r="V3625" s="24" t="e">
        <f ca="1">[1]!BexGetData("DP_1","00O2TNJGODT0G5Z4TTKYMN18L","GSON92")</f>
        <v>#NAME?</v>
      </c>
      <c r="W3625" s="24" t="e">
        <f ca="1">[1]!BexGetData("DP_1","00O2TNJGODT0G5Z4TTKYMN7K5","GSON92")</f>
        <v>#NAME?</v>
      </c>
    </row>
    <row r="3626" spans="1:23" x14ac:dyDescent="0.2">
      <c r="A3626" s="33" t="s">
        <v>7227</v>
      </c>
      <c r="B3626" s="27" t="s">
        <v>7228</v>
      </c>
      <c r="C3626" s="23" t="e">
        <f ca="1">[1]!BexGetData("DP_1","003N8EMH8GTFRCSWKMPXRR8GU","GSON9200000000")</f>
        <v>#NAME?</v>
      </c>
      <c r="D3626" s="23" t="e">
        <f ca="1">[1]!BexGetData("DP_1","003N8EMH8GTFRCSWKMPXRRESE","GSON9200000000")</f>
        <v>#NAME?</v>
      </c>
      <c r="E3626" s="28" t="e">
        <f ca="1">[1]!BexGetData("DP_1","003N8EMH8GTFRCSWKMPXRRL3Y","GSON9200000000")</f>
        <v>#NAME?</v>
      </c>
      <c r="F3626" s="24" t="e">
        <f ca="1">[1]!BexGetData("DP_1","003N8EMH8GTFRCSWKMPXRRRFI","GSON9200000000")</f>
        <v>#NAME?</v>
      </c>
      <c r="G3626" s="24" t="e">
        <f ca="1">[1]!BexGetData("DP_1","003N8EMH8GTFRCSWKMPXRRXR2","GSON9200000000")</f>
        <v>#NAME?</v>
      </c>
      <c r="H3626" s="24" t="e">
        <f ca="1">[1]!BexGetData("DP_1","003N8EMH8GTFRCSWKMPXRS42M","GSON9200000000")</f>
        <v>#NAME?</v>
      </c>
      <c r="I3626" s="24" t="e">
        <f ca="1">[1]!BexGetData("DP_1","003N8EMH8GTFRCSWKMPXRSAE6","GSON9200000000")</f>
        <v>#NAME?</v>
      </c>
      <c r="J3626" s="24" t="e">
        <f ca="1">[1]!BexGetData("DP_1","003N8EMH8GTFRCSWKMPXRSGPQ","GSON9200000000")</f>
        <v>#NAME?</v>
      </c>
      <c r="K3626" s="28" t="e">
        <f ca="1">[1]!BexGetData("DP_1","003N8EMH8GTFRIVNUPY288VJH","GSON9200000000")</f>
        <v>#NAME?</v>
      </c>
      <c r="L3626" s="28" t="e">
        <f ca="1">[1]!BexGetData("DP_1","003N8EMH8GTFRIVNUPY2891V1","GSON9200000000")</f>
        <v>#NAME?</v>
      </c>
      <c r="M3626" s="28" t="e">
        <f ca="1">[1]!BexGetData("DP_1","003N8EMH8GTFRIVOG7KG9IQXA","GSON9200000000")</f>
        <v>#NAME?</v>
      </c>
      <c r="N3626" s="28" t="e">
        <f ca="1">[1]!BexGetData("DP_1","003N8EMH8GTFRIVOG7KG9IX8U","GSON9200000000")</f>
        <v>#NAME?</v>
      </c>
      <c r="O3626" s="28" t="e">
        <f ca="1">[1]!BexGetData("DP_1","003N8EMH8GTFRIVOG7KG9J3KE","GSON9200000000")</f>
        <v>#NAME?</v>
      </c>
      <c r="P3626" s="28" t="e">
        <f ca="1">[1]!BexGetData("DP_1","003N8EMH8GTFRIVOG7KG9J9VY","GSON9200000000")</f>
        <v>#NAME?</v>
      </c>
      <c r="Q3626" s="24" t="e">
        <f ca="1">[1]!BexGetData("DP_1","00O2TNJGODT0G5Z4TTKYMM5MT","GSON9200000000")</f>
        <v>#NAME?</v>
      </c>
      <c r="R3626" s="24" t="e">
        <f ca="1">[1]!BexGetData("DP_1","00O2TNJGODT0G5Z4TTKYMMBYD","GSON9200000000")</f>
        <v>#NAME?</v>
      </c>
      <c r="S3626" s="24" t="e">
        <f ca="1">[1]!BexGetData("DP_1","00O2TNJGODT0G5Z4TTKYMMI9X","GSON9200000000")</f>
        <v>#NAME?</v>
      </c>
      <c r="T3626" s="24" t="e">
        <f ca="1">[1]!BexGetData("DP_1","00O2TNJGODT0G5Z4TTKYMMOLH","GSON9200000000")</f>
        <v>#NAME?</v>
      </c>
      <c r="U3626" s="24" t="e">
        <f ca="1">[1]!BexGetData("DP_1","00O2TNJGODT0G5Z4TTKYMMUX1","GSON9200000000")</f>
        <v>#NAME?</v>
      </c>
      <c r="V3626" s="24" t="e">
        <f ca="1">[1]!BexGetData("DP_1","00O2TNJGODT0G5Z4TTKYMN18L","GSON9200000000")</f>
        <v>#NAME?</v>
      </c>
      <c r="W3626" s="24" t="e">
        <f ca="1">[1]!BexGetData("DP_1","00O2TNJGODT0G5Z4TTKYMN7K5","GSON9200000000")</f>
        <v>#NAME?</v>
      </c>
    </row>
    <row r="3627" spans="1:23" x14ac:dyDescent="0.2">
      <c r="A3627" s="32" t="s">
        <v>7229</v>
      </c>
      <c r="B3627" s="26" t="s">
        <v>7230</v>
      </c>
      <c r="C3627" s="23" t="e">
        <f ca="1">[1]!BexGetData("DP_1","003N8EMH8GTFRCSWKMPXRR8GU","GSON93")</f>
        <v>#NAME?</v>
      </c>
      <c r="D3627" s="23" t="e">
        <f ca="1">[1]!BexGetData("DP_1","003N8EMH8GTFRCSWKMPXRRESE","GSON93")</f>
        <v>#NAME?</v>
      </c>
      <c r="E3627" s="28" t="e">
        <f ca="1">[1]!BexGetData("DP_1","003N8EMH8GTFRCSWKMPXRRL3Y","GSON93")</f>
        <v>#NAME?</v>
      </c>
      <c r="F3627" s="24" t="e">
        <f ca="1">[1]!BexGetData("DP_1","003N8EMH8GTFRCSWKMPXRRRFI","GSON93")</f>
        <v>#NAME?</v>
      </c>
      <c r="G3627" s="24" t="e">
        <f ca="1">[1]!BexGetData("DP_1","003N8EMH8GTFRCSWKMPXRRXR2","GSON93")</f>
        <v>#NAME?</v>
      </c>
      <c r="H3627" s="24" t="e">
        <f ca="1">[1]!BexGetData("DP_1","003N8EMH8GTFRCSWKMPXRS42M","GSON93")</f>
        <v>#NAME?</v>
      </c>
      <c r="I3627" s="24" t="e">
        <f ca="1">[1]!BexGetData("DP_1","003N8EMH8GTFRCSWKMPXRSAE6","GSON93")</f>
        <v>#NAME?</v>
      </c>
      <c r="J3627" s="24" t="e">
        <f ca="1">[1]!BexGetData("DP_1","003N8EMH8GTFRCSWKMPXRSGPQ","GSON93")</f>
        <v>#NAME?</v>
      </c>
      <c r="K3627" s="28" t="e">
        <f ca="1">[1]!BexGetData("DP_1","003N8EMH8GTFRIVNUPY288VJH","GSON93")</f>
        <v>#NAME?</v>
      </c>
      <c r="L3627" s="28" t="e">
        <f ca="1">[1]!BexGetData("DP_1","003N8EMH8GTFRIVNUPY2891V1","GSON93")</f>
        <v>#NAME?</v>
      </c>
      <c r="M3627" s="28" t="e">
        <f ca="1">[1]!BexGetData("DP_1","003N8EMH8GTFRIVOG7KG9IQXA","GSON93")</f>
        <v>#NAME?</v>
      </c>
      <c r="N3627" s="28" t="e">
        <f ca="1">[1]!BexGetData("DP_1","003N8EMH8GTFRIVOG7KG9IX8U","GSON93")</f>
        <v>#NAME?</v>
      </c>
      <c r="O3627" s="28" t="e">
        <f ca="1">[1]!BexGetData("DP_1","003N8EMH8GTFRIVOG7KG9J3KE","GSON93")</f>
        <v>#NAME?</v>
      </c>
      <c r="P3627" s="28" t="e">
        <f ca="1">[1]!BexGetData("DP_1","003N8EMH8GTFRIVOG7KG9J9VY","GSON93")</f>
        <v>#NAME?</v>
      </c>
      <c r="Q3627" s="24" t="e">
        <f ca="1">[1]!BexGetData("DP_1","00O2TNJGODT0G5Z4TTKYMM5MT","GSON93")</f>
        <v>#NAME?</v>
      </c>
      <c r="R3627" s="24" t="e">
        <f ca="1">[1]!BexGetData("DP_1","00O2TNJGODT0G5Z4TTKYMMBYD","GSON93")</f>
        <v>#NAME?</v>
      </c>
      <c r="S3627" s="24" t="e">
        <f ca="1">[1]!BexGetData("DP_1","00O2TNJGODT0G5Z4TTKYMMI9X","GSON93")</f>
        <v>#NAME?</v>
      </c>
      <c r="T3627" s="24" t="e">
        <f ca="1">[1]!BexGetData("DP_1","00O2TNJGODT0G5Z4TTKYMMOLH","GSON93")</f>
        <v>#NAME?</v>
      </c>
      <c r="U3627" s="24" t="e">
        <f ca="1">[1]!BexGetData("DP_1","00O2TNJGODT0G5Z4TTKYMMUX1","GSON93")</f>
        <v>#NAME?</v>
      </c>
      <c r="V3627" s="24" t="e">
        <f ca="1">[1]!BexGetData("DP_1","00O2TNJGODT0G5Z4TTKYMN18L","GSON93")</f>
        <v>#NAME?</v>
      </c>
      <c r="W3627" s="24" t="e">
        <f ca="1">[1]!BexGetData("DP_1","00O2TNJGODT0G5Z4TTKYMN7K5","GSON93")</f>
        <v>#NAME?</v>
      </c>
    </row>
    <row r="3628" spans="1:23" x14ac:dyDescent="0.2">
      <c r="A3628" s="33" t="s">
        <v>7231</v>
      </c>
      <c r="B3628" s="27" t="s">
        <v>7232</v>
      </c>
      <c r="C3628" s="23" t="e">
        <f ca="1">[1]!BexGetData("DP_1","003N8EMH8GTFRCSWKMPXRR8GU","GSON9300000000")</f>
        <v>#NAME?</v>
      </c>
      <c r="D3628" s="23" t="e">
        <f ca="1">[1]!BexGetData("DP_1","003N8EMH8GTFRCSWKMPXRRESE","GSON9300000000")</f>
        <v>#NAME?</v>
      </c>
      <c r="E3628" s="28" t="e">
        <f ca="1">[1]!BexGetData("DP_1","003N8EMH8GTFRCSWKMPXRRL3Y","GSON9300000000")</f>
        <v>#NAME?</v>
      </c>
      <c r="F3628" s="24" t="e">
        <f ca="1">[1]!BexGetData("DP_1","003N8EMH8GTFRCSWKMPXRRRFI","GSON9300000000")</f>
        <v>#NAME?</v>
      </c>
      <c r="G3628" s="24" t="e">
        <f ca="1">[1]!BexGetData("DP_1","003N8EMH8GTFRCSWKMPXRRXR2","GSON9300000000")</f>
        <v>#NAME?</v>
      </c>
      <c r="H3628" s="24" t="e">
        <f ca="1">[1]!BexGetData("DP_1","003N8EMH8GTFRCSWKMPXRS42M","GSON9300000000")</f>
        <v>#NAME?</v>
      </c>
      <c r="I3628" s="24" t="e">
        <f ca="1">[1]!BexGetData("DP_1","003N8EMH8GTFRCSWKMPXRSAE6","GSON9300000000")</f>
        <v>#NAME?</v>
      </c>
      <c r="J3628" s="24" t="e">
        <f ca="1">[1]!BexGetData("DP_1","003N8EMH8GTFRCSWKMPXRSGPQ","GSON9300000000")</f>
        <v>#NAME?</v>
      </c>
      <c r="K3628" s="28" t="e">
        <f ca="1">[1]!BexGetData("DP_1","003N8EMH8GTFRIVNUPY288VJH","GSON9300000000")</f>
        <v>#NAME?</v>
      </c>
      <c r="L3628" s="28" t="e">
        <f ca="1">[1]!BexGetData("DP_1","003N8EMH8GTFRIVNUPY2891V1","GSON9300000000")</f>
        <v>#NAME?</v>
      </c>
      <c r="M3628" s="28" t="e">
        <f ca="1">[1]!BexGetData("DP_1","003N8EMH8GTFRIVOG7KG9IQXA","GSON9300000000")</f>
        <v>#NAME?</v>
      </c>
      <c r="N3628" s="28" t="e">
        <f ca="1">[1]!BexGetData("DP_1","003N8EMH8GTFRIVOG7KG9IX8U","GSON9300000000")</f>
        <v>#NAME?</v>
      </c>
      <c r="O3628" s="28" t="e">
        <f ca="1">[1]!BexGetData("DP_1","003N8EMH8GTFRIVOG7KG9J3KE","GSON9300000000")</f>
        <v>#NAME?</v>
      </c>
      <c r="P3628" s="28" t="e">
        <f ca="1">[1]!BexGetData("DP_1","003N8EMH8GTFRIVOG7KG9J9VY","GSON9300000000")</f>
        <v>#NAME?</v>
      </c>
      <c r="Q3628" s="24" t="e">
        <f ca="1">[1]!BexGetData("DP_1","00O2TNJGODT0G5Z4TTKYMM5MT","GSON9300000000")</f>
        <v>#NAME?</v>
      </c>
      <c r="R3628" s="24" t="e">
        <f ca="1">[1]!BexGetData("DP_1","00O2TNJGODT0G5Z4TTKYMMBYD","GSON9300000000")</f>
        <v>#NAME?</v>
      </c>
      <c r="S3628" s="24" t="e">
        <f ca="1">[1]!BexGetData("DP_1","00O2TNJGODT0G5Z4TTKYMMI9X","GSON9300000000")</f>
        <v>#NAME?</v>
      </c>
      <c r="T3628" s="24" t="e">
        <f ca="1">[1]!BexGetData("DP_1","00O2TNJGODT0G5Z4TTKYMMOLH","GSON9300000000")</f>
        <v>#NAME?</v>
      </c>
      <c r="U3628" s="24" t="e">
        <f ca="1">[1]!BexGetData("DP_1","00O2TNJGODT0G5Z4TTKYMMUX1","GSON9300000000")</f>
        <v>#NAME?</v>
      </c>
      <c r="V3628" s="24" t="e">
        <f ca="1">[1]!BexGetData("DP_1","00O2TNJGODT0G5Z4TTKYMN18L","GSON9300000000")</f>
        <v>#NAME?</v>
      </c>
      <c r="W3628" s="24" t="e">
        <f ca="1">[1]!BexGetData("DP_1","00O2TNJGODT0G5Z4TTKYMN7K5","GSON9300000000")</f>
        <v>#NAME?</v>
      </c>
    </row>
    <row r="3629" spans="1:23" x14ac:dyDescent="0.2">
      <c r="A3629" s="49" t="s">
        <v>622</v>
      </c>
      <c r="B3629" s="47" t="s">
        <v>43</v>
      </c>
      <c r="C3629" s="28" t="e">
        <f ca="1">[1]!BexGetData("DP_1","003N8EMH8GTFRCSWKMPXRR8GU","REST_H")</f>
        <v>#NAME?</v>
      </c>
      <c r="D3629" s="28" t="e">
        <f ca="1">[1]!BexGetData("DP_1","003N8EMH8GTFRCSWKMPXRRESE","REST_H")</f>
        <v>#NAME?</v>
      </c>
      <c r="E3629" s="28" t="e">
        <f ca="1">[1]!BexGetData("DP_1","003N8EMH8GTFRCSWKMPXRRL3Y","REST_H")</f>
        <v>#NAME?</v>
      </c>
      <c r="F3629" s="28" t="e">
        <f ca="1">[1]!BexGetData("DP_1","003N8EMH8GTFRCSWKMPXRRRFI","REST_H")</f>
        <v>#NAME?</v>
      </c>
      <c r="G3629" s="28" t="e">
        <f ca="1">[1]!BexGetData("DP_1","003N8EMH8GTFRCSWKMPXRRXR2","REST_H")</f>
        <v>#NAME?</v>
      </c>
      <c r="H3629" s="28" t="e">
        <f ca="1">[1]!BexGetData("DP_1","003N8EMH8GTFRCSWKMPXRS42M","REST_H")</f>
        <v>#NAME?</v>
      </c>
      <c r="I3629" s="28" t="e">
        <f ca="1">[1]!BexGetData("DP_1","003N8EMH8GTFRCSWKMPXRSAE6","REST_H")</f>
        <v>#NAME?</v>
      </c>
      <c r="J3629" s="28" t="e">
        <f ca="1">[1]!BexGetData("DP_1","003N8EMH8GTFRCSWKMPXRSGPQ","REST_H")</f>
        <v>#NAME?</v>
      </c>
      <c r="K3629" s="28" t="e">
        <f ca="1">[1]!BexGetData("DP_1","003N8EMH8GTFRIVNUPY288VJH","REST_H")</f>
        <v>#NAME?</v>
      </c>
      <c r="L3629" s="28" t="e">
        <f ca="1">[1]!BexGetData("DP_1","003N8EMH8GTFRIVNUPY2891V1","REST_H")</f>
        <v>#NAME?</v>
      </c>
      <c r="M3629" s="28" t="e">
        <f ca="1">[1]!BexGetData("DP_1","003N8EMH8GTFRIVOG7KG9IQXA","REST_H")</f>
        <v>#NAME?</v>
      </c>
      <c r="N3629" s="28" t="e">
        <f ca="1">[1]!BexGetData("DP_1","003N8EMH8GTFRIVOG7KG9IX8U","REST_H")</f>
        <v>#NAME?</v>
      </c>
      <c r="O3629" s="28" t="e">
        <f ca="1">[1]!BexGetData("DP_1","003N8EMH8GTFRIVOG7KG9J3KE","REST_H")</f>
        <v>#NAME?</v>
      </c>
      <c r="P3629" s="28" t="e">
        <f ca="1">[1]!BexGetData("DP_1","003N8EMH8GTFRIVOG7KG9J9VY","REST_H")</f>
        <v>#NAME?</v>
      </c>
      <c r="Q3629" s="28" t="e">
        <f ca="1">[1]!BexGetData("DP_1","00O2TNJGODT0G5Z4TTKYMM5MT","REST_H")</f>
        <v>#NAME?</v>
      </c>
      <c r="R3629" s="28" t="e">
        <f ca="1">[1]!BexGetData("DP_1","00O2TNJGODT0G5Z4TTKYMMBYD","REST_H")</f>
        <v>#NAME?</v>
      </c>
      <c r="S3629" s="28" t="e">
        <f ca="1">[1]!BexGetData("DP_1","00O2TNJGODT0G5Z4TTKYMMI9X","REST_H")</f>
        <v>#NAME?</v>
      </c>
      <c r="T3629" s="28" t="e">
        <f ca="1">[1]!BexGetData("DP_1","00O2TNJGODT0G5Z4TTKYMMOLH","REST_H")</f>
        <v>#NAME?</v>
      </c>
      <c r="U3629" s="28" t="e">
        <f ca="1">[1]!BexGetData("DP_1","00O2TNJGODT0G5Z4TTKYMMUX1","REST_H")</f>
        <v>#NAME?</v>
      </c>
      <c r="V3629" s="28" t="e">
        <f ca="1">[1]!BexGetData("DP_1","00O2TNJGODT0G5Z4TTKYMN18L","REST_H")</f>
        <v>#NAME?</v>
      </c>
      <c r="W3629" s="28" t="e">
        <f ca="1">[1]!BexGetData("DP_1","00O2TNJGODT0G5Z4TTKYMN7K5","REST_H")</f>
        <v>#NAME?</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2.75" x14ac:dyDescent="0.2"/>
  <sheetData>
    <row r="1" spans="1:1" x14ac:dyDescent="0.2">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6"/>
  <sheetViews>
    <sheetView zoomScale="80" zoomScaleNormal="80" workbookViewId="0">
      <selection activeCell="N12" sqref="N12"/>
    </sheetView>
  </sheetViews>
  <sheetFormatPr baseColWidth="10" defaultRowHeight="12.75" x14ac:dyDescent="0.2"/>
  <cols>
    <col min="1" max="1" width="53" customWidth="1"/>
    <col min="2" max="2" width="17" style="145" customWidth="1"/>
    <col min="3" max="3" width="15.42578125" style="145" customWidth="1"/>
    <col min="4" max="4" width="3.140625" customWidth="1"/>
    <col min="5" max="5" width="48.42578125" customWidth="1"/>
    <col min="6" max="6" width="17.42578125" style="145" bestFit="1" customWidth="1"/>
    <col min="7" max="7" width="14.5703125" style="145" bestFit="1" customWidth="1"/>
    <col min="8" max="8" width="11.42578125" customWidth="1"/>
    <col min="9" max="9" width="14.5703125" bestFit="1" customWidth="1"/>
  </cols>
  <sheetData>
    <row r="1" spans="1:7" ht="17.25" customHeight="1" x14ac:dyDescent="0.2">
      <c r="A1" s="625" t="s">
        <v>40</v>
      </c>
      <c r="B1" s="626"/>
      <c r="C1" s="626"/>
      <c r="D1" s="626"/>
      <c r="E1" s="626"/>
      <c r="F1" s="626"/>
      <c r="G1" s="627"/>
    </row>
    <row r="2" spans="1:7" ht="17.25" customHeight="1" x14ac:dyDescent="0.2">
      <c r="A2" s="628" t="s">
        <v>7256</v>
      </c>
      <c r="B2" s="629"/>
      <c r="C2" s="629"/>
      <c r="D2" s="629"/>
      <c r="E2" s="629"/>
      <c r="F2" s="629"/>
      <c r="G2" s="630"/>
    </row>
    <row r="3" spans="1:7" ht="17.25" customHeight="1" x14ac:dyDescent="0.2">
      <c r="A3" s="631" t="s">
        <v>7237</v>
      </c>
      <c r="B3" s="632"/>
      <c r="C3" s="632"/>
      <c r="D3" s="632"/>
      <c r="E3" s="632"/>
      <c r="F3" s="632"/>
      <c r="G3" s="633"/>
    </row>
    <row r="4" spans="1:7" ht="24.75" customHeight="1" thickBot="1" x14ac:dyDescent="0.25">
      <c r="A4" s="634" t="s">
        <v>7257</v>
      </c>
      <c r="B4" s="635"/>
      <c r="C4" s="635"/>
      <c r="D4" s="635"/>
      <c r="E4" s="635"/>
      <c r="F4" s="635"/>
      <c r="G4" s="636"/>
    </row>
    <row r="5" spans="1:7" ht="22.5" customHeight="1" x14ac:dyDescent="0.2">
      <c r="A5" s="104" t="s">
        <v>7258</v>
      </c>
      <c r="B5" s="105" t="s">
        <v>1763</v>
      </c>
      <c r="C5" s="105" t="s">
        <v>732</v>
      </c>
      <c r="D5" s="106"/>
      <c r="E5" s="107" t="s">
        <v>7258</v>
      </c>
      <c r="F5" s="105" t="s">
        <v>1763</v>
      </c>
      <c r="G5" s="108" t="s">
        <v>732</v>
      </c>
    </row>
    <row r="6" spans="1:7" ht="12" customHeight="1" x14ac:dyDescent="0.2">
      <c r="A6" s="109" t="s">
        <v>7259</v>
      </c>
      <c r="B6" s="110"/>
      <c r="C6" s="110"/>
      <c r="D6" s="111"/>
      <c r="E6" s="112" t="s">
        <v>7260</v>
      </c>
      <c r="F6" s="110"/>
      <c r="G6" s="113"/>
    </row>
    <row r="7" spans="1:7" x14ac:dyDescent="0.2">
      <c r="A7" s="114" t="s">
        <v>1</v>
      </c>
      <c r="B7" s="115"/>
      <c r="C7" s="116"/>
      <c r="D7" s="117"/>
      <c r="E7" s="118" t="s">
        <v>14</v>
      </c>
      <c r="F7" s="116"/>
      <c r="G7" s="119"/>
    </row>
    <row r="8" spans="1:7" ht="25.5" x14ac:dyDescent="0.2">
      <c r="A8" s="120" t="s">
        <v>7261</v>
      </c>
      <c r="B8" s="101">
        <v>4381579475</v>
      </c>
      <c r="C8" s="101">
        <v>1694956122</v>
      </c>
      <c r="D8" s="121"/>
      <c r="E8" s="122" t="s">
        <v>7262</v>
      </c>
      <c r="F8" s="100">
        <v>5154110090</v>
      </c>
      <c r="G8" s="123">
        <v>5828146288</v>
      </c>
    </row>
    <row r="9" spans="1:7" x14ac:dyDescent="0.2">
      <c r="A9" s="124" t="s">
        <v>7263</v>
      </c>
      <c r="B9" s="125">
        <v>6678820</v>
      </c>
      <c r="C9" s="126">
        <v>12784848</v>
      </c>
      <c r="D9" s="121"/>
      <c r="E9" s="122" t="s">
        <v>7264</v>
      </c>
      <c r="F9" s="100">
        <v>77108654</v>
      </c>
      <c r="G9" s="127">
        <v>1757671</v>
      </c>
    </row>
    <row r="10" spans="1:7" x14ac:dyDescent="0.2">
      <c r="A10" s="124" t="s">
        <v>7265</v>
      </c>
      <c r="B10" s="125">
        <v>3556557118</v>
      </c>
      <c r="C10" s="126">
        <v>1222373777</v>
      </c>
      <c r="D10" s="121"/>
      <c r="E10" s="122" t="s">
        <v>7266</v>
      </c>
      <c r="F10" s="100">
        <v>1184781254</v>
      </c>
      <c r="G10" s="127">
        <v>946959549</v>
      </c>
    </row>
    <row r="11" spans="1:7" ht="25.5" x14ac:dyDescent="0.2">
      <c r="A11" s="124" t="s">
        <v>7267</v>
      </c>
      <c r="B11" s="128">
        <v>0</v>
      </c>
      <c r="C11" s="129">
        <v>0</v>
      </c>
      <c r="D11" s="121"/>
      <c r="E11" s="122" t="s">
        <v>7268</v>
      </c>
      <c r="F11" s="100">
        <v>324418064</v>
      </c>
      <c r="G11" s="127">
        <v>37963102</v>
      </c>
    </row>
    <row r="12" spans="1:7" ht="25.5" x14ac:dyDescent="0.2">
      <c r="A12" s="124" t="s">
        <v>7269</v>
      </c>
      <c r="B12" s="125">
        <v>223042614</v>
      </c>
      <c r="C12" s="126">
        <v>248820520</v>
      </c>
      <c r="D12" s="121"/>
      <c r="E12" s="122" t="s">
        <v>7270</v>
      </c>
      <c r="F12" s="100">
        <v>87192066</v>
      </c>
      <c r="G12" s="127">
        <v>-2507132</v>
      </c>
    </row>
    <row r="13" spans="1:7" ht="25.5" x14ac:dyDescent="0.2">
      <c r="A13" s="124" t="s">
        <v>7271</v>
      </c>
      <c r="B13" s="125">
        <v>556464370</v>
      </c>
      <c r="C13" s="126">
        <v>178225563</v>
      </c>
      <c r="D13" s="121"/>
      <c r="E13" s="122" t="s">
        <v>7272</v>
      </c>
      <c r="F13" s="100">
        <v>950671970</v>
      </c>
      <c r="G13" s="127">
        <v>1951025134</v>
      </c>
    </row>
    <row r="14" spans="1:7" ht="25.5" x14ac:dyDescent="0.2">
      <c r="A14" s="124" t="s">
        <v>7273</v>
      </c>
      <c r="B14" s="125">
        <v>38836553</v>
      </c>
      <c r="C14" s="126">
        <v>32751414</v>
      </c>
      <c r="D14" s="121"/>
      <c r="E14" s="122" t="s">
        <v>7274</v>
      </c>
      <c r="F14" s="100">
        <v>857634</v>
      </c>
      <c r="G14" s="127">
        <v>198303</v>
      </c>
    </row>
    <row r="15" spans="1:7" ht="25.5" x14ac:dyDescent="0.2">
      <c r="A15" s="124" t="s">
        <v>7275</v>
      </c>
      <c r="B15" s="128">
        <v>0</v>
      </c>
      <c r="C15" s="129">
        <v>0</v>
      </c>
      <c r="D15" s="121"/>
      <c r="E15" s="122" t="s">
        <v>7276</v>
      </c>
      <c r="F15" s="100">
        <v>1519767047</v>
      </c>
      <c r="G15" s="127">
        <v>1737819553</v>
      </c>
    </row>
    <row r="16" spans="1:7" ht="25.5" x14ac:dyDescent="0.2">
      <c r="A16" s="120" t="s">
        <v>7277</v>
      </c>
      <c r="B16" s="101">
        <v>1869627208</v>
      </c>
      <c r="C16" s="101">
        <v>1341367439</v>
      </c>
      <c r="D16" s="121"/>
      <c r="E16" s="122" t="s">
        <v>7278</v>
      </c>
      <c r="F16" s="100">
        <v>7106412</v>
      </c>
      <c r="G16" s="127">
        <v>5628178</v>
      </c>
    </row>
    <row r="17" spans="1:7" x14ac:dyDescent="0.2">
      <c r="A17" s="124" t="s">
        <v>7279</v>
      </c>
      <c r="B17" s="128">
        <v>0</v>
      </c>
      <c r="C17" s="129">
        <v>0</v>
      </c>
      <c r="D17" s="121"/>
      <c r="E17" s="122" t="s">
        <v>7280</v>
      </c>
      <c r="F17" s="100">
        <v>1002206989</v>
      </c>
      <c r="G17" s="127">
        <v>1149301930</v>
      </c>
    </row>
    <row r="18" spans="1:7" x14ac:dyDescent="0.2">
      <c r="A18" s="124" t="s">
        <v>7281</v>
      </c>
      <c r="B18" s="128">
        <v>0</v>
      </c>
      <c r="C18" s="129">
        <v>0</v>
      </c>
      <c r="D18" s="121"/>
      <c r="E18" s="122" t="s">
        <v>7282</v>
      </c>
      <c r="F18" s="100">
        <v>2355970029</v>
      </c>
      <c r="G18" s="123">
        <v>1627046532</v>
      </c>
    </row>
    <row r="19" spans="1:7" ht="25.5" x14ac:dyDescent="0.2">
      <c r="A19" s="124" t="s">
        <v>7283</v>
      </c>
      <c r="B19" s="125">
        <v>917974911</v>
      </c>
      <c r="C19" s="126">
        <v>292632766</v>
      </c>
      <c r="D19" s="121"/>
      <c r="E19" s="122" t="s">
        <v>7284</v>
      </c>
      <c r="F19" s="100">
        <v>2355970029</v>
      </c>
      <c r="G19" s="127">
        <v>1604188939</v>
      </c>
    </row>
    <row r="20" spans="1:7" ht="25.5" x14ac:dyDescent="0.2">
      <c r="A20" s="124" t="s">
        <v>7285</v>
      </c>
      <c r="B20" s="125">
        <v>119994209</v>
      </c>
      <c r="C20" s="126">
        <v>119188787</v>
      </c>
      <c r="D20" s="121"/>
      <c r="E20" s="122" t="s">
        <v>7286</v>
      </c>
      <c r="F20" s="100">
        <v>0</v>
      </c>
      <c r="G20" s="130">
        <v>0</v>
      </c>
    </row>
    <row r="21" spans="1:7" x14ac:dyDescent="0.2">
      <c r="A21" s="124" t="s">
        <v>7287</v>
      </c>
      <c r="B21" s="125">
        <v>827525845</v>
      </c>
      <c r="C21" s="126">
        <v>924905027</v>
      </c>
      <c r="D21" s="121"/>
      <c r="E21" s="122" t="s">
        <v>7288</v>
      </c>
      <c r="F21" s="100">
        <v>0</v>
      </c>
      <c r="G21" s="127">
        <v>22857593</v>
      </c>
    </row>
    <row r="22" spans="1:7" ht="25.5" x14ac:dyDescent="0.2">
      <c r="A22" s="124" t="s">
        <v>7289</v>
      </c>
      <c r="B22" s="128">
        <v>0</v>
      </c>
      <c r="C22" s="129">
        <v>0</v>
      </c>
      <c r="D22" s="121"/>
      <c r="E22" s="122" t="s">
        <v>7290</v>
      </c>
      <c r="F22" s="100">
        <v>487182990</v>
      </c>
      <c r="G22" s="123">
        <v>424174894</v>
      </c>
    </row>
    <row r="23" spans="1:7" ht="25.5" x14ac:dyDescent="0.2">
      <c r="A23" s="124" t="s">
        <v>7291</v>
      </c>
      <c r="B23" s="125">
        <v>4132243</v>
      </c>
      <c r="C23" s="126">
        <v>4640859</v>
      </c>
      <c r="D23" s="121"/>
      <c r="E23" s="122" t="s">
        <v>7292</v>
      </c>
      <c r="F23" s="100">
        <v>487182990</v>
      </c>
      <c r="G23" s="127">
        <v>424174894</v>
      </c>
    </row>
    <row r="24" spans="1:7" ht="25.5" x14ac:dyDescent="0.2">
      <c r="A24" s="124" t="s">
        <v>7293</v>
      </c>
      <c r="B24" s="101">
        <v>865874851</v>
      </c>
      <c r="C24" s="101">
        <v>735552707</v>
      </c>
      <c r="D24" s="121"/>
      <c r="E24" s="122" t="s">
        <v>7294</v>
      </c>
      <c r="F24" s="100">
        <v>0</v>
      </c>
      <c r="G24" s="130">
        <v>0</v>
      </c>
    </row>
    <row r="25" spans="1:7" ht="25.5" x14ac:dyDescent="0.2">
      <c r="A25" s="124" t="s">
        <v>7295</v>
      </c>
      <c r="B25" s="125">
        <v>647347911</v>
      </c>
      <c r="C25" s="126">
        <v>684088501</v>
      </c>
      <c r="D25" s="121"/>
      <c r="E25" s="122" t="s">
        <v>7296</v>
      </c>
      <c r="F25" s="100">
        <v>0</v>
      </c>
      <c r="G25" s="123">
        <v>0</v>
      </c>
    </row>
    <row r="26" spans="1:7" ht="25.5" x14ac:dyDescent="0.2">
      <c r="A26" s="124" t="s">
        <v>7297</v>
      </c>
      <c r="B26" s="128">
        <v>0</v>
      </c>
      <c r="C26" s="129">
        <v>0</v>
      </c>
      <c r="D26" s="121"/>
      <c r="E26" s="122" t="s">
        <v>7298</v>
      </c>
      <c r="F26" s="100">
        <v>120062545</v>
      </c>
      <c r="G26" s="123">
        <v>119249609</v>
      </c>
    </row>
    <row r="27" spans="1:7" ht="25.5" x14ac:dyDescent="0.2">
      <c r="A27" s="124" t="s">
        <v>7299</v>
      </c>
      <c r="B27" s="128">
        <v>0</v>
      </c>
      <c r="C27" s="129">
        <v>0</v>
      </c>
      <c r="D27" s="121"/>
      <c r="E27" s="122" t="s">
        <v>7300</v>
      </c>
      <c r="F27" s="100">
        <v>0</v>
      </c>
      <c r="G27" s="130">
        <v>0</v>
      </c>
    </row>
    <row r="28" spans="1:7" ht="25.5" x14ac:dyDescent="0.2">
      <c r="A28" s="124" t="s">
        <v>7301</v>
      </c>
      <c r="B28" s="125">
        <v>218399482</v>
      </c>
      <c r="C28" s="126">
        <v>51355092</v>
      </c>
      <c r="D28" s="121"/>
      <c r="E28" s="122" t="s">
        <v>7302</v>
      </c>
      <c r="F28" s="100">
        <v>0</v>
      </c>
      <c r="G28" s="130">
        <v>0</v>
      </c>
    </row>
    <row r="29" spans="1:7" ht="25.5" x14ac:dyDescent="0.2">
      <c r="A29" s="124" t="s">
        <v>7303</v>
      </c>
      <c r="B29" s="125">
        <v>127458</v>
      </c>
      <c r="C29" s="126">
        <v>109114</v>
      </c>
      <c r="D29" s="121"/>
      <c r="E29" s="122" t="s">
        <v>7304</v>
      </c>
      <c r="F29" s="100">
        <v>120062545</v>
      </c>
      <c r="G29" s="127">
        <v>119249609</v>
      </c>
    </row>
    <row r="30" spans="1:7" ht="25.5" x14ac:dyDescent="0.2">
      <c r="A30" s="124" t="s">
        <v>7305</v>
      </c>
      <c r="B30" s="101">
        <v>0</v>
      </c>
      <c r="C30" s="101">
        <v>0</v>
      </c>
      <c r="D30" s="121"/>
      <c r="E30" s="122" t="s">
        <v>7306</v>
      </c>
      <c r="F30" s="100">
        <v>388408186</v>
      </c>
      <c r="G30" s="123">
        <v>318627842</v>
      </c>
    </row>
    <row r="31" spans="1:7" x14ac:dyDescent="0.2">
      <c r="A31" s="124" t="s">
        <v>7307</v>
      </c>
      <c r="B31" s="101">
        <v>0</v>
      </c>
      <c r="C31" s="101">
        <v>0</v>
      </c>
      <c r="D31" s="121"/>
      <c r="E31" s="122" t="s">
        <v>7308</v>
      </c>
      <c r="F31" s="100">
        <v>0</v>
      </c>
      <c r="G31" s="130">
        <v>0</v>
      </c>
    </row>
    <row r="32" spans="1:7" x14ac:dyDescent="0.2">
      <c r="A32" s="124" t="s">
        <v>7309</v>
      </c>
      <c r="B32" s="101">
        <v>0</v>
      </c>
      <c r="C32" s="101">
        <v>0</v>
      </c>
      <c r="D32" s="121"/>
      <c r="E32" s="122" t="s">
        <v>7310</v>
      </c>
      <c r="F32" s="100">
        <v>200753221</v>
      </c>
      <c r="G32" s="127">
        <v>246201342</v>
      </c>
    </row>
    <row r="33" spans="1:7" x14ac:dyDescent="0.2">
      <c r="A33" s="124" t="s">
        <v>7311</v>
      </c>
      <c r="B33" s="101">
        <v>0</v>
      </c>
      <c r="C33" s="101">
        <v>0</v>
      </c>
      <c r="D33" s="121"/>
      <c r="E33" s="122" t="s">
        <v>7312</v>
      </c>
      <c r="F33" s="100">
        <v>0</v>
      </c>
      <c r="G33" s="130">
        <v>0</v>
      </c>
    </row>
    <row r="34" spans="1:7" ht="12.75" customHeight="1" x14ac:dyDescent="0.2">
      <c r="A34" s="124" t="s">
        <v>7313</v>
      </c>
      <c r="B34" s="101">
        <v>0</v>
      </c>
      <c r="C34" s="101">
        <v>0</v>
      </c>
      <c r="D34" s="121"/>
      <c r="E34" s="122" t="s">
        <v>7314</v>
      </c>
      <c r="F34" s="100">
        <v>187654965</v>
      </c>
      <c r="G34" s="127">
        <v>72426500</v>
      </c>
    </row>
    <row r="35" spans="1:7" ht="25.5" x14ac:dyDescent="0.2">
      <c r="A35" s="124" t="s">
        <v>7315</v>
      </c>
      <c r="B35" s="101">
        <v>0</v>
      </c>
      <c r="C35" s="101">
        <v>0</v>
      </c>
      <c r="D35" s="121"/>
      <c r="E35" s="122" t="s">
        <v>7316</v>
      </c>
      <c r="F35" s="100">
        <v>0</v>
      </c>
      <c r="G35" s="123">
        <v>0</v>
      </c>
    </row>
    <row r="36" spans="1:7" x14ac:dyDescent="0.2">
      <c r="A36" s="124" t="s">
        <v>7317</v>
      </c>
      <c r="B36" s="101">
        <v>0</v>
      </c>
      <c r="C36" s="101">
        <v>0</v>
      </c>
      <c r="D36" s="121"/>
      <c r="E36" s="122" t="s">
        <v>7318</v>
      </c>
      <c r="F36" s="100">
        <v>0</v>
      </c>
      <c r="G36" s="123">
        <v>0</v>
      </c>
    </row>
    <row r="37" spans="1:7" ht="25.5" x14ac:dyDescent="0.2">
      <c r="A37" s="124" t="s">
        <v>7319</v>
      </c>
      <c r="B37" s="101">
        <v>0</v>
      </c>
      <c r="C37" s="101">
        <v>0</v>
      </c>
      <c r="D37" s="121"/>
      <c r="E37" s="122" t="s">
        <v>7320</v>
      </c>
      <c r="F37" s="100">
        <v>0</v>
      </c>
      <c r="G37" s="123">
        <v>0</v>
      </c>
    </row>
    <row r="38" spans="1:7" ht="25.5" x14ac:dyDescent="0.2">
      <c r="A38" s="124" t="s">
        <v>7321</v>
      </c>
      <c r="B38" s="101">
        <v>0</v>
      </c>
      <c r="C38" s="101">
        <v>0</v>
      </c>
      <c r="D38" s="121"/>
      <c r="E38" s="122" t="s">
        <v>7322</v>
      </c>
      <c r="F38" s="100">
        <v>0</v>
      </c>
      <c r="G38" s="123">
        <v>0</v>
      </c>
    </row>
    <row r="39" spans="1:7" x14ac:dyDescent="0.2">
      <c r="A39" s="124" t="s">
        <v>7323</v>
      </c>
      <c r="B39" s="101">
        <v>0</v>
      </c>
      <c r="C39" s="101">
        <v>0</v>
      </c>
      <c r="D39" s="121"/>
      <c r="E39" s="122" t="s">
        <v>7324</v>
      </c>
      <c r="F39" s="100">
        <v>0</v>
      </c>
      <c r="G39" s="123">
        <v>0</v>
      </c>
    </row>
    <row r="40" spans="1:7" x14ac:dyDescent="0.2">
      <c r="A40" s="124" t="s">
        <v>7325</v>
      </c>
      <c r="B40" s="101">
        <v>37540027.469999999</v>
      </c>
      <c r="C40" s="101">
        <v>19112277</v>
      </c>
      <c r="D40" s="121"/>
      <c r="E40" s="122" t="s">
        <v>7326</v>
      </c>
      <c r="F40" s="100">
        <v>0</v>
      </c>
      <c r="G40" s="123">
        <v>0</v>
      </c>
    </row>
    <row r="41" spans="1:7" x14ac:dyDescent="0.2">
      <c r="A41" s="124" t="s">
        <v>7327</v>
      </c>
      <c r="B41" s="101">
        <v>0</v>
      </c>
      <c r="C41" s="101">
        <v>0</v>
      </c>
      <c r="D41" s="121"/>
      <c r="E41" s="122" t="s">
        <v>7328</v>
      </c>
      <c r="F41" s="100">
        <v>7164702</v>
      </c>
      <c r="G41" s="123">
        <v>8085769</v>
      </c>
    </row>
    <row r="42" spans="1:7" x14ac:dyDescent="0.2">
      <c r="A42" s="124" t="s">
        <v>7329</v>
      </c>
      <c r="B42" s="101">
        <v>0</v>
      </c>
      <c r="C42" s="101">
        <v>0</v>
      </c>
      <c r="D42" s="121"/>
      <c r="E42" s="122" t="s">
        <v>7330</v>
      </c>
      <c r="F42" s="100">
        <v>0</v>
      </c>
      <c r="G42" s="130">
        <v>0</v>
      </c>
    </row>
    <row r="43" spans="1:7" ht="25.5" x14ac:dyDescent="0.2">
      <c r="A43" s="124" t="s">
        <v>7331</v>
      </c>
      <c r="B43" s="101">
        <v>37540027.469999999</v>
      </c>
      <c r="C43" s="101">
        <v>19112277</v>
      </c>
      <c r="D43" s="121"/>
      <c r="E43" s="122" t="s">
        <v>7332</v>
      </c>
      <c r="F43" s="100">
        <v>0</v>
      </c>
      <c r="G43" s="130">
        <v>0</v>
      </c>
    </row>
    <row r="44" spans="1:7" x14ac:dyDescent="0.2">
      <c r="A44" s="124" t="s">
        <v>7333</v>
      </c>
      <c r="B44" s="131"/>
      <c r="C44" s="131"/>
      <c r="D44" s="121"/>
      <c r="E44" s="122" t="s">
        <v>7334</v>
      </c>
      <c r="F44" s="100">
        <v>7164702</v>
      </c>
      <c r="G44" s="127">
        <v>8085769</v>
      </c>
    </row>
    <row r="45" spans="1:7" ht="4.5" customHeight="1" x14ac:dyDescent="0.2">
      <c r="A45" s="132"/>
      <c r="B45" s="131"/>
      <c r="C45" s="131"/>
      <c r="D45" s="121"/>
      <c r="E45" s="117"/>
      <c r="F45" s="133"/>
      <c r="G45" s="134"/>
    </row>
    <row r="46" spans="1:7" ht="25.5" customHeight="1" x14ac:dyDescent="0.2">
      <c r="A46" s="114" t="s">
        <v>7335</v>
      </c>
      <c r="B46" s="135">
        <v>7154621561.4700003</v>
      </c>
      <c r="C46" s="135">
        <v>3790988545</v>
      </c>
      <c r="D46" s="121"/>
      <c r="E46" s="118" t="s">
        <v>7336</v>
      </c>
      <c r="F46" s="136">
        <v>8512898541</v>
      </c>
      <c r="G46" s="137">
        <v>8325330934</v>
      </c>
    </row>
    <row r="47" spans="1:7" ht="4.5" customHeight="1" x14ac:dyDescent="0.2">
      <c r="A47" s="132"/>
      <c r="B47" s="101"/>
      <c r="C47" s="101"/>
      <c r="D47" s="121"/>
      <c r="E47" s="117"/>
      <c r="F47" s="133"/>
      <c r="G47" s="138"/>
    </row>
    <row r="48" spans="1:7" x14ac:dyDescent="0.2">
      <c r="A48" s="132" t="s">
        <v>7</v>
      </c>
      <c r="B48" s="101"/>
      <c r="C48" s="101"/>
      <c r="D48" s="121"/>
      <c r="E48" s="117" t="s">
        <v>19</v>
      </c>
      <c r="F48" s="133"/>
      <c r="G48" s="139"/>
    </row>
    <row r="49" spans="1:9" x14ac:dyDescent="0.2">
      <c r="A49" s="132" t="s">
        <v>7337</v>
      </c>
      <c r="B49" s="125">
        <v>190374382</v>
      </c>
      <c r="C49" s="126">
        <v>118241622</v>
      </c>
      <c r="D49" s="121"/>
      <c r="E49" s="117" t="s">
        <v>7338</v>
      </c>
      <c r="F49" s="128">
        <v>0</v>
      </c>
      <c r="G49" s="123">
        <v>0</v>
      </c>
    </row>
    <row r="50" spans="1:9" x14ac:dyDescent="0.2">
      <c r="A50" s="132" t="s">
        <v>7339</v>
      </c>
      <c r="B50" s="125">
        <v>401414</v>
      </c>
      <c r="C50" s="126">
        <v>401414</v>
      </c>
      <c r="D50" s="121"/>
      <c r="E50" s="117" t="s">
        <v>7340</v>
      </c>
      <c r="F50" s="128">
        <v>0</v>
      </c>
      <c r="G50" s="123">
        <v>0</v>
      </c>
    </row>
    <row r="51" spans="1:9" ht="23.25" customHeight="1" x14ac:dyDescent="0.2">
      <c r="A51" s="132" t="s">
        <v>7341</v>
      </c>
      <c r="B51" s="125">
        <v>34948858566</v>
      </c>
      <c r="C51" s="126">
        <v>32605246252</v>
      </c>
      <c r="D51" s="121"/>
      <c r="E51" s="117" t="s">
        <v>7342</v>
      </c>
      <c r="F51" s="125">
        <v>20239110675</v>
      </c>
      <c r="G51" s="123">
        <v>15730628665.629999</v>
      </c>
    </row>
    <row r="52" spans="1:9" x14ac:dyDescent="0.2">
      <c r="A52" s="132" t="s">
        <v>7343</v>
      </c>
      <c r="B52" s="125">
        <v>1980678174</v>
      </c>
      <c r="C52" s="126">
        <v>1825671823</v>
      </c>
      <c r="D52" s="121"/>
      <c r="E52" s="117" t="s">
        <v>7344</v>
      </c>
      <c r="F52" s="128">
        <v>0</v>
      </c>
      <c r="G52" s="123">
        <v>0</v>
      </c>
    </row>
    <row r="53" spans="1:9" ht="21.75" customHeight="1" x14ac:dyDescent="0.2">
      <c r="A53" s="132" t="s">
        <v>7345</v>
      </c>
      <c r="B53" s="125">
        <v>528550169</v>
      </c>
      <c r="C53" s="126">
        <v>507113348</v>
      </c>
      <c r="D53" s="121"/>
      <c r="E53" s="117" t="s">
        <v>7346</v>
      </c>
      <c r="F53" s="125">
        <v>1800000</v>
      </c>
      <c r="G53" s="123">
        <v>0</v>
      </c>
    </row>
    <row r="54" spans="1:9" x14ac:dyDescent="0.2">
      <c r="A54" s="132" t="s">
        <v>7347</v>
      </c>
      <c r="B54" s="125">
        <v>-1888780322</v>
      </c>
      <c r="C54" s="126">
        <v>-1471090176</v>
      </c>
      <c r="D54" s="121"/>
      <c r="E54" s="117" t="s">
        <v>7348</v>
      </c>
      <c r="F54" s="128">
        <v>0</v>
      </c>
      <c r="G54" s="123">
        <v>0</v>
      </c>
    </row>
    <row r="55" spans="1:9" ht="27.75" customHeight="1" x14ac:dyDescent="0.2">
      <c r="A55" s="132" t="s">
        <v>7349</v>
      </c>
      <c r="B55" s="125">
        <v>4299800</v>
      </c>
      <c r="C55" s="126">
        <v>4299800</v>
      </c>
      <c r="D55" s="121"/>
      <c r="E55" s="118" t="s">
        <v>7350</v>
      </c>
      <c r="F55" s="136">
        <v>20240910675</v>
      </c>
      <c r="G55" s="137">
        <v>15730628665.629999</v>
      </c>
      <c r="I55" s="95"/>
    </row>
    <row r="56" spans="1:9" ht="15.75" customHeight="1" x14ac:dyDescent="0.2">
      <c r="A56" s="132" t="s">
        <v>7351</v>
      </c>
      <c r="B56" s="128">
        <v>0</v>
      </c>
      <c r="C56" s="129">
        <v>0</v>
      </c>
      <c r="D56" s="121"/>
      <c r="E56" s="117"/>
      <c r="F56" s="133"/>
      <c r="G56" s="140"/>
      <c r="I56" s="95"/>
    </row>
    <row r="57" spans="1:9" x14ac:dyDescent="0.2">
      <c r="A57" s="132" t="s">
        <v>7352</v>
      </c>
      <c r="B57" s="125">
        <v>91524323</v>
      </c>
      <c r="C57" s="126">
        <v>91524323</v>
      </c>
      <c r="D57" s="121"/>
      <c r="E57" s="118" t="s">
        <v>7353</v>
      </c>
      <c r="F57" s="141">
        <v>28753809216</v>
      </c>
      <c r="G57" s="137">
        <v>24055959599.629997</v>
      </c>
      <c r="I57" s="95"/>
    </row>
    <row r="58" spans="1:9" ht="18" customHeight="1" x14ac:dyDescent="0.2">
      <c r="A58" s="132"/>
      <c r="B58" s="101"/>
      <c r="C58" s="101"/>
      <c r="D58" s="121"/>
      <c r="E58" s="117"/>
      <c r="F58" s="133"/>
      <c r="G58" s="140"/>
      <c r="I58" s="95"/>
    </row>
    <row r="59" spans="1:9" ht="21.75" customHeight="1" x14ac:dyDescent="0.2">
      <c r="A59" s="114" t="s">
        <v>7354</v>
      </c>
      <c r="B59" s="135">
        <v>35855906506</v>
      </c>
      <c r="C59" s="135">
        <v>33681408406</v>
      </c>
      <c r="D59" s="121"/>
      <c r="E59" s="117" t="s">
        <v>7355</v>
      </c>
      <c r="F59" s="133"/>
      <c r="G59" s="140"/>
      <c r="I59" s="95"/>
    </row>
    <row r="60" spans="1:9" ht="29.25" customHeight="1" x14ac:dyDescent="0.2">
      <c r="A60" s="132"/>
      <c r="B60" s="101"/>
      <c r="C60" s="101"/>
      <c r="D60" s="121"/>
      <c r="E60" s="118" t="s">
        <v>7356</v>
      </c>
      <c r="F60" s="133"/>
      <c r="G60" s="137">
        <v>0</v>
      </c>
    </row>
    <row r="61" spans="1:9" x14ac:dyDescent="0.2">
      <c r="A61" s="132" t="s">
        <v>7357</v>
      </c>
      <c r="B61" s="135">
        <v>43010528067.470001</v>
      </c>
      <c r="C61" s="135">
        <v>37472396951</v>
      </c>
      <c r="D61" s="121"/>
      <c r="E61" s="117" t="s">
        <v>7358</v>
      </c>
      <c r="F61" s="142">
        <v>0</v>
      </c>
      <c r="G61" s="123">
        <v>0</v>
      </c>
    </row>
    <row r="62" spans="1:9" x14ac:dyDescent="0.2">
      <c r="A62" s="132"/>
      <c r="B62" s="116"/>
      <c r="C62" s="116"/>
      <c r="D62" s="117"/>
      <c r="E62" s="117" t="s">
        <v>7359</v>
      </c>
      <c r="F62" s="133">
        <v>0</v>
      </c>
      <c r="G62" s="123">
        <v>0</v>
      </c>
    </row>
    <row r="63" spans="1:9" x14ac:dyDescent="0.2">
      <c r="A63" s="132"/>
      <c r="B63" s="116"/>
      <c r="C63" s="116"/>
      <c r="D63" s="117"/>
      <c r="E63" s="117" t="s">
        <v>7360</v>
      </c>
      <c r="F63" s="133">
        <v>0</v>
      </c>
      <c r="G63" s="123">
        <v>0</v>
      </c>
    </row>
    <row r="64" spans="1:9" ht="4.5" customHeight="1" x14ac:dyDescent="0.2">
      <c r="A64" s="132"/>
      <c r="B64" s="116"/>
      <c r="C64" s="116"/>
      <c r="D64" s="117"/>
      <c r="E64" s="117"/>
      <c r="F64" s="133">
        <v>0</v>
      </c>
      <c r="G64" s="139"/>
    </row>
    <row r="65" spans="1:7" ht="24.75" customHeight="1" x14ac:dyDescent="0.2">
      <c r="A65" s="132"/>
      <c r="B65" s="116"/>
      <c r="C65" s="116"/>
      <c r="D65" s="117"/>
      <c r="E65" s="118" t="s">
        <v>7361</v>
      </c>
      <c r="F65" s="136">
        <v>14256718851</v>
      </c>
      <c r="G65" s="137">
        <v>13416437351</v>
      </c>
    </row>
    <row r="66" spans="1:7" ht="15" customHeight="1" x14ac:dyDescent="0.2">
      <c r="A66" s="132"/>
      <c r="B66" s="116"/>
      <c r="C66" s="116"/>
      <c r="D66" s="117"/>
      <c r="E66" s="117" t="s">
        <v>7362</v>
      </c>
      <c r="F66" s="125">
        <v>-1067565204</v>
      </c>
      <c r="G66" s="127">
        <v>-776591397</v>
      </c>
    </row>
    <row r="67" spans="1:7" x14ac:dyDescent="0.2">
      <c r="A67" s="132"/>
      <c r="B67" s="116"/>
      <c r="C67" s="116"/>
      <c r="D67" s="117"/>
      <c r="E67" s="117" t="s">
        <v>7363</v>
      </c>
      <c r="F67" s="125">
        <v>6053348881</v>
      </c>
      <c r="G67" s="127">
        <v>4922093574</v>
      </c>
    </row>
    <row r="68" spans="1:7" x14ac:dyDescent="0.2">
      <c r="A68" s="132"/>
      <c r="B68" s="116"/>
      <c r="C68" s="116"/>
      <c r="D68" s="117"/>
      <c r="E68" s="117" t="s">
        <v>7364</v>
      </c>
      <c r="F68" s="125">
        <v>9270935174</v>
      </c>
      <c r="G68" s="127">
        <v>9270935174</v>
      </c>
    </row>
    <row r="69" spans="1:7" x14ac:dyDescent="0.2">
      <c r="A69" s="132"/>
      <c r="B69" s="116"/>
      <c r="C69" s="116"/>
      <c r="D69" s="117"/>
      <c r="E69" s="117" t="s">
        <v>7365</v>
      </c>
      <c r="F69" s="128">
        <v>0</v>
      </c>
      <c r="G69" s="130">
        <v>0</v>
      </c>
    </row>
    <row r="70" spans="1:7" x14ac:dyDescent="0.2">
      <c r="A70" s="132"/>
      <c r="B70" s="116"/>
      <c r="C70" s="116"/>
      <c r="D70" s="117"/>
      <c r="E70" s="117" t="s">
        <v>7366</v>
      </c>
      <c r="F70" s="128">
        <v>0</v>
      </c>
      <c r="G70" s="130">
        <v>0</v>
      </c>
    </row>
    <row r="71" spans="1:7" ht="5.25" customHeight="1" x14ac:dyDescent="0.2">
      <c r="A71" s="132"/>
      <c r="B71" s="116"/>
      <c r="C71" s="116"/>
      <c r="D71" s="117"/>
      <c r="E71" s="117"/>
      <c r="F71" s="143"/>
      <c r="G71" s="139"/>
    </row>
    <row r="72" spans="1:7" ht="24" x14ac:dyDescent="0.2">
      <c r="A72" s="132"/>
      <c r="B72" s="116"/>
      <c r="C72" s="116"/>
      <c r="D72" s="117"/>
      <c r="E72" s="118" t="s">
        <v>7367</v>
      </c>
      <c r="F72" s="144">
        <v>0</v>
      </c>
      <c r="G72" s="137">
        <v>0</v>
      </c>
    </row>
    <row r="73" spans="1:7" ht="16.5" customHeight="1" x14ac:dyDescent="0.2">
      <c r="A73" s="132"/>
      <c r="B73" s="116"/>
      <c r="C73" s="116"/>
      <c r="D73" s="117"/>
      <c r="E73" s="117" t="s">
        <v>7368</v>
      </c>
      <c r="F73" s="128">
        <v>0</v>
      </c>
      <c r="G73" s="123">
        <v>0</v>
      </c>
    </row>
    <row r="74" spans="1:7" x14ac:dyDescent="0.2">
      <c r="A74" s="132"/>
      <c r="B74" s="116"/>
      <c r="C74" s="116"/>
      <c r="D74" s="117"/>
      <c r="E74" s="117" t="s">
        <v>7369</v>
      </c>
      <c r="F74" s="128">
        <v>0</v>
      </c>
      <c r="G74" s="123">
        <v>0</v>
      </c>
    </row>
    <row r="75" spans="1:7" ht="5.25" customHeight="1" x14ac:dyDescent="0.2">
      <c r="A75" s="132"/>
      <c r="B75" s="116"/>
      <c r="C75" s="116"/>
      <c r="D75" s="117"/>
      <c r="E75" s="117"/>
      <c r="F75" s="133"/>
      <c r="G75" s="140"/>
    </row>
    <row r="76" spans="1:7" ht="24" customHeight="1" x14ac:dyDescent="0.2">
      <c r="A76" s="132"/>
      <c r="B76" s="116"/>
      <c r="C76" s="116"/>
      <c r="D76" s="117"/>
      <c r="E76" s="118" t="s">
        <v>7370</v>
      </c>
      <c r="F76" s="136">
        <v>14256718851</v>
      </c>
      <c r="G76" s="137">
        <v>13416437351</v>
      </c>
    </row>
    <row r="77" spans="1:7" ht="5.25" customHeight="1" x14ac:dyDescent="0.2">
      <c r="A77" s="132"/>
      <c r="B77" s="116"/>
      <c r="C77" s="116"/>
      <c r="D77" s="117"/>
      <c r="E77" s="117"/>
      <c r="G77" s="140"/>
    </row>
    <row r="78" spans="1:7" ht="27.75" customHeight="1" x14ac:dyDescent="0.2">
      <c r="A78" s="132"/>
      <c r="B78" s="116"/>
      <c r="C78" s="116"/>
      <c r="D78" s="117"/>
      <c r="E78" s="118" t="s">
        <v>7371</v>
      </c>
      <c r="F78" s="136">
        <v>43010528067</v>
      </c>
      <c r="G78" s="137">
        <v>37472396950.629997</v>
      </c>
    </row>
    <row r="79" spans="1:7" ht="4.5" customHeight="1" x14ac:dyDescent="0.2">
      <c r="A79" s="132"/>
      <c r="B79" s="116"/>
      <c r="C79" s="116"/>
      <c r="D79" s="117"/>
      <c r="E79" s="2"/>
      <c r="F79" s="133"/>
      <c r="G79" s="146"/>
    </row>
    <row r="80" spans="1:7" ht="13.5" thickBot="1" x14ac:dyDescent="0.25">
      <c r="A80" s="147"/>
      <c r="B80" s="148"/>
      <c r="C80" s="148"/>
      <c r="D80" s="149"/>
      <c r="E80" s="150"/>
      <c r="F80" s="151"/>
      <c r="G80" s="152"/>
    </row>
    <row r="83" spans="1:7" x14ac:dyDescent="0.2">
      <c r="A83" s="153"/>
      <c r="B83" s="154"/>
      <c r="C83" s="154"/>
    </row>
    <row r="84" spans="1:7" x14ac:dyDescent="0.2">
      <c r="A84" s="612" t="s">
        <v>7238</v>
      </c>
      <c r="B84" s="612"/>
      <c r="C84" s="612"/>
      <c r="D84" s="612"/>
      <c r="E84" s="612"/>
      <c r="F84" s="612"/>
      <c r="G84" s="612"/>
    </row>
    <row r="85" spans="1:7" ht="15" customHeight="1" x14ac:dyDescent="0.2">
      <c r="A85" s="612"/>
      <c r="B85" s="612"/>
      <c r="C85" s="612"/>
      <c r="D85" s="612"/>
      <c r="E85" s="612"/>
      <c r="F85" s="612"/>
      <c r="G85" s="612"/>
    </row>
    <row r="86" spans="1:7" ht="15" x14ac:dyDescent="0.25">
      <c r="A86" s="612" t="s">
        <v>7239</v>
      </c>
      <c r="B86" s="612"/>
      <c r="C86" s="612"/>
      <c r="D86" s="612"/>
      <c r="E86" s="612"/>
      <c r="F86" s="612"/>
      <c r="G86" s="612"/>
    </row>
  </sheetData>
  <mergeCells count="6">
    <mergeCell ref="A86:G86"/>
    <mergeCell ref="A1:G1"/>
    <mergeCell ref="A2:G2"/>
    <mergeCell ref="A3:G3"/>
    <mergeCell ref="A4:G4"/>
    <mergeCell ref="A84:G85"/>
  </mergeCells>
  <printOptions horizontalCentered="1"/>
  <pageMargins left="0.70866141732283472" right="0.70866141732283472" top="0.74803149606299213" bottom="0.74803149606299213" header="0.31496062992125984" footer="0.31496062992125984"/>
  <pageSetup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topLeftCell="A3" workbookViewId="0">
      <selection activeCell="C9" sqref="C9"/>
    </sheetView>
  </sheetViews>
  <sheetFormatPr baseColWidth="10" defaultColWidth="9.140625" defaultRowHeight="12.75" x14ac:dyDescent="0.2"/>
  <cols>
    <col min="1" max="1" width="3.7109375" style="165" customWidth="1"/>
    <col min="2" max="2" width="3" style="165" customWidth="1"/>
    <col min="3" max="3" width="83.7109375" style="165" customWidth="1"/>
    <col min="4" max="4" width="20.140625" style="165" hidden="1" customWidth="1"/>
    <col min="5" max="5" width="15.42578125" style="187" bestFit="1" customWidth="1"/>
    <col min="6" max="6" width="15.42578125" style="165" bestFit="1" customWidth="1"/>
    <col min="7" max="7" width="1.42578125" style="165" customWidth="1"/>
    <col min="8" max="16384" width="9.140625" style="165"/>
  </cols>
  <sheetData>
    <row r="1" spans="1:7" s="157" customFormat="1" ht="4.5" hidden="1" customHeight="1" x14ac:dyDescent="0.2">
      <c r="A1" s="155"/>
      <c r="B1" s="156"/>
      <c r="C1" s="156"/>
      <c r="E1" s="158"/>
      <c r="F1" s="156"/>
      <c r="G1" s="159"/>
    </row>
    <row r="2" spans="1:7" ht="6" hidden="1" customHeight="1" x14ac:dyDescent="0.2">
      <c r="A2" s="160"/>
      <c r="B2" s="161"/>
      <c r="C2" s="161"/>
      <c r="D2" s="162"/>
      <c r="E2" s="163"/>
      <c r="F2" s="161"/>
      <c r="G2" s="164"/>
    </row>
    <row r="3" spans="1:7" ht="18" customHeight="1" x14ac:dyDescent="0.3">
      <c r="A3" s="613" t="s">
        <v>40</v>
      </c>
      <c r="B3" s="638"/>
      <c r="C3" s="638"/>
      <c r="D3" s="638"/>
      <c r="E3" s="638"/>
      <c r="F3" s="638"/>
      <c r="G3" s="639"/>
    </row>
    <row r="4" spans="1:7" ht="18" customHeight="1" x14ac:dyDescent="0.25">
      <c r="A4" s="616" t="s">
        <v>7372</v>
      </c>
      <c r="B4" s="617"/>
      <c r="C4" s="617"/>
      <c r="D4" s="617"/>
      <c r="E4" s="617"/>
      <c r="F4" s="617"/>
      <c r="G4" s="618"/>
    </row>
    <row r="5" spans="1:7" ht="18" customHeight="1" x14ac:dyDescent="0.25">
      <c r="A5" s="616" t="s">
        <v>7373</v>
      </c>
      <c r="B5" s="617"/>
      <c r="C5" s="617"/>
      <c r="D5" s="617"/>
      <c r="E5" s="617"/>
      <c r="F5" s="617"/>
      <c r="G5" s="618"/>
    </row>
    <row r="6" spans="1:7" ht="22.5" customHeight="1" x14ac:dyDescent="0.2">
      <c r="A6" s="640" t="s">
        <v>7374</v>
      </c>
      <c r="B6" s="641"/>
      <c r="C6" s="641"/>
      <c r="D6" s="641"/>
      <c r="E6" s="641"/>
      <c r="F6" s="641"/>
      <c r="G6" s="642"/>
    </row>
    <row r="7" spans="1:7" ht="16.5" thickBot="1" x14ac:dyDescent="0.3">
      <c r="A7" s="643" t="s">
        <v>39</v>
      </c>
      <c r="B7" s="644"/>
      <c r="C7" s="644"/>
      <c r="D7" s="644"/>
      <c r="E7" s="644"/>
      <c r="F7" s="644"/>
      <c r="G7" s="645"/>
    </row>
    <row r="8" spans="1:7" x14ac:dyDescent="0.2">
      <c r="A8" s="166"/>
      <c r="B8" s="167"/>
      <c r="C8" s="167"/>
      <c r="D8" s="167"/>
      <c r="E8" s="168" t="s">
        <v>1763</v>
      </c>
      <c r="F8" s="169" t="s">
        <v>732</v>
      </c>
      <c r="G8" s="170"/>
    </row>
    <row r="9" spans="1:7" x14ac:dyDescent="0.2">
      <c r="A9" s="171" t="s">
        <v>7375</v>
      </c>
      <c r="B9" s="167"/>
      <c r="C9" s="167"/>
      <c r="D9" s="172" t="s">
        <v>7376</v>
      </c>
      <c r="E9" s="173"/>
      <c r="F9" s="173"/>
      <c r="G9" s="170"/>
    </row>
    <row r="10" spans="1:7" x14ac:dyDescent="0.2">
      <c r="A10" s="171" t="s">
        <v>7377</v>
      </c>
      <c r="B10" s="167"/>
      <c r="C10" s="174"/>
      <c r="D10" s="167" t="s">
        <v>7378</v>
      </c>
      <c r="E10" s="175">
        <v>6294675711</v>
      </c>
      <c r="F10" s="175">
        <v>5450985750</v>
      </c>
      <c r="G10" s="170"/>
    </row>
    <row r="11" spans="1:7" x14ac:dyDescent="0.2">
      <c r="A11" s="166"/>
      <c r="B11" s="176" t="s">
        <v>511</v>
      </c>
      <c r="C11" s="174"/>
      <c r="D11" s="167" t="s">
        <v>7379</v>
      </c>
      <c r="E11" s="177">
        <v>2482436551</v>
      </c>
      <c r="F11" s="177">
        <v>2145197733</v>
      </c>
      <c r="G11" s="170"/>
    </row>
    <row r="12" spans="1:7" x14ac:dyDescent="0.2">
      <c r="A12" s="166"/>
      <c r="B12" s="176" t="s">
        <v>7380</v>
      </c>
      <c r="C12" s="174"/>
      <c r="D12" s="167"/>
      <c r="E12" s="178">
        <v>0</v>
      </c>
      <c r="F12" s="178">
        <v>0</v>
      </c>
      <c r="G12" s="170"/>
    </row>
    <row r="13" spans="1:7" x14ac:dyDescent="0.2">
      <c r="A13" s="166"/>
      <c r="B13" s="176" t="s">
        <v>7381</v>
      </c>
      <c r="C13" s="174"/>
      <c r="D13" s="167"/>
      <c r="E13" s="178">
        <v>0</v>
      </c>
      <c r="F13" s="178">
        <v>0</v>
      </c>
      <c r="G13" s="170"/>
    </row>
    <row r="14" spans="1:7" x14ac:dyDescent="0.2">
      <c r="A14" s="166"/>
      <c r="B14" s="176" t="s">
        <v>529</v>
      </c>
      <c r="C14" s="174"/>
      <c r="D14" s="167"/>
      <c r="E14" s="177">
        <v>1564184016</v>
      </c>
      <c r="F14" s="177">
        <v>1268701282</v>
      </c>
      <c r="G14" s="170"/>
    </row>
    <row r="15" spans="1:7" x14ac:dyDescent="0.2">
      <c r="A15" s="166"/>
      <c r="B15" s="176" t="s">
        <v>7382</v>
      </c>
      <c r="C15" s="174"/>
      <c r="D15" s="167"/>
      <c r="E15" s="177">
        <v>43669169</v>
      </c>
      <c r="F15" s="177">
        <v>17670557</v>
      </c>
      <c r="G15" s="170"/>
    </row>
    <row r="16" spans="1:7" x14ac:dyDescent="0.2">
      <c r="A16" s="166"/>
      <c r="B16" s="176" t="s">
        <v>7383</v>
      </c>
      <c r="C16" s="174"/>
      <c r="D16" s="167"/>
      <c r="E16" s="177">
        <v>2195429501</v>
      </c>
      <c r="F16" s="177">
        <v>1989870239</v>
      </c>
      <c r="G16" s="170"/>
    </row>
    <row r="17" spans="1:7" x14ac:dyDescent="0.2">
      <c r="A17" s="166"/>
      <c r="B17" s="176" t="s">
        <v>7384</v>
      </c>
      <c r="C17" s="174"/>
      <c r="D17" s="167"/>
      <c r="E17" s="177">
        <v>5530415</v>
      </c>
      <c r="F17" s="177">
        <v>5835973</v>
      </c>
      <c r="G17" s="170"/>
    </row>
    <row r="18" spans="1:7" ht="38.25" customHeight="1" x14ac:dyDescent="0.2">
      <c r="A18" s="166"/>
      <c r="B18" s="646" t="s">
        <v>7385</v>
      </c>
      <c r="C18" s="646"/>
      <c r="D18" s="167"/>
      <c r="E18" s="179">
        <v>3426059</v>
      </c>
      <c r="F18" s="179">
        <v>23709966</v>
      </c>
      <c r="G18" s="170"/>
    </row>
    <row r="19" spans="1:7" x14ac:dyDescent="0.2">
      <c r="A19" s="171" t="s">
        <v>7386</v>
      </c>
      <c r="B19" s="180"/>
      <c r="C19" s="174"/>
      <c r="D19" s="167"/>
      <c r="E19" s="181">
        <v>45514226105</v>
      </c>
      <c r="F19" s="181">
        <v>44475732630</v>
      </c>
      <c r="G19" s="170"/>
    </row>
    <row r="20" spans="1:7" x14ac:dyDescent="0.2">
      <c r="A20" s="166"/>
      <c r="B20" s="176" t="s">
        <v>7387</v>
      </c>
      <c r="C20" s="174"/>
      <c r="D20" s="167"/>
      <c r="E20" s="177">
        <v>34297043155</v>
      </c>
      <c r="F20" s="177">
        <v>30903321510</v>
      </c>
      <c r="G20" s="170"/>
    </row>
    <row r="21" spans="1:7" x14ac:dyDescent="0.2">
      <c r="A21" s="166"/>
      <c r="B21" s="176" t="s">
        <v>7388</v>
      </c>
      <c r="C21" s="174"/>
      <c r="D21" s="167"/>
      <c r="E21" s="177">
        <v>11217182950</v>
      </c>
      <c r="F21" s="177">
        <v>13572411120</v>
      </c>
      <c r="G21" s="170"/>
    </row>
    <row r="22" spans="1:7" x14ac:dyDescent="0.2">
      <c r="A22" s="171" t="s">
        <v>7389</v>
      </c>
      <c r="B22" s="180"/>
      <c r="C22" s="174"/>
      <c r="D22" s="167"/>
      <c r="E22" s="181">
        <v>18776476</v>
      </c>
      <c r="F22" s="181">
        <v>42747960</v>
      </c>
      <c r="G22" s="170"/>
    </row>
    <row r="23" spans="1:7" x14ac:dyDescent="0.2">
      <c r="A23" s="166"/>
      <c r="B23" s="167" t="s">
        <v>7390</v>
      </c>
      <c r="C23" s="174"/>
      <c r="D23" s="167"/>
      <c r="E23" s="178">
        <v>0</v>
      </c>
      <c r="F23" s="178">
        <v>0</v>
      </c>
      <c r="G23" s="170"/>
    </row>
    <row r="24" spans="1:7" x14ac:dyDescent="0.2">
      <c r="A24" s="166"/>
      <c r="B24" s="167" t="s">
        <v>7391</v>
      </c>
      <c r="C24" s="174"/>
      <c r="D24" s="167"/>
      <c r="E24" s="178">
        <v>0</v>
      </c>
      <c r="F24" s="178">
        <v>0</v>
      </c>
      <c r="G24" s="170"/>
    </row>
    <row r="25" spans="1:7" x14ac:dyDescent="0.2">
      <c r="A25" s="166"/>
      <c r="B25" s="167" t="s">
        <v>7392</v>
      </c>
      <c r="C25" s="174"/>
      <c r="D25" s="167"/>
      <c r="E25" s="178">
        <v>0</v>
      </c>
      <c r="F25" s="178">
        <v>0</v>
      </c>
      <c r="G25" s="170"/>
    </row>
    <row r="26" spans="1:7" x14ac:dyDescent="0.2">
      <c r="A26" s="166"/>
      <c r="B26" s="167" t="s">
        <v>7393</v>
      </c>
      <c r="C26" s="174"/>
      <c r="D26" s="167"/>
      <c r="E26" s="178">
        <v>0</v>
      </c>
      <c r="F26" s="178">
        <v>0</v>
      </c>
      <c r="G26" s="170"/>
    </row>
    <row r="27" spans="1:7" x14ac:dyDescent="0.2">
      <c r="A27" s="166"/>
      <c r="B27" s="167" t="s">
        <v>7394</v>
      </c>
      <c r="C27" s="174"/>
      <c r="D27" s="167"/>
      <c r="E27" s="177">
        <v>18776476</v>
      </c>
      <c r="F27" s="177">
        <v>42747960</v>
      </c>
      <c r="G27" s="170"/>
    </row>
    <row r="28" spans="1:7" ht="6.75" customHeight="1" x14ac:dyDescent="0.2">
      <c r="A28" s="166"/>
      <c r="B28" s="167"/>
      <c r="C28" s="174"/>
      <c r="D28" s="167"/>
      <c r="E28" s="181"/>
      <c r="F28" s="182"/>
      <c r="G28" s="170"/>
    </row>
    <row r="29" spans="1:7" x14ac:dyDescent="0.2">
      <c r="A29" s="171" t="s">
        <v>7395</v>
      </c>
      <c r="B29" s="167"/>
      <c r="C29" s="174"/>
      <c r="D29" s="167"/>
      <c r="E29" s="181">
        <v>51827678292</v>
      </c>
      <c r="F29" s="181">
        <v>49969466340</v>
      </c>
      <c r="G29" s="170"/>
    </row>
    <row r="30" spans="1:7" ht="6" customHeight="1" x14ac:dyDescent="0.2">
      <c r="A30" s="166"/>
      <c r="B30" s="167"/>
      <c r="C30" s="174"/>
      <c r="D30" s="167"/>
      <c r="E30" s="181"/>
      <c r="F30" s="182"/>
      <c r="G30" s="170"/>
    </row>
    <row r="31" spans="1:7" x14ac:dyDescent="0.2">
      <c r="A31" s="171" t="s">
        <v>7396</v>
      </c>
      <c r="B31" s="167"/>
      <c r="C31" s="174"/>
      <c r="D31" s="167"/>
      <c r="E31" s="181"/>
      <c r="F31" s="181"/>
      <c r="G31" s="170"/>
    </row>
    <row r="32" spans="1:7" x14ac:dyDescent="0.2">
      <c r="A32" s="171" t="s">
        <v>7397</v>
      </c>
      <c r="B32" s="167"/>
      <c r="C32" s="174"/>
      <c r="D32" s="167"/>
      <c r="E32" s="181">
        <v>11227247225</v>
      </c>
      <c r="F32" s="181">
        <v>9361686349</v>
      </c>
      <c r="G32" s="170"/>
    </row>
    <row r="33" spans="1:7" x14ac:dyDescent="0.2">
      <c r="A33" s="166"/>
      <c r="B33" s="167" t="s">
        <v>476</v>
      </c>
      <c r="C33" s="174"/>
      <c r="D33" s="167"/>
      <c r="E33" s="177">
        <v>8121119204</v>
      </c>
      <c r="F33" s="177">
        <v>7563786966</v>
      </c>
      <c r="G33" s="170"/>
    </row>
    <row r="34" spans="1:7" x14ac:dyDescent="0.2">
      <c r="A34" s="166"/>
      <c r="B34" s="167" t="s">
        <v>7398</v>
      </c>
      <c r="C34" s="174"/>
      <c r="D34" s="167"/>
      <c r="E34" s="177">
        <v>801202702</v>
      </c>
      <c r="F34" s="177">
        <v>802089079</v>
      </c>
      <c r="G34" s="170"/>
    </row>
    <row r="35" spans="1:7" x14ac:dyDescent="0.2">
      <c r="A35" s="166"/>
      <c r="B35" s="167" t="s">
        <v>391</v>
      </c>
      <c r="C35" s="174"/>
      <c r="D35" s="167"/>
      <c r="E35" s="177">
        <v>2304925319</v>
      </c>
      <c r="F35" s="177">
        <v>995810304</v>
      </c>
      <c r="G35" s="170"/>
    </row>
    <row r="36" spans="1:7" x14ac:dyDescent="0.2">
      <c r="A36" s="171" t="s">
        <v>7399</v>
      </c>
      <c r="B36" s="167"/>
      <c r="C36" s="167"/>
      <c r="D36" s="167"/>
      <c r="E36" s="181">
        <v>32655443723</v>
      </c>
      <c r="F36" s="181">
        <v>31053199185</v>
      </c>
      <c r="G36" s="170"/>
    </row>
    <row r="37" spans="1:7" x14ac:dyDescent="0.2">
      <c r="A37" s="166"/>
      <c r="B37" s="167" t="s">
        <v>7400</v>
      </c>
      <c r="C37" s="167"/>
      <c r="D37" s="167"/>
      <c r="E37" s="177">
        <v>31195257162</v>
      </c>
      <c r="F37" s="177">
        <v>29895684129</v>
      </c>
      <c r="G37" s="170"/>
    </row>
    <row r="38" spans="1:7" x14ac:dyDescent="0.2">
      <c r="A38" s="166"/>
      <c r="B38" s="167" t="s">
        <v>7401</v>
      </c>
      <c r="C38" s="167"/>
      <c r="D38" s="167"/>
      <c r="E38" s="177">
        <v>43994811</v>
      </c>
      <c r="F38" s="177">
        <v>203726403</v>
      </c>
      <c r="G38" s="170"/>
    </row>
    <row r="39" spans="1:7" x14ac:dyDescent="0.2">
      <c r="A39" s="166"/>
      <c r="B39" s="167" t="s">
        <v>7402</v>
      </c>
      <c r="C39" s="167"/>
      <c r="D39" s="167"/>
      <c r="E39" s="177">
        <v>534885744</v>
      </c>
      <c r="F39" s="177">
        <v>139323073</v>
      </c>
      <c r="G39" s="170"/>
    </row>
    <row r="40" spans="1:7" x14ac:dyDescent="0.2">
      <c r="A40" s="166"/>
      <c r="B40" s="167" t="s">
        <v>1743</v>
      </c>
      <c r="C40" s="167"/>
      <c r="D40" s="167"/>
      <c r="E40" s="177">
        <v>821306006</v>
      </c>
      <c r="F40" s="177">
        <v>616743961</v>
      </c>
      <c r="G40" s="170"/>
    </row>
    <row r="41" spans="1:7" x14ac:dyDescent="0.2">
      <c r="A41" s="166"/>
      <c r="B41" s="167" t="s">
        <v>7403</v>
      </c>
      <c r="C41" s="167"/>
      <c r="D41" s="167"/>
      <c r="E41" s="177">
        <v>60000000</v>
      </c>
      <c r="F41" s="177">
        <v>172305459</v>
      </c>
      <c r="G41" s="170"/>
    </row>
    <row r="42" spans="1:7" x14ac:dyDescent="0.2">
      <c r="A42" s="166"/>
      <c r="B42" s="167" t="s">
        <v>7404</v>
      </c>
      <c r="C42" s="167"/>
      <c r="D42" s="167"/>
      <c r="E42" s="178">
        <v>0</v>
      </c>
      <c r="F42" s="177">
        <v>25416160</v>
      </c>
      <c r="G42" s="170"/>
    </row>
    <row r="43" spans="1:7" x14ac:dyDescent="0.2">
      <c r="A43" s="166"/>
      <c r="B43" s="167" t="s">
        <v>7405</v>
      </c>
      <c r="C43" s="167"/>
      <c r="D43" s="167"/>
      <c r="E43" s="178">
        <v>0</v>
      </c>
      <c r="F43" s="178">
        <v>0</v>
      </c>
      <c r="G43" s="170"/>
    </row>
    <row r="44" spans="1:7" x14ac:dyDescent="0.2">
      <c r="A44" s="166"/>
      <c r="B44" s="167" t="s">
        <v>7406</v>
      </c>
      <c r="C44" s="167"/>
      <c r="D44" s="167"/>
      <c r="E44" s="178">
        <v>0</v>
      </c>
      <c r="F44" s="178">
        <v>0</v>
      </c>
      <c r="G44" s="170"/>
    </row>
    <row r="45" spans="1:7" x14ac:dyDescent="0.2">
      <c r="A45" s="166"/>
      <c r="B45" s="167" t="s">
        <v>7407</v>
      </c>
      <c r="C45" s="167"/>
      <c r="D45" s="167"/>
      <c r="E45" s="178">
        <v>0</v>
      </c>
      <c r="F45" s="178">
        <v>0</v>
      </c>
      <c r="G45" s="170"/>
    </row>
    <row r="46" spans="1:7" x14ac:dyDescent="0.2">
      <c r="A46" s="171" t="s">
        <v>7408</v>
      </c>
      <c r="B46" s="167"/>
      <c r="C46" s="167"/>
      <c r="D46" s="167"/>
      <c r="E46" s="181">
        <v>7071305704</v>
      </c>
      <c r="F46" s="181">
        <v>8558666852</v>
      </c>
      <c r="G46" s="170"/>
    </row>
    <row r="47" spans="1:7" x14ac:dyDescent="0.2">
      <c r="A47" s="171"/>
      <c r="B47" s="167" t="s">
        <v>581</v>
      </c>
      <c r="C47" s="167"/>
      <c r="D47" s="167"/>
      <c r="E47" s="177">
        <v>3848856992</v>
      </c>
      <c r="F47" s="177">
        <v>3664211464</v>
      </c>
      <c r="G47" s="170"/>
    </row>
    <row r="48" spans="1:7" x14ac:dyDescent="0.2">
      <c r="A48" s="171"/>
      <c r="B48" s="167" t="s">
        <v>27</v>
      </c>
      <c r="C48" s="167"/>
      <c r="D48" s="167"/>
      <c r="E48" s="177">
        <v>2014225542</v>
      </c>
      <c r="F48" s="177">
        <v>1876477438</v>
      </c>
      <c r="G48" s="170"/>
    </row>
    <row r="49" spans="1:7" x14ac:dyDescent="0.2">
      <c r="A49" s="171"/>
      <c r="B49" s="167" t="s">
        <v>715</v>
      </c>
      <c r="C49" s="167"/>
      <c r="D49" s="167"/>
      <c r="E49" s="177">
        <v>1208223170</v>
      </c>
      <c r="F49" s="177">
        <v>3017977950</v>
      </c>
      <c r="G49" s="170"/>
    </row>
    <row r="50" spans="1:7" x14ac:dyDescent="0.2">
      <c r="A50" s="171" t="s">
        <v>7409</v>
      </c>
      <c r="B50" s="167"/>
      <c r="C50" s="167"/>
      <c r="D50" s="167"/>
      <c r="E50" s="181">
        <v>1506276513</v>
      </c>
      <c r="F50" s="181">
        <v>1399274583</v>
      </c>
      <c r="G50" s="170"/>
    </row>
    <row r="51" spans="1:7" x14ac:dyDescent="0.2">
      <c r="A51" s="171"/>
      <c r="B51" s="167" t="s">
        <v>7410</v>
      </c>
      <c r="C51" s="167"/>
      <c r="D51" s="167"/>
      <c r="E51" s="177">
        <v>1009918685</v>
      </c>
      <c r="F51" s="177">
        <v>743186643</v>
      </c>
      <c r="G51" s="170"/>
    </row>
    <row r="52" spans="1:7" x14ac:dyDescent="0.2">
      <c r="A52" s="171"/>
      <c r="B52" s="167" t="s">
        <v>7411</v>
      </c>
      <c r="C52" s="167"/>
      <c r="D52" s="167"/>
      <c r="E52" s="177">
        <v>43552804</v>
      </c>
      <c r="F52" s="177">
        <v>133296289</v>
      </c>
      <c r="G52" s="170"/>
    </row>
    <row r="53" spans="1:7" x14ac:dyDescent="0.2">
      <c r="A53" s="171"/>
      <c r="B53" s="167" t="s">
        <v>7412</v>
      </c>
      <c r="C53" s="167"/>
      <c r="D53" s="167"/>
      <c r="E53" s="177">
        <v>187851211</v>
      </c>
      <c r="F53" s="177">
        <v>253745240</v>
      </c>
      <c r="G53" s="170"/>
    </row>
    <row r="54" spans="1:7" x14ac:dyDescent="0.2">
      <c r="A54" s="171"/>
      <c r="B54" s="167" t="s">
        <v>7105</v>
      </c>
      <c r="C54" s="167"/>
      <c r="D54" s="167"/>
      <c r="E54" s="177">
        <v>52662998</v>
      </c>
      <c r="F54" s="177">
        <v>71632724</v>
      </c>
      <c r="G54" s="170"/>
    </row>
    <row r="55" spans="1:7" x14ac:dyDescent="0.2">
      <c r="A55" s="171"/>
      <c r="B55" s="167" t="s">
        <v>7110</v>
      </c>
      <c r="C55" s="167"/>
      <c r="D55" s="167"/>
      <c r="E55" s="177">
        <v>212290815</v>
      </c>
      <c r="F55" s="177">
        <v>197413687</v>
      </c>
      <c r="G55" s="170"/>
    </row>
    <row r="56" spans="1:7" x14ac:dyDescent="0.2">
      <c r="A56" s="171" t="s">
        <v>7413</v>
      </c>
      <c r="B56" s="167"/>
      <c r="C56" s="167"/>
      <c r="D56" s="167"/>
      <c r="E56" s="181">
        <v>434970331</v>
      </c>
      <c r="F56" s="181">
        <v>358578345</v>
      </c>
      <c r="G56" s="170"/>
    </row>
    <row r="57" spans="1:7" x14ac:dyDescent="0.2">
      <c r="A57" s="171"/>
      <c r="B57" s="167" t="s">
        <v>7414</v>
      </c>
      <c r="C57" s="167"/>
      <c r="D57" s="167"/>
      <c r="E57" s="177">
        <v>419874632</v>
      </c>
      <c r="F57" s="177">
        <v>357774453</v>
      </c>
      <c r="G57" s="170"/>
    </row>
    <row r="58" spans="1:7" x14ac:dyDescent="0.2">
      <c r="A58" s="171"/>
      <c r="B58" s="167" t="s">
        <v>7415</v>
      </c>
      <c r="C58" s="167"/>
      <c r="D58" s="167"/>
      <c r="E58" s="178">
        <v>0</v>
      </c>
      <c r="F58" s="178">
        <v>0</v>
      </c>
      <c r="G58" s="170"/>
    </row>
    <row r="59" spans="1:7" x14ac:dyDescent="0.2">
      <c r="A59" s="171"/>
      <c r="B59" s="167" t="s">
        <v>7416</v>
      </c>
      <c r="C59" s="167"/>
      <c r="D59" s="167"/>
      <c r="E59" s="178">
        <v>0</v>
      </c>
      <c r="F59" s="178">
        <v>0</v>
      </c>
      <c r="G59" s="170"/>
    </row>
    <row r="60" spans="1:7" x14ac:dyDescent="0.2">
      <c r="A60" s="171"/>
      <c r="B60" s="167" t="s">
        <v>7417</v>
      </c>
      <c r="C60" s="167"/>
      <c r="D60" s="167"/>
      <c r="E60" s="178">
        <v>0</v>
      </c>
      <c r="F60" s="178">
        <v>0</v>
      </c>
      <c r="G60" s="170"/>
    </row>
    <row r="61" spans="1:7" x14ac:dyDescent="0.2">
      <c r="A61" s="171"/>
      <c r="B61" s="167" t="s">
        <v>7418</v>
      </c>
      <c r="C61" s="167"/>
      <c r="D61" s="167"/>
      <c r="E61" s="178">
        <v>0</v>
      </c>
      <c r="F61" s="178">
        <v>0</v>
      </c>
      <c r="G61" s="170"/>
    </row>
    <row r="62" spans="1:7" x14ac:dyDescent="0.2">
      <c r="A62" s="171"/>
      <c r="B62" s="167" t="s">
        <v>115</v>
      </c>
      <c r="C62" s="167"/>
      <c r="D62" s="167"/>
      <c r="E62" s="177">
        <v>15095699</v>
      </c>
      <c r="F62" s="177">
        <v>803892</v>
      </c>
      <c r="G62" s="170"/>
    </row>
    <row r="63" spans="1:7" x14ac:dyDescent="0.2">
      <c r="A63" s="171" t="s">
        <v>405</v>
      </c>
      <c r="B63" s="167"/>
      <c r="C63" s="167"/>
      <c r="D63" s="167"/>
      <c r="E63" s="181">
        <v>0</v>
      </c>
      <c r="F63" s="181">
        <v>14652423</v>
      </c>
      <c r="G63" s="170"/>
    </row>
    <row r="64" spans="1:7" x14ac:dyDescent="0.2">
      <c r="A64" s="171"/>
      <c r="B64" s="167" t="s">
        <v>7419</v>
      </c>
      <c r="C64" s="167"/>
      <c r="D64" s="167"/>
      <c r="E64" s="178">
        <v>0</v>
      </c>
      <c r="F64" s="177">
        <v>14652423</v>
      </c>
      <c r="G64" s="170"/>
    </row>
    <row r="65" spans="1:7" ht="7.5" customHeight="1" x14ac:dyDescent="0.2">
      <c r="A65" s="171"/>
      <c r="B65" s="167"/>
      <c r="C65" s="167"/>
      <c r="D65" s="167"/>
      <c r="E65" s="181"/>
      <c r="F65" s="182"/>
      <c r="G65" s="170"/>
    </row>
    <row r="66" spans="1:7" x14ac:dyDescent="0.2">
      <c r="A66" s="171" t="s">
        <v>7420</v>
      </c>
      <c r="B66" s="167"/>
      <c r="C66" s="167"/>
      <c r="D66" s="167"/>
      <c r="E66" s="181">
        <v>52895243496</v>
      </c>
      <c r="F66" s="181">
        <v>50746057737</v>
      </c>
      <c r="G66" s="170"/>
    </row>
    <row r="67" spans="1:7" ht="4.5" customHeight="1" x14ac:dyDescent="0.2">
      <c r="A67" s="166"/>
      <c r="B67" s="167"/>
      <c r="C67" s="167"/>
      <c r="D67" s="167"/>
      <c r="E67" s="181"/>
      <c r="F67" s="182"/>
      <c r="G67" s="170"/>
    </row>
    <row r="68" spans="1:7" x14ac:dyDescent="0.2">
      <c r="A68" s="171" t="s">
        <v>7421</v>
      </c>
      <c r="B68" s="167"/>
      <c r="C68" s="167"/>
      <c r="D68" s="167"/>
      <c r="E68" s="181">
        <v>-1067565204</v>
      </c>
      <c r="F68" s="181">
        <v>-776591397</v>
      </c>
      <c r="G68" s="170"/>
    </row>
    <row r="69" spans="1:7" ht="5.25" customHeight="1" thickBot="1" x14ac:dyDescent="0.25">
      <c r="A69" s="183"/>
      <c r="B69" s="184"/>
      <c r="C69" s="184"/>
      <c r="D69" s="184"/>
      <c r="E69" s="184"/>
      <c r="F69" s="185"/>
      <c r="G69" s="186"/>
    </row>
    <row r="72" spans="1:7" x14ac:dyDescent="0.2">
      <c r="E72" s="165"/>
      <c r="G72" s="187"/>
    </row>
    <row r="73" spans="1:7" x14ac:dyDescent="0.2">
      <c r="E73" s="165"/>
    </row>
    <row r="74" spans="1:7" x14ac:dyDescent="0.2">
      <c r="A74" s="637" t="s">
        <v>7238</v>
      </c>
      <c r="B74" s="637"/>
      <c r="C74" s="637"/>
      <c r="D74" s="637"/>
      <c r="E74" s="637"/>
      <c r="F74" s="637"/>
      <c r="G74" s="637"/>
    </row>
    <row r="75" spans="1:7" x14ac:dyDescent="0.2">
      <c r="A75" s="637" t="s">
        <v>7239</v>
      </c>
      <c r="B75" s="637"/>
      <c r="C75" s="637"/>
      <c r="D75" s="637"/>
      <c r="E75" s="637"/>
      <c r="F75" s="637"/>
      <c r="G75" s="637"/>
    </row>
  </sheetData>
  <mergeCells count="8">
    <mergeCell ref="A74:G74"/>
    <mergeCell ref="A75:G75"/>
    <mergeCell ref="A3:G3"/>
    <mergeCell ref="A4:G4"/>
    <mergeCell ref="A5:G5"/>
    <mergeCell ref="A6:G6"/>
    <mergeCell ref="A7:G7"/>
    <mergeCell ref="B18:C18"/>
  </mergeCells>
  <pageMargins left="0.7" right="0.7" top="0.75" bottom="0.75" header="0.3" footer="0.3"/>
  <pageSetup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topLeftCell="A3" workbookViewId="0">
      <selection activeCell="J12" sqref="J12"/>
    </sheetView>
  </sheetViews>
  <sheetFormatPr baseColWidth="10" defaultColWidth="9.140625" defaultRowHeight="12.75" x14ac:dyDescent="0.2"/>
  <cols>
    <col min="1" max="1" width="76.42578125" customWidth="1"/>
    <col min="2" max="2" width="2" hidden="1" customWidth="1"/>
    <col min="3" max="3" width="19" customWidth="1"/>
    <col min="4" max="4" width="13.85546875" bestFit="1" customWidth="1"/>
    <col min="5" max="5" width="14.28515625" style="1" bestFit="1" customWidth="1"/>
    <col min="6" max="6" width="14.85546875" style="1" bestFit="1" customWidth="1"/>
    <col min="7" max="7" width="14.5703125" bestFit="1" customWidth="1"/>
  </cols>
  <sheetData>
    <row r="1" spans="1:7" s="82" customFormat="1" ht="13.5" hidden="1" thickBot="1" x14ac:dyDescent="0.25">
      <c r="A1" s="78" t="s">
        <v>1763</v>
      </c>
      <c r="B1" s="79" t="s">
        <v>1762</v>
      </c>
      <c r="C1" s="79" t="s">
        <v>731</v>
      </c>
      <c r="D1" s="79" t="s">
        <v>1772</v>
      </c>
      <c r="E1" s="188" t="s">
        <v>1772</v>
      </c>
      <c r="F1" s="188" t="s">
        <v>41</v>
      </c>
      <c r="G1" s="81" t="s">
        <v>7233</v>
      </c>
    </row>
    <row r="2" spans="1:7" ht="13.5" hidden="1" thickBot="1" x14ac:dyDescent="0.25">
      <c r="A2" s="8"/>
      <c r="B2" s="7"/>
      <c r="C2" s="7"/>
      <c r="D2" s="7"/>
      <c r="E2" s="189"/>
      <c r="F2" s="189"/>
      <c r="G2" s="18"/>
    </row>
    <row r="3" spans="1:7" ht="18.75" x14ac:dyDescent="0.3">
      <c r="A3" s="613" t="s">
        <v>40</v>
      </c>
      <c r="B3" s="638"/>
      <c r="C3" s="638"/>
      <c r="D3" s="638"/>
      <c r="E3" s="638"/>
      <c r="F3" s="638"/>
      <c r="G3" s="639"/>
    </row>
    <row r="4" spans="1:7" ht="15.75" x14ac:dyDescent="0.25">
      <c r="A4" s="616" t="s">
        <v>7422</v>
      </c>
      <c r="B4" s="617"/>
      <c r="C4" s="617"/>
      <c r="D4" s="617"/>
      <c r="E4" s="617"/>
      <c r="F4" s="617"/>
      <c r="G4" s="618"/>
    </row>
    <row r="5" spans="1:7" ht="15.75" x14ac:dyDescent="0.2">
      <c r="A5" s="640" t="s">
        <v>7423</v>
      </c>
      <c r="B5" s="641"/>
      <c r="C5" s="641"/>
      <c r="D5" s="641"/>
      <c r="E5" s="641"/>
      <c r="F5" s="641"/>
      <c r="G5" s="642"/>
    </row>
    <row r="6" spans="1:7" ht="15.75" x14ac:dyDescent="0.2">
      <c r="A6" s="640" t="s">
        <v>7374</v>
      </c>
      <c r="B6" s="641"/>
      <c r="C6" s="641"/>
      <c r="D6" s="641"/>
      <c r="E6" s="641"/>
      <c r="F6" s="641"/>
      <c r="G6" s="642"/>
    </row>
    <row r="7" spans="1:7" ht="15.75" thickBot="1" x14ac:dyDescent="0.3">
      <c r="A7" s="648" t="s">
        <v>39</v>
      </c>
      <c r="B7" s="649"/>
      <c r="C7" s="649"/>
      <c r="D7" s="649"/>
      <c r="E7" s="649"/>
      <c r="F7" s="649"/>
      <c r="G7" s="650"/>
    </row>
    <row r="8" spans="1:7" ht="77.25" thickBot="1" x14ac:dyDescent="0.25">
      <c r="A8" s="190" t="s">
        <v>7424</v>
      </c>
      <c r="B8" s="191"/>
      <c r="C8" s="192" t="s">
        <v>7425</v>
      </c>
      <c r="D8" s="192" t="s">
        <v>7426</v>
      </c>
      <c r="E8" s="192" t="s">
        <v>7427</v>
      </c>
      <c r="F8" s="192" t="s">
        <v>7428</v>
      </c>
      <c r="G8" s="193" t="s">
        <v>7429</v>
      </c>
    </row>
    <row r="9" spans="1:7" ht="13.5" thickBot="1" x14ac:dyDescent="0.25">
      <c r="A9" s="194"/>
      <c r="B9" s="194"/>
      <c r="C9" s="195"/>
      <c r="D9" s="195"/>
      <c r="E9" s="195"/>
      <c r="F9" s="196"/>
      <c r="G9" s="197"/>
    </row>
    <row r="10" spans="1:7" x14ac:dyDescent="0.2">
      <c r="A10" s="198"/>
      <c r="B10" s="199"/>
      <c r="C10" s="200"/>
      <c r="D10" s="201"/>
      <c r="E10" s="200"/>
      <c r="F10" s="202"/>
      <c r="G10" s="203"/>
    </row>
    <row r="11" spans="1:7" x14ac:dyDescent="0.2">
      <c r="A11" s="204" t="s">
        <v>35</v>
      </c>
      <c r="B11" s="205"/>
      <c r="C11" s="206"/>
      <c r="D11" s="206">
        <v>0</v>
      </c>
      <c r="E11" s="206"/>
      <c r="F11" s="207"/>
      <c r="G11" s="208">
        <v>0</v>
      </c>
    </row>
    <row r="12" spans="1:7" x14ac:dyDescent="0.2">
      <c r="A12" s="209"/>
      <c r="B12" s="210"/>
      <c r="C12" s="206"/>
      <c r="D12" s="206"/>
      <c r="E12" s="211"/>
      <c r="F12" s="207"/>
      <c r="G12" s="206"/>
    </row>
    <row r="13" spans="1:7" x14ac:dyDescent="0.2">
      <c r="A13" s="212"/>
      <c r="B13" s="213"/>
      <c r="C13" s="206"/>
      <c r="D13" s="206"/>
      <c r="E13" s="206"/>
      <c r="F13" s="207"/>
      <c r="G13" s="206"/>
    </row>
    <row r="14" spans="1:7" x14ac:dyDescent="0.2">
      <c r="A14" s="204" t="s">
        <v>7430</v>
      </c>
      <c r="B14" s="205"/>
      <c r="C14" s="206"/>
      <c r="D14" s="206"/>
      <c r="E14" s="206"/>
      <c r="F14" s="207"/>
      <c r="G14" s="208"/>
    </row>
    <row r="15" spans="1:7" x14ac:dyDescent="0.2">
      <c r="A15" s="212" t="s">
        <v>27</v>
      </c>
      <c r="B15" s="213" t="s">
        <v>7431</v>
      </c>
      <c r="C15" s="211">
        <v>0</v>
      </c>
      <c r="D15" s="211"/>
      <c r="E15" s="206"/>
      <c r="F15" s="207"/>
      <c r="G15" s="208">
        <v>0</v>
      </c>
    </row>
    <row r="16" spans="1:7" x14ac:dyDescent="0.2">
      <c r="A16" s="212" t="s">
        <v>29</v>
      </c>
      <c r="B16" s="213" t="s">
        <v>7432</v>
      </c>
      <c r="C16" s="211">
        <v>0</v>
      </c>
      <c r="D16" s="211"/>
      <c r="E16" s="206"/>
      <c r="F16" s="207"/>
      <c r="G16" s="208">
        <v>0</v>
      </c>
    </row>
    <row r="17" spans="1:7" x14ac:dyDescent="0.2">
      <c r="A17" s="212" t="s">
        <v>7433</v>
      </c>
      <c r="B17" s="213"/>
      <c r="C17" s="211"/>
      <c r="D17" s="211"/>
      <c r="E17" s="206"/>
      <c r="F17" s="207">
        <v>0</v>
      </c>
      <c r="G17" s="208">
        <v>0</v>
      </c>
    </row>
    <row r="18" spans="1:7" x14ac:dyDescent="0.2">
      <c r="A18" s="212"/>
      <c r="B18" s="213"/>
      <c r="C18" s="206"/>
      <c r="D18" s="206"/>
      <c r="E18" s="206"/>
      <c r="F18" s="207"/>
      <c r="G18" s="206"/>
    </row>
    <row r="19" spans="1:7" x14ac:dyDescent="0.2">
      <c r="A19" s="214" t="s">
        <v>7434</v>
      </c>
      <c r="B19" s="199"/>
      <c r="C19" s="206"/>
      <c r="D19" s="206"/>
      <c r="E19" s="206"/>
      <c r="F19" s="207"/>
      <c r="G19" s="208"/>
    </row>
    <row r="20" spans="1:7" x14ac:dyDescent="0.2">
      <c r="A20" s="215" t="s">
        <v>7421</v>
      </c>
      <c r="B20" s="216" t="s">
        <v>7435</v>
      </c>
      <c r="C20" s="206"/>
      <c r="D20" s="217"/>
      <c r="E20" s="218">
        <v>-776591397</v>
      </c>
      <c r="F20" s="219"/>
      <c r="G20" s="208">
        <v>-776591397</v>
      </c>
    </row>
    <row r="21" spans="1:7" x14ac:dyDescent="0.2">
      <c r="A21" s="215" t="s">
        <v>34</v>
      </c>
      <c r="B21" s="216" t="s">
        <v>7436</v>
      </c>
      <c r="C21" s="206"/>
      <c r="D21" s="220">
        <v>4922093574</v>
      </c>
      <c r="E21" s="221"/>
      <c r="F21" s="219"/>
      <c r="G21" s="208">
        <v>4922093574</v>
      </c>
    </row>
    <row r="22" spans="1:7" x14ac:dyDescent="0.2">
      <c r="A22" s="215" t="s">
        <v>31</v>
      </c>
      <c r="B22" s="216" t="s">
        <v>7437</v>
      </c>
      <c r="C22" s="206"/>
      <c r="D22" s="222"/>
      <c r="E22" s="223"/>
      <c r="F22" s="224">
        <v>9270935174</v>
      </c>
      <c r="G22" s="208">
        <v>9270935174</v>
      </c>
    </row>
    <row r="23" spans="1:7" x14ac:dyDescent="0.2">
      <c r="A23" s="215" t="s">
        <v>32</v>
      </c>
      <c r="B23" s="216" t="s">
        <v>7438</v>
      </c>
      <c r="C23" s="206"/>
      <c r="D23" s="211">
        <v>0</v>
      </c>
      <c r="E23" s="211"/>
      <c r="F23" s="207"/>
      <c r="G23" s="208">
        <v>0</v>
      </c>
    </row>
    <row r="24" spans="1:7" x14ac:dyDescent="0.2">
      <c r="A24" s="225"/>
      <c r="B24" s="226"/>
      <c r="C24" s="208"/>
      <c r="D24" s="211"/>
      <c r="E24" s="211"/>
      <c r="F24" s="207"/>
      <c r="G24" s="206"/>
    </row>
    <row r="25" spans="1:7" x14ac:dyDescent="0.2">
      <c r="A25" s="212"/>
      <c r="B25" s="213"/>
      <c r="C25" s="206"/>
      <c r="D25" s="206"/>
      <c r="E25" s="206"/>
      <c r="F25" s="207"/>
      <c r="G25" s="206"/>
    </row>
    <row r="26" spans="1:7" x14ac:dyDescent="0.2">
      <c r="A26" s="227" t="s">
        <v>7439</v>
      </c>
      <c r="B26" s="228"/>
      <c r="C26" s="229">
        <v>0</v>
      </c>
      <c r="D26" s="229">
        <v>4922093574</v>
      </c>
      <c r="E26" s="229">
        <v>-776591397</v>
      </c>
      <c r="F26" s="229">
        <v>9270935174</v>
      </c>
      <c r="G26" s="229">
        <v>13416437351</v>
      </c>
    </row>
    <row r="27" spans="1:7" x14ac:dyDescent="0.2">
      <c r="A27" s="212"/>
      <c r="B27" s="213"/>
      <c r="C27" s="206"/>
      <c r="D27" s="211"/>
      <c r="E27" s="211"/>
      <c r="F27" s="207"/>
      <c r="G27" s="206"/>
    </row>
    <row r="28" spans="1:7" x14ac:dyDescent="0.2">
      <c r="A28" s="212"/>
      <c r="B28" s="213"/>
      <c r="C28" s="206"/>
      <c r="D28" s="211"/>
      <c r="E28" s="211"/>
      <c r="F28" s="207"/>
      <c r="G28" s="206"/>
    </row>
    <row r="29" spans="1:7" x14ac:dyDescent="0.2">
      <c r="A29" s="214" t="s">
        <v>7440</v>
      </c>
      <c r="B29" s="199"/>
      <c r="C29" s="206"/>
      <c r="D29" s="211"/>
      <c r="E29" s="211"/>
      <c r="F29" s="207"/>
      <c r="G29" s="208"/>
    </row>
    <row r="30" spans="1:7" x14ac:dyDescent="0.2">
      <c r="A30" s="215" t="s">
        <v>27</v>
      </c>
      <c r="B30" s="213"/>
      <c r="C30" s="211">
        <v>0</v>
      </c>
      <c r="D30" s="211"/>
      <c r="E30" s="206"/>
      <c r="F30" s="207"/>
      <c r="G30" s="208">
        <v>0</v>
      </c>
    </row>
    <row r="31" spans="1:7" x14ac:dyDescent="0.2">
      <c r="A31" s="215" t="s">
        <v>29</v>
      </c>
      <c r="B31" s="213"/>
      <c r="C31" s="211">
        <v>0</v>
      </c>
      <c r="D31" s="211"/>
      <c r="E31" s="206"/>
      <c r="F31" s="207"/>
      <c r="G31" s="208">
        <v>0</v>
      </c>
    </row>
    <row r="32" spans="1:7" x14ac:dyDescent="0.2">
      <c r="A32" s="215" t="s">
        <v>7433</v>
      </c>
      <c r="B32" s="213"/>
      <c r="C32" s="211"/>
      <c r="D32" s="211"/>
      <c r="E32" s="206"/>
      <c r="F32" s="207">
        <v>0</v>
      </c>
      <c r="G32" s="208">
        <v>0</v>
      </c>
    </row>
    <row r="33" spans="1:7" x14ac:dyDescent="0.2">
      <c r="A33" s="230"/>
      <c r="B33" s="213"/>
      <c r="C33" s="206"/>
      <c r="D33" s="206"/>
      <c r="E33" s="206"/>
      <c r="F33" s="207"/>
      <c r="G33" s="206"/>
    </row>
    <row r="34" spans="1:7" x14ac:dyDescent="0.2">
      <c r="A34" s="230"/>
      <c r="B34" s="213"/>
      <c r="C34" s="206"/>
      <c r="D34" s="206"/>
      <c r="E34" s="206"/>
      <c r="F34" s="207"/>
      <c r="G34" s="208"/>
    </row>
    <row r="35" spans="1:7" x14ac:dyDescent="0.2">
      <c r="A35" s="231" t="s">
        <v>7441</v>
      </c>
      <c r="B35" s="213"/>
      <c r="C35" s="206"/>
      <c r="D35" s="211"/>
      <c r="E35" s="211"/>
      <c r="F35" s="207"/>
      <c r="G35" s="206"/>
    </row>
    <row r="36" spans="1:7" x14ac:dyDescent="0.2">
      <c r="A36" s="215" t="s">
        <v>7421</v>
      </c>
      <c r="B36" s="213"/>
      <c r="C36" s="206"/>
      <c r="D36" s="222"/>
      <c r="E36" s="218">
        <v>-1067565204</v>
      </c>
      <c r="F36" s="207"/>
      <c r="G36" s="208">
        <v>-1067565204</v>
      </c>
    </row>
    <row r="37" spans="1:7" x14ac:dyDescent="0.2">
      <c r="A37" s="215" t="s">
        <v>34</v>
      </c>
      <c r="B37" s="213"/>
      <c r="C37" s="206"/>
      <c r="D37" s="220">
        <v>1131255307</v>
      </c>
      <c r="E37" s="232">
        <v>776591397</v>
      </c>
      <c r="F37" s="207"/>
      <c r="G37" s="208">
        <v>1907846704</v>
      </c>
    </row>
    <row r="38" spans="1:7" x14ac:dyDescent="0.2">
      <c r="A38" s="215" t="s">
        <v>31</v>
      </c>
      <c r="B38" s="213"/>
      <c r="C38" s="206"/>
      <c r="D38" s="211"/>
      <c r="E38" s="211"/>
      <c r="F38" s="207">
        <v>0</v>
      </c>
      <c r="G38" s="208">
        <v>0</v>
      </c>
    </row>
    <row r="39" spans="1:7" x14ac:dyDescent="0.2">
      <c r="A39" s="215" t="s">
        <v>32</v>
      </c>
      <c r="B39" s="213"/>
      <c r="C39" s="208"/>
      <c r="D39" s="211"/>
      <c r="E39" s="233"/>
      <c r="F39" s="234">
        <v>0</v>
      </c>
      <c r="G39" s="208">
        <v>0</v>
      </c>
    </row>
    <row r="40" spans="1:7" x14ac:dyDescent="0.2">
      <c r="A40" s="230"/>
      <c r="B40" s="213"/>
      <c r="C40" s="206"/>
      <c r="D40" s="206"/>
      <c r="E40" s="206"/>
      <c r="F40" s="207"/>
      <c r="G40" s="206"/>
    </row>
    <row r="41" spans="1:7" x14ac:dyDescent="0.2">
      <c r="A41" s="212"/>
      <c r="B41" s="213"/>
      <c r="C41" s="206"/>
      <c r="D41" s="206"/>
      <c r="E41" s="206"/>
      <c r="F41" s="207"/>
      <c r="G41" s="206"/>
    </row>
    <row r="42" spans="1:7" x14ac:dyDescent="0.2">
      <c r="A42" s="235" t="s">
        <v>7442</v>
      </c>
      <c r="B42" s="236"/>
      <c r="C42" s="229">
        <v>0</v>
      </c>
      <c r="D42" s="229">
        <v>6053348881</v>
      </c>
      <c r="E42" s="229">
        <v>-1067565204</v>
      </c>
      <c r="F42" s="229">
        <v>9270935174</v>
      </c>
      <c r="G42" s="229">
        <v>14256718851</v>
      </c>
    </row>
    <row r="43" spans="1:7" ht="15.75" thickBot="1" x14ac:dyDescent="0.3">
      <c r="A43" s="237"/>
      <c r="B43" s="238"/>
      <c r="C43" s="239"/>
      <c r="D43" s="239"/>
      <c r="E43" s="239"/>
      <c r="F43" s="240"/>
      <c r="G43" s="239"/>
    </row>
    <row r="46" spans="1:7" x14ac:dyDescent="0.2">
      <c r="C46" s="165"/>
      <c r="D46" s="241"/>
      <c r="E46" s="165"/>
      <c r="F46" s="165"/>
      <c r="G46" s="242"/>
    </row>
    <row r="47" spans="1:7" x14ac:dyDescent="0.2">
      <c r="C47" s="165"/>
      <c r="D47" s="241"/>
      <c r="E47" s="165"/>
      <c r="F47" s="165"/>
      <c r="G47" s="165"/>
    </row>
    <row r="48" spans="1:7" ht="15" x14ac:dyDescent="0.25">
      <c r="A48" s="647" t="s">
        <v>7238</v>
      </c>
      <c r="B48" s="647"/>
      <c r="C48" s="647"/>
      <c r="D48" s="647"/>
      <c r="E48" s="647"/>
      <c r="F48" s="647"/>
      <c r="G48" s="647"/>
    </row>
    <row r="49" spans="1:7" ht="15" x14ac:dyDescent="0.25">
      <c r="A49" s="647" t="s">
        <v>7239</v>
      </c>
      <c r="B49" s="647"/>
      <c r="C49" s="647"/>
      <c r="D49" s="647"/>
      <c r="E49" s="647"/>
      <c r="F49" s="647"/>
      <c r="G49" s="647"/>
    </row>
  </sheetData>
  <mergeCells count="7">
    <mergeCell ref="A49:G49"/>
    <mergeCell ref="A3:G3"/>
    <mergeCell ref="A4:G4"/>
    <mergeCell ref="A5:G5"/>
    <mergeCell ref="A6:G6"/>
    <mergeCell ref="A7:G7"/>
    <mergeCell ref="A48:G48"/>
  </mergeCells>
  <printOptions horizontalCentered="1"/>
  <pageMargins left="0.70866141732283472" right="0.70866141732283472" top="0.74803149606299213" bottom="0.74803149606299213" header="0.31496062992125984" footer="0.31496062992125984"/>
  <pageSetup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5"/>
  <sheetViews>
    <sheetView topLeftCell="A3" workbookViewId="0">
      <selection activeCell="H15" sqref="H15"/>
    </sheetView>
  </sheetViews>
  <sheetFormatPr baseColWidth="10" defaultColWidth="9.140625" defaultRowHeight="12.75" x14ac:dyDescent="0.2"/>
  <cols>
    <col min="1" max="1" width="3.7109375" style="165" customWidth="1"/>
    <col min="2" max="2" width="72.7109375" style="165" customWidth="1"/>
    <col min="3" max="3" width="18.28515625" style="165" hidden="1" customWidth="1"/>
    <col min="4" max="4" width="19.85546875" style="165" customWidth="1"/>
    <col min="5" max="5" width="14.5703125" style="187" customWidth="1"/>
    <col min="6" max="6" width="3.140625" style="165" customWidth="1"/>
    <col min="7" max="16384" width="9.140625" style="165"/>
  </cols>
  <sheetData>
    <row r="1" spans="1:6" s="157" customFormat="1" ht="7.5" hidden="1" customHeight="1" x14ac:dyDescent="0.2">
      <c r="A1" s="155" t="s">
        <v>1763</v>
      </c>
      <c r="B1" s="156" t="s">
        <v>1762</v>
      </c>
      <c r="C1" s="156" t="s">
        <v>1772</v>
      </c>
      <c r="D1" s="156" t="s">
        <v>731</v>
      </c>
      <c r="E1" s="243"/>
      <c r="F1" s="156" t="s">
        <v>7236</v>
      </c>
    </row>
    <row r="2" spans="1:6" ht="13.5" hidden="1" thickBot="1" x14ac:dyDescent="0.25">
      <c r="A2" s="160"/>
      <c r="B2" s="161"/>
      <c r="C2" s="161"/>
      <c r="D2" s="161"/>
      <c r="F2" s="161"/>
    </row>
    <row r="3" spans="1:6" ht="20.25" customHeight="1" x14ac:dyDescent="0.3">
      <c r="A3" s="613" t="s">
        <v>40</v>
      </c>
      <c r="B3" s="638"/>
      <c r="C3" s="638"/>
      <c r="D3" s="638"/>
      <c r="E3" s="638"/>
      <c r="F3" s="639"/>
    </row>
    <row r="4" spans="1:6" ht="15.75" x14ac:dyDescent="0.25">
      <c r="A4" s="616" t="s">
        <v>7443</v>
      </c>
      <c r="B4" s="617"/>
      <c r="C4" s="617"/>
      <c r="D4" s="617"/>
      <c r="E4" s="617"/>
      <c r="F4" s="618"/>
    </row>
    <row r="5" spans="1:6" ht="15.75" x14ac:dyDescent="0.25">
      <c r="A5" s="616" t="s">
        <v>7373</v>
      </c>
      <c r="B5" s="617"/>
      <c r="C5" s="617"/>
      <c r="D5" s="617"/>
      <c r="E5" s="617"/>
      <c r="F5" s="618"/>
    </row>
    <row r="6" spans="1:6" ht="18.75" customHeight="1" thickBot="1" x14ac:dyDescent="0.25">
      <c r="A6" s="622" t="s">
        <v>731</v>
      </c>
      <c r="B6" s="623"/>
      <c r="C6" s="623"/>
      <c r="D6" s="623"/>
      <c r="E6" s="623"/>
      <c r="F6" s="624"/>
    </row>
    <row r="7" spans="1:6" ht="13.5" thickBot="1" x14ac:dyDescent="0.25">
      <c r="A7" s="651" t="s">
        <v>39</v>
      </c>
      <c r="B7" s="652"/>
      <c r="C7" s="652"/>
      <c r="D7" s="652"/>
      <c r="E7" s="652"/>
      <c r="F7" s="653"/>
    </row>
    <row r="8" spans="1:6" ht="6.75" customHeight="1" x14ac:dyDescent="0.2">
      <c r="A8" s="244"/>
      <c r="B8" s="245"/>
      <c r="C8" s="245"/>
      <c r="D8" s="245"/>
      <c r="E8" s="246"/>
      <c r="F8" s="247"/>
    </row>
    <row r="9" spans="1:6" x14ac:dyDescent="0.2">
      <c r="A9" s="244"/>
      <c r="B9" s="245"/>
      <c r="C9" s="245"/>
      <c r="D9" s="248" t="s">
        <v>7444</v>
      </c>
      <c r="E9" s="249" t="s">
        <v>7445</v>
      </c>
      <c r="F9" s="247"/>
    </row>
    <row r="10" spans="1:6" ht="5.25" customHeight="1" x14ac:dyDescent="0.2">
      <c r="A10" s="244"/>
      <c r="B10" s="245"/>
      <c r="C10" s="245"/>
      <c r="D10" s="250"/>
      <c r="E10" s="251"/>
      <c r="F10" s="247"/>
    </row>
    <row r="11" spans="1:6" x14ac:dyDescent="0.2">
      <c r="A11" s="252" t="s">
        <v>0</v>
      </c>
      <c r="B11" s="253"/>
      <c r="C11" s="254" t="s">
        <v>7446</v>
      </c>
      <c r="D11" s="255">
        <v>417690146</v>
      </c>
      <c r="E11" s="255">
        <v>5955821262.1000004</v>
      </c>
      <c r="F11" s="247"/>
    </row>
    <row r="12" spans="1:6" x14ac:dyDescent="0.2">
      <c r="A12" s="256" t="s">
        <v>1</v>
      </c>
      <c r="B12" s="257"/>
      <c r="C12" s="258"/>
      <c r="D12" s="259">
        <v>0</v>
      </c>
      <c r="E12" s="259">
        <v>3363633018.0999999</v>
      </c>
      <c r="F12" s="260"/>
    </row>
    <row r="13" spans="1:6" x14ac:dyDescent="0.2">
      <c r="A13" s="244"/>
      <c r="B13" s="261" t="s">
        <v>7447</v>
      </c>
      <c r="C13" s="245" t="s">
        <v>7448</v>
      </c>
      <c r="D13" s="262">
        <v>0</v>
      </c>
      <c r="E13" s="263" t="s">
        <v>7449</v>
      </c>
      <c r="F13" s="247"/>
    </row>
    <row r="14" spans="1:6" x14ac:dyDescent="0.2">
      <c r="A14" s="244"/>
      <c r="B14" s="261" t="s">
        <v>7450</v>
      </c>
      <c r="C14" s="245" t="s">
        <v>7451</v>
      </c>
      <c r="D14" s="262">
        <v>0</v>
      </c>
      <c r="E14" s="264">
        <v>528259770</v>
      </c>
      <c r="F14" s="247"/>
    </row>
    <row r="15" spans="1:6" x14ac:dyDescent="0.2">
      <c r="A15" s="244"/>
      <c r="B15" s="261" t="s">
        <v>7452</v>
      </c>
      <c r="C15" s="245" t="s">
        <v>7453</v>
      </c>
      <c r="D15" s="262">
        <v>0</v>
      </c>
      <c r="E15" s="264">
        <v>130322144</v>
      </c>
      <c r="F15" s="247"/>
    </row>
    <row r="16" spans="1:6" x14ac:dyDescent="0.2">
      <c r="A16" s="244"/>
      <c r="B16" s="261" t="s">
        <v>7454</v>
      </c>
      <c r="C16" s="245" t="s">
        <v>7455</v>
      </c>
      <c r="D16" s="262">
        <v>0</v>
      </c>
      <c r="E16" s="263">
        <v>0</v>
      </c>
      <c r="F16" s="247"/>
    </row>
    <row r="17" spans="1:6" x14ac:dyDescent="0.2">
      <c r="A17" s="244"/>
      <c r="B17" s="261" t="s">
        <v>5</v>
      </c>
      <c r="C17" s="245" t="s">
        <v>7456</v>
      </c>
      <c r="D17" s="265">
        <v>0</v>
      </c>
      <c r="E17" s="263">
        <v>0</v>
      </c>
      <c r="F17" s="247"/>
    </row>
    <row r="18" spans="1:6" x14ac:dyDescent="0.2">
      <c r="A18" s="244"/>
      <c r="B18" s="261" t="s">
        <v>7457</v>
      </c>
      <c r="C18" s="266" t="s">
        <v>7458</v>
      </c>
      <c r="D18" s="265">
        <v>0</v>
      </c>
      <c r="E18" s="263">
        <v>0</v>
      </c>
      <c r="F18" s="247"/>
    </row>
    <row r="19" spans="1:6" x14ac:dyDescent="0.2">
      <c r="A19" s="244"/>
      <c r="B19" s="261" t="s">
        <v>7459</v>
      </c>
      <c r="C19" s="245" t="s">
        <v>7460</v>
      </c>
      <c r="D19" s="265">
        <v>0</v>
      </c>
      <c r="E19" s="264">
        <v>18427751</v>
      </c>
      <c r="F19" s="247"/>
    </row>
    <row r="20" spans="1:6" ht="4.5" customHeight="1" x14ac:dyDescent="0.2">
      <c r="A20" s="244"/>
      <c r="B20" s="245"/>
      <c r="C20" s="245"/>
      <c r="D20" s="262"/>
      <c r="E20" s="262"/>
      <c r="F20" s="247"/>
    </row>
    <row r="21" spans="1:6" x14ac:dyDescent="0.2">
      <c r="A21" s="256" t="s">
        <v>7</v>
      </c>
      <c r="B21" s="257"/>
      <c r="C21" s="258"/>
      <c r="D21" s="259">
        <v>417690146</v>
      </c>
      <c r="E21" s="259">
        <v>2592188244</v>
      </c>
      <c r="F21" s="247"/>
    </row>
    <row r="22" spans="1:6" x14ac:dyDescent="0.2">
      <c r="A22" s="244"/>
      <c r="B22" s="261" t="s">
        <v>7461</v>
      </c>
      <c r="C22" s="245"/>
      <c r="D22" s="263">
        <v>0</v>
      </c>
      <c r="E22" s="264">
        <v>72132760</v>
      </c>
      <c r="F22" s="247"/>
    </row>
    <row r="23" spans="1:6" x14ac:dyDescent="0.2">
      <c r="A23" s="244"/>
      <c r="B23" s="261" t="s">
        <v>154</v>
      </c>
      <c r="C23" s="245" t="s">
        <v>7462</v>
      </c>
      <c r="D23" s="263">
        <v>0</v>
      </c>
      <c r="E23" s="263">
        <v>0</v>
      </c>
      <c r="F23" s="247"/>
    </row>
    <row r="24" spans="1:6" x14ac:dyDescent="0.2">
      <c r="A24" s="244"/>
      <c r="B24" s="261" t="s">
        <v>7463</v>
      </c>
      <c r="C24" s="245" t="s">
        <v>7464</v>
      </c>
      <c r="D24" s="263">
        <v>0</v>
      </c>
      <c r="E24" s="264">
        <v>2343612313</v>
      </c>
      <c r="F24" s="247"/>
    </row>
    <row r="25" spans="1:6" x14ac:dyDescent="0.2">
      <c r="A25" s="244"/>
      <c r="B25" s="261" t="s">
        <v>9</v>
      </c>
      <c r="C25" s="245" t="s">
        <v>7465</v>
      </c>
      <c r="D25" s="263">
        <v>0</v>
      </c>
      <c r="E25" s="264">
        <v>155006350</v>
      </c>
      <c r="F25" s="247"/>
    </row>
    <row r="26" spans="1:6" x14ac:dyDescent="0.2">
      <c r="A26" s="244"/>
      <c r="B26" s="261" t="s">
        <v>10</v>
      </c>
      <c r="C26" s="245" t="s">
        <v>7466</v>
      </c>
      <c r="D26" s="263">
        <v>0</v>
      </c>
      <c r="E26" s="264">
        <v>21436821</v>
      </c>
      <c r="F26" s="247"/>
    </row>
    <row r="27" spans="1:6" x14ac:dyDescent="0.2">
      <c r="A27" s="244"/>
      <c r="B27" s="267" t="s">
        <v>7467</v>
      </c>
      <c r="C27" s="268" t="s">
        <v>7468</v>
      </c>
      <c r="D27" s="264">
        <v>417690146</v>
      </c>
      <c r="E27" s="263">
        <v>0</v>
      </c>
      <c r="F27" s="247"/>
    </row>
    <row r="28" spans="1:6" x14ac:dyDescent="0.2">
      <c r="A28" s="244"/>
      <c r="B28" s="261" t="s">
        <v>11</v>
      </c>
      <c r="C28" s="245" t="s">
        <v>7469</v>
      </c>
      <c r="D28" s="263">
        <v>0</v>
      </c>
      <c r="E28" s="263">
        <v>0</v>
      </c>
      <c r="F28" s="247"/>
    </row>
    <row r="29" spans="1:6" x14ac:dyDescent="0.2">
      <c r="A29" s="244"/>
      <c r="B29" s="261" t="s">
        <v>7470</v>
      </c>
      <c r="C29" s="245" t="s">
        <v>7471</v>
      </c>
      <c r="D29" s="263">
        <v>0</v>
      </c>
      <c r="E29" s="263">
        <v>0</v>
      </c>
      <c r="F29" s="247"/>
    </row>
    <row r="30" spans="1:6" x14ac:dyDescent="0.2">
      <c r="A30" s="244"/>
      <c r="B30" s="261" t="s">
        <v>7472</v>
      </c>
      <c r="C30" s="245" t="s">
        <v>7473</v>
      </c>
      <c r="D30" s="263">
        <v>0</v>
      </c>
      <c r="E30" s="263">
        <v>0</v>
      </c>
      <c r="F30" s="247"/>
    </row>
    <row r="31" spans="1:6" ht="6" customHeight="1" x14ac:dyDescent="0.2">
      <c r="A31" s="244"/>
      <c r="B31" s="253"/>
      <c r="C31" s="245"/>
      <c r="D31" s="262"/>
      <c r="E31" s="262"/>
      <c r="F31" s="247"/>
    </row>
    <row r="32" spans="1:6" x14ac:dyDescent="0.2">
      <c r="A32" s="252" t="s">
        <v>13</v>
      </c>
      <c r="B32" s="253"/>
      <c r="C32" s="269" t="s">
        <v>7446</v>
      </c>
      <c r="D32" s="255">
        <v>5372806882</v>
      </c>
      <c r="E32" s="255">
        <v>674957266</v>
      </c>
      <c r="F32" s="247"/>
    </row>
    <row r="33" spans="1:6" x14ac:dyDescent="0.2">
      <c r="A33" s="256" t="s">
        <v>14</v>
      </c>
      <c r="B33" s="253"/>
      <c r="C33" s="245"/>
      <c r="D33" s="259">
        <v>862524873</v>
      </c>
      <c r="E33" s="259">
        <v>674957266</v>
      </c>
      <c r="F33" s="247"/>
    </row>
    <row r="34" spans="1:6" x14ac:dyDescent="0.2">
      <c r="A34" s="270"/>
      <c r="B34" s="261" t="s">
        <v>7474</v>
      </c>
      <c r="C34" s="245" t="s">
        <v>7475</v>
      </c>
      <c r="D34" s="263">
        <v>0</v>
      </c>
      <c r="E34" s="264">
        <v>674036198</v>
      </c>
      <c r="F34" s="247"/>
    </row>
    <row r="35" spans="1:6" x14ac:dyDescent="0.2">
      <c r="A35" s="270"/>
      <c r="B35" s="261" t="s">
        <v>7476</v>
      </c>
      <c r="C35" s="245" t="s">
        <v>7477</v>
      </c>
      <c r="D35" s="264">
        <v>728923497</v>
      </c>
      <c r="E35" s="263">
        <v>0</v>
      </c>
      <c r="F35" s="247"/>
    </row>
    <row r="36" spans="1:6" x14ac:dyDescent="0.2">
      <c r="A36" s="270"/>
      <c r="B36" s="261" t="s">
        <v>7478</v>
      </c>
      <c r="C36" s="245" t="s">
        <v>7479</v>
      </c>
      <c r="D36" s="264">
        <v>63008097</v>
      </c>
      <c r="E36" s="263">
        <v>0</v>
      </c>
      <c r="F36" s="247"/>
    </row>
    <row r="37" spans="1:6" x14ac:dyDescent="0.2">
      <c r="A37" s="270"/>
      <c r="B37" s="261" t="s">
        <v>15</v>
      </c>
      <c r="C37" s="245" t="s">
        <v>7480</v>
      </c>
      <c r="D37" s="263">
        <v>0</v>
      </c>
      <c r="E37" s="263">
        <v>0</v>
      </c>
      <c r="F37" s="247"/>
    </row>
    <row r="38" spans="1:6" x14ac:dyDescent="0.2">
      <c r="A38" s="270"/>
      <c r="B38" s="261" t="s">
        <v>16</v>
      </c>
      <c r="C38" s="245" t="s">
        <v>7481</v>
      </c>
      <c r="D38" s="264">
        <v>812937</v>
      </c>
      <c r="E38" s="263">
        <v>0</v>
      </c>
      <c r="F38" s="247"/>
    </row>
    <row r="39" spans="1:6" x14ac:dyDescent="0.2">
      <c r="A39" s="270"/>
      <c r="B39" s="261" t="s">
        <v>7482</v>
      </c>
      <c r="C39" s="245" t="s">
        <v>7483</v>
      </c>
      <c r="D39" s="264">
        <v>69780342</v>
      </c>
      <c r="E39" s="263">
        <v>0</v>
      </c>
      <c r="F39" s="247"/>
    </row>
    <row r="40" spans="1:6" x14ac:dyDescent="0.2">
      <c r="A40" s="270"/>
      <c r="B40" s="261" t="s">
        <v>17</v>
      </c>
      <c r="C40" s="245" t="s">
        <v>7484</v>
      </c>
      <c r="D40" s="263">
        <v>0</v>
      </c>
      <c r="E40" s="263">
        <v>0</v>
      </c>
      <c r="F40" s="247"/>
    </row>
    <row r="41" spans="1:6" x14ac:dyDescent="0.2">
      <c r="A41" s="270"/>
      <c r="B41" s="261" t="s">
        <v>7485</v>
      </c>
      <c r="C41" s="245" t="s">
        <v>7486</v>
      </c>
      <c r="D41" s="263">
        <v>0</v>
      </c>
      <c r="E41" s="264">
        <v>921068</v>
      </c>
      <c r="F41" s="247"/>
    </row>
    <row r="42" spans="1:6" ht="4.5" customHeight="1" x14ac:dyDescent="0.2">
      <c r="A42" s="244"/>
      <c r="B42" s="253"/>
      <c r="C42" s="245"/>
      <c r="D42" s="262"/>
      <c r="E42" s="262"/>
      <c r="F42" s="247"/>
    </row>
    <row r="43" spans="1:6" x14ac:dyDescent="0.2">
      <c r="A43" s="256" t="s">
        <v>19</v>
      </c>
      <c r="B43" s="253"/>
      <c r="C43" s="245"/>
      <c r="D43" s="259">
        <v>4510282009</v>
      </c>
      <c r="E43" s="259">
        <v>0</v>
      </c>
      <c r="F43" s="247"/>
    </row>
    <row r="44" spans="1:6" x14ac:dyDescent="0.2">
      <c r="A44" s="244"/>
      <c r="B44" s="261" t="s">
        <v>20</v>
      </c>
      <c r="C44" s="245" t="s">
        <v>7487</v>
      </c>
      <c r="D44" s="263">
        <v>0</v>
      </c>
      <c r="E44" s="263">
        <v>0</v>
      </c>
      <c r="F44" s="247"/>
    </row>
    <row r="45" spans="1:6" x14ac:dyDescent="0.2">
      <c r="A45" s="244"/>
      <c r="B45" s="261" t="s">
        <v>21</v>
      </c>
      <c r="C45" s="245" t="s">
        <v>7488</v>
      </c>
      <c r="D45" s="263">
        <v>0</v>
      </c>
      <c r="E45" s="263">
        <v>0</v>
      </c>
      <c r="F45" s="247"/>
    </row>
    <row r="46" spans="1:6" x14ac:dyDescent="0.2">
      <c r="A46" s="244"/>
      <c r="B46" s="261" t="s">
        <v>7489</v>
      </c>
      <c r="C46" s="245" t="s">
        <v>7490</v>
      </c>
      <c r="D46" s="264">
        <v>4508482009</v>
      </c>
      <c r="E46" s="263">
        <v>0</v>
      </c>
      <c r="F46" s="247"/>
    </row>
    <row r="47" spans="1:6" x14ac:dyDescent="0.2">
      <c r="A47" s="244"/>
      <c r="B47" s="261" t="s">
        <v>22</v>
      </c>
      <c r="C47" s="245" t="s">
        <v>7491</v>
      </c>
      <c r="D47" s="263">
        <v>0</v>
      </c>
      <c r="E47" s="263">
        <v>0</v>
      </c>
      <c r="F47" s="247"/>
    </row>
    <row r="48" spans="1:6" x14ac:dyDescent="0.2">
      <c r="A48" s="244"/>
      <c r="B48" s="261" t="s">
        <v>7492</v>
      </c>
      <c r="C48" s="245" t="s">
        <v>7493</v>
      </c>
      <c r="D48" s="264">
        <v>1800000</v>
      </c>
      <c r="E48" s="263">
        <v>0</v>
      </c>
      <c r="F48" s="247"/>
    </row>
    <row r="49" spans="1:6" x14ac:dyDescent="0.2">
      <c r="A49" s="244"/>
      <c r="B49" s="261" t="s">
        <v>23</v>
      </c>
      <c r="C49" s="245" t="s">
        <v>7494</v>
      </c>
      <c r="D49" s="263">
        <v>0</v>
      </c>
      <c r="E49" s="263">
        <v>0</v>
      </c>
      <c r="F49" s="247"/>
    </row>
    <row r="50" spans="1:6" ht="5.25" customHeight="1" x14ac:dyDescent="0.2">
      <c r="A50" s="244"/>
      <c r="B50" s="253"/>
      <c r="C50" s="245"/>
      <c r="D50" s="262"/>
      <c r="E50" s="262"/>
      <c r="F50" s="247"/>
    </row>
    <row r="51" spans="1:6" x14ac:dyDescent="0.2">
      <c r="A51" s="270" t="s">
        <v>7495</v>
      </c>
      <c r="B51" s="253"/>
      <c r="C51" s="245"/>
      <c r="D51" s="255">
        <v>1131255307</v>
      </c>
      <c r="E51" s="255">
        <v>290973807</v>
      </c>
      <c r="F51" s="247"/>
    </row>
    <row r="52" spans="1:6" x14ac:dyDescent="0.2">
      <c r="A52" s="270" t="s">
        <v>28</v>
      </c>
      <c r="B52" s="253"/>
      <c r="C52" s="245" t="s">
        <v>7496</v>
      </c>
      <c r="D52" s="255">
        <v>0</v>
      </c>
      <c r="E52" s="255">
        <v>0</v>
      </c>
      <c r="F52" s="247"/>
    </row>
    <row r="53" spans="1:6" x14ac:dyDescent="0.2">
      <c r="A53" s="244"/>
      <c r="B53" s="253" t="s">
        <v>27</v>
      </c>
      <c r="C53" s="245" t="s">
        <v>7497</v>
      </c>
      <c r="D53" s="262">
        <v>0</v>
      </c>
      <c r="E53" s="262">
        <v>0</v>
      </c>
      <c r="F53" s="247"/>
    </row>
    <row r="54" spans="1:6" x14ac:dyDescent="0.2">
      <c r="A54" s="244"/>
      <c r="B54" s="253" t="s">
        <v>29</v>
      </c>
      <c r="C54" s="245" t="s">
        <v>7498</v>
      </c>
      <c r="D54" s="262">
        <v>0</v>
      </c>
      <c r="E54" s="262">
        <v>0</v>
      </c>
      <c r="F54" s="247"/>
    </row>
    <row r="55" spans="1:6" x14ac:dyDescent="0.2">
      <c r="A55" s="244"/>
      <c r="B55" s="253" t="s">
        <v>30</v>
      </c>
      <c r="C55" s="245" t="s">
        <v>7499</v>
      </c>
      <c r="D55" s="262">
        <v>0</v>
      </c>
      <c r="E55" s="262">
        <v>0</v>
      </c>
      <c r="F55" s="247"/>
    </row>
    <row r="56" spans="1:6" ht="6" customHeight="1" x14ac:dyDescent="0.2">
      <c r="A56" s="244"/>
      <c r="B56" s="253"/>
      <c r="C56" s="245"/>
      <c r="D56" s="262"/>
      <c r="E56" s="262"/>
      <c r="F56" s="247"/>
    </row>
    <row r="57" spans="1:6" x14ac:dyDescent="0.2">
      <c r="A57" s="270" t="s">
        <v>33</v>
      </c>
      <c r="B57" s="253"/>
      <c r="C57" s="245" t="s">
        <v>7500</v>
      </c>
      <c r="D57" s="255">
        <v>1131255307</v>
      </c>
      <c r="E57" s="255">
        <v>290973807</v>
      </c>
      <c r="F57" s="247"/>
    </row>
    <row r="58" spans="1:6" x14ac:dyDescent="0.2">
      <c r="A58" s="244"/>
      <c r="B58" s="253" t="s">
        <v>7501</v>
      </c>
      <c r="C58" s="245" t="s">
        <v>7502</v>
      </c>
      <c r="D58" s="263">
        <v>0</v>
      </c>
      <c r="E58" s="264">
        <v>290973807</v>
      </c>
      <c r="F58" s="247"/>
    </row>
    <row r="59" spans="1:6" x14ac:dyDescent="0.2">
      <c r="A59" s="244"/>
      <c r="B59" s="253" t="s">
        <v>34</v>
      </c>
      <c r="C59" s="245" t="s">
        <v>7503</v>
      </c>
      <c r="D59" s="264">
        <v>1131255307</v>
      </c>
      <c r="E59" s="263">
        <v>0</v>
      </c>
      <c r="F59" s="247"/>
    </row>
    <row r="60" spans="1:6" x14ac:dyDescent="0.2">
      <c r="A60" s="244"/>
      <c r="B60" s="271" t="s">
        <v>31</v>
      </c>
      <c r="C60" s="245" t="s">
        <v>7504</v>
      </c>
      <c r="D60" s="263">
        <v>0</v>
      </c>
      <c r="E60" s="263">
        <v>0</v>
      </c>
      <c r="F60" s="247"/>
    </row>
    <row r="61" spans="1:6" x14ac:dyDescent="0.2">
      <c r="A61" s="244"/>
      <c r="B61" s="271" t="s">
        <v>32</v>
      </c>
      <c r="C61" s="245" t="s">
        <v>7505</v>
      </c>
      <c r="D61" s="263">
        <v>0</v>
      </c>
      <c r="E61" s="263">
        <v>0</v>
      </c>
      <c r="F61" s="247"/>
    </row>
    <row r="62" spans="1:6" x14ac:dyDescent="0.2">
      <c r="A62" s="244"/>
      <c r="B62" s="253" t="s">
        <v>35</v>
      </c>
      <c r="C62" s="245" t="s">
        <v>7506</v>
      </c>
      <c r="D62" s="263">
        <v>0</v>
      </c>
      <c r="E62" s="263">
        <v>0</v>
      </c>
      <c r="F62" s="247"/>
    </row>
    <row r="63" spans="1:6" ht="5.25" customHeight="1" x14ac:dyDescent="0.2">
      <c r="A63" s="244"/>
      <c r="B63" s="253"/>
      <c r="C63" s="245"/>
      <c r="D63" s="262"/>
      <c r="E63" s="262"/>
      <c r="F63" s="247"/>
    </row>
    <row r="64" spans="1:6" x14ac:dyDescent="0.2">
      <c r="A64" s="272" t="s">
        <v>7507</v>
      </c>
      <c r="B64" s="253"/>
      <c r="C64" s="245"/>
      <c r="D64" s="255">
        <v>0</v>
      </c>
      <c r="E64" s="255">
        <v>0</v>
      </c>
      <c r="F64" s="247"/>
    </row>
    <row r="65" spans="1:6" x14ac:dyDescent="0.2">
      <c r="A65" s="244" t="s">
        <v>136</v>
      </c>
      <c r="B65" s="253"/>
      <c r="C65" s="245"/>
      <c r="D65" s="262">
        <v>0</v>
      </c>
      <c r="E65" s="262">
        <v>0</v>
      </c>
      <c r="F65" s="247"/>
    </row>
    <row r="66" spans="1:6" x14ac:dyDescent="0.2">
      <c r="A66" s="244" t="s">
        <v>137</v>
      </c>
      <c r="B66" s="253"/>
      <c r="C66" s="245"/>
      <c r="D66" s="262">
        <v>0</v>
      </c>
      <c r="E66" s="262">
        <v>0</v>
      </c>
      <c r="F66" s="247"/>
    </row>
    <row r="67" spans="1:6" x14ac:dyDescent="0.2">
      <c r="A67" s="244"/>
      <c r="B67" s="245"/>
      <c r="C67" s="254"/>
      <c r="D67" s="273"/>
      <c r="E67" s="273"/>
      <c r="F67" s="247"/>
    </row>
    <row r="68" spans="1:6" ht="13.5" thickBot="1" x14ac:dyDescent="0.25">
      <c r="A68" s="274"/>
      <c r="B68" s="275"/>
      <c r="C68" s="275"/>
      <c r="D68" s="275"/>
      <c r="E68" s="275"/>
      <c r="F68" s="276"/>
    </row>
    <row r="69" spans="1:6" x14ac:dyDescent="0.2">
      <c r="A69" s="277"/>
      <c r="E69" s="165"/>
      <c r="F69" s="277"/>
    </row>
    <row r="70" spans="1:6" x14ac:dyDescent="0.2">
      <c r="F70" s="277"/>
    </row>
    <row r="71" spans="1:6" x14ac:dyDescent="0.2">
      <c r="F71" s="277"/>
    </row>
    <row r="72" spans="1:6" x14ac:dyDescent="0.2">
      <c r="B72"/>
      <c r="C72"/>
      <c r="E72" s="241"/>
    </row>
    <row r="73" spans="1:6" ht="15" x14ac:dyDescent="0.25">
      <c r="A73" s="647" t="s">
        <v>7238</v>
      </c>
      <c r="B73" s="647"/>
      <c r="C73" s="647"/>
      <c r="D73" s="647"/>
      <c r="E73" s="647"/>
      <c r="F73" s="647"/>
    </row>
    <row r="74" spans="1:6" ht="15" x14ac:dyDescent="0.25">
      <c r="A74" s="647" t="s">
        <v>7239</v>
      </c>
      <c r="B74" s="647"/>
      <c r="C74" s="647"/>
      <c r="D74" s="647"/>
      <c r="E74" s="647"/>
      <c r="F74" s="647"/>
    </row>
    <row r="75" spans="1:6" x14ac:dyDescent="0.2">
      <c r="F75" s="277"/>
    </row>
  </sheetData>
  <mergeCells count="7">
    <mergeCell ref="A74:F74"/>
    <mergeCell ref="A3:F3"/>
    <mergeCell ref="A4:F4"/>
    <mergeCell ref="A5:F5"/>
    <mergeCell ref="A6:F6"/>
    <mergeCell ref="A7:F7"/>
    <mergeCell ref="A73:F73"/>
  </mergeCells>
  <printOptions horizontalCentered="1"/>
  <pageMargins left="0.70866141732283472" right="0.70866141732283472" top="0.74803149606299213" bottom="0.74803149606299213" header="0.31496062992125984" footer="0.31496062992125984"/>
  <pageSetup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9"/>
  <sheetViews>
    <sheetView workbookViewId="0">
      <selection activeCell="G11" sqref="G11"/>
    </sheetView>
  </sheetViews>
  <sheetFormatPr baseColWidth="10" defaultColWidth="63" defaultRowHeight="12.75" x14ac:dyDescent="0.2"/>
  <cols>
    <col min="1" max="1" width="3.140625" style="165" customWidth="1"/>
    <col min="2" max="2" width="4.5703125" style="241" customWidth="1"/>
    <col min="3" max="3" width="71.140625" style="165" customWidth="1"/>
    <col min="4" max="5" width="18" style="322" bestFit="1" customWidth="1"/>
    <col min="6" max="6" width="24.85546875" style="165" hidden="1" customWidth="1"/>
    <col min="7" max="16384" width="63" style="165"/>
  </cols>
  <sheetData>
    <row r="1" spans="1:5" ht="18.75" x14ac:dyDescent="0.3">
      <c r="A1" s="613" t="s">
        <v>7508</v>
      </c>
      <c r="B1" s="654"/>
      <c r="C1" s="654"/>
      <c r="D1" s="654"/>
      <c r="E1" s="655"/>
    </row>
    <row r="2" spans="1:5" ht="15.75" x14ac:dyDescent="0.25">
      <c r="A2" s="616" t="s">
        <v>7509</v>
      </c>
      <c r="B2" s="617"/>
      <c r="C2" s="617"/>
      <c r="D2" s="617"/>
      <c r="E2" s="618"/>
    </row>
    <row r="3" spans="1:5" ht="15.75" x14ac:dyDescent="0.25">
      <c r="A3" s="616" t="s">
        <v>7373</v>
      </c>
      <c r="B3" s="617"/>
      <c r="C3" s="617"/>
      <c r="D3" s="617"/>
      <c r="E3" s="618"/>
    </row>
    <row r="4" spans="1:5" x14ac:dyDescent="0.2">
      <c r="A4" s="656"/>
      <c r="B4" s="657"/>
      <c r="C4" s="657"/>
      <c r="D4" s="657"/>
      <c r="E4" s="658"/>
    </row>
    <row r="5" spans="1:5" ht="13.5" thickBot="1" x14ac:dyDescent="0.25">
      <c r="A5" s="651"/>
      <c r="B5" s="659"/>
      <c r="C5" s="659"/>
      <c r="D5" s="659"/>
      <c r="E5" s="660"/>
    </row>
    <row r="6" spans="1:5" ht="6.75" customHeight="1" x14ac:dyDescent="0.2">
      <c r="A6" s="278" t="s">
        <v>732</v>
      </c>
      <c r="B6" s="279"/>
      <c r="C6" s="280"/>
      <c r="D6" s="281"/>
      <c r="E6" s="282"/>
    </row>
    <row r="7" spans="1:5" x14ac:dyDescent="0.2">
      <c r="A7" s="166"/>
      <c r="B7" s="283"/>
      <c r="C7" s="167"/>
      <c r="D7" s="284" t="s">
        <v>1763</v>
      </c>
      <c r="E7" s="285" t="s">
        <v>732</v>
      </c>
    </row>
    <row r="8" spans="1:5" x14ac:dyDescent="0.2">
      <c r="A8" s="286" t="s">
        <v>7510</v>
      </c>
      <c r="B8" s="287"/>
      <c r="C8" s="287"/>
      <c r="D8" s="288"/>
      <c r="E8" s="289"/>
    </row>
    <row r="9" spans="1:5" x14ac:dyDescent="0.2">
      <c r="A9" s="286" t="s">
        <v>7444</v>
      </c>
      <c r="B9" s="287"/>
      <c r="C9" s="287"/>
      <c r="D9" s="290">
        <f>SUM(D10:D21)</f>
        <v>51814752982.220001</v>
      </c>
      <c r="E9" s="291">
        <v>49969466340</v>
      </c>
    </row>
    <row r="10" spans="1:5" x14ac:dyDescent="0.2">
      <c r="A10" s="292"/>
      <c r="B10" s="293" t="s">
        <v>511</v>
      </c>
      <c r="C10" s="294"/>
      <c r="D10" s="295">
        <v>2482436551.4900002</v>
      </c>
      <c r="E10" s="296">
        <v>2145197733</v>
      </c>
    </row>
    <row r="11" spans="1:5" x14ac:dyDescent="0.2">
      <c r="A11" s="297"/>
      <c r="B11" s="298" t="s">
        <v>7380</v>
      </c>
      <c r="C11" s="294"/>
      <c r="D11" s="295">
        <v>0</v>
      </c>
      <c r="E11" s="299">
        <v>0</v>
      </c>
    </row>
    <row r="12" spans="1:5" x14ac:dyDescent="0.2">
      <c r="A12" s="297"/>
      <c r="B12" s="298" t="s">
        <v>7511</v>
      </c>
      <c r="C12" s="300"/>
      <c r="D12" s="295">
        <v>0</v>
      </c>
      <c r="E12" s="299">
        <v>0</v>
      </c>
    </row>
    <row r="13" spans="1:5" x14ac:dyDescent="0.2">
      <c r="A13" s="297"/>
      <c r="B13" s="298" t="s">
        <v>529</v>
      </c>
      <c r="C13" s="300"/>
      <c r="D13" s="295">
        <v>1564184016.1399999</v>
      </c>
      <c r="E13" s="296">
        <v>1268701282</v>
      </c>
    </row>
    <row r="14" spans="1:5" x14ac:dyDescent="0.2">
      <c r="A14" s="297"/>
      <c r="B14" s="298" t="s">
        <v>7512</v>
      </c>
      <c r="C14" s="300"/>
      <c r="D14" s="295">
        <v>43669169.240000002</v>
      </c>
      <c r="E14" s="296">
        <v>17670557</v>
      </c>
    </row>
    <row r="15" spans="1:5" x14ac:dyDescent="0.2">
      <c r="A15" s="297"/>
      <c r="B15" s="298" t="s">
        <v>7383</v>
      </c>
      <c r="C15" s="300"/>
      <c r="D15" s="295">
        <v>2195429501.4299998</v>
      </c>
      <c r="E15" s="296">
        <v>1989870239</v>
      </c>
    </row>
    <row r="16" spans="1:5" x14ac:dyDescent="0.2">
      <c r="A16" s="297"/>
      <c r="B16" s="298" t="s">
        <v>7384</v>
      </c>
      <c r="C16" s="300"/>
      <c r="D16" s="295">
        <v>5530414.8600000003</v>
      </c>
      <c r="E16" s="296">
        <v>5835973</v>
      </c>
    </row>
    <row r="17" spans="1:5" ht="24" customHeight="1" x14ac:dyDescent="0.2">
      <c r="A17" s="297"/>
      <c r="B17" s="661" t="s">
        <v>7513</v>
      </c>
      <c r="C17" s="661"/>
      <c r="D17" s="295">
        <v>3426059.33</v>
      </c>
      <c r="E17" s="296">
        <v>23709966</v>
      </c>
    </row>
    <row r="18" spans="1:5" x14ac:dyDescent="0.2">
      <c r="A18" s="297"/>
      <c r="B18" s="298" t="s">
        <v>7514</v>
      </c>
      <c r="C18" s="300"/>
      <c r="D18" s="295"/>
      <c r="E18" s="170"/>
    </row>
    <row r="19" spans="1:5" x14ac:dyDescent="0.2">
      <c r="A19" s="297"/>
      <c r="B19" s="298" t="s">
        <v>7387</v>
      </c>
      <c r="C19" s="300"/>
      <c r="D19" s="295">
        <v>34297043154.93</v>
      </c>
      <c r="E19" s="296">
        <v>30903321510</v>
      </c>
    </row>
    <row r="20" spans="1:5" x14ac:dyDescent="0.2">
      <c r="A20" s="297"/>
      <c r="B20" s="298" t="s">
        <v>7515</v>
      </c>
      <c r="C20" s="300"/>
      <c r="D20" s="295">
        <v>11217182950.32</v>
      </c>
      <c r="E20" s="296">
        <v>13572411120</v>
      </c>
    </row>
    <row r="21" spans="1:5" x14ac:dyDescent="0.2">
      <c r="A21" s="297"/>
      <c r="B21" s="298" t="s">
        <v>7516</v>
      </c>
      <c r="C21" s="277"/>
      <c r="D21" s="295">
        <v>5851164.4799999986</v>
      </c>
      <c r="E21" s="296">
        <v>42747960</v>
      </c>
    </row>
    <row r="22" spans="1:5" ht="6.75" customHeight="1" x14ac:dyDescent="0.2">
      <c r="A22" s="301"/>
      <c r="B22" s="302"/>
      <c r="C22" s="303"/>
      <c r="D22" s="304"/>
      <c r="E22" s="305"/>
    </row>
    <row r="23" spans="1:5" x14ac:dyDescent="0.2">
      <c r="A23" s="306" t="s">
        <v>7445</v>
      </c>
      <c r="B23" s="307"/>
      <c r="C23" s="300"/>
      <c r="D23" s="290">
        <f>SUM(D24:D39)</f>
        <v>52460369016.099998</v>
      </c>
      <c r="E23" s="291">
        <v>50746057737</v>
      </c>
    </row>
    <row r="24" spans="1:5" x14ac:dyDescent="0.2">
      <c r="A24" s="297"/>
      <c r="B24" s="298" t="s">
        <v>476</v>
      </c>
      <c r="C24" s="300"/>
      <c r="D24" s="295">
        <v>8121119204.3199997</v>
      </c>
      <c r="E24" s="296">
        <v>7563786966</v>
      </c>
    </row>
    <row r="25" spans="1:5" x14ac:dyDescent="0.2">
      <c r="A25" s="297"/>
      <c r="B25" s="298" t="s">
        <v>7398</v>
      </c>
      <c r="C25" s="300"/>
      <c r="D25" s="295">
        <v>801202701.61000001</v>
      </c>
      <c r="E25" s="296">
        <v>802089080</v>
      </c>
    </row>
    <row r="26" spans="1:5" x14ac:dyDescent="0.2">
      <c r="A26" s="297"/>
      <c r="B26" s="298" t="s">
        <v>391</v>
      </c>
      <c r="C26" s="300"/>
      <c r="D26" s="295">
        <v>2304925318.8799996</v>
      </c>
      <c r="E26" s="296">
        <v>995810304</v>
      </c>
    </row>
    <row r="27" spans="1:5" x14ac:dyDescent="0.2">
      <c r="A27" s="301"/>
      <c r="B27" s="302" t="s">
        <v>7400</v>
      </c>
      <c r="C27" s="300"/>
      <c r="D27" s="295">
        <v>31195257161.880005</v>
      </c>
      <c r="E27" s="296">
        <v>29895684129</v>
      </c>
    </row>
    <row r="28" spans="1:5" x14ac:dyDescent="0.2">
      <c r="A28" s="301"/>
      <c r="B28" s="302" t="s">
        <v>7517</v>
      </c>
      <c r="C28" s="300"/>
      <c r="D28" s="295">
        <v>43994811</v>
      </c>
      <c r="E28" s="296">
        <v>203726403</v>
      </c>
    </row>
    <row r="29" spans="1:5" x14ac:dyDescent="0.2">
      <c r="A29" s="301"/>
      <c r="B29" s="302" t="s">
        <v>7402</v>
      </c>
      <c r="C29" s="300"/>
      <c r="D29" s="295">
        <v>534885743.93000001</v>
      </c>
      <c r="E29" s="296">
        <v>139323073</v>
      </c>
    </row>
    <row r="30" spans="1:5" x14ac:dyDescent="0.2">
      <c r="A30" s="301"/>
      <c r="B30" s="302" t="s">
        <v>1743</v>
      </c>
      <c r="C30" s="300"/>
      <c r="D30" s="295">
        <v>821306006.32000005</v>
      </c>
      <c r="E30" s="296">
        <v>616743961</v>
      </c>
    </row>
    <row r="31" spans="1:5" x14ac:dyDescent="0.2">
      <c r="A31" s="301"/>
      <c r="B31" s="302" t="s">
        <v>7403</v>
      </c>
      <c r="C31" s="300"/>
      <c r="D31" s="295">
        <v>60000000</v>
      </c>
      <c r="E31" s="296">
        <v>172305459</v>
      </c>
    </row>
    <row r="32" spans="1:5" x14ac:dyDescent="0.2">
      <c r="A32" s="301"/>
      <c r="B32" s="302" t="s">
        <v>7404</v>
      </c>
      <c r="C32" s="300"/>
      <c r="D32" s="295">
        <v>0</v>
      </c>
      <c r="E32" s="296">
        <v>25416160</v>
      </c>
    </row>
    <row r="33" spans="1:6" x14ac:dyDescent="0.2">
      <c r="A33" s="301"/>
      <c r="B33" s="302" t="s">
        <v>7405</v>
      </c>
      <c r="C33" s="300"/>
      <c r="D33" s="295">
        <v>0</v>
      </c>
      <c r="E33" s="299">
        <v>0</v>
      </c>
    </row>
    <row r="34" spans="1:6" x14ac:dyDescent="0.2">
      <c r="A34" s="301"/>
      <c r="B34" s="302" t="s">
        <v>7406</v>
      </c>
      <c r="C34" s="300"/>
      <c r="D34" s="295">
        <v>0</v>
      </c>
      <c r="E34" s="299">
        <v>0</v>
      </c>
    </row>
    <row r="35" spans="1:6" x14ac:dyDescent="0.2">
      <c r="A35" s="301"/>
      <c r="B35" s="302" t="s">
        <v>7407</v>
      </c>
      <c r="C35" s="300"/>
      <c r="D35" s="295">
        <v>0</v>
      </c>
      <c r="E35" s="299">
        <v>0</v>
      </c>
    </row>
    <row r="36" spans="1:6" x14ac:dyDescent="0.2">
      <c r="A36" s="308"/>
      <c r="B36" s="302" t="s">
        <v>581</v>
      </c>
      <c r="C36" s="300"/>
      <c r="D36" s="295">
        <v>3848856992.4200001</v>
      </c>
      <c r="E36" s="296">
        <v>3664211464</v>
      </c>
    </row>
    <row r="37" spans="1:6" x14ac:dyDescent="0.2">
      <c r="A37" s="308"/>
      <c r="B37" s="302" t="s">
        <v>27</v>
      </c>
      <c r="C37" s="300"/>
      <c r="D37" s="295">
        <v>2014225541.5599999</v>
      </c>
      <c r="E37" s="296">
        <v>1876477438</v>
      </c>
    </row>
    <row r="38" spans="1:6" x14ac:dyDescent="0.2">
      <c r="A38" s="308"/>
      <c r="B38" s="302" t="s">
        <v>715</v>
      </c>
      <c r="C38" s="300"/>
      <c r="D38" s="295">
        <v>1208223169.73</v>
      </c>
      <c r="E38" s="296">
        <v>3017977950</v>
      </c>
    </row>
    <row r="39" spans="1:6" x14ac:dyDescent="0.2">
      <c r="A39" s="308"/>
      <c r="B39" s="302" t="s">
        <v>7518</v>
      </c>
      <c r="C39" s="300"/>
      <c r="D39" s="295">
        <v>1506372364.45</v>
      </c>
      <c r="E39" s="296">
        <v>1772505350</v>
      </c>
    </row>
    <row r="40" spans="1:6" ht="6" customHeight="1" thickBot="1" x14ac:dyDescent="0.25">
      <c r="A40" s="309"/>
      <c r="B40" s="310"/>
      <c r="C40" s="310"/>
      <c r="D40" s="311"/>
      <c r="E40" s="312"/>
    </row>
    <row r="41" spans="1:6" ht="13.5" thickBot="1" x14ac:dyDescent="0.25">
      <c r="A41" s="313" t="s">
        <v>7519</v>
      </c>
      <c r="B41" s="314"/>
      <c r="C41" s="315"/>
      <c r="D41" s="316">
        <f>D9-D23</f>
        <v>-645616033.87999725</v>
      </c>
      <c r="E41" s="316">
        <v>-776591397</v>
      </c>
      <c r="F41" s="165">
        <v>-776591396.55999994</v>
      </c>
    </row>
    <row r="42" spans="1:6" ht="5.25" customHeight="1" x14ac:dyDescent="0.2">
      <c r="A42" s="317"/>
      <c r="B42" s="318"/>
      <c r="C42" s="319"/>
      <c r="D42" s="320"/>
      <c r="E42" s="321"/>
    </row>
    <row r="43" spans="1:6" x14ac:dyDescent="0.2">
      <c r="A43" s="306" t="s">
        <v>7520</v>
      </c>
      <c r="B43" s="307"/>
      <c r="C43" s="300"/>
      <c r="D43" s="304"/>
      <c r="E43" s="305"/>
      <c r="F43" s="322"/>
    </row>
    <row r="44" spans="1:6" x14ac:dyDescent="0.2">
      <c r="A44" s="306" t="s">
        <v>7444</v>
      </c>
      <c r="B44" s="323"/>
      <c r="C44" s="300"/>
      <c r="D44" s="290">
        <f>SUM(D45:D47)</f>
        <v>0</v>
      </c>
      <c r="E44" s="291">
        <v>18925027321</v>
      </c>
    </row>
    <row r="45" spans="1:6" x14ac:dyDescent="0.2">
      <c r="A45" s="297"/>
      <c r="B45" s="298" t="s">
        <v>7463</v>
      </c>
      <c r="C45" s="300"/>
      <c r="D45" s="324">
        <v>0</v>
      </c>
      <c r="E45" s="296">
        <v>18478039869</v>
      </c>
    </row>
    <row r="46" spans="1:6" x14ac:dyDescent="0.2">
      <c r="A46" s="297"/>
      <c r="B46" s="298" t="s">
        <v>9</v>
      </c>
      <c r="C46" s="300"/>
      <c r="D46" s="325">
        <v>0</v>
      </c>
      <c r="E46" s="296">
        <v>446987452</v>
      </c>
    </row>
    <row r="47" spans="1:6" x14ac:dyDescent="0.2">
      <c r="A47" s="297"/>
      <c r="B47" s="298" t="s">
        <v>7521</v>
      </c>
      <c r="C47" s="300"/>
      <c r="D47" s="325">
        <v>0</v>
      </c>
      <c r="E47" s="299">
        <v>0</v>
      </c>
      <c r="F47" s="165">
        <v>0</v>
      </c>
    </row>
    <row r="48" spans="1:6" ht="4.5" customHeight="1" x14ac:dyDescent="0.2">
      <c r="A48" s="297"/>
      <c r="B48" s="298"/>
      <c r="C48" s="300"/>
      <c r="D48" s="304"/>
      <c r="E48" s="305"/>
    </row>
    <row r="49" spans="1:6" x14ac:dyDescent="0.2">
      <c r="A49" s="306" t="s">
        <v>7445</v>
      </c>
      <c r="B49" s="323"/>
      <c r="C49" s="300"/>
      <c r="D49" s="290">
        <f>SUM(D50:D52)</f>
        <v>2835500496.1099997</v>
      </c>
      <c r="E49" s="291">
        <v>22533369365</v>
      </c>
    </row>
    <row r="50" spans="1:6" x14ac:dyDescent="0.2">
      <c r="A50" s="297"/>
      <c r="B50" s="298" t="s">
        <v>7463</v>
      </c>
      <c r="C50" s="300"/>
      <c r="D50" s="295">
        <v>1875612456.5500004</v>
      </c>
      <c r="E50" s="299">
        <v>0</v>
      </c>
    </row>
    <row r="51" spans="1:6" x14ac:dyDescent="0.2">
      <c r="A51" s="297"/>
      <c r="B51" s="298" t="s">
        <v>9</v>
      </c>
      <c r="C51" s="300"/>
      <c r="D51" s="295">
        <v>155006350.18000001</v>
      </c>
      <c r="E51" s="296">
        <v>176336191</v>
      </c>
    </row>
    <row r="52" spans="1:6" ht="13.5" thickBot="1" x14ac:dyDescent="0.25">
      <c r="A52" s="309"/>
      <c r="B52" s="310" t="s">
        <v>7522</v>
      </c>
      <c r="C52" s="326"/>
      <c r="D52" s="295">
        <v>804881689.37999892</v>
      </c>
      <c r="E52" s="327">
        <v>22357033174</v>
      </c>
      <c r="F52" s="328">
        <v>776591396.55999994</v>
      </c>
    </row>
    <row r="53" spans="1:6" ht="13.5" thickBot="1" x14ac:dyDescent="0.25">
      <c r="A53" s="313" t="s">
        <v>7523</v>
      </c>
      <c r="B53" s="314"/>
      <c r="C53" s="315"/>
      <c r="D53" s="316">
        <f>D44-D49</f>
        <v>-2835500496.1099997</v>
      </c>
      <c r="E53" s="316">
        <v>-3608342044</v>
      </c>
    </row>
    <row r="54" spans="1:6" ht="5.25" customHeight="1" x14ac:dyDescent="0.2">
      <c r="A54" s="317"/>
      <c r="B54" s="318"/>
      <c r="C54" s="319"/>
      <c r="D54" s="320"/>
      <c r="E54" s="321"/>
    </row>
    <row r="55" spans="1:6" x14ac:dyDescent="0.2">
      <c r="A55" s="306" t="s">
        <v>7524</v>
      </c>
      <c r="B55" s="307"/>
      <c r="C55" s="300"/>
      <c r="D55" s="304"/>
      <c r="E55" s="305"/>
    </row>
    <row r="56" spans="1:6" x14ac:dyDescent="0.2">
      <c r="A56" s="306" t="s">
        <v>7444</v>
      </c>
      <c r="B56" s="307"/>
      <c r="C56" s="300"/>
      <c r="D56" s="290">
        <f>D57+D60</f>
        <v>6258670311.279995</v>
      </c>
      <c r="E56" s="291">
        <v>4358739303</v>
      </c>
    </row>
    <row r="57" spans="1:6" x14ac:dyDescent="0.2">
      <c r="A57" s="301"/>
      <c r="B57" s="302" t="s">
        <v>7525</v>
      </c>
      <c r="C57" s="300"/>
      <c r="D57" s="290">
        <f>SUM(D58)</f>
        <v>4591933891.0699997</v>
      </c>
      <c r="E57" s="291">
        <v>1008163163</v>
      </c>
    </row>
    <row r="58" spans="1:6" x14ac:dyDescent="0.2">
      <c r="A58" s="301"/>
      <c r="B58" s="302" t="s">
        <v>7526</v>
      </c>
      <c r="C58" s="300"/>
      <c r="D58" s="295">
        <v>4591933891.0699997</v>
      </c>
      <c r="E58" s="296">
        <v>1008163163</v>
      </c>
    </row>
    <row r="59" spans="1:6" x14ac:dyDescent="0.2">
      <c r="A59" s="301"/>
      <c r="B59" s="302" t="s">
        <v>7527</v>
      </c>
      <c r="C59" s="300"/>
      <c r="D59" s="304">
        <v>0</v>
      </c>
      <c r="E59" s="305">
        <v>0</v>
      </c>
    </row>
    <row r="60" spans="1:6" x14ac:dyDescent="0.2">
      <c r="A60" s="301"/>
      <c r="B60" s="300" t="s">
        <v>7528</v>
      </c>
      <c r="C60" s="300"/>
      <c r="D60" s="295">
        <v>1666736420.2099953</v>
      </c>
      <c r="E60" s="296">
        <v>3350576140</v>
      </c>
    </row>
    <row r="61" spans="1:6" ht="6.75" customHeight="1" x14ac:dyDescent="0.2">
      <c r="A61" s="297"/>
      <c r="B61" s="298"/>
      <c r="C61" s="300"/>
      <c r="D61" s="304"/>
      <c r="E61" s="305"/>
    </row>
    <row r="62" spans="1:6" x14ac:dyDescent="0.2">
      <c r="A62" s="306" t="s">
        <v>7445</v>
      </c>
      <c r="B62" s="307"/>
      <c r="C62" s="300"/>
      <c r="D62" s="290">
        <f>D63+D66</f>
        <v>90930428.199999392</v>
      </c>
      <c r="E62" s="291">
        <v>0</v>
      </c>
    </row>
    <row r="63" spans="1:6" x14ac:dyDescent="0.2">
      <c r="A63" s="297"/>
      <c r="B63" s="298" t="s">
        <v>7529</v>
      </c>
      <c r="C63" s="300"/>
      <c r="D63" s="290">
        <f>SUM(D64)</f>
        <v>-1800000</v>
      </c>
      <c r="E63" s="291">
        <v>0</v>
      </c>
    </row>
    <row r="64" spans="1:6" x14ac:dyDescent="0.2">
      <c r="A64" s="301"/>
      <c r="B64" s="302" t="s">
        <v>7526</v>
      </c>
      <c r="C64" s="300"/>
      <c r="D64" s="295">
        <v>-1800000</v>
      </c>
      <c r="E64" s="305"/>
    </row>
    <row r="65" spans="1:6" x14ac:dyDescent="0.2">
      <c r="A65" s="301"/>
      <c r="B65" s="302" t="s">
        <v>7527</v>
      </c>
      <c r="C65" s="300"/>
      <c r="D65" s="324">
        <v>0</v>
      </c>
      <c r="E65" s="305">
        <v>0</v>
      </c>
    </row>
    <row r="66" spans="1:6" ht="13.5" thickBot="1" x14ac:dyDescent="0.25">
      <c r="A66" s="309"/>
      <c r="B66" s="310" t="s">
        <v>7530</v>
      </c>
      <c r="C66" s="329"/>
      <c r="D66" s="295">
        <v>92730428.199999392</v>
      </c>
      <c r="E66" s="312">
        <v>0</v>
      </c>
    </row>
    <row r="67" spans="1:6" ht="13.5" thickBot="1" x14ac:dyDescent="0.25">
      <c r="A67" s="313" t="s">
        <v>7531</v>
      </c>
      <c r="B67" s="314"/>
      <c r="C67" s="330"/>
      <c r="D67" s="316">
        <f>D56-D62</f>
        <v>6167739883.0799952</v>
      </c>
      <c r="E67" s="316">
        <v>4358739303</v>
      </c>
    </row>
    <row r="68" spans="1:6" ht="6.75" customHeight="1" x14ac:dyDescent="0.2">
      <c r="A68" s="317"/>
      <c r="B68" s="318"/>
      <c r="C68" s="319"/>
      <c r="D68" s="320"/>
      <c r="E68" s="321"/>
    </row>
    <row r="69" spans="1:6" x14ac:dyDescent="0.2">
      <c r="A69" s="306" t="s">
        <v>7532</v>
      </c>
      <c r="B69" s="307"/>
      <c r="C69" s="300"/>
      <c r="D69" s="331">
        <f>D41+D53+D67</f>
        <v>2686623353.0899982</v>
      </c>
      <c r="E69" s="332">
        <v>-26194138</v>
      </c>
    </row>
    <row r="70" spans="1:6" ht="15" x14ac:dyDescent="0.2">
      <c r="A70" s="306" t="s">
        <v>7533</v>
      </c>
      <c r="B70" s="307"/>
      <c r="C70" s="300"/>
      <c r="D70" s="333">
        <v>1694956121.9000001</v>
      </c>
      <c r="E70" s="296">
        <v>1721150260</v>
      </c>
    </row>
    <row r="71" spans="1:6" ht="15" x14ac:dyDescent="0.2">
      <c r="A71" s="306" t="s">
        <v>7534</v>
      </c>
      <c r="B71" s="307"/>
      <c r="C71" s="300"/>
      <c r="D71" s="331">
        <f>SUM(D69:D70)</f>
        <v>4381579474.9899979</v>
      </c>
      <c r="E71" s="291">
        <v>1694956122</v>
      </c>
    </row>
    <row r="72" spans="1:6" x14ac:dyDescent="0.2">
      <c r="A72" s="286" t="s">
        <v>7535</v>
      </c>
      <c r="B72" s="334"/>
      <c r="C72" s="294"/>
      <c r="D72" s="335"/>
      <c r="E72" s="336"/>
    </row>
    <row r="73" spans="1:6" ht="7.5" customHeight="1" thickBot="1" x14ac:dyDescent="0.25">
      <c r="A73" s="337"/>
      <c r="B73" s="338"/>
      <c r="C73" s="338"/>
      <c r="D73" s="339"/>
      <c r="E73" s="340"/>
    </row>
    <row r="74" spans="1:6" ht="9.75" customHeight="1" x14ac:dyDescent="0.2"/>
    <row r="75" spans="1:6" ht="9.75" customHeight="1" x14ac:dyDescent="0.2"/>
    <row r="76" spans="1:6" ht="11.25" customHeight="1" x14ac:dyDescent="0.2"/>
    <row r="78" spans="1:6" x14ac:dyDescent="0.2">
      <c r="A78" s="637" t="s">
        <v>7238</v>
      </c>
      <c r="B78" s="637"/>
      <c r="C78" s="637"/>
      <c r="D78" s="637"/>
      <c r="E78" s="637"/>
      <c r="F78" s="637"/>
    </row>
    <row r="79" spans="1:6" x14ac:dyDescent="0.2">
      <c r="A79" s="637" t="s">
        <v>7239</v>
      </c>
      <c r="B79" s="637"/>
      <c r="C79" s="637"/>
      <c r="D79" s="637"/>
      <c r="E79" s="637"/>
      <c r="F79" s="637"/>
    </row>
  </sheetData>
  <mergeCells count="8">
    <mergeCell ref="A78:F78"/>
    <mergeCell ref="A79:F79"/>
    <mergeCell ref="A1:E1"/>
    <mergeCell ref="A2:E2"/>
    <mergeCell ref="A3:E3"/>
    <mergeCell ref="A4:E4"/>
    <mergeCell ref="A5:E5"/>
    <mergeCell ref="B17:C17"/>
  </mergeCells>
  <printOptions horizontalCentered="1"/>
  <pageMargins left="0.70866141732283472" right="0.70866141732283472" top="0.74803149606299213" bottom="0.74803149606299213" header="0.31496062992125984" footer="0.31496062992125984"/>
  <pageSetup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opLeftCell="B3" workbookViewId="0">
      <selection activeCell="G40" sqref="G40"/>
    </sheetView>
  </sheetViews>
  <sheetFormatPr baseColWidth="10" defaultColWidth="9.140625" defaultRowHeight="12.75" x14ac:dyDescent="0.2"/>
  <cols>
    <col min="1" max="1" width="6" style="153" hidden="1" customWidth="1"/>
    <col min="2" max="2" width="66" style="153" customWidth="1"/>
    <col min="3" max="3" width="20.140625" style="153" customWidth="1"/>
    <col min="4" max="4" width="18.7109375" style="153" bestFit="1" customWidth="1"/>
    <col min="5" max="5" width="18.7109375" style="371" bestFit="1" customWidth="1"/>
    <col min="6" max="6" width="15.140625" style="371" bestFit="1" customWidth="1"/>
    <col min="7" max="7" width="20.140625" style="153" bestFit="1" customWidth="1"/>
    <col min="8" max="8" width="15.42578125" customWidth="1"/>
    <col min="9" max="9" width="17.7109375" bestFit="1" customWidth="1"/>
    <col min="10" max="10" width="17.42578125" customWidth="1"/>
    <col min="12" max="13" width="17.42578125" hidden="1" customWidth="1"/>
  </cols>
  <sheetData>
    <row r="1" spans="1:14" s="82" customFormat="1" ht="13.5" hidden="1" thickBot="1" x14ac:dyDescent="0.25">
      <c r="A1" s="341" t="s">
        <v>1763</v>
      </c>
      <c r="B1" s="342" t="s">
        <v>1772</v>
      </c>
      <c r="C1" s="342" t="s">
        <v>731</v>
      </c>
      <c r="D1" s="342" t="s">
        <v>41</v>
      </c>
      <c r="E1" s="343" t="s">
        <v>1762</v>
      </c>
      <c r="F1" s="344" t="s">
        <v>7236</v>
      </c>
      <c r="G1" s="81" t="s">
        <v>7233</v>
      </c>
      <c r="H1" s="82" t="s">
        <v>7234</v>
      </c>
      <c r="I1" s="82" t="s">
        <v>7235</v>
      </c>
      <c r="K1" s="82">
        <v>12</v>
      </c>
    </row>
    <row r="2" spans="1:14" ht="13.5" hidden="1" thickBot="1" x14ac:dyDescent="0.25">
      <c r="A2" s="345"/>
      <c r="B2" s="346"/>
      <c r="C2" s="346"/>
      <c r="D2" s="346"/>
      <c r="E2" s="347"/>
      <c r="F2" s="348"/>
      <c r="G2" s="18"/>
      <c r="H2" s="19"/>
      <c r="I2" s="19"/>
      <c r="J2" s="19"/>
      <c r="K2" s="19"/>
      <c r="L2" s="19"/>
      <c r="M2" s="19"/>
      <c r="N2" s="19"/>
    </row>
    <row r="3" spans="1:14" ht="18.75" x14ac:dyDescent="0.3">
      <c r="A3" s="613" t="s">
        <v>7508</v>
      </c>
      <c r="B3" s="614"/>
      <c r="C3" s="614"/>
      <c r="D3" s="614"/>
      <c r="E3" s="614"/>
      <c r="F3" s="614"/>
      <c r="G3" s="615"/>
    </row>
    <row r="4" spans="1:14" ht="15.75" x14ac:dyDescent="0.25">
      <c r="A4" s="616" t="s">
        <v>7536</v>
      </c>
      <c r="B4" s="617"/>
      <c r="C4" s="617"/>
      <c r="D4" s="617"/>
      <c r="E4" s="617"/>
      <c r="F4" s="617"/>
      <c r="G4" s="618"/>
    </row>
    <row r="5" spans="1:14" ht="15.75" x14ac:dyDescent="0.25">
      <c r="A5" s="616" t="s">
        <v>7373</v>
      </c>
      <c r="B5" s="617"/>
      <c r="C5" s="617"/>
      <c r="D5" s="617"/>
      <c r="E5" s="617"/>
      <c r="F5" s="617"/>
      <c r="G5" s="618"/>
    </row>
    <row r="6" spans="1:14" ht="15.75" x14ac:dyDescent="0.2">
      <c r="A6" s="640" t="s">
        <v>7374</v>
      </c>
      <c r="B6" s="641"/>
      <c r="C6" s="641"/>
      <c r="D6" s="641"/>
      <c r="E6" s="641"/>
      <c r="F6" s="641"/>
      <c r="G6" s="642"/>
    </row>
    <row r="7" spans="1:14" ht="15.75" thickBot="1" x14ac:dyDescent="0.3">
      <c r="A7" s="648" t="s">
        <v>39</v>
      </c>
      <c r="B7" s="649"/>
      <c r="C7" s="649"/>
      <c r="D7" s="649"/>
      <c r="E7" s="649"/>
      <c r="F7" s="649"/>
      <c r="G7" s="650"/>
    </row>
    <row r="8" spans="1:14" ht="15.75" thickBot="1" x14ac:dyDescent="0.25">
      <c r="A8" s="662" t="s">
        <v>7537</v>
      </c>
      <c r="B8" s="663"/>
      <c r="C8" s="349" t="s">
        <v>7538</v>
      </c>
      <c r="D8" s="349" t="s">
        <v>7539</v>
      </c>
      <c r="E8" s="349" t="s">
        <v>7540</v>
      </c>
      <c r="F8" s="349" t="s">
        <v>7541</v>
      </c>
      <c r="G8" s="350" t="s">
        <v>7542</v>
      </c>
    </row>
    <row r="9" spans="1:14" x14ac:dyDescent="0.2">
      <c r="A9" s="351"/>
      <c r="B9" s="351"/>
      <c r="C9" s="352"/>
      <c r="D9" s="352"/>
      <c r="E9" s="352"/>
      <c r="F9" s="352"/>
      <c r="G9" s="352"/>
    </row>
    <row r="10" spans="1:14" ht="15" x14ac:dyDescent="0.25">
      <c r="A10" s="353">
        <v>1</v>
      </c>
      <c r="B10" s="354" t="s">
        <v>7259</v>
      </c>
      <c r="C10" s="355">
        <v>37472396951</v>
      </c>
      <c r="D10" s="355">
        <v>1785183799267</v>
      </c>
      <c r="E10" s="355">
        <v>1779645668151</v>
      </c>
      <c r="F10" s="355">
        <v>43010528067</v>
      </c>
      <c r="G10" s="355">
        <f>F10-C10</f>
        <v>5538131116</v>
      </c>
      <c r="H10" s="356"/>
    </row>
    <row r="11" spans="1:14" ht="15" x14ac:dyDescent="0.25">
      <c r="A11" s="353"/>
      <c r="B11" s="354"/>
      <c r="C11" s="355"/>
      <c r="D11" s="355"/>
      <c r="E11" s="355"/>
      <c r="F11" s="355"/>
      <c r="G11" s="355"/>
      <c r="H11" s="356"/>
    </row>
    <row r="12" spans="1:14" ht="15" x14ac:dyDescent="0.25">
      <c r="A12" s="357">
        <v>1.1000000000000001</v>
      </c>
      <c r="B12" s="358" t="s">
        <v>7543</v>
      </c>
      <c r="C12" s="359">
        <v>3790988545</v>
      </c>
      <c r="D12" s="359">
        <v>1781400264902</v>
      </c>
      <c r="E12" s="359">
        <v>1778036631886</v>
      </c>
      <c r="F12" s="355">
        <v>7154621561</v>
      </c>
      <c r="G12" s="355">
        <f>F12-C12</f>
        <v>3363633016</v>
      </c>
      <c r="H12" s="356"/>
      <c r="I12" s="356"/>
    </row>
    <row r="13" spans="1:14" ht="15" x14ac:dyDescent="0.25">
      <c r="A13" s="360" t="s">
        <v>7544</v>
      </c>
      <c r="B13" s="361" t="s">
        <v>7447</v>
      </c>
      <c r="C13" s="362">
        <v>1694956122</v>
      </c>
      <c r="D13" s="363">
        <v>1692607043994</v>
      </c>
      <c r="E13" s="363">
        <v>1689920420641</v>
      </c>
      <c r="F13" s="363">
        <v>4381579475</v>
      </c>
      <c r="G13" s="363">
        <f>F13-C13</f>
        <v>2686623353</v>
      </c>
      <c r="H13" s="356"/>
    </row>
    <row r="14" spans="1:14" ht="15" x14ac:dyDescent="0.25">
      <c r="A14" s="364" t="s">
        <v>7545</v>
      </c>
      <c r="B14" s="361" t="s">
        <v>7450</v>
      </c>
      <c r="C14" s="362">
        <v>1341367439</v>
      </c>
      <c r="D14" s="363">
        <v>85895729529</v>
      </c>
      <c r="E14" s="363">
        <v>85367469760</v>
      </c>
      <c r="F14" s="363">
        <v>1869627208</v>
      </c>
      <c r="G14" s="363">
        <f t="shared" ref="G14:G19" si="0">F14-C14</f>
        <v>528259769</v>
      </c>
      <c r="H14" s="356"/>
    </row>
    <row r="15" spans="1:14" ht="15" x14ac:dyDescent="0.25">
      <c r="A15" s="364" t="s">
        <v>7546</v>
      </c>
      <c r="B15" s="361" t="s">
        <v>7547</v>
      </c>
      <c r="C15" s="362">
        <v>735552707</v>
      </c>
      <c r="D15" s="363">
        <v>2879048682</v>
      </c>
      <c r="E15" s="363">
        <v>2748726538</v>
      </c>
      <c r="F15" s="363">
        <v>865874851</v>
      </c>
      <c r="G15" s="363">
        <f t="shared" si="0"/>
        <v>130322144</v>
      </c>
      <c r="H15" s="356"/>
    </row>
    <row r="16" spans="1:14" ht="15" x14ac:dyDescent="0.25">
      <c r="A16" s="364" t="s">
        <v>7548</v>
      </c>
      <c r="B16" s="361" t="s">
        <v>7549</v>
      </c>
      <c r="C16" s="365">
        <v>0</v>
      </c>
      <c r="D16" s="366">
        <v>0</v>
      </c>
      <c r="E16" s="366">
        <v>0</v>
      </c>
      <c r="F16" s="363">
        <v>0</v>
      </c>
      <c r="G16" s="363">
        <f t="shared" si="0"/>
        <v>0</v>
      </c>
      <c r="H16" s="356"/>
    </row>
    <row r="17" spans="1:8" ht="15" x14ac:dyDescent="0.25">
      <c r="A17" s="364" t="s">
        <v>7550</v>
      </c>
      <c r="B17" s="361" t="s">
        <v>5</v>
      </c>
      <c r="C17" s="365">
        <v>0</v>
      </c>
      <c r="D17" s="363">
        <v>14947</v>
      </c>
      <c r="E17" s="363">
        <v>14947</v>
      </c>
      <c r="F17" s="363">
        <v>0</v>
      </c>
      <c r="G17" s="363">
        <f t="shared" si="0"/>
        <v>0</v>
      </c>
      <c r="H17" s="356"/>
    </row>
    <row r="18" spans="1:8" ht="15" x14ac:dyDescent="0.25">
      <c r="A18" s="364" t="s">
        <v>7551</v>
      </c>
      <c r="B18" s="361" t="s">
        <v>7552</v>
      </c>
      <c r="C18" s="365">
        <v>0</v>
      </c>
      <c r="D18" s="366">
        <v>0</v>
      </c>
      <c r="E18" s="366">
        <v>0</v>
      </c>
      <c r="F18" s="363">
        <v>0</v>
      </c>
      <c r="G18" s="363">
        <f t="shared" si="0"/>
        <v>0</v>
      </c>
      <c r="H18" s="356"/>
    </row>
    <row r="19" spans="1:8" ht="15" x14ac:dyDescent="0.25">
      <c r="A19" s="364" t="s">
        <v>7553</v>
      </c>
      <c r="B19" s="361" t="s">
        <v>7459</v>
      </c>
      <c r="C19" s="362">
        <v>19112277</v>
      </c>
      <c r="D19" s="363">
        <v>18427750</v>
      </c>
      <c r="E19" s="366">
        <v>0</v>
      </c>
      <c r="F19" s="363">
        <v>37540027</v>
      </c>
      <c r="G19" s="363">
        <f t="shared" si="0"/>
        <v>18427750</v>
      </c>
      <c r="H19" s="356"/>
    </row>
    <row r="20" spans="1:8" ht="15" x14ac:dyDescent="0.25">
      <c r="A20" s="364"/>
      <c r="B20" s="361"/>
      <c r="C20" s="367"/>
      <c r="D20" s="367"/>
      <c r="E20" s="367"/>
      <c r="F20" s="367"/>
      <c r="G20" s="367"/>
      <c r="H20" s="356"/>
    </row>
    <row r="21" spans="1:8" ht="15" x14ac:dyDescent="0.25">
      <c r="A21" s="357">
        <v>1.2</v>
      </c>
      <c r="B21" s="358" t="s">
        <v>7554</v>
      </c>
      <c r="C21" s="359">
        <v>33681408406</v>
      </c>
      <c r="D21" s="359">
        <v>3783534365</v>
      </c>
      <c r="E21" s="359">
        <v>1609036265</v>
      </c>
      <c r="F21" s="355">
        <v>35855906506</v>
      </c>
      <c r="G21" s="355">
        <f>F21-C21</f>
        <v>2174498100</v>
      </c>
      <c r="H21" s="356"/>
    </row>
    <row r="22" spans="1:8" ht="15" x14ac:dyDescent="0.25">
      <c r="A22" s="364" t="s">
        <v>7555</v>
      </c>
      <c r="B22" s="361" t="s">
        <v>7556</v>
      </c>
      <c r="C22" s="362">
        <v>118241622</v>
      </c>
      <c r="D22" s="363">
        <v>436269692</v>
      </c>
      <c r="E22" s="363">
        <v>364136932</v>
      </c>
      <c r="F22" s="363">
        <v>190374382</v>
      </c>
      <c r="G22" s="363">
        <f>F22-C22</f>
        <v>72132760</v>
      </c>
      <c r="H22" s="356"/>
    </row>
    <row r="23" spans="1:8" ht="15" x14ac:dyDescent="0.25">
      <c r="A23" s="364" t="s">
        <v>7557</v>
      </c>
      <c r="B23" s="361" t="s">
        <v>154</v>
      </c>
      <c r="C23" s="362">
        <v>401414</v>
      </c>
      <c r="D23" s="366">
        <v>0</v>
      </c>
      <c r="E23" s="366">
        <v>0</v>
      </c>
      <c r="F23" s="363">
        <v>401414</v>
      </c>
      <c r="G23" s="363">
        <f t="shared" ref="G23:G30" si="1">F23-C23</f>
        <v>0</v>
      </c>
      <c r="H23" s="356"/>
    </row>
    <row r="24" spans="1:8" ht="15" x14ac:dyDescent="0.25">
      <c r="A24" s="364" t="s">
        <v>7558</v>
      </c>
      <c r="B24" s="361" t="s">
        <v>7463</v>
      </c>
      <c r="C24" s="362">
        <v>32605246252</v>
      </c>
      <c r="D24" s="363">
        <v>3094201827</v>
      </c>
      <c r="E24" s="363">
        <v>750589513</v>
      </c>
      <c r="F24" s="363">
        <v>34948858566</v>
      </c>
      <c r="G24" s="363">
        <f t="shared" si="1"/>
        <v>2343612314</v>
      </c>
      <c r="H24" s="356"/>
    </row>
    <row r="25" spans="1:8" ht="15" x14ac:dyDescent="0.25">
      <c r="A25" s="364" t="s">
        <v>7559</v>
      </c>
      <c r="B25" s="361" t="s">
        <v>9</v>
      </c>
      <c r="C25" s="362">
        <v>1825671823</v>
      </c>
      <c r="D25" s="363">
        <v>215051400</v>
      </c>
      <c r="E25" s="363">
        <v>60045049</v>
      </c>
      <c r="F25" s="363">
        <v>1980678174</v>
      </c>
      <c r="G25" s="363">
        <f t="shared" si="1"/>
        <v>155006351</v>
      </c>
      <c r="H25" s="356"/>
    </row>
    <row r="26" spans="1:8" ht="15" x14ac:dyDescent="0.25">
      <c r="A26" s="364" t="s">
        <v>7560</v>
      </c>
      <c r="B26" s="361" t="s">
        <v>10</v>
      </c>
      <c r="C26" s="362">
        <v>507113348</v>
      </c>
      <c r="D26" s="363">
        <v>33506297</v>
      </c>
      <c r="E26" s="363">
        <v>12069476</v>
      </c>
      <c r="F26" s="363">
        <v>528550169</v>
      </c>
      <c r="G26" s="363">
        <f t="shared" si="1"/>
        <v>21436821</v>
      </c>
      <c r="H26" s="356"/>
    </row>
    <row r="27" spans="1:8" ht="15" x14ac:dyDescent="0.25">
      <c r="A27" s="364" t="s">
        <v>7561</v>
      </c>
      <c r="B27" s="361" t="s">
        <v>7562</v>
      </c>
      <c r="C27" s="362">
        <v>-1471090176</v>
      </c>
      <c r="D27" s="363">
        <v>4505149</v>
      </c>
      <c r="E27" s="363">
        <v>422195295</v>
      </c>
      <c r="F27" s="363">
        <v>-1888780322</v>
      </c>
      <c r="G27" s="363">
        <f t="shared" si="1"/>
        <v>-417690146</v>
      </c>
      <c r="H27" s="356"/>
    </row>
    <row r="28" spans="1:8" ht="15" x14ac:dyDescent="0.25">
      <c r="A28" s="364" t="s">
        <v>7563</v>
      </c>
      <c r="B28" s="361" t="s">
        <v>11</v>
      </c>
      <c r="C28" s="362">
        <v>4299800</v>
      </c>
      <c r="D28" s="366">
        <v>0</v>
      </c>
      <c r="E28" s="366">
        <v>0</v>
      </c>
      <c r="F28" s="363">
        <v>4299800</v>
      </c>
      <c r="G28" s="363">
        <f t="shared" si="1"/>
        <v>0</v>
      </c>
      <c r="H28" s="356"/>
    </row>
    <row r="29" spans="1:8" ht="15" x14ac:dyDescent="0.25">
      <c r="A29" s="364" t="s">
        <v>7564</v>
      </c>
      <c r="B29" s="361" t="s">
        <v>7565</v>
      </c>
      <c r="C29" s="365">
        <v>0</v>
      </c>
      <c r="D29" s="366">
        <v>0</v>
      </c>
      <c r="E29" s="366">
        <v>0</v>
      </c>
      <c r="F29" s="363">
        <v>0</v>
      </c>
      <c r="G29" s="363">
        <f t="shared" si="1"/>
        <v>0</v>
      </c>
      <c r="H29" s="356"/>
    </row>
    <row r="30" spans="1:8" ht="15" x14ac:dyDescent="0.25">
      <c r="A30" s="364" t="s">
        <v>7566</v>
      </c>
      <c r="B30" s="361" t="s">
        <v>7567</v>
      </c>
      <c r="C30" s="362">
        <v>91524323</v>
      </c>
      <c r="D30" s="366">
        <v>0</v>
      </c>
      <c r="E30" s="366">
        <v>0</v>
      </c>
      <c r="F30" s="363">
        <v>91524323</v>
      </c>
      <c r="G30" s="363">
        <f t="shared" si="1"/>
        <v>0</v>
      </c>
      <c r="H30" s="356"/>
    </row>
    <row r="31" spans="1:8" ht="15.75" thickBot="1" x14ac:dyDescent="0.3">
      <c r="A31" s="368"/>
      <c r="B31" s="369"/>
      <c r="C31" s="370"/>
      <c r="D31" s="370"/>
      <c r="E31" s="370"/>
      <c r="F31" s="370"/>
      <c r="G31" s="370"/>
      <c r="H31" s="356"/>
    </row>
    <row r="32" spans="1:8" x14ac:dyDescent="0.2">
      <c r="H32" s="356"/>
    </row>
    <row r="34" spans="2:8" x14ac:dyDescent="0.2">
      <c r="B34" s="165"/>
      <c r="C34" s="241"/>
      <c r="D34" s="165"/>
      <c r="E34" s="165"/>
      <c r="F34" s="242"/>
      <c r="G34" s="242"/>
      <c r="H34" s="165"/>
    </row>
    <row r="35" spans="2:8" x14ac:dyDescent="0.2">
      <c r="B35" s="165"/>
      <c r="C35" s="241"/>
      <c r="D35" s="165"/>
      <c r="E35" s="165"/>
      <c r="F35" s="165"/>
      <c r="G35" s="165"/>
      <c r="H35" s="165"/>
    </row>
    <row r="36" spans="2:8" ht="15" x14ac:dyDescent="0.25">
      <c r="B36" s="647" t="s">
        <v>7238</v>
      </c>
      <c r="C36" s="647"/>
      <c r="D36" s="647"/>
      <c r="E36" s="647"/>
      <c r="F36" s="647"/>
      <c r="G36" s="647"/>
      <c r="H36" s="372"/>
    </row>
    <row r="37" spans="2:8" ht="15" x14ac:dyDescent="0.25">
      <c r="B37" s="647" t="s">
        <v>7239</v>
      </c>
      <c r="C37" s="647"/>
      <c r="D37" s="647"/>
      <c r="E37" s="647"/>
      <c r="F37" s="647"/>
      <c r="G37" s="647"/>
      <c r="H37" s="372"/>
    </row>
  </sheetData>
  <mergeCells count="8">
    <mergeCell ref="B36:G36"/>
    <mergeCell ref="B37:G37"/>
    <mergeCell ref="A3:G3"/>
    <mergeCell ref="A4:G4"/>
    <mergeCell ref="A5:G5"/>
    <mergeCell ref="A6:G6"/>
    <mergeCell ref="A7:G7"/>
    <mergeCell ref="A8:B8"/>
  </mergeCells>
  <pageMargins left="0.7" right="0.7" top="0.75" bottom="0.75" header="0.3" footer="0.3"/>
  <pageSetup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opLeftCell="A3" workbookViewId="0">
      <selection activeCell="D13" sqref="D13"/>
    </sheetView>
  </sheetViews>
  <sheetFormatPr baseColWidth="10" defaultColWidth="9.140625" defaultRowHeight="12.75" x14ac:dyDescent="0.2"/>
  <cols>
    <col min="1" max="1" width="3.7109375" customWidth="1"/>
    <col min="2" max="2" width="3.140625" customWidth="1"/>
    <col min="3" max="3" width="42.140625" customWidth="1"/>
    <col min="4" max="4" width="14.5703125" customWidth="1"/>
    <col min="5" max="5" width="13.42578125" customWidth="1"/>
    <col min="6" max="6" width="22.5703125" bestFit="1" customWidth="1"/>
    <col min="7" max="7" width="15.140625" bestFit="1" customWidth="1"/>
  </cols>
  <sheetData>
    <row r="1" spans="1:7" s="82" customFormat="1" ht="13.5" hidden="1" thickBot="1" x14ac:dyDescent="0.25">
      <c r="A1" s="78" t="s">
        <v>1763</v>
      </c>
      <c r="B1" s="79" t="s">
        <v>1762</v>
      </c>
      <c r="C1" s="79" t="s">
        <v>1772</v>
      </c>
      <c r="D1" s="79" t="s">
        <v>731</v>
      </c>
      <c r="E1" s="79"/>
      <c r="F1" s="79" t="s">
        <v>41</v>
      </c>
      <c r="G1" s="81" t="s">
        <v>7233</v>
      </c>
    </row>
    <row r="2" spans="1:7" ht="13.5" hidden="1" thickBot="1" x14ac:dyDescent="0.25">
      <c r="A2" s="8"/>
      <c r="B2" s="7"/>
      <c r="C2" s="7"/>
      <c r="D2" s="7"/>
      <c r="E2" s="7"/>
      <c r="F2" s="7"/>
      <c r="G2" s="18"/>
    </row>
    <row r="3" spans="1:7" ht="18.75" customHeight="1" x14ac:dyDescent="0.3">
      <c r="A3" s="664" t="s">
        <v>40</v>
      </c>
      <c r="B3" s="665"/>
      <c r="C3" s="665"/>
      <c r="D3" s="665"/>
      <c r="E3" s="665"/>
      <c r="F3" s="665"/>
      <c r="G3" s="666"/>
    </row>
    <row r="4" spans="1:7" ht="15.75" x14ac:dyDescent="0.25">
      <c r="A4" s="667" t="s">
        <v>7568</v>
      </c>
      <c r="B4" s="668"/>
      <c r="C4" s="668"/>
      <c r="D4" s="668"/>
      <c r="E4" s="668"/>
      <c r="F4" s="668"/>
      <c r="G4" s="669"/>
    </row>
    <row r="5" spans="1:7" ht="15.75" x14ac:dyDescent="0.25">
      <c r="A5" s="667" t="s">
        <v>7373</v>
      </c>
      <c r="B5" s="668"/>
      <c r="C5" s="668"/>
      <c r="D5" s="668"/>
      <c r="E5" s="668"/>
      <c r="F5" s="668"/>
      <c r="G5" s="669"/>
    </row>
    <row r="6" spans="1:7" ht="16.5" thickBot="1" x14ac:dyDescent="0.25">
      <c r="A6" s="670" t="s">
        <v>731</v>
      </c>
      <c r="B6" s="671"/>
      <c r="C6" s="671"/>
      <c r="D6" s="671"/>
      <c r="E6" s="671"/>
      <c r="F6" s="671"/>
      <c r="G6" s="672"/>
    </row>
    <row r="7" spans="1:7" ht="15.75" thickBot="1" x14ac:dyDescent="0.3">
      <c r="A7" s="673" t="s">
        <v>39</v>
      </c>
      <c r="B7" s="620"/>
      <c r="C7" s="620"/>
      <c r="D7" s="620"/>
      <c r="E7" s="620"/>
      <c r="F7" s="620"/>
      <c r="G7" s="674"/>
    </row>
    <row r="8" spans="1:7" x14ac:dyDescent="0.2">
      <c r="A8" s="675" t="s">
        <v>7569</v>
      </c>
      <c r="B8" s="676"/>
      <c r="C8" s="677"/>
      <c r="D8" s="681" t="s">
        <v>7570</v>
      </c>
      <c r="E8" s="681" t="s">
        <v>7571</v>
      </c>
      <c r="F8" s="681" t="s">
        <v>7572</v>
      </c>
      <c r="G8" s="681" t="s">
        <v>7573</v>
      </c>
    </row>
    <row r="9" spans="1:7" ht="19.5" customHeight="1" thickBot="1" x14ac:dyDescent="0.25">
      <c r="A9" s="678"/>
      <c r="B9" s="679"/>
      <c r="C9" s="680"/>
      <c r="D9" s="682"/>
      <c r="E9" s="682"/>
      <c r="F9" s="682"/>
      <c r="G9" s="682"/>
    </row>
    <row r="10" spans="1:7" x14ac:dyDescent="0.2">
      <c r="A10" s="61"/>
      <c r="B10" s="62"/>
      <c r="C10" s="62"/>
      <c r="D10" s="62"/>
      <c r="E10" s="62"/>
      <c r="F10" s="62"/>
      <c r="G10" s="64"/>
    </row>
    <row r="11" spans="1:7" ht="15.75" x14ac:dyDescent="0.25">
      <c r="A11" s="373" t="s">
        <v>7574</v>
      </c>
      <c r="B11" s="2"/>
      <c r="C11" s="2"/>
      <c r="D11" s="2"/>
      <c r="E11" s="2"/>
      <c r="F11" s="6"/>
      <c r="G11" s="374"/>
    </row>
    <row r="12" spans="1:7" ht="15" x14ac:dyDescent="0.25">
      <c r="A12" s="375"/>
      <c r="B12" s="2"/>
      <c r="C12" s="2"/>
      <c r="D12" s="2"/>
      <c r="E12" s="2"/>
      <c r="F12" s="2"/>
      <c r="G12" s="66"/>
    </row>
    <row r="13" spans="1:7" ht="15.75" thickBot="1" x14ac:dyDescent="0.3">
      <c r="A13" s="376"/>
      <c r="B13" s="377" t="s">
        <v>7575</v>
      </c>
      <c r="C13" s="377"/>
      <c r="D13" s="378"/>
      <c r="E13" s="378"/>
      <c r="F13" s="379"/>
      <c r="G13" s="380"/>
    </row>
    <row r="14" spans="1:7" ht="15.75" thickTop="1" x14ac:dyDescent="0.25">
      <c r="A14" s="375"/>
      <c r="B14" s="2"/>
      <c r="C14" s="2"/>
      <c r="D14" s="2"/>
      <c r="E14" s="2"/>
      <c r="F14" s="381"/>
      <c r="G14" s="382"/>
    </row>
    <row r="15" spans="1:7" ht="15" x14ac:dyDescent="0.25">
      <c r="A15" s="383"/>
      <c r="B15" s="384" t="s">
        <v>7576</v>
      </c>
      <c r="C15" s="385"/>
      <c r="D15" s="2"/>
      <c r="E15" s="2"/>
      <c r="F15" s="386">
        <v>1604188939</v>
      </c>
      <c r="G15" s="387">
        <v>2355970029</v>
      </c>
    </row>
    <row r="16" spans="1:7" ht="15" x14ac:dyDescent="0.25">
      <c r="A16" s="375"/>
      <c r="B16" s="2"/>
      <c r="C16" s="2"/>
      <c r="D16" s="2"/>
      <c r="E16" s="2"/>
      <c r="F16" s="386"/>
      <c r="G16" s="387"/>
    </row>
    <row r="17" spans="1:7" ht="15" x14ac:dyDescent="0.25">
      <c r="A17" s="65"/>
      <c r="B17" s="2"/>
      <c r="C17" s="388" t="s">
        <v>7577</v>
      </c>
      <c r="D17" s="2"/>
      <c r="E17" s="2"/>
      <c r="F17" s="389">
        <v>1604188939</v>
      </c>
      <c r="G17" s="232">
        <v>2355970029</v>
      </c>
    </row>
    <row r="18" spans="1:7" ht="15" x14ac:dyDescent="0.25">
      <c r="A18" s="65"/>
      <c r="B18" s="2"/>
      <c r="C18" s="388" t="s">
        <v>7578</v>
      </c>
      <c r="D18" s="2"/>
      <c r="E18" s="2"/>
      <c r="F18" s="386">
        <v>0</v>
      </c>
      <c r="G18" s="387">
        <v>0</v>
      </c>
    </row>
    <row r="19" spans="1:7" ht="15" x14ac:dyDescent="0.25">
      <c r="A19" s="65"/>
      <c r="B19" s="2"/>
      <c r="C19" s="388" t="s">
        <v>7579</v>
      </c>
      <c r="D19" s="2"/>
      <c r="E19" s="2"/>
      <c r="F19" s="386">
        <v>0</v>
      </c>
      <c r="G19" s="387">
        <v>0</v>
      </c>
    </row>
    <row r="20" spans="1:7" ht="15" x14ac:dyDescent="0.25">
      <c r="A20" s="375"/>
      <c r="B20" s="2"/>
      <c r="C20" s="2"/>
      <c r="D20" s="2"/>
      <c r="E20" s="2"/>
      <c r="F20" s="386"/>
      <c r="G20" s="387"/>
    </row>
    <row r="21" spans="1:7" ht="15" x14ac:dyDescent="0.25">
      <c r="A21" s="383"/>
      <c r="B21" s="384" t="s">
        <v>7580</v>
      </c>
      <c r="C21" s="2"/>
      <c r="D21" s="2"/>
      <c r="E21" s="2"/>
      <c r="F21" s="386">
        <v>0</v>
      </c>
      <c r="G21" s="387">
        <v>0</v>
      </c>
    </row>
    <row r="22" spans="1:7" ht="15" x14ac:dyDescent="0.25">
      <c r="A22" s="375"/>
      <c r="B22" s="2"/>
      <c r="C22" s="2"/>
      <c r="D22" s="2"/>
      <c r="E22" s="2"/>
      <c r="F22" s="386"/>
      <c r="G22" s="387"/>
    </row>
    <row r="23" spans="1:7" ht="15" x14ac:dyDescent="0.25">
      <c r="A23" s="65"/>
      <c r="B23" s="2"/>
      <c r="C23" s="390" t="s">
        <v>7581</v>
      </c>
      <c r="D23" s="2"/>
      <c r="E23" s="2"/>
      <c r="F23" s="386"/>
      <c r="G23" s="387"/>
    </row>
    <row r="24" spans="1:7" ht="15" x14ac:dyDescent="0.25">
      <c r="A24" s="65"/>
      <c r="B24" s="2"/>
      <c r="C24" s="388" t="s">
        <v>7582</v>
      </c>
      <c r="D24" s="2"/>
      <c r="E24" s="2"/>
      <c r="F24" s="386"/>
      <c r="G24" s="387"/>
    </row>
    <row r="25" spans="1:7" ht="15" x14ac:dyDescent="0.25">
      <c r="A25" s="65"/>
      <c r="B25" s="2"/>
      <c r="C25" s="388" t="s">
        <v>7578</v>
      </c>
      <c r="D25" s="2"/>
      <c r="E25" s="2"/>
      <c r="F25" s="386">
        <v>0</v>
      </c>
      <c r="G25" s="387">
        <v>0</v>
      </c>
    </row>
    <row r="26" spans="1:7" ht="15" x14ac:dyDescent="0.25">
      <c r="A26" s="65"/>
      <c r="B26" s="2"/>
      <c r="C26" s="388" t="s">
        <v>7579</v>
      </c>
      <c r="D26" s="2"/>
      <c r="E26" s="2"/>
      <c r="F26" s="386">
        <v>0</v>
      </c>
      <c r="G26" s="387">
        <v>0</v>
      </c>
    </row>
    <row r="27" spans="1:7" ht="15" x14ac:dyDescent="0.25">
      <c r="A27" s="375"/>
      <c r="B27" s="2"/>
      <c r="C27" s="2"/>
      <c r="D27" s="2"/>
      <c r="E27" s="2"/>
      <c r="F27" s="386"/>
      <c r="G27" s="387"/>
    </row>
    <row r="28" spans="1:7" ht="15" x14ac:dyDescent="0.25">
      <c r="A28" s="65"/>
      <c r="B28" s="391" t="s">
        <v>7583</v>
      </c>
      <c r="C28" s="392"/>
      <c r="D28" s="392"/>
      <c r="E28" s="392"/>
      <c r="F28" s="393">
        <v>1604188939</v>
      </c>
      <c r="G28" s="394">
        <v>2355970029</v>
      </c>
    </row>
    <row r="29" spans="1:7" ht="15" x14ac:dyDescent="0.25">
      <c r="A29" s="375"/>
      <c r="B29" s="2"/>
      <c r="C29" s="2"/>
      <c r="D29" s="2"/>
      <c r="E29" s="2"/>
      <c r="F29" s="386"/>
      <c r="G29" s="387"/>
    </row>
    <row r="30" spans="1:7" ht="15.75" thickBot="1" x14ac:dyDescent="0.3">
      <c r="A30" s="376" t="s">
        <v>7584</v>
      </c>
      <c r="B30" s="378"/>
      <c r="C30" s="378"/>
      <c r="D30" s="378"/>
      <c r="E30" s="378"/>
      <c r="F30" s="395"/>
      <c r="G30" s="396"/>
    </row>
    <row r="31" spans="1:7" ht="15.75" thickTop="1" x14ac:dyDescent="0.25">
      <c r="A31" s="375"/>
      <c r="B31" s="2"/>
      <c r="C31" s="2"/>
      <c r="D31" s="2"/>
      <c r="E31" s="2"/>
      <c r="F31" s="386"/>
      <c r="G31" s="387"/>
    </row>
    <row r="32" spans="1:7" ht="15" x14ac:dyDescent="0.25">
      <c r="A32" s="65"/>
      <c r="B32" s="384" t="s">
        <v>7576</v>
      </c>
      <c r="C32" s="2"/>
      <c r="D32" s="2"/>
      <c r="E32" s="2"/>
      <c r="F32" s="386">
        <v>16154803559</v>
      </c>
      <c r="G32" s="387">
        <v>20726293665</v>
      </c>
    </row>
    <row r="33" spans="1:7" ht="15" x14ac:dyDescent="0.25">
      <c r="A33" s="375"/>
      <c r="B33" s="2"/>
      <c r="C33" s="2"/>
      <c r="D33" s="2"/>
      <c r="E33" s="2"/>
      <c r="F33" s="397"/>
      <c r="G33" s="387"/>
    </row>
    <row r="34" spans="1:7" ht="15" x14ac:dyDescent="0.25">
      <c r="A34" s="65"/>
      <c r="B34" s="2"/>
      <c r="C34" s="388" t="s">
        <v>7577</v>
      </c>
      <c r="D34" s="2"/>
      <c r="E34" s="2"/>
      <c r="F34" s="389">
        <v>16154803559</v>
      </c>
      <c r="G34" s="232">
        <v>20726293665</v>
      </c>
    </row>
    <row r="35" spans="1:7" ht="15" x14ac:dyDescent="0.25">
      <c r="A35" s="65"/>
      <c r="B35" s="2"/>
      <c r="C35" s="388" t="s">
        <v>7578</v>
      </c>
      <c r="D35" s="2"/>
      <c r="E35" s="2"/>
      <c r="F35" s="386">
        <v>0</v>
      </c>
      <c r="G35" s="398">
        <v>0</v>
      </c>
    </row>
    <row r="36" spans="1:7" ht="15" x14ac:dyDescent="0.25">
      <c r="A36" s="65"/>
      <c r="B36" s="2"/>
      <c r="C36" s="388" t="s">
        <v>7579</v>
      </c>
      <c r="D36" s="2"/>
      <c r="E36" s="2"/>
      <c r="F36" s="386">
        <v>0</v>
      </c>
      <c r="G36" s="398">
        <v>0</v>
      </c>
    </row>
    <row r="37" spans="1:7" ht="15" x14ac:dyDescent="0.25">
      <c r="A37" s="375"/>
      <c r="B37" s="2"/>
      <c r="C37" s="2"/>
      <c r="D37" s="2"/>
      <c r="E37" s="2"/>
      <c r="F37" s="386"/>
      <c r="G37" s="387"/>
    </row>
    <row r="38" spans="1:7" ht="15" x14ac:dyDescent="0.25">
      <c r="A38" s="383"/>
      <c r="B38" s="384" t="s">
        <v>7580</v>
      </c>
      <c r="C38" s="2"/>
      <c r="D38" s="2"/>
      <c r="E38" s="2"/>
      <c r="F38" s="386">
        <v>0</v>
      </c>
      <c r="G38" s="387">
        <v>0</v>
      </c>
    </row>
    <row r="39" spans="1:7" ht="15" x14ac:dyDescent="0.25">
      <c r="A39" s="375"/>
      <c r="B39" s="2"/>
      <c r="C39" s="2"/>
      <c r="D39" s="2"/>
      <c r="E39" s="2"/>
      <c r="F39" s="386"/>
      <c r="G39" s="387"/>
    </row>
    <row r="40" spans="1:7" ht="15" x14ac:dyDescent="0.25">
      <c r="A40" s="65"/>
      <c r="B40" s="2"/>
      <c r="C40" s="390" t="s">
        <v>7581</v>
      </c>
      <c r="D40" s="2"/>
      <c r="E40" s="2"/>
      <c r="F40" s="386"/>
      <c r="G40" s="387"/>
    </row>
    <row r="41" spans="1:7" ht="15" x14ac:dyDescent="0.25">
      <c r="A41" s="65"/>
      <c r="B41" s="2"/>
      <c r="C41" s="388" t="s">
        <v>7582</v>
      </c>
      <c r="D41" s="2"/>
      <c r="E41" s="2"/>
      <c r="F41" s="386"/>
      <c r="G41" s="387"/>
    </row>
    <row r="42" spans="1:7" ht="15" x14ac:dyDescent="0.25">
      <c r="A42" s="65"/>
      <c r="B42" s="2"/>
      <c r="C42" s="388" t="s">
        <v>7578</v>
      </c>
      <c r="D42" s="2"/>
      <c r="E42" s="2"/>
      <c r="F42" s="386">
        <v>0</v>
      </c>
      <c r="G42" s="387">
        <v>0</v>
      </c>
    </row>
    <row r="43" spans="1:7" ht="15" x14ac:dyDescent="0.25">
      <c r="A43" s="65"/>
      <c r="B43" s="2"/>
      <c r="C43" s="388" t="s">
        <v>7579</v>
      </c>
      <c r="D43" s="2"/>
      <c r="E43" s="2"/>
      <c r="F43" s="386">
        <v>0</v>
      </c>
      <c r="G43" s="387">
        <v>0</v>
      </c>
    </row>
    <row r="44" spans="1:7" ht="15" x14ac:dyDescent="0.25">
      <c r="A44" s="375"/>
      <c r="B44" s="2"/>
      <c r="C44" s="2"/>
      <c r="D44" s="2"/>
      <c r="E44" s="2"/>
      <c r="F44" s="386"/>
      <c r="G44" s="387"/>
    </row>
    <row r="45" spans="1:7" ht="15" x14ac:dyDescent="0.25">
      <c r="A45" s="65"/>
      <c r="B45" s="391" t="s">
        <v>7585</v>
      </c>
      <c r="C45" s="392"/>
      <c r="D45" s="392"/>
      <c r="E45" s="392"/>
      <c r="F45" s="393">
        <v>16154803559</v>
      </c>
      <c r="G45" s="394">
        <v>20726293665</v>
      </c>
    </row>
    <row r="46" spans="1:7" ht="15" x14ac:dyDescent="0.25">
      <c r="A46" s="375"/>
      <c r="B46" s="392"/>
      <c r="C46" s="392"/>
      <c r="D46" s="392"/>
      <c r="E46" s="392"/>
      <c r="F46" s="399"/>
      <c r="G46" s="400"/>
    </row>
    <row r="47" spans="1:7" ht="15" x14ac:dyDescent="0.25">
      <c r="A47" s="65"/>
      <c r="B47" s="391" t="s">
        <v>7586</v>
      </c>
      <c r="C47" s="392"/>
      <c r="D47" s="392"/>
      <c r="E47" s="392"/>
      <c r="F47" s="393">
        <v>6296967102</v>
      </c>
      <c r="G47" s="394">
        <v>5671545522</v>
      </c>
    </row>
    <row r="48" spans="1:7" ht="15" x14ac:dyDescent="0.25">
      <c r="A48" s="375"/>
      <c r="B48" s="2"/>
      <c r="C48" s="2"/>
      <c r="D48" s="2"/>
      <c r="E48" s="2"/>
      <c r="F48" s="386"/>
      <c r="G48" s="387"/>
    </row>
    <row r="49" spans="1:7" ht="15" x14ac:dyDescent="0.25">
      <c r="A49" s="375"/>
      <c r="B49" s="2"/>
      <c r="C49" s="2"/>
      <c r="D49" s="2"/>
      <c r="E49" s="2"/>
      <c r="F49" s="386"/>
      <c r="G49" s="387"/>
    </row>
    <row r="50" spans="1:7" ht="15" x14ac:dyDescent="0.25">
      <c r="A50" s="401" t="s">
        <v>7587</v>
      </c>
      <c r="B50" s="2"/>
      <c r="C50" s="2"/>
      <c r="D50" s="2"/>
      <c r="E50" s="2"/>
      <c r="F50" s="402">
        <v>24055959600</v>
      </c>
      <c r="G50" s="403">
        <v>28753809216</v>
      </c>
    </row>
    <row r="51" spans="1:7" ht="13.5" thickBot="1" x14ac:dyDescent="0.25">
      <c r="A51" s="74"/>
      <c r="B51" s="75"/>
      <c r="C51" s="75"/>
      <c r="D51" s="75"/>
      <c r="E51" s="75"/>
      <c r="F51" s="404"/>
      <c r="G51" s="405"/>
    </row>
    <row r="52" spans="1:7" x14ac:dyDescent="0.2">
      <c r="A52" s="2"/>
      <c r="B52" s="2"/>
      <c r="C52" s="2"/>
    </row>
    <row r="54" spans="1:7" x14ac:dyDescent="0.2">
      <c r="C54" s="165"/>
      <c r="D54" s="241"/>
      <c r="E54" s="165"/>
      <c r="F54" s="165"/>
      <c r="G54" s="242"/>
    </row>
    <row r="55" spans="1:7" x14ac:dyDescent="0.2">
      <c r="C55" s="165"/>
      <c r="D55" s="241"/>
      <c r="E55" s="165"/>
      <c r="F55" s="165"/>
      <c r="G55" s="165"/>
    </row>
    <row r="56" spans="1:7" ht="15" x14ac:dyDescent="0.25">
      <c r="A56" s="647" t="s">
        <v>7238</v>
      </c>
      <c r="B56" s="647"/>
      <c r="C56" s="647"/>
      <c r="D56" s="647"/>
      <c r="E56" s="647"/>
      <c r="F56" s="647"/>
      <c r="G56" s="647"/>
    </row>
    <row r="57" spans="1:7" ht="15" x14ac:dyDescent="0.25">
      <c r="A57" s="647" t="s">
        <v>7239</v>
      </c>
      <c r="B57" s="647"/>
      <c r="C57" s="647"/>
      <c r="D57" s="647"/>
      <c r="E57" s="647"/>
      <c r="F57" s="647"/>
      <c r="G57" s="647"/>
    </row>
  </sheetData>
  <mergeCells count="12">
    <mergeCell ref="A56:G56"/>
    <mergeCell ref="A57:G57"/>
    <mergeCell ref="A3:G3"/>
    <mergeCell ref="A4:G4"/>
    <mergeCell ref="A5:G5"/>
    <mergeCell ref="A6:G6"/>
    <mergeCell ref="A7:G7"/>
    <mergeCell ref="A8:C9"/>
    <mergeCell ref="D8:D9"/>
    <mergeCell ref="E8:E9"/>
    <mergeCell ref="F8:F9"/>
    <mergeCell ref="G8:G9"/>
  </mergeCells>
  <printOptions horizontalCentered="1"/>
  <pageMargins left="0.70866141732283472" right="0.70866141732283472" top="0.74803149606299213" bottom="0.74803149606299213" header="0.31496062992125984" footer="0.31496062992125984"/>
  <pageSetup scale="7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topLeftCell="A2" workbookViewId="0">
      <selection activeCell="J37" sqref="J37"/>
    </sheetView>
  </sheetViews>
  <sheetFormatPr baseColWidth="10" defaultRowHeight="12.75" x14ac:dyDescent="0.2"/>
  <cols>
    <col min="1" max="1" width="1.140625" style="165" customWidth="1"/>
    <col min="2" max="2" width="34.42578125" style="165" customWidth="1"/>
    <col min="3" max="3" width="14.7109375" style="165" bestFit="1" customWidth="1"/>
    <col min="4" max="4" width="21.42578125" style="165" customWidth="1"/>
    <col min="5" max="5" width="17.42578125" style="165" customWidth="1"/>
    <col min="6" max="6" width="16.28515625" style="165" customWidth="1"/>
    <col min="7" max="7" width="18.28515625" style="165" customWidth="1"/>
    <col min="8" max="8" width="18.42578125" style="165" customWidth="1"/>
    <col min="9" max="9" width="15.85546875" style="165" customWidth="1"/>
    <col min="10" max="10" width="21.28515625" style="165" customWidth="1"/>
    <col min="11" max="11" width="11.42578125" style="165"/>
    <col min="12" max="12" width="15.28515625" style="165" bestFit="1" customWidth="1"/>
    <col min="13" max="16384" width="11.42578125" style="165"/>
  </cols>
  <sheetData>
    <row r="1" spans="1:12" ht="13.5" hidden="1" thickBot="1" x14ac:dyDescent="0.25">
      <c r="A1" s="406" t="s">
        <v>1763</v>
      </c>
      <c r="B1" s="406" t="s">
        <v>7588</v>
      </c>
      <c r="D1" s="406"/>
      <c r="G1" s="165" t="s">
        <v>7589</v>
      </c>
      <c r="H1" s="165" t="s">
        <v>7234</v>
      </c>
      <c r="I1" s="165" t="s">
        <v>7235</v>
      </c>
      <c r="J1" s="165" t="s">
        <v>7236</v>
      </c>
      <c r="K1" s="165" t="s">
        <v>7589</v>
      </c>
      <c r="L1" s="407">
        <v>42735</v>
      </c>
    </row>
    <row r="2" spans="1:12" ht="18.75" customHeight="1" x14ac:dyDescent="0.2">
      <c r="B2" s="705" t="s">
        <v>40</v>
      </c>
      <c r="C2" s="706"/>
      <c r="D2" s="706"/>
      <c r="E2" s="706"/>
      <c r="F2" s="706"/>
      <c r="G2" s="706"/>
      <c r="H2" s="706"/>
      <c r="I2" s="706"/>
      <c r="J2" s="707"/>
      <c r="K2" s="408"/>
    </row>
    <row r="3" spans="1:12" ht="15.75" x14ac:dyDescent="0.2">
      <c r="B3" s="708" t="s">
        <v>7590</v>
      </c>
      <c r="C3" s="709"/>
      <c r="D3" s="709"/>
      <c r="E3" s="709"/>
      <c r="F3" s="709"/>
      <c r="G3" s="709"/>
      <c r="H3" s="709"/>
      <c r="I3" s="709"/>
      <c r="J3" s="710"/>
      <c r="K3" s="408"/>
    </row>
    <row r="4" spans="1:12" ht="15.75" x14ac:dyDescent="0.2">
      <c r="B4" s="711" t="s">
        <v>7373</v>
      </c>
      <c r="C4" s="712"/>
      <c r="D4" s="712"/>
      <c r="E4" s="712"/>
      <c r="F4" s="712"/>
      <c r="G4" s="712"/>
      <c r="H4" s="712"/>
      <c r="I4" s="712"/>
      <c r="J4" s="713"/>
      <c r="K4" s="408"/>
    </row>
    <row r="5" spans="1:12" ht="16.5" thickBot="1" x14ac:dyDescent="0.25">
      <c r="B5" s="714" t="s">
        <v>7257</v>
      </c>
      <c r="C5" s="715"/>
      <c r="D5" s="715"/>
      <c r="E5" s="715"/>
      <c r="F5" s="715"/>
      <c r="G5" s="715"/>
      <c r="H5" s="715"/>
      <c r="I5" s="715"/>
      <c r="J5" s="716"/>
      <c r="K5" s="408"/>
    </row>
    <row r="6" spans="1:12" ht="38.25" x14ac:dyDescent="0.2">
      <c r="B6" s="717" t="s">
        <v>7591</v>
      </c>
      <c r="C6" s="718"/>
      <c r="D6" s="409" t="s">
        <v>7592</v>
      </c>
      <c r="E6" s="687" t="s">
        <v>7593</v>
      </c>
      <c r="F6" s="687" t="s">
        <v>7594</v>
      </c>
      <c r="G6" s="687" t="s">
        <v>7595</v>
      </c>
      <c r="H6" s="409" t="s">
        <v>7596</v>
      </c>
      <c r="I6" s="687" t="s">
        <v>7597</v>
      </c>
      <c r="J6" s="687" t="s">
        <v>7598</v>
      </c>
      <c r="K6" s="408"/>
    </row>
    <row r="7" spans="1:12" ht="26.25" thickBot="1" x14ac:dyDescent="0.25">
      <c r="B7" s="719"/>
      <c r="C7" s="720"/>
      <c r="D7" s="410" t="s">
        <v>7599</v>
      </c>
      <c r="E7" s="689"/>
      <c r="F7" s="689"/>
      <c r="G7" s="689"/>
      <c r="H7" s="410" t="s">
        <v>7600</v>
      </c>
      <c r="I7" s="689"/>
      <c r="J7" s="689"/>
      <c r="K7" s="408"/>
      <c r="L7" s="411"/>
    </row>
    <row r="8" spans="1:12" x14ac:dyDescent="0.2">
      <c r="B8" s="703"/>
      <c r="C8" s="704"/>
      <c r="D8" s="412"/>
      <c r="E8" s="413"/>
      <c r="F8" s="412"/>
      <c r="G8" s="413"/>
      <c r="H8" s="412"/>
      <c r="I8" s="413"/>
      <c r="J8" s="413"/>
      <c r="K8" s="408"/>
      <c r="L8" s="187"/>
    </row>
    <row r="9" spans="1:12" x14ac:dyDescent="0.2">
      <c r="B9" s="690" t="s">
        <v>7601</v>
      </c>
      <c r="C9" s="691"/>
      <c r="D9" s="414">
        <v>17758992498</v>
      </c>
      <c r="E9" s="415">
        <v>12112862898</v>
      </c>
      <c r="F9" s="414">
        <v>6789591702</v>
      </c>
      <c r="G9" s="415">
        <v>0</v>
      </c>
      <c r="H9" s="414">
        <v>23082263694</v>
      </c>
      <c r="I9" s="415">
        <v>1009918685</v>
      </c>
      <c r="J9" s="415">
        <v>496357828.04999995</v>
      </c>
      <c r="K9" s="408"/>
    </row>
    <row r="10" spans="1:12" x14ac:dyDescent="0.2">
      <c r="B10" s="690" t="s">
        <v>7602</v>
      </c>
      <c r="C10" s="691"/>
      <c r="D10" s="414">
        <v>1604188939</v>
      </c>
      <c r="E10" s="415">
        <v>5383140058</v>
      </c>
      <c r="F10" s="414">
        <v>4631358968</v>
      </c>
      <c r="G10" s="415">
        <v>0</v>
      </c>
      <c r="H10" s="414">
        <v>2355970029</v>
      </c>
      <c r="I10" s="415">
        <v>104993975</v>
      </c>
      <c r="J10" s="415">
        <v>496357828.04999995</v>
      </c>
      <c r="K10" s="408"/>
    </row>
    <row r="11" spans="1:12" x14ac:dyDescent="0.2">
      <c r="B11" s="699" t="s">
        <v>7603</v>
      </c>
      <c r="C11" s="700"/>
      <c r="D11" s="416">
        <v>1604188939</v>
      </c>
      <c r="E11" s="417">
        <v>5383140058</v>
      </c>
      <c r="F11" s="418">
        <v>4631358968</v>
      </c>
      <c r="G11" s="419">
        <v>0</v>
      </c>
      <c r="H11" s="416">
        <v>2355970029</v>
      </c>
      <c r="I11" s="417">
        <v>104993975</v>
      </c>
      <c r="J11" s="417">
        <v>496357828.04999995</v>
      </c>
      <c r="K11" s="408"/>
    </row>
    <row r="12" spans="1:12" x14ac:dyDescent="0.2">
      <c r="B12" s="699" t="s">
        <v>7604</v>
      </c>
      <c r="C12" s="700"/>
      <c r="D12" s="416">
        <v>0</v>
      </c>
      <c r="E12" s="417">
        <v>0</v>
      </c>
      <c r="F12" s="418">
        <v>0</v>
      </c>
      <c r="G12" s="419">
        <v>0</v>
      </c>
      <c r="H12" s="416">
        <v>0</v>
      </c>
      <c r="I12" s="417">
        <v>0</v>
      </c>
      <c r="J12" s="417">
        <v>0</v>
      </c>
      <c r="K12" s="408"/>
    </row>
    <row r="13" spans="1:12" x14ac:dyDescent="0.2">
      <c r="B13" s="699" t="s">
        <v>7605</v>
      </c>
      <c r="C13" s="700"/>
      <c r="D13" s="416"/>
      <c r="E13" s="417">
        <v>0</v>
      </c>
      <c r="F13" s="418">
        <v>0</v>
      </c>
      <c r="G13" s="419">
        <v>0</v>
      </c>
      <c r="H13" s="416"/>
      <c r="I13" s="420"/>
      <c r="J13" s="420"/>
      <c r="K13" s="408"/>
    </row>
    <row r="14" spans="1:12" x14ac:dyDescent="0.2">
      <c r="B14" s="690" t="s">
        <v>7606</v>
      </c>
      <c r="C14" s="691"/>
      <c r="D14" s="414">
        <v>16154803559</v>
      </c>
      <c r="E14" s="415">
        <v>6729722840</v>
      </c>
      <c r="F14" s="414">
        <v>2158232734</v>
      </c>
      <c r="G14" s="415">
        <v>0</v>
      </c>
      <c r="H14" s="414">
        <v>20726293665</v>
      </c>
      <c r="I14" s="415">
        <v>904924710</v>
      </c>
      <c r="J14" s="415">
        <v>0</v>
      </c>
      <c r="K14" s="408"/>
    </row>
    <row r="15" spans="1:12" x14ac:dyDescent="0.2">
      <c r="B15" s="699" t="s">
        <v>7607</v>
      </c>
      <c r="C15" s="700"/>
      <c r="D15" s="416">
        <v>16154803559</v>
      </c>
      <c r="E15" s="417">
        <v>6729722840</v>
      </c>
      <c r="F15" s="421">
        <v>2158232734</v>
      </c>
      <c r="G15" s="419">
        <v>0</v>
      </c>
      <c r="H15" s="416">
        <v>20726293665</v>
      </c>
      <c r="I15" s="417">
        <v>904924710</v>
      </c>
      <c r="J15" s="419">
        <v>0</v>
      </c>
      <c r="K15" s="408"/>
    </row>
    <row r="16" spans="1:12" x14ac:dyDescent="0.2">
      <c r="B16" s="699" t="s">
        <v>7608</v>
      </c>
      <c r="C16" s="700"/>
      <c r="D16" s="416">
        <v>0</v>
      </c>
      <c r="E16" s="417">
        <v>0</v>
      </c>
      <c r="F16" s="421">
        <v>0</v>
      </c>
      <c r="G16" s="419">
        <v>0</v>
      </c>
      <c r="H16" s="416">
        <v>0</v>
      </c>
      <c r="I16" s="417">
        <v>0</v>
      </c>
      <c r="J16" s="419">
        <v>0</v>
      </c>
      <c r="K16" s="408"/>
    </row>
    <row r="17" spans="2:11" x14ac:dyDescent="0.2">
      <c r="B17" s="701" t="s">
        <v>7609</v>
      </c>
      <c r="C17" s="702"/>
      <c r="D17" s="416">
        <v>0</v>
      </c>
      <c r="E17" s="417">
        <v>0</v>
      </c>
      <c r="F17" s="421">
        <v>0</v>
      </c>
      <c r="G17" s="419">
        <v>0</v>
      </c>
      <c r="H17" s="416">
        <v>0</v>
      </c>
      <c r="I17" s="417">
        <v>0</v>
      </c>
      <c r="J17" s="419">
        <v>0</v>
      </c>
      <c r="K17" s="408"/>
    </row>
    <row r="18" spans="2:11" x14ac:dyDescent="0.2">
      <c r="B18" s="690" t="s">
        <v>7610</v>
      </c>
      <c r="C18" s="691"/>
      <c r="D18" s="422">
        <v>6296967102</v>
      </c>
      <c r="E18" s="423">
        <v>0</v>
      </c>
      <c r="F18" s="424">
        <v>0</v>
      </c>
      <c r="G18" s="423">
        <v>0</v>
      </c>
      <c r="H18" s="425">
        <v>5671545522</v>
      </c>
      <c r="I18" s="420"/>
      <c r="J18" s="423">
        <v>0</v>
      </c>
      <c r="K18" s="408"/>
    </row>
    <row r="19" spans="2:11" x14ac:dyDescent="0.2">
      <c r="B19" s="426"/>
      <c r="C19" s="427"/>
      <c r="D19" s="421"/>
      <c r="E19" s="428"/>
      <c r="F19" s="429"/>
      <c r="G19" s="428"/>
      <c r="H19" s="421"/>
      <c r="I19" s="428"/>
      <c r="J19" s="428"/>
      <c r="K19" s="408"/>
    </row>
    <row r="20" spans="2:11" x14ac:dyDescent="0.2">
      <c r="B20" s="690" t="s">
        <v>7611</v>
      </c>
      <c r="C20" s="691"/>
      <c r="D20" s="414">
        <v>24055959600</v>
      </c>
      <c r="E20" s="415"/>
      <c r="F20" s="414"/>
      <c r="G20" s="415">
        <v>0</v>
      </c>
      <c r="H20" s="414">
        <v>28753809216</v>
      </c>
      <c r="I20" s="415">
        <v>1009918685</v>
      </c>
      <c r="J20" s="415">
        <v>496357828.04999995</v>
      </c>
      <c r="K20" s="408"/>
    </row>
    <row r="21" spans="2:11" x14ac:dyDescent="0.2">
      <c r="B21" s="690"/>
      <c r="C21" s="691"/>
      <c r="D21" s="430"/>
      <c r="E21" s="431"/>
      <c r="F21" s="432"/>
      <c r="G21" s="431"/>
      <c r="H21" s="432"/>
      <c r="I21" s="431"/>
      <c r="J21" s="431"/>
      <c r="K21" s="408"/>
    </row>
    <row r="22" spans="2:11" x14ac:dyDescent="0.2">
      <c r="B22" s="690" t="s">
        <v>7612</v>
      </c>
      <c r="C22" s="691"/>
      <c r="D22" s="430"/>
      <c r="E22" s="431"/>
      <c r="F22" s="432"/>
      <c r="G22" s="431"/>
      <c r="H22" s="432"/>
      <c r="I22" s="431"/>
      <c r="J22" s="431"/>
      <c r="K22" s="408"/>
    </row>
    <row r="23" spans="2:11" x14ac:dyDescent="0.2">
      <c r="B23" s="692" t="s">
        <v>7613</v>
      </c>
      <c r="C23" s="693"/>
      <c r="D23" s="433">
        <v>1434542018</v>
      </c>
      <c r="E23" s="434">
        <v>45000000</v>
      </c>
      <c r="F23" s="433">
        <v>97009150</v>
      </c>
      <c r="G23" s="435">
        <v>0</v>
      </c>
      <c r="H23" s="433">
        <v>1576551168</v>
      </c>
      <c r="I23" s="434">
        <v>115281665</v>
      </c>
      <c r="J23" s="434">
        <v>41397303</v>
      </c>
      <c r="K23" s="408"/>
    </row>
    <row r="24" spans="2:11" x14ac:dyDescent="0.2">
      <c r="B24" s="692" t="s">
        <v>7614</v>
      </c>
      <c r="C24" s="693"/>
      <c r="D24" s="436"/>
      <c r="E24" s="435"/>
      <c r="F24" s="437"/>
      <c r="G24" s="435"/>
      <c r="H24" s="437"/>
      <c r="I24" s="435"/>
      <c r="J24" s="435"/>
      <c r="K24" s="408"/>
    </row>
    <row r="25" spans="2:11" x14ac:dyDescent="0.2">
      <c r="B25" s="692" t="s">
        <v>7615</v>
      </c>
      <c r="C25" s="693"/>
      <c r="D25" s="438"/>
      <c r="E25" s="439"/>
      <c r="F25" s="440"/>
      <c r="G25" s="439"/>
      <c r="H25" s="440"/>
      <c r="I25" s="439"/>
      <c r="J25" s="439"/>
      <c r="K25" s="408"/>
    </row>
    <row r="26" spans="2:11" x14ac:dyDescent="0.2">
      <c r="B26" s="697"/>
      <c r="C26" s="698"/>
      <c r="D26" s="441"/>
      <c r="E26" s="439"/>
      <c r="F26" s="440"/>
      <c r="G26" s="439"/>
      <c r="H26" s="440"/>
      <c r="I26" s="439"/>
      <c r="J26" s="439"/>
      <c r="K26" s="408"/>
    </row>
    <row r="27" spans="2:11" x14ac:dyDescent="0.2">
      <c r="B27" s="690" t="s">
        <v>7616</v>
      </c>
      <c r="C27" s="691"/>
      <c r="D27" s="442"/>
      <c r="E27" s="439"/>
      <c r="F27" s="440"/>
      <c r="G27" s="439"/>
      <c r="H27" s="440"/>
      <c r="I27" s="439"/>
      <c r="J27" s="439"/>
      <c r="K27" s="408"/>
    </row>
    <row r="28" spans="2:11" x14ac:dyDescent="0.2">
      <c r="B28" s="692" t="s">
        <v>7617</v>
      </c>
      <c r="C28" s="693"/>
      <c r="D28" s="438"/>
      <c r="E28" s="439"/>
      <c r="F28" s="440"/>
      <c r="G28" s="439"/>
      <c r="H28" s="440"/>
      <c r="I28" s="439"/>
      <c r="J28" s="439"/>
      <c r="K28" s="408"/>
    </row>
    <row r="29" spans="2:11" x14ac:dyDescent="0.2">
      <c r="B29" s="692" t="s">
        <v>7618</v>
      </c>
      <c r="C29" s="693"/>
      <c r="D29" s="438"/>
      <c r="E29" s="439"/>
      <c r="F29" s="440"/>
      <c r="G29" s="439"/>
      <c r="H29" s="440"/>
      <c r="I29" s="439"/>
      <c r="J29" s="439"/>
      <c r="K29" s="408"/>
    </row>
    <row r="30" spans="2:11" x14ac:dyDescent="0.2">
      <c r="B30" s="692" t="s">
        <v>7619</v>
      </c>
      <c r="C30" s="693"/>
      <c r="D30" s="441"/>
      <c r="E30" s="439"/>
      <c r="F30" s="440"/>
      <c r="G30" s="439"/>
      <c r="H30" s="440"/>
      <c r="I30" s="439"/>
      <c r="J30" s="439"/>
      <c r="K30" s="408"/>
    </row>
    <row r="31" spans="2:11" ht="13.5" thickBot="1" x14ac:dyDescent="0.25">
      <c r="B31" s="694"/>
      <c r="C31" s="695"/>
      <c r="D31" s="443"/>
      <c r="E31" s="444"/>
      <c r="F31" s="445"/>
      <c r="G31" s="444"/>
      <c r="H31" s="445"/>
      <c r="I31" s="444"/>
      <c r="J31" s="444"/>
      <c r="K31" s="408"/>
    </row>
    <row r="32" spans="2:11" x14ac:dyDescent="0.2">
      <c r="B32" s="408"/>
      <c r="C32" s="408"/>
      <c r="D32" s="408"/>
      <c r="E32" s="408"/>
      <c r="F32" s="408"/>
      <c r="G32" s="408"/>
      <c r="H32" s="408"/>
      <c r="I32" s="408"/>
      <c r="J32" s="408"/>
      <c r="K32" s="408"/>
    </row>
    <row r="33" spans="2:11" x14ac:dyDescent="0.2">
      <c r="B33" s="696" t="s">
        <v>7620</v>
      </c>
      <c r="C33" s="696"/>
      <c r="D33" s="696"/>
      <c r="E33" s="696"/>
      <c r="F33" s="696"/>
      <c r="G33" s="696"/>
      <c r="H33" s="696"/>
      <c r="I33" s="696"/>
      <c r="J33" s="696"/>
      <c r="K33" s="408"/>
    </row>
    <row r="34" spans="2:11" x14ac:dyDescent="0.2">
      <c r="B34" s="683" t="s">
        <v>7621</v>
      </c>
      <c r="C34" s="683"/>
      <c r="D34" s="683"/>
      <c r="E34" s="683"/>
      <c r="F34" s="683"/>
      <c r="G34" s="683"/>
      <c r="H34" s="683"/>
      <c r="I34" s="683"/>
      <c r="J34" s="683"/>
      <c r="K34" s="408"/>
    </row>
    <row r="35" spans="2:11" ht="13.5" thickBot="1" x14ac:dyDescent="0.25">
      <c r="B35" s="408"/>
      <c r="C35" s="408"/>
      <c r="D35" s="408"/>
      <c r="E35" s="408"/>
      <c r="F35" s="408"/>
      <c r="G35" s="408"/>
      <c r="H35" s="408"/>
      <c r="I35" s="408"/>
      <c r="J35" s="408"/>
      <c r="K35" s="408"/>
    </row>
    <row r="36" spans="2:11" x14ac:dyDescent="0.2">
      <c r="B36" s="684" t="s">
        <v>7622</v>
      </c>
      <c r="C36" s="446" t="s">
        <v>7623</v>
      </c>
      <c r="D36" s="446" t="s">
        <v>7624</v>
      </c>
      <c r="E36" s="446" t="s">
        <v>7625</v>
      </c>
      <c r="F36" s="687" t="s">
        <v>7626</v>
      </c>
      <c r="G36" s="446" t="s">
        <v>7627</v>
      </c>
      <c r="H36" s="408"/>
      <c r="I36" s="408"/>
      <c r="J36" s="408"/>
      <c r="K36" s="408"/>
    </row>
    <row r="37" spans="2:11" x14ac:dyDescent="0.2">
      <c r="B37" s="685"/>
      <c r="C37" s="409" t="s">
        <v>7628</v>
      </c>
      <c r="D37" s="409" t="s">
        <v>7629</v>
      </c>
      <c r="E37" s="409" t="s">
        <v>7630</v>
      </c>
      <c r="F37" s="688"/>
      <c r="G37" s="409" t="s">
        <v>7631</v>
      </c>
      <c r="H37" s="408"/>
      <c r="I37" s="408"/>
      <c r="J37" s="408"/>
      <c r="K37" s="408"/>
    </row>
    <row r="38" spans="2:11" ht="13.5" thickBot="1" x14ac:dyDescent="0.25">
      <c r="B38" s="686"/>
      <c r="C38" s="447"/>
      <c r="D38" s="410" t="s">
        <v>7632</v>
      </c>
      <c r="E38" s="447"/>
      <c r="F38" s="689"/>
      <c r="G38" s="447"/>
      <c r="H38" s="408"/>
      <c r="I38" s="408"/>
      <c r="J38" s="408"/>
      <c r="K38" s="408"/>
    </row>
    <row r="39" spans="2:11" x14ac:dyDescent="0.2">
      <c r="B39" s="448" t="s">
        <v>7633</v>
      </c>
      <c r="C39" s="427"/>
      <c r="D39" s="427"/>
      <c r="E39" s="427"/>
      <c r="F39" s="427"/>
      <c r="G39" s="427"/>
      <c r="H39" s="408"/>
      <c r="I39" s="408"/>
      <c r="J39" s="408"/>
      <c r="K39" s="408"/>
    </row>
    <row r="40" spans="2:11" ht="25.5" x14ac:dyDescent="0.2">
      <c r="B40" s="448" t="s">
        <v>7634</v>
      </c>
      <c r="C40" s="449">
        <v>500000000</v>
      </c>
      <c r="D40" s="409" t="s">
        <v>7635</v>
      </c>
      <c r="E40" s="409" t="s">
        <v>7636</v>
      </c>
      <c r="F40" s="449">
        <v>4350000</v>
      </c>
      <c r="G40" s="450" t="s">
        <v>7637</v>
      </c>
      <c r="H40" s="408"/>
      <c r="I40" s="408"/>
      <c r="J40" s="408"/>
      <c r="K40" s="408"/>
    </row>
    <row r="41" spans="2:11" ht="25.5" x14ac:dyDescent="0.2">
      <c r="B41" s="448" t="s">
        <v>7638</v>
      </c>
      <c r="C41" s="449">
        <v>500000000</v>
      </c>
      <c r="D41" s="409" t="s">
        <v>7639</v>
      </c>
      <c r="E41" s="409" t="s">
        <v>7636</v>
      </c>
      <c r="F41" s="449">
        <v>4350000</v>
      </c>
      <c r="G41" s="450" t="s">
        <v>7640</v>
      </c>
      <c r="H41" s="408"/>
      <c r="I41" s="408"/>
      <c r="J41" s="408"/>
      <c r="K41" s="408"/>
    </row>
    <row r="42" spans="2:11" ht="25.5" x14ac:dyDescent="0.2">
      <c r="B42" s="448" t="s">
        <v>7641</v>
      </c>
      <c r="C42" s="449">
        <v>500000000</v>
      </c>
      <c r="D42" s="409" t="s">
        <v>7642</v>
      </c>
      <c r="E42" s="409" t="s">
        <v>7643</v>
      </c>
      <c r="F42" s="449">
        <v>1740000</v>
      </c>
      <c r="G42" s="450" t="s">
        <v>7644</v>
      </c>
      <c r="H42" s="408"/>
      <c r="I42" s="408"/>
      <c r="J42" s="408"/>
      <c r="K42" s="408"/>
    </row>
    <row r="43" spans="2:11" ht="25.5" x14ac:dyDescent="0.2">
      <c r="B43" s="448" t="s">
        <v>7645</v>
      </c>
      <c r="C43" s="449">
        <v>500000000</v>
      </c>
      <c r="D43" s="409" t="s">
        <v>7646</v>
      </c>
      <c r="E43" s="409" t="s">
        <v>7647</v>
      </c>
      <c r="F43" s="449">
        <v>0</v>
      </c>
      <c r="G43" s="450" t="s">
        <v>7648</v>
      </c>
      <c r="H43" s="408"/>
      <c r="I43" s="408"/>
      <c r="J43" s="408"/>
      <c r="K43" s="408"/>
    </row>
    <row r="44" spans="2:11" ht="25.5" x14ac:dyDescent="0.2">
      <c r="B44" s="448" t="s">
        <v>7649</v>
      </c>
      <c r="C44" s="449">
        <v>855970029</v>
      </c>
      <c r="D44" s="409" t="s">
        <v>7650</v>
      </c>
      <c r="E44" s="409" t="s">
        <v>7651</v>
      </c>
      <c r="F44" s="449">
        <v>15886803.73</v>
      </c>
      <c r="G44" s="450" t="s">
        <v>7652</v>
      </c>
      <c r="H44" s="408"/>
      <c r="I44" s="408"/>
      <c r="J44" s="408"/>
      <c r="K44" s="408"/>
    </row>
    <row r="45" spans="2:11" ht="25.5" x14ac:dyDescent="0.2">
      <c r="B45" s="448" t="s">
        <v>7653</v>
      </c>
      <c r="C45" s="449">
        <v>500000000</v>
      </c>
      <c r="D45" s="409" t="s">
        <v>7654</v>
      </c>
      <c r="E45" s="409" t="s">
        <v>7655</v>
      </c>
      <c r="F45" s="449">
        <v>0</v>
      </c>
      <c r="G45" s="450" t="s">
        <v>7656</v>
      </c>
      <c r="H45" s="408"/>
      <c r="I45" s="408"/>
      <c r="J45" s="408"/>
      <c r="K45" s="408"/>
    </row>
    <row r="46" spans="2:11" ht="25.5" x14ac:dyDescent="0.2">
      <c r="B46" s="451" t="s">
        <v>7657</v>
      </c>
      <c r="C46" s="449">
        <v>1000000000</v>
      </c>
      <c r="D46" s="409" t="s">
        <v>7658</v>
      </c>
      <c r="E46" s="409" t="s">
        <v>7659</v>
      </c>
      <c r="F46" s="449">
        <v>17226000</v>
      </c>
      <c r="G46" s="450" t="s">
        <v>7660</v>
      </c>
      <c r="H46" s="408"/>
      <c r="I46" s="408"/>
      <c r="J46" s="408"/>
      <c r="K46" s="408"/>
    </row>
    <row r="47" spans="2:11" ht="25.5" x14ac:dyDescent="0.2">
      <c r="B47" s="451" t="s">
        <v>7661</v>
      </c>
      <c r="C47" s="449">
        <v>855970029</v>
      </c>
      <c r="D47" s="409" t="s">
        <v>7662</v>
      </c>
      <c r="E47" s="409" t="s">
        <v>7659</v>
      </c>
      <c r="F47" s="449">
        <v>0</v>
      </c>
      <c r="G47" s="450" t="s">
        <v>7660</v>
      </c>
      <c r="H47" s="408"/>
      <c r="I47" s="408"/>
      <c r="J47" s="408"/>
      <c r="K47" s="408"/>
    </row>
    <row r="48" spans="2:11" ht="26.25" thickBot="1" x14ac:dyDescent="0.25">
      <c r="B48" s="452" t="s">
        <v>7663</v>
      </c>
      <c r="C48" s="453">
        <v>171200000</v>
      </c>
      <c r="D48" s="410" t="s">
        <v>7664</v>
      </c>
      <c r="E48" s="454" t="s">
        <v>7659</v>
      </c>
      <c r="F48" s="453">
        <v>0</v>
      </c>
      <c r="G48" s="455" t="s">
        <v>7660</v>
      </c>
      <c r="H48" s="408"/>
      <c r="I48" s="408"/>
      <c r="J48" s="408"/>
      <c r="K48" s="408"/>
    </row>
    <row r="49" spans="2:11" x14ac:dyDescent="0.2">
      <c r="B49" s="408"/>
      <c r="C49" s="408"/>
      <c r="D49" s="408"/>
      <c r="E49" s="408"/>
      <c r="F49" s="408"/>
      <c r="G49" s="408"/>
      <c r="H49" s="408"/>
      <c r="I49" s="408"/>
      <c r="J49" s="408"/>
      <c r="K49" s="408"/>
    </row>
    <row r="52" spans="2:11" x14ac:dyDescent="0.2">
      <c r="B52" s="637" t="s">
        <v>7238</v>
      </c>
      <c r="C52" s="637"/>
      <c r="D52" s="637"/>
      <c r="E52" s="637"/>
      <c r="F52" s="637"/>
      <c r="G52" s="637"/>
      <c r="H52" s="637"/>
      <c r="I52" s="637"/>
      <c r="J52" s="637"/>
    </row>
    <row r="53" spans="2:11" x14ac:dyDescent="0.2">
      <c r="B53" s="637" t="s">
        <v>7239</v>
      </c>
      <c r="C53" s="637"/>
      <c r="D53" s="637"/>
      <c r="E53" s="637"/>
      <c r="F53" s="637"/>
      <c r="G53" s="637"/>
      <c r="H53" s="637"/>
      <c r="I53" s="637"/>
      <c r="J53" s="637"/>
    </row>
  </sheetData>
  <mergeCells count="39">
    <mergeCell ref="B2:J2"/>
    <mergeCell ref="B3:J3"/>
    <mergeCell ref="B4:J4"/>
    <mergeCell ref="B5:J5"/>
    <mergeCell ref="B6:C7"/>
    <mergeCell ref="E6:E7"/>
    <mergeCell ref="F6:F7"/>
    <mergeCell ref="G6:G7"/>
    <mergeCell ref="I6:I7"/>
    <mergeCell ref="J6:J7"/>
    <mergeCell ref="B20:C20"/>
    <mergeCell ref="B8:C8"/>
    <mergeCell ref="B9:C9"/>
    <mergeCell ref="B10:C10"/>
    <mergeCell ref="B11:C11"/>
    <mergeCell ref="B12:C12"/>
    <mergeCell ref="B13:C13"/>
    <mergeCell ref="B14:C14"/>
    <mergeCell ref="B15:C15"/>
    <mergeCell ref="B16:C16"/>
    <mergeCell ref="B17:C17"/>
    <mergeCell ref="B18:C18"/>
    <mergeCell ref="B33:J33"/>
    <mergeCell ref="B21:C21"/>
    <mergeCell ref="B22:C22"/>
    <mergeCell ref="B23:C23"/>
    <mergeCell ref="B24:C24"/>
    <mergeCell ref="B25:C25"/>
    <mergeCell ref="B26:C26"/>
    <mergeCell ref="B27:C27"/>
    <mergeCell ref="B28:C28"/>
    <mergeCell ref="B29:C29"/>
    <mergeCell ref="B30:C30"/>
    <mergeCell ref="B31:C31"/>
    <mergeCell ref="B34:J34"/>
    <mergeCell ref="B36:B38"/>
    <mergeCell ref="F36:F38"/>
    <mergeCell ref="B52:J52"/>
    <mergeCell ref="B53:J53"/>
  </mergeCells>
  <printOptions horizontalCentered="1"/>
  <pageMargins left="0.70866141732283472" right="0.70866141732283472" top="0.74803149606299213" bottom="0.74803149606299213" header="0.31496062992125984" footer="0.31496062992125984"/>
  <pageSetup scale="6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2 9 B 2 A c S Z Y l J i 9 t y n t / S v V K 1 + B 0 o Q i A Y B M k 2 J B A E O z B i M 3 m k u w d a U c j K a s q g c p l V m V d Z h Z A z O 2 d v P f e e + + 9 9 9 5 7 7 7 3 3 u j u d T i f 3 3 / 8 / X G Z k A W z 2 z k r a y Z 4 h g K r I H z 9 + f B 8 / I h 7 / H u 8 W Z X q Z 1 0 1 R L T / 7 a H e 8 8 1 G a L 6 f V r F h e f P b R u j 3 f 3 v 3 0 o 9 / j 6 P H L 4 8 9 P U 2 q 6 b B 6 9 a 4 r P P p q 3 7 e r R 3 b t X V 1 f j q 3 v j q r 6 4 u 7 e z s 3 v 3 9 / 7 i + e v p P F 9 k 2 8 W y a b P l N P / I v j W 7 + a 2 P p K M X X x 7 t P L 6 r v z 3 + y d N X r 8 + + f H G 0 + / i u + f X x q 9 O f P D M f 2 t 8 f P z 1 9 f f L q 7 O U b / J G m u + P 0 l H C Y V e k s T 1 8 X 7 T q b F v / o 3 7 p M n x V L Q q z I 6 + z x X f + N x 8 9 e f f n i z e m L p 7 + / d v P 7 n 7 1 4 9 u X R g 3 s 7 O + N 7 4 / s 7 u + P d h 5 8 S X v F m j 9 / 8 / k + P 3 x y / f P X l T 5 4 9 P X 1 F K L 5 + 9 f u / / r 0 7 H 7 4 4 / u L 0 6 O n L 3 5 / Q 5 l 9 p I D / x 1 e n r N 4 T 7 2 R f 0 1 6 v f + / f / v Z + / / v 3 5 j 7 M v n 3 z n x R d H O 8 + + e n H y + x + / O j 1 + f F c / 4 q / e / N 5 v 0 r t H j 1 9 / 9 c X x k + e n R 7 / 3 4 7 v m 1 8 d n r 3 / / 1 2 9 e f X X y 5 q t X p 2 h z / H u f v c b P l 1 + + P n t z t L O z s 0 / U 5 d 8 f n 3 z 7 + C e f / / 6 n A k v + U M D 8 B 3 5 5 8 e X T 0 9 9 f e u b P v / r i K / 7 8 5 f P T n z z V F t Q 1 9 4 B m L 1 + 9 f v E G E + j + e E z o v P n 9 n / / k c + q c 8 D R / P P 7 2 q 9 / n 9 z 8 + e X P 2 k 4 z m t 8 9 O p Q s l L H 4 l 8 p 2 + + R I 4 8 0 M z J h 8 8 f v 3 7 v / l 9 X h 7 9 X g S N f 6 G / q b e A W P L J Y 1 D z 1 R H / j V / o 7 9 P n b 7 4 6 e 7 r L 1 N M / 9 r h / A f X t x 3 f 1 N 3 x C M P Q 7 B a O / 4 R M P k P 1 L I P m 0 e X p 6 9 t Q b g H 7 w + O R L Y q E X r 4 7 k U / M X P n 5 z f P b i 9 e / / e / 0 + z / D + 5 2 e v 3 7 w E N e U X / H 3 8 5 s 2 r M 6 G U E O / 3 f 3 3 6 / P Q E T O x 9 B o h n 5 j M Q m u e R p 9 0 S + 9 n z 4 8 8 h Q u 4 P Q 3 v z j f + n T o b 5 y v v r M f 3 7 5 v d X 9 i I J c X / J N 6 8 7 3 5 m / z b d E b O C k f x F 5 e R z P T 4 + f E d K v X x 7 t P b 7 r / W W / O f k 2 z + H L L 0 8 A m X 8 + l l k g q t 5 7 c X D 6 x b c P P n / z 7 N X J 6 + / + X l + 8 / L 1 f / c R 3 P v 3 i 8 V 1 t g d 4 + 3 y M 9 o c 8 + 4 0 a f P H 7 z 7 e + 8 U X Q + 3 8 c v b 3 g 2 m c G / O P 6 9 5 S / 0 6 P 5 4 / M X Z C + 9 z + w c I / 9 p M A I 3 y 9 L X S / j V w Z M L j t 8 e v i c 7 c 0 + / 9 5 v W 3 n z 0 / + n 0 e 3 z W / 4 r M v n t I v v z d / x r / i s + e f 2 3 b 8 K y k c k q W T 0 9 e v f / 8 v a K a Z M o Y t 7 C d f n H 7 x 5 P R V t x 1 h 8 Y q o z r g 9 P S X 2 e / 7 7 0 z s B U 6 E J M Z a w o v u D t K + v s q L 6 i 7 T f s 7 M 3 v / / J m 1 f f n A L b + / + t A v O p 9 S M N 9 i M N 1 t F g n 3 7 n b F C D 7 f 2 / S Y P 9 3 v 8 / 0 m A n X 7 5 + c 3 J K T t 8 3 q M H u / / 9 W g / n U + p E G + 5 E G 6 2 i w l 2 e f D m q w + z / S Y C x x 3 7 g G + / w 5 + v v y q x d v P k i D Y a z 8 0 + m x 3 Z 9 9 P X Z v Q I 8 9 j O s x j M L 7 S 6 T s 6 P P X X 7 5 Q I X s f 7 f b t r n b z K f m N a b c Q r H 7 2 / y 9 9 B / 3 R + e R n T / / t f v P 6 z / / r v X X e T 7 7 5 i U G d 9 + m N O g 9 q h a j z / C e F Z A T j x R d f f H n 6 3 b M v v 3 P 2 n e d v 9 n a e v P j y 3 r e / / H 1 O H v w E k x G d E A O B b G A e 8 + v j 5 8 c v P v / q 6 P X j u / K L g g e x j K Z k f X f 0 o r j M y x S S L X + T g r H 9 / 6 x i s j e A y d 4 P H Z N 7 A 5 j c + 6 F j s j + A y f 4 P H Z P 7 A 5 j c / 6 F j 8 u k A J p / + 0 D F 5 M I D J g x 8 6 J g c D m B z 8 0 D F 5 O I D J w x g m 2 v S 1 7 9 U 9 v L V X J 1 l 2 e D u v f 3 / 6 O 2 r r 1 Z 4 / p G d 3 7 5 6 1 G Y E T 8 I a 8 l i N Z L G j c + g D 9 / n k 1 o V + W W E I o / d W E a l l h + Y D f w 3 A C J O 4 K a t b d F J / M + 3 O T V 0 a + 0 o s v i O J 7 D 0 n C z R / G V z s 6 W e f L N g M K i + y 6 q u U 1 f E E T 9 P r L 5 6 d v 2 F W D Z 0 E g 2 c F w t D O E e w E s T A / m j 8 c v u K 8 Q J / 0 M O F l P z P 7 + + M t n M F T o 7 9 X p M 4 D B r 3 c 7 Q / 3 G R v 6 i w t z Q w H + a F m 7 q X 7 T + R / / 6 7 I N G f + 9 h Z P D f h h M O D + U b G f t d 7 / d v S 5 B x 7 / 3 C j d 8 n E m 5 I u / 9 3 h x t P v n r 9 D a 9 Y f f q z H 2 b s / N y k S x y t v r F w Q r / 7 / 0 / w Y G n 9 s x E s m I D g G w w W v q l k y c v 9 L 4 a T J Q f f R M J 3 w L C a K X i P d M n v E 9 F f v 3 d E f / 0 + / x / Q X 7 G 5 e L V 3 f 6 M + Y 2 X i q T E M P v h b M i i / 9 w 8 n g 3 L 0 F Q S X f 3 M q j r H 9 M L 3 G I O K K b J h o X 1 O x 6 W + B Q t P f f r Y V G a Y p + P u H o N Z 2 B t X a z r B a s / b l h 6 H W / L + c K s P P T U p M e G B A i T 3 4 f 5 U S 0 1 + h s P R X 6 C n 8 + v 9 W T f X 6 9 P M v T j 8 w q 4 u f P 7 v a C L 8 5 3 2 r 3 5 8 b R s q T 6 m u r o R 3 7 W / 2 / 9 r J / Y e f D 7 D K q o 3 f 8 X K a j / X 0 W J P 4 l x f 3 O a 6 9 7 P v u b a + 7 n R X E q o H + m t H + m t j t 4 6 + c m 9 Q b 1 1 7 / / t e u v 3 j u i t / 5 d F h 3 f 5 X + r E z z T z n 7 c P F V n n D D Q 8 + P w r T i t C b / A P G v z R m 6 r N y v R p P i n a K j 2 e t u u s 1 E b 4 N u a q f f v s 6 d P T F 0 o P n h a k 5 e 3 v j 1 9 S g k n C v 6 e v z p 4 / f / 2 G O P 3 o O Y 3 O / f X 4 2 8 e v n 5 4 + O / 7 q + Z u n X 5 5 8 x Y v o 4 S f E K i 9 f H H / B B H 5 y / P r 0 K W j 6 5 v m X n 3 9 5 h K E + v t v 5 0 D V S U j 0 9 f X L 2 x m u m 9 L F / n 3 z 5 x c u z p y H 4 U 0 s P S v 2 W W Z N O K 0 q A T 4 q y + E E 2 L a p l 3 q T 5 M s 2 Z X L m P Q j c z / 7 M 3 h 6 e v T 4 f m 8 K T O Z z d M 4 t 7 / x y b x 5 N X p 0 5 + 9 W f x 2 N s n r n 5 t p f H 7 v 9 + l P 4 + u s n G 2 c P u d 0 / H 9 j + p 4 c 0 2 L d y e n X m D 8 h R T Z d L 9 Z l N q t + b i b p 1 b O z o U l 6 W k y j M 7 T / o x n 6 Y c 7 Q 7 / 1 q 7 y a L t m z z u s D i Z W S 2 7 v 9 / b L b + / 2 n T X u / v f X G j T d s 0 j W 6 5 7 v 8 b 0 / j / V 6 v 2 + v j 0 0 0 G r t m k C H / x / b A L / v 6 0 1 X 3 / + 8 i c 2 2 L X j 6 B Q d / G i K f g h T d P a T L 7 5 6 + f v s H R z 8 5 H e + H Z k i + I b p d v o a 0 h S d p Y e b Z u n Z h 8 0 S w x q a l e A T H l / w y Q C t 8 c E P g 5 w P d 3 9 y N 0 r O p Z J z G i X n 7 s 6 P y B m S 8 8 v P H / x e n z 8 8 + 4 n f 2 y g J j 5 x f v o p q j l 0 v c f A j I n p E / L 0 P I t m Y 4 5 d x I m 4 M 3 H / + E v E 7 9 3 6 v S D r k y 1 c v o 0 T c G D 7 / P C b i w 5 + M J C O O X 8 a J u D H C / X l C x C / 3 3 r z 4 z u d f P n 2 z 8 / n 9 n 9 p / 8 + b 3 + n 2 + + O L + F 2 9 u 8 n 2 3 j R E K K f r / t S j 0 / 0 O u V W y i n v w + T z f 6 A s t 2 Y J 4 2 h p k / j z n / 7 O H v P U D Q 7 d 1 N 3 u r u x r D v 5 z F B v 3 w e c f 7 J v R o k 5 M b g 7 O c x I b / 6 v S N u P 7 l Y g 4 T 8 U f w U J e S L 3 Y P n U T d r i J B 7 P 4 q c 4 o R 8 8 H v d j 7 p a g 4 T 8 / 0 H 0 d J f / P Z G V 8 G f H J / h x / O Y V U Z g W v / k X Q 9 t n X 7 0 4 + f 1 p G B 4 x j 9 + 8 e X V G v / z U s y 9 O T p + d v X h 8 1 3 w i X 7 2 R P m 0 G p M t 4 7 A D J b 9 z N y 1 e v X 7 w 5 2 p M O 5 I / H z 5 4 f v / n 9 F c L j u 9 5 f 8 s 3 r z n f m b / M t k Z 9 H J n 8 9 P X u F v 0 6 f v / l K 6 H P X D v N 9 x r v z 8 q v f / 9 m L 3 / / 1 V 0 9 2 f 7 4 M m a b 4 9 P U b Z B F + f o w X U 0 z j / f 3 P n v 5 8 G T E L 8 c t X n / 8 8 G u / z s x f H J z + P x v v y 1 Z e n r 3 8 e j f f k 9 P Q 7 r 7 6 Z 8 X 7 + / 5 H x v n 7 z z Y z 3 / y P z S y b 4 5 8 t 4 n d O x 9 / N l y D z F X 3 z 5 8 8 Y E u y m + 9 / N l y B I 6 f P X z J n S g 8 b 4 6 f f P l z 6 P h n p y + O f v / l 5 I m N + r Z 2 Z v f / + T N q 5 g I n x z / / k 9 P K d 7 / / 5 c h 3 j j m V 6 e v X / 7 + X 7 0 + / Y Z 8 r f / P D P n l 6 a v / / 7 j T N w 7 5 9 e n n X 1 A S 6 5 u Z 4 9 3 / D 8 w x Z d p e / z 7 f 0 A T / f 2 G 8 9 P f v f / L V q 2 9 I i n f + P z D i 1 1 9 + 9 Y q m + M 3 p F 9 / M m P + / M M s w U N 8 + O 3 3 x / y + v + u T L 1 2 9 O S D u d x o b 8 5 K v X 6 p 9 8 E y P + f w l j b x z x / w 9 V 1 8 b x / v 9 S d W 0 c 8 f 8 / H Z C N Q / b V 2 j c x 5 v / P T P P / 7 1 z r z 5 / / / s c n J 1 9 + B W + y r 6 2 P n / / + B P P / X w s R G 0 f 8 m t a J u a N v Z s j / L 1 H Y G 4 f 8 / 0 M D t X G 8 n z + n 7 2 g N / p s Z 8 f 7 / B 0 b 8 / 1 P f e u O Y z 1 6 c v H 7 z / z / l 5 f z n n w 9 y v G G 0 / / / g 6 b v 8 7 8 n p c x k 8 / y L t d g n 1 L / f e v P j O 5 1 8 + f b P z + f 2 f 2 n / z 5 v f 6 f b 7 4 4 v 4 X x O 2 m i b b d 4 2 F G H 9 N 2 7 + j x i 6 + + + P 1 f n x w / P w U K + O P l q 9 M T R u y L l 9 8 + f n 3 2 m q n 2 / P Q n T 5 / j t 5 O v v v i K f y E R + v z V E U D J b 4 9 f 0 K r I K 1 B R f v G J t f v p N 0 W t 3 + v s K V 7 A D 6 H X E J H u v T g 4 / e L b B 5 + / e f b q 7 C e / / P z B 7 / X 5 w + / c + 7 1 O / 9 9 M p P 0 f O p F i n P T k 9 3 n 6 T R I J G t L + / o 2 S 6 8 E P n V w B T 7 3 4 6 u X v s 3 d w 8 J P f + f b / N 8 j 1 j S m s r 0 O u k 9 f f / b 2 + e P l 7 v 3 p 1 8 P l X 3 y S 5 v m E R 3 P t / A 4 1 e 7 + 9 9 8 f 9 i G v 2 c i p 3 l o + f 3 f p / / F 9 P o h 6 / J Y z T 6 v V / t / b + Y R j 9 8 l y B m 7 b 7 6 v X f / X 0 y j v Z 9 T p W 1 s 3 M P d n / x G i f S z Z + N 2 f y 7 J Z f X 3 5 y 9 / 4 p s k 1 z f M U w 9 / 6 D S K y N 2 L B 7 / X / f 8 X 0 2 j v / x 2 O w P H p p z 6 R / l 9 G p I O f S x q Z m O 7 s 9 z 7 4 f 7 N D u X v v h 0 6 k m L T t H j z / f z G R 9 v 5 f o b Z p H e f / z d m B / 1 c w 0 h d f P v / 2 / 4 t p t P v / C t v 2 x d n D 3 / u b J N L P n r v 0 c 6 r B r d y 9 e n b 2 T Z L r G + a p + z + X N L J W 7 i d + 7 + P / F 9 N o 9 + f U X b L p 3 Y c / + f / m n M D u z z I n 3 e V / n 7 4 6 e 8 6 o v X z 1 8 s 3 Z 6 W s h 3 s t X X 7 4 8 f S V / 4 2 V 9 k B M E k J 8 8 f v 4 V D / 1 u t / G G l 2 G 1 v / 7 L e x / y 8 r 0 P e P n e h 4 x 5 / 4 N e / h C C 7 f s E Y 4 6 T 3 9 4 P i E + 4 r w l k d 8 e n A V j 9 6 8 D 4 A F L s 7 g S k 2 P 1 6 C H w A C + 3 u 7 H 8 D C N z / E A Q + / Z C X H 4 R M E D H J X 7 7 6 q b 2 v N 6 q D D 0 H s Y Y D Y 1 0 J g N x S T r w f j Q 3 h j 9 x v g j b 0 P 0 D K 7 H 6 K W 9 z 5 c t v d 3 P h z G / W 8 A x s N v B o Z P z K M n W Z k t f 5 C l n + f L v M 7 K r w e x o 8 d j D v H e / e O v B T v g m 6 8 5 4 o B 9 v g 6 M X f z / x j G + / q k v T 7 8 e 7 J v p 9 / W 0 F 2 A H 5 v G n n p 3 9 / l + c 7 H w N E Q a o Q A 0 Y U L / / T + x 8 X X i + u T h 6 8 8 X v v f 3 F F 8 f U 7 M X X p K J v Q I 6 O n / 7 k d 4 5 / n x f H / + i f / P W A h Q b l 4 O 7 O / t 2 9 H S z P f x 1 g v g U 5 2 t 2 / u / M p g H 2 a 7 u 4 9 u r f 3 C K 7 f 1 4 E a m J Y P l u P d j u v s D T r d f f h o / + D R v a 8 3 z b u B 5 J x 8 + e L 0 6 U 8 d f / H l 1 4 M V S k q A 4 e 7 u o 6 / J i I F x v N V k 3 7 W R y E 8 e v x L Y / M t P v j j + 4 u i n z n 5 / a n j v 9 4 f A 4 m + 0 o Z h H D C f / 9 v g n X x 6 / e k 2 h D S U J z K + P X 5 9 9 / g I f 8 M / H X 7 5 8 c / T k z e O 7 + P n 4 + Z f f P W I p w y / 4 6 / c / / b 3 f A J 7 5 9 f G 3 z z 7 / 9 h G x 1 O O 7 / B v / L Y 3 0 I 2 l G 7 d / 8 3 m 8 4 y u P f f v / n p y / g U X h / 8 a v a S H 8 1 r f w / H 3 / 7 1 e 9 j W v F v t p H 7 6 / F P a o u f N J 9 A m 9 s / H n / 7 9 P n L 3 / / 4 J 4 / P O L j 7 4 v X n v / 8 L j g X P v n z y n R d f H O 0 8 O 3 t 9 A k r S 7 M g n P P S T L 1 5 a F y B G / Z e / / 7 P f 5 / T 4 1 c 3 E f 7 m R + K c / 4 R G f u O F + h / r 2 I z c B h m T 4 x N H 4 / 0 v U F s K 9 B 7 V 3 z n 5 / N 0 s / 4 v Y P p f 9 7 c / v O 6 9 / / 5 M s v X t I / T 0 9 / / 9 2 b p + D 1 7 X k e J q Y 7 B + a j m 3 j + 6 P N q U u T 1 s k p P m z a b V e k s T 1 9 X y 6 r O D P W D O d n / f + 2 k W O K + 3 6 z 8 L O m g T / s 6 6 N N b z c f / l 2 T g / X X Q 6 9 / / y V e v j 2 8 m d p f 5 A Z T I q 8 T R H 4 Z w / 9 8 n J h H l 9 z 9 + d X p 8 A z H v 8 r / f P n 7 x 9 D m C D 3 j l + s f j 1 2 + O 3 9 C P N 5 Q x / v 1 / 4 q v T V 7 8 P M P T + e n z 2 4 u V X b 7 4 g 8 T i C v 2 z / k N z u 8 7 P X j P 7 J V 6 9 + r 5 / C L 6 9 f P Q U 8 u F b b O / v b c I t f y 0 e P S f G d / e T R 7 0 U R h v z 2 + P V X L y l f / f r 1 7 / 8 F / X P 8 + a m F 9 v q r L z i d / P u / + v K 7 r z H L 4 Q f u + 5 M v n 3 / 1 x Y u w i f n s 8 V d E 5 9 / / + O T N 2 U + e 8 n u A 7 H + m D f H x i 9 / / 5 N v E N L / / l y 9 s l 9 2 P / D b 0 5 m u Q q f s R t X n 9 5 t V X J / Y l b h N + 5 L f h l 3 a D N g L n 9 b d p F p 9 + S f n 6 0 x d v Q J 8 3 x 0 y X z s f H S q 7 w Y 6 K 2 t A b M 3 d / f s M p w y B 4 2 l P f 2 9 E 8 P 0 O u z p 7 / / 2 Y u n p 7 8 3 k 7 v 7 m W l F a x P 4 8 N n Z 7 4 3 R 9 z 8 0 4 N 2 b p p n / m W k V g R Z 8 + B i D x S y 8 + F z W Q E 6 / a + f 6 7 A W 5 9 m d P + d f X L 7 5 8 Q 6 s Q b 3 4 f l s Z j I t L v Q / P x 6 g y Z A v 9 P 9 M H M e v f V K f H / a 9 K 4 x K F f P a e f X x z / 3 r / / 7 3 2 E Q E 5 + 4 w 9 + n 6 N 7 n + 4 9 l I 9 I V j 5 / R X h 9 + e z Z c w p w S e 8 c P W Z a U d v f B z + p w d O j j 0 / W + b L N Y C 0 X 2 X V V P 7 5 L U c n Z 0 c 7 n z 4 k v T 7 7 8 6 g W 5 S I T H m 6 N v 0 y / U 7 d 0 v F d B e C I i H F X v t 9 w p f u 9 f t / 0 3 V Z m X 6 N J 8 U b Z U e T 9 s 1 I k n B Y Z h F C P T J w P c H n 3 9 F a z j o + n X Y 8 3 6 8 5 5 M 6 n 3 1 D X Z + + P o 1 3 f b / b 9 e u s n H 0 j X T 6 / 9 / v E u / w 0 3 u X T Y v p B / f E i c 6 y / B 5 v n d d n m d e G 4 6 2 v 1 / X u / 2 o v 3 f X D D z H 4 D n b / e 3 / s i 3 v n D g b n 9 J j o 9 P v 0 0 3 i n S J g P T e / x B P X 7 + 8 i c G e u w p j t f g 3 3 Q 7 f Y 2 x f p 1 O z 3 7 y x V c v f 5 + 9 g 4 O f / M 6 3 B z r t K B n u d K m d T j + o 0 4 e 7 P 7 k 7 0 G l P R X 3 5 6 m s R 1 S y o n / 3 E 7 3 0 8 0 F V P J x 2 / / L C u f u + D A e 2 3 2 9 N B X 7 5 6 + S F d f e f e 7 z W g 7 R A g d E f 1 Y V 0 9 / M k B L b f b U z u h 9 G 3 v 3 r r f L / f e v P j O 5 1 8 + f b P z + f 2 f 2 n / z 5 v f 6 f b 7 4 4 v 4 X b w b 6 7 a k c j z G X 7 Q d 2 + + T 3 e T r Q b V / Z S H f v L Y a x b s 8 e / t 7 x b v d 6 2 o Y k 4 o O 7 + / L 5 g N R j 7 a Q n F R / c 3 V e / 9 4 C 8 7 / W U D E n G h 3 b 3 Y v f g + U B 3 P f V C 0 v H B 3 T 3 4 v e 4 P s I z 2 t m d 6 e 5 U 3 6 5 I T J C 2 s 5 I C / d 3 J E A c w X R s B P B n w / B R r 3 / T a D M F Q w e O 3 v 7 d 1 / Q P / s P b i 3 c 3 + 8 / 6 n g B c h v j p 7 G H b m v 8 a p R g u b V n Q 1 t j R a 7 T V u j h k z b v X s H e z s H D 3 Y / f f j w 4 G A M 3 T v 4 q t E k X + N V o w 1 u g 6 H 1 G G 7 V u M s 1 G x t 3 u G F z 4 + 6 8 b 2 z c n e m N j d 9 n b q 2 J u l X j 7 u x u b N y d z 4 2 N 3 2 c G r R a + V e P 3 m U G r A W / V + L 1 m U N v e M 9 p H c r N N + q x Y Z s s p 5 W u r Z l A D f f 7 6 y x c 3 K C A L V 9 r e A t B A O G o A v Y c u M c z 5 N V 4 1 r G p e v Y 0 a u k 1 b w 6 i m 7 X v o E s O 2 X + N V w 8 S 3 w d C q o V s 1 7 r L P r d T Q r R p 3 5 / 1 W a u h W j d 9 n b q 0 a u l X j 7 u z e S g 3 d q v H 7 z K B V Q 7 d q / D 4 z a N X Q r R q / 1 w x q 2 3 2 j L p 5 k J a m f P P 0 8 X + b 1 B i c I m u P 4 B h 1 k g W r j 2 4 A a 0 E I G 1 O 5 D C l D v 7 e / u 7 z 3 Y 2 R s / e H A L L e R e v U c J 9 d 0 H O w 8 e 7 n w 6 v n / v F l r I v L q 9 u / P p g / u f 3 t / b u T d + s E l 9 G a 6 1 L z 5 4 8 O n 9 h 7 v 3 H l K H m 9 4 z D G x x 3 f / 0 H i n M e 7 v 3 d + / t j z / d h K t h Z + / V / d 2 H B z T G + / d 2 x 2 D g w V c N c 7 8 v t l Z V m R d v p a p s L 3 s P d x 4 + u H e w 8 2 C 8 d x u t Z d 6 7 5 W t d j r n l a 1 1 u u Z U m e 8 8 + u t x x K 5 1 2 q 8 Z d J r j 1 T H Z Z 4 J b v W V X 3 v u 9 1 m e F W W u 9 9 O + m y w G 0 U 4 H 2 j q y h 7 V l x W G 5 W V C Z e H 9 J 6 F p Y 1 v A 2 p A 7 x l Q u w 8 O 7 u 8 e 3 H v w 8 O H e p / f H 9 z Y N 3 3 C y e / X B w 0 / 3 7 3 / 6 6 c H u / s P x f c V n o 9 4 z r + 7 f 2 9 n d u b 9 3 Q N p v v L / p R c P Z 5 s V 7 D / Y f 7 N F E P b y / e z v F Z 5 G 9 t / P p 3 r 2 9 T z / d 2 9 9 / s N l V N D z v X i X P 7 N N 7 R K D 9 v Y e b S W S 4 / r 3 R t Z r P v H n / / u 7 O v U 8 / 3 X l 4 7 9 5 m b K 0 a d G / e O 9 i 9 t 7 u 7 e 3 9 8 s M m H t H r Q v L h 9 6 z e 7 T H Q r V + 6 9 8 e s y z a 3 c u v f u p c s o t y d 8 l 0 + 2 d x 9 8 e m 9 3 j z j l Y H e 8 y T x a 5 e g k 6 X Y v W u 3 4 3 i 9 2 m e R W 6 v G 9 e x n k i w 3 6 8 d N Q P 6 Y n R T 1 d l x l l k z f r t 5 t 0 p Y V r W t 8 K 2 I C 2 N M B I W + 7 u 7 + y Q J n i 4 Q 7 Q 4 u I W 2 d K 8 + O A B j 3 d s 9 O L g 3 P t j 0 q m F 8 8 + q D 3 f v 7 n + 7 t 3 v 9 0 b w w S D 7 5 n Z M C 8 R 1 p 9 h 0 L J + / v 7 4 9 1 N 7 x k R s K j C 7 d i j Y d 6 7 / / D e + N 6 m K T c y 4 L + K 9 f D 9 n f 3 7 O + P 9 / V v o y v f F 1 q p K + + L e v X s P d + 7 v 0 4 z s b i K r 1 Z T 2 x X u f 0 n 9 k i i j a v o 2 i N O 9 t 3 / b F L v v c S k + + L 3 Z d b r m V m n z f T r o s c m u a d x n k / v 0 H O w f 3 K M w a P 9 y o l r v c s X 3 L F 6 2 K v A 0 5 r F p 8 T + y s h r x V J 1 0 u u G U n B r c H R p G d n u e i I q / T 0 1 + 0 L i 6 z M l / e o N Z u U p I W t m 1 + O 3 A D a t K A o x T W 3 q c 7 D 3 b 2 7 z 1 8 u D / e u 4 2 a d K 8 e k C u 6 s 7 + 3 Q 9 H m 5 i j T M L 5 5 d Z 8 s / v 0 H D / c f 7 I 8 f b n r P y I C H 7 f 7 D + 5 / u 7 m 2 2 b k Y E 7 G u U f L y 3 f / / B P T K P p J g / v Y W W D F 5 9 Q C m H + w 9 3 d s Y P N n G B k Y P 3 R N Y q S f v e g z 3 y h c h y 7 W x W 6 F Z J m h f 3 P j 0 g p / n e v f v 3 x j s b X + z y 1 P a t 3 + y y z 6 3 U 5 H v j 1 2 W X W + n J 9 + 6 l x y W 3 p X u X R 4 h 8 u w / 3 d + 8 d j P c 3 v t d l k N u 9 Z t X k e 7 7 W 5 Y 5 b + Z H v 2 c d 7 s Y O 2 P e g q y Z s 0 2 U 2 a 0 Q J 0 7 W 8 J c E A 3 G o A U K 9 + 7 d 0 C e D r m D 4 4 N N W s N w u v / m P i n G / Y O d g / G D 2 z i Q 5 s 1 P P 3 1 w Q G s L 4 9 1 N 3 R m W t 9 3 t P T j Y p / / G O 5 u 6 M v x u 3 6 J k w s O d f V L h u / f H n z 6 4 h V L 0 3 t w n + X r 4 6 c 7 u p + M 9 p f d G n f h + m F q V a F 6 7 / + D T g w O 8 9 u n G 5 F q X x b Y / p a T t z t 6 D 8 c N b Z R n t H N z q r S 6 3 3 O 6 t L q d s l J g e c 9 y q i y 5 3 b O y i y x S 3 p H S X I 7 b 3 K c y i c G t n f H / / N i r Q v H e 7 1 6 w K f M / X u v x w K x X 4 n n 1 0 2 W A j t b X t Q 6 O x T o 6 / c / w 6 f X V 6 c v z V 0 / T 1 0 y 9 v 1 F y 7 O 3 h u U I g W P N 6 6 6 7 / 2 X t A H t K O B v m m g h s t v 0 9 Y w + W 3 a G t a + T V v D 2 b d p a 9 j Z t L 3 / g L y I G 6 X A M P N t e r A q 7 f 2 6 s C r t V n 1 0 G W B j 4 / e Z T 6 u 2 b t X 4 f W b U a q t b N e 7 O 6 S 2 J 2 J 3 e 7 V u + 1 5 3 g 2 7 1 m t d V 7 v v Y + U 2 2 1 1 X v 2 8 V 6 T r m 3 B u h 1 1 l Z 4 + O z 1 5 c / a T t 1 R Y u z c o L N d D q L F 2 3 x P 8 g M a y 4 B / A 4 a H k 3 E M s q G 4 K 5 Q y 7 v / + b h v f t m x Q 0 6 j A 2 a r T b t j c S Y N t T G L 2 H 1 Z n 9 v X v j h 7 d Z J I 6 + u b e J a 4 w Y 3 B Z H q + v M C 2 h 1 g 3 5 z s G + j 4 G 7 X u j f / t 1 J x t 2 v d n + f b K L n b t e 7 O 8 Q b y 9 S b 1 p q n p z e X 2 D W 9 Y b X Y r 3 K 0 S u y 1 C V p H d D n x / S m 8 Y r 2 m / 2 9 d h J 9 8 + / Y m v T m + n Y v Z u 0 m A W f q j B V K x u D X 5 I g x n w l I 7 6 9 N P 7 D 8 a 7 t 9 J e 3 l s P 9 k l z b X z L c r R 5 6 z 6 F a v u 3 U V 3 2 h Y N P N w a D l q / N C 5 S a 3 q G 1 O z D 8 4 E u W w 8 1 L t K K z v 7 u 3 + S X L 5 b d F z a k s f e M 2 K s s A 3 3 7 w Y B M y T m u Z F 2 5 o 3 5 v 1 G 9 r 3 5 v t 2 m u u W 0 H v T f D v d d T M d e z N 7 4 y T 1 p n X 7 p l e c 9 r o N 9 k 5 7 3 R Y l p 7 5 u B b 8 3 s z c O 2 b y w 1 9 d f 5 I O R D k v f P L m d j t m / S Y X Z L k I V p i r g 1 u C H V J g B / 4 D W 6 / c O 9 v Y / f f D p + M G n t 1 F j / p s H D 7 F i S e v 9 m 3 j W s r h 5 k x L C O w 8 f 3 B / v b 1 K A l t H N W 5 S s 2 q M F o L 3 N y T j L 8 b Y z W l B 9 Q C N 8 Q G m 8 j Q s q V g C 8 N / f 3 s e a 0 e z D G h 4 N v W k F 4 P 1 S d l t P 3 I t L Z 0 3 K m C y T T 9 i n K u M H g 9 t j p d q / 1 2 O R 2 r / V 4 5 H a q 7 / 0 6 6 T H G 7 T T g z T T u M c A t p 7 E 3 / d u 3 e 9 F p w 9 u M x G n D 9 0 P P 6 c R b 9 d K b + d v 1 Y p G 7 Z 9 T W s y 9 f P P 3 y d f r s 7 D v 0 7 1 P S j a Q p b 9 R d e 7 e K T 2 0 f V j W a 9 9 4 L / J B q N O A 3 0 c l y + m 0 a W 0 a / T W P L 3 r d p b L n 7 N o 0 t f 5 v G + 0 y P 2 y i 2 2 4 B 3 6 u z W 8 J 1 a u 1 U H P Q b Y 2 P q 9 5 t O p r l u 1 f q 8 Z d R r r V q 1 7 c 3 o z G X s z u 3 3 z O 7 2 5 v f E V p 6 9 u / 8 p 7 T b B T V b f v 4 P 1 m 2 T T e N x o E W o n c t r O T 4 / R m 9 X H v V t r J w r b a y b z 3 X u C H t J M B f y v t d J v G l p d v 0 9 i y 8 m 0 a W 0 4 2 j T 8 9 2 L 1 / f 3 9 8 f 5 P f Z 3 n 5 f V 6 y z H w b t J y i 0 t Z o d Z O C u h X g H g / c T k H d q v V 7 z a l T U L d q / V 6 z 6 h T U z e T r T e b t V N J t W j t t d K v W 7 z W R T h H d q v X 7 T a R p f D + i g z T K u E l J 7 N 2 k g y z s U A e 9 L / g h H W T A 3 0 o H 3 a a x Z d f b N L b c e p v G l l l N Y 7 I o D z 6 9 N 7 7 / 8 D Y 6 6 H 1 e s t x 7 G 7 S c D t L W t 9 F B t w L c 4 4 H b 6 a B b t X 6 v O X U 6 6 F a t 3 2 t W n Q 6 6 m X y 9 y b y d D r p N a 6 e D b t X 6 v S b S 6 a B b t X 6 / i T S N P 4 3 o o H u 3 U x L 3 b t J B F n a o g 9 4 X / J A O M u B v p Y N u 0 9 i y 6 2 0 a W 2 6 9 T W P L r K b x p 5 9 + + o C y Z g e 3 0 k H v 8 5 L l 3 t u g 5 X S Q t r 6 N D r o V 4 B 4 P 3 E 4 H 3 a r 1 e 8 2 p 0 0 G 3 a v 1 e s + p 0 0 M 3 k 6 0 3 m 7 X T Q b V o 7 H X S r 1 u 8 1 k U 4 H 3 a r 1 + 0 2 k a f w g o o P 2 b 6 c k 9 m / S Q R Z 2 q I P e F / y Q D j L g b 6 W D b t P Y s u t t G l t u v U 1 j y 6 y m 8 e 7 + / U 9 3 H o 4 f f n o b H f Q + L 1 n u v Q 1 a T g d p 6 9 v o o F s B 7 v H A 7 X T Q r V q / 1 5 w 6 H X S r 1 u 8 1 q 0 4 H 3 U y + 3 m T e T g f d p r X T Q b d q / V 4 T 6 X T Q r V q / 3 0 S a x g c R H a T 5 h p u U x P 2 b d J C F H e q g 9 w U / p I M M + L 3 9 e 7 s P F e h m R X T r N y z j m j d u p Y 1 u 0 9 i y r W m 8 u / f p 7 q d 7 4 0 8 1 S 7 Z Z G 7 3 P S 5 a P b 4 O W 0 0 b a + j b a 6 F a A e 9 x w O 2 1 0 q 9 a 9 i d 3 Y + r 0 m 1 W m j W 7 X u T u t t t N G t A L / X L D p t d K v W 7 z W R T h v d q v X 7 T a R p / D C i j T 6 9 n b r 4 9 C Z t Z G G H 2 u h 9 w Q 9 p I w N + 9 + H D n U 8 f j h 9 s C l Y s 3 7 7 P S 5 Z 9 z U u b K G q 5 9 z a N L f N a d H Y + Z W f n N i r p P d 6 x v H w b p J x G 0 t a 3 0 U i 3 A t z j i N t p p F u 1 7 s 3 s 7 T T S r V q / 1 5 w 6 j X Q z + X p z e T u N d J v W T i P d q v V 7 T a T T S L d q / X 4 T q Y 2 B f 0 8 j P b i d y n h w g 0 Z y s E O N 9 L 7 g B z S S B c 8 r i Z s G a 5 j 2 9 m 8 Y x r V v 3 E Y X 3 a q x Y V v b e P 9 g Z 5 8 S 0 A 8 1 g 7 9 R G b 3 X S 4 a P b 4 W W 1 U a m 9 S 2 0 0 e 0 A 9 7 h h Y + v e 5 G 5 s 3 Z v Y j a 3 f a 1 K t N r p d 6 + 6 0 3 k I b 3 Q 7 w e 8 2 i 1 U a 3 a / 1 e E 2 m 1 0 e 1 a v 9 9 E m s a 7 E W 2 k F v c m d f H w J m 1 k Y Y f a 6 H 3 B D 2 k j A 3 5 3 7 / 7 u z s H 4 w a e 3 U U j v 8 5 J l X / P S J o p a 7 r 1 N Y 8 u 8 p v G D B / s P 7 u 2 M 9 1 R T b 9 Z J 7 / O S 5 e b b o O V 0 k r a + j U 6 6 F e A e T 9 x O J 9 2 q d W 9 u b 6 e T b t X 6 v W b V 6 a S b y d e b z N v p p N u 0 d j r p V q 3 f a y K d T r p V 6 / e b S N N 4 L 6 K T d v X N G 7 Q G m m 1 W S h Z 4 o J T e G / y Q U j L g N w 3 U M u x t G l t + v U 1 j y 6 6 3 a W y 5 1 T R + u P M Q D D / 4 g u X Z 2 7 5 g 2 f Y 2 6 D j l o 6 1 v o 3 x u B b g 3 9 7 d T P r d q / V 5 z 6 Z T P r V q / 1 2 w 6 5 X M z + X o T e T v l c 5 v W T v n c q v V 7 T a R T P r d q / X 4 T a R r f i y m f 3 d t p h 9 2 b l I 8 F H i q f 9 w U / p H w M + F s p n 9 s 0 t v x 6 m 8 a W X W / T 2 H K r a b y 7 v / / p w 3 v j T w 9 u o 4 D e 5 y X L v r d B y y k h b X 0 b J X Q r w D 0 e u J 0 S u l X r 9 5 p T p 4 R u 1 f q 9 Z t U p o Z v J 1 5 v M 2 y m h 2 7 R 2 S u h W r d 9 r I p 0 S u l X r 9 5 t I 0 3 g / p o T 2 b q c l 9 m 5 S Q h Z 4 q I T e F / y Q E j L g O e V z G 0 V 0 2 x c s 3 5 o X b q W M b t P Y c q 1 p T K l n R I e f 3 k Y X v c c 7 l o l v g 5 R T R d r 6 N q r o V o B 7 n H A 7 V X S r 1 r 1 Z v Z 0 q u l X r 9 5 p T p 4 p u J l 9 v L m + n i m 7 T 2 q m i W 7 V + r 4 l 0 q u h W r d 9 v I k 3 j + z F V d O 9 2 u u L e T a r I A g 9 V 0 f u C H 1 J F B v z 9 3 f v 3 7 + 2 O 9 2 + z p P 9 e L 1 n + N S / d S i X d p r H l X t P 4 3 s H D g / s P x v d V T W / W S e / z k m X n 2 6 D l l J K 2 v o 1 S u h X g H k / c T i n d q n V v b m + n l G 7 V + r 1 m 1 S m l m 8 n X m 8 z b K a X b t H Z K 6 V a t 3 2 s i n V K 6 V e v 3 m 0 j T + N O Y U t q / n d b Y v 0 k p W e C h U n p f 8 E N K y Y B / 8 G D 3 U 8 r e 3 l O 4 m 5 X S + 7 x k + d e 8 d C u l d J v G l n t N 4 9 2 9 T / d 3 d 8 Z 7 m 9 C x f P w + L 1 l 2 v g 1 a T i l p 6 7 h U h U r p V o B 7 P H E 7 p X S r 1 r 2 5 v Z 1 S u l X r 9 5 p V p 5 R u J l 9 v M m + n l G 7 T 2 i m l W 7 V + r 4 l 0 S u l W r d 9 v I k 3 j B z G l p N 7 D T V r j / k 1 K y Q I P l d L 7 g h 9 S S g b 8 w 4 c P H + y N d z 6 9 j U 5 6 j 3 c s 9 5 p 3 b q W S b t P Y 8 q 5 p v L u 3 d / 9 T Q u d W K u l 9 X r L M f B u 0 n E r S 1 r d R S b c C 3 O O I 2 6 m k W 7 X u T e 3 t V N K t W r / X r D q V d D P 5 e p N 5 O 5 V 0 m 9 Z O J d 2 q 9 X t N p F N J t 2 r 9 f h N p G h / E V J I K 6 k 0 6 4 9 O b V J I F H q q k 9 w U / p J I M + N 3 7 t 8 w j 3 f Y F y 7 f m h V s p o 9 s 0 t l x 7 W 1 Q s 7 9 7 2 B c u + t 0 H H K S F t f R s l d C v A P R 7 Y 2 L o 3 p R t b 9 + Z z Y + v 3 m k y n h G 7 V u j u d t 1 F C t w L 8 X r P o l N C t W r / X R D o l d K v W 7 z e R p v H D m B J 6 c D s t 8 e A m J W S B h 0 r o f c E P K S E D f v / h w / 0 H 4 4 c P b 6 O H 3 u M d y 7 3 m n U 0 E t c x 7 m 8 a W d 0 3 j 3 b 2 H W C q 7 d 3 A b d f Q + L 1 l m v g 1 a T i V p 6 9 u o p F s B 7 n H E 7 V T S r V r 3 p v Z 2 K u l W r d 9 r V p 1 K u p l 8 v c m 8 n U q 6 T W u n k m 7 V + r 0 m 0 q m k W 7 V + v 4 n U x v d 2 Y i p J m f w m n X F w g 0 p y w E O V 9 L 7 g B 1 S S B b 9 / 7 + D B p 2 N M 3 O B 4 D d + + z z u G e + 0 7 t 1 F J t 2 p s e N d h s 3 9 w 8 G B 8 s H 8 L j f Q + 7 x h W v h V S V i G Z 1 r d Q S L c D 3 O O H j a 1 7 0 7 u x d W 9 i N 7 Z + r y m 1 C u l 2 r b u T e g u F d D v A 7 z W L V i H d r v V 7 T a R V S L d r / X 4 T a R r v x h S S i u l N G u P h T Q r J A g 8 V 0 v u C H 1 J I B v z u / o O d n b 3 N s m k Z 9 3 1 e s v x r X t p E U s u + t 2 l s u d c 0 3 t + 5 X c B 2 6 x c s G 9 8 G H a e M t P V t l N G t A P d 4 4 X b K 6 F a t e 3 N 6 O 2 V 0 q 9 b v N Z t O G d 1 M v t 5 E 3 k 4 Z 3 a a 1 U 0 a 3 a v 1 e E + m U 0 a 1 a v 9 9 E m s Z 7 E W W 0 p 2 / e o C 3 Q b L M y s s A D Z f T e 4 I e U k Q F / b / f g 4 f 2 x h o G b V d H t X 7 G 8 a 1 6 5 l S K 6 T W P L u R a Z 2 y q i 2 7 5 g W f g 2 6 D h F p K 1 v o 4 h u B b j H B 7 d T R L d q 3 Z v R 2 y m i W 7 V + r 9 l 0 i u h m 8 v U m 8 n a K 6 D a t n S K 6 V e v 3 m k i n i G 7 V + v 0 m 0 j S + F 1 N E u 7 f T F L s 3 K S I L P F R E 7 w t + S B E Z 8 L s H + w f 3 D 8 Y G 7 m Z V 9 D 4 v W f 4 1 L 9 1 K G d 2 m s e V e 0 / j h g w c H B + O D v d v o o / d 4 x z L z b Z B y K k l b 3 0 Y l B Y B v V E m 3 a t 2 b 4 N u p p F u 1 f q 8 p d S r p V q 2 7 k 3 o b l X Q r w O 8 1 i 0 4 l 3 a r 1 e 0 2 k U 0 m 3 a v 1 + E 2 k a 7 8 d U k j L 5 T T p j 7 y a V Z I G H K u l 9 w Q + p J A N + 7 8 H D g 5 2 D 8 f 2 D 2 6 i k 9 3 n J 8 q 9 5 6 V Y q 6 T a N L f d a d D 5 9 8 O n 9 h + P 9 e 7 f R S e / z k m X n 2 6 D l l J K 2 v o 1 S u h X g H k / c T i n d q n V v b m + n l G 7 V + r 1 m 1 S m l m 8 n X m 8 z b K a X b t H Z K 6 V a t 3 2 s i n V K 6 V e v 3 m 0 j T + H 5 M K e 3 f T m v s 3 6 S U L P B Q K b 0 v + C G l Z M D v P b x / f 9 N g L d P e 9 g X L t + a F W y m j 2 z S 2 X G s a 3 z p Y u + 0 L l n 1 v g 4 5 T Q t r 6 N k r o V o B 7 P H A 7 J X S r 1 r 3 5 v J 0 S u l X r 9 5 p N p 4 R u J l 9 v I m + n h G 7 T 2 i m h W 7 V + r 4 l 0 S u h W r d 9 v I k 3 j T 2 N K 6 P 7 t t M T 9 m 5 S Q B R 4 q o f c F P 6 S E D P i 9 / Y O d e 7 T e v S l q s Y z 7 P i 9 Z / j U v 3 U o Z 3 a a x 5 V 7 T + M H + p 7 d T R r d 9 w b L x b d B x y k h b 3 0 Y Z 3 Q p w j x d u p 4 x u 1 b o 3 p 7 d T R r d q / V 6 z 6 Z T R z e T r T e T t l N F t W j t l d K v W 7 z W R T h n d q v X 7 T a R p / C C m j D 6 9 n b b 4 9 C Z l Z I G H y u h 9 w Q 8 p I w N + b + / h v Q c P x g 9 v p Y z e 5 y X L v + a l W y m j 2 z S 2 3 G s a 7 x 4 c 7 D w 4 G O / f K n X 0 P i 9 Z d r 4 N W k 4 p a e v b K K V b A e 7 x x O 2 U 0 q 1 a 9 + b 2 d k r p V q 3 f a 1 a d U r q Z f L 3 J v J 1 S u k 1 r p 5 R u 1 f q 9 J t I p p V u 1 f r + J N I 0 P Y k r p 4 H Z a 4 + A m p W S B h 0 r p f c E P K S U D f v / e p + T r 3 E 4 n v c c 7 l n v N O 7 d S S b d p b H n X N N 7 d / 3 T / w c 4 Y E f b g S 5 a L 3 + c l y 8 y 3 Q c u p J G 1 9 G 5 V 0 K 8 A 9 j t j Y u j f B G 1 v 3 p n Z j 6 / e a V K e S b t W 6 O 6 2 3 U U m 3 A v x e s + h U 0 q 1 a v 9 d E O p V 0 q 9 b v N 5 G m 8 c O Y S n p 4 O 5 3 x 8 C a V Z I G H K u l 9 w Q + p J A N + / + H u / s H e e H + T b F r G f Z + X L P + a l z a R 1 L L v b R p b 7 j W N D y g G 2 x 0 j 4 B 5 8 x 7 L x e 7 x j m f k 2 S D m V p K 1 v o 5 J u B b j H E b d T S b d q 3 Z v Z 2 6 m k W 7 V + r z l 1 K u l m 8 v X m 8 n Y q 6 T a t n U q 6 V e v 3 m k i n k m 7 V + v 0 m U h v v 7 0 R U 0 j 1 9 8 w a d g W Y b V Z I D H q i k 9 w Y / o J I s + N 2 H e w c P 7 t 0 f 7 + / e Q i e 9 3 1 u G g + 1 b t 1 F K t 2 p s + N f h c 2 9 / 7 9 7 e / f G D g 1 u o p f d 7 y 7 D 0 r R C z i s m 0 v o V i i g D e o J h u 1 7 o 3 z R t b 9 6 Z 3 Y + v 3 m l a r m G 7 X u j u x t 1 B M t w P 8 X r N o F d P t W r / X R F r F d L v W 7 z e R p v F u T D G p q N 6 k O X Z v U k w W e K i Y 3 h f 8 k G I y 4 C k 7 t L v / c P x g 0 w q 4 Z d z 3 e c n y r 3 l p E 0 k t + 9 6 m s e V e 0 3 h 3 d + f e w f 3 x r t J m s 1 Z 6 n 5 c s O 9 8 G L a e U t P V t l N K t A P d 4 4 n Z K 6 V a t e 3 N 7 O 6 V 0 q 9 b v N a t O K d 1 M v t 5 k 3 k 4 p 3 a a 1 U 0 q 3 a v 1 e E + m U 0 q 1 a v 9 9 E m s Z 7 M a W k m Z a b t M b e T U r J A g + V 0 v u C H 1 J K B v z B w 4 c H B 7 f 0 l d 7 j H c u 9 5 p 1 b q a T b N L a 8 a x r v I o V G j t u D 2 6 i k 9 3 n J M v N t 0 H I q S V v f R i X d C n C P I 2 6 n k m 7 V u j e 1 t 1 N J t 2 r 9 X r P q V N L N 5 O t N 5 u 1 U 0 m 1 a O 5 V 0 q 9 b v N Z F O J d 2 q 9 f t N p G l 8 L 6 a S 1 H e 4 S W f c u 0 k l W e C h S n p f 8 E M q y Y D f 2 7 9 3 n 9 J D t 3 K T 3 u M d y 7 3 m n V u p p N s 0 t r x r G t + n 8 W 5 6 w X L w b V + w T H w b d J w q 0 t a 3 U U W 3 A t z j h N u p o l u 1 7 k 3 p 7 V T R r V q / 1 2 w 6 V X Q z + X o T e T t V d J v W T h X d q v V 7 T a R T R b d q / X 4 T a R r v x 1 T R / u 1 0 x f 5 N q s g C D 1 X R + 4 I f U k U G / N 6 n B w 9 2 7 4 / v H 9 x G F 7 3 P S 5 Z / z U u 3 U k a 3 a W y 5 1 z T e 3 b m / R 0 u A B 5 v c N c v H 7 / O S Z e f b o O W U k r a + j V K 6 F e A e T 9 x O K d 2 q d W 9 u b 6 e U b t X 6 v W b V K a W b y d e b z N s p p d u 0 d k r p V q 3 f a y K d U r p V 6 / e b S N P 4 f k w p 6 S r O T V r j / k 1 K y Q I P l d L 7 g h 9 S S g b 8 p o F a h r 1 N Y 8 u v t 2 l s 2 f U 2 j S 2 3 m s b 3 H j 5 4 + P A 2 C u i 2 L 1 i 2 v Q 0 6 T v l o 6 9 s o n 1 s B 7 s 3 9 7 Z T P r V q / 1 1 w 6 5 X O r 1 u 8 1 m 0 7 5 3 E y + 3 k T e T v n c p r V T P r d q / V 4 T 6 Z T P r V q / 3 0 S a x p / G l M + n t 9 M O n 9 6 k f C z w U P m 8 L / g h 5 W P A 3 0 r 5 3 K a x 5 d f b N L b s e p v G l l t N 4 4 c H n 9 4 u H L v t C 5 Z t b 4 O O U z 7 a + j b K 5 1 a A e 3 N / O + V z q 9 b v N Z d O + d y q 9 X v N p l M + N 5 O v N 5 G 3 U z 6 3 a e 2 U z 6 1 a v 9 d E O u V z q 9 b v N 5 G m 8 Y O Y 8 t H 0 5 0 3 a 4 c F N y s c C D 5 X P + 4 I f U j 4 G / L 2 D h 3 v 7 e + O d T 2 + j h N 7 n J c u / 5 q V b K a P b N L b c a x r f O j d 0 2 x c s G 9 8 G H a e M t P V t l N G t A P d 4 I W g 9 q I x u 1 b o 3 p 7 d T R r d q / V 6 z 6 Z T R z e T r T e T t l N F t W j t l d K v W 7 z W R T h n d q v X 7 T a R p f B B T R g e 3 0 x Y H N y k j C z x U R u 8 L f k g Z G f C b B m o Z 9 j a N L b / e p r F l 1 9 s 0 t t x q G h / s 7 + 4 / H B / s 3 U b / v M c 7 l n l v g 5 R T Q d r 6 N i r o V o B 7 H L C x 9 X t N q F N B t 2 r 9 X l P q V N C t W n c n 9 T Y q 6 F a A 3 2 s W n Q q 6 V e v 3 m k i n g m 7 V + v 0 m 0 j R + G F N B m n G 4 S U c 8 v E k F W e C h C n p f 8 E M q y I D f v f / p / t 7 u e G 9 T o s Q y 7 v u 8 Z P n X v L S J p J Z 9 b 9 P Y c q 9 F 5 8 H u z o P 9 8 a e a J d u s k 9 7 n J c v O t 0 H L K S V t f R u l d C v A P Z 6 4 n V K 6 V e v e 3 N 5 O K d 2 q 9 X v N q l N K N 5 O v N 5 m 3 U 0 q 3 a e 2 U 0 q 1 a v 9 d E O q V 0 q 9 b v N 5 H a + P 5 O R C n t 6 5 s 3 a A 0 0 2 6 i U H P B A K b 0 3 + A G l Z M H v 7 j w 8 O P j 0 w f j h / i 2 0 k v / W w 3 s P 9 8 a 7 m 0 T a c L B 9 6 z Z q y T a + v 7 c / x p w P v m G Y 2 L 7 x 6 f 4 + R Y / j T Q M x 3 O y 9 c + / g 0 / t j M O 7 g S 4 a p b 4 + a 1 U / m l V v o J w t 9 + 2 b w P S a 5 + Z X e x N / 8 S m / W b 6 W v 3 q O D 3 p x v 7 K A 7 3 7 d Q W u + B S 2 + S b 5 4 G q 7 9 u h b / V X 7 d H y i q x 2 3 X w N a b Y v L E b 0 2 T 6 5 k 2 q Z v c m T W a B h 5 r s f c E P a T I D / s H + w b 3 9 s V m / 2 6 z H 3 u M d y 9 f m n V t p s d s 0 t g x t G h / c M t l 0 6 x c s U 9 8 G H a e 0 t P V t l N a t A P c 4 Y W P r 3 s R u b N 2 b 0 t s p q V u 1 f q / Z d P r p Z v L 1 J n I j 4 P e a R a e U b t X 6 v S b S 6 a N b t X 6 / i T S N 9 2 K q S N M Z N + m K v Z t U k Q U e q q L 3 B T + k i g z 4 / d 2 D + 7 u 7 4 4 O H t 9 F F 7 / O S 5 V / z 0 q 2 U 0 W 0 a W + 4 1 j f d 2 D / Y e 7 I w x e Y M v W T 5 + n 5 c s O 9 8 G L a e U t P V t l N K t A P d 4 4 n Z K 6 V a t e 3 N 7 O 6 V 0 q 9 b v N a t O K d 1 M v t 5 k 3 k 4 p 3 a a 1 U 0 q 3 a v 1 e E + m U 0 q 1 a v 9 9 E m s b 3 Y k r p 3 u 2 0 x r 2 b l J I F H i q l 9 w U / p J Q M + N 2 H 9 3 c + v U E 2 L e O + z 0 u W f 8 1 L t 1 J K t 2 l s u d e i s 3 v v w U N y a h / c R i m 9 z 0 u W n W + D l l N K 2 v o 2 S u l W g H s 8 c T u l d K v W v b m 9 n V K 6 V e v 3 m l W n l G 4 m X 2 8 y b 6 e U b t P a K a V b t X 6 v i X R K 6 V a t 3 2 8 i T e P 9 m F L a v 5 3 W 2 L 9 J K V n g o V J 6 X / B D S s m A 3 / 3 0 I f k 9 4 0 9 V 2 W 1 W S u / z k u V f 8 9 K t l N J t G l v u N Y 0 p F U b Y K G U 2 q 6 T b v 2 J Z + T Y o O Y W k r W + j k D Y A j i i k W 7 X u T e / t F N K t W r / X h D q F d K v W 3 S m 9 j U K 6 F e D 3 m k W n k G 7 V + r 0 m 0 i m k W 7 V + v 4 k 0 j e / H F J L m V m 7 S G P d v U k g W e K i Q 3 h f 8 k E I y 4 H d 3 P 6 X 2 9 8 e f H t x G I 7 3 X W 5 a D z V u 3 U k m 3 a W z 5 1 z S + f 2 / v 4 b 0 H 4 / 1 b + U n v 8 5 J l 6 N u g 5 d S S t r 6 N W r o V 4 B 5 X 3 E 4 t 3 a p 1 b 3 J v p 5 Z u 1 f q 9 Z t W p p Z v J 1 5 v M 2 6 m l 2 7 R 2 a u l W r d 9 r I p 1 a u l X r 9 5 t I 0 / j T m F r 6 9 H Z 6 4 9 O b 1 J I F H q q l 9 w U / p J Y M + H s P H j z c 2 R / f v 1 V G 6 X 1 e s v x r X r q V U r p N Y 8 u 9 p v H u / u 7 e Q / J 6 N r l t l o / f 5 y X L z r d B y y k l b X 0 b p X Q r w D 2 e u J 1 S u l X r 3 t z e T i n d q v V 7 z a p T S j e T r z e Z t 1 N K t 2 n t l N K t W r / X R D q l d K v W 7 z e R p v G D m F J S y 3 u T 1 n h w k 1 K y w E O l 9 L 7 g h 5 S S A b + / e 3 9 v 5 + H m x I p l 3 P d 5 y f K v e e l W S u k 2 j S 3 3 m s b 3 b 7 v m d t s X L B v f B h 2 n j L T 1 b Z T R r Q D 3 e O F 2 y u h W r X t z e j t l d K v W 7 z W b T h n d T L 7 e R N 5 O G d 2 m t V N G t 2 r 9 X h P p l N G t W r / f R J r G B z F l d H A 7 b X F w k z K y w E N l 9 L 7 g h 5 S R A X / / 4 R 4 l q v d u o 4 p u / 4 r l X f P K r R T R b R p b z j W N P 9 2 / 9 + m n Y 0 j i 4 D u W h d / j H c v I t 0 H K q S N t f R t 1 d C v A P W 7 Y 2 L o 3 u R t b 9 + Z 1 Y + v 3 m l K n j m 7 V u j u p t 1 F H t w L 8 X r P o 1 N G t W r / X R D p 1 d K v W 7 z e R p v H D m D r S I O Y m f f H w J n V k g Y f q 6 H 3 B D 6 k j A / 7 T g 5 1 P 9 2 g 1 / z b 6 6 D 3 e s d x r 3 t l E U M u 8 2 n i Y H S 3 j 3 t j S 8 u 2 N L S 3 P 3 t j S q Z 2 b m / a Y 5 H Z q 5 1 a t e 5 N 4 O 7 V z q 9 b v N X F O 7 d y q 9 e 1 n z 6 m d m 5 v e f v 6 c w r m 5 a X f + N j T t T t 6 G p t 2 Z 2 z A s b f n p T k T J m G X u G 7 Q A m m 1 U M g 5 4 o G T e G / y A k r H g N 3 G F Y c 9 b N T b c e a v G h j l v 1 d j w p m 2 8 u 3 f L i O v 2 b x h O v R V C V t m Y 1 r d Q N r c D 3 J v 9 W y m b 2 7 V + r 9 m 0 y u Z 2 r d 9 r P q 2 y u Q X 5 e j O 5 E f B 7 z a J V O b d r / V 4 T a R X P 7 V q / 3 0 S a x r s x 9 a O h y E 3 6 Y e 8 m 9 W O B h + r n f c E P q R 8 D n l r f U 5 W 2 W Q X d 9 g X L t + a F T a S 0 b H u b x p Z r T e P b 5 n 1 u / Y J l 3 9 u g 4 5 S Q t r 6 N E r o V 4 B 4 P 3 E 4 J h a 1 v U k K 3 a v 1 e k + m U 0 K 1 a d 6 f z N k r o V o D f a x a d E r p V 6 / e a S K e E b t X 6 / S b S N N 6 L K S H N J t y k J e 7 d p I Q s 8 F A J v S / 4 I S V k w D 8 g l X J / 0 2 g t 1 9 7 6 D c u 5 5 o 1 b q S F t P M y K l m l v b G l 5 9 s a W l l 9 v b O l U z s 1 N e w x y O 5 V z q 9 a 9 C d z Y u j d 5 t 1 M 5 t 2 r d n b l b q p y b y X f 7 6 X P 6 5 s a m T t n c 3 L Q 7 f x u a d i d v Q 9 P u z G 0 Y l m l 5 L 6 Z g 7 t 9 O A 9 y / S c F Y 4 K G C e V / w Q w r G g N 8 7 2 H n 4 c H 8 M o R j k D s u m 7 / O S 5 V b z 0 q 3 U z G 0 a W 1 6 1 6 D z Y / f T g 3 v j T h 7 f x e N 7 n J c u / t 0 H L q S B t f R s V d C v A P Z 6 4 n Q q 6 V e v e 3 N 5 O B d 2 q 9 X v N q l N B N 5 O v N 5 m 3 8 3 p u 0 9 o p o l u 1 f q + J d O r o V q 3 f b y J N 4 / 2 Y U v r 0 d l r j 0 5 u U k g U e K q X 3 B T + k l B T 8 8 M x b b r 2 x p e X U G 1 t a L j W D u 5 X u M Y 1 v H W n d 9 g X L r b d B x + m c G 4 f p d M 6 t A P e m / H Y 6 5 1 a t u 7 N 4 S 5 1 z q 9 b v N Z t O 5 9 x M v t 5 E 3 k 7 n 3 K a 1 0 z m 3 a v 1 e E + l 0 z q 1 a v 9 9 E m s b 3 Y z r n w e 2 U w o O b d I 4 F H u q c 9 w U / p H M U / C 1 0 z o 0 t L a f e 2 N J y q R n c r X S O a X x j y t j y 6 q 3 f s P x 6 G 4 S c 1 r l x o E 7 r 3 A p w b 9 J v p 3 V u 1 b o 7 j 7 f U O r d q / V 7 z 6 b T O z e T r z e T t t M 5 t W j u t c 6 v W 7 z W R T u v c q v X 7 T a R p / G l M 6 x z c T i 0 c 3 K R 1 L P B Q 6 7 w v + C G t Y 8 D v f b r 3 8 O D B e G / D e C 3 f v s c 7 l n v N O 5 s I a p n 3 N o 0 t 7 5 r G n 9 5 W F 9 3 2 B c v E t 0 H H q S J t f R t V d C v A P U 6 4 n S q 6 V e v e l N 5 O F d 2 q 9 X v N p l N F N 5 O v N 5 G 3 U 0 W 3 a e 1 U 0 a 1 a v 9 d E O l V 0 q 9 b v N 5 G m 8 Y O Y K t L M w k 2 6 4 u F N q s g C D 1 X R + 4 I f U k U G / L 1 P H + 7 v f z q + f x t V 9 B 7 v W O 4 1 7 9 x K F W n j Y X a 0 j H t j S 8 u 3 N 7 a 0 P H t j S 6 d 2 b m 7 a Y 5 L b q Z 1 b t e 5 N 4 u 3 U z q 1 a v 9 f E O b V z q 9 a 3 n z 2 n d m 5 u e v v 5 c w r n 5 q b d + d v Q t D t 5 G 5 p 2 Z 2 7 D s E z L g 4 i S + V T J f I M W Q L P N S s Y C D 5 T M e 4 M f U j I G P L 3 w 6 c 7 + + M G t t M z 7 v G S 5 1 b x 0 K z W j j Y e J b x n 1 x p a W T 2 9 s a d n 0 x p Z O z d z c t M c m t 1 M z t 2 r d m 8 b b q Z l b t X 6 v i X N q 5 l a t 4 7 M X b X r 7 6 X N q 5 s a m T s 3 c 3 L Q 7 f 7 d R M z c 3 7 c 7 c L d T M w 5 i a 2 b 2 d H t i 9 S c 1 Y 4 K G a e V / w Q 2 r G g N / d P X h A C 1 T G R 9 q s Z t 7 n J c u t 5 q V b q R l t f A s 1 c 2 N L y 6 c 3 t r R s e m N L p 2 Z u b t p j k 9 u p m V u 1 7 k 3 j 7 d T M r V q / 1 8 Q 5 N X O r 1 r e f P a d m b m 5 6 + / l z a u b m p t 3 5 2 9 C 0 O 3 k b m n Z n b s O w t O W D n Z i a 0 Z z G T X p g 7 w Y 1 4 4 C H a u Z 9 w Q + o G Q t + D 4 s 5 t 1 A x t 3 7 B c K l 9 4 T b q x T Q e J r p h 0 J t b G v 6 8 u a V h z 5 t b W v V y i 6 Y 9 9 r i V e r l d 6 9 7 0 3 U q 9 3 K 7 1 e 0 2 c V S + 3 a 3 3 7 2 b P q 5 R Z N b z 9 / V r 3 c o m l 3 / j Y 0 7 U 7 e h q b d m d s w L N N y 1 2 i A J 9 l y W j V 3 3 + R N V e f 1 P / r X Z z f p g B u V i w X t X r g l x C F 9 Y i C S + n n 4 6 e 6 D T / f 3 D g 7 2 x n s P b q N a v H c f 7 B 3 c 2 7 / / 8 P 7 + z v j h 7 m 2 0 j H n 3 3 v 3 7 n 9 6 / / 2 B 3 9 8 H 4 4 f 5 t N I 7 t d G 9 v 7 9 6 D e w 8 e U A 7 o Y M O L l o X N i w 8 f H t z b O 9 i / 9 2 D / 4 P 4 Y k j n 4 q m V p 7 9 W 9 T x 8 8 2 P / 0 / s G n m 8 d p W f x 9 0 X U a y 7 6 5 + + n u p w d 7 B w 8 O x v c + 3 f R m j w H 3 7 t 3 b 3 z 3 A P z e 8 2 e O v 7 V u / 2 m O k 2 2 m 2 9 0 a x x z i 3 0 3 L v 3 U + P X W 5 N / h 6 3 f L r z 6 c O d g 4 c H 4 z 0 V 0 x u 0 o S X + 7 V 5 0 u v E 2 J H H q 8 f 3 Q c 7 r y V r 3 0 2 O F 2 v V j k 9 o y C O 3 6 W 7 u y m r 4 + f P / 0 y P X l z n D 4 5 f n G j r t v Z 3 d m B / G z W o b Y L 4 6 D Z 9 9 4 L / J B C N e A 3 k c m K g W l M 2 u j e r V b V 7 B s H e / v 3 P h 1 / e i u V a d / 5 9 G D n 4 f h g 0 z u W / W 8 z D M v x p v F 9 s h 2 f P r y 3 M 9 5 5 e B v d + B 5 4 O b X o + n q 4 S 1 R 7 O H 6 4 S Y U 7 p W j e 2 7 6 R 1 k 4 d 3 n p 6 n B q 8 / S s 9 J r i d l 3 f 7 D n r z f z t X 7 z 0 J 3 G O C 7 d t x g d N 7 7 8 c 9 T u 2 9 5 3 s 9 T t i o y H o 8 c M t e 3 k s P W J T u h W r v 7 M X n r 0 5 f f / n 6 d i p p 9 y a N Z 6 G H G k / 9 l 1 u D H 9 J 4 B v y 9 + 7 t 7 n + 6 R J 7 g z 3 t / k 4 l j G f 9 8 X r Q y Y F z f R 1 n L / b R p b 5 j e N 9 x 9 S M H 5 v n 9 y 8 e 0 q m z R r w P d + z v H 8 b 5 J z u 0 9 Z o d Z O 6 u x X g H o d s b N 2 b 8 N u 5 e r d q / V 5 T 6 z T b r V p 3 J 3 c D + X r z u R H w e 8 2 i 0 1 u 3 a v 1 e E + m 0 1 a 1 a v 9 9 E m s b 7 o Y 4 6 F R V F 6 b P T n / j q 9 H a q Z O 8 m T W X 7 C D W V m r l b g x / S V A p + m A E s 0 9 7 Y 0 j L s j S 0 t s 5 r B 3 U o R m c a f 7 j w 4 e H g r J + z W b 1 i 2 v Q 1 C T v n c O F C n f G 4 F u D f p t 1 M + t 2 r d n c d b K p 9 b t X 6 v + X T K 5 2 b y 9 W b y d s r n N q 2 d 8 r l V 6 / e a S K d 8 b t X 6 / S b S N L 4 f V z 5 v X t 1 O M 9 y 7 S f F Y + K H i u f e e 4 I c U j w G / / 2 C X c m T 3 N u e O L P O + 1 1 u W i c 1 b m + h q e V g b D 3 O l 5 d 8 b W 1 r 2 v b G l Z d 0 b W z r t c 3 P T H q / c T v v c q n V v I m + n f X q t N 2 q f W 7 X u z t w t t c / N 5 L v 9 9 D n V c 2 N T p 3 d u b t q d v w 1 N u 5 O 3 o W l 3 5 j Y M y 7 T 8 N N Q 1 Z z 9 5 n P 4 + 6 c m X X 5 y 9 P v v y x e 0 U w v 5 N + s b 2 E e q b / f c E P 6 R v D P h P 9 z 6 9 / 2 C s U D c r m 9 u / Y h n W v H I r T X O b x p Z d T e O H O x s D Q s u z t 2 x v G f c 2 y D j d o 6 1 v o 3 t u B b j H B b f T P b d q 3 Z v P 2 3 k + t 2 r 9 X n P p d M / N 5 O v N 4 + 0 8 n 9 u 0 d h r o V q 3 f a y K d H r p V 6 / e b S N P 4 g a + N 9 r 5 G R h w U 2 K y M b B e B M t p T 9 G 4 N f k g Z G f C b h m v Z 9 j a N L d e a x r s P H t 6 7 v z E Z a l n 3 9 q 9 Y / r 0 N S p a D b 9 P Y M v D t k X H K 6 D 3 e 6 f H Q 7 b T S r V q / 1 + w 6 r X S r 1 r 3 5 v Z 1 W u l X r 3 q z e g o 7 v N b l O P d 2 m t V N P t 2 r 9 X j P q 1 N O t W r / f j J r G B 6 F 6 e q / M N Y a z W T N Z 6 K F m u l 3 m 2 o E f 0 k w G / K 0 0 0 2 0 a W 8 6 9 T W P L u L d p b P n W N M a i 9 O 6 n O 7 d S S u / x j u X e 2 y D l t J K 2 R q u b l N G t A P c 4 Y G P r 9 5 p Q p 4 x u 1 f q 9 p t Q p o 1 u 1 7 k 7 q B v L 1 5 n I j 4 P e a R a e D b t X 6 v S b S 6 a B b t X 6 / i T S N H x o t 8 e Q 7 C N j e 0 0 X a 8 1 f 1 h x S R 7 c I p I n 3 v v c A P K S I D f t N w L d v e p r H l W t P 4 4 a e 0 y j 7 e v 3 8 b f f Q e 7 1 g O v g 1 S l o d v 0 9 i y 8 H t g 4 / T R + 7 z U 4 6 O N T N d j i Y 2 t 3 2 u G n W a 6 V e v e H N 9 O M 9 2 q d W 9 e b 0 P I 9 5 p f p 6 N u 0 9 r p q F u 1 f q 8 p d T r q V q 3 f b 0 q 1 8 c G O r 6 P e O 4 z b u 0 U Y 5 7 o I d N R t w r g A / I C O s u B 3 D + 5 / e g s 1 Z d v v P T j Y v 4 W m s u 3 v P f j 0 / s 6 9 8 f 1 N L x l m 9 l 5 6 s H 9 v d / N L h q f t S w 9 2 P r 1 / f 7 z / 8 B Y q y 4 3 m 4 d 6 9 j d G C Y e v 3 Q s 0 q L v f W z s N P H z 4 c 7 9 1 K c 9 m 3 t h / u H d x G e d k X b m j f m / w b 2 v c m f 6 N s 9 K b + B u i 9 W d 8 I v T f d t y J p b 8 I / f f D g 3 t 5 4 b x O T W F X m 5 u E W b 1 m V d q v h W J X 2 P o h Z z X a 7 L n q z f Y s u L F q 7 o Y K 7 f S C 4 d 4 t A 0 E E P d d v u e 4 I f 0 m 0 G / K c P b 6 X a b t f c s r d p v o n 4 l r d v 0 9 i y t m m 8 e + / h w a c P x 5 u k x z L 2 e 7 x j + f o 2 S D k d p q 3 R 6 i b F d S v A P S 7 Y 2 L o 3 q R t b 9 + b 0 d h r r V q 3 f a 0 6 d v r q Z f L 2 5 3 A j 4 v W b R a a V b t X 6 v i X T q 6 F a t 3 2 8 i T e O 9 j h 5 6 z 9 U 7 q I v 9 m 7 S R 7 S P U R v v v C X 5 I G x n w 9 + 9 / u k k 6 L e v e s r 1 l X t P + V v r o N o 0 t 6 5 r G + w f k 8 S g 5 N m u j W 7 9 h u f g 2 C D l d p K 1 v o 4 t u B b j H A 7 f T R d r 6 l r r o V q 3 f a z q d L r p V 6 + 6 E 3 k Y X 3 Q r w e 8 2 i 0 0 W 3 a v 1 e E + l 0 0 a 1 a v 9 9 E m s b 3 O r r o x Z v 0 8 + M X x 0 9 v 6 x b d v 0 k R 2 Q 5 C R a Q e 7 q 3 B D y k i B T 8 8 + 5 Z j b 2 x p u f X G l p Z T z e B u p X l M 4 7 2 d g 9 u 5 Q b d 9 w X L s b d B x e u f G Y T q 9 c y v A v S m / n d 6 5 V e v u L N 5 S 7 9 y q 9 X v N p t M 7 N 5 O v N 5 G 3 0 z u 3 a e 3 0 z q 1 a v 9 d E O r 1 z q 9 b v N 5 G m 8 b 6 v d + 5 9 j W T T v Z 2 b N I / t I t A 8 9 x S 9 W 4 M f 0 j w G / K b h W r a 9 T W P L t b d p b J n 2 N o 0 t z 5 r G 9 x 7 u 3 t + c I 7 K 8 a 1 6 5 v 7 f / Y O / h p + O H u 7 f R R L f B y m k i 1 8 f O w e 7 + v f G D T X 0 4 r X S r T n r s c D u t d K v W 7 z W 9 T i v d q v V 7 T b D T S u 9 H y t 4 s b 9 / u v d 4 8 3 + o 1 p 7 T e 7 7 X 3 m n C n v d 6 v k / e b e d P 4 f q j G 3 i u l d G / 3 J g 1 m o Y c a T M d x a / B D G k z B D 1 s w y 9 8 3 t r S 8 f W N L y 9 d m c L d S X K b x / b 3 x x t S + Z e j b v m A 5 + T b o O I 1 1 4 z C d l r o V 4 N 6 U 3 0 5 L 3 a p 1 d x Z v q a V u 1 f q 9 Z t N p q Z v J 1 5 v I j Y D f a x a d G r p V 6 / e a S K d 9 b t X 6 / S b S N P 4 0 V D q n o n P S k 2 + f / s R X p 7 f T D X s 3 q R 7 b R 6 h 6 1 G W 4 N f g h 1 a P g b 6 F 6 b m x p G f b G l p Z Z z e B u p X p M 4 4 f 3 H t 5 / s D O + t 3 8 b 9 W N e 2 v / 0 4 Y O D + 2 N w / u B L l n l v g 5 Z T Q a b 1 9 m 3 6 c O r o V p 3 0 2 O B 2 6 u h W r b s z e 0 t 1 d K v W 7 z X D T h 2 9 H y m / 1 i Q 7 F f V e n T l d d Z s R O V 3 1 P q g 5 n X W r P n q z f Z s + L G I P 4 r r r z a v b K Z Z 7 N + k t C z / U W / f e E / y Q 3 l L w t 9 B b N 7 a 0 n H 1 j S 8 v V Z n C 3 0 l u m 8 c P 7 9 / f 3 D 2 g V 7 V a K 6 7 3 e s j x 9 G 8 S c 5 r p x w E 5 b 3 Q p w b / J v p 6 1 u 1 b o 7 n 7 f U V r d q / V 7 z 6 r T V z e T r z e b t n K f b t H Y K 6 V a t 3 2 s i n S K 6 V e v 3 m 0 j T + C B U Q F 9 j 8 Q 0 e w G Y l Z P s I l Z C K 0 q 3 B D y k h B X 8 L J X R j S 8 u w N 7 a 0 z G o G d y s l Z B r f v 3 d v / O l t 9 M 9 t X 7 B M e x t 0 n O q 5 c Z h O 9 d w K c G / K b 6 d 6 b t W 6 O 4 u 3 V D 2 3 a v 1 e s + l U z 8 3 k 6 0 3 k R s D v N Y t O 9 d y q 9 X t N p F M 9 t 2 r 9 f h N p G j / s q J 7 3 X G u 7 d / 8 m v W M 7 C P X O / f c E P 6 R 3 D P h N g 7 V M e 5 v G l m d v 0 9 i y 7 G 0 a W 4 4 1 j X d 3 P n 1 4 f 3 / 8 6 a 2 U 0 P u 8 Z F n 4 N m g 5 R a S t b 6 O I b g W 4 x w O 3 U 0 T 9 1 p s U 0 a 1 a v 9 e k O k V 0 q 9 b d a b 2 N I r o V 4 P e a R a e I b t X 6 v S b S K a J b t X 6 / i d T G D 3 d 8 R b T / N R b f 9 n d u U E W u i 0 A V 7 S t 6 t w Y / o I o s + N u o o l s 1 N l x r G 9 8 7 2 L 2 / / + n G d X f D u + / z j u F g + 8 7 D v X u 3 0 0 q 3 G o b h 4 / d B y S o l 7 6 W d T w k t C P 7 w W z 1 u 2 s h 6 P c b Y 2 P q 9 5 t n q p 9 u 1 7 s 3 0 x t a 9 O d 7 Y u j e 7 t 6 J k b 4 Z v 5 A m r r + w r 2 z e + Y 7 X W r Y Z i t d b t k b K q 6 3 Y d 9 O b 4 x g 4 s S r u h / n q v V b f 9 3 Z t U l 4 U e q q 7 d 9 w Q / p L o U / L D p s u x 8 Y 0 v L y j e 2 t G x s B r d p a i w X m 8 a 0 i K a J / 8 0 a 6 p b t L f P e B h m n n W 4 c p F N J t w L c m / D b q a R b t e 7 O 4 S 1 V 0 q 1 a v 9 d c O p V 0 M / l 6 8 7 g R 8 H v N o l M + t 2 r 9 X h P p 9 M 6 t W r / f R J r G e 1 2 V 8 3 6 x 2 / 5 N s Z v r I N Q 6 t 4 v d H P g h r W P A b x q s Z d r b N L Y 8 e 5 v G l m V v 0 9 h y r G m 8 + + A h L S / c S g P d / h X L v r d B y S k h b X 0 b J X Q r w L 3 5 v 5 0 S u l X r 9 5 p P p 4 R u 1 f q 9 Z t Q p o Z v J 1 5 v K 2 y m h 2 7 R 2 S u h W r d 9 r I p 0 S u l X r 9 5 t I 0 / i e V U J f p D s 7 u + 8 b u N 2 j d 3 Z u 0 k O 2 D 6 e H 9 L 3 3 A j + k h w z 4 h 3 v 7 u w f 7 n 3 5 6 M N 5 7 c B u V Z N / b v 3 / / P u W q 9 s Y 7 + 7 f R T u a 9 P X p t / + G D T 8 e b 3 r J M b d 6 i p c 2 9 n U 8 / 3 d m 8 u G m 5 2 7 w G p b y 3 f 3 9 n d 3 e 8 / + l t 1 J Z 9 c f f T 3 X s P d h 7 s 7 4 z 3 b 6 W 8 3 g 9 R p 8 b M e 5 / u 7 H 9 6 j 5 b 5 o F m G X + s x 4 P b e 7 r 1 P 7 3 9 6 c G / 8 Y G N / P a 6 6 5 X s 9 d r n l e z 1 2 u Z 3 G e 8 9 e e m x y O 9 3 3 f j T v 8 c b + z s G D / b 0 H u 5 s Z 3 2 l E O 1 e 3 e 9 E p x 9 u M y i n H 9 0 P P q c l b 9 d L j g 9 v 1 Y p H b 7 y j M 2 0 e K U G a 7 N + l K C z 7 U l b v v C X 5 I V x r w u w f 3 7 z / c f 3 D / 0 9 3 x w S b G t N z / v i 9 a Q T A v 3 s q X u 0 1 j y / y m 8 d 6 9 T / f 2 S P H f + 3 T 8 Q H 3 b z a r x f V + 0 / H 8 b 9 J x C 1 N Z o d Z M S v B X g H o / c z q + 7 V e v e P N 9 O y 9 2 q 9 X v N r t N t N 5 O v N 6 G 3 8 + t u 0 9 q p r l u 1 f q + J d A r r V q 3 f b y J N 4 / s d N X U q W i o 9 + f b p T 3 x 1 O 2 W y d 5 O u s n 2 E u k q 9 j F u D H 9 J V B v z e 3 n 1 S O v c P H u 6 O P 3 1 4 G 1 3 l X t y / t 7 N 3 s P v p / f H 9 T a 6 P Z W f z 4 j a 9 u H d / 9 2 B n f O / g N m r L v n f v 4 c H 9 v Y c 7 n 4 7 v b 9 I n l s X N e / d 2 7 z 3 c P X j w Y O / + e O / T 2 2 g w 9 + K D h 7 S 0 8 e k 9 0 s Z q I j Z r s P f E 1 C k z f f E 2 y s z 0 s X v / / h 6 N 6 d M b H M g e O 2 3 f 8 s U e o 9 x O w 7 0 n e j 3 m u J 2 u e 8 9 e u i x x G 6 3 3 v n P Z Y 4 L b v e d U 4 X u + 1 2 O I 2 y n F 9 + z l / b j A N P 5 0 Q D 2 + e X U 7 5 X X v J t 1 o O w h 1 o / r n t w Y / p B s N + P 3 9 3 b 3 7 n z 6 8 N 7 6 / f x v N + H 6 v W d Y 3 r 9 3 K h + s 3 3 q A B T e P 7 u / v 3 H x w g 2 N y k 4 S 3 r v 9 9 r l v F v g 5 p T e d r 6 N i r v V o B 7 v H E 7 / + 1 W r X s z f D v / 7 V a t 3 2 t m n S a 7 m X y 9 6 b y d / 3 a b 1 k 5 p 3 a r 1 e 0 2 k U 1 W 3 a v 1 + E 2 k a P + g o q L O f P E 5 / n / T k y y / O X p 9 9 e T s l s n + T j r J 9 h D p K V c K t w Q / p K A N + d + f g 3 v 7 G J J n l 3 t u / Y l n Y v H I r 3 X S b x p a B T W M y R P c + p S z f p t y K Z e X 3 e c l y 9 G 3 Q c n p J W 9 9 G L 9 0 K c I 8 f b q e X b t W 6 N 7 O 3 0 0 u 3 a v 1 e s + r 0 0 s 3 k 6 0 3 m 7 f T S b V o 7 v X S r 1 u 8 1 k U 4 v 3 a r 1 + 0 2 k a X z Q 1 U v v s 2 o J t X H / J q 1 k e w i 1 k j q B t w Y / p J U M + N 0 9 S m U 9 H G + S T 8 u 8 7 / G O Z W H z z q 3 0 0 m 0 a W w Y 2 j W n 9 4 e G D W z p M 7 / G O 5 e f b I O W 0 k r a + j V a 6 F e A e P 9 x O K 9 2 q d W 9 i N 7 Z + r y l 1 W u l W r b u T e h u t d C v A 7 z W L T i v d q v V 7 T a T T S r d q / X 4 T a R o / D L T S 3 t d Y x Q Q J N u s l 2 0 e g l / Y U v 1 u D H 9 J L B v z D B / s U 0 D y 8 d 2 + 8 s y l j Y F n Y v X f v 4 P 7 B P q 0 0 b V w E s s x s 3 t u l G P v h p / t j E H z w L c v U 5 q 2 9 g 4 P 7 u / c 3 L 5 l Y 3 j Y v 3 b u 3 9 + B T z l i N 7 2 1 6 0 X K 6 / + L B w 0 / 3 7 u 2 M P / 3 0 N q r r f d B 0 K s y 8 d Z / W k P d 3 x / c 2 d e W 0 m S U k z f L + / s P x w 4 2 d 9 d h p + 3 b v 9 f j k d g r u / Z D r M c f t N N 3 7 d d J j i 1 u R u 8 c T 2 8 Q S 9 y i v d m 9 T Z t e p Q c s R t 3 j L q c P 3 e q v H E b d T i + / V x / u x g T a m e e n o x / d a t M T A N q p G D 3 6 o G 3 f f E / 6 A b n T w d x / u P 7 y 3 e 3 C w + 2 B 8 f 5 O + M v z f e X M f i n W z 7 j E i 4 N 4 k R t t 7 c H / 8 Y B N 7 G l F w b 2 2 a F y M B r v W 9 B 7 Q W e b C 3 Q 3 p 4 f 5 P W N 1 I Q v n n / 0 7 3 7 9 + 5 v F j s j C L f D 0 O p E j w y 7 u w / v 7 x 2 M 7 2 + y L l Y r v h / 5 r F Z 0 r 9 3 m r T 5 / 3 O a t P m 9 s p E S f I W 7 T y f s x h N W J 7 0 v u P j / c 6 r U + M 9 y q O 6 s X b z c q q x D f D z u r G W / Z S 0 R L 3 K I X h 9 t u R z e + 5 1 I A + r 9 B O 9 o e Q u 2 o 6 N 0 a / q B 2 N P D 3 D h 7 s f / r p Q + L P 8 Y P b + I 7 d N / f 3 9 s j B U q V 9 g 3 Y 0 b 2 7 f u 3 f / w f h g k z J 2 s m B f I n u / c z v n 0 b 1 0 7 / 4 B T S w t W 9 w b b x I 9 J x L + i 3 s 7 O + Q g j z + 9 n Y p 8 D z w 9 T a l v o d m N 2 t H 0 c H / n / t 5 4 d 9 N 4 P N 1 o 0 b r F W 3 3 u 2 K i A + i x x i z 7 6 3 L C x j z 4 f 3 K K P H h 9 s I G 9 / 6 m 8 z g f 1 p v / k l T x O + x 0 v 9 6 d + o 2 P o T f 4 s + 3 n P e b e u 9 j h Z 8 / / W G v f 0 b F a H t J F S E O q B b w x 9 U h A p / m E U c m 9 / Y 1 D H 3 j U 0 d Y 5 s B b q K 5 4 2 j T m t Y w d w 4 + H W / S o Y 6 1 3 + M l x 9 m 3 w c v T Z D e O 2 N N k t w L d Z 4 G N z X s z e l v l d a v m v Z m 9 r d q 6 V f P e 9 N 5 K Y d 0 K 9 P v N p 6 e j b t X 8 / a b U 0 0 4 3 N g / 1 0 m 2 a O 1 z u d f X S e 6 4 3 7 N 2 0 3 u B 1 E W q l 2 y 0 4 O P i D W s n A v 7 f z Y G d s l N 0 N 6 u n 2 7 z h u N u 9 s I q x j 5 t u 0 d r x s W n / 6 A M s H m 1 x E x 9 O 3 f 8 c x 9 m 2 w 8 h S V N r + V o r o V 6 D 5 X 3 F J R 3 a p 5 f 3 5 v q a h u 1 f z 9 5 t Z T V D d T s T + p t 1 R U t 2 n u K a p b N X + / K f U U 1 a 2 a v + e U 2 t b 7 g a K 6 9 z W W I O 7 t 3 K i q b C e B q r q n G N 4 a / q C q M v C x T P j p g / u 7 B / s P N i 8 M O I 5 2 r x 5 Q K P n g w a c P D 8 Y 7 m 1 5 1 3 G 1 e f b D z 6 c P 9 n Q P K 7 W 1 S F o 7 N z X v 3 K H G 2 + / D h v Q e b g 1 f H 8 B b X B / f 2 H t I o K a M 4 h j w M v u r 4 3 7 2 6 s 3 9 v d + / + H q X s 7 m 9 6 1 c n C e 6 L r q T n 7 J k X o D 3 Z 2 9 8 c 7 G 1 / s M + X 2 3 v 5 D C p 0 P 7 u + M N 7 7 Z 5 7 R b v h h h o d u 9 2 G e g W 6 r E 9 + y n z z W 3 V I 7 v S f s I p x x 8 e u / h 3 s O 9 z W k L T 2 e 6 S b v V m 5 7 6 v M 3 Q P P X 5 f h h 6 i v R W / U R Y 4 l b 9 O P z u d 1 T q e 6 1 a 3 N u 9 U Z t a + K E 2 1 f m 9 N f x B b W r g 3 9 + 7 9 4 B C 9 / 3 9 v f t j W J X B o T t h e O 9 X n W C Y V 2 / n B t 6 m t R M G i 9 b + g 9 2 H u / t 7 + 5 R q 3 N + E l h M H 7 9 V 9 W g G + + V U n E L f B 0 d O W p v n e w 4 c 7 e G 6 n K m / V S Z 9 3 N j b v s 8 L G 5 v 3 p v 6 U u v F X z 9 5 t z T w O + D z 3 7 8 7 1 9 m 9 f 6 c 3 2 L t z z F 9 z 5 v v d + U e 1 r v f T p 5 z 5 m 3 r T / t q D y z G H H y 7 d O f + O p 2 e m n v R r 1 n O w n 1 3 t 5 7 w h / U e w b + p / T K w f 1 7 u 7 Q 0 q b B v 0 H r m x f t 7 O / s P 9 / c f 7 o 4 / / f R W O s + 8 u P 3 p p z u 0 S H D v / n j v 4 a 3 U n 3 1 x 9 / 6 n B z u 0 r v d w f P / + r V S h e X N 3 5 8 H u 7 g 4 t 3 d / f 7 A c 6 y b B v 7 n 6 6 f 3 B / / 9 O D 3 f H e p m E 6 4 X h f b D 2 l 6 C h 0 b + f + p / s 7 9 8 Y H m / r 0 F K N 5 8 + H O g 4 c 7 B 3 v 7 m 5 H 1 V K T t 8 p Z v 9 h n o l t r y P T H s s 8 0 t 9 e Z 7 9 t P n l d s S v 8 8 r 2 x Q u 7 H 9 6 7 / 7 9 8 a e b G N t T p B b Z W 7 3 o 6 d L 3 f L H P K L d U p + / Z z 3 t y h 2 3 9 Y E C j 3 n J 5 9 9 6 9 G 9 W p 7 S F U p + r b 3 B r + o D o 1 8 O / v 3 X / w 6 c G 9 H X I G x 5 / e b n 0 3 e J X 0 x c 6 n O + P d T W R 2 s m F f v X / / 3 g G 5 a g e 3 0 q f m r d u 5 k 6 b 1 / g F 1 Q c P 6 d G d / s 5 f r B O O 9 X 3 W S c R s c P c 2 p z d H s R l 3 5 P k T z N K V 5 b f t W 7 / U 5 4 5 Z 6 8 r 2 w 6 3 P C L b X k e / X S 4 4 U N Z O 5 P / i 1 9 y t s 0 9 x T g r Z r 3 5 / y W a u 9 W z d 9 z i m 3 r g 4 6 y e / 9 V 3 H v 7 N + o 7 2 0 m o 7 / b f E / 6 g v j P w S d P t 7 W z 2 A B 1 v v 8 d L j r P N S 5 u I 6 x j 7 N q 0 d P 5 v W e w f 3 7 j / c e 0 B p w r 3 b u Y f v + a J j 8 9 v g 5 + k 1 b X 4 r v X Y r 0 H 0 O 2 d i 8 P + G 3 V G O 3 a v 5 + k + y p r 1 s 1 7 0 3 z r d T W r U C / 3 3 x 6 a u t W z d 9 v S j 2 1 d a v m 7 z m l t v X D r t p 6 z 0 X e e / d v V F q 2 i 1 B p a f R 0 a / i D S s v A p 9 C V U l v 7 B + M H t w t 5 3 + 8 9 x 9 X m v U 0 E d k x 9 m 9 a O p 0 3 r T 3 f 2 9 i h 2 3 7 + V 2 t r w 0 r D K u g 1 e n s r S 5 r d S W b c C 3 e e P W 6 q s W z X v z / I t V d a t m r / f 7 H o q 6 2 Y q 9 m f 1 l i r r N s 0 9 l X W r 5 u 8 3 p Z 7 K u l X z 9 5 x S 0 x p M 6 a m s / a + x 3 L u / c 5 P S c p 0 E S m t f M b w 1 / C G l Z e H f + / T B w b 0 H O w / u P b g 3 v t X 6 R P D m / n 1 e L R 4 b D 3 C z 5 r K v U g K L M l 8 7 m 9 S d Z X H 7 0 s O 9 g 4 M H 9 8 f I A Q y + Z T n d v r X / A K s o F D s f 7 I z B 3 I O v W s b 3 X q U V 6 U 8 f P L y / s z f e 2 0 Q b K w T v h a t T b o 6 k u 7 v 3 H j 5 8 + G A M Z T b 8 Y p 8 V t w 8 o n f i Q w u B N 8 + B U n p u I 2 7 z W Z 5 p b v d b n m N u p w P f r p c 8 n t 1 O F 7 0 v z P n t s 3 9 v Z g 8 D t j X f U l b h B R b o u b / W i U 5 b v + 2 K f P z b R x K n N 9 + 2 n z x g b a W 9 b 7 3 Y U 6 H s t 7 u 7 v 3 q g 7 L f x Q d + r 8 3 h r + o O 4 0 8 C m v d r B 3 / 4 C W H S i r u 4 l S T h T e + 1 U n F u b V T T R 2 0 n C b 1 k 4 Y T G u S g 4 N P D z 7 d h 7 Y 8 e H g r b f n e r z p 5 u A 2 O n p b U 5 m h 2 o 2 K 8 F e g + x 2 x s 3 m e A j c 3 7 k 3 5 L / X e r 5 u 8 3 0 5 7 e u 5 m K / b n d C P r 9 5 t P T a r d q / n 5 T 6 u m y W z V / z y m 1 r f c 6 G u w 9 V x b 2 b 1 x Z c D 2 E O u x 2 K w s O / q A O M / A / f U A R + 9 7 e w a d 7 n 4 4 3 S a 3 j 5 v d 9 0 z G 2 e f N 2 G u w 2 r R 1 b m 9 Y P 7 + / v 3 r t 3 n 9 w + 8 h x u l X X z X r 1 3 c G / / F q 8 6 j r 8 N j p 4 G M 8 2 3 9 x 4 + 3 M G z 6 b U + t 9 1 S m d 2 q e Z 8 T b q n M b t X 8 / e b c U 2 a 3 a t 6 f 9 V s R t D / j t 3 m r P 9 m 3 6 c x T c 7 c Z k q f m 3 g M 3 T 9 v d q p P + n N + i E 4 f Z v Y 7 S e 9 9 U 3 f 6 N q T r X R a j 1 b p e q c / A H t Z 6 B v / t w 5 / 7 9 g 4 d j U H B w 5 I 7 n 3 + s 1 x / v m t d v p u 9 u 0 d p x v W n / 6 6 f 3 d e z v j B 7 d T d e / z l m P 8 2 2 D m a T l t j m Y 3 q r Z b g e 7 z x y 1 V 2 6 2 a 9 6 f 5 l q r t V s 3 f b 3 4 9 1 X Y z F f v T e k t F d p v m n g K 7 V f P 3 m 1 J P c 9 2 q + X t O q W 2 9 H 6 i s T 7 9 G q u 7 T n R u V l u 0 k U F q f K o a 3 h j + o t A z 8 v Y c H m 3 N m j p P N K 5 u o 5 B j Z t N 7 d / 5 S 0 2 8 M x 8 q G D r z m G 9 l / 7 d G d 3 s 8 / k G N u + 9 o B i 3 4 c H t 9 J b t x m P 4 + / 3 Q s x T X N 5 7 9 y h / t 5 k O n h K 7 9 Q R 5 m s y 8 s 3 3 z S 3 1 O u K U + u z 1 e f V 6 4 p V K 7 f R c R B r g V m f t M c D P j e L r O 0 v n m t z y V d x s q e C r v 9 p h 5 i u 9 W f f T n / u Y + H F 7 3 O + r v v R J t n + 7 e q P k s / F D z 7 b 4 n / E H N Z + B v I p F j 9 9 u 0 d o x + m 9 a O z 2 / T 2 n G 4 a b 1 3 8 G B 3 v P f p r V T c 7 d 9 x z H 0 b r D z 9 p s 3 R 7 E a d d i v Q f U 7 Y 2 P z 9 J t Z T Z L d q / n 5 T 6 + m w W z X v T e 4 G K v Y n d S P o 9 5 t P T 0 v d q v n 7 T a m n n 2 7 V / K Y p H d J M n 3 Y 1 0 0 8 e p 7 9 P e v L l F 2 e v z 7 6 8 n f r Y v 1 E 9 2 U 5 C 9 b T / n v A H 1 Z O B / + n D 8 S Z 5 d X x 8 y x c c J 5 s X b q e k t P U w Z z o m v r G p 4 + E b m z r + v b G p p 4 x u b t v n l l s q o 1 s 1 7 0 / j L Z X R r Z q / 3 x R 6 y u h W z d 9 j H j 1 l d H P b 9 5 h J T w 3 d 3 L Y 3 k x v a 9 q Z x Q 9 v e H G 4 Y m 2 3 6 o K t 6 3 j O N 9 a l N M w 0 q H t t F q H j u v y f 8 Q c V j 4 N 9 / + O n m 5 X H H t b d + x X G u e e V 2 y u c 2 r R 3 f m t a f P r w / h u Q O v u L Y 9 9 a v O C 6 + D U 6 e S t L m t 1 J J t w L d 5 4 h b q q R b N e 9 P 7 i 1 V 0 q 2 a v 9 / M e i r p Z i r 2 5 / S W / t F t m n u K 6 V b N 3 2 9 K P f V 0 q + b v O a W 2 9 U G g p B 5 8 j c T V g 5 0 b 1 Z T t J F B T D x T D W 8 M f V F M G / t 7 e 7 v j g V l r K v L G J S I 6 P T e v d n Y c 7 D / f 3 x j u q Y G / Q V P 5 r D / Z 2 x n u b X n N 8 b V / 7 9 M G 9 8 a e b c h a O v 8 0 7 9 + 6 P H 9 y 7 l c p 6 L + Q 8 3 e X e O 3 h I y 7 L j v V v m r m 4 7 R 5 4 u M 6 9 s 3 / h O n x U 2 c n + f D 2 7 s o c 8 M G 3 v o M 8 G N P U Q Y 4 F Y k 7 j P B 7 q f 3 H o w f f n o 7 V W e J f P N b n s a 7 D R E 8 j X d 7 z D y 9 d 6 s + + j N / c x 8 O r 4 c d 7 f d e e a s H N + e t L P x Q 8 d 0 u b + X g D y o + h T 9 s A h 2 n 3 9 j U c f i N T R 1 3 m w F u m i P H 2 K Y 1 L W + S w t m / l W a 7 / T u O p 2 + D l a f S b h y v p 8 Z u B b r P A B u b 9 + b z t t r r V s 1 7 8 3 p b z X W r 5 r 3 J 3 U D F / q R u B P 1 + 8 + k p p 1 s 1 f 7 8 p 9 d T S r Z q / 5 5 S a 1 h h E q J D e O 1 3 1 Y P 8 m r e Q 6 C b W S y t a t 4 Q 9 p J Q v / 3 v 7 t v L H b v m A 5 2 b 6 w i a i W k U 3 r Y c 6 0 T H x z U 8 v D N z e 1 / H t z U 6 e M b t G 2 z y 2 3 U 0 a 3 a 9 6 f x t s p o 9 s 1 f 7 8 p d M r o d s 3 f Y x 6 d M r p F 2 / e Y S a e G b t G 2 N 5 M b 2 v a m c U P b 3 h x u G J t t u t t V P e + Z r n p w Y 7 r K d R E q n t u l q x z 8 Q c V j 4 O / v 3 7 t d o v z W b z i + N W / c T v X c p r X j W t N 6 d / / g 0 / H 9 3 d v 4 R + / x j u P i 2 2 D l q S R t f i u V d C v Q f Y 6 4 p U q 6 V f P + 7 N 5 S J d 2 q + f v N r a e S b q Z i f 1 I 3 g n 6 / + f Q U 0 6 2 a v 9 + U e u r p V s 3 f c 0 p t 6 7 1 A S R 1 8 j X T V w c 6 N a s p 2 E q i p A 8 X w 1 v A H 1 Z S B v 7 s / N q H g D W r K v L G J S I 6 P H f z 9 + w / v j 8 1 y w A 2 q y n / r Y G f 8 c P 9 W K s u 9 d W 9 3 v L 9 J h T r u v s 1 o H H O / D 1 6 e 0 v I R 2 3 8 4 3 j / Y 9 F q f w W 6 a G 0 + H m V e 2 b 3 y n z w K 3 V G S 3 x q r P B L d U Z r f u I T 7 1 N 1 K 4 P / s 3 c 4 y n 4 T w a x 9 + K K r r b 0 M B T d L f H z F N 3 t + o j J v s 3 j t 6 + c 6 + j 9 N 4 r S 3 W w e 6 O + s / B D f a d s c G v 4 g / p O 4 Q 9 b P s f o N z Z 1 D H 5 j U 8 f c Z o C b 5 s j x t W m 9 d 3 D v 3 t h E x T e o t N u / 4 3 j 6 N l h 5 C u 3 G 8 X p a 7 F a g + w y w s X l v P m + r v G 7 V v D e v t 1 V c t 2 r e m 9 w N V O x P 6 k b Q 7 z e f n n K 6 V f P 3 m 1 J P L d 2 q + X t O q W 2 9 3 1 N I 7 x c q H t w c K t o u Q p 1 0 u 1 D R w R / U S Q b + H h m u v Q 2 D d m x 8 2 z c c J 5 s 3 N h H V M f J t W j s + 9 r A B x w 6 + 4 b j 5 t m 8 4 h r 4 N R p 6 C 0 u a 3 U l C 3 A t 3 n h l s q q F s 1 7 8 / s L R X U r Z q / 3 7 x 6 C u p m K v a n 9 J Y K 6 j b N P Q V 1 q + b v N 6 W e g r p V 8 / e c U t v 6 f q C g H n 6 N M P H h z o 0 q y n Y S q K i H i u G t 4 Q + q K A O f F o B v p 6 H M C 5 t o 5 N j Y g t 9 9 s P v p G O I w + J J j Z v + l e + O H m / B y L G 1 e 2 t 3 f f T j e 2 R S N O t a + z V g c Z 7 8 H W p 7 C s m / t 7 D 2 k l Y c H m 9 7 q 8 9 Y N 0 + J p L / P G 9 k 2 v 9 O f + l h r s t j j 1 Z / + W S u y 2 H f Q n / T b E 7 U / 7 z a z i 6 T V L 3 5 v f 8 t T b b S j g q b f b Y + Y p u V v 1 0 Z / 1 m / t w e H 3 a U X X v F R w + v D k 4 t P B D L X e 7 4 N D B H 9 R y C n / Y 3 j k u v 7 G p Y + 8 b m z r W N g P c N E e O r U 3 r 3 Y c 7 O 2 N Y p c F 3 H F P f / h 3 H 0 7 f B y l N l N 4 7 X U 2 C 3 A t 1 n g F v 6 X r d q 3 p v T 2 / p e t 2 r + f n P r 6 a y b q d i f 1 F v 6 X r d p 7 i m n W z V / v y n 1 1 N K t m r / n l N r W D 3 o K 6 f 2 C w 4 f 3 b 9 R J t o t Q J 6 n C v D X 8 Q Z 1 k 4 O + P 9 z d J q + P i W 7 7 g + N i 8 s I m k j o 1 v 0 9 p x s W n 9 8 N 7 B b T X U r V 9 x D H 0 b n D w F p c 1 v p a B u B b r P D b d U U L d q 3 p / a W y q o W z V / v 5 n 1 F N T N V O z P 6 S 0 V 1 G 2 a e w r q V s 3 f b 0 o 9 B X W r 5 u 8 5 p b b 1 g a + g d n f e P z j c 3 d m 5 U U X Z T n w V x S + + F / x B F W X g 7 4 / v H d x K R Z k X N t H I s b E F f 2 / / I a 0 g f n o r N e W / t D v e 2 4 S X Y 2 n z 0 t 6 9 + 7 T 0 t C m 4 c K x t 3 n l I y f Z N X r L j 7 v d A z V N a 9 q 2 9 n Q c 7 4 5 1 N V P D U 1 y 2 n x t N g 5 o 3 t m 1 7 p z / 9 G l u / P / k 0 d 9 D l g Y w e R u b + h g / 7 E 3 4 a 4 / a n f 3 d / b v S E W 7 c / + 9 s 1 v e S r u N h T w V N z t M f M U 3 a 3 6 6 M / 6 z X 0 4 v B 5 2 1 N 3 7 B I i 7 O z c H i B Z + q O l u F S B 6 8 A c 1 n c I f t n m O y 2 9 s 6 t j 7 x q a O t c 0 A N 8 2 R Y 2 v T + u a V Q M f U t 3 / H 8 f R t s P J U 2 Y 3 j 9 R T Y r U D 3 G W B j 8 9 5 8 3 l Z z 3 a r 5 / c f v 1 f z 9 5 t b T W T d T s T + p G 0 G / 3 3 x 6 y u l W z d 9 v S j 2 1 d K v m 7 z m l p v W 9 n Z 5 C e q 8 A c X f H B n B D O s l 1 E e q k W w W I H v w h n W T h H 4 w f f L p h z J a L b / u C 1 U / 2 h U 0 k t W x 8 q 9 a W i 2 3 r 3 Z 3 x 7 i Z s L C / f + g 3 L z r f C y K k n 0 / w 2 6 u l 2 o P u 8 c D v 1 d L v m / Y n d 2 P z 9 p t W p p 9 s 1 7 0 3 s b d T T 7 U C / 3 3 w 6 9 X S 7 5 u 8 3 p U 4 9 3 a 7 5 e 0 6 p b b 0 b q K f d r x E e g q 9 v U F C 2 k 0 B B 7 S q G t 4 Y / q K A M / E 1 D d k x 8 m 9 a O h 2 / T 2 r H w b V o 7 D r 5 N a 8 f D t v X 4 0 0 2 + s O P i 2 4 D 3 t N I t 4 X u 6 6 V Y d 9 N l g Y / P 3 m 1 V P N 9 2 q + f v N q 6 e b b t U 8 M r M 3 0 L I / u 9 s 3 v R K Z 3 8 1 v e I r q t m + 8 3 x R 7 u u q 2 H b z n L N v W e x 1 1 d S r R X f r m 1 e 1 0 y b 0 b d Z X t I d R V 9 9 4 T / q C u U v j D V s t x 9 I 1 N H T f f 2 N R x s h n g 7 V S U a b 1 7 y + T 6 b V 9 w X H w b f D w t d e N I P f 1 0 K 9 D 9 q b + l f r p V 8 9 5 s 3 l Y / 3 a r 5 + 8 2 q p 5 9 u p m J / R j e C f r / 5 9 F T S r Z q / 3 5 R 6 + u h W z d 9 z S m 3 r e 4 E y 2 v s a v h P o c I M + s p 0 E + m h P M b w 1 / E F 9 Z O B v G r J j 4 t u 0 d j x 8 m 9 a O h W / T 2 n G w a U 3 L B w d j 1 c 4 3 q C b z y s M H 9 + 4 9 f L A 5 N n X 8 f B u 0 P P 3 k O t m 7 d / B w v L + p E 0 9 V 3 a q X P l f c U l X d q v n 7 z b K n q m 7 V / P 3 m 2 V N V 7 0 X Q / m R v 3 + q 9 / n T f 5 j V P j b 3 X a + 8 3 7 Z 4 6 e 6 9 e 3 n P 6 b e v 9 j l p 7 r x Q 6 x n a D R r P w Q 4 2 2 + 5 7 w B z W a w h + 2 b Y 7 R b 2 z q m P z G p o 7 B z Q B v p 8 h M 6 9 2 H O 7 u b Z 9 Q x 9 + 3 f c Y x 9 G 6 w 8 P X b j e D 3 l d S v Q f Q a 4 p f K 6 V f P e n N 5 W e d 2 q + f v N r a e 8 b q Z i f 1 I 3 g n 6 / + f Q U 1 K 2 a v 9 + U e o r p V s 3 f c 0 p t 6 / s d h f S e Q R / 6 v U E l 2 R 5 C l a R u x a 3 h D 6 o k h X 8 b l X R j U 8 e 6 N z Z 1 b G s G e D u V Z F r v H u z s H u z t j R 8 e 3 E o r v d d r j p F v g 5 u n m G 4 c t a e Y b g W 6 z w a 3 V E y 3 a t 6 b 2 d s q p l s 1 f 7 8 Z 9 h T T z V T s z + s t F d N t m n u K 6 V b N 3 2 9 K P c V 0 q + b v O a W 2 9 a c d x f S + a 3 t 7 9 2 / U T L a L U D P d f 0 / 4 g 5 r J w N 8 0 Y M f C t 2 n t O P g 2 r R 0 D 3 6 a 1 4 1 / T e n f 3 / h g y N v i K Y + N b v + J Y + T Y 4 e a p J m 9 9 K N d 0 K d J 8 P p P m N q u l W z d 9 v X j 3 V d K v m 7 z e z n m q 6 m Y r 9 O b 2 l a r p N c 0 8 1 3 a r 5 + 0 2 p p 5 p u 1 f w 9 p 9 S 2 f h C o p n t f I z e F h c Q b l J P t J F B O 9 x T D W 8 M f V E 4 G / u 2 U 0 2 1 a O x 6 + T W v H w r d p 7 T j 4 N q 0 d D 9 v W 4 7 1 P b 6 W V b g P e 0 0 q 3 h O / p p l t 1 0 G e D W + q m W z V / v 2 n 1 d N O t m r / f x H q 6 6 b a 0 7 M / u 9 k 2 v R O Z 3 8 x u e o r r t G + 8 3 x Z 6 u u m 0 H 7 z n L t v V B R 1 2 9 Z 4 i H D N c N u s r 2 E O q q 2 4 V 4 D v 6 g r l L 4 w 1 b L c f S N T R 0 3 3 9 j U c b I Z 4 O 1 U l G 0 9 v r 9 3 K y 1 1 y x c c F 9 8 G H 0 9 L 3 T h S T z / d C n R / 6 m + p n 2 7 V v D e b t 9 V P t 2 r + f r P q 6 a e b q R i Z 0 d t p p d s 0 9 1 T S r Z q / 3 5 R 6 + u h W z d 9 z S m 3 r h 1 Y Z n a S 7 + 1 / D d d r f u V E d 2 T 4 C d b S v C N 4 a / q A 6 M v D v 7 Y y N j r t B K 5 k 3 9 s b Q 3 Y M v O E 6 2 L z z Y f 3 j v 3 l h D 0 h u 0 l P / S z v 3 x / f 1 b a S v z 1 u 7 + / v 7 4 w e 6 t F J Z 5 Z 9 O c O + 5 + H 7 w 8 r e V e u 7 f / 6 c 7 4 Y B O p P Q X m X h s / / P R 2 S s y 8 s n 3 j O 3 0 m u K U m u z V W f R 6 4 p T a 7 d Q / 9 q b 8 V h f u z f z P H e C r O 0 v j m t z x N d x s a e J r u 9 p h 5 + u 5 W f f Q n / u Y + L F 7 Q K a r 1 4 I L t v 9 + y 3 / 7 u T R r P w Q 8 1 n i J 3 a / h D G s / A H z Z 9 l t F v b m o Z / O a m l r n t A D f N k e V r 2 3 r v g H T n g 0 3 q x j L 1 e 7 x j e f p W W D m F d v N 4 n R a 7 H e g + A 2 x s 3 p v P W y q v 2 z X v z e s t F d f t m v c m d w M V + 5 O 6 E f T 7 z a d T T r d r / n 5 T 6 t T S 7 Z q / 5 5 T a 1 r s 9 h f R + 2 f X 9 G 7 P r r o t Q J 9 0 u u + 7 g D + o k A / / + w X j v 4 Y Z B O z a + 7 R u O k 8 0 b m 4 j q G P k 2 r R 0 f m 9 a f 3 h / v H N x K R d 3 2 D c f Q t 8 H I U 1 D a / F Y K 6 l a g + 9 x w S w V 1 q + b 9 m b 2 l g r p V 8 / e b V 0 9 B 3 U z F / p T e U k H d p r m n o G 7 V / P 2 m 1 F N Q t 2 r + n l N q W + 8 F C u r T r x E o f r p z o 4 q y n Q Q q 6 l P F 8 N b w B 1 W U g b 9 p y I 6 J b 9 P a 8 f B t W j s W v k 1 r x 8 G m 9 f 2 D g 5 3 x p 7 f K Y X X e 2 a R e H T v f B i t P P d n m 4 5 1 N U b S n p G 7 V Q Z 8 f b q m k b t X 8 / e b X U 1 K 3 a v 5 + M + w p q d v S s j / B 2 z e 9 E p n f z W 9 4 G u u 2 b 7 z f F H t K 6 7 Y d v O c s 2 9 b 3 O n r r v S K 9 T 3 d v V F k W f q i y d t 8 T / q D K U v j D x s v x 8 4 1 N H S / f 2 N T x s R n g 7 T S V a b 2 7 + + D T 3 T G E b f A l x 8 m b X x r Q V b f B y 9 N V N 4 7 Y 0 1 K 3 A t 1 n g V t q q V s 1 7 8 3 q b b X U r Z q / 3 + x 6 W u p m K v Z n d S P o 9 5 t P T z H d q v n 7 T a m n l W 7 V / D 2 n 1 L b e 7 6 i k 9 1 z / + / T e j U r J 9 h A q p X v v C X 9 Q K S n 8 2 y i l G 5 s 6 1 r 2 x q W N b M 8 D b K S X T m p Y 2 H + 6 O 9 z + 9 l V J 6 j 5 c c E 9 8 G L 0 8 p 3 T h i T y n d C n S f B W 6 p l G 7 V v D e r t 1 V K t 2 r + f r P r K a W b q d i f 1 V s q p d s 0 9 5 T S r Z q / 3 5 R 6 S u l W z d 9 z S m 3 r + x 2 l d P a T x + n v k 5 5 8 + c X Z 6 7 M v b 6 c 3 9 m / U S 7 a T U C / t v y f 8 Q b 2 k 8 G + j l 2 5 s 6 r j 3 x q a O c 8 0 A b 6 e X T O u b U 9 y O g W / / j u P i 2 2 D l a a U b x + t p p V u B 7 j P A L b X S r Z r 3 5 v S 2 W u l W z d 9 v b j 2 t d D M V + 5 N 6 S 6 1 0 m + a e V r p V 8 / e b U k 8 r 3 a r 5 e 0 6 p b f 1 p V y u 9 Z 1 r 8 0 / s 3 6 i T b R a i T 7 r 8 n / E G d Z O B v G r B j 4 d u 0 d h x 8 m 9 a O g W / T 2 v G v b T 3 W W P Y G x X S 7 9 o 6 J b 4 O N p 5 S 0 + a 2 U 0 q 1 A 9 z n g l k r p V s 3 f b 0 Y 9 p X S r 5 u 8 3 p 5 5 S u p m K k Q m 9 n V K 6 T X N P K d 2 q + f t N q a e U b t X 8 P a f U t n 4 Q K K U H X y M V / m D n R r V k O w n U 0 g P F 8 N b w B 9 W S g U / i u n c r z W R f u J V m M q 0 p N n 4 w 3 p T Y c 6 w c v H L / 4 F Z K y r y z d 2 9 / b / z p p n c c X 5 t 3 H t 7 f G T / Q k P g G X X V 7 1 D y N Z V 7 a v z 8 2 k f d N i u u W k + L p L v P G 9 k 2 v R G b + d v r r t j j 1 5 / 6 W K u y 2 H f R n / U b K 9 i d 9 F 8 H 8 Q z X u N 6 k 0 S 9 y b 3 / I 0 2 2 2 G 7 2 m 2 2 2 P m 6 b d b 9 d G f 8 p v 7 c H g d d L T c e y X O H 9 y c O L f w Q w V 3 u 8 S 5 g z + o 4 B T + s K l z L H 5 j U 8 f b N z Z 1 f G 0 G u G m O H E + b 1 v u f H t w f 7 9 1 O k 9 3 + H c f T t 8 H K U 2 I 3 j t f T X r c C 3 W e A j c 1 7 8 3 l b t X W r 5 r 1 5 v a 3 O u l X z 3 u R u o G J / U j e C f r / 5 9 J T T r Z q / 3 5 R 6 a u l W z d 9 z S m 3 r h 1 2 F 9 N 4 Z K q R L b t B K t p N Q K + 2 / J / x B r a T w b 6 O V b m z q u P f G p o 5 z z Q A 3 0 d w x r m m 9 + 3 D n 1 o n z 2 7 / j u P g 2 W H l a 6 c b x e l r p V q D 7 D H B L r X S r 5 r 0 5 v a 1 W u l X z 9 5 t b T y v d T M X + p N 5 S K 9 2 m u a e V b t X 8 / a b U 0 0 q 3 a v 6 e U 2 p a 3 9 / p a q X 3 z F A 9 u D F D 5 b o I d d L t M l Q O / p B O s v B 3 x n u q 5 z Z r p t u + Y P n Y v b C h t W X j b u v N K s p D Z u f g N v r p t i 9 Y Z r 4 V P k 4 5 m e a 3 U U 6 3 A 9 3 n h N s p p 9 s 1 j 0 z r r Z T T 7 Z q / 3 6 w 6 5 X Q L K k Z m 9 F b K 6 V b N n X K 6 X f P 3 m 1 K n n G 7 X / D 2 n 1 L b e D Z T T w d f I V B 3 s 3 K i e b C e B e j p Q D G 8 N f 1 A 9 G f g 7 4 / s P b 6 W e 7 A u 3 0 k 2 m 9 f 1 9 x M a b 9 J n j 5 e C d e 5 v i a c f Q 5 p 2 9 e 5 R 3 e r g p 0 + E Y 2 7 z z k N b 6 N v X i e P v 2 m H k a y 7 y 0 v / P g 3 v j h 7 X J V t 5 0 W T 3 u Z N 7 Z v e i U y 9 7 f T Y L f F q T / 7 t 1 R i t + 2 g P + 2 3 o G 1 / 3 n f 3 d x + M 9 z d m x f p T v 3 3 z W 5 5 2 u w 0 B P O 1 2 e 8 w 8 H X e r P v q T f n M f D q + 9 j q Z 7 r 2 z V w e 6 N S s 7 C D 5 X c 7 n v C H 1 R y C n / Y 3 D k m v 7 G p 4 + 4 b m z r O N g P c N E e O q 0 3 r e 7 t 7 9 8 Y m O r 5 B m d 3 + H c f T t 8 H K U 2 Q 3 j t f T X 7 c C 3 W e A j c 1 7 8 3 l b x X W r 5 r 1 5 v a 3 W u l X z 3 u R u o G J / U j e C f r / 5 9 J T T r Z q / 3 5 R 6 a u l W z d 9 z S m 3 r e z 2 F 9 H 5 x 4 c H N c a H t I t R J t 4 s L H f x B n W T g 7 4 4 x 4 Y N j d l x 8 y x c c H 5 s X N p H U s f F t W j s u d s h s s i C O k 2 / X 3 r H y b b D x V J M 2 v 5 V q u h X o P h / c U j X d q n l / U m + p m m 7 V / P 3 m 1 F N N N 1 O x P 6 G 3 V E 2 3 a e 6 p p l s 1 f 7 8 p 9 V T T r Z q / 5 5 T a 1 v u B a n r 4 N a L C h z s 3 K i f b S a C c H i q G t 4 Y / q J w M / E 1 D d k x 8 m 9 a O h 2 / T 2 r H w b V o 7 D r 5 N a 8 f D p v X u + P 6 D W 2 m l 2 4 D 3 t N I t 4 X u 6 6 V Y d 9 N n g l r r p V s 3 f b 1 o 9 3 X S r 5 u 8 3 s Z 5 u u i 0 t + 7 O 7 f d M r / f m 9 4 Q 1 P U d 3 2 j f e b Y k 9 X 3 b a D 9 5 x l 2 / p + R 1 2 d S m S X v n l 1 O 1 1 y 7 0 Z d Z X s I d d W 9 9 4 Q / q K s U / r D V c h x 9 Y 1 P H z T c 2 d Z x s B n g 7 F W V a 3 x t D 1 A Z f c H x 8 y x c c F 9 8 G H 0 9 L 3 T h S T z / d C n R / 6 m + p n 2 7 V v D e b t 9 V P t 2 r + f r P q 6 a e b q d i f 0 Y 2 g 3 2 8 + P Z V 0 q + b v N 6 W e P r p V 8 / e c U t v 6 U 1 8 Z 7 e 2 8 v + + 0 t 7 N z o z 6 y n f j 6 i F 9 8 L / i D + s j A 3 z R k x 8 S 3 a e 1 4 + D a t H Q v f p r X j 4 N u 0 d j x s W 4 9 3 N C S + Q S v d B r y n l W 4 J 3 9 N N t + q g z w a 3 1 E 2 3 a v 5 + 0 + r p p l s 1 f 7 + J 9 X T T b W n Z n 9 3 t m 1 6 J z O / m N z x F d d s 3 3 m + K P V 1 1 2 w 7 e c 5 Z t 6 w c d d f V + v h P 9 / 0 Z d Z X s I d d W t f C c P / q C u e v D 4 B q v l O F p R G W 7 q u P n G p o 6 T z Q B v p 6 J s 6 7 E u D d y g p G 7 X 3 v H w b b D x d N S N 4 / S 0 0 6 1 A 9 y f + l t r p V s 1 7 c 3 l b 7 X S r 5 u 8 3 p 5 5 2 u p m K k Q m 9 n U 6 6 T X N P I d 2 q + f t N q a e N b t X 8 P a f U t j 4 I V N H e 1 / C c Q I c b t J H t J N B G e 4 r h r e E P a i M D f 9 O Q H R P f p r X j 4 d u 0 d i x 8 m 9 a O g 2 / T 2 v G w a X 3 v 4 W 1 d p 9 v A 9 9 T S b T v w t N O t e u g z w s b m 7 z e v n n a 6 V f P 3 m 1 l P O 9 2 q e X 9 u b y R m f 4 K 3 b 3 y n P 8 U 3 v e J p q 1 u / 8 n 7 T 7 G m s W / f w n l N t W z / s a K 3 3 d K D Q 7 w 0 q y / Y Q q q z b O V A O / q D K U v j D x s u x 9 Y 1 N H U v f 2 N S x s x n g 7 T S V a f 3 g 4 J Y e 1 C 1 f c I x 8 G 3 w 8 X X X j S D 0 l d S v Q / a m / p Z K 6 V f P e b N 5 W S d 2 q + f v N q q e k b q Z i f 0 Y 3 g n 6 / + f S U 0 q 2 a v 9 + U e g r p V s 3 f c 0 p N 6 0 9 3 A m V 0 7 2 u 4 U P d 2 b t J H r p N A H 9 1 T D G 8 N f 0 g f W f j 3 9 s b 3 9 j c M 2 z K y f W M T k S w f O / i 7 D x 7 u 7 o 0 x l Y N v W X b 2 3 z p 4 8 H B 8 8 O A 2 y s q + t b u / T w b o 4 D b 6 6 l a j s c z 9 X n g 5 p e W 9 9 u n + v Z 3 x g 4 e b X u s z 2 E 1 z 4 3 S Y f W X 7 x n f 6 L L C R 6 / v z f 2 M P f S b Y 2 E N k 9 m / q o T / 1 t 6 J w f / Z v 5 h i n 4 R y N b 3 7 L K b p b 0 c A p u v f A z K m 7 2 / X R n / i b + 3 B 4 7 X a U 3 t k L c c F u p 4 9 2 b 9 R 3 F n 6 o 7 1 R t 3 B r + o L 5 T + M O W z z H 6 j U 0 d g 9 / Y 1 D G 3 G e C m O X J 8 b V r v H d y 7 N 3 6 w S R g c U 9 / + H c f T t 8 H K U 2 g 3 j t f T Y r c C 3 W e A j c 1 7 8 3 l b 5 X W r 5 r 1 5 v a 3 i u l X z 3 u R u o G J / U j e C f r / 5 9 J T T r Z q / 3 5 R 6 a u l W z d 9 z S m 3 r v Z 5 C e p N + f v z i + O l t d d L 9 G 3 W S 7 S L U S R r h 3 h r + o E 4 y 8 D / d H 3 + 6 S Q s 7 N r 7 t G 4 6 T z R u b i O o Y + T a t H R + b 1 g / u j z V O v k F D 3 f I F x 8 6 3 w c d T T 9 r 8 V u r p V q D 7 v H B L 9 X S r 5 v 1 5 v a V 6 u l X z 9 5 t V T z 3 d T M X + j N 5 S P d 2 m u a e e b t X 8 / a b U U 0 + 3 a v 6 e U 2 p b 3 w v U 0 / 7 X C B L 3 d 2 5 U U L a T Q E H t K 4 a 3 h j + o o A z 8 h + N P N 0 U 8 j o / N C 5 t o 5 N j Y g r + / c 4 8 0 w s N b q S j v p b 3 7 4 w d 7 t 9 J U 5 q U H 9 3 Y e 7 O 7 e 2 z 3 Y P C D H 3 9 6 L n + 4 9 3 C P H 6 v 4 m N B 2 n v w e a n g I z b + 3 u P d z f G X + 6 v + m t P q / d M E 2 e N j N v b N / 0 S p 8 X b q n R b o t T n x t u q d R u 2 0 G f C W 5 D 3 D 4 H H O z t H N y / d a x o C X y L 1 z y F d x s a e A r v P X D z 9 N 6 t O u l N / G 0 6 c Z j t d 9 T f e 4 W L + 7 s 3 a j 4 L P 9 R 8 u + 8 J f 1 D z G f i b a O S Y / T a t H a P f p r X j 8 9 u 0 d j x u W u / u 7 N 9 7 e O / e v U 8 f j u 9 / e i t N 9 7 5 v O l 6 / D Y a e j t P m a H a j Z r s V 6 D 5 X b G z + f p P s q b R b N X + / a f b 0 2 a 2 a 9 y Z 6 A x X 7 U 7 s R 9 P v N p 6 e z b t X 8 / a b U U 1 a 3 a v 6 e U 2 p b 3 + 9 o K b O s e P L t 0 5 / 4 6 n a q Z O 9 G V W U 7 C V W V e g S 3 h j + o q g z 8 2 6 m q 2 7 R 2 P H y b 1 o 6 F b 9 P a c b B t P T 5 Q t X 2 D h r r l C 4 6 R b 4 O P p 5 i 0 + a 0 U 0 6 1 A 9 3 n g l o r p V s 3 f b 0 4 9 x X S r 5 u 8 3 q 5 5 i u p m K k R m 9 n W K 6 T X N P M d 2 q + f t N q a e Y b t X 8 P a f U t v 5 0 Q D G 9 e X U 7 r X H v R q 1 k e w i 1 0 r 3 3 h D + o l R T + M B s 4 9 r 2 x q W P d G 5 s 6 t j U D v J 0 y M q 0 / 3 f v 0 / g 4 F i L v j e 0 q K G 5 R S + O L e / Q f j h 5 / e S j n d B j 9 P O Z n m 2 / f v j e 9 t D H j 6 X H R L J X W r 5 r 0 Z v q 2 S u l X z 3 k z f V k n d q n l / u m + m Z n + m b 3 y l P 8 c 3 d u N p r d u M x N N a t 8 X K 0 1 y 3 6 q E / z z e O 2 7 7 x o K O 9 z n 7 y O P 1 9 0 p M v v z h 7 f f b l 7 R T M / o 0 K z H Y S K r D 9 9 4 Q / q M A U / m 0 U 2 I 1 N H V v f 2 N S x t B n g 7 R S Y b X 1 b b + q W L z h m v g 0 + n s K 6 c a S e o r o V 6 P 7 U 3 1 J R 3 a p 5 b z Z v q 6 h u 1 f z 9 Z t V T V D d T M T K j t 1 N O t 2 n u 6 a V b N X + / K f V 0 0 q 2 a v + e U 2 t Y H X X 3 0 n k u F + / d v 1 E a 2 i 1 A b 3 X 9 P + I P a y M D f f T i + p y r u B q V 0 2 z c c J 5 s 3 N h H V M f J t W j s + N q 3 v f z r e / / R W + u m 2 b z i G v g 1 G n o L S 5 r d S U L c C 3 e e G W y q o W z X v z + z G 5 u 8 3 r Z 6 C u l X z 3 s T e S k H d C v T 7 z a e n o G 7 V / P 2 m 1 F N Q t 2 r + n l N q W z 8 M F N T 9 r 7 F Y e H / n R h V l O w l U 1 H 3 F 8 N b w B 1 W U g b 8 / B q 8 O j t r x s X l h E 4 0 c G 1 v w O / v 3 9 8 b 3 N 0 V n j p m 9 l / Y P N q 8 w O p Y 2 L + 3 u 7 + 1 s j u Y c a 9 9 m L I 6 z 3 w M t T 2 G Z t + 4 9 3 N l 7 M D a h + k 2 q 6 5 b T 4 m k v 8 8 b 2 T a / 0 5 / 6 W G u y 2 O P V n / 5 Z K 7 L Y d 9 C f 9 N s T t T / v N r O L p N U v f m 9 / y 1 N t t K O C p t 9 t j 5 i m 5 W / X R n / W b + 7 B 4 P d j p q L r 3 W h i 8 v 3 u T l n P w Q y 2 3 + 5 7 w h 7 S c g T 9 s 7 y y X 3 9 z U s v f N T S 1 r 2 w F u m i P L 1 r b 1 3 s G 9 e + M H m 2 T B M v V 7 v G N 5 + l Z Y O V V 2 8 3 i d A r s d 6 D 4 D b G z e m 8 9 b a q 7 b N e / N 6 y 3 V 1 u 2 a 9 y Z 3 A x X 7 k 7 o R 9 K b 5 3 K S c b g X d K a f b N X + / K X V q 6 V b N H S 6 7 X Y X 0 3 s m q + / s 3 a i X b S a i V V L Z u D X 9 Q K y n 8 2 2 i l G 5 s 6 7 r 2 x q e N c M 8 B N N H e M a 1 r v H i C S H 3 z B c e 8 t X 3 D 8 e x t 8 P H 1 0 4 0 g 9 f X Q r 0 P 2 p v 6 U + u l X z 3 m z e V h / d q v n 7 z a q n j 2 6 m Y n 9 G b 6 m P b t P c 0 0 e 3 a v 5 + U + r p o 1 s 1 f 8 8 p t a 3 3 u v r o P Z N V 9 2 9 M V r k u Q m 1 0 u 2 S V g z + o j Q z 8 g / H e w Y Y x O y 6 + 5 Q u O j 8 0 L m 0 j q 2 P g 2 r R 0 X m 9 Y P x 0 Y / 3 6 C c b v m C Y + b b 4 O M p J 2 1 + K + V 0 K 9 B 9 T r i l c r p V 8 / 6 0 3 l I 5 3 a r 5 + 8 2 q p 5 x u p m J / R m + p n G 7 T 3 F N O t 2 r + f l P q K a d b N X / P K b W t 7 w X K 6 d O v k a j 6 d O d G 9 W Q 7 C d T T p 4 r h r e E P q i c D f 9 O Q H R P f p r X j Y d P 6 4 P 5 4 b 5 O n 4 t j 4 t m 8 4 T r 4 N R o 6 X b 9 P a s f J t s f H U 0 6 1 f 6 b P R L b X U r Z q / 3 / x 6 W u p W z f s z f E s t d a v m / b m 9 k Z j v N 8 G e s r p N c 0 9 Z 3 a r 5 + 8 2 s p 6 x u 1 f w 9 Z 9 a 2 3 g + U 1 Y O v o a w Q S t 6 g r G w n g b J 6 o B j e G v 6 g s j L w b 6 e s b t P a s b J p v b u / P 3 5 4 c C t t d e t X H E v f B i f H z b d p 7 Z j 5 1 u h 4 + u r 2 7 / R Z 6 Z Y K 6 1 b N 3 2 + O P Y V 1 q + b 9 W b 6 l w r p V 8 / 7 s 3 k z N 9 5 t j T 2 P d p r m n s W 7 V / P 2 m 1 t N Y t 2 r + n l N r W 9 8 P N N b B 1 9 B Y B z d r L N t J o L E O F M N b w x / U W A b + z n h / E z 8 4 f r Y v 3 E p p m d b 7 D z 7 d H + 9 / e i u t 5 b 1 z 7 7 Z q y 7 y z u 7 / 7 Y H z v 3 q 2 U 1 2 1 G 4 v j 6 9 l h 5 2 s u 8 d O / e / q f j T z V k v 0 l 9 3 X J K P A 1 m 3 t i + 6 Z X I v N 9 O i 9 0 W p / 7 M 3 1 K R 3 b a D / p T f g r b 9 O b + Z T z y V Z s l 7 8 1 u e Z r s N A T z N d n v M P P 1 2 q z 7 6 k 3 5 z H w 6 v T z t a 7 r 2 W A A 9 2 b 1 R w F n 6 o 4 H b f E / 6 g g l P 4 G O V N q u 3 G p o 6 7 b 2 z q O N s M c N M c O a 4 2 r W 9 e z n N M f f t 3 H E / f B i t P k d 0 4 X k 9 / 3 Q p 0 n w E 2 N u / N 5 2 0 V 1 6 2 a 9 + b 1 t l r r V s 1 7 k 7 u B i v 1 J 3 Q j 6 / e b T U 0 6 3 a v 5 + U + q p p V s 1 f 8 8 p t a 0 f 9 B T S + 6 X c D + 7 f q J N s F 6 F O U h t z a / i D O s n A 3 x k / / H T D m B 0 X 3 / I F x 8 f 2 h Q 2 t H R v f p r X j Y t N 6 d 7 x z O / 1 0 y x c c M 9 8 G H 0 8 5 a f N b K a d b g e 5 z w i 2 V 0 6 2 a R 6 b 1 d s r p V s 1 l V m / d v D e t t 1 J O t w L 9 f v P p K a d b N X + / K f W U 0 6 2 a v + e U 2 t Y H g X J 6 + D V i w o c 7 N 6 o n 2 0 m g n h 4 q h r e G P 6 i e D P x N Q 3 Z M f J v W j o d N 6 9 3 x / U 2 a z H H x L V 9 w f G x e e H B w b 3 / 3 4 M G n Y z D i 4 H u O p 9 1 7 + / s 7 + 5 8 + G O 9 s i i k c c 9 8 S Q U 9 f m T c e H t x / u D f e 3 9 v 0 V p + 1 b q m 5 b t X 8 / e b c 0 1 y 3 a t 6 f 9 Y 3 N + 3 O + s X l / x m 9 D z / 5 8 b + O 1 n f H B x s n r T / c t 3 v J U 2 v u 8 9 X 5 T 7 m m 2 9 + n k P W f e t n 7 Y U X D v F Q 4 + v D k c t P B D 3 X a 7 c N D B H 9 R t C n / Y y j k e v 7 G p 4 + 8 b m z r e N g P c R G 7 H 2 q b 1 7 s 6 n e / t 7 e / d 2 x 3 v 7 t 9 J m 7 / m i 4 + / b 4 O f p s h t H 7 m m w W 4 H u s 8 I t N d i t m v d m 9 7 Y a 7 F b N 3 2 + W P Q 1 2 M x X 7 M 7 s R 9 P v N p 6 e o b t X 8 / a b U 0 1 C 3 a v 6 e U 2 p a I 9 k d q K Z T 0 U z p m 1 e 3 U x 7 3 b l J O r o d Q O W k i 7 d b w h 5 S T g X 8 L 5 X R z U 8 u 6 N z e 1 b G s H e C v l Z F u T j t n f 3 7 1 P a 0 q f 3 k Y 3 v e d 7 l p V v h Z 1 T T T e P 2 6 m m 2 4 H u M 8 L t V N P t m v f m 9 p a q 6 X b N 3 2 + O n W q 6 B R X 7 E 7 s R 9 P v N p 1 N N t 2 v + f l P q V N P t m r / n l N r W u x 3 V 9 L 4 5 q 4 c 3 5 q x c F 6 F u u l 3 O y s E f 1 E 0 G / q Y B O x a + T W v H w b d p 7 R j 4 N q 0 d / 5 r W 9 3 Y + v T 9 + + P B W C u r 2 7 z h m v g 1 W n n L S 5 r d S T r c C 3 e e E W y q n W z V / v 5 n 1 l N O t m r / f 3 H r K 6 W Y q 9 i f 1 l s r p N s 0 9 5 X S r 5 u 8 3 p Z 5 y u l X z 9 5 x S 2 3 r P V 0 7 3 d t 4 / Z 3 V v Z + d G 9 W Q 7 8 d U T v / h e 8 A f V k 4 F / f 2 f n 3 q c 7 B w / 3 x w e b 5 N b x s 3 1 x 7 / 4 u 5 e 7 v P x y b P P 8 N S s u 8 e O / h 3 t 6 n O w 9 2 x w f q B 9 6 g v s x 7 n 9 5 7 + P D e g 3 u f j h 9 s Q t T x u u 1 v 9 9 O H D x H T j c 0 i 6 Q 3 a z L y 4 d / / e 3 q c H e H F n U 4 r E i c D 7 Y e o p N 9 v j p w / p t U 3 v 9 L l w e 2 / / w a c P P v 1 0 f / N S h 6 f v b G + 3 e 7 H P M 7 d 8 s c 8 z t 9 S B 7 9 l P n 1 V u q Q 1 v T / Y + c 3 x 6 7 8 H e / s 7 O z g 1 z 3 G e O 7 d u 9 6 a n K 2 4 z K U 5 X v h 6 G n N G / V T 5 8 b b t e P w + 9 e R 3 2 + T 0 b s 3 s 7 u j Z r T w g 8 1 p 8 r + r e E P a k 4 D f 3 d n h 3 T g / v 1 P d 8 c m 3 X a D 6 n z f N 5 1 E m D d v 5 / D d p r W T A t P 6 0 / 2 d v f 1 P 7 9 9 7 M D Z O 8 A 1 6 8 j 1 f d K J w G / w 8 7 a j N 0 e x G r X g r 0 H 1 e u a X r d 6 v m / f m + p d q 7 V f P 3 m 2 V P 2 d 1 M x f 7 M 3 t L 1 u 0 1 z T 5 / d q v n 7 T a m n x W 7 V / D 2 n 1 L b e 7 + i u 9 0 u Z 0 X 8 3 a i / b Q 6 i 9 1 F W 6 N f x B 7 W X g 7 + 7 c 2 z / Y 2 d 3 d 3 z R w x 8 r e a w 8 e f L q 7 A 4 I P v u Z Y 2 r y 2 T R H z w 4 O D T S 8 5 x j Y v 3 U 5 9 m d b 3 d 3 b 3 9 n Z 2 9 u + N P 3 1 w K / U V v H j z i 4 7 d b 4 O f p 7 6 0 + a 3 U 1 3 v Q y 9 N i 5 q 1 b v N R n h F u 8 1 G e D W 2 q 0 9 + j j / a b f 0 2 s 3 k 7 c / 5 b f U a 7 d p 7 u m 1 W z X v z / U t 9 d q t m v e n 9 3 Z 6 7 X 5 H r 7 1 n v u 0 e l v 5 v U G y 2 i 1 C x 3 S r f 5 s E f V G w G / o O D 3 b 0 H u 3 v j + 6 o y b 1 B s 7 / W a 4 2 z z 2 i b y O p a + T W v H 0 a b 1 H g W t 9 8 b 3 D 2 6 l z d 7 j J c f g t 8 H L 0 2 T a / F a a 7 F a g + 9 y x s X l / s j c 2 7 0 / y L d X W r Z q / 3 + x 6 C u t m K v Z n 9 Z Y K 6 z b N P Y V 1 q + b v N 6 W e w r p V 8 / e c U t v 6 0 0 B h 7 X 6 N H B z 4 + g a V Z T s J V N a u Y n h r + I M q y 8 C / t / / w Y P f e g 4 P 9 8 c 4 m D 8 T x s 3 3 x P r k t n x 7 s f T o G O w 6 + 6 D j b v E j k f r D 3 6 b 3 d 8 a e b 3 n M s b t 9 7 u P v w / q c P 7 o 0 f q N 6 + Q Z W Z 9 / Y o H X Z / n 9 4 e 7 9 / O O b M v k i W 7 d 2 9 v 5 2 D 8 Y J P 7 4 E T g / T D 1 l J v t 8 c H + p x u j c k / J m X e 2 P 9 2 7 t 7 N P e c K N G Z A + Y 9 3 q t T 6 / 3 O q 1 P r f c U v u 9 V y 9 9 F r m l F r w 9 u f t M s X v w c G / n 4 c H e D X P b Z 4 r t 2 7 3 p q c j b j M p T k e + H o a c s b 9 V P n x N u 1 4 / D 7 0 F H b b 5 X 7 g 2 M f 4 P G t P B D j X m 7 3 J u D P 6 g x D f w H e w c P H + z d p 0 U E A / s G j f m e L z p p M C / e z t G 7 T W s n A 6 b 1 P q n + h 7 u U E B z v 7 9 9 K O 7 7 n i 0 4 Q b o O f p x O 1 O Z r d q A t v B b r P K b d 0 + G 7 V v D / d t 1 R 5 t 2 r + f r P s q b q b q d i f 2 V s 6 f L d p 7 m m z W z V / v y n 1 d N i t m r / n l N r W B x 3 N 9 Z 6 Z N 7 D S D b r L 9 h D q r t t l 3 h z 8 Q d 1 l 4 D / Y J Y 1 9 7 2 C H T O u n t 9 J d 7 / m i Y 2 v z 4 u 1 0 1 2 1 a O 6 Y 2 r c m p + 3 T 3 A b m T 4 9 u p r v d 7 z 3 H 6 b b D z N J c 2 v 5 X m u h X o P p / c U n P d q n l / s j c 2 f 7 8 p 9 j T X r Z r 3 J v l W m u t W o N 9 v P j 3 N d a v m 7 z e l n u a 6 V f P 3 n F L b + m F H c 7 1 v b g 2 z f Y P q s l 2 E q k t 9 w l v D H 1 R d B j 4 F m z u f j j e 5 m o 6 R b / + O 4 2 b z z i b C O m a + T W v H y 6 b 1 7 v 3 7 D x + M N w W T j q d v / 4 5 j 7 N t g 5 S k q b X 4 r R X U r 0 H 2 u u K W i u l X z / v z e U l H d q v n 7 z a 2 n q G 6 m Y n 9 S b 6 m o b t P c U 1 S 3 a v 5 + U + o p q l s 1 f 8 8 p N a 0 f 7 g S K a u 9 r 5 N R A h 8 2 q y n U S q K o 9 x f D W 8 I d U l Y W / a c i W i W / V 2 v L w r V p b F r 5 V a 8 v B t v X u / t 7 e 7 b S T f e X h z o M H e 2 P k B A Z f s u x 8 K 6 y c e r L N D x 5 S r n F z t t A p q t t 1 0 u e J j c 3 f b 4 q d o r p d 8 / e b Z K e o b t e 8 P 8 2 3 o W d / p r d v 8 1 p / r m / x l t N g 7 / X W + 0 2 5 U 2 T v 1 c l 7 z r x t v d v R Z 5 u S X X 1 V s 3 u j K r P w Q 1 W 2 e z t V Z u E P q j K F P 2 z U H I / f 2 N T x 9 4 1 N H W + b A d 5 O g 5 n W e w f 3 K O u + f y s V d v t 3 H F f f B i t P g 9 0 4 X k 9 v 3 Q p 0 n w F u q b d u 1 b w 3 p 7 f V W 7 d q / n 5 z 6 + m t m 6 n Y n 9 S N o N 9 v P j 3 1 d K v m 7 z e l n l 6 6 V f P 3 n F L b e q + j k N 4 z h 4 V + b 1 B J t o d Q J d 0 u h + X g D 6 o k h X 8 b l X R j U 8 e 6 N z Z 1 b G s G e D u V Z F r v H n C S f O M S o u P f 9 3 n L s f F t M P P U 0 o 1 j 9 t T S r U D 3 m e C W a u l W z X v z e l u 1 d K v m 7 z e / n l q 6 m Y r 9 a b 2 l W r p N c 0 8 t 3 a r 5 + 0 2 p p 5 Z u 1 f w 9 p 9 S 2 v t d R S + + b o N q 7 M U H l u g j 1 0 u 0 S V A 7 + o F 4 y 8 D c N 2 L H w b V o 7 D r 5 N a 8 f A t 2 n t + N e 0 3 r 3 B B 3 Z c f N s 3 H C P f B i N P M W n z W y m m W 4 H u c 8 E t F d O t m r / f r H q K 6 V b N 3 2 9 e P c V 0 M x X 7 U 3 p L x X S b 5 p 5 i u l X z 9 5 t S T z H d q v l 7 T q l t v R 8 o p n t f I y F 1 b + d G 1 W Q 7 C V T T P c X w 1 v A H V Z O B v 7 / z 8 N 6 9 h w 9 3 N y Z 3 H D e 7 1 3 b u 3 f 9 0 5 1 b 5 c / v S 3 o M H D / f v 7 Y 7 v 3 U p l m b d o Y W N 3 h x y e 3 V u p L t v X w Y N 7 n x 7 c 3 9 + 8 K O m 4 3 b 7 3 6 c O D T + / f 3 z Q w x / P v g 6 K n y + x r 9 3 Y e 7 H 8 6 3 t n f 9 F q f 7 w 6 w 3 P r p x g n z t J t 5 a / s 2 r / X 5 4 5 Z a 7 n 1 w 6 z P G L Z X d + 3 T S 5 4 h b U b v P E L s P 7 u / s P X y 4 m Y 8 8 P W j p f a s X P Y 1 4 G 2 J 4 G v G 9 8 P N U 4 6 2 6 6 f P B r b p x 2 N 3 v 6 M j 3 S n L d 2 7 1 R P V r 4 o X p U A b w 1 / E H 1 a O D v 0 p g f 3 j s w e v c G 7 f g + b z k p M G / d z p O 7 T W v H / K b 1 / Q c P D v Y f 7 B z c N g P 2 f u 8 5 7 r 8 N d p 4 m 1 O Z o d q P 6 u x X o P o f c 0 q u 7 V f P + T N / S q 7 t V 8 / e b Y 0 / D 3 U z F / s T e 0 q u 7 T X N P h 9 2 q + f t N q a e 6 b t X 8 P a f U t v 6 0 o 7 H e M w t 2 7 9 6 N O s v 2 E O o s 9 Y Z u D X 9 Q Z x n 4 B 3 v k m u 3 e 3 6 S o H S O / x 0 u O n c 1 L t 9 N Y t 2 n t m N m 0 / v T e 7 v 2 H 5 J m O Y Y I G 3 3 O M / X 7 v O Q 6 / D X a e x t L m t 9 J Y t w L d 5 4 9 b a q x b N e 9 P 9 C 0 1 1 q 2 a v 9 8 c e x r r Z i r 2 J / a W G u s 2 z T 2 N d a v m 7 z e l n s a 6 V f P 3 n F L b + k F H Y 7 1 v g u z e / R t V l u 0 i V F k a H d 0 a / q D K M v B 3 d 3 Y P x p v k 1 f H x r V 9 x v G x e u Z 2 6 u k 1 r x 8 m m 9 a d 7 9 8 a Y + M F X H E P f + h X H 1 L f B y V N S 2 v x W S u p W o P s c c U s l d a v m / c m 9 p Z K 6 V f P 3 m 1 l P S d 1 M x f 6 c 3 l J J 3 a Y 5 l N T 7 N H + / K f W U 1 K 2 a v + e U 2 t Y H g Z L a / x r J s v 2 d G 9 W U 7 S R Q U / u K 4 a 3 h D 6 o p A / / + v Y O D B 7 v k Y I x 3 N q V 6 H D / b F / f 3 H 1 L W Y u / B + J Y e l n l x d 2 / / 4 c 6 9 g 4 f j 3 U 2 K w r G 4 f e / g 0 5 2 D h z u 7 4 0 8 f 3 E q N m f f 2 H t 7 f P 9 j / 9 N N 7 m 1 9 0 j G 9 f f P B g 9 9 N 7 O / c P b q X P 3 g 9 N T 7 P Z 7 g 4 e 7 D 3 c R E p P w 5 l 3 t j / d 3 T 2 4 v 7 s 3 3 p j d 8 3 S d e f F 2 7 / X Z 5 X b v 9 b n l l t r v / b r p 8 8 g t 1 e D t S d 7 n i t 2 D e 3 u 7 l C a + Y X 7 7 j L F 9 u z c 9 H X m b U X k 6 8 v 0 w 9 L T l r f r p 8 8 L t + n H 4 P e z o z f d K o O 3 f n E C z 8 E O V e b s E m o M / q D I N / I e f H j x 4 Q E K + N 9 7 b p B q c E L z n i 0 4 c z I u b J s Y J w W 1 a O x k w r e / f 2 9 n f 3 b n 3 c G 8 M s R 1 8 0 Q n C e 7 7 o B O E 2 + H l 6 U Z u j 2 Y 3 6 8 F a g + 5 y y s X l / 4 j c 2 7 0 / 3 L X X e r Z q / 3 y x 7 q u 5 m K v Z n d i P o 9 5 t P T 5 v d q v n 7 T a m n w 2 7 V / D 2 n V F v v 7 e x 0 N N d 7 J t L 2 b 0 q k e T 2 E u u t 2 i T Q H f 0 B 3 O f i 7 u / u f P n x w n x b 3 x g 8 V + E b l 9 f 5 v G s Z 2 b 9 5 G e 9 2 u t W F r 1 / o + r f X e f / D p p w f j v d s 4 d + / 9 o u H 2 2 + F n t Z d t f g v t d U v Q f V 6 5 l f a 6 Z f P + f G 9 s / n 6 T b L X X L Z v 3 p v k W 2 u u W o N 9 v P q 3 2 u m X z 9 5 t S q 7 1 u 2 f w 9 p 9 S 2 3 u 1 o r / d N q u 3 f l F T z u g j V 1 + 2 S a g 7 + o P o y 8 P c O 9 i j g 3 B g 4 O k 5 + j 5 c c P 5 u X N p H W s f N t W j t u N q 1 3 d 3 Z I 7 8 C P H n z J s f V 7 v O S Y + z Z 4 e c p K m 9 9 K W d 0 K d J 8 z b q m s b t W 8 P 8 W 3 V F a 3 a v 5 + s + s p q 5 u p 2 J / V W y q r 2 z T 3 l N W t m r / f l H r K 6 l b N 3 3 N K b e u 9 Q F n d / x r J t f s 7 N 6 o r 2 0 m g r u 4 r h r e G P 6 i u D P x N Q 3 Z M f J v W j o d v 0 9 q x 8 G 1 a O w 4 2 r e / d v 7 e 7 O 9 6 / n U d l X i L / c O / e w / G D 3 V t p q N s g 5 m k o 2 8 n u z s O 9 g / H e / q b X + t x 0 S 2 V 1 q + b v N 8 2 e s r p V 8 / e b a E 9 Z 3 a p 5 f 6 p v R d D + Z G / f 6 r 3 + d N / m N U + R v d d r 7 z f t n k J 7 r 1 7 e c / p t 6 3 t W s Z 2 k p N f e K / l 1 f / d G l W b B h y p N h f H W 8 A d V m s I f N m 6 O z 2 9 s 6 n j 8 x q a O v 8 0 A b 6 f J T O s H O 5 / u 7 o 8 f b J p R x 9 z v 8 Z L j 7 N v g 5 S m y G 0 f s a a 9 b g e 6 z w C 2 1 1 6 2 a 9 2 b 1 t t r r V s 3 f b 3 Y 9 7 X U z F f u z u h H 0 + 8 2 n p 6 F u 1 f z 9 p t T T T L d q / p 5 T a l v v h x r p P Z N a 9 + / d q J N s B 6 F O u v e e 8 A d 1 k s K / j U 6 6 s a n j 3 B u b O q 4 1 A 7 y d T j K t d w 8 o 9 X Q w P r i d e / U + b z k u v g 1 m n l a 6 c c y e V r o V 6 D 4 T m O b R 5 r 0 5 v a 1 W u l X z 3 t z e V i v d q n l v g m + l l W 4 F + v 3 m 0 9 N K t 2 r + f l P q a a V b N X / P K b W t 7 4 d a 6 X 2 T V V g x v k E t 2 R 5 C t X S 7 Z J W D P 6 i W D P x N 4 3 U c f J v W j o F v 0 9 r x 7 2 1 a O / Y 1 r f f 2 x g / 2 b q W b b v u G 4 + P b Y O T p J W 1 + K 7 1 0 K 9 B 9 L r i l X r p V 8 / e b V U 8 v 3 a r 5 + 8 2 r p 5 d u p m J / S m + p l 2 7 T 3 N N L t 2 r + f l P q 6 a V b N X / P K b W t P / X 1 0 q d f I y / 1 6 c 6 N m s n 2 E W i m T x X B W 8 M f 1 E w G / u 0 0 0 2 1 a O x Y 2 r f f 3 9 8 Z 7 D 2 + l n m 7 9 i m P l 2 + D k m P k 2 r R 0 v 3 x o d T 0 H d / p 0 + J 9 1 S U d 2 q + f v N s a e o b t W 8 P 8 u 3 V F S 3 a t 6 f 3 Z u p + X 5 z 7 C m s 2 z T 3 F N a t m r / f 1 H o K 6 1 b N 3 3 N q b e s H o c J 6 X 0 f q 0 5 s d K d t D q K 5 u 5 0 g 5 + I P q y s C / n b q 6 T W v H y L d p 7 f j 4 N q 0 d G 5 v W 9 / Y f j B 8 c 3 E p T 3 f o V x 8 m 3 w c n T V N o c z W 7 U U L c C 3 e e D W 2 q o W z V / v 3 n 1 N N S t m r / f z H o a 6 m Y q 9 u f 0 l p r p N s 0 9 z X S r 5 u 8 3 p Z 5 m u l X z 9 5 x S 2 / r A a i a s 8 T 3 4 G r 7 U g 5 0 b l Z P t J F B O D x T D W 8 M f V E 4 G / u 2 U 0 2 1 a O x 6 2 r c d I 6 Q 2 + 4 L j 4 l i 8 4 P j Y v 7 H 5 6 b 3 d s V g l u 0 F H m n U / 3 a J V k f / z p p p 4 c W 9 8 S N U 9 T u X 4 e f H r / 3 n h X 7 c l N S u s 2 J P a U 1 q 2 a v 9 9 0 e 0 r r V s 0 j E 3 4 7 p X W r 5 v 3 J v h V B + / O 9 b d 7 b F O J 7 i q z b 3 a b X P I X 2 X q + 9 3 7 R 7 i u 2 9 e n n P 6 b e t H 3 Y U 3 H s t 9 m E B / Q b d Z u G H u k 3 F + N b w B 3 W b w h + 2 c o 7 R b 2 z q m P z G p o 7 B z Q A 3 k d v x t 2 m 9 d 3 D v 3 m 3 X + m 7 / j m P s 2 2 D l 6 b E b x + s p r 1 u B 7 j P A L Z X X r Z r 3 5 v S 2 y u t W z d 9 v b j 3 l d T M V + 5 O 6 E f T 7 z a e n o G 7 V / P 2 m 1 F N M t 2 r + n l N q W o M p A 4 X 0 n m t 9 D + x a 3 J B K c j 2 E K k l N / q 3 h D 6 k k A / 8 W K u n m p p Z 1 b 2 5 q 2 d Y O 8 F Y q y b b e 3 b t / c P / T h + O 9 T 2 + j l d 7 v N c v I t 8 L N K a a b R + 0 U 0 + 1 A 9 9 n g d o r p d s 1 7 M 3 t L x X S 7 5 u 8 3 w 0 4 x 3 Y K K / X n d C P r 9 5 t M p p t s 1 f 7 8 p d Y r p d s 3 f c 0 p t 6 9 2 O Y n r f L N W D G 7 N U r o t Q M 9 0 u S + X g D 2 o m A 3 / T g B 0 L 3 6 a 1 4 + D b t H Y M f J v W j n 9 N 6 9 3 d g 4 f j + 7 d a 8 H u P d x w z d 7 C 6 S T l p 8 1 s p p 1 u B 7 n P C L Z X T r Z q / 3 8 x 6 y u l W z d 9 v b j 3 l d D M V + 5 N 6 S + V 0 m + a e c r p V 8 / e b U k 8 5 3 a r 5 e 0 6 p b b 0 X K K e D r 5 G n O t i 5 U T 3 Z T g L 1 d K A Y 3 h r + o H o y 8 H c 2 x 7 q O j + 0 L t 9 J Q p v X B v U / H D 3 d v p a b 8 V x 4 8 v J W u M q / s P r h 3 f / z g w a 1 0 l X 3 n 4 A G t j W 4 a j e P t W 6 P m K S y v n 7 0 H O 7 v j n Y 1 p k j 5 3 3 T A x n v 4 y b 2 z f 9 E p k 9 m + n w 2 6 L U 3 / + b 6 n G b t t B Z O p v R d 7 + 9 G / T i 7 s H n + 6 P o Q a G X + z z w K 3 e 8 x T d + 7 0 X 4 Y P b a b z 3 6 + Y 9 O c G 2 v t d R f e + V w T r Y v V H r W f i h 1 l M F c m v 4 g 1 p P 4 Q / b P 8 f z N z Z 1 z H 5 j U 8 f o Z o C 3 8 8 V M 6 5 u z U Y 7 B b / + O 4 + 3 b Y O W p t h v H 6 6 m z W 4 H u M 8 A t f b F b N e / N 6 W 1 9 s V s 1 f 7 + 5 9 T T Y z V T s T + o t f b H b N P d U 1 K 2 a v 9 + U e p r p V s 3 f c 0 p t 6 / 2 O Q n r P D N b B v R t V k u 0 h V E m q X m 8 N f 1 A l K f z b q K Q b m z r W v b G p Y 1 s z w N u p J N P 6 3 o P 9 B 3 s b 3 S f H v b d / x 7 H w b b D y V N K N 4 / V U 0 q 1 A 9 x n g l i r p V s 1 7 c 3 p b l X S r 5 u 8 3 t 5 5 K u p m K / U m 9 p U q 6 T X N P J d 2 q + f t N q a e S b t X 8 P a f U t r 7 f U U n v m 7 s 6 u D l 3 Z b s I d d L t c l c O / q B O M v B 3 x n v 7 G 8 b s u P i W L z g + t i 9 s a O 3 Y + D a t H R e b 1 g c 7 9 8 f 7 B 7 f S U L d + x T H 0 b X D y F J Q 2 v 5 W C u h X o P j f c U k H d q n l k a m + n o G 7 V / P 1 m 1 l N Q N 1 O x P 6 e 3 V F C 3 a e 4 p q F s 1 f 7 8 p 9 R T U r Z q / 5 5 T a 1 p 8 G C u r h 1 8 h f P d y 5 U U X Z T g I V 9 V A x v D X 8 Q R V l 4 O 9 + O r 6 / K b / k G N m 8 s Y l I j o 8 d / L 3 7 u w d j C M T g W 4 6 d / b c o K f G p e o k 3 K C z z 1 v 7 9 B / Q a R W 2 b B u Q Y 3 H t t Z + d g b 7 x z O 8 X 1 P j h 6 C s y 9 R p 1 t Z L Q + p 9 0 0 S Z 4 y M 6 9 s 3 / h O n x d u q d F u j V W f G 2 6 p 1 W 7 d Q 5 8 H b i Z v n w H 2 9 v d u m s f + 9 G / f / J a n 7 m 5 D A E / d 3 R 4 z T + n d q o / + r N / c h 8 P r Q U f 1 v V f + C n n s G 7 S e h R 9 q v d v l r x z 8 Q a 2 n 8 I f t n + P y G 5 s 6 7 r 6 x q e N s M 8 B N c + S Y 2 r R + u L u / f 2 M 6 y v H 1 e 7 3 m O P s 2 u H k K 7 c Z R e 4 r s V q D 7 b L C x e W 9 W b 6 u / b t W 8 N 7 u 3 1 V 2 3 a t 6 b 4 g 1 U 7 M / r R t D v N 5 + e i r p V 8 / e b U k 8 5 3 a r 5 e 0 6 p b X 3 Q U U s m i 3 X y 7 d O f + O p 2 u m P v R t 1 k O w l 1 k 6 6 b 3 B r + o G 5 S + L f R T Z G m Q 7 r p x q a O c 8 0 A b 6 e b T G t S M j u 7 t G A C E R h 8 z f H w e 7 3 m e P k 2 u H m 6 6 c Z R e 7 r p V q D 7 b H B L 3 X S r 5 r 2 Z v a 1 u u l X z 9 5 t h T z f d T M X + v G 4 E / X 7 z 6 e m m W z V / v y n 1 d N O t m r / n l N r W D z u 6 6 X 3 T W Q 9 t u m l Q M 9 k u Q s 1 0 / z 3 h D 2 o m A 5 9 c i Y 3 L x I 6 N b / u G 4 2 T z x i a i O k a + T W v H x 6 b 1 7 o O H m 4 M 8 x 8 6 3 f s W x 9 G 1 w 8 l S U N r + V i r o V 6 D 4 / 3 F J F 3 a p 5 f 2 5 v q a J u 1 f z 9 Z t Z T U T d T s T + n t 1 R R t 2 n u q a h b N X + / K f V U 1 K 2 a v + e U m t Y Y h F N R + 1 8 j o b V / c 0 L L d e I r q f 3 b J b Q 8 + E N K y s K / v / / p 3 s O d v Z 3 x A 9 V / m 1 W V e + / e w c H O z v 2 D 8 b 1 N o b D l a / v e g w e f k h Y d f 7 q p N 8 v e 9 q 2 9 B / f 2 d 8 d 7 m 7 q y T O 5 Q 3 P v 0 0 4 f 3 y W l 6 u H 8 b J e a 9 d 7 C z v 7 / z Y H x / 0 3 u W 8 9 8 H S a f Q 7 F u U F 9 s 9 u D c 2 K 7 w 3 6 D Z H x / 2 D h 5 / u j f c 3 m Q u n 4 + x r 2 7 d 6 r 8 8 m t 1 N 2 7 4 d d n z l u p / T e r 5 c + X 9 y K 4 n 2 2 2 N 6 9 t 3 + w v z f + 9 F b 6 0 P V 2 8 1 t O L b 7 X W 3 2 m 2 K j u + s x w m 0 7 e k x V s 6 9 2 O k n y f 1 N f + z a k v B z / U j 7 v v C X 9 Q P x r 4 u 6 T j 9 h / c p 5 z f g 4 N b K U j v x Y c P H l K q f P O L T g j M i 3 s P H t 7 b e 3 A r 9 W h e 2 d / d v b + z a R q d E J h X P n 2 w S 7 p x Z 3 9 n v L t J D p w Y e C 8 + e L j z K a n H j S 8 6 Q b g 1 k p 5 y t L T Y p 4 5 u q R n N O y S n l B B 5 e D u 9 a G f r x n c i r H H j O 3 2 u 2 C g 8 f V 6 4 u Y s + M 2 z s o s 8 I N 5 O 4 z w O 7 n 9 7 f 3 2 j 3 P T 3 o p u W m l z w 1 e J u x e P r v 1 n h 5 S v B W X U Q m / c a h 2 1 f 2 O i r w v d N s + z e n 2 V w n o R 6 8 V Z r N g z + o B w 3 8 3 Y O d B 5 u U k m P 1 2 7 7 h u N 2 8 s W k q H J / f p r V j c 9 N 6 7 9 7 t Q t n b v u A Y / D b 4 e K p N m 6 P Z j S r t V q D 7 v L C x e X 9 q N z b v z + s t V d i t m r / f r H r a 6 2 Y q 9 m d 0 I + j 3 m 0 9 P V d 2 q + f t N q a e l b t X 8 P a f U t r 4 3 o K D e v L q d 9 r h 3 o 3 a y P Y T a S f X n r e E P a i c D / y E l x + / v 7 G 4 K K h 0 j v 8 d L j p 3 N S 7 f T U b d p 7 Z j Z t K a B 7 z x 8 u P v p w X i j z X e c / Z 4 v O h 6 / D X 6 e z t L m t 9 J Z t w L d 5 5 B b 6 q x b N e 9 P 9 S 1 1 1 q 2 a v 9 8 s e z r r Z i r 2 Z / a W O u s 2 z T 2 d d a v m 7 z e l n s 6 6 V f P 3 n F L b e r + j s 8 5 + 8 j j 9 f d K T L 7 8 4 e 3 3 2 5 e 3 U y v 6 N a s t 2 E q q t / f e E P 6 i 2 D P x 7 D x 9 + u n 9 v c 8 r I M f P 7 v O V 4 2 r x 1 O 8 V 1 m 9 a O o y 1 G B 3 v 7 D 2 j t Q g l 0 g 9 Z 6 n 7 c c i 9 8 G M 0 9 l a f N b q a x b g e 5 z x y 1 V 1 q 2 a 9 2 f 5 l i r r V s 3 f b 3 4 9 l X U z F f v T e k u V d Z v m n s q 6 V f P b T 2 l H Z d 0 K + n t O q W 1 9 3 1 d Z 9 3 f e f 7 3 g / s 7 O j S r L d u K r L H 7 x v e A P q i w D / 8 H B w a c H + 5 9 + O t 7 b 5 G k 4 d n b v 7 d y 7 / + m 9 h 2 O z z n q D 2 j L v P X z w 6 d 5 9 S t b u 3 k p 9 m b d 2 9 + / t 7 z 0 Y 7 2 + K P x 2 X m 7 c + / X R / 5 + H B g w f j v U 9 v p c j 8 9 2 j R 4 N 7 Y O L Y 3 q L L 3 w d J T a f Y 1 W n q 5 t z + G z h h + r c 9 + B / f 2 D v Y + H d / b + F q f o b Z v 9 V 6 f U W 6 p 7 t 4 L u z 5 7 3 F L t v V c v f c a 4 F c X 7 f L F / / + G 9 z e t j n j 6 0 9 L 7 5 L U 8 t 3 o Y O n l q 8 P W a e c r x V H 3 0 G u L k P h 9 e n H R X 5 P q s F F M L d q B 0 t / F A 7 q l K 5 N f x B 7 W j g 7 3 6 6 Q 2 p u B 9 7 Z J o X l 2 N + + e P / h A a 0 5 E p N t 1 A Z O A M y L l J k 8 g N Q O v u K E w L x C i S 1 a g d 2 o 4 5 w I W A T 3 d i n z f / / h w 8 1 L t 0 4 I v B c f 3 r + / 9 3 B / f O 9 2 s e l 7 o O k p R / v W 7 v 7 + w 4 P b a U a L 4 s P d n R 2 K n W + p G c 1 r 2 7 d 6 r 8 8 k t 9 S M 7 4 V d n z F u q R n f q 5 c + W 9 x M 7 j 5 H b J O p / J T 4 Y X N f f Y a 4 z W u e a n y v 1 / p M s V H b 9 Z n h V r 2 8 J y / Y 1 g 8 6 6 v G 9 V x L u 7 + z d q C N t J 6 G O V N 1 y a / i D O t L A 3 9 9 7 + O m n t 1 K O 5 o 3 7 n x 4 c b K K r Y 3 7 z x i a y O t 4 3 r X f v P d z d x M O O 7 S 1 G u / u f 3 i 5 F Z 9 6 4 9 + D + / U 0 m w b H 7 b b H y l J + + g m Y 3 K j 0 D f v t G + H 3 W u P G V / m z f + E p / u j f K R H + u b + y h P + E b e + j N 9 g a y 9 u f 5 R m z 6 E 3 3 j T H h K 7 T Y j 8 J T Z b b H y F N q t e v g a 8 2 z f O B h Q Z r d b d b i / c + 9 G T W Z 7 C D W Z u q K 3 h j + o y Q z 8 3 b 2 H 9 w 7 u 7 + / v j X d u p 9 C 8 F + / v k L m 4 4 U X H 6 + b F 2 + k 1 1 8 2 u z Q D c o N j s K 7 T q s v f p w c 7 D 8 c E m P 9 T x v f f i 3 s 7 9 e z e 9 6 L j / 1 k h 6 e k 7 f u Z W e M / C 3 b + 6 g z z k 3 v x P j h p v e 6 T P C x u b 9 6 b + 5 i z 4 T b G z e Y 4 B b 6 b r b o 9 O f 7 p u n w 9 N 2 t x m D p + 1 u j Z e n 7 m 7 V x d e Z b P v K w 4 6 + e + 8 V i / v I k N + g 8 m w n o c r b f 0 / 4 g y r P w D / Y 2 b n / 8 G B 8 / 3 b J P / P W p w 8 O b n z L c b t 5 a x N 5 H Z + b 1 s R Y e z u 3 1 H Z 2 N L u f P i S 8 I D W D b z m 2 N 2 + R 0 r / x L c f 4 t 8 f P U 3 T 6 0 q 0 U n e n g Z v h 9 d r k F U n 0 e u K W O u z 1 e 7 z f 1 n o 6 7 f R e 9 u b + V o n s P M v U n / M Z 3 P E V 3 + 3 f 6 8 3 5 L R X f 7 L t 5 z x k 3 r e z t W 0 Z 2 k 9 3 e / x j I H B G C z n n N 9 B H p u V x G 8 N f w h P W f h 3 3 u w u / f p Q 1 p p H W 9 K Y F p m d + 9 9 + i m l R P b 2 9 s Y H t 9 F 1 9 j 1 y O w n L e 5 u d J 8 v 4 9 r U H l G N 9 M L 6 3 6 S X L + Q 5 H M M D 9 g / s H G 3 G 0 U u C 9 t 7 t H a z g H 9 8 c P d 2 + j + t 4 H S 6 f 7 7 F u 7 N G M P P q W E 6 C Y s n R 6 0 7 + 1 T u n H 3 w a f j T W l K p w r t a 9 u 3 e q / P K R t l o 8 8 g t + q l z x 8 b e + n z x a 1 6 6 X P G 7 U j e 5 w z o x 4 c H t J S 1 u 4 k x n I 5 0 H d 7 m P a c n 3 / O 9 P m 9 s I q P T l e / Z z X v y h G 2 9 G + r L 9 1 r z A E Y 3 q E o L P l S V O p R b w x 9 U l Q Y + L a j d 2 7 2 3 + 3 B v v H s 7 X e l e 3 H 3 4 Y A 9 r w h t f d M J g X v z 0 w T 1 K V u 9 s D p 6 d U J j X 9 u 4 9 3 N n f f 8 C v D b 7 m h M L 2 d u / h / r 1 7 D x 5 Q c v x 2 + t J 7 8 d M 9 W g X 7 d H z w 8 F b 6 8 r 0 Q 9 T S m f e 8 + L Q V 9 e n + 8 u 1 H T 9 h m Q l q F 3 7 t / f u F L X Z 6 v t W 7 z V Z 5 Z b a s v 3 w K z P H r f U l e / R R 5 8 p b k f q P k / Q m t H O w e 7 B r R W l e e 8 2 r 3 l 6 8 r 1 e 6 z P E L d X k e / X y n r x g W + + F W j J Y + j i 9 n S 6 7 c e 3 D d R L q y t u t f T j 4 g 7 r S w K c k 6 f 5 G V n M i Y F 7 Z J e b 8 d O e 2 w b N 7 j d 4 j z b p x b c 7 J g n n r w Q N a 1 7 g / v n 8 7 h 9 K 9 R c v e + 5 v f c q J g M a R k 4 a 3 U 4 v s g 5 2 l F f Q 3 N b t S E p o v t T z / d 3 7 1 / f z O x P W V o 3 r v V a 3 1 2 u N V r f Z b Y K D h 9 V r h V L 3 1 e 2 N h L j w k 2 k L k / 9 b e a y T 4 D b N / m P U 8 L 3 m Y k n v Z 7 H + w 8 L X i r X v p z f 5 t e H G 7 3 4 l r w l m s m Y L 0 b N K D t I N S A q q t u D X 9 Q A x r 4 D 0 j / U x J x 7 + H m I M M x v f f i z o O 9 / Y c 3 R C e O / c 2 L p H P v P 9 z E + 4 7 1 z S t 7 B / s 7 n + 7 f S g e a V z 7 d P 6 D 4 / d 6 D v f G n a j V u U I P u x Q c H t I 5 E G n 7 j i 0 4 a b o 2 k p w v 1 n V v p Q g N / d + f B / X u 3 D K L N O 9 s 3 v 9 R n i V v 6 h L f H q 8 8 D t 3 Q J b 9 9 F j w F u p f 9 u P 3 X 9 6 d 6 + 8 S V P 8 9 1 m 3 J 7 m u z V e n t q 7 V R f 9 y b 6 x C 4 f V f q j z g n W T F 7 f T S / s 3 6 j 3 b S a j 3 F M N b w x / U e w Y + h Z C f P t h 9 u D k L 5 p j d v b b / g D y 5 z a 8 5 f j e v P d g / e L g 7 3 v v 0 V l r P v H R w f + / B g 8 0 v O b Y 3 L 9 3 b J / d 0 9 8 H 4 / q b X n A T Y 1 + 4 9 2 K G 4 a 2 N 2 1 c n A e 2 D o K T 1 9 6 1 Z K z / R A C u z e w U b 4 f d a 5 8 Z U + N 9 z 4 S p 8 T b u n 0 3 b q H / v z f 0 u G 7 m a z 9 6 b 7 N x P W n e / s W r 3 l K 7 z b j 8 J T e e + D m q b 1 b d d K f 8 F t 0 4 j C 7 7 y u + v a + x k A K i 3 K D 3 b B + B 3 t v T Y d 0 a / q D e M / D v 7 + w 9 + P Q e J c 8 e b h J 1 x + 7 m v f 2 H D 3 Z 3 9 w 9 2 N i + z O r 6 3 / X 3 6 Y O / B D W 6 1 Y 3 3 z 1 t 4 9 S p Z v c i s d + 9 u O d j / 9 9 F N a I x r v b x q Y E w X 3 H q U S 9 z / 9 d P x g k 4 P h h O H W K H q a z 7 x D F L z / Y H 9 s 8 h g 3 K U F H Q z I f l O 7 c G J r 0 W W n 7 V u / 1 W e S W / t 9 7 Y d d n j F u 6 g O / V S 5 8 r b k X x P l N s k 2 B R M n x 8 b + N 7 f a a 4 z W u e h n y v 1 / p 8 s V H n 9 f n h V r 2 8 J z v Y 1 p + G O v K 9 F k 8 w t B v U o w U f q k f N c N 4 a / q B 6 N P B p i X n / 4 M E e J e p u p R 3 d a w c H D x + S V v 1 U M b p B O 5 r 3 a J X m / i 2 9 Q v s K 1 j 7 2 x w 8 2 d e T k w L 6 1 8 y m C 9 Y f 3 N w 7 M C Y L / 3 s 7 e z v 1 P x 7 u b X n S S 8 D 5 o e h r S v r a 7 c 7 A 5 0 u u z 3 P 2 D B / f J u d 6 Y T u t z 0 v Z t X u s z y C 2 V 4 / v g 1 m e L W + r G 9 + k k w h I 3 k r r P D r T + S k n s z Z P a 5 4 X t W 7 z m a c X b U M H T h u + B m 6 c U b 9 V J f / p v 0 Y n D 7 E G o E 7 / G U g k Q v k E z 2 k 5 C z a h K / t b w B z W j g U / i f G + T u + N 4 / 7 Z v O L 4 3 b 2 y a D M f 2 t 2 n t 2 N 2 0 3 n 1 A a y K 3 U 3 6 3 f s W x + m 1 w 8 t S d N k e z G 9 X c r U D 3 + W F j 8 / 7 0 3 l K v 3 a r 5 + 0 0 s K 7 T 3 a N 6 b 2 g 1 U 7 M / p R t D v N 5 + e y r p V 8 / e b U k 9 X 3 a r 5 e 0 6 p b X 0 Q V 1 K 3 X M l A t z c o K N t B q K A 0 S r s 1 / E E F Z e A / v P e A 4 t q 9 e 7 d 0 3 b z X P i W / e H / j a 4 6 j z W t I m 9 5 K W 5 k X 7 l H C Y V P w 4 t j a d v H w 0 / 1 P d 8 m y b 1 K i j s O 9 1 + B 8 7 W 9 8 z X H 6 b f H z t J e + c i v t Z c B v 7 + 3 f 2 2 w 2 + x x z 4 y t 9 J r j x l T 4 D 3 F K V 3 b q H / t T f U p 3 d T N b + Z N 8 4 a / 2 J 3 r 7 p H U + v 3 W Y E n l 6 7 L V a e b r t V D / 1 5 v n H c 9 o 2 H o X 7 7 G q s W e / s 3 6 j j b S a j j 9 t 8 T / q C O M / B 3 d x 4 + f L i z M / 5 0 0 9 g d i 7 / X a 4 7 V z W u b 5 s R x + W 1 a O y Y 3 r W n x B U H L / i a M H L u / z 1 u O 4 2 + D m a f W t P m t 1 N q t Q P f 5 Y 2 P z / n R v b N 6 f 5 l t q s l s 1 f 7 / 5 9 b T Y z V T s T + t G 0 O 8 3 n 5 7 y u l X z 9 5 t S T 3 H d q v l 7 T q l p v b / j K 6 1 7 X 2 P F 4 d 7 O T T r L 9 R H o r H u K 4 K 3 h D + k s C 3 + X f B H k x + 6 P H z y 8 j d b y X r z / c P d g l 7 J q B w e 3 0 V v u x U 9 3 d x 7 s P 9 i 4 m G n 5 2 7 5 1 7 / 4 O F k A 3 4 W i 5 3 H W 1 t / v p / f s P 7 t + 7 p S b z X t z b e b i / s / f p + O H + b Z T Z + 6 D p d J p 9 a / / B v X u 7 9 8 a b l y D 7 / L d L Q 3 u w Q z j u 3 k r P 2 f e 2 b / d i n 1 l u p / H e E 7 8 + h 9 x O 9 b 1 n N 3 3 u u B X V + 7 y x v X / v Y O / B D S z l 9 K L r 7 h a v O f 3 4 f q / 1 e W M T D Z 2 e f L 9 e 3 p M h b O v d U F + + 1 + r D v d 0 b V a U F H 6 p K 5 Y Z b w x 9 U l Q b + 3 o O H n 1 K e / t M H 4 9 1 N Z H J y 4 F 4 8 2 K M g d u f h e G d T R t c J g n l x d w d J w I P N L O o E w r y 2 v b + / s 7 v 3 c P M C u p M H i + b e z v 6 n B 5 / u 7 o 0 3 Y e k E w r 2 3 t 3 9 w / + G n e + M H m z p 0 E v F e e H r q 0 p L l / o M H e 2 Z 1 6 S Z l a V / a 3 7 9 / 7 / 7 B D Y u N f a 7 a v t 2 L f X a 5 p b J 8 P / z 6 P H J L Z f l + 3 f S Z 4 x Y 0 7 3 P G 9 t 7 O 7 g M y i T f M c J 8 z b v W e p y z f 7 7 0 + c 9 x S W 7 5 f N + / J E r b 1 X q g u v 8 b C B B a R b 1 C a t p N Q a d 5 u Y c L B H 1 S a B j 6 W + B 9 u G r e T B P P K H q X I 7 h / c S l G a V z Z 1 4 G T A 4 n S w e / / T T R 0 4 9 r c 4 k d P 6 c N N s O + Y 3 r z x 4 e H 9 v U y e O 6 2 + N l 6 c L 9 R 0 0 u 1 E F G v j b N 3 f Q Z 5 C b 3 4 l M + o 3 v 9 G d 9 o 2 z 0 Z / z m L v r z v r G L 3 p x v I G 1 / s m 9 G p z / d N 0 + H p + F u M w Z P s d 0 a L 0 + 7 3 a q L r z P Z 9 p V 7 c c 1 2 y 9 W M e z e u Z r g O Q q 1 2 u 9 U M B 3 9 Q q x n 4 5 A R S n n l / 7 2 B j G t 8 x u f / e p w 9 3 P t 3 8 n u N 2 + 9 6 9 T 2 + n 4 s w L m 1 o 7 T r f g 9 3 d 3 9 v f 2 7 + + P D a l u 0 H H v + a L j / d v g 5 2 k 5 b X 4 r L X d L W n k q z r y x f d M r f Q b Y 2 D w y 7 z d 0 0 J / x j c 3 7 8 3 1 T B 7 0 5 v 5 V 2 u x U y 7 z e 5 n k q 7 V f P + / G 5 s 3 p / c W 2 q z 2 z R 3 u O y H i u x r L F v c 2 7 9 R m d l O Q m W 2 / 5 7 w B 5 W Z g b 9 3 f 4 / e 2 R / v f z o 0 9 k C X v d d r j r H N a 7 f T Y 7 d p 7 X j a t K Z s 3 / 7 B L i 3 J 3 i 6 A f a / X H J v f B j d P h 2 n z W + m w W 4 H u c 8 g t l d e t m v c n + p a a 6 1 b N 3 2 + G P b V 1 M x X 7 8 3 p L t X W b 5 p 7 a u l X z 9 5 t S T 2 3 d q v l 7 T q l t f d 9 X W / e / x s L F / Z 0 b t Z b t I 9 B a 9 x X B W 8 M f 1 F o G / v 7 O z o M d y j t t T r Y 7 b j b v 3 X u 4 f 0 B Z t Q d j q P z B 9 x x b m / c o 9 X d A q T F Q f P A t x 9 3 m r Q c P D s g 5 2 j + 4 l R q z K N 5 / s L + / S 0 N 7 s C n f 4 v j d v v f p D i 3 n 7 F F C 7 X a K 7 D 2 Q 9 P S Z 7 Y 3 y 5 w 8 P x j t 7 m 1 7 r 8 9 7 9 g 4 c P 7 z 8 Y b w y m P R V n X t u + 1 X t 9 N r m l r n s v 7 P r M c U u d 9 1 6 9 R P j i N h T v s 8 X 2 3 q c P 7 + / f G 9 / f x L q e P j T v 3 e Y 1 T y + + 1 2 t 9 v r i l f n y v X t 6 T H W z r T 0 M 9 + V 4 L F v d 3 b 1 S R F n y o I l X Y b w 1 / U E U a + A 9 2 7 9 1 7 u H d v d z O j O S H w 3 i P q 7 u 1 s f s 9 J g X l v b / f e w Y P b 6 U f 7 C i m 6 T z c p Y i c F F r t 7 O 3 v 3 P 9 2 h x a p N c u D E w L 2 3 S 3 x A 8 r P x P S c G t 0 b R 0 4 3 m n X v 7 9 z a n M D 3 F a N 7 Z p n E d b L J l n l a 0 / d z 0 S p 8 p b n y l z w + 3 d A B v 3 U O f D W 7 p B N 6 e v P 3 p 3 3 4 I p X s 7 D W j e u e k V T / v d + p X + x N 9 S 8 9 2 6 h / 6 c 3 0 7 r P Q i 1 3 t d Y d 7 i / d 6 P u s 5 2 E u k 9 F 8 t b w B 3 W f g b 9 H i x S b 5 N x x u X 3 j 0 3 v 3 N 7 G t Y 3 T z x i a y O h 4 3 r X d 3 7 m 1 a N n Z c b l 4 g O d r f h J D j c T u E h 3 s b 1 / U c h 9 8 S K U + 1 6 R t o d q N K M 9 C 3 b w L f 5 4 u b 3 u j P 9 E 1 v 9 G f 6 l v r s t h 3 0 p / q W 6 u x m k v a n + C Z k + l N 8 0 y R 4 S u w 2 + H s K 7 J Y 4 e T r s V h 2 8 / x T b F w 7 i K u y W C w z 3 7 9 2 o v m w H o f p S 9 + D W 8 A f V l 4 H / K S 3 S P 7 x 3 c D D e 6 E 8 5 1 v b e 2 7 9 3 4 3 u O x 8 1 7 t 1 N l p v X 2 7 q c 7 O 5 t e c T x u E S P X a 3 f / w f 5 4 0 0 Q 6 d n e v f b r z 4 K b X H M / f G k F P s e k 7 t 1 J s B v 6 N 4 P s c c z N K f S 7 Y 2 L w / + T f 2 8 H 7 z 7 i m 2 W / f Q m / h b K b f b 0 6 g / 1 T e 9 4 q m 3 W 7 / S n / C N z f u T f W M P 7 z n X t v X D U M F 9 j Y U H R M w 3 K D n b S a j k V K P c G v 6 g k j P w H + z u P X y 4 M 9 5 T 7 X m D i n u f t x y j m 7 c 2 k d f x + W 1 a O x Y 3 r Q 8 o 7 0 b R 8 s b U o G P 2 9 3 n L s f t t M P O U m j a / l V K 7 F e g + d 9 x S l 9 2 q e X + W b 6 n H b t X 8 / e b X 0 2 E 3 U 7 E / r b d U X 7 d p 7 q m u W z V / v y n 1 1 N a t m r / n l J r W S O k 7 l f X p 1 1 h 0 + H T n J o 3 l + g g 0 1 q e K 4 K 3 h D 2 k s C 3 / / / s 7 + p w c P 9 s b 3 b h V b u v f 2 7 z 1 8 c J 9 S v v c O b q O 1 7 H u f k j q l T N f B J h 1 h u d u 9 t U M O 4 M P b q D D 7 y r 2 D / Z 1 P D / Z p N e V W / p n 3 3 v 2 H O w 9 3 C c V b O W i 3 R 9 H p M v v O 7 s O d X S L h J l o 4 r e Z 6 2 n 9 4 b 3 d / / H D j a 3 1 O 2 r 7 V e 3 0 O u Z 2 a e z / s + n x x O 3 X 3 f r 3 0 m c I S f M N b f Z b Y 3 m V e G t 8 u 1 + Y 6 u / k t p w / f 6 6 0 + T 2 w i n 1 O L 7 9 X J e 3 K C b b 0 b a s f 3 W m r 4 d P d G x W j B h 4 p x 9 z 3 h D y p G A / / g 4 f 7 u / s M H 9 8 b g v s F h O / 5 3 7 + 3 u H H y 6 e 8 N S p x M A 8 9 7 e 7 u 6 D T z f p Y C c E 5 p X t h x S C 3 h / v b 5 p G J w P m r Q c P d 3 c p B j 3 Y P D A n B e 4 9 i l p 3 d + 6 P D a 1 v U I z v g 6 W n G y 0 9 S M R v u R J r 3 7 m 3 Q x n P B z d 0 1 W e l 7 V u 9 1 2 e R W 2 r G 9 8 K u z x i 3 1 I z v 1 U u f K 2 4 m d 5 8 j t i m j Q y J y Q 1 9 9 j r j N a 5 5 m f K / X + k x x S 9 X 4 X r 2 8 J y / Y 1 n u h b v w a C x J Q E T d o S N t J q C F v t y D h 4 A 9 q S A P / U 1 I k m 3 w k J w H m j Y M H D w 9 2 x v c 3 v e T 4 3 7 y 0 i b K O / U 3 r 3 Y O D T + 9 t 7 s I x v 3 n p H i U m H 2 5 + y X G / e W l v 5 / 7 e J g 3 q + P 4 9 c P M U o b 6 F Z j c q Q N P D 9 m 2 6 6 H P K b d 7 q z / 9 t 3 u r z w E Z B 6 c / + b T r p c 8 H G T n r z v 4 H E / W m / D U L 9 q b / N x H g q 7 z b j 8 F T d e + D m a b x b d f L 1 p t 2 + d C + u 8 G 6 5 f P H p j c s X r o N Q 2 d 1 u + c L B H 1 R 2 B j 6 p r n v 3 9 g 5 2 x 2 Z h 9 w a V 5 7 1 3 / + E D C l U 2 v u f 4 3 r y 3 v z H b 6 j j e t N / 7 9 O D e p v y h Y 3 r z x o M H e w / 2 d h / u j T c u s D o B 8 N 7 b x 1 r O 5 v e c C N w W Q 0 / 1 6 S u 3 U n 0 G / D Z 5 M J v h 9 5 n m x l f 6 f H D j K 3 0 W u K X G u 3 U P / c m / p b q 7 m a z 9 2 b 5 x 1 v o T v X 3 T O 5 6 i u 8 0 I P E V 3 W 6 w 8 L X e r H m L z f M O 4 7 R v 7 o Y r 7 G g s Y n + 7 f q O Z s J 6 G a 2 3 9 P + L / X k J o z 8 P f v 7 e 5 i K e J 2 S u 5 9 3 n K M b t 6 6 n Y K 7 T W v H 4 q b 1 3 q f 3 9 n Y p V D 2 4 l W p 7 n 7 c c v 9 8 G M 0 + p a f N b K b V b g e 5 z x 8 b m / c n e 2 L w / y 7 f U Y 7 d q / n 7 z 6 + m w m 6 n Y n 9 a N o N 9 v P j 3 V d a v m 7 z e l n t q 6 V f P 3 n F L b + r 6 v s h 5 8 j Q W M B z s 3 a i z b R 6 C x H i i C t 4 Y / q L E M / N 1 7 9 + 7 f o x T T e P d W K s u 9 t r O / d 2 / / 4 f h 2 w a h 5 7 d 7 9 3 b 1 7 n 4 5 3 N 5 k G x 9 v 2 r Y e f 7 u + M H 2 x 6 y X G 4 w 5 A W W H b 2 a G C 3 U 2 L 2 v f 2 d X f p v b 7 O L 7 t j + P Z D 0 t J l 5 6 8 H + g 9 2 D z a 6 g p 9 d s X 7 u 7 n B O 8 n X o z b 2 3 f 5 r U + h 9 x S z b 0 P b n 3 G u K W 2 e 5 9 O + i x x G 2 L 3 G Y L S d D s P a K H u 4 e 3 U o G P 1 G 9 / y t O H 7 v N X n h 1 s q x f f p 5 D 3 5 w L b + N N S N 7 7 V 8 g Z T / D W r R g g / V o i q v W 8 M f V I s G / t 6 n n 9 I L x C 0 b 1 x Q c 9 7 v 3 7 u 8 f 7 O 8 9 3 P y e 4 3 / z 3 s H + w c 4 m f e N E w P b 0 Y K N i c 9 x v X z j Y + X T n 3 n 1 a 0 f 3 0 V g r R e + / + g 0 / v P d j 8 n h O A W y L o K U N 9 A 8 1 u V I G W Y H s 7 B x s l s s 8 z 2 z e + 0 + e D W y q / W 2 P V n / l b a r 5 b 9 9 C b + A 1 k j U z 2 D Z P W n + b t G 1 7 x l N x t h u x p t 1 v i 5 C m 4 W 3 U Q E f Y b B m 1 f e B A q t / d M x 8 E 3 u E G 9 2 Q 5 C 9 a Z O x a 3 h D 6 o 3 A 5 9 + o 3 T c w 3 v j e 7 d z + 7 r v b X 7 P M b l 5 b 9 O E O B 6 / T W v H 3 h a n g z 1 S u T v 3 x v u 3 S 8 S 9 3 3 u O 4 W + D n a f U t P m t l N q t Q P e 5 Z G P z / q T f U p f d q v n 7 T b G n x 2 7 V v D f J t 9 J h t w L 9 f v P p K a 9 b N X + / K f U 0 1 6 2 a v + e U 2 t Y H o d r 6 G i m 2 B / s 3 q i 7 b S a i 6 9 t 8 T / q D q M v D 3 K X e + O 9 7 Z F G c 5 X n 6 P l x x H m 5 d u p 7 R u 0 9 r x s 2 m 9 u 3 u w s z t + c D u N 9 R 4 v O f a + D V 6 e u t L m t 1 J X t w L d 5 4 x b q q t b N e 9 P 8 c b m 7 z e 5 n r q 6 V f P e 9 N 5 K X d 0 K 9 P v N p 6 e u b t X 8 / a b U U 1 e 3 a v 6 e U 2 p b P / T V 1 c H X S K 8 d 7 N y o r W w f g b Y 6 U A R v D X 9 Q W x n 4 u 7 R 8 s P v w 4 P 7 e e H + T 1 + 7 Y 2 b 1 4 7 9 7 + v U 9 p W W B j v s I x t n l x 7 9 7 D 3 f 1 P b 1 h o d Q x u + 9 u 9 v / f w 4 R i S M v i W 4 3 P z 1 s P d h / d 3 7 + 0 e j E 0 E f o M m s + / t 7 e / v k V I e 7 2 0 K e h 3 z v w + W n l I z r 3 2 6 8 + n + 7 v 3 N S H r 6 z Z J y 7 8 G n u 5 / u j e 9 t Q t J T d O a 9 7 d u 9 2 O e W W 6 q 8 9 8 O v z y K 3 1 H 3 v 1 0 2 f O W 5 F 9 T 5 v b O 8 / J E H 7 d I z w b P i 9 P m / c 5 j V P Q b 7 X a 3 3 e u K W i f K 9 e 3 p M h T O t P d 0 K F + V 4 5 t 4 P d m 3 S l A x / q S p 3 W W 8 M f 0 p U W / t 7 e 3 v 7 9 n d 2 9 g z H W Y w b H b e X A e / E e k e z e z s 7 4 0 0 2 K w Q q C f f H + w w f 7 u 5 u m x A q D f Y W W B z 6 9 f 0 B Z 5 E 1 c b W X B o b h z c E B 2 g 3 T X w 0 3 9 W W n w X 9 z 9 l G j y Y H y w a W x W H N 4 P U a c r 7 X s P d h 4 + e L B R 9 P q M t 0 0 j 2 3 2 w d 0 N f f Y 6 6 1 W t 9 R r n V a 3 0 2 2 S h M f e a 4 V S 9 9 B t n Y S 5 8 x b i Z 3 n y c + f f j p w e 5 N m P U 5 Y v s 2 7 z k N e a s R O c 3 4 X t g 5 D X m 7 X v o 8 c J t e H G 6 7 o Y Y 0 i b u T b 5 / + x F e n t 9 N j e z f q S d t J q C f V D 7 s 1 / E E 9 a e D f 2 9 k 1 Q G 9 Q k O a N / U 8 / 3 a j m H P O b N 0 h 1 b N L B j u 3 N C 3 v A 6 l Y q 0 b z x g J z A T R 6 F 4 3 v z x v 1 P 9 / Y e 3 k o J 3 h Y r T / / p K 2 h 2 o 9 4 z 4 L d 3 P 9 2 / t 4 l O n s 4 z 7 9 z 4 S n / C b 3 y l P + O 3 1 H W 3 7 q E / 4 b f U c z e T t T / P N 8 5 a f 6 K 3 b 3 r H 0 2 u 3 G Y G n 1 2 6 L l a f T b t V D f 5 5 v H L d 9 Y y + u z 2 6 5 E H F w 4 0 K E 6 y D U Z b d b i H D w B 3 W Z g b 9 7 s E v m b 2 d v k 2 / j u N t / 6 / 6 9 n Y 2 J e 8 f k 5 q 1 N s + H 4 2 7 S m I O 6 h G e 8 N G s 2 h t f / p w z 1 y G 8 b 7 m 6 b R M b z 3 4 o N d W p T f 3 / y i Y / t b I + k p O H 3 n V g r O w L 8 R f J 9 j b k a p z w U b d U l / + m / s 4 f 3 m 3 l N u t + 6 h N / m 3 U n C 3 p 1 F / q m 9 6 x V N w t 3 6 l P + E b N V Z / s m / s 4 T 3 n 2 r a + F y q 4 r 7 F k A f / l B i V n O w m V 3 P 5 7 w h 9 U c g b + L k X B + w c P x w e b h N u x u X v t w c M H N 7 3 m W N 2 + 9 m D n d p r O v L C p t e N z 0 / r h w e 6 9 j b 6 C Y / d b v + K 4 / T Y 4 e T p N m 9 9 K p 9 2 S P p 5 K M 2 9 s 3 / R K f 8 p v q d F u i 1 N / l m + p 0 G 7 b Q W + e N + u z 9 0 H m / S b X U 2 O 3 a t 6 f 3 1 u q s F s 1 f 8 + J t a 3 3 f f X 1 8 G s s Y T z c u V F 7 2 T 4 C 7 f V Q E b w 1 / E H t Z e D v U p y 2 S + 7 J w f j h 7 q 3 0 l 3 u R e t o / 2 H s w 3 r 9 d W s 6 8 u L d 7 7 2 D v 4 P 7 4 Y F N 4 6 H j c v n b / 4 X 3 y o D Y h 6 d j c I v n p w f 2 d n Y f 7 D 8 a f b n r R K T X v R U r p k Q 8 6 v l 1 e 7 j 2 w 9 B S c e W t / d 2 d n / + F 4 k 6 3 1 V J 0 j 5 O 7 e v X v k j n 5 6 O 4 V n 3 t u + 3 Y t 9 X r m l 2 n s / / P o M c k v l 9 3 7 d 9 H n j N k T v M 8 b 2 v Y N 9 Y q j x w c P b a U X z 3 m 1 e 8 7 T j e 7 3 W Z 4 1 b a s n 3 6 u U 9 + c G 2 v h 9 q y / d a v 4 B O u k F R W v C h o l Q J v D X 8 Q U V p 4 N + j d Y h 7 9 x 7 u P R w / u F 0 4 6 1 6 8 h 8 X e n Q f j + 5 s 0 n p M D + + L D e / d 3 N 0 2 J k w X z y i 6 9 c / D w 0 / H G D K I T B Y c i 5 d 7 u k T s 6 f r h J H J w 0 e C / u 7 j 1 4 c L C 7 O V X r x O G 9 E P U 0 p X 1 v 7 + G D T x 9 u l L 0 + 5 2 2 T p O / c e / D g h t 7 6 P H W 7 9 / q 8 c r v 3 + q x y S y / x / b r p c 8 k t f c X 3 o H m f M x 5 + u v v w J s z 6 b L F 9 i 9 c 8 L X m b A X n a 8 T 1 w 8 5 T k r T r p 8 8 A t O n G Y f R r q y K + x g v F w 7 0 Z N a T s J N a V i e G v 4 g 5 r S w H + 4 Q 7 m u W 6 l I 8 w Z x 2 M O d g 1 s p R / P K p t l w H G 9 a 3 6 N E x i a U H N N b l O 7 T M s z u + N N b q U P 7 0 u 7 u Q 1 r L 3 f S S 4 / n b 4 u Z p Q X 0 F z W 5 U f g b 8 9 o 3 w + x x y 4 y v 9 S b / x l f 6 s 3 1 L b 3 b q H / r T f U t H d T N b + V N + I T X + i b 5 w J T 7 P d Z g S e Z r s t V p 5 a u 1 U P X 2 O e 7 R s P 4 j r t l q s Y c E R u 0 G e 2 g 1 C f q Q d z a / i D + s z A v / c p t 9 8 7 G N / b p K M c g w c v P q D s / + Y X H a u b F y m f u M m d c o x u X t g 0 i Y 7 P T e u 9 h 5 8 + e L j z c O / + e J N 1 c j z / f u 8 5 x r 8 N d p 5 2 0 + a 3 0 m 6 3 p J S n 2 8 w b 2 z e 9 0 m e A W 8 a 9 t 8 W p P 9 + 3 j H h v 2 0 F v x m + l 2 W 6 F z P t N r q f Q b t W 8 P 7 8 b m / c n 9 5 b K 7 D b N H S 4 H o S L 7 G q s V D / d v V G a 2 k 1 C Z q a q 9 N f x B Z W b g I 2 1 3 b / 9 g / G B T o O d 4 2 r 5 2 8 H D / 3 o M b X n O M b V 4 7 e P j g d o 6 a e e F 2 i s x h t X v w Y H 9 / f G 9 T R O 4 4 / L 1 e c 5 x + G 9 w 8 N a b N b 6 X G b k k n T 4 2 Z N 7 Z v e q U / 9 b d U Y 7 f F q T / b G 5 v 3 5 / q m D n r z f S s 1 d i t k 3 m 9 y P T V 2 q + b 9 + d 3 Y v D + 5 G 5 u / 5 8 T a 1 g 8 9 N f b p z v u v W n y K N a Y b t J j t w 9 d i n 5 r F q V v D H 9 R i B v 6 D B 3 s P 7 3 + 6 c 2 + M T w b H 7 n j a v v f p / f 1 P K f c 0 v r f J g D r O N u + R w n i 4 d 2 + 8 u 0 l h O A Y 3 b 3 3 6 c J / W V R 5 s y v o 5 H r c v 7 e 8 e 7 N y / R w s P n 9 5 K q X n v P T h 4 Q C H r 7 q b + H O O / B 5 K e c r N v P f j 0 J r f W U 3 O W / P s P 9 z / d v + G 1 P j d t 3 + q 9 P p f c U u G 9 F 3 Z 9 3 r i l 1 n u v X i J s c Q u C 9 5 m C L N 3 u + N 4 m G f F U o S X 3 z W 9 5 G v E 2 Z P A 0 4 u 0 x 8 / T i r f r o z / / N f V i 8 Y I l 8 7 f g + q x S f 7 u z e p B g d + F A x q h a 6 N f w h x W j h 7 9 6 7 f 5 / C t F 3 K 5 G 9 i F c v 8 / o t 7 9 7 B W O r 5 / 7 z a q 0 b 5 I K 0 e U 7 h t / u q k 7 K w W u u 9 3 9 / U 8 p j t z k T l o h c G / t 7 O / e + / T h g 7 3 N L 1 o 5 8 F / c 2 3 + 4 s 7 e J F 6 w g v B e S T j f a 1 / Y o C Q z m H X 6 n z 3 Z 7 p B S I 9 h u X 0 p 1 m t K 9 t 3 + q 9 P p v c T j O + H 3 Z 9 1 r i d Z n y / X v p M c T O 5 + / y w D c m 6 / + k N Z i / G E T e / 5 n T j + 7 3 W Z 4 q N 6 q 7 P D L f q 5 T 1 5 w b b e D f X j + 6 9 Q f L p z 4 w q F 6 y T U k r d a o f D g D 2 p J A / 8 + a Y N P b 6 U e z R u 7 l A C 8 3 Q q F f W U T X R 3 z 2 w 5 2 7 u 9 8 u o m L H e N 7 r x x 8 u k l Y H N + b V w 5 2 N u k y x + + 3 x s p T f / o O m t 2 o 9 g z 8 7 Z s 7 6 H P H z e / 0 Z / z m d / p z v l E w + v N 9 c x f 9 W d / Y R W / G N 5 C 2 P 9 U 3 o 9 O f 7 p u n w 1 N u t x m D p 9 R u j Z e n 2 W 7 V x d e Z b P v K X l y t 3 W 6 R 4 l N I 0 w 0 q z X Y Q q r R b L V J 4 8 A d V m o G / e 3 9 v 9 8 H + / Q c 3 L D k 7 L n / P F x 2 / m x d v p 9 9 u 0 9 o x u k U K 6 v y A 1 m D H R v n f o O D e 8 0 X H + r f B z 1 N y 2 v x W S u 5 W o P u c s r F 5 f + I 3 N u 9 P 9 y 2 V 2 q 2 a v 9 8 s e / r s Z i r 2 Z 3 Y j 6 P e b T 0 + J 3 a r 5 + 0 2 p p 7 9 u 1 f w 9 p 9 S 2 v h e q r v d f l v h 0 Z / 9 G 9 W U 7 C d X X / n v C H 1 R f B v 4 B e W Q H O + O d T b 6 r Y + b 3 e c v x t H n r d o r r N q 0 d R 5 v W 9 + 8 d 7 D y g 9 O L t t N b 7 v O V Y / D a Y e S p L m 9 9 K Z d 0 K d J 8 7 b q m y b t W 8 P 8 u 3 V F m 3 a v 5 + 8 + u p r J u p 2 J / W W 6 q s 2 z T 3 V N a t m r / f l H o q 6 1 b N 3 3 N K b e t 9 X 2 X t f o 0 l C L D 1 D R r L 9 h F o r F 1 F 8 N b w B z W W g b / 7 6 d 7 B v X u f P t g Z f 3 o 7 p e W 9 e P 8 B i f u 9 M R z W w R c d Y 9 s X y a / 9 9 F M K 8 D e p C c f g 5 j V S k g 8 O H o 4 f f H o r R W Y 7 o 7 Q K u Y X 7 u + O N u R X H 9 N 6 L u / d 3 9 n d 2 N q 8 V O / Z / H z w 9 t W Z e u 7 d 7 8 O n + w / H e x k x O n w X 3 a P o e f D p + u L G 3 P l d t 3 + q 9 P r f c U u W 9 F 3 Z 9 D r m l 6 n u v X v q s c S u K 9 x n j / t 7 + 7 v 7 O e P / h 7 b S i p f h t 3 v P U 4 2 1 o 4 a n H 9 8 H O U 5 O 3 6 q X P B r f p x e F 2 P 1 S X 7 7 U m A Z a / Q V N a 8 K G m V K V 0 a / i D m t L A v 7 d L y 7 X 0 3 s 5 m B 8 d J g f / i z s P d v Y P x p v e c G J j 3 9 j 8 9 2 H + 4 i T u d K N h X 7 n 9 6 f 3 d / f H B w K y V p 3 t q 7 R y u u O / u f 3 r v l Y q 3 / I o z H / b 3 N 6 y Z O G t 4 H T 0 9 J m t f u 0 6 K J c d p v 0 p D m n d 3 d h w d 7 4 9 1 N p P c U p H l r + z a v 9 X n k l v r x f X D r 8 8 U t 1 e P 7 d N L n i Z t J 3 W c H I h o p 1 Y c 3 9 N X n h t u 8 5 q n G 9 3 q t z x C 3 9 C D f q 5 f 3 5 A T b + t N Q N X 6 N 5 Q j g d Y O C t J 2 E C l I H d G v 4 g w r S w K f F h f 2 N q 1 5 O A M w r e 7 u f H t z b v 2 3 K z r y 1 i b a O / 0 3 r + w / u 0 f x t 7 M K x / 3 u 8 5 P j / N n g 5 r n + P L j w V q G + h 2 Y 2 q z / S w f Z s u + n x y m 7 f 6 s 3 + b t / o M s F F M + j N / m 0 4 s B 9 y u k 9 7 c b y B x f 8 p v g 1 B / 6 m 8 z M Z 7 C u 8 0 4 P E X 3 H r h 5 + u 5 W n X y 9 a b c v P Y i r u 1 s u U 4 D p b l B 1 t o N Q 1 W k E d 2 v 4 g 6 r O w C e T Q O s 0 B 3 u f j u / v 3 0 r h + S 8 e 7 D x 8 + H D z i 4 7 z z Y u 3 0 3 m m 9 c P d j V G r 4 3 n z w t 6 9 + 7 u 0 l r 5 7 f 7 x x e d g J g P / i 7 g M K e j e / 6 G T g l i h 6 q k / f u J X q M 9 C 3 b w L f 5 5 m b 3 u h z w U 1 v 9 K f / l u r u t h 3 0 J / 6 W q u 5 m k v Z n + i Z k + l N 8 0 y R 4 K u 4 2 + H s q 7 p Y 4 e e r t V h 2 8 / x T b F w 5 C 1 f Y 1 l j H A L j e o N 9 t J q N 5 U k 9 w a / q B 6 M / D 3 9 u / t H T w 8 2 B y f O e 5 + r 9 c c l 5 v X b q f a b t P a M b h p T R H 7 w Y P 9 8 Q M l 0 Q 1 K 7 X 3 e c u x + G 8 w 8 d a b N b 6 X O b g W 6 z x 8 b m / e n e 2 P z / j T f U o n d q v n 7 z a + n w W 6 m Y n 9 a N 4 J + v / n 0 V N e t m r / f l H p 6 6 1 b N 3 3 N K b e u H v t L a + x o L G S D D D T r L 9 h H o r D 1 F 8 N b w B 3 W W g b 9 7 7 w F + H x y 1 4 2 P z x r 2 d g 8 0 J L 8 f L 5 p X 9 + / c + P R j v b Q p y H U f b f i h / 8 G B 8 o A n J G x S X e e n + g / v 3 a S n 1 w a 3 0 l k W P A v B P x 5 u G 5 L j 8 P b D z l J d 5 a + / e g w P y F T c p S E + N u T n a p 4 W m / Y 1 v 9 T l n + z a v 9 R n i l l r t f X D r M 8 Q t l d v 7 d N L n h d s Q u 8 8 M B y R D 4 w e b G M j T e Z b W N 7 / l q b 7 b U M F T f b f H z F O A t + q j P / s 3 9 2 H x O t g J 1 e B 7 L V B g e J s 1 o A M f a k C V u F v D H 9 K A F j 4 l H + 8 f 3 E Y D 3 v o N y + / 2 j U 2 z Y N n 9 V q 0 t m 9 v W u 7 v 3 P 9 3 b v 6 X O 8 9 7 6 l C L 3 z W 9 Z P r 8 V Z k 7 d 2 e Y P D z a Z F q f p b g e / z x o b m / d n + n a q 7 X b N 3 2 + O n U 6 7 X f P + L N 9 A y v 4 E b 9 / w R n 9 y N 7 / g 9 N d t X 3 i / 6 X W 6 6 7 b w 3 3 O C b e v d U G + 9 Z z o N 3 d 6 g u W w H o e a 6 X T r N w R / U X A o f w 7 x J Z d 3 Y 1 P H x j U 0 d D 5 s B 3 k 5 R m d Y P D 3 Z 2 N r 3 h e P i 2 b z g e v g 1 G n o K 6 c a y e b r o V 6 P 7 k 3 1 I 3 3 a p 5 b z 5 v q 5 t u 1 f z 9 5 t X T T T d T s T + l G 0 G / 3 3 x 6 G u l W z d 9 v S j 1 9 d K v m 7 z m l t v V e q I 2 + R g Z s b / 9 G j W Q 7 C T X S / n v C H 9 R I B v 6 n u w 8 2 L / k 6 T r 7 1 K 4 6 b z S u b C O u Y + T a t H S + b 1 g c P 7 4 0 3 Y e M 4 + r Z v O K a + D U a e k t L m t 1 J S t w L d 5 4 d b K q l b N e 9 P 7 S 2 V 1 K 2 a v 9 + 8 e k r q Z i r 2 p / S W S u o 2 z T 0 l d a v m 7 z e l n p K 6 V f P 3 n F L b + p 6 v p O 5 9 j Y z X v Z 0 b d Z T t I 9 B R 9 x T B W 8 M f 1 F E G / v 3 d + / f 3 P t 2 l k G l n 0 x q F Y 2 f 7 I n X 0 8 N 6 9 T z 8 d P z y 4 l b 4 y L + 7 f 3 3 2 4 v / t w j N k a f M 0 x u H l t + 8 H D 3 X v 3 7 l G W a R O e j t P N e w 9 2 D g 7 2 P 7 1 3 s D f e h K b j e v v e 7 s G 9 B / s P K b 1 3 b 1 O H j v / f D 1 F P s 5 k X d z / d v U 9 L B u O N + Y Y + F + 5 i x e T B / Q f j n U 0 Z R U / d W U R v + W a f a W 6 p + d 4 T w z 6 r 3 F I H v m c / f R 6 5 F e X 7 L L L 9 8 P 7 e w f 2 9 + + P 7 G 2 e 6 z y K 3 e s / T l e / 3 X p 9 F b q k 0 3 6 + b 9 2 Q L 2 3 o / 1 J 7 v l S i 7 t 3 u j 4 r T g Q 8 W 5 + 5 7 w f 6 8 h x W n g 7 + 7 s 7 T 2 8 9 + D e w 0 / H u 5 v o 5 M T B v b m / 9 + m n D w / u P d y s I p w 8 m D e 3 K Z P 3 c O f B w / H D W 6 l O 2 + G 9 + 6 S R P r 2 3 U Q M 6 q f B e 2 9 8 9 2 H l I L 3 5 6 u 3 S a e 3 P / H q 3 i 7 n + 6 P 9 4 k i U 4 w 3 g t T T 3 W a 9 4 i e O w f U 2 6 c b B b H P g 9 u 7 D x / c 2 9 v f v 7 d Z 9 P v c d b v 3 I l x z q / f 6 P H N L 5 / H 9 u u l z y i 2 9 y P c j e 4 Q / d k i / 7 D 9 8 O N 7 d i F + f P 7 Z v 9 6 a n O m 8 z M k 9 j v h + G n u 6 8 V T 8 x L X K b f h x + 9 0 P l a b J 1 J 9 8 + / Y m v T m + n 4 v Z u V K G 2 k 1 C F q r 9 2 a / i D K t T A f / D p p / f 3 H 4 7 v b 3 I E n S i Y t 8 g 6 7 d / / d P N b T i L M W / c O 7 u / v 7 T w Y 7 9 9 K c 5 q 3 9 n f 2 d 3 Z 3 9 z e + 5 c T i f d 5 y Q m H e 2 s Q 5 T h L e p w 9 P U e p r a H a j c j R d b O 8 e 3 C d r c z v F a F 6 6 + Z 0 + H 9 z 8 T p 8 L b q k Q b 9 9 F f / J v q Q x v J m 1 / r m 8 1 e / 1 J 3 7 7 N e 5 7 y u 8 1 I P O X 3 P t h 5 q u 9 W v f R n / T a 9 O N w + j S u + W y 5 T I I S 7 Q e n Z D k K l p 5 b t 1 v A H l Z 6 B v 7 t z 7 + H 9 + w / v H Z D 3 p 0 7 p D Y r P v b l / j 2 L 1 n Q f 7 4 4 N N r O y 4 3 7 y 5 / 2 A T k R 3 n m / b k 1 D 7 Y v f 9 w v P P p r f S e R f D e p z u f 7 s A x H h / c L t h 2 b 9 7 / l I h 4 A M 9 v k 1 5 3 I v F e q H q K U N + 7 l S I 0 f W x T J 5 9 + e n D / h k 7 6 v H S 7 9 / o 8 c r v 3 + h x y S 6 X 4 f t 3 0 2 e O W i v F m U v c Z 4 X b T 2 W e D 7 V u 9 6 K n G 2 4 z F U 4 3 v h Z + n G 2 / V T Z Q B b u 7 G Y f c g V I 5 f Y 9 X k 3 v 6 N C t J 2 E i p I 1 S y 3 h j + o I A 3 8 B 5 8 + 3 P 3 0 I Y 1 9 k w p x v G 9 f e 3 D / / q e 0 + H B v U 2 z s Z M C 8 R p p n Z 2 + T H n b s b 1 9 5 + H B n 9 / 7 Y p B R u U I 7 m r X 1 y + v c f k g O 6 K V Z y A m F f o w B h n 5 K X G x e F n D y 8 D 4 6 e V t T X b q U V T R f b n 9 5 7 + H D / h i 7 6 7 H O b t / p M c Z u 3 + j x x S 3 3 4 P p 3 0 2 e G W 2 v B m E v c n / 1 a z 2 J / 8 7 d u 8 5 + n C 2 4 z E 0 4 X v g 5 2 n C m / V S 3 / m b 9 O L w + 2 g o w l f v E k / P 3 5 x / P S 2 + c X 7 N 6 p B 2 0 O o B u + / J / x B N W j g I y u w S f s 7 b j d v b C K s Y / b b t H Z M b l p v 3 4 S O Y / T b d O B Y / b b D d V x + a 5 Q 8 / a b v 3 E q / 3 R Y j T 7 f d H q X + P G 9 U H / 1 J v r G H 9 5 t p T 5 / d u o f e V N 9 K p 9 2 e R v 2 p v u k V T 5 f d + p X + h G 9 U T P 3 J v r G H 9 5 x r 2 / q h r 8 P 2 v 8 b y 8 v 7 O j V r M 9 h F o s X 1 F 8 N b w B 7 W Y g b + 7 R x n O P S j w B 5 t o 5 f j c v k i L x H v k C B 6 M 9 2 8 X 6 9 o X H + w f 7 O / d H 3 + q G v k G B W d e o 5 j 8 A S 3 1 b k L S 8 b 1 5 6 e D B w c 7 9 B w / 3 N q 8 A O R m w 7 x 3 s 3 n u 4 S 9 n I j S k p J w f v g a S n 9 M x b 5 H k e w D H e 9 F a f + 3 Y / p V X A / Q f j v Y e 3 0 4 H m v e 3 b v d h n l V s q w v f D r 8 8 f t 9 S G p v n t u u m z x m 2 I 3 m e M 7 X v 0 U E 7 s 4 f 7 t F K R 5 7 z a v e U r y v V 7 r s 8 Y t F e V 7 9 f K e / G B a P 9 w J l e V 7 r S b v 7 9 6 k J x 3 4 U E / u v i f 8 I T 1 p 4 e / t 7 d 0 / I P / w w R i z O z h u K w b + i x T B U s y 8 O X F m 5 c C + + O D T n Z 3 9 + 5 s z i V Y c 7 F v 3 7 + 3 s k g r a p F u t L N i X d o k W 9 z 9 9 s P d w s x d v x c F / 8 e D e z o P 7 + 5 t T p V Y e 3 g d N p y g d S W h h f m e j 5 P X 5 b m / v 4 c G n D 8 b 3 N p H R a U n 7 2 v a t 3 u v z y e 2 U 5 P t h 1 + e N 2 + n I 9 + u l z x Y 3 k 7 v P E d t k 3 n f 2 7 m + e 2 T 4 / 3 O I t p x 7 f 6 6 0 + R 9 x O O 7 5 X J + / J B 7 b 1 b q g c v 8 Z q 8 f 6 N q 8 W u k 1 B F 3 m 6 1 2 M E f V J E G / u 6 9 B x v d L M f 9 t 3 3 D M b 5 5 Y x N Z H d / f p r V j d 9 P 6 3 u 6 9 j U 6 E Y / b b v u H 4 / D Y Y e Q p P m 6 P Z j Y r u V q D 7 3 L C x e X 9 y b 6 n X b t X 8 / a b V 0 2 e 3 a t 6 b 2 A 1 U 7 E / p R t D v N 5 + e w r p V 8 / e b U k 9 T 3 a r 5 e 0 6 p b b 0 X V 1 G 3 X N d F M v 0 G 9 W Q 7 C N W T 6 o V b w x 9 U T w b + 3 j 2 y Z w 9 3 K R i 8 3 c L F + 7 7 o u N q 8 e L D R 4 3 N s f b v 2 j q 9 N + 1 0 K b X f u 7 e 3 u j T + 9 n d 4 K X t y 7 d 2 9 n 8 4 u O 3 W + H o a f A 9 I V b K T A D / J Y K 7 F b N + 9 N / S w V 2 q + b 9 q b 6 l A r t V 8 9 5 E 3 0 q B 3 X K K + n O 6 v f k N T 4 v d B n t P i 9 0 O I 0 + P 3 Q p + f 2 Z v G L F t f y / U Z F 9 j E X Z / / 0 Z t Z j s J t d n + e 8 I f 1 G Y G / t 7 + z j 4 J 8 f j e 7 X T Z e 7 3 m 2 N u 8 t m l G H H f f p r V j b t N 6 9 2 D v Y G / 3 0 / H 9 T S g 5 P n + v 1 x y 3 3 w Y 3 T 3 9 p 8 1 v p r 1 u B 7 n P I L f X X r Z r 3 J / q W + u t W z d 9 v h j 3 9 d T M V + / O 6 E f T 7 z a e n u m 7 V / P 2 m 1 F N c t 2 r + n l N q W + / 7 a u v + 1 1 h t u L 9 z o 9 a y f Q R a 6 7 4 i e G v 4 g 1 r L w L 9 3 / 9 4 + Z Y w o r a U K 8 Q a 1 Z d / b f 0 D 5 o h 3 K M 2 1 c p X B 8 b V 7 8 l L T d 3 s 7 e e P 9 W i w 3 2 t Y M H D 3 d 3 N + e 0 H J e b l / b 2 d 3 f v 7 + 4 9 u D d + c D t V 5 l 7 c + 5 Q U 8 8 H D z U s p j v n f A 0 1 P p 5 m 3 d u 9 / u v N g 7 8 H m F E 2 f / z 6 l F R H K b 4 w / 3 T R 1 n p 4 z 7 2 3 f 7 s U + s 9 x S 4 7 0 f f n 0 W u a X q e 7 9 u + t x x K 6 r 3 e W N 7 d / / B 3 s H u / c 2 e u q c Y b X + 3 e c / T k O / 3 X p 8 9 b q k q 3 6 + b 9 2 Q K 2 / p + q D P f a 9 H h / u 6 N 6 t K C D 9 W l y u G t 4 Q + q S w P / w Y M H 9 3 b 3 D u 4 / 3 L w K 4 G T B v X j / P g X 6 + 3 v j B 5 v Y 1 A m D e Z F W K 3 Z 3 P t 2 k Y 5 1 E m H f 2 7 z 2 4 t 3 + w G U U n D + a t e w e 7 n x I T Y O V u E 4 p O I t y L e 6 R n P 3 3 4 6 e Z 8 t p O I 9 8 H T U 5 f m t Y f U 4 c N N C t 3 T l e Y d W t u g 1 O a D z c v O n q 4 0 7 2 3 f 7 s U + p 9 x S V 7 4 f f n 3 2 u K W u f L 9 u + r x x M 8 n 7 b L F 9 f 2 f n 4 f 7 D G / r q c 8 V t X v P U 5 H u 9 1 m e M W 2 r J 9 + r l P b n B t v 4 0 V J J f Y / H h / t 6 N q t J 2 E q p K j d h v D X 9 Q V X 5 q W G 1 v 5 + B g E 5 m c E B i U d j + 9 v 7 + z S d U 5 / j e v 3 D u 4 t y n X 4 C T A v L B / c O / + J o v v e P + 2 b z j O N 2 9 s m m 3 H 7 7 e F 7 2 l A f Q X N b t R 8 B v z 2 / v 7 9 v Y 0 i 2 O e N G 1 9 x H H 7 r V / r T v V E o + l N 9 Y w / 9 y d 7 Y Q 2 + m N 5 C 1 P 8 c 3 z l p / o r d v e s f T a r c Z g a f N b o u V p 9 F u 1 U N k n m 8 a t 3 3 j Q V y b 3 X K d 4 v 6 9 G z W Z 7 S D U Z M o j t 4 Y / q M k M / E 9 3 d 3 Z 2 9 n c f 3 t / s 3 z g G t y / u P L z 3 8 O H B 3 s 7 m F x 2 r m x d 3 9 / Y 2 T Y t j d P P C 9 q c 7 9 3 Z v q d f M O / s P D g 4 + f f D p p w / G n 2 4 S K 8 f 6 7 s W H F P 0 f 7 O 1 t f t E J w O 2 x 9 H S d v n Q r X e c I T i 7 l R v h 9 7 t m + + a U + S 9 z S u 7 s 9 X n 0 e u K V n d / s u e h x w K 3 3 3 H n P X n / A b 3 / E 0 3 u 3 f 6 c / 7 L Z 2 4 2 3 f x n j N u W x + E O u 9 r r G j c 3 7 9 R 7 9 l O Q r 2 3 / 5 7 w B / W e g f 9 w Z / c + l i Q 3 + f 2 O 1 8 1 b u 0 j G 7 D 7 c 3 / i a Y 3 f z 2 u 3 0 n W m 9 t / d g / 2 B j w s d x u 3 l n / 4 C U + H 3 K E 3 1 6 K 2 1 n u 6 K 4 f e / g 0 8 2 v O d a / P Y a e r t O X b q X r T A f b t + i h z z O 3 e K n P C L d 4 q c 8 H G w W m P / + 3 6 K P P B h v 7 6 H H A r f T d e + D T n / R b z I m n 8 W 4 z C k / Z 3 R 4 z T + X d q o + v N e P 2 n Y e + z v v 0 a y y H f L p z o 8 q z f Q Q q 7 1 M d 1 a 3 h D 6 o 8 A / / e 3 s H O / b 1 N m s s x u n 1 n Z + f B v Z 1 7 4 5 1 N F s U x v H t t D 7 m 2 T S 8 5 h j c v U U a B 3 K 5 b O n r m p d 1 P D + 4 f P H i w 2 Q l 1 E u C 9 t v / w 3 q f j h 5 t e c z L w H i h 6 m s + + R S j u j X c 3 v t V n O V r a 2 d v b H z / c + F q f i 7 Z v 9 V 6 f O z a q m z 5 j 3 K q X P m N s 7 C X C E r f p p c 8 U t y F 4 n y c e 7 u 9 s X C j 0 d K I l 9 k 3 v e B r x N i T w N O J t s f L 0 4 a 1 6 6 M / 8 j e P W N 0 g X h N r w v R Y 6 P t 2 9 Q R F 6 4 E N F u P u e 8 A c U o Y N / / y G l i j f m 4 g y / + + / s 0 M r I b S J d 7 5 3 d A 8 z O 4 B u G 3 9 0 b t D S 7 M f t q W N 2 9 c Y + c 2 I O 9 G 6 J 3 w + v + a 6 T X P 7 3 l o s b t 8 b P K z 7 2 y + 3 D X e O + b N Z 9 7 h d b Q H 9 5 G 6 b k 3 t m 9 6 p c 8 E t 9 J 3 t 8 e p P / u 3 U n W 3 7 6 A / 9 T d S t j / t e / f 2 7 2 / s p T / l 2 z e 9 Y 1 X c 7 Y Z u V d z t s b I q 7 p Y 9 9 C f 7 x n H b N 3 Z D F f c 1 l i k + v W m Z w u s k V H S 3 W 6 Z w 8 A c V n Y F P m b Z N D O K 4 / J Y v O C Y 3 L 2 y a B 8 f j 2 h q t b t J r N z Z 1 T H 1 j U 8 f M N z b 1 F N f N b f v c s l H W + / O + s X l / G m + p q m 7 V / P 2 m 0 N N T t 2 r + H v P o a a e b 2 7 7 H T H r q 6 O a 2 v Z n c 0 L Y 3 j R v a 9 u Z w w 9 h s 0 7 2 4 6 r n l m g L S 1 T e o H d t B q H Z u t 6 b g 4 A + q H Q P / / q d 7 e 7 Q S P 9 7 k + z i 2 f Z + 3 H P e a t 2 6 n g G 7 T 2 v G u a U 2 e 1 c 6 9 e w f j B 5 t Q c m z 8 X q 8 5 j r 4 N b p 5 6 0 u a 3 U k + 3 A t 3 n j 1 u q p 1 s 1 7 8 / z L d X T r Z q / 3 w x 7 6 u l m K v b n F a B v o a F u 0 9 x T U r d q / n 5 T 6 q m q W z V / z y m 1 r e + F C u t r L A g g C 3 e D 0 r K d h E p r / z 3 h D y o t A / / B 7 t 6 D h 2 M E x Y M j d 7 z 8 H i 8 5 j j Y v 3 U 5 l 3 a a 1 4 2 f T e n 9 n 5 + G n Y 8 z j 4 E u O s d / j J c f e t 8 H L U 1 f a / F b q 6 l a g + 5 x x S 3 V 1 q + b 9 K b 6 l u r p V 8 / e b X U 9 d 3 U z F / q z e U l 3 d p r m n r m 7 V / P 2 m 1 F N X t 2 r + n l N q W + / 7 6 u r B 1 8 j l P 9 i 5 U V v Z P g J t 9 U A R v D X 8 Q W 1 l 4 D 9 4 e L C 7 R + u 8 9 8 b 3 d 2 + l s d y L n 9 7 b f 7 i / t z v e m M h x j G 1 e 3 D 1 4 8 O n 9 n d 3 x / q e 3 U l / 2 N V q 6 / / T h e O f g V m r M Y r n 7 8 N N P P z 2 g 1 O / B p i S u Y 3 r 7 4 t 7 O p / d 2 d w / u j S H K g y 8 6 9 n 8 f P D 2 1 5 l 7 7 9 O D B 3 g 3 L D 5 6 K s + 8 9 e L C 3 e 2 9 v f G 9 j f 3 2 + 2 r 7 d i 3 2 G u a X W e z / 8 + l x y S / X 3 f t 3 0 + e N 2 Z O + z x / b D T / f v 3 T 8 Y 7 2 2 y 2 J 5 y N O / d 5 j V P S b 7 X a 3 3 m u K W y f K 9 e 3 p M j b O v 7 o d J 8 r 5 T / g 9 0 b 9 a U F H + p L 1 W m 3 h j + o L w 1 8 W u + 7 9 + D + 7 u 7 9 v c 1 + j p M E + y a p v Y M H D x / Q g t L O 7 T S m e X P 7 3 o M H O x u D Q C c Q 5 p 2 D X c L y P s 3 m j p L g B o X p x k e r O A / v 0 w j H + 5 v 4 w I m E e 3 O X s q P 3 H p I p 2 d 8 k h U 4 o 3 g 9 X T 2 n q i 2 h 2 o 6 K 0 R D z Y 2 9 0 7 + P T e z g 2 9 9 F n q l i / 2 e e W W L / Z Z 5 Z a u 4 n v 2 0 2 e S W z q N N 5 O 7 z w 2 3 n N M + M 2 z f 7 k 1 P S d 5 m N J 5 y f D 8 M P T V 5 q 3 4 i X H C r f h x + n 4 a K 8 m s s H E B V 3 K A u b S e h u l Q d c 2 v 4 g + r S w H + 4 9 2 B / f 5 O 2 c 8 x v X t n d e U h J r 9 s t k N p u H u z s 7 9 9 K P 5 o 3 9 j 7 d e 3 h w O 1 / S v r K z c 3 B w S z f S D u b B / v 2 D j a u 9 T g J u j Z q n C f W d W 2 l C A 3 9 7 9 9 P 7 D z e S y 1 O C d i A 3 v t O f / J v f 6 c / + L V X f 7 b v o T / 0 t t d 7 N p O 1 P 9 8 1 T 1 5 / u 7 R t f 8 n T d b c b g 6 b p b 4 + W p u V t 1 0 Z / s G 7 t w W D 2 I a 7 h b r k 8 8 u H e j d r M d h N p N 9 d C t 4 Q 9 q N w O f X B 5 y m X c + 3 b s / P r i d k u u 8 e X D w c P O b j u P N m 5 u m x f G 6 a b 1 n 8 p s 3 6 D i L F 0 U A 9 x 5 S h L 4 3 v r / p T c f 6 n T f 3 H x 5 s f t M J w O 1 w 9 J S d v n A r Z W e A b 9 8 A v c 8 0 N 7 z Q 5 4 I b X u h P / i 1 1 3 C 3 h 9 y f 9 l g r u Z n L 2 Z / k G X P q T e w P 9 P d V 2 G + w 9 1 X Y 7 j D y 9 d i v 4 7 z 2 7 t v 1 B q N S + x h r G g / 0 b F Z v t J F R s i u G t 4 Q 8 q N g N / 9 / 7 B 7 j 2 E u J u 8 H c f Y 7 / W a Y 3 D z 2 u 1 U 2 m 1 a O + a 2 K O 3 v f / q Q s o 0 b n W / H 5 + / 1 m u P 2 2 + D m K T J t f i t F d i v Q f Q 7 Z 2 L w / 4 R u b 9 y f 6 l h r s V s 3 f b 4 Y 9 / X U z F f v z u h H 0 + 8 2 n p 7 p u 1 f z 9 p t R T X L d q / p 5 T a l s / 9 N X W w d d Y y z j Y u V F r 2 T 4 C r X W g C N 4 a / q D W M v A p / f T w 4 e 7 B 3 s P x v d t 5 Y + 7 F n f 2 d v Q c 7 p L l U l d 6 g u c y L + 5 / u H t A 6 y N i 4 l j e o M N v f w 4 N 7 n 4 4 3 x i 2 O z c 1 L p J L 2 H + 7 e e 7 i / O V n t e N 5 7 k d Z b H h 7 s j H c 3 6 W X H / e + B p q f U L E 1 2 9 v f 2 x u D f 4 b f 6 / I c w m d b A b 0 i o 9 3 l q + 3 Y v 9 p n l l h r v / f D r c 8 g t V d / 7 d d N n j t s Q v c 8 Z 2 7 s 7 9 w / u j x 8 c 3 E 4 r W o a 6 + S 1 P O b 7 P W 3 2 + u K W O f J 9 O 3 p M X T G u w u q 8 q 3 2 s F 4 2 D 3 J i 3 p w I d a c v c 9 4 Q 9 p S Q t / / 8 F 9 W u 5 9 e P / B + N N P b 6 M l v R c f 3 N / f 3 X m w u / l F K w P 2 x d 3 d n T 0 K D W + j I u 0 7 Z M c e 3 t / d x M 9 W C N w 7 9 0 g I P r 1 3 / 7 Y a 0 n t x d / f e p w f 7 e 5 t f t J L w H l g 6 B W l e Q r O b 1 K L t Y J v 0 9 o N d 6 K P h H v o s d I u X + n x x i 5 f 6 P L F R c i K c c H M f f V b Y 2 E e P C z a Q N z L x N 8 9 f f 9 K 3 b 3 7 L q b 9 b j c L p v f f A z G m / 2 / X R n / G b + 3 B 4 7 Y b K 7 2 u s S h z c u C r h O g l V 4 O 1 W J R z 8 Q R V o 4 G P 9 9 m C T h X W M f u t X H L O b V z b N h u P y 2 7 R 2 T G 5 a f 3 q w c Y X E c f o t X 3 B c f h t 8 P K W m z W + l 1 G 4 F u s 8 N G 5 v 3 J 3 d j 8 / 7 E 3 l K D 3 a r 5 + 8 2 q p 7 t u p m J / R j e C f r / 5 9 N T V r Z q / 3 5 R 6 i u p W z d 9 z S m 3 r v b i K u u W y A t L w N 6 g n 2 0 G o n m 6 3 r O D g D 6 o n A 3 / / U 9 L K B w c b Y w D H y O / z l u N n 8 9 b t l N R t W j t u N q 3 3 D h 7 u f E r P D Y G J Y + 3 3 f N E x + W 3 w 8 5 S W N r + V 0 r o V 6 D 6 P 3 F J p 3 a p 5 f 6 5 v q b R u 1 f z 9 Z t l T W j d T s T + z t 1 R a t 2 n u K a 1 b N X + / K f W U 1 q 2 a v + e U 2 t b 3 Q q X 1 N Z Y N D v Z v V F y 2 k 1 B x 7 b 8 n / E H F Z e D v H + w e j D c 6 l I 6 V b / + O 4 2 f z z u 2 U 1 m 1 a O 2 4 2 r W n 9 Y n + M J O r g O 4 6 r b / + O Y + 3 b Y O W p K m 1 + K 1 V 1 K 9 B 9 r r i l q r p V 8 / 7 8 3 l J V 3 a r 5 + 8 2 t p 6 p u p m J / U m + p q m 7 T 3 F N V t 2 r + f l P q q a p b N X / P K b W t 9 3 1 V 9 f B r L B U 8 3 L l R U 9 k + A k 3 1 U B G 8 N f x B T W X g P 9 h 9 8 P D + / T H + H h y 5 4 2 X z F u X f H 3 7 6 6 R j M M v i W Y 2 n z 1 t 7 9 B / f v 7 W x e k 3 C c b d 6 6 t 0 v J t s 3 5 K M f f t q t P 7 x 3 c P 7 h t + s s h e A 8 5 5 3 u 3 W h 1 4 H w Q 9 P W b 7 2 j n Y 3 d n c l a f R 7 F t 7 9 x 8 e H I w f f n o 7 z W Z e 2 7 7 V e 3 3 u u K W K e y / s + n x x S 1 X 3 X r 1 E W O I W B O + z B K V 5 7 9 H q 9 y a z 7 O l A S + 9 b v O b p w t s Q w t O F 7 4 G b p x J v 1 U m f B W 7 R i c P s f q g Z 3 2 t l 4 O H u j U r R g g + V 4 u 5 7 w h 9 U i g b + L i L I 3 Y f j T 2 8 X e L r X 9 g / u 3 7 u / + T X H / u a 1 v f s b l y O d A J g X t n c 3 9 u B Y 3 7 x w f 2 f n 3 s M b V J R j f e + t + 5 / u 3 H Y l 4 J b I e Z p Q 3 0 C z G / W f p Z V 1 1 m 9 S f R a f m 1 7 p T / 8 t t d 5 t c e r P + C 0 V 3 m 0 7 6 E 3 4 B p L 2 p / m m C e t P 8 e Y X P L 1 2 m x c C z X Y b A n k q 7 Z b w 3 3 O G b e t P Q 2 3 2 n n m 0 h / d u 1 G e 2 g 1 C f q X 9 0 a / i D + s z A f 3 h / Z / d g Z 3 x / k + P l + P p 9 3 n K 8 b d 7 a R F r H 2 r d p 7 d j a t N 5 / + P C A A s z 7 m 2 b b M f j 7 v O W Y / D a Y e U p M m 9 9 K i d 0 K d J 8 7 N j b v T / Y t t d e t m r / f 9 H q q 6 1 b N e x N 8 K 7 1 1 K 9 D v N 5 + e y r p V 8 / e b U k 9 h 3 a r 5 e 0 6 p b f 0 g V F d f I 4 P 2 c P 9 G l W U 7 C V X W / n v C H 1 R Z B v 6 9 + w 9 2 K e t 9 K 4 V 1 + 3 c c P 5 t 3 b q e u b t P a c b N p v U u R y v 7 4 d k 7 X 7 d 9 x r H 0 b r D x V p c 1 v p a p u B b r P F b d U V b d q 3 p / f W 6 q q W z V / v 7 n 1 V N X N V O x P 6 i 1 V 1 W 2 a e 6 r q V s 3 f b 0 o 9 V X W r 5 u 8 5 p b b 1 g a e q H u y 8 f w b t w c 7 O j Z r K 9 u F r K n 7 x v e A P a i o D / 9 6 n + z v 7 + y D A 4 M A d K 7 u X 9 v Y e 7 F N 0 t d G z d z x t 3 t s j B O / v 3 D a F Z n v b 3 3 2 4 P 9 6 I o m N w 8 9 L B p w 9 2 P 3 2 w c 9 u o 0 b 3 2 6 Y O D g w f j h 5 v 0 s O P 5 9 0 D R U 2 X 2 r Z 3 9 3 d 3 x g 4 3 J i T 7 X 7 T 7 4 9 O F 9 y l 5 + e j v l Z l 7 b v t V 7 f Q a 5 p Z Z 7 L + z 6 n H F L b f d e v f S Z 4 j Y E 7 / P E v Q c H e + P 9 T U k O T w t a c t / 8 l q c M b 0 M G T x n e H j N P J d 6 q j 4 i C u L E P h 9 f D U D G + T w L t w Y 5 N c A 3 q R A s + 1 I m 7 7 w l / U C c a + A 8 e 3 t s / 2 N u Y a 3 W M 7 1 7 a f 7 C / f / 9 2 C t G 8 d G / v Y K O m c Z x v 3 t i 9 / 3 A X S m H w F c f 1 9 p V P 9 / Z 3 7 9 3 b v 6 0 u d O / t U O y 5 / + l t c 2 i 3 R t F T h f a d B 5 / u b b I K n h 4 0 r 2 z v 7 n 2 6 h 7 + G X + q z z s 3 v 9 N n h 5 n f 6 3 L B R n / X 5 4 O Y u + p y w s Y s I F 9 x E 4 Q g D 7 O / u H x z c T u + 5 W b n p J U / t 3 W Y o n t q 7 N V 6 e 1 r t V F 5 E 5 v 3 H o 5 h U M x 1 d 6 7 5 d n e 7 B z Y 5 7 N d R C q v V v l 2 T z 4 Q 2 r P w n + w d 0 C L J b d b N X i f l y y 7 2 5 c 2 T Y Z l 9 F u 1 t n x u W + 8 + u P f p 7 o M H m / S w 5 f T 3 e c m y + q 3 w c i r O N E e z m 3 T b 7 U D 3 O W N j 8 / 5 E b 2 z e n + L b 6 b L b N X + / 2 X V q 7 B Z U 7 M / q R t D v N 5 9 O a d 2 u + f t N q d N X t 2 v + n l N q W + + G q u r 9 c 2 w P d v Z v V F e 2 k 1 B d q W z d G v 6 g u j L w 9 8 i g 7 d 8 f b 1 x 9 d M z 8 P m 8 5 n j Z v b S K v Y + n b t H Y c b V p T A L 6 z u z m S d q z 9 H i 8 5 B r 8 N X p 7 C 0 u a 3 U l i 3 A t 3 n j V s q r F s 1 7 8 / x L R X W r Z q / 3 + x 6 C u t m K v Z n 9 Z Y K 6 z b N P Y V 1 q + b v N 6 W e w r p V 8 / e c U t t 6 r 6 O w X r x J P z 9 + c f z 0 t j H l / R u 1 l e 0 h 1 F a q H m 4 N f 1 B b G f i b x u s 4 2 L T + d H y w K e Z y P H w b 8 I 6 F b w n e M f E t X 3 C c f B t 8 H C P f E r y n m / S N W + k m A 3 3 7 J v B 9 b r j p D T u / t 3 6 j P 8 e 3 1 F K 3 7 a A / y 7 d U V D e T t D + 9 N y H T n + K b J s H T V 7 f B 3 9 N X t 8 T J U 1 m 3 6 u D 9 p 9 i + c M / X W r t f Y 3 0 A D H + D 3 r J 9 B H p r V 4 d 0 a / i D e s v A v 5 3 e u k 1 r x 9 K m N a 2 p U l Z q 5 9 N b 6 a 7 3 e M n x t n l p / + D + L b N f 9 h V a R N n 9 d L y 3 f y t F 9 h 7 I e c r M v L W L r v b H D 2 + X A L s V s T 2 d d q v m 7 z f x n j a 7 V f P + 1 N / S 5 7 p V 8 / 5 0 3 4 q g / S n f p k W F e z u 3 V m 3 m t V u 8 5 W m 3 9 3 n r / e b c 0 3 D v 0 8 l 7 T r 1 t v R 9 q u f d K 9 o O b b 1 B w F n y o 4 H b f E / 6 g g j P w b 6 f g b t P a c f l t W j s m v 0 1 r x + O m 9 X u o t F u / 4 n j 7 N j h 5 m k y b o 9 m N 6 u t W o P t 8 c E v 1 d a v m 7 z e v n v q 6 V f P 3 m 1 l P f d 1 M x f 6 c b g T 9 f v P p K a l b N X + / K f W 0 0 6 2 a v + e U 2 t b 3 Q 7 X 0 n u l 4 c N I N i s l 2 E C o m t T W 3 h j + o m B T + M B c 4 7 r 2 x q e P c G 5 s 6 r j U D v J 0 + M q 1 3 K S O 1 s + k V x 7 u 3 f s X x 7 2 1 w 8 v T R j a P 1 9 N G t Q P e n / 5 b 6 6 F b N e z N 6 W 3 1 0 q + b v N 7 O e P r q Z i v 0 5 v a U + u k 1 z T x / d q v n 7 T a m n j 2 7 V / D 2 n 1 L b + N N R H X y P n D v a 4 Q S f Z T k K d t P + e 8 A d 1 k s K / j U 6 6 s a n j 3 h u b O s 4 1 A 7 y d T j K t 7 + 2 N 9 w 9 u p Z J u + 4 b j 4 N t g 5 G m k G 8 f q a a R b g e 5 P / i 0 1 0 q 2 a 9 + b z t h r p V s 3 f b 1 4 9 j X Q z F f t T e k u N d J v m n k a 6 V f P 3 m 1 J P I 9 2 q + X t O q W 3 9 w N d I e 1 8 j P Q U y 3 K C Q b B + B Q t p T B G 8 N f 1 A h G f i b R u x 4 2 L S + f 3 / n 3 v j + p x v e c Y x 8 m x 4 c H 9 + + B 8 f M 5 p 0 b w z L H 0 + a V 3 f s P 7 9 8 f P 9 j U j + P s 2 + P m 6 S v z 0 t 7 O w w f 3 x g / v b 3 q r z 1 r b t + i r z y y 3 e K n P A b d 4 q c 8 I t 1 R m 7 9 F H n x V u q d L e h 9 B 9 R t j e v b / / Y G d 8 7 + H t l J z j n x v f 8 n T d + 7 z V 5 4 V b q r z 3 6 e T 9 9 I B D 6 S D U f O + V s s L I b l B 6 F n y o 9 G 6 X s n L w B 5 W e g b + 7 / + D h w a 0 U n 3 n j w b 2 H m w j q O N 6 8 c D u t Z 1 p v 3 w D f c b t 5 4 x 6 Y / Z Z K z w 5 7 9 9 6 D v d s m s G 6 L m q f y 9 B U 0 u 1 H R 3 Z K w n p K 7 N U L 9 + d 7 I 3 O 8 9 2 Z 5 + u 1 U H / e m + q Y P e d G 8 g a X + a b y R Q f 5 J v e M N T Z b d 9 o z / T t 1 R j t + 3 g P W f Z t n 4 Y q r D 3 T G + h 2 x u U m O 0 g V G K 3 S 2 8 5 + I N K z M D f O z h 4 M N 5 R s D e o s d u / 4 3 j b v H M 7 T X a b 1 o 6 t T e v d / Q N S Y / d v p 8 b e 4 y X H 4 b f B y 1 N h 2 v x W K u x W o P t 8 s b F 5 f 5 p v q b t u 1 f z 9 J t d T X L d q 3 p v e W 2 m t W 4 F + v / n 0 1 N W t m r / f l H q 6 6 l b N 3 3 N K T e t 7 O 6 G i + h p 5 L y T + N y s r 1 0 m o r P b f E / 6 Q s r L w d 3 c e P r x 3 S 2 3 1 P i 9 Z j r Y v 3 U p d 3 a q 1 5 W f b + t 7 u w 9 3 d 8 f 2 9 2 6 i r 9 3 n J s v e t 8 H L q y j S / j b q 6 H e g + Z 9 x O X d 2 u e X + K N z Z / v 8 l 1 6 u p 2 z X v T e x t 1 d T v Q 7 z e f T l 3 d r v n 7 T a l T V 7 d r / p 5 T a l v v + u r q 3 t d I i q G / G 7 S V 7 S P Q V v c U w V v D H 9 R W B v 6 9 + / e x t L Z J Z B 0 r 2 5 f 2 7 + / t 3 9 u 5 P 7 5 d p G j f e / j p A a m I 8 f 6 m x I V j b f P W 9 h 4 F c 5 / e M l N m 3 9 r 7 l E b 2 8 P 5 t I 0 f v v U 9 3 P 7 2 3 u z N + e C u v 6 7 2 w 9 N S Z e W 1 / 7 + H B 7 n h n f 9 N b f c 5 7 e P D w 0 4 e f j n d 2 b 6 f g L I 6 3 e q / P J L f U d O + F X Z 8 7 b q n x 3 q u X P l / c h u B 9 r t j + d P / e / Q f j j Z P b 5 4 m b X / I U 4 n u 8 1 G e I W 6 r F 9 + j j P b n A t t 4 L l e N 7 5 c 3 Q 1 Q 1 6 0 Y I P 9 a I y w a 3 h D + p F A / / h z s N 7 D 3 f u b S K R Y 3 z 7 0 t 7 u p / T i 7 Z S i e W l 7 b 3 / v 0 4 N b a U T z C o 3 m / o O N 6 V / H 9 + a d + / c o W 7 q z v 3 N b f W j f 2 3 2 4 f 7 C 3 f 8 O y g + P 9 2 + P o a U N 9 C c 1 u 1 I G W b r t 7 9 3 Z 2 P t 3 k M n s q 0 K F 1 4 0 t 9 Z r j F S 3 1 m 2 C g u f T a 4 R R 9 9 R r i l 1 3 c z e f v z f o v 5 6 0 / 6 9 s 1 v e R r v N q P w d N 3 t M f M 0 3 q 3 6 i M 3 4 j a O 3 7 9 w L N Z 5 J s 5 1 8 + / Q n v j q 9 n V 7 a u 1 H v 2 U 5 C v a d + 2 6 3 h D + o 9 A 3 9 v Z 2 f n Y J O k O 0 a / 9 S u O 2 c 0 r m 2 b D c f l t W j s m N 6 1 J z 9 3 f v 5 W K u + 0 b j s 9 v g 5 G n 1 r T 5 r d T a r U D 3 + W F j 8 / 7 0 3 t K T u 1 X z 9 5 t W T 3 v d q n l v Y m + l v W 4 F + v 3 m 0 1 N Y t 2 r + f l P q q a p b N X / P K b W t 9 + N K 6 p Z r A e j s B g V l O w g V l B q 0 W 8 M f V F A G / q c P H j 7 c v f f p p l E 7 P n 6 P l x w 3 m 5 d u p 6 R u 0 9 r x s m l 9 f 2 d 3 f / / h / b 3 x p 6 r B b 1 B V 7 / e e Y / D b Y O c p L G 1 + K 4 V 1 K 9 B 9 / r i l w r p V 8 / 5 E 3 1 J h 3 a r 5 + 8 2 x p 7 B u p m J / Y m + p s G 7 T 3 F N Y t 2 r + f l P q K a x b N X / P K b W t 7 4 c K 6 2 u s C a D D G 5 S W 7 S R U W v v v C X 9 Q a R n 4 9 / f u U e T 1 6 a e 3 U l r v 8 Z L j a P P S 7 Z T W b V o 7 f j a t K e 3 3 6 c O x 8 T l v 0 F j v 8 Z J j 7 9 v g 5 a k r b X 4 r d X U r 0 H 3 O u K W 6 u l X z / h T f U l 3 d q v n 7 z a 6 n r m 6 m Y n 9 W b 6 m u b t P c U 1 e 3 a v 5 + U + q p q 1 s 1 f 8 8 p t a 0 / 9 d X V f n R N Y L M 2 2 d + 5 U V v Z P g J t t a 8 I 3 q C t H P x B b W X g 7 + 3 s 7 W t C 7 Q Z V Z d 7 Y / 3 R v f K B a 8 w Z F Z V 6 h b N T e w 5 3 x 3 q a O H E v b t 0 i d 7 O 6 N d z Z F 5 o 6 z 7 Y D 2 H z y 8 9 U K A e e m A E s w 3 L M k 6 R n 8 f / D w F Z l 9 7 + P B T W j l 9 s I k Y n i 5 z r z 1 4 c D C G 5 A + / 1 W e f 7 d u 8 1 u e K W 6 q 2 9 8 G t z x W 3 1 H D v 0 0 m f H W 5 F 7 T 5 D b H 9 6 n 3 K 7 m w 2 y p / v M a 7 d 4 y 1 O B 7 / N W n y F u q Q n f p 5 P 3 Z A T b + k G o E N 9 r H Q D a 5 w Z d a M G H u l C n 9 N b w B 3 W h g b + / + / B g E 3 0 c 4 9 s 3 9 u 4 f H N x K F Z o 3 b u e z m d a f b l y s d d x u 2 t / f f b B / a + X n X t r d 3 7 1 t y v 9 2 m H l q T 1 9 A s x t 1 n Q G + f Q P 0 P m v c 8 E J / r m 9 4 o T / V t 3 T f b g m / P 9 W 3 d O B u J m d / g m / A p T + 5 N 9 D f U 2 G 3 w d 7 T X b f D y N N e t 4 L / 3 r N r 2 x + E i u s 9 M 2 X 7 N 2 f K b A e h 6 r p d p s z B H 1 R d B v 4 m + j h e v k 1 r x 8 q m 9 c H D v f u 7 4 / u b 3 B z H z u / x k m P q 9 3 j J c f d t B u N Y + z 2 6 8 J S X v n U r 5 X U b f D z N d a v m 7 z f R n t a 6 V f P + V G 9 s 3 p / k W + q s m 6 n Y n 9 X b z F N / d r d v 8 Z q n v W 4 z D k 9 7 v Q d u n g q 7 V S f 9 i b 5 F J w 6 z h 6 E e + x o J t P 3 9 G 3 W Z 7 S T U Z f v v C X 9 Q l x n 4 D y l U / F S h 3 q D Q b v 2 K Y 3 X z y q b p c J x + m 9 a O 0 U 3 r 3 b 2 D v f H D T 2 + l x m 7 / j m P 3 2 2 D l a T F t f i s t d i v Q f Z 6 4 p R a 7 V f P + 9 N 5 S i 9 2 q + f v N r a f F b q Z i f 1 I 3 g n 6 / + f T U 1 q 2 a v 9 + U e v r q V s 3 f c 0 p N a y S m n K K 6 / z V S Z / d 3 b t J T r o 9 A T 9 1 X B G 8 N f 0 h P W f j 3 d w 9 2 P n 2 w O z 6 4 j a q y b + 0 / + P T h g 9 2 D 8 c 6 m e M v y t H t t f + f h / v 3 x p 7 u 3 U V v 2 r b 2 H t B Y 6 3 h i i W g Z 3 L z 3 Y / f Q + K a O d T X 1 Z X v d f 2 3 t 4 7 + F m k 2 V 5 / n 1 Q d K r M v f X p v f 2 H 4 / 2 N X n 6 f 6 / Z 3 d x 7 e v z d + s C n P 5 5 S b f W 3 7 V u / 1 G W S j S E Q 4 4 z a 9 9 D l j Y y 9 9 l r h V L x G m u A X B + z x x 7 9 P 9 v f H + p 7 f S g o 7 c N 7 / l l O G t y O C U 4 X t g 5 l T i 7 f r o z / / N f T i 8 d k P F + F 4 p t P u 7 N + p E C z 7 U i S r h t 4 Y / q B M N / N 3 d + w f 3 d 3 b u j T e N 2 r G + 9 9 r 9 e / f 2 d j a + 5 l j f v L a 9 + + m 9 g 4 e 3 0 o j 2 l f 2 D n Q e 3 S q r Z V + 7 f f 0 C j 2 h 1 / e q u 4 1 L 3 2 6 e 7 D T 0 n S N r 7 m u P / W C H r a U N 9 B s x t 1 o I F / b / f T g 1 v q P 4 v S j e / 0 G e G W u u / W W P U n / 5 Z 6 7 9 Y 9 9 C Z + A 1 n 7 s 3 3 z t P W n + q Z X P C 1 3 6 1 f 6 E 7 5 R a f U n + 8 Y e 3 n O u b e u 9 U M O Z X N v J t 0 9 / 4 q v T 2 + m h v R v 1 n O 0 k 1 H M 6 o F v D H 9 R z B v 6 9 g 0 / 3 N z l w j s P N G w 8 e 7 D 3 c v 5 V 2 M 2 9 s I q v j 7 9 t i 5 N j b v H G w t / t g k 7 5 1 T G 7 e 2 L 9 3 f 2 + T u n U s f l u s P G W m r 9 x K m R n w 2 z f C 7 7 P G j a + 8 / 2 x 7 C k 1 f u W X I e v s e + h O + s Y f e b N 9 K m d 0 a m / 5 E 3 z g T n j K 7 z Q g 8 R X Z b r D x l d q s e v s Y 8 2 z f u x Z X Z L R c O 7 t v E / q A i s x 2 E i k w t 2 K 3 h D y o y A 5 9 i g Q f 7 G 1 e F H W / f / h 3 H 4 O a d 2 y m z 2 7 R 2 r G 1 a 3 9 + 7 T z H k z n j n d t r s v V 5 z n H 4 b 3 D x 1 p s 1 v p c 5 u B b r P G x u b 9 6 f 6 l i 7 Z r Z q / 3 w R 7 2 u t W z X t T f C v t d S v Q 7 z e f n t K 6 V f P 3 m 1 J P Y d 2 q + X t O q W 2 9 H y q r r 7 E 6 c H / / R o V l O w k V 1 v 5 7 w h 9 U W A b + 3 t 7 e / h i u 5 + D A H S u 7 d + 5 / O t 4 Y K D p + N u / c T m G Z 1 v c o 0 D + 4 l d I y b + w + 3 D 3 Y v G b h O N u + c 3 D w 6 R j C N P i O Y + / b Y u a p L H 3 l V i r L g N + + E X 6 f R W 5 8 p T / r N 7 7 S n / R b 6 q 9 b 9 9 C f 9 F v q s J v J 2 p / p G 7 H p T / S N M + E p s 9 u M w F N m t 8 X K U 2 i 3 6 u F r z L N 9 4 7 6 v 1 D 7 9 G i s J n + 7 c q N N s H 4 F O + 1 T H d G v 4 g z r N w N 9 9 8 G B n 7 8 H B 7 Z S a e + n T n T 3 K 5 W 5 c f 3 B 8 b l + 7 t / M p J d o 2 r j Q 6 V j d v U Z b + 3 v 3 x x n D R M b x 5 6 d O d g 0 9 3 a U X g 0 0 2 a 1 / G + e + 3 h g 5 3 9 G 1 Z I H P + / B 4 q e r j N v 7 e 8 c 7 O + P o T 6 G 3 + o z 3 e 7 O z q c H 9 8 d 7 t 9 N 7 5 q 3 t 2 7 z W 5 4 6 N a i b C F 7 f o p M 8 W G z v p 8 8 N t O u k z x G 2 I 3 e c H I t v D n Y P x v V v q Q 4 f i j W 9 5 G v F 9 3 u r z w 0 Y t 1 2 e E 2 3 T y n n x g W 3 8 a 6 s X 3 W k j A 6 u I N K t G C D 1 W i q q 5 b w x 9 U i Q b + v U / v f / r p 7 s G 9 M Y Y / O G z H / e 6 9 T / f v P b x 3 M D 6 4 3 f q q e W 8 T c R 3 7 m 9 Y P H j y 4 f 3 / z a p j j f v P S L n m u D + 9 / S t 7 r J g F w / O / e 2 6 U F 4 5 2 H 4 5 1 N / T k B e A 8 k P Y W o b 6 H Z j W r Q 9 L B 9 m y 7 6 v H O b t / o c c Z u 3 + v x w S y / w f T r p s 8 M t H c G b S d y f / N s g 1 J / 6 2 0 y M p / x u M w 5 P 6 7 0 H b p 7 y u 1 U n X 2 / a 7 U s P Q u X 3 N d Y Y P t 2 7 U Q X a T k I V q B j e G v 6 g C j T w N x H K M f p t W j s + v 0 1 r x 9 + 3 a e 3 Y 2 7 S m t d z 7 l F Y 7 + P R W W u 5 9 3 n K M f h v M P O W m z W + l 3 G 4 F u s 8 N G 5 u / 3 + R 6 a u x W z d 9 v e j 3 9 d a v m v Q m + l f 6 6 F e j 3 m 0 9 P Y d 2 q + f t N q a e p b t X 8 P a f U t j 6 I q 6 h b r h x 8 e u 9 G 9 W Q 7 C N X T v f e E P 6 i e D H x a C 9 z Z 2 7 v l 0 s F 7 v O S 4 2 b x 0 O 2 V 1 m 9 a O l 0 1 r D P v B / s a c m m P q 9 3 j J s f Z t 8 P J U l T a / l a q 6 F e g + Z 9 x S V d 2 q e X + K N z Z / v 8 n 1 V N W t m v e m 9 1 a q 6 l a g 3 2 8 + P V V 1 q + b v N 6 W e q r p V 8 / e c U t v 6 Y a i q v s a 6 A f L b N 6 g r 2 0 m o r v b f E / 6 g u j L w K V W 2 M 7 6 3 y Y 1 0 r O z e e b A 3 f r j p H c f P 5 h 0 h 7 U 3 K y r T e 3 n 0 w 1 q H e o L D M G 7 u 7 n z 4 c 7 x 3 c S l + 5 d 2 j d 4 N N N 7 z j 2 v i 1 m n s r S V 2 6 l s i x K N 0 D v M 8 i N C P X n / J a a 6 7 Y 4 v d 9 k e 8 r r t h 3 0 Z v t W + u v W B O p P 8 g 1 v e G r s t m / 0 Z / q W m u y 2 H b z n L J v W 9 3 d 8 Z f b g a 6 w X P N i 5 S Z e 5 P g J d 9 k A R v D X 8 I V 1 m 4 T / c O / j 0 V m k x + 8 a n e w 9 2 x z u b C G u Z 2 7 5 D a N 0 / O N i c U b c 8 b t + 6 d + / h w / 2 N a x K W y 7 2 e H l K + / 9 6 D 2 y g 1 9 9 L u w f 2 9 8 S b k L L + / B 3 J O r b m X 9 g 4 e U v J N H e g b F J x 9 i 2 b o 4 b 3 N y y x O y d m 3 t m / z W p 8 h b q f o 3 g u 3 P j / c T t m 9 V y d 9 V r g N s S O 8 g H W w B 5 v 4 x y k / R + u b 3 3 I K 8 F Z U c N r v P T B z O v B 2 f f R n / + Y + H F 6 7 o R p 8 r + W B B 7 s 3 a k A L P t S A u + 8 J f 1 A D G v i k m n Y 2 M o l j e v v K / r 1 P 9 z a 9 4 j j e v L J p H h z D m 9 b 3 D j 4 F v w y + 4 Z j d v P H p / s 6 9 3 d v q P T u O + / u 7 N 7 z k e P 2 2 u H l q T 1 9 B s x u V n Q G / f S P 8 P o v c + E p / 1 m 9 8 p T / r G 5 v 3 Z / z G H v r T v r F 5 b 8 4 3 k L U / 1 T d i 0 5 / o G 2 f C U 2 m 3 G Y G n 0 m 6 L l a f Q b t X D 1 5 h n + 8 Z e q M 7 e M 5 v 2 4 M Z s m u s g V G i 3 y 6 Y 5 + I M K T e E P s 4 V j 6 R u b O n a + s a l j Y z P A 2 2 k u 0 3 p v b 2 d n 0 x u O l 2 / 7 h m P l 2 2 D k 6 a s b x + r p q 1 u B 7 k / + L d X U r Z r 3 5 v O 2 K u p W z d 9 v X j 3 1 d D M V + 1 N 6 S 9 V 0 m + a e V r p V 8 / e b U k 8 j 3 a r 5 e 0 6 p b X 0 v 1 E Z f I 2 H 2 Y P 9 G j W Q 7 C T X S / n v C H 9 R I B v 7 u P f I r x x u T 3 I 6 X 3 U s 7 u 5 + O 7 2 1 6 y X G 0 e W k T c R 1 D m 9 b b D / d u G V 5 a p B 7 s 3 B / v 3 U p b u V c e b u r D M f d t s f I U l r 5 y K 4 V l w N 8 E v c 8 e N y L U n / F b 6 q 3 b 4 v R + E + 2 p r t t 2 0 J v p W 2 m v W x O o P 8 k 3 v O E p s d u + 0 Z / p W + q x 2 3 b w n r N s W + / 7 q u z g a 6 T L D n Z u 1 G S 2 j 0 C T H S i C t 4 Y / q M k M / N 1 7 9 x 7 c e 3 g r P W Z e e b i z u z P e 3 6 Q z H H f b b j 7 9 9 M E u 5 c t 2 b 6 X O z F v 7 u w 9 p Y Q L S O P i S 4 3 P 7 0 n 3 S a b c N H M 1 L l D F F t L l p U I 7 l 3 w M 9 T 7 X Z r n Y f 3 K d 8 4 0 b x 6 v P a 7 t 7 + g 7 2 D 8 f 1 b a j r z 2 v a t 3 u u z x S 3 V 3 X t h 1 + e K W + q 8 9 + q l z x C 3 I X i f I 3 Z 3 9 u 5 R s m 1 T K t n T g o 7 e N 7 / m q c L b E M L T g + + B m 6 c O b 9 V J R D P c 3 I n D 7 H 6 o E t 8 r d X a w e 6 M 2 t O B D b a j a 5 N b w B 7 W h g b / 3 Y P / e w S Y l 4 F j f v f L p g 7 3 b K U P z y q a J c F x v O 7 i 3 v + k F x + / m h Y d 7 u w / v 3 1 Y B m p c O H h 7 c v + E l x + 2 3 R M 1 T f v o G m t 2 o 8 g z 0 7 Z v A 9 / n j p j c i M 3 7 D G / 0 J 3 9 i 8 P 9 k 3 d d C f 8 I 3 N e 9 O 9 g a T 9 W b 4 J m f 4 U 3 z Q J n j K 7 D f 5 Q Z u + H k 6 f I b t X B + 0 + x f e H T U I m 9 Z 8 L s 4 N 6 N a s x 2 E K o x d S B u D X 9 Q j R n 4 B w e 7 9 + 8 r 1 B v U 2 K 1 f c Z x t X r m d G r t N a 8 f U p j V l / 2 + Z Q 7 v t G 4 6 1 b 4 O R p 7 q 0 + a 1 U 1 6 1 A 9 / n h l j r r V s 3 7 U 3 t L h X W r 5 u 8 3 r 5 6 2 u p m K / S m 9 p a q 6 T X N P T d 2 q + f t N q a e j b t X 8 P a f U t n 4 Q K q i v k U M 7 2 L 9 R S d l O Q i W 1 / 5 7 w B 5 W U g U 9 R 2 q f 7 4 4 e b / E v H y 9 5 L 9 / b G + 5 v c F M f R 5 q X b K S r T e h s d H N x K W 5 l X 7 t O a z P h T p d A N + s q 9 8 / D + e H e T 4 + g 4 / N a o e W p L 3 7 m V 2 j L w b w T f 5 5 K b U e r P / C 3 1 1 6 2 x e r 8 Z 9 3 T Y r X v o T f m t 9 N j t a d S f 6 p t e 8 R T a r V / p T / g t l d q t e 3 j P u b a t D 3 z F 9 v B r Z N Q e 7 t y o 1 2 w f g V 5 7 q A j e G v 6 g X j P w N 4 3 Y M f d t W j u + v k 1 r x 9 a 3 a e 0 4 2 r S m F N 3 + b a N G 8 8 7 + / U 8 f H I w 3 h r + O t W + D l q f A b B / 7 O 7 v 3 x g c b 8 x B 9 T t r Y S Z 8 p N j Z / v z n 2 N N i t m r / f L H v a 6 1 b N + / N 8 G 3 r 2 Z 3 r 7 N q / 1 5 / o W b 3 m a 7 H 3 e e r 8 p 9 5 T Z + 3 T y n j N v W z 8 M 9 d l 7 p c M e 3 p w O s + B D V X a 7 d J i D P 6 j K D P y 9 e 5 / e L h l m X t j d N T m 5 G x S a e W E T O R 2 n m 9 b b N 8 B 3 z G 7 e 2 D + 4 d 1 u d Z s d w o x 5 0 b H 5 b x D y 1 p q + g 2 Y 3 K 7 J Z k 9 f T Z r R H q T / Y t d d p t c X q / u f b U 2 m 0 7 6 E 3 2 B p L 2 Z / l G A v U n + Y Y 3 P D 1 2 2 z f 6 M 3 1 L H X b b D t 5 z l k 3 r T 3 d C / f W e m b C H N 2 b C X A e h B r t d J s z B H 9 J g B v 4 w S 1 i G v r m p 5 e S b m 1 o u t g P c R G / L w b b 1 w 1 1 K C Y z 3 9 2 + j s N 7 n J c v M t 8 L L a a u b R + y 0 1 e 1 A 9 1 l g Y / P e j N 5 S T d 2 u e W 9 m b 6 m j b t e 8 N 7 2 3 U V C 3 A / 1 + 8 + k 0 0 + 2 a v 9 + U O r V 0 u + b v O a W 2 9 W 6 o k 7 5 G 8 u v h / o 1 6 y X Y S 6 i W V r V v D H 9 R L B v 7 9 n Y P N K 9 K O k 8 0 r e / f 3 x z u b h N x x s 3 l l E 2 E d M 5 v W 2 z f 2 4 D j 6 N j 0 4 n r 7 1 E B x f 3 x 4 p T 1 v p S 7 f S V r f G y V N Z 7 4 F U f 8 p v q b h u j 9 f 7 z b e n v W 7 f R W / C b 6 X C 3 o N M / Q m / 8 R 1 P m 9 3 + n f 6 8 3 1 K l 3 b 6 L 9 5 x x 2 3 r P 0 2 s H O + + f + z r A s t c N a s 3 2 4 a u 1 A 7 N e d m v 4 g 2 r N w L 9 3 7 9 M H m 0 b t 2 N y 8 s b t z f 4 x V k M F X H J e b V x 7 s 3 t + 7 P z a r p j c o N 4 v Z g 4 e f 7 o 7 v P b y V d r P I 3 T s 4 O L i d i r O v 7 O 8 e k D d 2 f 1 N H j u n f A z t P z Z m 3 9 n c e 3 n s w f r j J j H g K z 8 3 R f Q p w N 7 q L n s o z b 2 3 f 5 r U + Q 8 S I Z 5 v 3 u e E 2 n f Q Z 4 p Z q 7 3 0 6 6 f P C b Y j d Z 4 f t v Y c P b u A G T w e a t 2 5 + y V O C 7 / F S n x l u q Q X f o 4 / 3 5 A H b + l 6 o B t 8 n Z X a w s 3 u j B r T g Q w 2 4 + 5 7 w B z W g g f / p w e 6 9 T Z z l e N 6 + 8 e D B x m y T 4 3 f z x v b e J p I 6 h r f t 9 3 c 3 d e B 4 3 b y w t 7 9 P 7 u y t 9 J 7 3 y o O 9 T Q N 3 X H 5 L t D y F p 2 + g 2 Y 1 q z k C / 9 3 A j 8 D 5 n b N / w R n + u b 6 n c b o l R f 5 5 v q d d u C b 8 3 z R v I 2 Z / f m y a r P 7 2 b X / A U 2 C 1 f 6 E / x L Z X X L e G / 5 / z a 1 v u h 4 n q / X N n B z r 0 b V Z f t I F R d 6 v / c G v 6 g 6 j L w b + e 4 3 a a 1 Y + X b t H a c f J v W j o 1 N 6 7 2 D e 7 u 7 D 8 d 7 n 9 5 K Y b 3 P W 4 6 p b 4 O Z p 7 C 0 + a 0 U 1 q 1 A 9 7 l h Y / P 3 m 1 x P V 9 2 q + f t N r 6 e p b t W 8 N 8 G 3 0 l O 3 A v 1 + 8 + m p q F s 1 f 7 8 p 9 R T U r Z q / 5 5 T a 1 v d D 9 f T + a b M D h L 0 3 q C j b S a i i 9 t 8 T / q C K M v D 3 9 u + N N w m s Y + T b v u F 4 2 b x x O 1 V 1 m 9 a O k 0 3 r T / c o U X 8 r N X X b N x x L 3 w Y j T 0 V p 8 1 u p q F u B 7 n P D L V X U r Z r 3 Z / a W K u p W z d 9 v X j 0 V d T M V + 1 N 6 S x V 1 m + a e i r p V 8 / e b U k 9 F 3 a r 5 e 0 6 p b f 2 p r 6 L 2 v k Y G D G S 4 Q U P Z P g I N Z Q K p W 8 M f 1 F A G / u 7 e 7 s 7 u 3 v 0 H Y 9 B g c O y O m 9 1 7 O z s P K R Q c 3 9 / 0 n m N r r 7 / 7 B z t j j W N v U F r m p X s 7 O y b 3 d 4 P i c t 0 8 O N i / d / 9 g D J 4 Y f M / x u v / e 7 u 6 D + + O N v r d j + t t i 6 C k y 8 8 o e h d 6 f j h 9 u I p + n 0 s x b D 2 8 k n 6 f Y z E v b t 3 i r z x q 3 1 G / v g V m f H W 6 p 5 d 6 j j z 4 v 3 I b Q f U 6 4 t 3 t w b 7 y z 8 a U + G 2 z f / J a n A m 9 D B E 8 F 3 h 4 z T x H e q o / + 3 N / c h 8 P r Q a g O 3 y s T h u H d o A k t + F A T 3 i 4 T 5 u A P a k I D f + / + w 3 s P 9 / Z 3 x n B Y B 4 f t + N 6 + 9 + n O 3 s O D 3 b 3 N 7 z n W d + / t f 3 o r L W h e e H h v D 3 w 6 + I b j f N f F v b 2 9 h 7 s 7 4 4 N N q D n e 9 9 + 7 9 4 C W B T a + 5 9 j / t h h 6 W t C + s r + z k W 6 e C j S v b D / c u f 9 g k 1 r 3 N K D t 5 q Z X + v x w 4 y t 9 V r i l i 3 f r H v o 8 c E s 3 7 9 b U 7 c / 9 9 s F G t v S U n n l j 8 w u e v r v l C / 0 Z v 6 X T d 0 v 4 / a m + n d t 3 E O q 5 9 0 y c o d s b N J 3 t I N R 0 t 0 u c O f i D m s 7 A 3 6 P M 6 8 O d j Q u F j r e 9 l w 7 u P 9 z f J N 6 O w 8 1 L m 7 p w z G 1 a f 3 r w 6 S b w j r 0 t T v c / / f T T B 3 s 7 m 1 e 6 H Y 9 7 7 9 2 n 0 e x t f s 9 x + i 0 R 9 N S b v o F m N + o 1 A 3 3 7 J v B 9 T r n p j f 7 c 3 / R G f + J v q d R u 2 0 F / 2 j d 2 0 J v 0 D S T t T / R N y P S n + K Z J 8 N T Z b f D 3 l N k t c f L 0 2 a 0 6 e P 8 p t i 8 8 D B X a 1 0 i 1 Y Q X t B q V m O w m V m g r e r e E P K j U D f 3 9 3 7 9 6 9 8 U b 3 w / H 2 e 7 x 0 / 3 H 3 p U 3 T 4 b j 7 N q 0 d c 5 v W 9 3 c f 7 j w c q 8 a / Q Z v d / h 3 H 5 r f B y l N j 2 v x W a u x W o P t 8 s b F 5 f 5 o 3 N u 9 P 8 C 2 V 1 6 2 a v 9 / c e p r r Z i r 2 J 3 U j 6 P e b T 0 9 l 3 a r 5 + 0 2 p p 6 9 u 1 f w 9 p 9 S 0 f r D j K 6 t 7 X y P p d m / n J l 3 l + g h 0 1 T 1 F 8 N b w h 3 S V h f 9 g / 9 7 u z q d 7 9 8 c P H t 5 G X d n 3 P n 3 4 8 D 7 p x E 9 v o 6 7 s S w d I T Y 3 3 N + k H y 9 n 2 p e 3 9 v Q c U A p J a 2 d S Z Z X H 7 3 t 7 O / X v 3 H n 5 K O Z r 9 2 + g w 9 9 7 + w 5 1 P P 9 3 d H x 9 s o o j l + / f E 0 2 k 0 + + L u z s 4 e p f n u b e r O K T f 7 G u U U u b u N E + e 0 n I f n r V 7 s s 8 r t 9 N 1 7 4 t d n k t s p v v f s p s 8 e t 6 J 6 n z u I e g / 2 P r 2 / P 3 5 w u 3 y c h + c t 3 n P 6 8 T 3 f 6 7 P H R s 3 X 5 4 r b d f O e T G F b 7 4 Y a 8 7 3 y c v d 2 b 1 S W F n y o L H f f E / 6 g s j T w d 3 c p L f n p p / d 2 x y Y S v k F b u h d 3 H j 5 8 c P / h w / H 9 T S 8 6 Y T A v b l M 2 / 9 7 u / c 0 p Y y c U 9 r W 9 h 5 8 + v L d / w 1 K K E w r z 3 r 2 d B 3 s P K d 0 2 3 t u k w 5 x U 2 P f I h B 4 8 2 N s b P 1 S a 3 6 A z 3 w 9 P T 2 f q i 2 h 2 o 6 I 0 n e x 9 + u l D I u L 4 w e 3 0 p M P t N u / 1 m e S W a v K 9 s O s z x i 2 1 5 H v 1 0 u O H D W T u 8 8 A t 5 7 L P B L d 6 z 9 O M 7 / d e n x 9 u q R n f r 5 v 3 5 A P b e i / U j O + Z y b t 3 Y y b P d R D q x t t l 8 h z 8 Q d 1 o 4 O / e 2 9 / f / X T 3 l m 6 k e + v T 3 U 9 3 d h 8 e 3 E o r m r c 2 k d b x v u 3 j w f 7 + D v h u 8 B 3 H + O a d f f J v 9 w 8 + 3 R s / 2 I S Z E w L 7 3 v 2 9 + z u 0 3 L v 5 P S c D t 8 f R U 4 L 6 0 q 2 U o O l g + x Y 9 9 J n m F i 9 F O O H m l / q M s F F a + h x w i z 7 6 j L C x j x 4 P 3 E r 5 v Q c + / U m / x Z x 4 a u 8 2 o / C 0 3 e 0 x 8 3 T e r f r 4 W j N u 3 7 n n K 7 z 9 r x E 8 7 + / c q P N s H 4 H O 2 9 d R 3 R r + o M 4 z 8 H f 3 a X H y / s H O R r P q e N 2 + d u / B p / d 3 d z 8 d b y S Z Y 3 r z 3 q f 7 t F Z C n e 3 e S v 2 Z t w 4 e 7 t / 7 d L x 3 K / V n 3 y F f d f / B / n h n E 4 J O C s x r D 3 f v 7 T z c 3 9 8 c 4 T s 5 u D 2 G n v I z L + 1 / u k N x + v j + / q b X + m x 3 / z 4 t y e 2 P 7 2 + i o a c I z W v b t 3 q v z y G 3 d A b f C 7 s + Y 9 z S G X y v X v p M c S u K 9 5 l i m 1 y i / Q c 7 4 3 s b 3 + t z x W 1 e 8 9 T j e 7 3 W 5 4 t b O o X v 1 c t 7 s o N t v R + q y P e K l v d 3 b 9 S O F n y o H Z U b b g 1 / U D s a + P f 2 D j 7 d 3 Y G R G B y z k w D 3 0 o N P 9 + / t b G J N x / / m p Q N a d d j k b z k R M G 9 s P / g U k z L 4 h u N + 8 w b N 9 + 7 + / Q e 3 T i e 6 9 z 7 9 l K z j v f H B p j E 5 9 r 8 t h p 5 K t K / c f 3 B w j / K P G 1 / r s 9 n D T x 9 s N C m e O r Q 9 3 f h O n x 1 u q Q p v j V W f D W 6 p B m / d Q 5 8 J b k X h P g / c 3 9 n 9 9 N M b 3 o p w w C 1 e 8 x T g b a j g K b 7 3 w M 3 T f 7 f q p D / 3 t + j E Y X Y / V H / v G R L D 9 7 h B A d o O Q g W o 2 N 0 a / q A C N P D 3 H t z b 3 7 m / U V 8 4 v n + P l x z n m 5 d u F x D f p r X j e d N 6 9 1 M w P X l 1 u 5 s 0 u W P 6 9 3 v P s f 1 t s P O U n j Z H s x s 1 3 a 1 A 9 / l j Y / P + d N 9 S w d 2 q + c A U 3 6 z c b g W 9 N 8 k b q N i f 2 I 2 g 3 2 8 + P f V 1 q + b v N 6 W e 3 r p V 8 / e c U t v 6 0 1 B h n f 3 k c f r 7 p C d f f n H 2 + u z L F 7 d T K v s 3 K i 3 b S a i 0 V E / c G v 6 g 0 j L w d z 9 9 s E + R 6 a 1 0 1 u 3 f c f x s 3 r m d y r p N a 8 f N p v W D h w 8 p A 6 e k u U F d 3 f 4 d x 9 q 3 w c p T V d r 8 V q r q V q D 7 X H F L V X W r 5 v 3 5 v a W q u l X z 9 5 t b T 1 X d T M X + p N 5 S V d 2 m u a e q b t X 8 / a b U U 1 W 3 a v 6 e U 2 p b P / B V 1 f 2 v k X 2 7 v 3 O j p r J 9 B J r q v i J 4 a / i D m s r A 3 z R i x 8 O 3 a e 1 Y 2 L T e f b h / n 1 Z d N + X 1 H C O / x 0 u O n e 1 L 9 3 Y P x n v 3 b 6 W r 7 D u 0 V D + + / + m t d N V 7 I O e p L O 8 t C l 3 3 D j a 9 1 e e u W y q v W z V / v 3 n 3 l N e t m v d n / p b K 6 1 b N I 7 N 9 C 3 r 2 5 / v + 3 v j T h 7 d T Z e a V 7 Z v e 8 f T Z b c b i 6 b P b Y u X p t F v 1 0 J / p G 8 d t 3 z g I 9 d p 7 p c y Q B 7 1 B p V n w o U p T j + f W 8 A d V m o F / O 5 V 2 m 9 a O s W / T 2 v H 1 b V o 7 t j a t H + 7 s b s 5 v O Z 6 + 9 S u O p 2 + D k 6 e 7 t D m a 3 a i x b g W 6 z w e 3 1 F i 3 a v 5 + 8 + p p r F s 1 f 7 + Z 9 T T W z V T s z + l G 0 O 8 3 n 5 5 6 u l X z 9 5 t S T z X d q v l 7 T q l t / T B U S + + Z y r p / c y r L d h A q p t u l s h z 8 Q c W k 8 I e 5 w H H v j U 0 d 5 9 7 Y 1 H G t G e A m e j u m N a 3 3 a X H V h M Y 3 6 K N b v + L 4 9 z Y 4 e f r o x t F 6 + u h W o P v T f 0 t 9 d K v m v R m 9 r T 6 6 V f P 3 m 1 l P H 9 1 M x f 6 c 3 l I f 3 a a 5 p 4 9 u 1 f z 9 p t T T R 7 d q / p 5 T a l o f 7 I T 6 6 G t k q r D 6 u 1 k n u U 5 C n a S y d W v 4 Q z r J w L + F T r q 5 q e X e m 5 t a z r U D v J V O s q 0 P K G a 7 9 + l t d N L t X 7 E 8 f C u c n E 6 6 e b R O J 9 0 O d H / 6 b 6 e T b t e 8 N 6 O 3 1 E m 3 a / 5 + M + t 0 0 i 2 o 2 J / T j a D f b z 6 d T r p d 8 / e b U q e T b t f 8 P a f U t t 6 1 O u k J q a O H O + n r 9 0 t J P d z Z u V E l 2 T 5 8 l c Q v v h f 8 Q Z V k 4 O + M 4 S A O D t q x s X t h Z 5 N 8 O 0 Y 2 L z y 4 f 2 9 / v L f p H c f N 3 j v 3 x k b / 3 q C t z D u 7 + 7 s P x v c 3 Z Y s c a 9 v B 3 E p T 3 R 4 r T 1 + Z l z 7 d 3 b 0 p i d X n L J q V T U u Q n u 4 y b 2 z f 9 E p k 6 m + n v 2 6 L U 3 / m b 6 n C b t t B f 8 p v Q d v + n N / M J 5 5 S s + S 9 + S 1 P t 9 2 G A J 5 u u z 1 m n o a 7 V R / 9 S b + 5 D 4 f X X l f P v U + S i r I l N y o 5 2 0 G o 5 H b f E / 6 g k l P 4 w 9 b O c f m N T R 1 7 3 9 j U s b Y Z 4 K Z J c m x t W u 8 d 3 L v t Y u B 7 v O O Y + j Z Y e Z r s x v F 6 C q w H e r P 2 u l X z 3 n z e V n P d q n l v X m + r t m 7 V v D e 5 G 6 j Y n 9 S N o N 9 v P j 3 t d K v m 7 z e l n l 6 6 V f P 3 n F L b + l 5 f I 7 1 J P z 9 + c f z 0 t k r p / o 1 K y f Y R K i V d 7 7 o 1 / E G l Z O D v j j c t o T k u v l 1 7 x 8 a m / S a K O i 6 + T W v H x K b 1 / u 6 9 A 7 K 8 n 9 5 K R b 3 H S 4 6 n b 4 O X p 6 O 0 + a 1 0 1 K 1 A 9 / n h l j r q V s 3 7 s 3 t L H X W r 5 u 8 3 u 5 6 O u p m K / V m 9 p Y 6 6 T X N P R 9 2 q + f t N q a e j b t X 8 P a f U t t 4 P d d T u e 0 e H Y O s b d J T t I 9 B R u 4 r g r e E P 6 i g D f + / h z t 6 n e w / G 4 O / B o T t m N q 9 t I p T j Z d P 6 3 n 1 a 5 9 / b G 2 M + B 1 9 z P G 1 e + 3 R / 7 + D h / f H O w a 0 0 l 3 l r n 6 i w Q 5 0 d 3 E 5 3 m d c O H t z b 2 3 n w 8 L b a 6 3 1 w 9 L S Y e e 3 + 3 q f 3 H t J S 8 u 7 G 9 / o s d 6 v p 8 l S b e W / 7 d i / 2 + e O W S u 7 9 8 O t z y C 2 1 3 f t 1 0 + e N 2 5 G 9 z x z b + 5 / u 7 e 7 c p w 5 v p w s t L 9 7 i N U 8 n v t d r f e a 4 p W 5 8 r 1 7 e k y N s 6 / t d H f l e k S U 4 / w Y F a T s I F e T t I k s H f 1 B B G v i f f k p e z d 7 9 8 f 6 t 9 O P 7 v O W k w L y 1 i b R O C G 7 T 2 r G + a f 1 g 7 2 D 3 0 4 c P N m s q x / n v 9 Z p j / N v g 5 q l D b Y 5 m N 6 r A W 4 H u 8 8 f G 5 v 3 p v q W + u 1 X z 9 5 t g T 8 3 d q n l v i j d Q s T + v G 0 G / 3 3 x 6 C u x W z d 9 v S j 3 F d a v m 7 z m l t v W n X Y V 1 K v o q P f n 2 6 U / c T q n s 3 a i 0 b C e h 0 t p 7 T / i D S s v A 3 z R k x 8 S 3 a e 1 4 + D a t H Q v f p r X j Y N N 6 9 8 H + v Q f 3 7 4 8 / 3 a Q 3 H T O b 1 w 4 e 7 B 4 8 e D A + U D r e o K N u g 5 q n o 0 z z 7 d v 0 4 u m r W 3 X T Z 4 1 b 6 q t b N X + / q f b 0 1 a 2 a v 9 9 k e / r q / S j 6 9 a b b 0 2 H v 1 Z 2 n z G 4 z K k + Z v Q 9 2 n l K 7 V S / 9 e b 9 N L w 6 3 B 0 P K 7 c 2 r 2 6 m e e z e q N t t F q N r U Q b 8 1 / E H V Z u D f + 5 T C t E 9 v p d 9 u / Y p j f P P K 7 Z T c b V o 7 t j e t d / f 3 d x 7 s f b o z v v f w V l r u / d 5 z f H 8 b 7 D w 9 p 8 3 R 7 E b d d i v Q f d 6 4 p W 6 7 V f P + N N 9 S t 9 2 q + f v N s a f b b q Z i f 2 I 3 g n 6 / + f T U 1 6 2 a v 9 + U e m r r V s 3 f c 0 p t 6 4 O u u j q j H 7 9 P e v L l F 2 e v z 2 6 n U P Z v V F i 2 k 1 B h 7 b 8 n / E G F p f C H O c F x 8 I 1 N H f f e 2 N R x r h n g 7 b S T a U 3 + 1 / h A i X C D Y r r 1 K 4 6 H b 4 O T p 5 N u H K 2 n k 2 4 F u j / 9 t 9 R J t 2 r e m 9 H b 6 q R b N X + / m f V 0 0 s 1 U 7 M / p R t D v N 5 + e T r p V 8 / e b U k 8 n 3 a r 5 e 0 6 p b f 2 w p 5 P e c 2 E S 0 3 2 D S r J 9 h C r p / n v C H 1 R J B v 7 u 7 v 3 9 8 U M F e 4 N u u v G d i J I y 7 2 y i r O P m 2 7 R 2 z G x a 3 9 v Z e T C + f z s P 6 v b v O M 6 + D V a e p t L m t 9 J U t w L d 5 4 p b a q p b N e / P 7 y 0 1 1 a 2 a v 9 / c e p r q Z i r 2 J / W W m u o 2 z T 1 N d a v m 7 z e l n q a 6 V f P 3 n F L T + u F O q K n 2 3 n t 5 E m T Y r K l c H 4 G m 2 l M E b w 1 / S F N Z + J t G b H n 4 V q 0 t C 9 v W n 3 4 6 / v T T 2 2 i o W 7 9 h G d m + s b u z s 7 O 7 f 3 B v f H / T S p V l 6 s 5 7 u x T g P 7 i N t r o 1 h k 5 j u a 4 2 N e 9 z 1 e 2 U 1 u 2 a v 9 9 8 O 6 V 1 u + b 9 G d / Y v D / d G 5 t H 5 n p T 8 / 4 U f 3 r / h q n q z + 7 2 T e 8 4 B X a r Q T g F d m u s n B K 7 X Q / 9 K b 5 x 3 P a N 3 a 4 i e 6 8 1 R A z u B i 1 m O w i 1 m E 7 k r e E P a j E D f x O F H F P f p r X j 6 d u 0 d i x 9 m 9 a O o 0 3 r v X v 3 7 n 2 6 s 7 d 3 y 3 z 8 e 7 7 n + P s 2 2 H m a S 5 u j 2 Y 1 q 6 1 a g + x x x S 7 V 1 q + b v N 8 O e 2 r p V 8 / e b Y 0 9 t 3 U z F / s R u B P 1 + 8 + m p q l s 1 f 7 8 p 9 d T U r Z q / 5 5 T a 1 n t d F f W e i X V 0 f I O S s l 2 E S u p 2 i X U H f 1 B J K f x h P n D 8 e 2 N T x 7 s 3 N n V 8 a w Z 4 O 9 1 k W u / t 8 L N p / c P x 7 3 u 8 5 L j 4 N n h 5 W u n G E X t a 6 V a g + y x w S 6 1 0 q + a 9 W b 2 t V r p V 8 / e b X U 8 r 3 U z F / q z e U i v d p r m n l W 7 V / P 2 m 1 N N K t 2 r + n l N q W 9 / r a q X 3 z p / v 7 d + o l 2 w n o V 7 a f 0 / 4 g 3 p J 4 d 9 G L 9 3 Y 1 H H v j U 0 d 5 5 o B 3 k 4 v m d Z 7 B / f u j R 8 o F W 5 Q S 7 d / x 3 H x b b D y t N K N 4 / W 0 0 q 1 A 9 x n g l l r p V s 1 7 c 3 p b r X S r 5 u 8 3 t 5 5 W u p m K / U m 9 p V a 6 T X N P K 9 2 q + f t N q a e V b t X 8 P a f U t t 7 v a a X 3 z K D v 3 Z h B d 3 2 E S u l 2 G X Q H f 1 A p G f i b R u x 4 + D a t H Q v f p r X j 4 N u 0 d g x s W u 8 9 e H B b 5 X T r V x w v 3 w Y n T z d p 8 1 v p p l u B 7 v P B L X X T r Z q / 3 7 x 6 u u l W z d 9 v Z j 3 d d D M V + 3 N 6 S 9 1 0 m + a e b r p V 8 / e b U k 8 3 3 a r 5 e 0 6 p b X 0 / 1 E 3 3 3 j t n f m / n R t 1 k + w h 0 0 z 1 F 8 N b w B 3 W T g X 9 / f G 9 T 0 t i x s X l h b + d g B 7 I z + I p j Z f P K 7 X S U 3 8 E O Z a b v 3 U p X m b f 2 d / Y + H T / 8 9 F b K y v b 0 6 c O D P a T N H 9 5 K Y b 0 P g p 7 i s q 8 9 3 N n b f U h L i p u Q 9 J S Y e W / 7 V v 3 1 O e d W r / U Z 4 l a v 9 d n i l t r t v X r p 8 8 Y t t d z 7 k b z P G N v E G f u 7 D 3 f G D z f i F 2 G N 2 7 z n K c H 3 e 6 / P G 7 f U h u / X T Z 8 n b q c W P + 2 q x U g G f o P O 2 r 1 R J 9 o O Q p 2 4 e z u d a O E P 6 k S F P 2 w c H d v f 2 N S x / I 1 N H Z u b A d 7 O T T O t 7 9 0 j H b a r V L h B 9 d 3 + H c f c t 8 H K 0 3 c 3 j t f T c b c C 3 W e A W z p q t 2 r e m 9 P b q r J b N X + / u f V U 2 M 1 U 7 E / q L R 2 1 2 z T 3 d N S t m r / f l H q q 6 V b N 3 3 N K b e s H X Y 1 k E u 4 n 3 z 7 9 i d t p j b 0 b t Z L t J N R K 6 i L d G v 6 g V l L 4 t 9 F K N z Z 1 3 H t j U 8 e 5 Z o C 3 0 0 q m 9 X 3 K Q z 7 Y 2 R 0 / O L i V Y j K v k Y n 6 9 N 7 9 n d v 6 Z L f B z d N N p v n 2 r b r x F N W t + u n z x C 0 V 1 a 2 a 9 6 b 5 t o r q V s 3 f b 7 o 9 R f W e J P 2 a M + 6 p r / f r 0 F N k t x m Y p 8 j e C z 9 P o 9 2 q m / 7 c 3 6 o b h 9 3 B k G q 7 5 V r i v X s 3 K j b b R a j Y 1 H e 8 N f x B x W b g 7 + / S 8 v / O e H 9 T U O m Y / 3 3 e c j J g 3 t o 0 K U 4 E t P W w c n T s f 2 N T x / A 3 N n U 8 f m N T T 6 f d 3 L b P N b d U Y 7 d q 3 p / Q W 6 q x W z V / v y n 0 1 N i t m r / H P H q a 6 + a 2 7 z G T n o K 6 u W 1 v J j e 0 7 U 3 j h r a 9 O d w w N t v 0 Y V c F v W + K / t 7 9 G 3 W Q 7 S P U Q f f f E / 6 g D j L w D 8 Y P F W Z 0 0 I 5 p b / m C Y 1 v z w u 0 0 z 2 1 a O 6 Y 1 r f d 3 H n 4 6 B o M O v u O Y 9 / b v O C a + D V a e R t L m t 9 J I t w L d 5 4 d b a q R b N e 9 P 7 i 0 1 0 q 2 a v 9 / c e h r p Z i r 2 J 3 U j 6 P e b T 0 8 v 3 a r 5 + 0 2 p p 5 1 u 1 f w 9 p 1 R b 7 + / s h D p q / 7 1 T 9 f s 7 N + g o r 4 9 A R + 0 r g r e G P 6 C j H P x N I z Y 8 f L v W h o V v 1 9 p w 8 O 1 a G w Z 2 r S k S f H h / / 3 b 6 y X u L f r 1 P q d t N b x m O v h 1 m V k O 5 5 r s 7 9 8 b 7 m 1 7 p c 9 L G H v p M s b H 5 + 8 2 x V V S 3 b P 5 + s 2 w V 1 S 2 b 9 + f 5 R m L 2 J 3 n 7 x n f 6 U 3 z T K 1 Z x v c c r 7 z f N V n m 9 R w / v O d W 2 9 W 5 X g b 1 X U n 1 / 9 0 b t Z T s I t d f u e 8 I f 1 F 4 K f 9 i M O a 6 + s a n j 6 B u b O m 4 2 A 9 x E b 8 f M p v X + A 0 q Q I z g f f M d x 8 + 3 f c d x 8 G 6 w 8 h X X j e D 1 N d S v Q f Q a 4 p a a 6 V f P e n N 5 W U 9 2 q + f v N r a e p b q Z i f 1 I 3 g n 6 / + f Q 0 0 6 2 a v 9 + U e l r p V s 3 f c 0 p t 6 7 2 u R n r v p D p y N j d o J d t J q J V u l 1 R 3 8 A e 1 k s K / j V a 6 s a n j 3 h u b O s 4 1 A 7 y d V j K t 7 9 / 7 9 O H 9 3 b F Z 8 r x B L 7 3 P W 4 6 T b 4 O Z p 5 l u H L O n m W 4 F u s 8 E t 9 R M t 2 r e m 9 f b a q Z b N X + / + f U 0 0 8 1 U 7 E / r L T X T b Z p 7 m u l W z d 9 v S j 3 N d K v m 7 z m l t v W 9 I c 1 0 y 5 z 4 / k 0 5 c a + L U C / d L i f u 4 A / q J Y V / G 7 1 0 Y 1 P H u z c 2 d X x r B n g 7 v W R a 7 + 0 8 u D c + u J V S u v U r j o N v g 5 O n k W 4 c r a e R b g W 6 P / 2 3 1 E i 3 a t 6 b 0 d t q p F s 1 f 7 + Z 9 T T S z V T s z + k t N d J t m n s a 6 V b N 3 2 9 K P Y 1 0 q + b v O a W 2 9 X 5 X I 5 3 R j 9 8 n P f n y i 7 P X Z 7 f T G f s 3 6 i T b S a i T 9 t 8 T / q B O U v i 3 0 U k 3 N n X c e 2 N T x 7 l m g L f T S a b 1 w 0 8 / H T 9 Q I t y g k 2 7 9 i u P h 2 + D k 6 a Q b R + v p p F u B 7 k / / L X X S r Z r 3 Z v S 2 O u l W z d 9 v Z j 2 d d D M V + 3 N 6 S 5 1 0 m + a e T r p V 8 / e b U k 8 n 3 a r 5 e 0 6 p b X 2 / p 5 P e c 9 l u / 6 Z l O 6 + P U C X d b t n O w R 9 U S Q r / N i r p x q a O e W 9 s 6 h j X D P B 2 K s m 0 / v T + 3 n j T q q H j 3 t u + 4 R j 4 N h h 5 C u n G s X o K 6 V a g + 5 N / S 4 V 0 q + a 9 + b y t Q r p V 8 / e b V 0 8 h 3 U z F / p T e U i H d p r m n k G 7 V / P 2 m 1 F N I t 2 r + n l N q W 3 8 a K q T 7 7 7 1 G d 3 / n R o V k + w g U 0 n 1 F 8 N b w B x W S g b 9 p x I 6 H b 9 P a s f B t W j s O v k 1 r x 8 C 3 a e 1 Y 2 L T e 2 7 1 3 2 2 z S b T r w 1 N K t e / D U 0 6 2 6 6 L P C L d X T r Z q / 3 9 R 6 6 u l W z d 9 v c j 3 1 d H t q 9 u d 4 + + a X + r N 8 4 z u e x r r 9 O + 8 3 1 Z 7 a u n 0 X 7 z n f t v W D r u 5 6 z 5 T T / X s 3 q i 7 b R a i 6 7 r 0 n / E H V p f C H b Z h j 7 h u b O s a + s a l j a j P A 2 2 k s 0 3 p / 7 9 P x / s N b q a 1 b v + I Y + j Y 4 e W r r x t F 6 6 u p W o P v T f 0 t 1 d a v m v R m 9 r b q 6 V f P 3 m 1 l P X d 1 M x f 6 c b g T 9 f v P p 6 a Z b N X + / K f X U 0 q 2 a v + e U 2 t Y H o U b 6 9 L 2 9 q U 9 3 b l R J t o 9 A J X 2 q C N 4 a / q B K M v D 3 d n f 3 H + x D e z / c 2 z B 4 x 8 7 B i / c e 3 N 8 Z P 9 w U P T n G N i / u H x z s f v p g f P D p h r c c f 7 u 3 H j z Y 2 R 8 f b N I t j s 3 N W 7 s H n + 6 T g t 5 / O P 7 0 w a 3 0 m P f i D q 3 o 7 d 8 6 W f U + e H p a z b z 2 6 e 7 D n d 3 x w 0 0 0 8 f S b 7 e z T v f H D T Q P z l J x 5 Z / v m l / p c c k t V d 3 u 8 + m x x S 3 1 3 + y 7 6 3 H A b I v d Z Y X / v / s E O d a b e w E 1 q 0 N H 5 F u 9 5 + v A 2 d P D 0 4 f t g 5 + n F W / X S n / / b 9 O J w e 9 j V j 2 c v x G W 7 n f L a v V E 5 2 g 5 C 5 a j u 5 6 3 h D y p H A 5 + 8 m b 1 P D + 5 9 u j P + d J M W c A L w n i 8 6 K T A v b p o X J w S 3 a e 3 Y 3 7 S + 9 2 D v 4 c H B p w e 7 m 3 W v k w D / x Y d 7 9 + / R a G 7 n 2 t 0 G P 0 8 J 2 n 4 O 9 g / G B x t 5 r M 9 k G / v o s 8 z G 5 n 0 O u K X i u 1 X z 9 5 t t T + f d q r m d 7 / c h Z 3 + u t 2 / x V n + i b 3 7 J 0 3 T v 8 d L 7 T b e n 5 9 6 j j / e c d N M a / B t q u f e M S z + 9 M S 5 1 X Y R 6 7 n Z x q Y M / p O c s / A f 3 9 j 6 9 9 + n D 3 d 3 x z q 2 c w P d 9 0 X K + f f F W e u 5 W r S 3 f 2 9 a k r n b v f U o e 3 P j g 4 D Z 6 7 n 1 f t O x / K / y c n j P N 0 e w m 9 X Y 7 0 H 1 O u Z 1 6 u 1 3 z / n T f T r 3 d r v n 7 z b J T b 7 e g Y n 9 m N 4 J + v / l 0 i u x 2 z d 9 v S p 0 K u 1 3 z 9 5 x S 2 3 q 3 q 7 z e d 4 X y 0 / s 3 a i / b R 6 i 9 N F q 8 N f x B 7 W X g k 2 s y f r h / K 7 1 1 6 1 c c M 5 t X N t H V 8 f J t W j t W N q 0 P d s Y H u 7 d S V b d 9 w / H 0 b T D y d J Q 2 v 5 W O u h X o P j / c U k f d q n l / a m + p o 2 7 V / P 3 m 1 d N R N 1 O x P 6 W 3 1 F G 3 a e 7 p q F s 1 f 7 8 p 9 X T U r Z q / 5 5 T a 1 n t W R 5 2 k D x + k r 4 + f v 2 e a 7 c H O j T r K 9 h H o q A e K 4 K 3 h D + o o A 3 9 n j F 8 H B + 3 Y 2 L 5 w K + V k W h N G D 8 c Q h s F 3 H C s H 7 2 x 0 2 x w / 2 3 f 2 d z / d n E B x f G 3 e 2 T + g l a F N m R r H 2 7 d H z d N Y 9 q W D + + P 9 2 w W P t 5 0 W T 3 m Z N 7 Z v e i U y 9 7 d T Y L f F q T / 7 t 9 R h t + 0 g M u 0 3 k r Y / 7 Q / v 3 R v f f 3 g 7 n W a J e + N L n m a 7 z e g 9 z X Z r v D z 1 d q s u + h N + Y x c O q 3 u h j n u v R N m D 3 R v V m w U f q j f 1 H G 4 N f 1 C 9 G f i 7 n + 4 8 2 N + n Y d 9 O y b 3 X a 4 7 f z W u 3 c 8 V u 0 9 q x u m m 9 d 0 D o b M z 5 O 1 a / / T u O 1 W + D l a f c t D m a 3 a j U b g W 6 z x u 3 d M d u 1 b w / x b d 0 x 2 7 V / P 3 m 1 t N j N 1 O x P 6 m 3 d M d u 0 9 x T W r d q / n 5 T 6 u m r W z V / z y m 1 r f c 7 q o r i x t 8 n P f n y i 7 P X Z 1 + + u J 1 C 2 b 9 R Y d l O Q o W l s n V r + I M K S + E P c 4 L j 4 B u b O u 6 9 s a n j X D P A 2 2 k l 0 / r h p z c s R D r + v f U r j o d v g 5 O n k 2 4 c r a e T b g W 6 P / 2 3 1 E m 3 a t 6 b 0 d v q p F s 1 f 7 + Z 9 X T S z V T s z + k t d d J t m n s 6 6 V b N 3 2 9 K P Z 1 0 q + b v O a W 2 9 f 2 O T n r P J N a D m 5 N Y t o d Q I d 0 u i e X g D y o k A 3 9 n v L e / Y c i O i W / 5 g m N j + 8 K G 1 o 6 L b 9 P a M b G H z C Y X z n H y L V 9 w v H w b f D z d p M 1 v p Z t u B b r P C b f U T b d q H p n W 2 + m m W z V / v 1 n 1 d N P N V I z M 6 O 1 0 0 2 2 a e 7 r p V s 3 f b 0 o 9 3 X S r 5 u 8 5 p b b 1 p 7 5 u O k j f P 3 1 1 s H O j d r J 9 B N r p Q B G 8 N f x B 7 W T g 3 z p 9 Z V + 4 l W o y r Q m h + + M D 1 a k 3 K K j g n Q f 3 b q W m z D u U 9 n / w 4 F P K Z d x O W X m v f f r g / v 7 4 0 0 0 x v W P x 2 2 P o K S 7 3 0 i Y y e N p r c G o G F Z h 5 4 z 1 S W L e Z T k + J 3 R a n P g f c U o / d t o P + 1 N 9 A 1 / 6 k 7 + 7 s 7 t w w e / 0 p 3 7 7 5 L U + 5 3 W b w n n K 7 P W a e i r t V H / 0 J v 7 k P h 9 e D U N G 9 V w 4 L i 1 g 3 6 D g L P t R x t 8 t h O f i D O s 7 A 3 0 Q h x + K 3 a e 3 Y + z a t H X f f p r X j b N P 6 / v 3 7 + z v 7 n + 6 O P / 3 0 V l r t / d 5 z P H 4 b 7 D y F p s 3 R 7 E Z d d i v Q f Y 7 Y 2 P z 9 J t h T Y r d q / n 5 T 7 G m w W z X v T f I G K v Y n d i P o 9 5 t P T 1 n d q v n 7 T a m n p m 7 V / D 2 n 1 L Y + C B X U q e i n 9 M 2 r 2 6 m Q e z e q K N t B q K J U f d 4 a / q C K U v j D X O C 4 9 8 a m j n N v b O q 4 1 g z w d p r J t K Z l I 3 K B 9 v f G n + 7 f S j O 9 3 3 u O k 2 + D n a e Z b h y 3 p 5 l u B b r P C L f U T L d q 3 p v b 2 2 q m W z V / v z n 2 N N P N V O x P 7 E b Q 7 z e f n m a 6 V f P 3 m 1 J P M 9 2 q + X t O q W 3 9 M N R M X y O n f r B / o 3 a y n Y T a S W X r 1 v A H t Z P C v 4 1 2 u r G p 4 9 4 b m z r O N Q P c R H P H u K b 1 j Q l y x 7 + 3 f s X x 8 G 1 w 8 n T S j a P 1 d N K t Q P e n / 5 Y 6 6 V b N e z N 6 W 5 1 0 q + b v N 7 O e T r q Z i v 0 5 v a V O u k 1 z T y f d q v n 7 T a m n k 2 7 V / D 2 n 1 L T G I A K d 9 J 4 5 d a R x N i s k 1 0 O o k D R A v z X 8 I Y V k 4 d 8 2 p 3 7 b F y w b u x c 2 t L Z c f K v W l o l t 6 1 3 K O G 3 K W V h W v v U b l p t v h Z H T T q b 5 b b T T 7 U D 3 e e F 2 2 u l 2 z S M T e y v t d L v m 7 z e v T j v d g o r 9 K d 0 I + v 3 m 0 2 m n 2 z V / v y l 1 2 u l 2 z d 9 z S m 3 r X U 8 7 7 e 7 s p O + b V q d 3 d m 5 U U L Y T T 0 H J i + 8 F f 1 B B G f h 7 4 w e 7 t 1 J Q 5 o V N N H J s b M F / + v D B w / H D h 7 d S U v 5 L D 8 Z 7 B 7 f S V e a l 3 d 1 7 B / v j n U 2 D c b x t X j q 4 d + 9 g 5 + G n O + P 9 T X l G x + T v g a G n u 7 z e H n 5 6 / / 6 9 8 Y N N 7 / U Z 7 Y Y 5 8 l S Z e W P 7 p l f 6 j H B L d X Z b n P q s c E u N d t s O + h x w O / L 2 m W C b X v z 0 4 f 0 H n 4 4 3 L s p 4 u s 7 r 8 R Y v e l r v P V / s s 8 I t 9 d 9 7 9 v O e 3 G B b 7 3 U 0 4 X v k 3 a n 5 7 o 1 K 0 M I P l a D y x a 3 h D y p B h T 9 s D h 3 f 3 9 j U M f y N T R 2 z m w F u I r d j d N P 6 3 r 3 d B + N d p c I N m u 7 2 7 z j 2 v g 1 W n n q 7 c b y e S r s V 6 D 4 D b G z e m 8 / b 6 r J b N e / N 6 2 0 V 2 a 2 a 9 y Z 3 A x X 7 k 7 o R 9 P v N p 6 e k b t X 8 / a b U U 0 2 3 a v 6 e U 2 p b 3 + s o J J N n P / n 2 6 U 9 8 d T u t s X e j V r K d h F p J N e y t 4 Q 9 q J Y V / G 6 1 0 Y 1 P H v T c 2 d Z x r B n g 7 r W R a 0 w D 3 9 8 m Z G u / u 3 0 o z m f f u f 7 q 3 t 7 N / M N 7 Z Z L Y d M 9 8 G O U 8 5 m e b b t + r G 0 1 S 3 6 q f P F L f U V L d q 3 p v n 2 2 q q W z V / v / n 2 N N V 7 k v R r z r i n v 9 6 v Q 0 + T 3 W Z g n i Z 7 L / w 8 l X a r b v p z f 6 t u H H b 7 A 7 r t V m u I 9 M K 9 G x W b 7 S F U b P f e E / 6 g Y l P 4 t 1 F s N z Z 1 z H 5 j U 8 f o Z o C 3 U 2 y m 9 e 7 9 + / d 3 H x z s 7 Y 8 f q I 6 / Q b O 9 5 4 u O 0 W + D n 6 f b b h y 5 p 8 5 u B b r P C r d U Z 7 d q 3 p v d 2 6 q z W z V / v 1 n 2 1 N n N V O z P 7 C 0 d r 9 s 0 9 9 T V r Z q / 3 5 R 6 W u p W z d 9 z S m 3 r + x 3 l 9 H 4 p e 3 r j 5 p S 9 7 S L U T r d J 2 f v w B 7 W T g X 9 / v D F Y d l x 8 y x c c H 5 s X N p H U s f F t W j s u N q 3 v 3 d v b e T h W l X 2 D n r r 9 O 4 6 l b 4 O V p 6 K 0 + a 1 U 1 K 1 A 9 / n h l i r q V s 3 7 k 3 t L F X W r 5 u 8 3 t 5 6 K u p m K / U m 9 p Y q 6 T X N P R d 2 q + f t N q a e i b t X 8 P a f U t v 4 0 U F G 7 X y N t D 7 6 + Q U n Z T g I l t a s Y 3 h r + o J I y 8 D c N 2 T H x b V o 7 H r 5 N a 8 f C t 2 n t O N i 0 3 r 3 3 4 N 7 4 d l 6 U f Y W W M 3 Z 2 x / v 7 t 9 J P t 0 H L 0 0 + m + c O D T / c O N i + 9 e p r q V p 3 0 m e K W m u p W z d 9 v k j 1 N d a v m 7 z f N n q Z 6 H 3 r 2 p 3 r 7 N q / 1 5 / o W b 3 k q 7 H 3 e e r 8 p 9 z T Z + 3 T y n j N v W z / o K L T 3 y r 6 D m 2 / Q Z R Z + q M t u l 3 1 3 8 A d 1 m c I f t m q O x 2 9 s 6 v j 7 x q a O t 8 0 A b 6 f C T O u 9 e z v 7 4 / 3 b Z d 9 v / 4 7 j 6 t t g 5 W m w G 8 f r 6 a 1 b g e 4 z w C 3 1 1 q 2 a 9 + b 0 t n r r V s 3 f b 2 4 9 v X U z F f u T u h H 0 + 8 2 n p 5 5 u 1 f z 9 p t T T S 7 d q / p 5 T a l s f d B T S e 2 a o w E o 3 q C T b Q 6 i S b p e h c v A H V Z L C v 4 1 K u r G p Y 9 0 b m z q 2 N Q O 8 n U o y r f f g I u 3 c N j 3 1 P m 8 5 N r 4 N Z p 5 a u n H M n l q 6 F e g + E 9 x S L d 2 q e W 9 e b 6 u W b t X 8 / e b X U 0 s 3 U 7 E / r R t B v 9 9 8 e m r p V s 3 f b 0 o 9 t X S r 5 u 8 5 p b b 1 w 4 5 a e t / c F G b 7 B r 1 k u w j 1 0 u 1 y U w 7 + o F 4 y 8 D c N 2 L H w b V o 7 D r 5 N a 8 f A t 2 n t + N e 0 3 h / f P 7 i V b r r l C 4 6 N b 4 O P p 5 a 0 + a 3 U 0 q 1 A 9 3 l g Y / P 3 m 1 J P L d 2 q + f t N q q e W b t W 8 N 6 2 3 U k u 3 A v 1 + 8 + m p p V s 1 f 7 8 p 9 d T S r Z q / 5 5 S a 1 v d 2 n F r a 3 d n 7 G u k o k G G z X n J 9 B H p p T x G 8 N f w h v W T h 7 4 x 3 f C 9 i U D X Z F 3 b 3 D y g g + v Q 2 C s p 1 c h s F 1 e l h / z Z q y n t n / + H 4 0 4 e 3 0 V S 3 w s q y 9 X t g 5 Z S V f e k e L S C q K b l B Z 9 l X t m / R U Z 9 N b v F S f + 5 v 8 V J / / m + n x t 6 n j z 4 H b O y j P / k 3 U r k / 9 z f z i 9 N s / t T c 9 J Z T c L c a j F N w 7 4 G Z U 3 O 3 6 y M 2 8 T e O 3 r 6 z G y q 7 9 0 p V Y X g 3 6 D k L P t R z u + 8 J f 1 D P G f j 3 D n Y f 7 O y N D z b x i W P 2 9 3 n L 8 b x 5 6 3 b q 7 j a t H a + b 1 n s H 9 + 6 N H 2 y S J 8 f s t 3 / H 8 f p t s P I U n T Z H s x s 1 3 K 1 A 9 z l j Y / P + R G 9 s 3 p / h W 6 q z W z V / v 7 n 1 F N n N V O x P 6 k b Q 7 z e f n t K 6 V f P 3 m 1 J P X d 2 q + X t O q W 2 9 F y q q 9 0 x h o d s b V J X t I F R V t 0 t h O f i D q s r A 3 3 v 4 6 c H 4 4 e 2 8 s t u / 4 3 j Z v H M 7 N a W t h 3 n T s f G N T R 0 X 3 9 j U c f C N T T 1 1 d H P b P r / c U h 3 d q n l / M m + p j m 7 V / P 2 m 0 F N H t 2 r + H v P o q a O b 2 7 7 H T H q K 6 O a 2 v Z n c 0 L Y 3 j R v a 9 u Z w w 9 h s 0 3 u h 8 n n f R N X e j Y k q 1 0 O o f W 6 X q H L w B 7 W P g U 8 B 4 f 6 t V M 8 t X 3 B M a 1 + 4 l d 6 5 T W v H s q b 1 p / f H n x 7 c y j m 6 7 R u O f W + D k a e L t P m t d N G t Q P d 5 4 Z a 6 6 F b N I x N 7 O 1 1 0 q + b v N 6 + e L r q Z i v 0 p v a V r d J v m n k a 6 V f P 3 m 1 J P L 9 2 q + X t O q W 2 9 7 2 u n e 1 8 j Y Y X I 8 Q b 9 Z P s I 9 N M 9 R f D W 8 A f 1 k 4 H / Y H f v 0 4 M H D / Z u q 6 b c e / s 7 u 1 g 1 2 9 3 0 n m N r 8 9 7 D v f t j 5 A c H X 3 G s b V 7 Z v X d v 9 / 6 9 8 b 1 N b z k O N 2 / d f 0 B 5 y I N 9 e m 8 T g o 7 b z X s H 9 + 4 f P H z w c G 8 M p h h 8 z 7 H 9 + 2 D p q T P z 2 t 6 n e w 9 h U c b 3 N m l N T 7 e Z F 7 d 3 7 + 3 t 7 R 2 M d 2 + n 4 x y a N 7 / V 5 5 L b v N X n k V t q v P f p p M 8 d t 1 R 8 7 0 n v P l 9 s 7 3 2 6 e / / h w 3 2 K C z Z O c Z 8 z b v e i p x r f 8 8 U + b 9 x S S b 5 n P 3 2 2 u J 2 6 v B + q y / d K e S F o v U F T W v C h p l Q 2 u j X 8 Q U 1 p 4 O / u 7 9 3 f O 3 h w b 2 9 z 7 s e J w X u + 6 A T C v L i J v E 4 Q b t P a y Y F F i j L J e 5 / e 2 9 0 d 7 2 w S O C c H 7 / m i E 4 P b 4 O c p R m 2 O Z j f q w l u B 7 n P K L f 2 8 W z X v T / c t t d 6 t m r / f L H v q 7 m Y q 9 m f 2 l n 7 e b Z p 7 y u x W z d 9 v S j 0 V d q v m 7 z m l t v W n o e J 6 z x Q Y / I c b V J f t I F R d 6 n j c G v 6 g 6 j L w S Q M d 7 O C 5 l d 5 6 n 7 c c P 5 u 3 b q e 0 b t P a c b P F 6 N M H u w 8 e 3 q c l s E 8 / v Z X S e s 8 X H Z P f B j 9 P a W n z W y m t W 4 H u 8 8 g t l d a t m v f n + p Z K 6 1 b N 3 2 + W P a V 1 M x X 7 M 3 t L p X W b 5 p 7 S u l X z W 0 y p 3 / z 9 p t R T W r d p 7 n B 5 E C q t 9 0 2 d Q U X e o L V s D 6 H W u v + e 8 A e 1 l o H / 4 I C c j L 1 b q a x b v + J Y 2 b x y O 3 1 1 m 9 a O k U 3 r e w 9 2 7 x + M H 9 x K V d 3 + H c f V t 8 H K 0 1 L a / F Z a 6 l a g + z x x S y 1 1 q + b 9 6 b 2 l l r p V 8 / e b W 0 9 L 3 U z F / q T e U k v d p r m n p W 7 V / P 2 m 1 N N S t 2 r + n l N q W x / 4 W m o / f f 2 + G b T 9 n R v V l O 0 i U F P 7 i t + t 4 Q + q K Q O f U m C 3 U 1 L 2 h V v p J 9 P 6 w Q F l 1 D f F 5 Y 6 R / V f u b 9 I g j p n N K 5 S 8 G n 9 6 u 0 D w N s N w L H 1 r n D w 9 Z d 7 Z p 3 z a w 0 8 3 v d N n q B t m w 1 N Z 5 o 3 t m 1 6 J T P n t 1 N Z t c e p P + s Y O + h N + U w f 9 + b 6 Z t P 0 J v 5 F H P E 1 m i X v j S 5 4 + u 8 3 o P X 1 2 a 7 w 8 p X a r L v o T f m M X D q u H o W Z 7 X / 9 r / 2 b / y / Y Q K r b b + V 8 O / q B i M / B 3 x n v 7 t 1 J s t 3 z B s b l 9 4 V Z q 7 T a t H Y e b 1 v c e H n y 6 O c n r O P z 2 7 z g O v w 1 W n k 7 T 5 m h 2 o y 6 7 F e g + P 2 x s H p n e 2 y m x W z V / v 6 n 1 N N i t m v c m d w M V + 5 O 6 E f T 7 z a e n q 2 7 V / P 2 m 1 F N T t 2 r + n l N q W s O 1 s R p q d + f 9 l y 9 3 k R H a r K N c H 7 6 O 2 j W p p F v D H 9 J R F v 7 u z s F 4 / 1 Z a y r 6 y v 7 N z / + D e g / H e J m / E M r R 7 7 d N 7 Y 3 D X 4 C u W q f 2 e P t 2 l l c S N i X L L 3 P a 1 v Z 0 9 W p H e 2 b u 3 e a H U c r o j B q 1 3 0 m o u 2 a q 9 W + m w 9 0 P U K T P z 3 m 2 U m e 1 j G 3 R / s H c w P t i 0 r u r U W j B f N 7 / X Z 4 3 b v d f n j 9 s p u v f s p s 8 c G 7 v p M c V t N N 5 7 T m e f D b Z v 9 a J T g r c a i 1 O C 7 4 e f 0 4 a 3 6 y b K A D d 3 4 7 D b D d X i + y x T 7 q K L G z S i B R 9 q R M X t 1 v A H N a K B v 7 u 3 u / f p z s E m B e B 4 / j 1 e c p x v X t o 0 H Y 7 f b 9 P a s b t p f X / n Y O / h 3 s N P 9 8 Z 7 n 9 5 K B 7 7 n i 4 7 5 b 4 O f p / q 0 + a 1 U 3 6 1 A 9 z l k Y / P + h G 9 s 3 p / q W 6 q 3 W z V / v 1 n 2 t N r N V O z P 7 E b Q 7 z e f n g q 7 V f P 3 m 1 J P c 9 2 q + X t O q W 2 9 F y q s 9 1 u e p E z 8 j S r L d h C q L D V 0 t 4 Y / q L I M / I O d X V q g 2 x / f 3 7 + V 0 n q v 1 x x H m 9 d u p 7 Z u 0 9 r x s 2 m 9 v / v p 7 s G 9 h / s P x w e b k H L M / Z 4 v O j a / D X 6 e 2 t L m t 1 J b t w L d 5 5 J b q q 1 b N e 9 P 9 i 3 V 1 q 2 a v 9 8 s e 2 r r Z i r 2 Z / a W a u s 2 z T 2 1 d a v m 7 z e l n t q 6 V f P 3 n F L b + l 6 o t t 4 z Q b a 7 c 2 O C z P U Q 6 q 1 b J c g 8 + I N 6 y 8 D f 2 / 1 0 f E t H 6 9 a v O F Y 2 r 9 x O X 9 2 m t W N k 0 / r B z o P x / i Z 0 H D / f + h X H 0 7 f B y d N R 2 v x W O u p W o P s c c U s d d a v m / c n t N 4 / q q F s 1 f 7 + Z 9 X T U z V T s z + k t d d R t m n s 6 6 l b N 3 2 9 K P R 1 1 q + b v O a W 2 9 b 6 v o 3 a / R o o M b H 2 D l r J 9 B F p q V x G 8 N f x B L W X g I 9 W 1 d y s l Z d 4 g 8 J / u 7 O 2 O 9 x / e S l G Z 1 2 6 n q L x O 7 l O + a n M a z r G 1 e e 3 T B z t 7 9 x / Q e / c 3 I e d Y 3 L 5 3 / + H O w 4 O d n f G 9 T b R w v P 5 e a H p K T N + 7 l R I z f W z f r p M + 6 9 z u v T 5 L 3 O 6 9 P m P c U s G 9 X z d 9 1 r i l p r u Z 1 H 0 2 u B 1 K f T a 4 3 R R 5 y u 8 2 Y / G U 3 3 v h 5 2 n B W 3 X z d R n A v n Y / V I f v l R o D v 9 + g C S 3 4 U B P u v i f 8 Q U 1 o 4 N 9 7 + P D B g 4 N P b 6 U L b / + O 4 3 v z z u 0 U 4 W 1 a O 2 Y 3 r X f 3 9 3 Y e 7 h / c 2 9 u 8 f O 8 4 / z 1 f d K x / G / w 8 x a f N b 6 X 4 b g W 6 z x + 3 9 N 5 u 1 b w / 0 7 d U b r d q / n 6 z 7 O m 0 m 6 n Y n 9 l b e m + 3 a e 4 p s F s 1 f 7 8 p 9 f T W r Z q / 5 5 T a 1 p + G 6 s o k x k 6 + f f o T X 5 3 e T q n s 3 a i 0 b C e h 0 l L v 4 t b w B 5 W W g U / a 5 2 D n 3 v h 2 W s u 8 d O / g 4 f 7 O 7 v j g V m r L v H Q 7 t W V a b 9 + i D 8 f X t + n D c f Z 7 D M P x 9 / s g 5 u k t f e 1 W e u s 9 8 P L U 1 3 s h 1 m e A W 6 q x 9 8 H t / e b e 0 2 b v 0 0 l v 8 m + l 1 N 6 L W P 3 J v 8 V b n o 5 7 n 7 f 6 X H B L V f c + n b z n 7 N v W D + I a 7 5 Z L A W C 6 G 7 S d 7 S D U d v f e E / 6 g t j P w d / f v 3 9 u 7 9 3 B 8 b x O Z H N O / 1 2 u O 6 8 1 r t 9 N 4 t 2 n t m N 2 h t L 9 z f + / e p 5 Q t 2 7 + V 0 n v P F x 3 v 3 w Y / T + F p 8 1 s p v F u B 7 n P J x u b 9 S b + l h r t V 8 / e b Z E + 1 3 a p 5 b 5 p v p d N u B f r 9 5 t N T Y r d q / n 5 T 6 m m v W z V / z y m 1 r Q 9 C t f W + S w G Y 7 B v 0 l u 0 h 1 F v 3 3 x P + o N 4 y 8 G k Z c q O 0 O i 6 + 7 R u O k c 0 b t 9 N W t 2 n t 2 N i 0 3 j t 4 8 O D h z v 7 m T K H j 6 P d 6 z X H 2 b X D z N J U 2 v 5 W m u h X o P l / c U l P d q n l / j j c 2 f 7 8 J 9 j T V r Z r 3 p v h W m u p W o N 9 v P j 1 N d a v m 7 z e l n q a 6 V f P 3 n F L b + q G v q f b S 1 + + 7 H g A q 3 K C q b B e B q t p T / G 4 N f 1 B V G f j 3 9 j / d J d 9 C s 2 s 3 a C v z 0 t 7 B v Q f 3 7 t 2 / d 1 s P y 7 7 3 8 N 7 9 h 7 v 3 K O 2 + K d P o e N u 8 d / / B p w 8 p 7 f b p + N 4 m H e m Y 3 P a 3 f + / e / o O 9 e + R o b + z R s b x 9 8 9 6 D + w 8 e 0 E L R / f G O u r U 3 a L P 3 w 9 X T a / r i r f S a 6 W S b Z u D e w Q P C 7 u G m c X k q z p u 6 2 7 z Y Z 5 R b v t h n l l u q v f f s p 8 8 k t 1 S A N 5 O 7 z w 2 3 n N M + M 2 z f 7 k 1 P K 9 5 m N J 5 W f D 8 M P f 1 4 q 3 7 6 X H C 7 f i x + 9 3 d C T f l e a w U Y 5 m Y t 6 c C H W l K 1 2 a 3 h D 2 l J C / / e H i 2 B j h 9 u 0 n a W 8 Y d f 2 q A i 7 U u b 5 s P y / K 1 a W 5 Z 3 C D 0 8 2 N 3 f f X D / 3 u 7 4 4 S a F b w X g v d + 0 E n A r D J 0 S N M 1 v o w R v B 7 r P I x u b 9 6 d 8 Y / P + Z N 9 O y 9 2 u + f v N s 9 N t t 6 B i f 2 o 3 g n 6 / + X R q 7 H b N 3 2 9 K n f K 6 X f P 3 n F L b e j d U W V 9 j v Q C Y 3 q C 4 b C e h 4 r r d e o G D P 6 i 4 D P x 7 9 3 Y f 7 u + N w V K D Q 3 f M b N / a I c / p 0 z E W W g b f c j x t 3 t r e v f f p / q f 3 b + n c e a 9 9 e v / h g 9 3 x z s G t l J l 5 b f d g 7 + E D p F D v 7 9 9 K l b n 3 9 j + 9 d + / B 3 v j T W 0 W p 7 4 e m p 9 H 0 v V t p N N P H 3 s P 7 O / f H D z Z p W E + x W c x u 8 1 q f N W 6 p 4 N 4 H t z 5 P 3 F L P v U 8 n P V a 4 l b p 7 v 2 n s T / 9 t X v P 0 3 3 u 9 1 m e E W + r B 9 + r l P T n A t t 6 L 6 8 N b r i a g 2 x t 0 o e 0 g 1 I W 3 W 0 1 w 8 A d 1 o Y F / / 9 P 9 + + S 7 k h + 3 S a 8 5 z n + / 9 x z v m / c 2 k d e x / m 1 a O 5 Y 3 r f f 3 9 g 5 o i e M + x e 4 P b 5 W k e + 8 3 n Q j c B k N P 8 W n z W y m + W 4 H u c 8 r G 5 v 2 J v 6 W m u 1 X z 9 5 t m T 8 X d q n l v o m + l 2 2 4 F + v 3 m 0 1 N l t 2 r + f l P q q b B b N X / P K b W t 7 4 W q 6 + w n j 9 P f J z 3 5 8 o u z 1 2 d f v r i d e t m / U X 3 Z T k L 1 t f + e 8 A f V l 8 I f 5 g T H w T c 2 d d x 7 Y 1 P H u W a A t 9 N Q p v X 9 3 U 9 3 K K 9 6 Q M 6 n k u I G B f W e L z p + v g 1 + n n 6 6 c e S e f r o V 6 D 4 r 3 F I / 3 a p 5 b 3 Z v q 5 9 u 1 f z 9 Z t n T T z d T s T + z t 9 R P t 2 n u 6 a d b N X + / K f X 0 0 6 2 a v + e U 2 t b 7 H f 3 0 n i u e e z e u e L o e Q u V 0 u x V P B 3 9 Q O R n 4 9 z 7 9 l H J D B 5 s E 1 j H y e 7 z k 2 N m 8 t I m y j p t v 0 9 o x s 2 l N w 3 7 w 8 G D 8 4 O G t F N b 7 v O W 4 + z a Y e d p K m 9 9 K W 9 0 K d J 8 3 b q m t b t W 8 P 8 m 3 1 F a 3 a v 5 + 8 + t p q 5 u p 2 J / W W 2 q r 2 z T 3 t N W t m r / f l H r a 6 l b N 3 3 N K b e v 7 v r b a f / 9 V z / 2 d G 9 W V 7 S J Q V / u K 3 6 3 h D 6 o r A 3 + f k l u f 3 k p X m T c + f b B z / / 4 Y w j b 4 k m N m 8 9 L t d J X X x c 7 B + N N N Q a b j a P M S j f z B D o 1 / f H / T e 4 6 7 v f d A M 8 r n 3 0 p r v Q e O n v L S t 2 6 l v E w P 2 7 f p o s 8 x t 3 m r z w e 3 e a v P C 7 d U a e / T S Z 8 b b q n Z b i Z x f + 5 v g 1 B / 6 m 8 z M Z 6 i u 8 0 4 P E X 3 H r h 5 + u 5 W n X y 9 a b c v f R q q v f d a w t z f v V H l W f C h y l N F c 2 v 4 g y r P w N 9 E I s f i t 2 n t O P w 2 r R 1 n 3 6 a 1 Y 2 z T e n / n w b 3 9 g 0 8 P x v u 3 0 m / v 9 Z p j 8 t v g 5 i k 2 b X 4 r x X Y r 0 H 1 + 2 N j 8 / a b X U 2 G 3 a v 5 + E + z p r l s 1 7 0 3 x r X T X r U C / 3 3 x 6 y u p W z d 9 v S j 0 t Z Z r f U k v d p r n D 5 U G o n r 7 G c u X + 3 o 1 K y n Y S K i n N H 9 8 a / q C S M v A / 3 d 0 9 u H f b / L x 5 6 X a 6 6 j a t H S e b 1 t u 3 w M g x 9 G 3 6 c C z 9 H o N 2 j P 0 + i H k K S 1 + 7 l c J 6 D 7 w 8 v f V e i P V n / p b 6 6 3 1 w e 7 + 5 9 9 T Y + 3 T S m / x b a b P 3 I l Z / 8 m / x l q f c 3 u e t P h f c U s e 9 T y f v O f u 2 9 U F c 1 d 1 y J X L / 3 o 1 q z n Y Q q r l 7 7 w l / U M 0 Z + A / 2 D h 4 c 3 F b N v c d L j u P N S 7 f T d r d p 7 R j d t N 7 f + X T n 0 7 2 9 e + O D W 6 m 7 9 3 r N 8 f x t c P M U n T a / l a K 7 F e g + d 2 x s 3 p / s W 2 q 2 W z V / v w n 2 V N q t m v e m + F a 6 7 F a g 3 2 8 + P e V 1 q + b v N 6 W e 1 r p V 8 / e c U t v 6 Y a i u 3 j e 7 v 3 / / R n 1 l e w j 1 l a q I W 8 M f 1 F c G / q c P x 5 9 u y h M 5 L r 7 t G 4 6 R z R u b a O r 4 + D a t H R u b 1 v c f b o z 1 H S / f 8 g X H z b f B x 9 N O 2 v x W 2 u l W o P u 8 c E v t d K v m / X m 9 p X a 6 V f P 3 m 1 V P O 9 1 M x f 6 M 3 l I 7 3 a a 5 p 5 1 u 1 f z 9 p t T T T r d q / p 5 T a l p / u u N r p / v v n 8 2 / v 3 O T e n J d B O r p v u J 3 a / h D 6 s n C 3 x n v 3 E o 7 2 R d 2 d 3 Z u e M e y s u v k N v o p 6 O E 2 K s q + 8 P D + Q 3 o + 3 R 3 v P 7 i N p g r e O 7 j x P c v g t 0 X Q 6 S z z x m 1 0 l o W + f R P 4 P p P c 9 E Z / 2 m 9 6 o z / v G 5 v 3 p / y m D v r T v r F 5 b 9 J v o 8 B u j U x / i m + a B K f H b o W / 0 2 O 3 x c m p s t t 1 8 P 5 T b F / Y D b X Z e y X p 7 + / e q M k s + F C T 7 b 4 n / E F N Z u B v G q x j 5 9 u 0 d t x 8 m 9 a O k 2 / T 2 j G y a b 3 7 c G f / 4 f 6 9 3 d v p r v d 5 y 7 H 1 b T D z 1 J Y 2 v 5 X a u h X o P j f c U l / d q v n 7 z a 6 n r G 7 V / P 3 m 1 9 N U N 1 O x P 6 2 3 V F O 3 a e 6 p q F s 1 f 7 8 p 9 f T T r Z q / 5 5 T a 1 n u h c n r P v N X 9 G / N W r o N Q P d 0 u b + X g D 6 o n A 3 8 P f p M q v R t 0 1 K 1 f c Z x s X r m d o r p N a 8 f H p j W p H P h L e 3 v j h / u 3 0 l X v + a J j 7 9 v g 5 6 k r b X 4 r d X U r 0 H 3 u u K W 6 u l X z / k T f U l 3 d q v n 7 z b K n r m 6 m Y n 9 m b 6 m u b t P c U 1 e 3 a v 5 + U + q p q 1 s 1 f 8 8 p t a 3 v h e r q f f N W 9 2 / M W 7 k e Q n 1 1 u 7 y V g z + o r w x 8 0 j y b h N U x 8 S 1 f c G x s X 7 i V r r p N a 8 f E p v W D 3 Z 3 7 t 1 V T t 3 / H c f R t s P I 0 l D a / l Y a 6 F e g + P 9 x S Q 9 2 q e W R y b 6 e h b t X 8 / e Z W N d T t q N i f 1 F t q q N s 0 9 z T U r Z q / 3 5 R 6 G u p W z d 9 z S m 3 r f V 9 D f f r + u a t P d 2 5 U U b a L Q E V 9 q v j d G v 6 g i j L w b + t P m f a f 7 t w 7 G O 9 t i p g c J 9 s + b q W k g h 4 2 x m R O V Z l 3 9 n Y e 7 u z c / K J j 7 e D F n c 1 R v u P w 2 6 P o 6 S 1 9 6 V Z 6 y 3 S w f Y s e + r x y i 5 f 6 D H C L l / p c c E t V 9 h 5 9 9 P n g l g r t Z v L 2 Z / 0 W + P Q n / R Z z 4 m m 3 2 4 z C 0 2 6 3 x 8 z T c b f q 4 2 v N u H 3 n f q j p 3 i u v h S j 1 B i 1 n w Y d a T l X S r e E P a j k D n 7 L t m 9 b T H I P f 8 g X H 4 v a F W + m 4 2 7 R 2 r G 1 a 7 + 8 e 3 K i k H J O / z 1 u O y 2 + D m a f U t P m t l N q t Q P d 5 Y m P z y B T f T o P d q v n 7 T a + n u 2 7 V v D f B t 9 J d t w L 9 f v P p q a t b N X + / K f U U 1 a 2 a v + e U 2 t a f h i r q P b N b 8 P x u U F K 2 g 1 B J 3 X t P + I N K y s C n F x 5 8 O r 6 / f y t F 9 R 4 v O W 4 2 L 9 1 O W d 2 m t e N l 0 / o 2 a s d x 9 f u 8 5 Z j 7 N p h 5 y k q b 3 0 p Z 3 Q p 0 n z d u q a x u 1 b w / y b d U V r d q / n 7 z 6 y m r m 6 n Y n 9 Z b K q v b N P e U 1 a 2 a v 9 + U e s r q V s 3 f c 0 p t 6 w e h s n r f 3 B Z U 4 w 3 a y v Y Q a i v 1 Z m 4 N f 1 B b G f g U O N 7 O p b r l C 4 6 N 7 Q u 3 0 l K 3 a e 2 Y 2 L S + h d p 0 3 P w e L z m e v g 1 e n o 7 S 5 r f S U b c C 3 e e I W + q o W z W P T O / t d N S t m r / f 7 H o 6 6 m Y q 9 m f 1 l j r q N s 0 9 H X W r 5 u 8 3 p Z 6 O u l X z 9 5 x S 2 / r A 1 1 E P 3 j + 7 9 W D n R i V l u w i U 1 A P F 7 9 b w B 5 W U g X 9 / v H d w K y V l X v h 0 v P f w V k r K v H A 7 J W V a 7 4 5 3 N q X b H C O b F x 5 8 S q t + n z 4 c P 9 y k O h 1 P h 6 8 d 3 D Y T f 0 v 0 P H W l b 9 x K X R n o 2 z e B 7 / P H T W / 0 Z / y m N / p T f k v F d d s O + p O + s Y P e l N 9 K d 9 0 W m f 4 U 3 z Q J n g q 7 D f 6 e C r s l T p 4 W u 1 U H 7 z / F 9 o W H o S J 7 r + T V g 9 0 b l Z g F H y o x x e 3 W 8 A e V m I G / i T y O n W / T 2 n H z b V o 7 T r 5 N a 8 f I p v X u / X s P D x 7 u P B j f O 7 i V 8 n q / 9 x x r 3 w Y 7 T 3 V p 8 1 u p r l u B 7 n P E x u b v N 8 G e w r p V 8 / e b Y k 9 b 3 a p 5 b 5 J v p a 1 u B f r 9 5 t N T U 7 d q / n 5 T 6 u m o W z V / z y k 1 r e H I + A r q P V N X D 2 5 M X b k O Q h V 1 u 9 S V g z + k o i z 8 3 b 3 x / U 3 C a p n 4 1 m 9 Y P r Z v 3 E p V 3 a q 1 5 W K H D a m c h w / u P R g f 3 E p V v e d 7 l r V v h Z 1 T V a b 5 b V T V b U B 7 q u p 2 z f s T v b F 5 f 5 Y 3 N n + / K X a q 6 n b N e 5 N 8 G 1 V 1 O 9 D v N 5 9 O V d 2 u + f t N q V N V t 2 v + n l N q W + + G q u p 9 E 1 c P b k x c u R 5 C X X W 7 x J W D P 6 i r D P z d n f H 9 T 2 + l q 2 7 7 h m N k 8 8 Y m m j o + v k 1 r x 8 a m 9 c E 9 U p 1 7 t 1 J T t 3 7 F c f R t c P I 0 l D a / l Y a 6 F e g + P 9 x S Q 9 2 q e X 9 u b 6 m h b t X 8 / W b W 0 1 A 3 U 7 E / p 7 f U U L d p 7 m m o W z V / v y n 1 N N S t m r / n l N r W e 7 6 G O n j / t N X B z o 0 q y n Y R q K g D x e / W 8 A d V l I G / f 3 9 8 f / d W K s q 8 s f v w 4 A G 5 V P u 3 0 l L m p b 3 d g 3 u 7 + 5 u j a c f T F r n d T x 8 e 7 I w f 3 k p p W f y w t k d + 0 q 3 S W P a t + w f 3 d u 5 / O t 6 k e x 2 n v w d + n g L T t 2 6 l w E w P 2 0 T t T z / 9 d H y w s Y 8 + 2 9 z q t T 4 3 3 O q 1 P k v c U r O 9 V y 9 9 b r i l h r u Z z P 3 Z v 8 1 E 9 q d / + x a v e Q r v N u P w F N 5 7 4 O b p v V t 1 E l E D N 3 f i M L s X q r / 3 S n Y d 7 N 6 o + i z 4 U P W p 6 r g 1 / E H V Z + B v I p H j 8 d u 0 d i x + m 9 a O s 2 / T 2 j G 2 a b 2 3 w 8 + t 1 N v t 3 3 H s f R u s P L W m z W + l 1 m 4 F u s 8 J G 5 u / 3 8 R 6 2 u t W z d 9 v a j 2 t d a v m v c m 9 l d a 6 F e j 3 m 0 9 P T d 2 q + f t N q a e f b t X 8 P a f U t t 4 P F d N 7 J r k O 7 t 2 o m m w H o W q 6 9 5 7 w B 1 W T g b + / Q 1 n 7 n d t 6 Z u / z l u N n 8 9 b t V N V t W j t u N q 1 3 d z / 9 d H f 3 3 n j v V s r q f d 5 y 7 H 0 b z D x 1 p c 1 v p a 5 u B b r P H b d U V 7 d q 3 p / l W 6 q r W z V / v / n 1 1 N X N V O x P 6 y 3 V 1 W 2 a e + r q V s 3 f b 0 o 9 d X W r 5 u 8 5 p b b 1 / V B d v W + i 6 + D m R J f t I d R X t 0 t 0 O f i D + s r A f 0 g L p Z u k 1 X H x b d 9 w j G z e u J 2 e u k 1 r x 8 a m 9 e 7 + 7 h i L v o O v O G 6 + 9 S u O o 2 + D k 6 e h t P m t N N S t Q P f 5 4 Z Y a 6 l b N + 3 N 7 S w 1 1 q + b v N 7 O e h r q Z i v 0 5 v a W G u k 1 z T 0 P d q v n 7 T a m n o W 7 V / D 2 n 1 L b + 1 N d Q D 9 8 / 0 f V w 5 0 Y V Z b s I V N R D x e / W 8 A d V l I G / t 7 e / f 3 9 n 7 9 7 u p + O d / V u p q u D N / U 8 f H D z c v P b m O N u + u b P z 6 d 7 4 w S Y 9 5 / j b v P T p / v 1 7 n 2 5 e B X B c b l 4 i 1 2 9 n l 5 y m / f H u p s E 5 l n c v 7 j y 8 v 3 v / w Y P N a 6 S O + d 8 D T U + n 6 V u 3 0 m m m h + 3 9 f Q o A x g e b B u T p N j u i W 7 z V Z 4 / b v N V n j V t q u v f p p M 8 Q t 1 R 4 N 5 O 4 P / u 3 m c T + 1 G / f 4 j V P / 9 1 m H J 7 + e w / c P D V 4 q 0 7 6 0 3 6 L T h x m D 0 J t + F 5 5 r 4 c 3 5 7 0 s + F A T 3 i 7 v 5 e A P a k I D / / 7 O g 4 O 9 h / c O P r 0 3 v r 8 p 4 e f Y / X 3 f v P + 4 + + a m a X E c f 5 v W j u F N 6 4 O d v Z 2 9 h w / N 2 s g N i u 9 9 3 n K s f x v M P H W n z W + l 7 m 4 F u s 8 l G 5 v 3 J 3 1 j 8 / 5 M 3 1 K x 3 a r 5 + 8 2 v p 9 F u p m J / W j e C f r / 5 9 F T Y r Z q / 3 5 R 6 u u t W z d 9 z S m 3 r g 1 B p v W d O 7 O H N O T H b Q a i 2 b p c T c / A H 1 Z a B f 3 9 n 5 + D h D r k 4 9 z e 7 Y Y 6 Z 3 / d N x 9 f m z d u p r d u 0 d l x t W j + 8 v 0 N I P b y 3 f y u 1 9 T 5 v O T a / D W a e 2 t L m t 1 J b t w L d 5 5 K N z f u T v r F 5 f 6 Y 3 N n + / 6 f X U 1 q 2 a 9 y b 4 V m r r V q D f b z 4 9 t X W r 5 u 8 3 p Z 7 a u l X z 9 5 x S 2 / p h q L b O f v I 4 / X 3 S k y + / O H t 9 9 u W L 2 6 m W / R t V l + 0 k V F 0 q W 7 e G P 6 i 6 F P 4 w J z g O v r G p 4 9 4 b m z r O N Q P c R H P H u K b 1 7 t 7 e 7 h j 8 P / i O Y + D b v + O 4 + D Z Y e V r p x v F 6 W u l W o P s M c E u t d K v m v T m 9 r V a 6 V f P 3 m 1 t P K 9 1 M x f 6 k 3 l I r 3 a a 5 p 5 V u 1 f z 9 p t T T S r d q / p 5 T a l o j W A i 0 0 n t m 7 B / a j P q Q S n I 9 h C r p / n v C H 1 J J F v 7 u / Y O D e / f H + w c b x m 0 5 + b 3 e s g x t 3 9 p E W 8 v P t 2 p t 2 d m 2 3 r u / c 7 A 5 f r d s / R 7 v W N 6 + F V Z O V 5 n m t 9 F V t w P d 5 4 y N z f s T v b F 5 f 4 Y 3 N n + / q X W 6 6 n b N e 5 N 7 G 1 1 1 O 9 D v N 5 9 O V 9 2 u + f t N q d N V t 2 v + n l N q W + 9 6 u m p v 5 7 1 z 9 5 S 7 v l F Z 2 S 5 8 Z c U v v h f 8 Q W V l 4 N 9 7 M A Y Z B g f t 2 N i 9 8 S n l W m + l p c w r u / f H s A a D b z h u 9 j v Z u 3 / L V L 1 7 6 9 O 9 T 3 f v H d z 0 o u N w 7 8 W 9 e w / 2 D X l v U F z v g 6 S n w P S 1 W y k w 0 8 U 2 + t h 5 O H 6 w i e C e J v N R u / G 1 G D f c 4 r U + S 9 x S s 7 1 X L 3 2 e u K W G u 5 n M k f m / z U z 2 G W D 7 N u 9 5 K u 8 2 I / F U 3 v t g 5 6 m + W / U S n / s b a W D f 2 g t V 4 P s k 7 P d 2 d m 9 U f x Z 8 q P 5 2 3 x P + o P o z 8 D f R y P H 5 b V o 7 N r 9 N a 8 f d t 2 n t m N u 0 f r B 3 n 7 T 8 z k a F 5 d j 8 f d 5 y X H 4 b z D z 1 p s 1 v p d 5 u B b r P D R u b v 9 / k e l r s V s 3 f b 3 o 9 7 X W r 5 r 0 J v p X 2 u h X o 9 5 t P T 1 n d q v n 7 T a m n p G 7 V / D 2 n 1 L a + F y q n 9 0 v M 0 / 9 v V E + 2 g 1 A 9 3 S o x 7 8 E f V E 8 G / o P 7 e w c P 9 2 + l o 2 7 9 i u N k 8 8 r t F N V t W j s + N q 1 p U f P B z s P 9 T 2 + n q N 7 n L c f Y t 8 H M U 1 T a / F a K 6 l a g + 3 x x S 0 V 1 q + b 9 K b 6 l o r p V 8 / e b X 0 9 R 3 U z F / r T e U l H d p r m n q G 7 V / P 2 m 1 F N U t 2 r + n l N q W + + H i u p W S S 9 f k 9 y c 9 L I 9 h J r q V k k v D / 6 g p j L w H + y P 9 z + 9 l a K 6 7 R u O k c 0 b t 9 N T t 2 n t 2 N i 0 3 n v w 4 N 6 9 8 Y O 9 W 6 m p 9 3 j J c f V t 8 P K 0 l D a / l Z a 6 F e g + T 9 x S S 9 2 q e X 9 + b 6 m l b t X 8 / W b X 0 1 I 3 U 7 E / q 7 f U U r d p 7 m m p W z V / v y n 1 t N S t m r / n l N r W 9 3 0 t t f v + 6 S 5 w 9 Q 1 q y n Y R q K l d x e / W 8 A f V l I G / a c C O h U 3 r / f 2 9 8 U O N O W / Q U b f p w H H x r T t w n G x e 2 f 1 0 b / / e v U 9 3 x w 9 v p a r 8 1 / Y e 7 h 6 M H 2 5 6 z 3 H 3 r T H 0 V J a + c y u V Z e B v 3 9 x B n 0 t u f q c / 8 z e / 0 5 / / W 6 q w 2 3 f R 5 4 B b 6 r G b S d u f 8 p v R 6 U / 3 z d P h q b T b j M F T a b f G y 9 N r t + r i 6 0 y 2 f e X T U L m 9 V y I L / H y D Y r P g Q 8 W m u N 0 a / q B i M / B v p 9 h u 0 9 r x 9 W 1 a O 4 6 + T W v H 0 K Y 1 K e + d + w / 2 d j f r J c f c 7 / e e Y / D b Y O e p M m 1 + K 1 V 2 K 9 B 9 j t j Y / P 0 m 2 F N d t 2 r + f l P s a a 1 b N e 9 N 8 q 2 0 1 q 1 A v 9 9 8 e q r q V s 3 f b 0 o 9 L X W r 5 u 8 5 p b b 1 g 1 B B v W c y C 5 x 0 g 4 q y H Y Q q 6 t 5 7 w h 9 U U Q b + w c H 9 M R J 5 g 2 N 2 X H z r V x w n m 1 d u p 6 x u 0 9 r x s W l 9 b 4 9 M z A E t m T 4 8 u J W y e r / 3 H H P f B j t P W W n z W y m r W 4 H u 8 8 Y t l d W t m v e n + Z b K 6 l b N 3 2 + O P W V 1 M x X 7 E 3 t L Z X W b 5 p 6 y u l X z 9 5 t S T 1 n d q v l 7 T q l t f R A q q / d N a G G y b 9 B W t o d Q W 9 1 / T / i D 2 s r A 3 z R e x 8 G 3 a e 0 Y + D a t H f / e p r V j X 9 P 6 4 O D e Z p X p u P j W r z h O v g 1 O n m b S 5 r f S T L c C 3 e e D j c 3 f b 1 o 9 z X S r 5 u 8 3 s Z 5 m u l X z 3 t T e S j P d C v T 7 z a e n m W 7 V / P 2 m 1 N N M t 2 r + n l N q W z / 0 N d P e + y e x Q I U b V J P t I l B N e 4 r f r e E P q i Y D f 9 O A H Q u b 1 v c / v S F F 7 d j 4 N h 0 4 L r 5 1 B 4 6 T z S u 7 D / b u P 9 i 9 / + C 2 C X f / v U / v P 9 y / l a 6 6 N X 6 e w t J 3 b q W w D P z t m z v o 8 8 j N 7 / T n / e Z 3 + r N / S w V 2 + y 7 6 8 3 9 L L X Y z a f v z f T M 6 / e m + e T o 8 h X a b M X g K 7 d Z 4 e V r t V l 1 8 n c k 2 r z z c C V X b e 6 W w M L j N a s 2 B D 9 X a 7 n v C H 1 J r F v 6 t 1 N q t W l u + v l V r y 9 G 3 a m 0 Z 2 r a + t 3 9 / 9 9 4 u J m 7 w J c v Z 7 / O S Z e 1 b 4 e W U m G l + G y V 2 O 9 B 9 X t j Y / P 2 m 1 i m t 2 z V / v 8 l 1 + u p 2 z X v T e x t 9 d T v Q 7 z e f T k l 1 m t + k p G 7 X / P 2 m 1 O m n W z V 3 u O y G q u k 9 k 1 f o 9 g b l Z D s I l d P t k l c O / q B y M v D p j Q f j / f 1 b q a j b v + N 4 2 b y z i a y O l W / T 2 n G y a a 0 6 5 9 N b K a r 3 e M k x 9 m 3 w 8 h S V N r + V o r o V 6 D 5 f 3 F J R 3 a p 5 f 4 Z v q a h u 1 f z 9 Z t d T V D d T s T + r t 1 R U t 2 n u K a p b N X + / K f U U 1 a 2 a v + e U 2 t Z 7 o a J 6 3 8 T V 3 o 2 J K 9 d D q K l u l 7 h y 8 A c 1 l Y G / a b y O g 2 / T 2 j H w b V o 7 / r 1 N a 8 e + p j W N 9 P 5 m b e n Y + P b v O F 6 + D V a e b t L m t 9 J N t w L d 5 4 R b 6 q Z b N X + / m f V 0 0 6 2 a v 9 / c e r r p Z i r 2 J / W W u u k 2 z T 3 d d K v m 7 z e l n m 6 6 V f P 3 n F L b + p 6 v m + 6 9 f + r q 3 s 6 N y s l 2 E S i n e 4 r f r e E P K i c D f 2 e 8 e y v 1 Z N p / S j 1 s X u J 3 n G z 7 u J W S C n r Y G I c 5 b j b v 7 D 7 8 9 M H u z u 6 n B + P d T c N x r O 2 / u L O / s / 9 g D N 4 Z f N E x + e 2 x 9 F S X v n Q r 1 W U 6 2 L 5 F D 3 1 2 u c V L f R 6 4 x U t 9 R r i l N n u P P v q s c E u d d j N 5 + x N / C 3 z 6 k 3 6 L O f E U 3 G 1 G 4 S m 4 2 2 P m q b l b 9 f G 1 Z t y + s x 8 q u / d K Z t 3 b v V H R W f C h o l M x v j X 8 Q U V n 4 G + i k O P u 2 7 R 2 z H 2 b 1 o 6 r b 9 P a M b V p r R r q / s 5 m D e U 4 / D 1 f d F x + G / w 8 p a b N b 6 X U b g W 6 z x M b m 7 / f F O + + 3 x x 7 G u x W z d 9 v l j 3 d d T M V + z O 7 E f T 7 z a e n r m 7 V / P 2 m 1 F N U t 2 r + n l N q W 9 8 P V d R 7 J r X u 3 b t R S d k O Q i V 1 7 z 3 h D y o p A 5 / i y v 3 d 8 c O D W + m q 9 3 j J c b N 5 6 X Y q 6 z a t H S + b 1 v c e 3 t v f O d h 5 u H / b 6 P E 9 X 3 Q s f h v 8 P J W l z W + l s m 4 F u s 8 h t 1 R Z t 2 r e n + p b q q x b N X + / W f Z U 1 s 1 U 7 M / s L V X W b Z p 7 K u t W z d 9 v S j 2 V d a v m 7 z m l t v W n o c p 6 3 / T W P Z t + G t R Z t o d Q Z 9 1 / T / i D O s v A J / / i V u r q d u 0 d E 9 v 2 t 9 J U t 2 n t W N i 0 x o r D w / G D T a r T 8 f J 7 v O Q 4 + j Z 4 e R p K m 9 9 K Q 9 0 K d J 8 f b q m h b t U 8 M r u 3 0 1 C 3 a v 5 + s + t p q J u p 2 J / V W 2 q o 2 z T 3 N N S t m r / f l H o a 6 l b N 3 3 N K b e s H v o b a f / 8 k 1 / 7 O j S r K d h G o q H 3 F 7 9 b w B 1 W U g b 9 p w I 6 F T e s H l O C 6 l Y a 6 D X j H w 7 c E 7 7 j Y v L B / / 8 H 9 / V 3 K U H 1 6 K z X l v 3 Z v / 9 P x v U 2 v O c a + J X q e r t I 3 b q W r D P T t m 8 D 3 m e O m N / r T f d M b / S m / p d a K d 7 B J c d 2 q g 9 6 U 3 0 p x 3 R a Z / h T f N A m e / r o N / p 7 + u i V O n g q 7 V Q f v P 8 X 2 h Y N Q i 7 1 X 9 m r f Z p c G N Z g F H 2 q w 3 f e E P 6 j B D P z b a b D b t H b c f J v W j p N v 0 9 o x s m k t S u j h Z i X k e P q 9 X n O M f R v c P M W l z W + l u G 4 F u s 8 P G 5 u / 3 / R 6 6 u p W z d 9 v g j 1 d d a v m v S m + l a 6 6 F e j 3 m 0 9 P S d 2 q + f t N q a e h b t X 8 P a f U t n 4 Y q q f 3 z F z t 3 5 y 5 s h 2 E C u p 2 m S s H f 1 B B G f i 7 l I I 6 u J W S u u 0 b j o / N G 5 t I 6 t j 4 N q 0 d F 5 v W D 3 f v 7 3 z 6 c G / 8 4 H Z J 9 v d 6 z T H 2 b X D z F J U 2 v 5 W i u h X o P l / c U l H d q n l / j m + p q G 7 V / P 1 m 2 F N U N 1 O x P 6 + 3 V F S 3 a e 4 p q l s 1 f 7 8 p 9 R T V r Z q / 5 5 R q 6 / s 7 O 6 G i e t 9 8 1 f 5 N + S q v h 1 B T 3 S 5 f 5 e A P a C o H f 9 N 4 D Q f f r r V h 4 N u 1 N v x 7 u 9 a G f V 3 r X U o 6 b d K X h o l v / 4 b h 4 9 t h Z P W S b X 4 L v X R L 0 H 0 u 2 N j 8 / S b V 6 q V b N n + / a b V 6 6 Z b N e x N 7 C 7 1 0 S 9 D v N 5 9 W L 9 2 y + f t N q d V L t 2 z + n l N q W + / 6 e u n + + 2 e p 7 u / c q J h s F 4 F i u q / 4 3 R r + o G I y 8 D c N 2 L G w a U 3 R 0 c G D W y m n 2 8 B 3 T H x b + I 6 P z R t 7 D w / 2 7 u 3 v j x 9 s e s 2 x t P / a H i 3 5 P b y V p r o t e p 6 2 0 l d u p a 0 M + O 0 b 4 f f 5 4 8 Z X + l N + 4 y v 9 e b + l 6 r p 1 D / 2 Z v 6 X 6 u p m s / b m + E Z v + R N 8 4 E 5 4 e u 8 0 I P D 1 2 W 6 w 8 X X a r H r 7 G P N s 3 9 k J 9 9 l 7 5 q v u 7 N + o y C z 7 U Z b v v C X 9 Q l x n 4 t 9 N l t 2 n t W P o 2 r R 0 3 3 6 a 1 Y 2 b T W p T R g 4 3 K y L H 1 + 7 z l O P s 2 m H n q S 5 v f S n 3 d C n S f G z Y 2 f 7 / J 9 T T W r Z q / 3 / R 6 2 u p W z X s T f C t t d S v Q 7 z e f n p K 6 V f P 3 m 1 J P Q d 2 q + X t O q W 1 9 L 1 R O 7 5 m t u n 9 T t s r r I F R P t 8 t W O f i D 6 s n A f 0 j r 9 / u 3 U l G 3 f c P x s X n j d m r q N q 0 d F 5 v W 9 x 9 + u n / / 4 L b x 4 P u 8 5 d j 6 N p h 5 a k q b 3 0 p N 3 Q p 0 n y t u q a Z u 1 b w / w 7 d U U 7 d q / n 7 z 6 6 m p m 6 n Y n 9 Z b q q n b N P f U 1 K 2 a v 9 + U e m r q V s 3 f c 0 p t 6 / 1 Q T b 1 v r u r + z b k q 2 0 O o p 2 6 X q 3 L w B / W U g b 9 p v I 6 D b 9 P a M f B t W j v + v U 1 r x 7 6 m N f l C G 7 W l Y + L b v u H 4 + D Y Y e X p J m 9 9 K L 9 0 K d I 8 L b q u X b g X 9 / W b V 0 0 u 3 a v 5 + 8 + r p p Z u p 2 J / S W + q l 2 z T 3 9 N K t m r / f l H p 6 6 V b N 3 3 N K b e v 7 v l 7 6 9 P 1 z V Z / u 3 K i Y b B e B Y v p U 8 b s 1 / E H F Z O D v j n d U 2 d 2 g m 8 w L + z u f 7 u + M 7 2 m g e Y O K M i / d T k V 5 X V D C e + / T W 2 k q 8 9 K 9 h 3 s 7 u / s 3 v e e Y 2 7 2 3 + + n O w c 4 m D B 2 L v w e G n u b S t 2 6 l u U w P 2 7 f p o s 8 u t 3 m r z w S 3 e a v P C b f U Z + / T S Z 8 X b q n W b i Z x f + Z v g 1 B / 6 m 8 z M Z 6 W u 8 0 4 P C 3 3 H r h 5 y u 5 W n X y 9 a b c v f R r q v P f K Z 3 1 6 c z 7 L g g / 1 3 e 3 y W Q 7 + o L 4 z 8 D e R y L H 4 b V o 7 D r 9 N a 8 f Z t 2 n t G N u 0 f n C w f 2 / v Y H d n D K E f f M 8 x + f u 9 5 9 j 8 N t h 5 q k 2 b 3 0 q 1 3 Q p 0 n y M 2 N n + / C f a U 2 K 2 a v 9 8 U e 9 r r V s 1 7 k 3 w r 7 X U r 0 O 8 3 n 5 6 6 u l X z 9 5 t S T 0 / d q v l 7 T q l t / S B U U O + Z 0 / r 0 3 o 0 q y n Y Q q q h 7 7 w l / U E U Z + A e 7 e w 8 e j h 9 u k l f H x + / x k u N m 8 9 L t F N Z t W j t e N q 0 f H N z b I 8 9 q 0 0 u O q d / j J c f a t 8 H L U 1 X a / F a q 6 l a g + 5 x x S 1 V 1 q + b 9 K b 6 l q r p V 8 / e b X U 9 V 3 U z F / q z e U l X d p r m n q m 7 V / P 2 m 1 F N V t 2 r + n l N q W x + E q u p 9 8 1 q f 3 r 9 R V 9 k e Q l 2 l o d 6 t 4 Q / q K g N / d / z g d u H j L V 9 w b G x e u J 2 O u k 1 r x 8 S m 9 b 3 7 9 x / s j z e F s o 6 Z b / + O 4 + j b Y O V p K G 1 + K w 1 1 K 9 B 9 f r i l h r p V 8 / 7 k b m z + f l P r a a h b N e 9 N 7 q 0 0 1 K 1 A v 9 9 8 e h r q V s 3 f b 0 o 9 D X W r 5 u 8 5 p b b 1 Q 1 9 D P X j / D N e D n R t V l O 0 i U F E P F L 9 b w x 9 U U Q b + p g E 7 F j a t d w 9 2 x w f q 0 t 2 g o W 7 T g e P i W 3 f g O N m 8 c v D w 0 w e 0 K L r 5 N c f U / m s 7 D 2 4 X 9 t 0 a O 0 9 d 6 T u 3 U l c G / v b N H f Q 5 5 O Z 3 + r N + 8 z v 9 u b + l + r p 9 F / 3 Z v 6 U O u 5 m 0 / e m + G Z 3 + d N 8 8 H Z 4 6 u 8 0 Y P H V 2 a 7 w 8 n X a r L r 7 O Z J t X w L 6 + Y n u v N N a D 3 Z u U m g M f K r X d 9 4 Q / p N Q s / F s p t V u 1 t n x 9 q 9 a W o 2 / V 2 j K 0 b b 3 7 4 O G 9 / d 3 9 / d s o s v d 5 y b L 2 r f B y S s w 0 v 4 0 S u x 3 o P i 9 s b P 5 + U + u U 1 u 2 a v 9 / k O n 1 1 u + a 9 6 b 2 N v r o d 6 P e b T 6 e k b t f 8 / a b U 6 a f b N X / P K b W t d 0 P V 9 J 4 J r A c 2 w T S o n G w H o X J S x X l r + I P K y c C / 9 + m 9 8 a e f 3 k p D 3 f o V x 8 n m l U 1 E d Y x 8 m 9 a G j 1 3 r W 2 g c x 9 D v 8 Z J j 6 9 v g 5 a k p b X 4 r N X U r 0 H 2 u u K W a u l X z / g T f U k 3 d q v n 7 z a 6 n p m 6 m Y n 9 W b 6 m m b t P c U 1 O 3 a v 5 + U + q p q V s 1 f 8 8 p t a 3 3 Q j X 1 v s k r p H 9 u 0 F O 2 h 1 B P 3 S 5 5 5 e A P 6 i k D f 9 N 4 H Q f f p r V j 4 N u 0 d v x 7 m 9 a O f U 3 r + 3 s H Y y y O D L 7 i u P j W r z h O v g 1 O n m b S 5 r f S T L c C 3 e e D W 2 q m W z V / v 3 n 1 N N O t m r / f z H q a 6 W Y q 9 u f 0 l p r p N s 0 9 z X S r 5 u 8 3 p Z 5 m u l X z 9 5 x S 2 / q e r 5 k O 3 j 9 p d b B z o 2 q y X Q S q 6 U D x u z X 8 Q d V k 4 N + 7 P 9 7 Z v 5 V 6 s m 8 c P N i 5 T 9 n 1 3 V u p K f P W 7 h i J w c E X H D / 7 3 e w + 2 J z E d 2 x t 3 9 q 7 v w f X a P + G / h y T + 2 / u 7 D 3 Y 3 7 s 3 v r c p w n f 8 / j 6 Y e n p M X 7 u V H j N d b H M f n 4 4 / f X A 7 h R a g d t N r E a a 4 z W t 9 z r i l g n u v X v q M c U t F d z O Z I z x w m 5 n s M 8 D 2 b d 7 z N N 9 t R u J p v v f B z t O A t + p l Y O 5 v o o F 9 a z / U h O + V 5 T r Y v V E L W v C h F l T V c 2 v 4 g 1 r Q w N 9 E I 8 f n t 2 n t 2 P w 2 r R 1 3 3 6 a 1 Y 2 7 T e n d n f + f h / U 8 / v X / v Y H z v 4 a 3 0 3 X u / 6 v j 9 N j h 6 i k 6 b 3 0 r R 3 Q p 0 n y 8 2 N n + / a U a j 9 2 n + f h P t 6 b F b N e 9 N 9 a 3 0 2 K 1 A v 9 9 8 e m r r V s 3 f b 0 o 9 d X W r 5 u 8 5 p b b 1 / V B N m Y z X y b d P f + K r 0 9 s p k 7 0 b l Z X t J F R W e + 8 J f 1 B Z K f x h T n A c f G N T x 7 0 3 N n W c a w Z 4 O x 1 l W n + 6 f + / h 7 r 3 7 t / X H 3 u s 1 x 8 u 3 w c 3 T T T e O 2 t N N t w L d Z 4 N b 6 q Z b N e / N 7 G 1 1 0 6 2 a v 9 8 M e 7 r p Z i r 2 5 / W W u u k 2 z T 3 d d K v m 7 z e l n m 6 6 V f P 3 n F L b + t O 4 b r p l N h 6 r k T f o J d t B q J c 0 y L k 1 / E G 9 Z O A / e E A e x d 7 4 3 q c b h u 0 Y + X 3 e c v x s 3 t p E W s f O t 2 n t u N m 0 3 t 3 Z 3 d u 7 f 3 D v Y P / + + G D / V k r r v V 9 1 j H 4 b H D 3 F p c 1 v p b h u B b r P J 7 d U X L d q 3 p / v W y q u W z V / v 5 n 2 F N f N V O z P 7 S 0 V 1 2 2 a e 4 r r V s 3 f b 0 o 9 x X W r 5 u 8 5 p b b 1 g 1 B x v W 9 + / u D + j Z r L 9 h B q L g 1 N b w 1 / U H M Z + A 8 o W 7 Q p n e W 4 + L Z v O E Y 2 b 9 x O Y 9 2 m t W N j 0 3 p 3 / + G n p E Y P H m x O p j i e f s 8 X H X f f B j 9 P W 2 n z W 2 m r W 4 H u 8 8 Y t t d W t m v f n + Z b a 6 l b N 3 2 + W P W 1 1 M x X 7 M 3 t L b X W b 5 p 6 2 u l X z 9 5 t S T 1 v d q v l 7 T q l t f e B r q 4 f v n 7 N / u H O j u r J d B O r q o e L n w d 8 M f 1 B d G f h 7 + / t j 0 G F w 1 I 6 P z S u f H j w c b 0 r y O F Y 2 b 9 x O X 5 n W + + T w b F Q h j p v N K 7 s 7 D w 8 e 3 v i e 4 + z g v Z 2 d T f g 5 / r 4 1 f p 7 S 0 n d u p b Q M / O 2 b O + j z y c 3 v 9 O f + 5 n f 6 k 3 9 L J X b 7 L v r z v 7 G L 3 t z f S p P d H p 3 + d N 8 8 H Z 5 S u 8 0 Y P K V 2 a 7 w 8 z X a r L r 7 O Z N t X H o b q 7 b 0 S 8 Q 9 t o n x Q t V n w o W p T F + j W 8 A d V m 4 G / i U C O s W / T 2 v H 1 b V o 7 j r 5 N a 8 f Q p v X e 7 s M H B 5 u V k u P s 9 3 j J s f Z t 8 P K U m D a / l R K 7 F e g + L 2 x s / n 5 T 6 y m t W z V / v 8 n 1 9 N W t m v e m 9 1 b 6 6 l a g 3 2 8 + P S V 1 q + b v N 6 W e f r p V 8 / e c U t M a g / B V 0 3 s m u B 7 e m O B y H Y T K 6 X Y J L g d / S D l Z + L v 3 H j w c H 9 x G Q 9 3 + F c v J 9 p V b q a l b t b Z 8 b F v f 2 6 N 4 7 5 Z q 6 n 1 e s m x 9 K 7 y c m j L N b 6 O m b g e 6 z x U b m / c n e W P z / g R v b P 5 + k + v U 1 O 2 a 9 6 b 3 N m r q d q D f b z 6 d m r p d 8 / e b U q e m b t f 8 P a f U t t 4 N 1 d T 7 p r M e 3 p j O c j 2 E e u p 2 6 S w H f 1 B P G f j 7 B w f j / U 9 v p a d u / Y p j Z f P K J q o 6 T r 5 N a 8 f I p v X u w 3 u 7 4 0 8 3 4 e M Y + v b v O K 6 + D V a e l t L m t 9 J S t w L d 5 4 l b a q l b N e 9 P 7 y 2 1 1 K 2 a v 9 / c e l r q Z i r 2 J / W W W u o 2 z T 0 t d a v m 7 z e l n p a 6 V f P 3 n F L b e s / T U v d 2 3 j u N d Q 9 m / A Y 1 Z b v w 1 d Q 9 Y / 9 v D X 9 Q T R n 4 m w b s W P g 2 r R 0 H m 9 a b s m O O g W / T 2 v H v b V o 7 D r 4 N 3 o 6 B b w P b U 0 j a / F Y K 6 T a I e A r p V s 3 f b z I 9 h X S r 5 v 3 p v K V C u l X z 3 o T e S i H d a o L 6 8 7 m 9 q b 2 n k W 6 D u a e R b o O N p 5 F u B b 0 / p x v H a l v f C z X S + 2 S e 7 m E N 7 Q Z t Z M G H 2 m j 3 P e E P a i M D / 3 b a 6 D a t H f v e p r X j 3 t u 0 d s x r W t 9 O G 9 2 m t e P e 2 2 D i a S N t f i t t d C v Q / d m / p T a 6 V f P 3 m 0 1 P G 9 2 q + f v N p 6 e N b q Z i f z o 3 g n 6 / + f S U 0 a 2 a v 9 + U e s r o V s 3 f c 0 p t 6 3 1 f G e 2 + v 3 s E r r 5 B I d k u A o W 0 q / j d G v 6 g Q j L w 9 y g 1 9 e n O v d v p J f f S p 7 u f 7 h 5 8 O r 6 / a d n A s b R 5 7 9 7 + g 4 e 7 e + P d T W 8 5 z r a 9 H e x 8 e j B + s H 8 r h W V e + v T T h / s P q K 9 P 9 2 6 l u d x r 9 O z f G x 8 c 3 E q F v Q e K n i b T t 2 6 l y S z p d h 8 e E F 7 7 m 1 S r p 9 H M a 9 u 3 e q / P F r d U b e + F X Z 8 f b q n i 3 q u X H i v c S t W 9 z 0 T 2 p 3 / 7 F q 9 5 m u 8 2 w / c 0 3 3 v g 5 i n A / c e 3 6 C S i D 2 7 u x G F 2 P 9 S D 7 + W U g c d v 0 I E W f K g D b + e U O f i D O t D A 3 9 9 / s H 9 v f 3 d 3 v L t J W T i u 9 9 6 7 f 7 B 3 b 5 O q c D x v X n r 4 6 f 1 9 H c E N + s + 8 Q S O 6 9 + m D z S r J c b 1 5 6 9 M H + 7 s 7 D / Y 2 j 8 k J g H 3 t 0 7 2 H D 3 b 2 x 2 C I w d e c B L w P j p 4 G 1 N d u p Q F N F 9 u 7 + w d 7 n 9 7 Q R Z 9 5 b v N W n y V u 8 1 a f I W 7 p 4 b 1 P J 3 1 2 u K W j d z O J + 5 N / q 1 n s T / 7 2 b d 7 z 9 N 9 t R u L p v / f B z l O A t + o l M v O 3 6 M X h 9 m m o A c 2 q 4 8 m 3 T 3 / i q 9 P b 6 a m 9 G / W g 7 S T U g y r Y t 4 Y / q A c N / P s 7 9 z d p J s f v 5 o V N p H X s f k v w j t P 1 h W H W d V x + Y 1 P H 5 D c 2 d Y x 9 Y 1 N P l d 3 c t s 8 t N 1 D C 0 2 L m j e 2 b X u n P 5 i 1 d u N v i 1 J / P W 3 p v t + 3 g P S b V U 1 0 3 t 3 2 P a f V 0 1 M 1 t e 9 O 6 o W 1 v Q j e 0 7 c 3 k h r H Z p g / i e u j N q 9 v p i H s 3 6 i D b Q a i D 1 B W / N f x B H W T g 7 + 8 e P N g / e L A p Q n S 8 + x 4 v O f Y 1 L 2 1 i X 8 e 9 t 2 n t O N e 0 / v T T 3 Y c 7 u w 8 3 W x H H x O / 1 m u P n 2 + D m a S p t f i t N d S v Q f e 7 Y 2 L w / 2 b d U U b d q / n 4 T 7 O m n W z X v T f G t l N O t Q L / f f H o q 6 l b N 3 2 9 K P U V 1 q + b v O a W 2 9 U G o r s 5 + 8 j j 9 f d K T L 7 8 4 e 3 3 2 5 Y v b q Z T 9 G 1 W W 7 S R U W f v v C X 9 Q Z R n 4 D + 7 t 7 O 3 t j x 8 q 4 B t 0 1 v u 8 5 X j a v H U 7 p X W b 1 o 6 j T e v d h / f v 3 x / D 6 g y + 5 F j 7 P V 5 y D H 4 b v D y F p c 1 v p b B u B b r P G 7 d U W L d q 3 p / j j c 3 f b 3 I 9 h X W r 5 r 3 p v Z X C u h X o 9 5 t P T 2 H d q v n 7 T a m n s G 7 V / D 2 n 1 L Z + 6 C u s v f f P + I M K N 6 g r 2 0 W g r v Y U v 1 v D H 1 R X B v 7 e / U / 3 H + 5 + u v / p + M H t 0 l 3 + i + R p 7 d 7 b n F R 3 f G 1 e f P D w 4 N 6 9 8 e 1 i P / P O v R 1 6 b q W + z B s H D / Z 2 P 3 1 4 b / z w / q 0 U m H 3 t 0 4 c 3 v + Z Y / r b 4 e W p M X 7 m V G j P g 9 2 8 k m a f M z E v b t 3 i r z w + 3 1 G n v g V m f A 2 6 p 2 d 6 j j 9 7 8 3 0 q / 3 X r 2 + h O + f d M 7 n q K 7 z b A 9 R X d b r D x l d 6 s e + n N 9 4 7 j N G 1 g Q 9 B X e e 6 X 2 M b T N y s 6 B D 5 W d T v m t 4 Q 8 p O w v / / s 6 n D 0 k t 7 D w c 3 y 6 1 5 b 1 I a f B 7 D x 7 s j u 9 9 e h t l Z 1 / c 3 9 v f 3 6 h L L L v b V 0 h 7 f / r p f c o E b 3 r N M r x 9 b f f T v X s 7 D 0 h Q D j Y F v p b 5 3 X v k e e 7 v P H g w 3 t m k x q 0 E v B + a T u + Z 9 2 6 j 9 2 w f 2 3 s P D m i + d m / o p M 9 I t 3 u v z y C 3 e 6 / P H x u l q M 8 V t + u m z x o b u + m x x G 1 0 4 H t O Z 5 8 N t m / 1 o t O G t x q L 0 4 b v h 5 9 T i b f r p s 8 A t + r G Y b c b 6 s W v k f A H y j d o R 9 t J q B 1 v l / B 3 8 A e 1 o 4 F / c G D c y x u 0 4 i 1 f c H x v X t j U 2 n G 7 t h 5 m X 8 f p N z Z 1 j H 5 j U 8 f b N z b 1 1 N r N b f v c s l G M + / O + s X l / G g e a S / P + J N 5 S d d 2 q e W 8 O b 6 u x b q b i e 0 y k p 6 V u b O s p p p v b 9 m Z y Q 9 v e N G 5 o 2 5 v D D W O z T f f i q u e W O X 7 0 e Y P a s R 2 E a u d 2 O X 4 H f 1 D t G P j 3 d 3 f 2 9 x 7 u f 7 o / v n + r C P R 9 X 3 Q 8 b F 6 8 n R q 6 T W v H w a b 1 7 o N 7 B 7 v 3 K S q + X b L / P d 9 z n H 0 b 7 D w 1 p c 1 v p a Z u B b r P J 7 d U U 7 d q 3 p / s W 6 q p W z V / v z n 2 1 N T N V O x P 7 E b Q 7 z e f n r K 6 V f P 3 m 1 J P Z d 2 q + X t O q W 1 9 L 1 R c X y P b v 7 d / o / K y n Y T K a / 8 9 4 Q 8 q L w N / b 5 f C 6 b 3 N U a F j 5 v d 5 y / G 0 e e t 2 a u s 2 r R 1 H m 9 Z Y M t 0 c A T r O v v 0 7 j r 1 v g 5 W n r r T 5 r d T V r U D 3 O e O W 6 u p W z f s z f E t 1 d a v m 7 z e 3 n r q 6 m Y r 9 S b 2 l u r p N c 0 9 d 3 a r 5 + 0 2 p p 6 5 u 1 f w 9 p 9 S 2 3 v f V 1 b 3 3 z / U j t L x B W d k u A m V 1 T / G 7 N f x B Z W X g b x q w Y 2 H T m l J C G 6 N g x 8 W 3 g e + Y + L b w H R + b N 3 Y f 7 D 3 c v X f / 4 e b 3 H E 8 H 7 + 0 d 3 E 5 T 3 R Y 9 T 1 v p K 7 f S V g b 8 9 o 3 w + / x x 4 y v 9 K b / x l f 6 8 3 1 J 1 3 b q H / s z f U n 3 d T N b + V N + I T X + i b 5 w J T 4 / d Z g S e H r s t V p 4 u u 1 U P X 2 O e 7 R v 3 Q 3 3 2 X q l 8 x K c 3 6 D I L P t R l u + 8 J f 1 C X G f i 3 0 2 W 3 a e 1 Y + j a t H T f f p r V j Z t P 6 3 v 7 9 A 1 o 6 v Z 0 C e 4 + X H F / f B i 9 P e W n z W y m v W 4 H u 8 8 L G 5 u 8 3 t Z 6 + u l X z 9 5 t c T 1 f d q n l v e m + l q 2 4 F + v 3 m 0 1 N R t 2 r + f l P q q a d b N X / P K b W t P w 1 V 0 3 u m t O D X 3 a C c b A e h c r r 3 n v A H l Z O B v 3 v / / n j T K p x j 4 t u + 4 f j Y v H E 7 J X W b 1 o 6 L T W v V N / u 3 U l L v 8 Z J j 6 t v g 5 S k p b X 4 r J X U r 0 H 2 e u K W S u l X z / v z e U k n d q v n 7 z a 6 n p G 6 m Y n 9 W b 6 m k b t P c U 1 K 3 a v 5 + U + o p q V s 1 f 8 8 p t a 0 f h E r q 7 M W b 9 P P j F 8 d P b + t C 3 b 9 R S 9 k e Q i 2 l 1 v / W 8 A e 1 l I G / a b y O g 2 / T 2 j H w b V o 7 / r 1 N a 8 e + p v X u / X s b d a V j 4 t u + 4 f j 4 N h h 5 e k m b 3 0 o v 3 Q p 0 n w t u q Z d u 1 f z 9 Z t X T S 7 d q / n 7 z 6 u m l m 6 n Y n 9 J b 6 q X b N P f 0 0 q 2 a v 9 + U e n r p V s 3 f c 0 p t 6 w N f L + 2 / f 5 5 q f + d G x W S 7 C B T T v u J 3 a / i D i s n A 3 7 + 3 c / + 2 i 4 H m n b 0 H + / f v f z r e / / R W a s q 8 t T O + v 3 8 r T e W 6 2 d m 7 v z v e P 7 i V x j J v 7 Z J 7 t / P g w Y O b 3 n R s 7 r 2 5 f 7 D z 4 P 7 O J i Z w 7 L 4 B z U 1 q T F + 7 l R o z X W w z K X b G D z c R 0 N N n A W o 3 v d b n i V u 9 1 m e L j b L T 5 4 d b 9 d L n i o 2 9 9 N j h V n r u v W a y z w D b t 3 n P U 3 y 3 G Y m n + N 4 H O 0 8 B 3 q q X g b m / i Q b 2 r Y e h I n y v B N f + z Q k u C z 5 U g r d L c D n 4 g 0 r Q w N 9 E I 8 f n t 2 n t 2 P w 2 r R 1 3 3 6 a 1 Y 2 7 T e u / e 7 g 7 5 W / f u H 4 z v b V L h j t X f 9 0 3 H 7 b f B 0 F N z 2 v x W a u 5 W o P t c s b H 5 + 0 2 y p 8 1 u 1 f z 9 p t n T Y r d q 3 p v o W 2 m x W 4 F + v / n 0 l N a t m r / f l H r K 6 l b N 3 3 N K T W s 4 Q 7 6 S M q m u k 2 + f / s R X p 7 d T J X s 3 q S r X S a i q V L Z u D X 9 I V V n 4 5 N 3 c 3 9 k b P / z 0 N i r L v n U L f 8 i y t H 3 p V p r L t t 6 + R R + W s W / V h 2 X t 9 x m G Z f D 3 Q s w p L v P a b R T X + + D l 9 N f 7 I d b n g I 1 M / 7 W m 3 q m z 2 3 X S n / z b d N K b / N t o t f c j V n / y b / G W U 3 L v 9 V a f C z b R z O m 6 9 + r k P W f f t t 6 N q 7 x b Z v f 3 b 8 z u u w 5 C d X e 7 7 L 6 D P 6 j u D P x 7 B w / v 7 d J 6 6 / 6 t 1 N 3 7 v O V 4 3 r y 1 i b S O 5 W / T 2 r G 6 a b 2 3 v 3 P / Y P / T + z u 3 j U r f + 0 3 H + 7 f B 0 F N 4 2 v x W C u 9 W o P t c s r F 5 f 9 J v q e F u 1 f z 9 p t l T b b d q 3 p v o W + m 0 W 4 F + v / n 0 l N i t m r / f l H r a 6 1 b N 3 3 N K b e u 9 U G 2 9 b 7 5 / / 8 Z 8 v + s h 1 F u 3 y / c 7 + I N 6 y 8 D / d P / T / f H D T f L q + P j 2 7 z h m N u / c T m f d p r V j Z d N 6 b 3 d / f 3 y 7 h c n 3 e M f x 9 W 2 w 8 v S U N r + V n r o V 6 D 5 X 3 F J P 3 a p 5 f 3 5 v q a d u 1 f z 9 5 t b T U z d T s T + p t 9 R T t 2 n u 6 a l b N X + / K f X 0 1 K 2 a v + e U 2 t b 3 f D 1 1 / / 3 z / / d 3 b l R U t o t A U d 1 X / G 4 N f 1 B R G f g 7 4 5 1 N 0 u q 4 2 L y w t 7 N z w z u O l W 0 n t 9 J S f g + 3 U l T + C z s 3 v O W 4 O n h r Z / N b j r l v i Z y n r / S N W + k r A 3 3 7 J v B 9 B r n p j f 6 U 3 / R G f 8 5 v q b l u 2 0 F / y m + p v G 4 m a X y a b 6 e / b j s J n g 6 7 D f 6 e D r s l T p 4 a u 1 U H 7 z / F 9 o X 9 U J O 9 V w L / / u 6 N W s y C D 7 X Y 7 n v C H 9 R i B v 6 m w T p 2 v k 1 r x 8 2 3 a e 0 4 + T a t H S O b 1 v u 3 0 E G O p d / n L c f W t 8 H M U 1 v a / F Z q 6 1 a g + 9 x w S 3 1 1 q + b v N 7 u e s r p V 8 / e b X 0 9 T 3 U z F / r T e U k 3 d p r m n o m 7 V / P 2 m 1 N N P t 2 r + n l N q W 9 8 P l d N 7 Z r H u 3 7 t R P d k O Q v V 0 7 z 3 h 9 9 R T F z 4 E d r x z c C s l d f t 3 H C + b d 2 6 n q m 7 T 2 n G y j 8 / t V d X 7 v O V Y + z a Y e a p K m 9 9 K V d 0 K d J 8 z b q m q b t W 8 P 8 e 3 V F W 3 a v 5 + 8 + u p q p u p 2 J / W W 6 q q 2 z T 3 V N W t m r / f l H q q 6 l b N 3 3 N K b e t P Q 1 X 1 v p m r + z a z N K i r b A + h r r r / n v A H d Z W B f 2 t F d c s X H B v b F 2 6 l p W 7 T 2 j G x a b 1 / W w V 1 y x c c L 9 8 G H 0 8 3 a f N b 6 a Z b g e 5 z w i 1 1 0 6 2 a R 6 b 1 d r r p V s 3 f b 1 Y 9 3 X Q z F f s z e k v d d J v m n m 6 6 V f P 3 m 1 J P N 9 2 q + X t O q W 3 9 w N d N n 7 5 / t u r T n R u V k + 0 i U E 6 f K n 6 3 h j + o n A z 8 / Z 1 7 + 7 v 3 H 4 5 B i 8 G R O 1 5 + r 9 c c T 5 v X b q e o t P U w j z p 2 v r G p 4 + Y b m z p O v r G p p 5 Z u b t v n m 1 u q p V s 1 7 0 / p L d X S r Z q / 3 x R 6 a u l W z d 9 j H j 2 1 d H P b 9 5 h J T y H d 3 L Y 3 k x v a 9 q Z x Q 9 v e H G 4 Y m 2 1 6 E C q h 9 0 o 0 f X p z o s m C D x X Q 7 R J N D v 6 g A j L w D 3 Y + f f D p w d 6 t t M / t 3 3 F 8 a 9 6 5 n e r R 1 s P 0 d y x 7 Y 1 P H s T c 2 d Q x 7 Y 1 N P 9 d z c t s 8 t t 1 Q 9 t 2 r e n 8 x b q p 5 b N X + / K f R U z 6 2 a v 8 c 8 e q r n 5 r b v M Z O e 6 r m 5 b W 8 m N 7 T t T e O G t r 0 5 3 D A 2 2 / R h q H r e M 4 3 0 6 c 1 p J N t B q H x u l 0 Z y 8 A e V j 4 F P i u T g 3 u 7 B G P 7 f I K 8 4 v n 2 v 1 x z / m t d u p 4 K 0 9 f A 8 O N a 9 s a n j 3 B u b O s a 9 s a m n g m 5 u 2 + e a W 6 q g W z X v T + k t V d C t m r / f F H o q 6 F b N 3 2 M e P R V 0 c 9 v 3 m E l P B d 3 c t j e T G 9 r 2 p n F D 2 9 4 c b h i b a Y r 1 e F 8 F v W 9 6 6 N M b 0 0 O u h 1 A H 3 S 4 9 5 O A P 6 S A L / 9 N 7 n 9 5 S / 9 z + F c u 4 9 p V b 6 R 7 T e n g C L M / e 3 N S y 7 M 1 N L c f e 3 N T p n l u 0 7 b P L 7 X T P 7 Z r 3 p / J 2 u u d 2 z d 9 v C p 3 u u V 3 z 9 5 h H p 3 t u 0 f Y 9 Z t L p n l u 0 7 c 3 k h r a 9 a d z Q t j e H G 8 Z m m + 7 6 u u f B + 6 d / H u z c q H x s F 4 H y w Y v v B X 9 Q + R j 4 + / e Q y X k w f n g 7 B f R e r z k O N q / d T g l p 6 + G Z c M x 7 Y 1 P H u z c 2 d a x 7 Y 1 N P C d 3 c t s 8 3 t 1 R C t 2 r e n 9 J b K q F b N X + / K f S U 0 K 2 a v 8 c 8 e k r o 5 r b v M Z O e E r q 5 b W 8 m N 7 T t T e O G t r 0 5 3 D A 2 2 3 Q v V E L v l f 5 5 s H u j A r L g Q w W 0 + 5 7 w B x W Q g X / w 6 c H O / q c 3 p n / e 8 x 3 H t + a d 2 6 k e b X 0 b 1 X N j U 8 e x N z Z 1 D H t j U 0 / 1 3 N y 2 z y 2 3 V D 2 3 a t 6 f z F u q n l s 1 f 7 8 p 9 F T P r Z q / x z x 6 q u f m t u 8 x k 5 7 q u b l t b y Z v p X p u b t u b w 9 u o n n u h 6 n n P 9 M + D G 9 M / r o N Q + d w u / e P g D y o f A x + K 5 N O H 9 8 c P b 6 d / 3 u s 1 x 7 / m t d u p I G 0 9 P A + O d W 9 s 6 j j 3 x q a O c W 9 s 6 q m g m 9 v 2 u e a W K u h W z f t T e k s V d K v m 7 z e F n g q 6 V f P 3 m E d P B d 3 c 9 j 1 m 0 l N B N 7 f t z e S G t r 1 p 3 N C 2 N 4 c b x m a b 7 o c q 6 H 3 T P w 9 u T v / Y H k I d d L v 0 j 4 M / q I M M / L 2 H l E e + l f q 5 7 R u O b c 0 b t 9 M 8 2 n q Y / I 5 j b 2 z q G P b G p o 5 f b 2 z q a Z 6 b 2 / a Z 5 Z a a 5 1 b N + x N 5 S 8 1 z q + b v N 4 W e 5 r l V 8 / e Y R 0 / z 3 N z 2 P W b S 0 z w 3 t + 3 N 5 I a 2 v W n c 0 L Y 3 h x v G Z p v e 9 z T P / s 5 7 J 3 / 2 d 3 Z u V D 2 2 C 1 / 1 8 I v v B X 9 Q 9 R j 4 e z t 7 e + O 9 / V s p n 9 u / 4 3 j X v H M 7 9 X O b 1 o 5 z T e s H O / J s e M m x 8 H u 8 5 H j 5 N n h 5 i k m b 3 0 o x 3 Q p 0 n y 9 u q Z h u 1 b w / w 7 d U T L d q / n 6 z 6 y m m m 6 n Y n 9 W N o N 9 v P j 3 1 d K v m 7 z e l n p K 6 V f P 3 n F L b + t N Q V b 1 P i m h / 5 + Y U k Q U f q q l b p Y g 8 + I N q y s D f N F j H v r d p 7 b j 3 N q 0 d 8 9 6 m t e N d 0 x q 6 + P a 6 6 X 3 e c s x 8 G 8 w 8 5 a T N b 6 W c b g W 6 z w 2 3 V E 6 3 a v 5 + s + s p p 1 s 1 f 7 / 5 9 Z T T z V T s T + s t l d N t m n v K 6 V b N 3 2 9 K P e V 0 q + b v O a W 2 9 Y N Q O b 1 f E o l W n 2 5 U T 7 a D U D 3 d e 0 / 4 g + r J w N / f 2 d 8 f 7 x / c S k n d / h 3 H y + a d 2 6 m q 2 7 R 2 n G x a 3 0 b p O J 5 + n 7 c c a 9 8 G M 0 9 V a f N b q a p b g e 5 z x i 1 V 1 a 2 a 9 + f 4 l q r q V s 3 f b 3 4 9 V X U z F f v T e k t V d Z v m n q q 6 V f P 3 m 1 J P V d 2 q + X t O q W 1 9 E K q q 9 0 w 2 7 e / Y Z N C g r r I 9 h L r q / n v C H 9 R V B j 7 r H a T 6 B 0 f t + P j 2 7 z h m N u / c T l d p 6 2 H m d H x 8 Y 1 P H x j c 2 d S x 8 Y 1 N P H 9 3 c t s 8 w t 9 R H t 2 r e n 8 x b 6 q N b N X + / K f T 0 0 a 2 a v 8 c 8 e v r o 5 r b v M Z O e J r q 5 b W 8 m N 7 T t T e O G t r 0 5 3 D A 2 2 / S h r 3 1 2 3 z / h B B 6 + Q f 3 Y L g L 1 g x f f C / 6 g + j H w 7 x / s j g 8 O b q V 9 O q / c R v m Y V z a x o m P c 2 7 R 2 f G t a 3 7 t P A 3 5 w s O k l x 8 D v 8 Z L j 5 N v g 5 a k l b X 4 r t X Q r 0 H 2 u u K V a u l X z / g T f U i 3 d q v n 7 z a 6 n l m 6 m Y n 9 W N 4 J + v / n 0 l N O t m r / f l H o q 6 l b N 3 3 N K T e t P d 0 J F 9 V 7 p J n D p Z i X l w I d K a v c 9 4 Q 8 p K Q t / 0 2 A t + 9 6 q t e X e W 7 W 2 z H u r 1 p Z 3 b e s H O 3 s H 9 / j P w Z c s E 7 / P S 5 a V b 4 W X U 0 2 m + W 1 U 0 + 1 A 9 3 l h Y / P 3 m 1 q n m m 7 X / P 0 m 1 6 m m 2 z X v T e 9 t V N P t Q L / f f D r V d L v m 7 z e l T j X d r v l 7 T q l t v R u q p v d M N o G T b l B O t o N Q O d 0 u 2 e T g D y o n A 3 9 3 9 9 N 7 4 w e f 3 k p F 3 f 4 d x 8 v m n U 1 k d a x 8 m 9 a O k 0 3 r W + g c x 9 L v 8 Z J j 7 N v g 5 S k q b X 4 r R X U r 0 H 2 + u K W i u l X z / g z f U l H d q v n 7 z a 6 n q G 6 m Y n 9 W b 6 m o b t P c U 1 S 3 a v 5 + U + o p q l s 1 f 8 8 p t a 3 3 Q k X 1 v q k m T P Y N m s r 2 E G q q 2 6 W a H P x B T W X g 3 6 x 1 H B / f / h 3 H z O a d 2 2 k q b T 3 M n I 6 P b 2 z q 2 P j G p o 6 F b 2 z q 6 a O b 2 / Y Z 5 p b 6 6 F b N + 5 N 5 S 3 1 0 q + b v N 4 W e P r p V 8 / e Y R 0 8 f 3 d z 2 P W b S 0 0 Q 3 t + 3 N 5 I a 2 v W n c 0 L Y 3 h x v G Z p v e 8 7 X P v f d P N d 3 b u V H 9 2 C 4 C 9 X N P 5 / T W 8 A f V j 4 G / u / d w b 6 z u V 3 T U j m t v / Y r j X P P K 7 Z T P b V o 7 v j W t 9 / c f 3 L t H u f d b u U n v 8 Z L j 5 N v g 5 a k l b X 4 r t X Q r 0 H 2 u u K V a u l X z / g T f U i 3 d q v n 7 z a 6 n l m 6 m Y n 9 W N 4 J + v / n 0 l N O t m r / f l H o q 6 l b N 3 3 N K b e v 9 U F G 9 V 6 r p 3 u 6 N S s q C D 5 X U 7 n v C H 1 R S B v 6 m w T r 2 v U 1 r x 7 2 3 a e 2 Y 9 z a t H e + a 1 g c P 9 z / 9 d G d j J t 8 x 8 X u 8 5 F j 5 N n h 5 q k m b 3 0 o 1 3 Q p 0 n x d u q Z p u 1 f z 9 5 t Z T T b d q / n 6 z 6 6 m m m 6 n Y n 9 V b q q b b N P d U 0 6 2 a v 9 + U e q r p V s 3 f c 0 p t 6 / u h a n r P V N O 9 e z c q J 9 t B q J z U c b k 1 / E H l Z O D v 3 T / Y H 3 9 6 K w 1 1 6 1 c c J 5 t X b q e m b t P a 8 b F p f Q u N 4 x j 6 P V 5 y b H 0 b v D w 1 p c 1 v p a Z u B b r P F b d U U 7 d q 3 p / g W 6 q p W z V / v 9 n 1 1 N T N V O z P 6 i 3 V 1 G 2 a e 2 r q V s 3 f b 0 o 9 N X W r 5 u 8 5 p b b 1 p 6 G a e t 9 E 0 z 2 b C B r U U 7 a H U E / d f 0 / 4 o q c i e s r A v 1 H p O D a + 9 S u O l c 0 r t 9 N T 2 n q Y N R 0 X 3 9 j U M f G N T R 0 D 3 9 j U 0 0 Y 3 t + 2 z y y 2 1 0 a 2 a 9 6 f y l t r o V s 3 f b w o 9 b X S r 5 u 8 x j 5 4 2 u r n t e 8 y k p 4 d u b t u b y Q 1 t e 9 O 4 o W 1 v D j e M z T Z 9 4 O u e / f d P M + 3 v 3 K h 8 b B e B 8 t n X O b 0 1 / E H l Y + D f 2 7 v 3 8 M F Y d V p 0 2 I 5 t b / + O 4 1 3 z z u 3 U z 2 1 a O 8 4 1 r X d 3 7 u + Q 0 / P w 4 O H 4 3 o M N b z o + f t 8 3 H V f f B k N P R W n z W 6 m o W 4 H u c 8 g t V d S t m v f n + p Y q 6 l b N 3 2 + e P R V 1 M x X 7 U 7 s R 9 P v N p 6 e o b t X 8 / a b U U 1 e 3 a v 6 e U 2 p b H 4 R K 6 7 1 S T v s 3 p 5 w s + F B h 3 S 7 l 5 O A P K i w D f 9 N g H f v e p r X j 3 t u 0 d s x 7 m 9 a O d 0 3 r v d 2 d 3 Y O H p D g P x g / 2 b 6 W k 3 v d N x 9 S 3 w d B T U t r 8 V k r q V q D 7 X L G x + f t N s q e k b t X 8 / a b Z U 1 K 3 a t 6 b 6 F s p q V u B f r / 5 9 J T U r Z q / 3 5 R 6 S u p W z d 9 z S m 3 r h 6 G S e s / k 0 / 7 N y S f b Q a i m b p d 8 c v A H 1 Z S B L z 4 S U m + D o 3 Z 8 / B 4 v O W 4 2 L 2 0 i r G P m 2 7 R 2 v G x a 7 + 0 e 7 O 0 / v P / w 4 b 3 b e l b v + 6 Z j 8 t t g 6 C k t b X 4 r p X U r 0 H 0 e u a X S u l X z / m T f U m n d q v n 7 z b O n t G 6 m Y n 9 q b 6 m 0 b t P c U 1 q 3 a v 5 + U + o p r V s 1 f 8 8 p N a 0 f 7 I R K 6 3 1 T U f s 3 p q J c D 6 H W u l 0 q y s E f 0 l o W / v 7 B / Y e f j u / t 3 U Z r v c 9 L l p 3 t S 7 f S W q b 1 M H t a T r 6 5 q W X k m 5 t a J r 6 5 q d N I t 2 j b Z 5 n b a a T b N e 9 P 5 + 0 0 0 u 2 a v 9 8 U O o 1 0 u + b v M Y 9 O I 9 2 i 7 X v M p N N F t 2 j b m 8 k N b X v T u K F t b w 4 3 j M 0 2 3 f X 1 z 6 f v F 9 l 9 u n u j 8 r H g A + W D F 9 8 L / q D y M f D v 7 T 5 8 + G B 3 b 3 x / k 7 / g u P a 9 X n P c a 1 6 7 n Q L S 1 s O z 4 B j 3 x q a O b 2 9 s 6 t j 2 x q a e A r q 5 b Z 9 n b q m A b t W 8 P 6 W 3 V E C 3 a v 5 + U + g p o F s 1 f 4 9 5 9 B T Q z W 3 f Y y Y 9 B X R z 2 9 5 M b m j b m 8 Y N b X t z u G F s t u m e r 4 A e v H 8 + H M r u B i V k u w i U 0 A O d 0 1 v D H 1 R C B v 7 B 7 t 7 u p / d o B X 1 v f H A r N W R f 3 N k 7 2 D 3 4 9 P 7 O / h h i N v i m Y 2 P z 5 s N 7 + / s H u / c P x n A 7 B 9 9 z / K z v D U + M 4 + U b m z p W v r G p 4 + Q b m 3 o 6 6 e a 2 f T a 6 H U E 8 7 W R e 3 L 7 l m / 1 p v 6 W i e k 8 M + 3 N 9 S 5 X 1 n v 2 8 x 4 R 7 y u v m t u 8 x 5 Z 7 y u r l t b 8 o 3 t O 3 N 8 o a 2 v X n d M D b b 9 F 6 o v N 7 L e 4 K S v E F x K f i u 4 l I V c W v 4 g 4 r L w N / d 2 b + 3 d / / B A S 1 k j u 9 9 e i v V 9 d 6 v O n 4 2 r 9 7 O i 9 L W w 7 P h G P j G p o 5 / b 2 z q 2 P f G p p 7 G u r l t n 3 d u 6 U X d q n l / a m + p n G 7 V / P 2 m 0 F N J t 2 r + H v P o K a K b 2 7 7 H T H q K 6 O a 2 v Z n c 0 L Y 3 j R v a 9 u Z w w 9 h s 0 / 1 Q E Z n c 9 8 m 3 T 3 / i q 9 P b q Y u 9 G 9 W R 7 S R U R 3 v v C X 9 Q H R n 4 e z s P d w / u H Y w f 3 k 4 V m d f 2 7 z 1 4 c O / T 3 c 3 2 z v G w e W 1 7 b + / g / v 2 9 v T H o P f i e Y 2 Z 9 b 3 h W H C P f 2 N T x 8 Y 1 N H R v f 2 N R T S D e 3 7 f P Q 7 Q j i q S Y 7 b 7 d 6 L z L f t 3 q v P + G 3 V F b v 1 0 1 v o m + r t W 4 m 9 X v M t q e 1 b m z r a a 2 b 2 / a m e 0 P b 3 g x v a N u b 1 Q 1 j s 0 3 v x 7 X W L V f s M I 8 3 a C z b Q a i x l A F u D X 9 Q Y x n 4 p K 4 e 3 t v d 3 b l / f 2 e 8 p 5 n 1 6 N g d E 7 / 3 q 4 6 h z a u 3 c 6 C 0 9 f B 8 O B a + s a n j 4 B u b O g a + s a m n r 2 5 u 2 + e e W z p Q t 2 r e n 9 p b O l C 3 a v 5 + U + i p o l s 1 f 4 9 5 9 F T R z W 3 f Y y Y 9 V X R z 2 9 5 M b m j b m 8 Y N b X t z u G F s t u m n o S p 6 3 3 U 4 d H W D L r I 9 h L p I R f 7 W 8 A d 1 k Y G / R 5 H f A b 1 2 c N t Q 7 j 1 f d E x s X r y d H t L W w 5 P h + P f G p o 5 9 b 2 z q u P f G p p 4 e u r l t n 3 V u q Y d u 1 b w / r b f U Q 7 d q / n 5 T 6 O m h W z V / j 3 n 0 9 N D N b d 9 j J j 0 9 d H P b 3 k x u a N u b x g 1 t e 3 O 4 Y W y 2 6 Q N f D x 2 8 f z r 8 Y O d G R W S 7 C B T R g c 7 p r e E P K i I D / 8 H O 3 u 7 O 7 v 2 9 8 c 6 m g M y x b v j e / v 0 x X M n B 9 x w P m / c o A b X J f 3 J c r C 8 M T 4 f j 4 B u b O g a + s a n j 3 x u b e p r o 5 r Z 9 5 r m B E p 4 y M m 9 s 3 / R K f 3 p v q Z B u i 1 N / P m + p k 2 7 b w X t M q q e W b m 7 7 H t P q q a W b 2 / a m d U P b 3 o R u a N u b y Q 1 j s 0 0 P Q r X 0 X o n u g 5 s T 3 R Z 8 q J J u l + h 2 8 A d V k o G / u 7 + z v / v w 4 P 7 u b X 2 j 9 3 z R M b F 5 8 X a + k b Y e n g n H v D c 2 d b x 7 Y 1 P H u j c 2 9 T T S z W 3 7 f H N L 3 + h W z f v T e k t V d K v m 7 z e F n h 6 6 V f P 3 m E d P C d 3 c 9 j 1 m 0 l N C N 7 f t z e S G t r 1 p 3 N C 2 N 4 c b x m a b P g y V 0 H u m i w 5 u T h f Z D k I 1 d L t 0 k Y M / q I Y M / N 3 9 h 3 s P 9 g / u 3 x s f H N x K D b 3 n i 4 6 H z Y u 3 U 0 P a e n g u H P v e 2 N R x 7 4 1 N H f P e 2 N R T Q z e 3 7 X P O L d X Q r Z r 3 p / W W a u h W z d 9 v C j 0 1 d K v m 7 z G P n h q 6 u e 1 7 z K S n h m 5 u 2 5 v J D W 1 7 0 7 i h b W 8 O N 4 z N N E U E 5 K u h 9 0 0 V H d y Y K n I 9 i B 7 y X n w v + E N 6 y M L f p + D s Q J f v o o O 2 T H v 7 V y z j 2 l d u p X t M 6 + E J s D x 7 c 1 P L s j c 3 t R x 7 c 1 O n e 2 7 R t s 8 u t 9 M 9 t 2 v e n 8 r b 6 Z 7 b N X + / K X S 6 5 3 b N 3 2 M e n e 6 5 R d v 3 m E m n e 2 7 R t j e T G 9 r 2 p n F D 2 9 4 c b h i b b b r r 6 5 6 H 7 5 8 e e r h z o / K x X Q T K B y + + F / x B 5 W P g 7 + 3 d e 7 j / 8 M G n D 8 f 7 D 2 + l g t 7 z R c f F 5 s X b K S J t P T w b j o F v b O r 4 9 8 a m j n 1 v b O o p o p v b 9 n n n l o r o V s 3 7 0 3 p L R X S r 5 u 8 3 h Z 4 i u l X z 9 5 h H T x H d 3 P Y 9 Z t J T R D e 3 7 c 3 k h r a 9 a d z Q t j e H G 8 Z m m + 6 F i u i 9 E k I P d 2 9 U Q h Z 8 q I R 2 3 x P + o B I y 8 P f 3 H u 7 u 3 7 t / 8 H D 8 6 e 3 8 o P d 8 0 X G w e f F 2 S k h b D 8 + E Y 9 4 b m z r e v b G p Y 9 0 b m 3 p K 6 O a 2 f b 6 5 p R K 6 V f P + t N 5 S C d 2 q + f t N o a e E b t X 8 P e b R U 0 I 3 t 3 2 P m f S U 0 M 1 t e z O 5 o W 1 v G j e 0 7 c 3 h h r H Z p v d C J f S e C a G H N y a E X A e h G r p d Q s j B H 1 R D B v 7 9 n Z 2 H B z s H D / f H D w 9 u p Y b e 8 0 X H w + b F 2 6 k h b T 0 8 F 4 5 9 b 2 z q u P f G p o 5 5 b 2 z q q a G b 2 / Y 5 5 5 Z q 6 F b N + 9 N 6 S z V 0 q + b v N 4 W e G r p V 8 / e Y R 0 8 N 3 d z 2 P W b S U 0 M 3 t + 3 N 5 I a 2 v W n c 0 L Y 3 h x v G Z p v u h 2 r o f R N C D 2 9 O C N k e Q j 1 0 u 4 S Q g z + o h w z 8 3 b 3 7 O / u f 7 u 2 O d 2 7 n D b 3 f e 4 6 F z X u 3 0 0 L a e n g q H P f e 2 N Q x 7 4 1 N H e / e 2 N T T Q j e 3 7 T P O L b X Q r Z r 3 J / W W W u h W z d 9 v C j 0 t d K v m 7 z G P n h a 6 u e 1 7 z K S n h W 5 u 2 5 v J D W 1 7 0 7 i h b W 8 O N 4 z N N r 3 v a a H 7 O + + d G i J P 4 k Y 1 Z L v w 1 R C / + F 7 w B 9 W Q g X 9 v f + 9 g 5 + G n n + 6 N H 9 5 K D b n 3 d v Z 2 H + 5 / + m D 8 4 N 6 t 9 J B 5 c e / + w 5 3 d h / f H 4 M D B 1 x w z 6 2 v D s + I Y + c a m j o 9 v b O r Y + M a m n k K 6 u W 2 f h 2 5 F D 0 8 z m f e 2 b / d i f 8 Z v q a P e D 7 / + P N 9 S W b 1 f N + 8 x 2 Z 7 W u r n t e 0 y 3 p 7 V u b t u b 7 g 1 t e 1 O 8 o W 1 v V j e M z T b 9 N N R a 7 5 N H u r 9 z c x 7 J g g 8 1 1 q 3 y S B 7 8 Q Y 1 l 4 H 9 6 c P / T n U / v 7 9 w f 3 7 + d 5 / S e L z p W N i / e z n X S 1 s M z 4 Z j 3 x q a O d 2 9 s 6 l j 3 x q a e p r q 5 b Z 9 v b u k 6 3 a p 5 f 1 p v q Z Z u 1 f z 9 p t D T R r d q / h 7 z 6 C m h m 9 u + x 0 x 6 S u j m t r 2 Z 3 N C 2 N 4 0 b 2 v b m c M P Y b N M H o R I y e a S T b 5 / + x F e n t 1 M V e z e q I t t J q I p U 6 j f B D + A P q i I D f x O b O J Y 1 r f c o 0 n 1 w c H + 8 c z u H y b y 2 f a v 3 H A / r e 8 O T 4 f j 3 x q a O f W 9 s 6 r j 3 x q a e H r q 5 b Z 9 1 b k c Q T y O 9 1 w R 4 q u n 9 3 u t P + C 1 1 1 P t 1 0 5 v o 2 y q r m 0 n 9 H r P t K a s b 2 3 r K 6 u a 2 v e n e 0 L Y 3 w x v a 9 m Z 1 w 9 h s 0 4 O 4 s r p d 0 v s + 5 v E G R W U 7 C B W V M s C t 4 Q 8 q K g P / 0 4 O d / X s H D + / d H + 9 / e i u d 9 Z 4 v O m Y 2 L 9 7 O Z 9 L W w 3 P h 2 P f G p o 5 7 b 2 z q m P f G p p 6 u u r l t n 3 N u 6 T P d q n l / W m / p M 9 2 q + f t N o a e G b t X 8 P e b R U 0 M 3 t 3 2 P m f T U 0 M 1 t e z O 5 o W 1 v G j e 0 7 c 3 h h r H Z p g 9 D N f S e S W 8 K e G 7 U Q 7 a H U A / d f 0 / 4 g 3 r I w N + 9 9 + k u x f j 7 t 9 J B 7 / G S Y 1 7 z 0 u 3 0 j 7 Y e n g T H t z c 2 d W x 7 Y 1 P H t T c 2 9 f T P z W 3 7 L H N L / X O r 5 v 3 p v K X + u V X z 9 5 t C T / / c q v l 7 z K O n f 2 5 u + x 4 z 6 e m f m 9 v 2 Z n J D 2 9 4 0 b m j b m 8 M N Y z N N H + 7 4 + m f 3 / d P d 4 O H N C s h 1 E S i g X Z 3 T W 8 M f U k A W / u 6 9 v U 8 P y M n e H + + p c o u O 3 f K u / + L 9 / f 1 7 O + S e b 3 r R c r F 7 c f / e / f 2 H 4 0 0 Z J 8 v L 5 q X h S b F 8 f H N T y 8 Y 3 N 7 V c f H N T p 4 9 u 0 b b P Q r e g h l N L 9 q 3 t 2 7 z W n + z b q a f 3 w q 0 / v 7 f T U u / V y X t M s l N W t 2 j 7 H t P s l N U t 2 v a m e U P b 3 u R u a N u b 0 Q 1 j s 0 1 3 Q 2 X 1 X l l u M O w N i s q C D x X V 7 n v C H 1 R U B v 7 e 3 t 7 D e 7 s H D / f G n y r s 6 L g d F 7 / n i 4 6 R z Y u b G N n x s b Y e n g n H v D c 2 d b x 7 Y 1 P H u j c 2 9 T T U z W 3 7 f L N R n v t 8 s L F 5 f 1 p v q Z J u 1 f z 9 p t D T R b d q / h 7 z 6 C m h m 9 u + x 0 x 6 S u j m t r 2 Z 3 N C 2 N 4 0 b 2 v b m c M P Y b N O 9 U A m 9 Z + I I f H O D G r I d h G r o d o k j B 3 9 Q D R n 4 e w 8 o J f l g 9 + D + G E n + Q W 5 x n P u e L z o e N i / e T g 1 p 6 + G 5 c O x 7 Y 1 P H v T c 2 d c x 7 Y 1 N P D d 3 c t s 8 5 t 1 R D t 2 r e n 9 Z b q q F b N X + / K f T U 0 K 2 a v 8 c 8 e m r o 5 r b v M Z O e G r q 5 b W 8 m N 7 T t T e O G t r 0 5 3 D A 2 2 / R e q I b e N 3 G E q b 1 B D 9 k e Q j 1 0 u 8 S R g z + o h w x 8 h G z 3 9 + 6 N H 9 w u a n u v 1 x w D m 9 d u p 4 O 0 9 f B E O N 6 9 s a l j 3 R u b O s 6 9 s a m n g 2 5 u 2 2 e b W + q g W z X v T + k t d d C t m r / f F H o 6 6 F b N 3 2 M e P R 1 0 c 9 v 3 m E l P B 9 3 c t j e T G 9 r 2 p n F D 2 9 4 c b h i b b b r v 6 6 C 9 9 0 8 e Y e Q 3 K C H b R a C E 9 n R O b w 0 f S i i q h A z 8 / b 1 7 O 7 Q g R r n o B 7 f S Q v a 9 3 f 3 9 n f 2 9 B + N 7 9 2 6 l h s x 7 B 5 9 + e u / B g / H B / q 3 U k b 4 1 P C e O j W 9 s 6 r j 4 x q a O i W 9 s 6 q m j m 9 v 2 O e g 2 5 P D U k n l t + 1 b v 9 W f 7 l v r p v b D r z / E t 9 d R 7 9 f I e E + 3 p q 5 v b v s d U e / r q 5 r a 9 q d 7 Q t j e / G 9 r 2 5 n T D 2 G z T + 6 G + e q / 8 E U Z y g 6 6 y 4 E N d t f u e 8 A d 1 l Y F / Q H r q w Y M d y g J 9 e i t d 9 X 7 v O T 4 2 7 9 3 O Z d L W w / P g W P f G p o 5 z b 2 z q G P f G p p 6 O u r l t n 2 t u 6 T L d q n l / U m + p k m 7 V / P 2 m 0 F N F t 2 r + H v P o q a C b 2 7 7 H T H o q 6 O a 2 v Z n c 0 L Y 3 j R v a 9 u Z w w 9 h s 0 0 9 D F f S e 2 S P 0 e Y M S s h 2 E S k i 9 k 1 v D H 1 R C B v 7 B p w 8 / / X S H F t t u q Y T e 7 z 3 H w e a 9 2 y k h b T 0 8 E 4 5 5 b 2 z q e P f G p o 5 1 b 2 z q K a G b 2 / b 5 5 p Z K 6 F b N + 5 N 6 S y V 0 q + b v N 4 W e E r p V 8 / e Y R 0 8 J 3 d z 2 P W b S U 0 I 3 t + 3 N 5 I a 2 v W n c 0 L Y 3 h x v G Z p s + C J X Q + + a O s L x + g x a y P Y R a 6 P 5 7 w h / U Q g b + v Z 0 H n x 4 c f P p g / G D v V l r o / d 5 z L G z e u 5 0 W 0 t b D U + G 4 9 8 a m j n l v b O p 4 9 8 a m n h a 6 u W 2 f c W 6 p h W 7 V v D + p t 9 R C t 2 r + f l P o a a F b N X + P e f S 0 0 M 1 t 3 2 M m P S 1 0 c 9 v e T G 5 o 2 5 v G D W 1 7 c 7 h h b L b p g a + F 7 r 1 / 9 u j e z o 1 q y H Y R q K F 7 O q e 3 h j + o h g z 8 X Y q r D g 5 2 d z 9 9 e D D e V y U X H b 3 j 3 v d + 1 X G y e f V 2 y k h b D 8 + I Y + I b m z o e v r G p Y + E b m 3 r K 6 O a 2 f f 6 5 p T K 6 V f P + 1 N 5 S G d 2 q + f t N o a e M b t X 8 P e b R U 0 Y 3 t 3 2 P m f S U 0 c 1 t e z O 5 o W 1 v G j e 0 7 c 3 h h r H Z p g 9 D Z f R e q a F 7 N 6 e G L P h Q E d 0 u N e T g D y o i A / / e 7 h 6 t i + 0 8 f L C 3 O 8 b E D X K L 4 9 z 3 f t V x s X n 1 d o p I W w / P h m P g G 5 s 6 / r 2 x q W P f G 5 t 6 i u j m t n 3 e u a U i u l X z / t T e U h H d q v n 7 T a G n i G 7 V / D 3 m 0 V N E N 7 d 9 j 5 n 0 F N H N b X s z u a F t b x o 3 t O 3 N 4 Y a x a d N P d 3 a U w r q u / 5 4 J I q x C b V R F X g e h K r p d g s j B H 1 B F D v 6 9 3 X t 7 B 7 v 3 D g 5 o c e y + K r r o 2 A 3 v f o 1 X D R + 7 V 2 + j i m z r 4 f k w L H y L p o a D b 9 H U M P A t m l p V d J u 2 f e 6 5 l S q 6 Z f P + 1 N 5 K F d 2 y + f t N o V V F t 2 z + H v N o V d F t 2 r 7 H T F p V d J u 2 v Z n c 0 L Y 3 j R v a 9 u Z w w 9 h s 0 1 1 f F d 1 7 7 z T R v Z v S R F 4 P o S 6 6 X Z r I w R / U R Q b + v Z 2 D + w c g 2 C C n O K 6 9 / T u O d c 0 7 t 9 M + 2 n p 4 C h z X 3 t j U M e 2 N T R 3 P 3 t j U 0 z 4 3 t + 0 z z C 2 1 z 6 2 a 9 y f z l t r n V s 3 f b w o 9 7 X O r 5 u 8 x j 5 7 2 u b n t e 8 y k p 3 1 u b t u b y Q 1 t e 9 O 4 o W 1 v D j e M z T b d 8 7 X P / v u n h / Z 3 b l Q / t o t A / e z r n N 4 a / q D 6 M f B 3 9 z 4 9 u L 9 7 s D 9 + c C s N F L 6 2 c + 9 2 S 2 X u v Y P d 8 c 7 + r T S R v j E 8 H Y 6 D b 2 z q G P j G p o 5 / b 2 z q a a K b 2 / a Z 5 y Z S e N r I v L J 9 4 z v 9 C b 6 l S r o 1 V v 0 5 v a V a u n U P 7 z G x n m q 6 u e 1 7 T K 2 n m m 5 u 2 5 v a D W 1 7 c 7 q h b W 8 u N 4 z N N r 0 X q q b 3 S h b t 7 9 6 o l i z 4 U C 3 t v i f 8 Q b V k 4 N 8 7 2 L l / f 2 9 3 b 3 z v d p 7 R + 7 3 n e N i 8 d z v v S F s P z 4 N j 3 R u b O s 6 9 s a l j 3 B u b e j r p 5 r Z 9 r r m l d 3 S r 5 v 1 J v a U q u l X z 9 5 t C T w 3 d q v l 7 z K O n g m 5 u + x 4 z 6 a m g m 9 v 2 Z n J D 2 9 4 0 b m j b m 8 M N Y 7 N N 9 0 M V 9 J 5 p o v 1 7 N y o h 2 0 G o h O 6 9 J / x B J W T g 7 9 2 / 9 2 B n b + f B b Z X Q + 7 3 n O N i 8 d z s l p K 2 H Z 8 I x 7 4 1 N H e / e 2 N S x 7 o 1 N P S V 0 c 9 s + 3 9 x S C d 2 q e X 9 S b 6 m E b t X 8 / a b Q U 0 K 3 a v 4 e 8 + g p o Z v b v s d M e k r o 5 r a 9 m d z Q t j e N G 9 r 2 5 n D D 2 G z T + 6 E S e t 8 E E Z a 7 b 9 B C t o d Q C 9 0 u Q e T g D 2 o h A / / e / Y f j / V v p n 9 u + 4 d j W v H E 7 z a O t h 8 n v O P b G p o 5 h b 2 z q + P X G p p 7 m u b l t n 1 l u q X l u 1 b w / k b f U P L d q / n 5 T 6 G m e W z V / j 3 n 0 N M / N b d 9 j J j 3 N c 3 P b 3 k x u a N u b x g 1 t e 3 O 4 Y W y 2 6 a e + 5 r n / / s m h + z s 3 q h 7 b R a B 6 7 u u c 3 h r + o O o x 8 O m V g 4 M H B 6 R N H t 5 K A Y X v 7 R 6 M 9 2 6 n h s x 7 D 3 b H e 6 o / o 2 8 4 N t Y 3 h u f D s f C N T R 0 H 3 9 j U M f C N T T 1 V d H P b P v f c R A p P H Z l X t m 9 8 p z / D t 9 R J t 8 a q P 6 e 3 1 E u 3 7 u E 9 J t b T T T e 3 f Y + p 9 X T T z W 1 7 U 7 u h b W 9 O N 7 T t z e W G s d m m D 0 L d 9 F 7 Z I a x 2 3 6 C X L P h Q L 9 0 u O + T g D + o l A 3 9 v 7 9 6 D B 3 s P 7 o 0 f H t x K L 7 3 f e 4 6 H z X u 3 c 4 + 0 9 f A 8 O N a 9 s a n j 3 B u b O s a 9 s a m n k 2 5 u 2 + e a W 7 p H t 2 r e n 9 R b q q J b N X + / K f T U 0 K 2 a v 8 c 8 e i r o 5 r b v M Z O e C r q 5 b W 8 m N 7 T t T e O G t r 0 5 3 D A 2 2 / Q g V E H v m R 2 6 f 3 N 2 y H Y Q K q H b Z Y c c / E E l Z O C z M t m / 9 + l 4 / 3 Z K a N N 7 m 5 S Q e e 9 2 S k h b 3 0 Y J 3 d j U 8 e 6 N T R 3 r 3 t j U U 0 I 3 t + 3 z z S 2 V 0 K 2 a 9 y f 1 l k r o V s 3 f b w o 9 J X S r 5 u 8 x j 5 4 S u r n t e 8 y k p 4 R u b t u b y V s p o Z v b 9 u b w N k r o Y a i E 3 j c 7 d P / + j V r I 9 h B q I X V t b w 1 / U A s Z + P d 2 N n n L j m N v 1 9 6 x r G l / O 6 2 j r Y d J 7 7 j 1 x q a O W W 9 s 6 n j 1 x q a e 1 r m 5 b Z 9 R b q l 1 b t W 8 P 4 m 3 1 D q 3 a v 5 + U + h p n V s 1 f 4 9 5 9 L T O z W 3 f Y y Y 9 r X N z 2 9 5 M b m j b m 8 Y N b X t z u G F s p i l Y 0 G m d T 9 8 / M / T p z k 1 q x 3 U R q J 1 P d U 5 v D X 9 I 7 V j 4 e 6 S j D u 7 f 3 x / f f 3 A b 9 R O + d + / + w f j T 3 d u o I f v e 7 s P 7 4 4 e f 3 k Y X m V e G J 8 T y 8 M 1 N L Q v f 3 N R y 8 M 1 N n S 6 6 R d s + + 9 x I C 6 e Q 7 D v b N 7 / U n + T b q a X 3 w K s / r 7 f T T e / R x X t M r l N Q t 2 j 7 H t P r F N Q t 2 v a m d 0 P b 3 r R u a N u b z Q 1 j s 0 1 3 f Q V 1 7 / 3 S Q x D o G 5 S T B R 8 q J 9 U E t 4 Y / q J w M / E 8 / 3 b + / s 3 e w f y v N 9 B 4 v O f Y 1 L 2 1 i X 8 e 9 2 n p 4 B h z T 3 t j U 8 e y N T R 3 L 3 t j U 0 0 g 3 t + 3 z y 0 Y p 7 s / / x u b 9 6 b y l G r p V 8 / e b Q k 8 D 3 a r 5 e 8 y j p 3 x u b v s e M + k p n 5 v b 9 m Z y Q 9 v e N G 5 o 2 5 v D D W O z T f d 8 5 f P p + y a G P r 0 x M e Q 6 C N X P 7 R J D D v 6 g + j H w d x / u H X x K l u r T 8 Y 7 C j o 7 c c e 5 7 v u h 4 2 L x 4 O z W k r Y f n w r H v j U 0 d 9 9 7 Y 1 D H v j U 0 9 N X R z 2 z 7 n 3 F I N 3 a p 5 f 1 p v q Y Z u 1 f z 9 p t B T Q 7 d q / h 7 z 6 K m h m 9 u + x 0 x 6 a u j m t r 2 Z 3 N C 2 N 4 0 b 2 v b m c M P Y b N N 7 o R p 6 3 9 T Q p z e m h l w P o R 6 6 X W r I w R / U Q w b + 7 v 2 d + 2 N w 5 i C n O K 6 9 / T u O d c 0 7 t 9 M + 2 n p 4 C h z X 3 t j U M e 2 N T R 3 P 3 t j U 0 z 4 3 t + 0 z z C 2 1 z 6 2 a 9 y f z l t r n V s 3 f b w o 9 7 X O r 5 u 8 x j 5 7 2 u b n t e 8 y k p 3 1 u b t u b y Q 1 t e 9 O 4 o W 1 v D j e M z T b d 9 7 X P g / d P E T 3 Y u V H 9 2 C 4 C 9 f N A 5 / T W 8 A f V j 4 F P m Z 7 9 e 3 t 7 4 4 P d W 2 k g / 7 W 9 h z v j g 1 v l q e 1 r 9 3 Z v m x / S N 4 Z n w z H w j U 0 d / 9 7 Y 1 L H v j U 0 9 R X R z 2 z 7 v 3 E Q K T x m Z V 7 Z v f K c / v 7 f U S L f G q j + n t 9 R K t + 7 h P S b W 0 0 w 3 t 3 2 P q f U 0 0 8 1 t e 1 O 7 o W 1 v T j e 0 7 c 3 l h r H Z p v d D z f R e u a E H u z d q J Q s + 1 E q q O 2 4 N f 1 A r G f j 0 y s 7 B / Y P d 8 e 3 y 1 u / 1 m u N g 8 9 r t X K P 7 j 2 + t k R T w c F P H t z c 2 d W x 7 Y 1 N P I 9 3 c t s 8 z t 3 S N b t W 8 P 6 W 3 V E S 3 a v 5 + U + g p o V s 1 f 4 9 5 9 B T Q z W 3 f Y y Y 9 B X R z 2 9 5 M b m j b m 8 Y N b X t z u G F s t u m n o Q J 6 z / z Q g 3 s 3 q i D b Q a i C 7 r 0 n / E E V Z O D f S p c 4 v n 2 v 1 x z / m t d u p 4 K 0 9 f A 8 O N a 9 s a n j 3 B u b O s a 9 s a m n g m 5 u 2 + e a W 6 q g W z X v T + k t V d C t m r / f F H o q 6 F b N 3 2 M e P R V 0 c 9 v 3 m E l P B d 3 c t j e T G 9 r 2 p n F D 2 9 4 c b h i b b f o g V E H v m x t 6 Y H M 3 g z r I 9 h D q I I 2 F b g 1 / U A c Z + J / e G z / c u 5 X 6 u e 0 b j m 3 N G 7 f T P N p 6 m P y O Y 2 9 s 6 h j 2 x q a O X 2 9 s 6 m m e m 9 v 2 m e W W m u d W z f s T e U v N c 6 v m 7 z e F n u a 5 V f P 3 m E d P 8 9 z c 9 j 1 m 0 t M 8 N 7 f t z e S G t r 1 p 3 N C 2 N 4 c b x m a b H v i a 5 + D 9 8 0 I H O z e q H t t F o H o O d E 5 v D X 9 Q 9 R j 4 u 3 u 7 n 9 7 f e X i w s z v e V b 0 W H b x j X v / N 3 d 3 9 + 7 R A d v / g V q r I v H n v 4 f 2 9 / f 3 x / U 2 u k 2 N n f W t 4 X h w r 3 9 j U c f K N T R 0 j 3 9 j U U 0 k 3 t + 1 z 0 W 3 I 4 a k m 8 9 r 2 r d 7 r z / g t d d R 7 Y d e f 4 1 v q q v f q 5 T 0 m 2 t N Z N 7 d 9 j 6 n 2 d N b N b X t T v a F t b 3 4 3 t O 3 N 6 Y a x 2 a Y P Q 5 3 1 X h k j J I 1 v 0 F c W f K i v b p c x c v A H 9 Z W B v 3 t v / / 7 e w c H B 3 v 5 4 5 + G t 9 N X 7 v u l 4 2 b y 5 i Z c d K 2 v r 4 b l w 7 H t j U 8 e 9 N z Z 1 z H t j U 0 9 P 3 d y 2 z z k b R b r P C R u b 9 y f 2 l m r p V s 3 f b w o 9 d X S r 5 u 8 x j 5 4 a u r n t e 8 y k p 4 Z u b t u b y Q 1 t e 9 O 4 o W 1 v D j e M z T Q F 4 r 4 a e s + 8 0 c G N e S P X Q a i I b p c 3 c v C H F J G F v 3 f v 0 3 s 7 O w c P D + 6 N Q e F B d r G s + 9 5 v W i 6 2 b 9 5 K E Z n W w 7 N h G f j m p p Z / b 2 5 q 2 f f m p k 4 R 3 a J t n 3 d u p 4 h u 1 7 w / s b d T R L d r / n 5 T 6 B T R 7 Z q / x z w 6 R X S L t u 8 x k 0 4 R 3 a J t b y Y 3 t O 1 N 4 4 a 2 v T n c M D b b d D d U R O + b P c K C + A 2 a y P Y Q a q L b Z Y 8 c / E F N Z O D v 7 e 5 9 e m + P A r i N Y Z j j 3 P d 7 z 7 G w e e 9 2 W k h b D 0 + F 4 9 4 b m z r m v b G p 4 9 0 b m 3 p a 6 O a 2 f c a 5 p R a 6 V f P + p N 5 S C 9 2 q + f t N o a e F b t X 8 P e b R 0 0 I 3 t 3 2 P m f S 0 0 M 1 t e z O 5 o W 1 v G j e 0 7 c 3 h h r H Z p n u + F n r 4 / p m k h z s 3 q i H b R a C G H u q c 3 h r + o B o y 8 G n R 7 e D e / s H e p + O H u 7 f S Q 9 6 L D z 5 9 c O / e z n h 3 U / j v u N i 8 + O m D / Y e f j h / s 3 0 o f 6 U v D k + L 4 + M a m j o 1 v b O q 4 + M a m n j 6 6 u W 2 f h W 5 B D U 8 t m b e 2 b / N a f 7 J v q Z 7 e B 7 f + / N 5 S S 7 1 P J + 8 x y Z 6 y u r n t e 0 y z p 6 x u b t u b 5 g 1 t e 5 O 7 o W 1 v R j e M z T a 9 F y q r 9 0 o h Q S f c o K g s + F B R q T K 5 N f x B R W X g U 9 L 6 w a e f f n r w 4 M E Y A j H I L I 6 N 3 / d N x 8 r m z d v 5 T N p 6 e C 4 c + 9 7 Y 1 H H v j U 0 d 8 9 7 Y 1 N N R N 7 f t c 8 4 t f a Z b N e 9 P 7 C 2 V 0 q 2 a v 9 8 U e t r o V s 3 f Y x 4 9 N X R z 2 / e Y S U 8 N 3 d y 2 N 5 M b 2 v a m c U P b 3 h x u G J t t u h + q o f d M I T 2 8 d 6 M i s h 2 E i u j e e 8 I f V E Q G P t T J z r 3 9 T z / d G d / b v 5 U i e t 8 3 H R e b N 2 + n i L T 1 8 G w 4 B r 6 x q e P f G 5 s 6 9 r 2 x q a e I b m 7 b 5 5 1 b K q J b N e 9 P 7 C 0 V 0 a 2 a v 9 8 U e o r o V s 3 f Y x 4 9 R X R z 2 / e Y S U 8 R 3 d y 2 N 5 M b 2 v a m c U P b 3 h x u G J t t e j 9 U R O + b Q n p 4 c w r J 9 h B q o t u l k B z 8 Q U 1 k 4 O 8 9 e E C e 8 6 1 U 0 K 1 f c Y x r X r m d 7 t H W w x P g e P b G p o 5 l b 2 z q O P b G p p 7 u u b l t n 1 1 u q X t u 1 b w / l b f U P b d q / n 5 T 6 O m e W z V / j 3 n 0 d M / N b d 9 j J j 3 d c 3 P b 3 k x u a N u b x g 1 t e 3 O 4 Y W y 2 6 a e e 7 v l 0 5 7 0 T R 5 / u 7 N y o f G w X v v L h F 9 8 L / q D y M f A f P t j Z v 7 e 7 t z c + O L i V B r L v 3 X + w 8 + n B L u W v 9 2 + l h s x 7 u / d o A Y 5 e 2 + g 5 O V 7 W 1 4 Y n x f H x j U 0 d G 9 / Y 1 H H x j U 0 9 f X R z 2 z 4 L 3 Y o e n m I y 7 2 3 f 7 s X + h N 9 S R b 0 f f v 1 5 v q W u e r 9 u 3 m O y P a V 1 c 9 v 3 m G 5 P a d 3 c t j f d G 9 r 2 p n h D 2 9 6 s b h i b b f o g V F r v k 0 D 6 d O f m B J I F H y q s W y W Q P P i D C s v A 3 7 1 3 f / / h z r 1 P 9 8 b 7 t / O Z 3 v N F x 8 r m x d t 5 T t p 6 e C Y c 8 9 7 Y 1 P H u j U 0 d 6 9 7 Y 1 N N U N 7 f t 8 8 0 t P a d b N e 9 P 6 y 3 V 0 q 2 a v 9 8 U e t r o V s 3 f Y x 4 9 J X R z 2 / e Y S U 8 J 3 d y 2 N 5 M b 2 v a m c U P b 3 h x u G J t t e h A q I Z M + O v n 2 6 U 9 8 d X o 7 V b F 3 o y q y n Y S q S J P G t 4 Y / q I o M / E 1 s 4 l j W t N 4 9 u P f w w c H 4 4 a 1 0 j 3 l p + x Z v O f 7 V t 4 Y n w v H u j U 0 d 6 9 7 Y 1 H H u j U 0 9 H X R z 2 z 7 b 3 I Y c n i 5 6 D 9 J 7 K u l 9 3 u p P 8 y 0 1 0 / t 0 0 p v g 2 y q o m 0 n 8 H r P s K a g b 2 3 o K 6 u a 2 v W n e 0 L Y 3 t x v a 9 m Z 0 w 9 h s 0 4 d x B X W 7 / P a n O z f n t 2 0 H o X K 6 V X 7 b g z + o n A z 8 3 Y O 9 3 Z 2 H 9 + 9 9 O t 7 5 9 F Z 6 6 j 1 f d K x s X t z E l I 6 F t f X g X H g 6 6 s a m j n t v b O q Y 9 8 a m n o 6 6 u W 2 f c z b K Z p 8 P N j b v T + v G 5 v 3 J v K U 2 u l X z 3 h z e V g 3 d T M X 3 m E h P D d 3 Y 1 l N D N 7 f t z e S t 1 N D N b X t z e A s 1 d G 8 n V E P v m d 3 + d O f + T X r I 9 R D q o f v v C X 9 I D 1 n 4 u / f 2 d 2 i 9 b H x w q 2 j t / V 6 z D G x f u 5 U O M q 1 v o Y N u b m p Z 9 + a m l n N v b u p 0 0 C 3 a 9 t n m d j r o d s 3 7 U 3 o 7 H X S 7 5 u 8 3 h U 4 H 3 a 7 5 e 8 y j 0 0 G 3 a P s e M + l 0 0 C 3 a 9 m Z y Q 9 v e N G 5 o 2 5 v D D W O z T X d 9 H b T 7 / l l u 8 P A N S s h 2 E S g h v P h e 8 A e V k I G / t 7 e / + + m 9 T / f H 9 w 5 u p Y X M e + Q I U d r o g P x z D R 6 j 7 z k e t u / t 3 t + h N b r 7 4 / 1 P b 6 W Q 9 L 3 h W X G M f G N T x 8 c 3 N n V s f G N T T y H d 3 L b P Q 7 c j i K e a z I v b t 3 y z P + e 3 1 F L v i W F / r m + p r 9 6 z n / e Y c E 9 z 3 d z 2 P a b c 0 1 w 3 t + 1 N + Y a 2 v V n e 0 L Y 3 r x v G Z p v u h Z r r v V L d Y N 4 b t J Y F H 2 q t 3 f e E P 6 i 1 D P z 9 / Q c P 7 + 3 f 3 x n v 7 d 9 K a 7 3 f e 4 6 T z X u b O N k x s r Y e n g f H u j c 2 d Z x 7 Y 1 P H u D c 2 9 X T V z W 3 7 X L N R o P t c c E v n 6 V b N + 3 N 5 S + f p V s 1 7 c 3 h b 5 + l m K r 7 H R H o q 6 M a 2 n g q 6 u W 1 v J j e 0 7 U 3 j h r a 9 O d w w N t v 0 X q i C v k a i G 6 x 2 g y K y n Y S K S H 2 V W 8 M f V E Q G P r l A O w e 7 9 8 Z 7 C j k 6 d s e 7 7 / W a 4 2 H z 2 u 3 U k L Y e n g v H v j c 2 d d x 7 Y 1 P H v D c 2 9 d T Q z W 3 7 n H N L N X S r 5 v 0 p v a U a u l X z 9 5 t C T w 3 d q v l 7 z K O n h m 5 u + x 4 z 6 a m h m 9 v 2 Z n J D 2 9 4 0 b m j b m 8 M N Y 7 N N 9 + N q 6 J b p b P D N D S r I d h C q o H v v C X 9 Q B R n 4 e 7 v 3 H p B f 8 2 B 8 X 0 F H B + 4 Y 9 / 3 e c x x s 3 r u d E t L W w z P h m P f G p o 5 3 b 2 z q W P f G p p 4 S u r l t n 2 9 u q Y R u 1 b w / q b d U Q r d q / n 5 T 6 C m h W z V / j 3 n 0 l N D N b d 9 j J j 0 l d H P b 3 k x u a N u b x g 1 t e 3 O 4 Y W y 2 6 f 1 Q C Z 3 9 5 H H 6 + 6 Q n X 3 5 x 9 v r s y x e 3 U x T 7 N y o i 2 0 m o i P b f E / 6 g I j L w d 8 Y 7 t / O C b v m C 4 1 v 7 w q 1 U j 7 Y e p r 9 j 2 R u b O o 6 9 s a l j 2 B u b e q r n 5 r Z 9 b r m l 6 r l V 8 8 g 0 3 k 7 1 3 K r 5 + 0 2 h p 3 p u 1 f w 9 5 t F T P T e 3 f Y + Z 9 F T P z W 1 7 M 7 m h b W 8 a N 7 T t z e G G s d m m n 3 Z U z 3 u u o 2 F q b 9 A 7 t o d Q 7 9 x / T / i D e s f A 3 9 3 Z + X R v v P / w V r r n P V 5 y z G t e u p 3 + 0 d b D k + D 4 9 s a m j m 0 / f X x r / X M j V E / / 3 N y 2 z z K 3 1 D + 3 a t 6 f z l v q n 1 s 1 f 7 8 p 9 P T P r Z q / x z x 6 + u f m t u 8 x k 5 7 + u b l t b y Y 3 t O 1 N 4 4 a 2 v T n c M D b b 9 I G v f / b e f w 0 N I 7 9 B A d k u A g W 0 p 3 N 6 a / i D C s j A 3 9 3 d 2 f 9 0 5 + D h p x R L 3 U o J d V 6 8 / / D B + E B z 5 N E 3 H R u b N + 9 9 + n D 8 6 S b l 5 V h Z X x m e E 8 f G N z Z 1 X H x j U 8 f E N z b 1 1 N H N b f s c d C M t P J 1 k 3 t m + + a X + P N 9 S M 9 0 e r / 6 8 3 l I 9 3 b 6 L 9 5 h c T 0 f d 3 P Y 9 p t f T U T e 3 7 U 3 v h r a 9 a d 3 Q t j e b G 8 Z m m x 6 E O u q 9 V s s w k h v 0 k w U f 6 i f V B L e G P 6 i f D P y 9 v Z 3 7 D 3 b u f 3 p / b 7 x 3 O w X 1 v m 8 6 R j Z v 3 s 5 V 0 t b D c + H Y 9 8 a m j n t v b O q Y 9 8 a m n m 6 6 u W 2 f c 2 7 p K t 2 q e X 9 i b 6 m Q b t X 8 / a b Q 0 0 W 3 a v 4 e 8 + i p o Z v b v s d M e m r o 5 r a 9 m d z Q t j e N G 9 r 2 5 n D D 2 G z T h 6 E a e s 9 U N f q 8 Q R H Z D k J F d L t U t Y M / q I g M f F I n B 7 v 0 z 9 6 9 2 y a r 3 / d N x 8 X m z d s p I m 0 9 P B u O g W 9 s 6 v j 3 x q a O f W 9 s 6 i m i m 9 v 2 e e e W i u h W z f s T e 0 t F d K v m 7 z e F n i K 6 V f P 3 m E d P E d 3 c 9 j 1 m 0 l N E N 7 f t z e S G t r 1 p 3 N C 2 N 4 c b x m a a 7 u + E i u h 9 c 0 Z w I T Z r I t d D q I l u l z N y 8 I c 0 k Y V / 7 9 7 u v X v 3 x g f 7 t 9 F C 7 / W W Z V / 7 1 q 0 0 k G k 9 P A 2 W c 2 9 u a h n 3 5 q a W b 2 9 u 6 j T Q L d r 2 m e Z 2 G u h 2 z f s T e j s N d L v m 7 z e F T g P d r v l 7 z K P T Q L d o + x 4 z 6 T T Q L d r 2 Z n J D 2 9 4 0 b m j b m 8 M N Y 7 N N d 3 0 N d O / 9 s 0 b 3 d m 5 U Q b a L Q A X h x f e C P 6 i C D P y 9 n Y c P 7 u 8 f 7 N z f H R 8 c 3 E o N + W / u P T z Y u 0 9 p o 4 e 3 U k X 2 z f 2 H D x 7 e G z / c 9 J Z j Z 3 1 r e F 4 c K 9 / Y 1 H H y j U 0 d I 9 / Y 1 F N J N 7 f t c 9 F t y O G p J v P a 9 q 3 e 6 8 / 4 L X X U e 2 H X n + N b 6 q r 3 6 u U 9 J t r T W T e 3 f Y + p 9 n T W z W 1 7 U 7 2 h b W 9 + N 7 T t z e m G s d m m e 6 H O e q 8 s 0 r 3 d G / W V B R / q q 9 3 3 h D + o r w z 8 e w / u 7 + 7 t P 3 g A x h 7 k F M f F 7 / W a 4 2 L z 2 i Y u d k y s r Y d n w T H u j U 0 d 3 9 7 Y 1 L H t j U 0 9 D X V z 2 z 7 P b B T m P g / c 0 m m 6 V f P + V N 7 S a b p V 8 9 4 c 3 t Z p u p m K 7 z G R n g K 6 s a 2 n g G 5 u 2 5 v J D W 1 7 0 7 i h b W 8 O N 4 z N N r 0 X K q D 3 z B / d u z F / 5 D o I V d D t 8 k c O / q A K M v D 3 9 / b 2 y f f Z 3 3 s 4 P r i d F n r f N x 0 X m z d v p 4 i 0 9 f B s O A a + s a n j 3 7 D p R k V 0 Y 1 N P E d 3 c t s 8 7 t 1 R E t 2 r e n 9 h b K q J b N X + / K f Q U 0 a 2 a v 8 c 8 e o r o 5 r b v M Z O e I r q 5 b W 8 m b 6 W I b m 7 b m 8 P b K K L 9 U B G 9 b / 7 o 3 s 3 5 I 9 t D q I l u l z 9 y 8 A c 1 k Y F / 7 / 7 + p / d o 7 X 6 8 f 6 s F t f d 8 z 7 G w e e 9 2 W k h b 3 0 Y L 3 d j U M e + N T R 3 v 3 t j U 0 0 I 3 t + 0 z z i 2 1 0 K 2 a 9 y f 1 l l r o V s 3 f b w o 9 L X S r 5 u 8 x j 5 4 W u r n t e 8 y k p 4 V u b t u b y Q 1 t e 9 O 4 o W 1 v D j e M z T a 9 7 2 u h / f f P I S F f d Y M a s l 0 E a m h f 5 / T W 8 A f V k I G / d 3 9 n h 2 L R B 2 N k 8 Q f Z x b G u e W 8 T c z n O f b 9 e H A v r e 8 N z 4 d j 3 x q a O e 2 9 s 6 p j 3 x q a e G r q 5 b Z 9 z b k c Q T y G Z F 7 d v + W Z / p m + p m 9 4 T w / 5 c 3 1 J L v W c / 7 z H h n r 6 6 u e 1 7 T L m n r 2 5 u 2 5 v y D W 1 7 s 7 y h b W 9 e N 4 z N N v 0 0 1 F f v l T 9 C n u o G X W X B h 7 r q d v k j B 3 9 Q V x n 4 9 z + V Z / z p / q 1 0 1 f u 9 5 z j Z v H c 7 l 0 l b D 8 + D Y 9 0 b m z r O v b G p Y 9 w b m 3 q 6 6 u a 2 f a 6 5 p c t 0 q + b 9 S b 2 l W r p V 8 / e b Q k 8 Z 3 a r 5 e 8 y j p 4 J u b v s e M + m p o J v b 9 m Z y Q 9 v e N G 5 o 2 5 v D D W O z T R + E K u g 9 M 0 g I E W 9 Q Q r a D U A n d e 0 / 4 g 0 r I w N / E I o 5 d T e v 9 g 7 2 H 5 F q O 9 w 9 u p X n M a 9 u 3 e s / x r 7 4 3 P B G O d 2 9 s 6 l j 3 x q a O c 2 9 s 6 u m g m 9 v 2 2 e Z 2 B P G 0 0 X t N g K e W 3 u + 9 / o T f U j + 9 X z e 9 i b 6 t o r q Z 1 O 8 x 2 5 6 i u r G t p 6 h u b t u b 7 g 1 t e z O 8 o W 1 v V j e M z T Y 9 C B X V + 2 a Y 4 J b d o K l s D 6 G m u v + e 8 A c 1 l Y G / u 3 d w b 3 / 8 Y B N n O f 5 9 j 5 c c F 5 u X b u c o a e v h S X B 8 e 2 N T x 7 Y 3 N n V c e 2 N T T 0 n d 3 L b P M h u F s j / / G 5 v 3 p 3 N j 8 / 5 E 3 l I R 3 a p 5 b w 5 v q 3 9 u p u J 7 T K S n f 2 5 s 6 + m f m 9 v 2 Z n J D 2 9 4 0 b m j b m 8 M N Y 7 N N H / r 6 5 / 7 7 5 5 b u 7 9 y o g G w X g Q L C i + 8 F f 1 A B G f j 7 9 + 9 9 u r u z s 4 l X H N / a l / Z 3 P q W / d s d 7 t 1 J B 5 r X d v Y f 7 9 3 c O x g e 3 U k X 6 1 v B 8 O B a + s a n j 4 B u b O g a + s a m n i m 5 u 2 + e e 2 5 D D U 0 n m t e 1 b v d e f 6 V v q p v f C r j / H t 9 R R 7 9 X L e 0 y 0 p 6 t u b v s e U + 3 p q p v b 9 q Z 6 Q 9 v e / G 5 o 2 5 v T D W M z T a E K f F 3 1 X n m l + 7 s 3 6 S k H P t R T u + 8 J f 0 h P W f g P 7 9 3 b 2 7 u l n n q f l y w H 2 5 c 2 t b Y M b F o P z 4 B l 2 p u b W p 5 F 0 1 t q p 5 u b O u 1 0 i 7 Z 9 f t k o y P 3 5 3 9 i 8 P 5 2 3 U 0 a 3 a / 5 + U + i U 0 O 2 a v 8 c 8 O u V z i 7 b v M Z N O + d y i b W 8 m N 7 T t T e O G t r 0 5 3 D A 2 2 3 Q 3 V D 4 m o 3 T y 7 d O f + O r 0 d i p i 7 0 Y V Z D s J V Z D 6 J r e G P 6 i C D P y D / Z 0 9 a r + / 0 V g 5 3 n 2 v 1 x w P m 9 d u p 4 a 0 9 f B c O P a 9 s a n j 3 h u b O u a 9 s a m n h m 5 u 2 + e c W 6 q h W z X v T + k t 1 d C t m r / f F H p q 6 F b N 3 2 M e P T V 0 c 9 v 3 m E l P D d 3 c t j e T G 9 r 2 p n F D 2 9 4 c b h i b b b o X V 0 O 3 T G z f v z G x 7 T o I V d D t E t s O / q A K M v A f 7 u 8 9 3 C V 3 W Q F H h + 3 Y 9 n 3 e c t x r 3 r q d A t L W w 7 P g G P f G p o 5 v b 2 z q 2 P b G p p 4 C u r l t n 2 d u q Y B u 1 b w / o b d U Q L d q / n 5 T 6 C m g W z V / j 3 n 0 F N D N b d 9 j J j 0 F d H P b 3 k x u a N u b x g 1 t e 3 O 4 Y W y 2 6 T 1 f A X 3 6 / g m j T 3 d u V E G 2 i 0 A F f a p z e m v 4 g y r I w H / w 4 N 7 O 7 s 5 4 5 + G t V J B 5 a x N r O b 5 9 n z 4 c + + p b w / P g W P f G p o 5 z b 2 z q G P f G p p 4 K u r l t n 2 t u Q w 5 P F Z n X t m / 1 X n + G b 6 m T 3 g u 7 / h z f U j e 9 V y / v M d G e j r q 5 7 X t M t a e j b m 7 b m + o N b X v z u 6 F t b 0 4 3 j M 0 2 3 Q 9 1 1 H s l i j 7 d v V E / W f C h f t p 9 T / i D + s n A 3 7 2 / f / / h w 7 1 b a a f b v + P 4 1 7 x z O / d I W w / T 3 7 H s j U 0 d x 9 7 Y 1 D H s j U 0 9 3 X R z 2 z 6 3 3 N I 9 u l X z / m T e U h X d q v n 7 T a G n g m 7 V / D 3 m 0 V M 9 N 7 d 9 j 5 n 0 V M / N b X s z u a F t b x o 3 t O 3 N 4 Y a x 2 a b 3 u 6 r n / d b z P 7 1 x P d / 1 E G q f 2 6 3 n O / i D 2 s f A 3 9 s b 7 9 9 K 9 d z y B c e 0 5 o X b 6 R 1 t P U x 8 x 6 8 3 N n X s e m N T x 6 0 3 N v X 0 z s 1 t + 6 x y S 7 1 z q + b 9 a b y l 3 r l V 8 / e b Q k / v 3 K r 5 e 8 y j p 3 d u b v s e M + n p n Z v b 9 m Z y Q 9 v e N G 5 o 2 5 v D D W O z T T / 1 9 c 6 D 9 w / L H t w c l t k u A s X z Q O f 0 1 v A H F Y + B v 7 d / f / d T S j L f z v E x b + 3 u 3 a P l / 9 0 x P h h 8 z T G w e 2 3 3 Y G d 3 b / z p J t X l G F l f G 5 4 R x 8 Q 3 N n U 8 f G N T x 8 I 3 N v W U 0 c 1 t + / x z K 3 p 4 W s m 8 t 3 2 7 F / u z f U v 9 9 H 7 4 9 e f 5 l o r q / b p 5 j 8 n 2 N N b N b d 9 j u j 2 N d X P b 3 n R v a N u b 4 g 1 t e 7 O 6 Y W y 2 6 Y N Q Y 7 1 X k P b g 5 i D N g g + 1 1 e 2 C N A d / U F s Z + A / 2 P v 1 0 f 2 / n l r 7 S + 7 z l m N i 8 d T u H S V s P z 4 F j 2 x u b O q 6 9 s a l j W t N 0 m A k c 0 9 7 c t s 8 x t 3 S Y b t W 8 P 6 G 3 V E i 3 a v 5 + U + j p o V s 1 f 4 9 5 9 N T P z W 3 f Y y Y 9 9 X N z 2 9 5 M 3 k r 9 3 N y 2 N 4 e 3 U T 8 H o f r 5 G u v 5 D / Z u V E K 2 k 1 A J q W d z a / i D S s j A 3 3 t 4 / + H 9 T + + P D z 6 9 l R Z y r 9 G K / s 6 D 8 c 6 m 1 x w P m 9 e 2 9 / b 3 9 3 c 3 + m e O k / W l 2 2 i j G 5 s 6 J r 6 x q e P h G 5 t 6 2 u j m t n 0 G u g U 1 P K V k S X / z S 5 F p v v m l / i T f U k G 9 R x + 9 y b 2 t m r q Z v O 8 x w 5 6 a u r G t p 6 Z u b t u b 4 g 1 t e x O 7 o W 1 v P j e M z T Z 9 G F d T t 1 z v f 3 D v R h V l O w h V 1 L 3 3 h D + o o g z 8 3 f 2 d B 5 / u 3 h v v H 9 x K R b 3 X a 4 6 L z W u b G N K x r 7 Y e n g f H u j c 2 d Z x 7 Y 1 P H u D c 2 9 X T T z W 3 7 X L N R L v s 8 s L F 5 f 0 o 3 N u 9 P 5 S 0 V 0 a 2 a 9 + b w t i r o Z i q + x 0 R 6 K u j G t p 4 K u r l t b y Y 3 t O 1 N 4 4 a 2 v T n c M D b T 9 N O d U A W d / e R x + v u k J 1 9 + c f b 6 7 M s X t 1 M T + z e p I d d J q I b 2 3 x P + k B q y 8 C m s v z d + c C s d 9 B 7 v W O 6 1 7 9 x K A Z n W w 7 N g G f f m p p Z v b 2 5 q 2 f b m p k 4 B 3 a J t n 2 d u p 4 B u 1 7 w / m b d T Q L d r / n 5 T 6 B T Q 7 Z q / x z w 6 B X S L t u 8 x k 0 4 B 3 a J t b y Y 3 t O 1 N 4 4 a 2 v T n c M D b b d N c q o O + k O 7 v p 6 + P 3 S m 5 T h A M m v k H / 2 D 6 c / t E X 3 w v + o P 4 x 8 H d 3 7 + 3 T G + M H D 2 6 l g s x r m 5 j L c a 5 p v f / g 0 5 2 D T / f G O 7 c K 0 e x r 9 z 7 d + 3 T / U 3 L + 7 2 9 4 z X G y e Y 1 i T 4 o Z x p 8 e b H j L 8 f R t R u S 4 + r 1 Q 8 3 S V e Y / S b A 9 2 d j 8 d 3 9 9 E b k 9 v v d c 0 e Q r M v L d 9 u x f 7 f H F L V f Z + + P U 5 4 5 Y 6 7 f 2 6 6 b P E 7 c j e Z 4 r b s J K n 8 y z V b / O e p / 9 u Q w 1 P B b 4 P d p 4 2 v F U v f U 6 4 T S 8 O t 7 1 Q N 9 4 + i w 6 1 t X u j W r T g Q 7 W 4 + 5 7 w B 9 W i g b + 7 u 3 O w 9 / D h + O G m U T s x e K / X n B S Y 1 z b N i B O C 2 7 R 2 r G 9 R O n h A u v d g / H A T 6 z v O f 6 / X H O f f B j d P H W r z D c a 2 z 1 E b Q f c 5 Z G P z / o T f U t / d q v n 7 T b C n 5 m 7 V v D f F G 6 j Y n 9 e N o N 9 v P j 0 F d q v m 7 z e l n u K 6 V f P 3 n F L b + l 5 X Y b 1 J P z 9 + c f z 0 t j r r / o 0 6 y / Y Q 6 i z 1 H G 4 N f 1 B n G f i 7 O z v 3 H z x 8 c F t X 7 r 1 e c y x t X r u d z r p N a 8 f Q p v X e g 3 u f P n j w 6 d g s T N y g s 9 7 r N c f j t 8 H N 0 1 n a / F Y 6 6 1 a g + x x y S 5 1 1 q + b 9 i b 6 l z r p V 8 / e b Y U 9 n 3 U z F / r z e U m f d p r m n s 2 7 V / P 2 m 1 N N Z t 2 r + n l N q W + 9 b n f V F u r P 3 v g H o / Z 0 d k O E G r W X 7 c F p L X 3 w v + I N a y 8 C / 9 + D h v f 2 D v d 2 D T 8 f 7 D 2 + l u L w 3 9 / b v 7 e 7 R 8 t D B / m 1 0 l 3 2 T v L S H e 7 s 7 4 5 1 N H T o W t x 0 e 7 N G a 5 v 6 m v h y j 2 5 c e P t g 9 e L j 7 Y P / h e O f e r d R Z 8 O a D n Y c P 9 8 c P N 4 W Z T g L e A 1 F P s V m q P L i / u z u + 9 + m m t / o 8 u E v z / R D x w c Z I u M 9 X 2 7 d 7 s c 8 w t 9 R 6 7 4 e f U 3 + 3 6 q b P G 7 f r p s 8 e t y F 6 n z X 2 d h 7 c 3 x / v H N x O M V q S 3 + I 1 T 0 H e h h K e g n w P 3 D w 9 e a t O + k x w i 0 4 c Z v d D d X n 7 m B S a 7 O a Y 1 I I P N e U t Y t I A / q C m N P A f 7 j y k p V r 6 + 9 P x z u 1 c v P d 9 0 0 m B e X P T t D g h u E 1 r x / q m 9 Q N K 5 u x + + p C y l e M D J d Y N m v F 9 3 3 Q i c B s M P Z W o z d H s R k V 4 K 9 B 9 b t n Y v D / 5 t 9 R 6 t 2 r + f t P s K b t b N e 9 N 9 A Y q 9 q d 2 I + j 3 m 0 9 P l d 2 q + f t N q a f D b t X 8 P a f U t v 4 0 V F 6 n o r v S N 6 9 u p 1 7 u 3 a i + b A e h + l J f 5 d b w B 9 W X g X 9 w 7 1 N q / m D v / s 7 4 4 S a h d c z s 3 i T v i V J r e / v j e 5 v e d H x t 3 t z e 3 f / 0 w b 0 H D + 6 N 9 2 + l y M x 7 t 1 N k p j W p o / u f H u x R Z n r 8 4 H a K 7 H 3 f d I x / G w w 9 R a b N b 6 X I 3 o 9 o n k o z L 9 7 u v T 5 n 3 O 6 9 P l / c U s m 9 X z f v x w y e t r u Z 1 P 3 5 v 6 W 2 u 0 1 z T 9 v d q n l / 3 m + p 7 W 7 V v D / J t 9 N 2 D 0 J t d / a T x + n v k 5 5 8 + c X Z 6 7 M v X 9 x O I + 3 f q P F s J 6 H G U 7 a 4 N f x B j W f g 7 9 7 / l F J r + + M H m x j O s f V 7 v e b Y 2 7 y 2 i c C O q W / T 2 v G 0 R e n e / Y f 7 9 8 j b u t 0 i w n u 9 5 t j 8 N r h 5 u k 2 b 3 0 q 3 3 Q p 0 n 0 M 2 N u 9 P + M b m / Y m + p f 6 6 V f P 3 m 2 F P b d 1 M x f 6 8 3 l J t 3 a a 5 p 7 Z u 1 f z 9 p t R T W 7 d q / p 5 T a l s f d N T W + y w i Q K f c v 1 F n 2 R 5 C n a X Z h l v D H 9 R Z B v 7 u 7 v 3 9 X V r 2 u 5 X G e o + X H D u b l 2 6 n r 2 7 T 2 j G z a X 3 v 1 i H l b d 9 w X H 0 b j D w t p c 1 v p a V u B b r P E 7 f U U r d q 3 p / c j c 3 f b 1 o 9 L X W r 5 r 2 J v Z W W u h X o 9 5 t P T 0 v d q v n 7 T a m n p W 7 V / D 2 n 1 L Z + 6 G u p e 1 9 j 2 e D e z o 1 6 y v Y R 6 K l 7 i u C t 4 Q / q K Q N / b / / + g 4 O D v b 2 H J L e 3 U 1 b B m w 8 o 7 b o 3 P j i 4 l c Y y b 9 7 b 2 / / 0 3 u b V R c f g t r s H n x 7 c 3 x z d O T Z 3 O G L R g N L 4 u 2 P j l t 6 g x z p v 3 n 9 w f 6 y 2 4 Q Z 1 9 h 5 4 e l r N v b V / 7 + H 4 4 S b / z t N v 5 q 3 9 B w 8 O x j s b u + p z 1 P Y t 3 u r z y S 2 V 3 X t g 1 u e L W 6 q 8 9 + g j w h G 3 I H S M G + 5 v D i M 8 P W j p f O N L n j a 8 D Q k 8 b X h r v D y V e K s u o g r i h q G b V x 7 s h H r x v d Y H k J D a r B I d + F A l K g P c G v 6 Q S r T w 9 x / s 0 D s P 7 t H C C N a T B w d u u f 6 9 3 7 S s b 9 / c N C m W 8 2 / V 2 r K 8 w 2 p / / + A B / f 9 g b 3 x / k 7 R Y t n / v N y 3 z 3 w p D p / 5 M c z S 7 S e n d D n S f W z Y 2 7 0 / + 7 f T c 7 Z q / 3 z Q 7 D X e 7 5 r 2 J 3 k D F / t R u B H 3 D f A 6 q s V t B d 2 r s d s 3 f b 0 q d B r t V c 4 f L b q i 8 z P r A y b d P f + K r 0 9 u p m L 0 b V Z j t J F R h 6 g n d G v 6 g C j P w N w 3 Z M f F t W j s e v k 1 r x 8 K 3 a e 0 4 2 L b e b M 8 d G 9 / y B c f I t 8 H H U 0 z a / F a K 6 V a g + z x w S 8 V 0 q + b v N 6 e e Y r p V 8 / e b V U 8 x 3 U z F y I z e T j H d p r m n m G 7 V / P 2 m 1 F N M t 2 r + n l N q W + / F F d M t F y 7 v 3 b h w 6 T o I l d L t F i 4 d / E G l Z O D f v 3 d A 6 a 1 7 n + 4 9 H O 8 q 8 B s U l H v z 4 d 7 D / f v 0 / / G D T Z 6 7 4 2 v z 5 v a D + / d 2 a a l 4 / O n + r d S W e e 9 2 a s u 0 3 n 9 w / / 7 e z s H 9 v Q d j C P r g m 4 7 b 3 / d N x / i 3 w d B T Z N r 8 V o r s / Y j m q T T z 4 u 3 e 6 3 P G 7 d 7 r 8 8 U t l d z 7 d f N + z O B p u 5 t J 3 Z / / W 2 q 7 2 z T 3 t N 2 t m v f n / Z b a 7 l b N + 5 N 8 O 2 1 3 L 9 R 2 X 2 P h 8 t 7 + j R r P d h J q P G W L W 8 M f 1 H g G P i m s / f v 3 H o y x e D s 4 d s f W 7 / W a Y 2 / z 2 i Y C O 6 a + T W v H 0 6 b 1 g 7 3 d f c 6 c b E q G O f Z + r 9 c c m 9 8 G N 0 + 3 a f N b 6 b Z b g e 5 z y M b m / Q n f 2 L w / 0 b f U X 7 d q / n 4 z 7 K m t m 6 n Y n 9 d b q q 3 b N P f U 1 q 2 a v 9 + U e m r r V s 3 f c 0 p t 6 / 2 O 2 n r P h c t 7 N y 5 c u h 5 C n X W 7 h U s H f 1 B n G f i 7 e 3 v 3 K e N 3 O 4 3 1 H i 8 5 d j Y v 3 U 5 f 3 a a 1 Y 2 b T + h 7 5 m u N N 6 D i e v v U r j q 9 v g 5 O n p 7 T 5 r f T U r U D 3 u e K W e u p W z f v T e 0 s 9 d a v m 7 z e z n p 6 6 m Y r 9 O b 2 l n r p N c 0 9 P 3 a r 5 + 0 2 p p 6 d u 1 f w 9 p 9 S 2 v m / 1 1 J N 0 Z 2 f 3 f d c u P 6 V 3 d m 5 U V b Y T p 6 r 0 x f e C P 6 i q D P z d v U 8 R G O 7 t j / c P b q W u v B f 3 9 + / t P 6 S F o P 1 b q S z z 4 v 6 9 e z s P b 7 l y a V + i 9 U f S L L u b U H R c b l / a e X D / 4 e 6 D v X s H 4 / u b c H Q 8 7 7 3 5 6 c 7 e / s 7 B w W Z E H f u / B 6 K e V j N v 7 e 1 g x W N 8 b 5 P q 9 B S c e W 3 7 / g 4 W V / c 3 v t b n q d u 8 1 e e U 2 7 z V Z 5 N b q r 3 3 6 a T P H b f U f u 9 F 7 T 5 T b O / u 0 L L 0 z g 2 T 2 2 e J 2 7 z m a c b 3 e q 3 P E 7 f U k O / V S 5 8 Z b q c p P + 1 o y t u v Z k K J 7 d 6 o J C 3 8 U E n u v i f 8 Q S V p 4 O 9 R J E k R 2 M P d 8 d 4 m b e C 4 / z 1 f d H J g X t x E X 8 f / t 2 n t 2 N + 0 3 r 2 / s 7 / / 6 Y O H n + 4 e j B / e u 5 V e f O 9 X n R T c B k d P I 2 p z N L t R D d 4 K d J 9 b N j b v T / 7 G 5 v 0 p v 6 X C u 1 X z 9 5 t p T 9 P d T M X + 3 G 4 E / X 7 z 6 W m z W z V / v y n 1 t N i t m r / n l N r W D z r a 6 3 1 W D a B f 7 t 2 o v 2 w P o f 5 S w b o 1 / E H 9 Z e D v P b i / e / C A f J r x / q 3 U 1 / u 9 5 5 j a v H c 7 7 X W b 1 o 6 l T e t P C a W d + / v 3 H 9 K y 5 a Z 1 D M f g 7 / u m 4 / X b Y O j p L m 1 + K 9 1 1 K 9 B 9 T r m l 7 r p V 8 / 5 8 3 1 J 3 3 a r 5 + 8 2 z p 7 t u p m J / a m + p u 2 7 T 3 N N d t 2 r e 1 x e 3 1 F 2 3 a v 6 e U 2 p b H 3 R 0 V 7 A G c D v 1 s n + j + r K d h O p L d c W t 4 Q + q L w N / 7 + H D A 4 q p N s m s 4 + X 3 e M l x t H n p d o r r N q 0 d P 5 v W u w f 3 H z y 4 v 0 O L l J / e S m 2 9 3 3 u O y W + D n a e 0 t P m t l N a t Q P f 5 4 5 Z K 6 1 b N + x O 9 s f n 7 T b G n t G 7 V v D f J t 1 J a t w L 9 f v P p K a 1 b N X + / K f W U 1 q 2 a v + e U 2 t Y P u 0 r r f V Y A o F L u 3 6 i y b B e h y r r / n v A H V Z a B v 3 v / w f 7 B b d c s 3 + M l x 8 / m p U 2 k d e x 8 m 9 a O m 0 3 r v f 1 7 9 3 f v k b + 0 M Q n m O P v 9 3 n M s f h v s P J W l z W + l s m 4 F u s 8 f t 1 R Z t 2 r e n + h b q q x b N X + / O f Z U 1 s 1 U 7 E / s L V X W b Z p 7 K u t W z d 9 v S j 2 V d a v m 7 z m l p v X B j l V Z L 9 K d v a + x F A A y b N Z Z r o 9 A Z + 0 p g r e G P 6 S z L P y H O w 9 3 K O V N 2 c C H t 8 p y e S 8 + + H R v b / 8 h p d l V k W 7 W X f b F 3 Y P d h w 8 / P R j v b 0 o l W Q a 3 r + 3 v 7 H 6 6 + + l 4 Z 5 O i t H z u O q O X H j 4 4 u H 9 / d 7 y z f x t 1 F r 7 5 8 N P 9 e 7 u b 1 x G s A L w X p k 6 x u d d 2 H + 4 / / H R 8 f + N r f S b c 3 d 8 9 u H d / b 3 x v k 9 P r l J 1 9 b / t 2 L / Y 5 5 n Z q 7 z 3 x 6 7 P J 7 f T f e 3 b T Z 5 B b U b 3 P H d u 7 D w 4 O d s a b O N + p R o f k j S 8 5 B f k + L / W 5 Y q P e 6 z P D L f p 4 T 0 a w r X d D Z f l e q w E Y 2 A 1 6 0 o I P 9 e T u e 8 I f 1 J M G P m m t T x / u E 5 M d j O / d T l G + 7 5 t O B M y b m w j s J O A 2 r R 3 f O 6 z 2 K Z 9 P 4 f L e e O d W f t 5 7 v + n Y / z Y Y e g p R m 6 P Z j V r w V q D 7 3 L K x e X / y b 6 n y b t X 8 / a b Z 0 3 S 3 a t 6 b 6 A 1 U 7 E / t R t D v N 5 + e I r t V 8 / e b U k + F 3 a r 5 e 0 6 p b b 0 X K q / 3 X A x A t z e o L 9 t B q L 5 u t x j g 4 A + q L w N / 7 / 7 D v d 1 7 O / c e H I x v l V E L X t z b e U B r g O O D W y k v 8 + L 2 A 0 p f 7 o 1 V E d + g w 8 x L t 9 N h p v X u / s E e r b T u P r x 3 W x 0 W v r l 7 / + D h e H f T m 4 7 n b 4 O h p 8 M s F X Y / 3 b k 3 f r j p p T 6 3 3 Y J 0 n k 4 z b 9 3 i p T 5 f 3 O K l P k / c U r + 9 R x / v x w m e l n s P O k e 4 4 M Z 3 + v N / c 0 e e 5 r v N Y D z N d 2 u 8 P P V 3 q y 7 6 8 3 5 j F w 6 r e 6 E O D B Y V X t x O T + 3 f q A d t J 6 E e 3 H 9 P + I N 6 0 M C / d + 8 + a Y t P b 6 U C b / + O 4 3 n z z u 1 c t 9 u 0 d r x u W u / t 7 t / 7 d K M 2 d q x + + 3 c c q 9 8 G K 0 / V a X M 0 u 1 H D 3 Q p 0 n y t u 6 a 7 d q n l / f m + p z m 7 V / P 3 m 1 l N k N 1 O x P 6 m 3 d N d u 0 9 x T W r d q / n 5 T 6 u m r W z V / z y m 1 r f c 7 q u o 9 l x L 2 b l x K c D 2 E e u p 2 S w l 7 N y 4 l G P j D b O D Y 9 8 a m j n V v b O r Y 1 g z w d i r J t N 5 7 Q C q S F l / H D / Z v p Z b e 7 z 3 H y r f B z l N N N 4 7 b U 0 2 3 A t 1 n h F u q p l s 1 7 8 3 t b V X T r Z q / 3 x x 7 q u l m K v Y n 9 p a q 6 T b N P d V 0 q + b v N 6 W e a r p V 8 / e c U t v 6 v q + a 7 n 2 N N Y N 7 O z c q J 9 t H o J z u K Y K 3 h j + o n A z 8 f V J 4 t / S h z C u f 3 t 9 5 O L 6 / K d R y 3 G z e 2 U R Y x 8 y m 9 d 7 + w b 3 N a x i O o + 0 7 9 x / c 2 9 m / t 3 d v D B Y e f N G x d / D i H i X 6 N 5 L B 8 f n t k f S 0 l 3 n p / q e U 1 t 7 f 9 E 6 f z b Z v 0 V O f c W 7 x U p 8 b b v F S n x 9 u q d j e o 4 8 + R 9 x S v d 2 e z H 0 + 2 K W s y v j + J t 7 x l J 2 d m 5 v f 8 n T e b U b j 6 b z b Y + Z p v l v 1 0 Z / 5 m / t w e H 0 a 6 r / 3 W g a 4 t 3 u j 6 r P g Q 9 W n S Y d b w x 9 U f Q b + p 7 s 7 e + N N T O J Y / d a v O H Y 3 r 9 x O 8 9 2 m t W N z 0 5 o y X 7 T e v U f M / u D e r X T e e 7 7 o + P 0 2 + H n q T p u j 2 Y 1 q 7 l a g + 9 y x s X l / s j c 2 7 0 / 0 L X X a r Z q / 3 y x 7 2 u x m K v Z n d i P o 9 5 t P T 3 H d q v n 7 T a m n s m 7 V / D 2 n 1 L Z + E C q r 9 0 z 7 3 7 t 3 o 7 q y H Y T q S u X q 1 v A H 1 Z W B / / D B / i 2 1 1 W 3 f c H x s 3 r i d s r p N a 8 f F p v X 9 B 3 s 7 + w e 7 e / u b L b N j 6 f d 8 0 T H 3 b f D z l J U 2 v 5 W y u h X o P m / c U l n d q n l / n m + p r G 7 V / P 1 m 2 V N W N 1 O x P 7 O 3 V F a 3 a e 4 p q 1 s 1 f 7 8 p 9 Z T V r Z q / 5 5 T a 1 g e h s v o a + X m I y A 0 K y 3 Y S K i y V r V v D H 1 R Y B j 6 t U e 4 + H O 9 s k l n H y + / x k u N o 8 9 L t 1 N Z t W j t + N q 3 3 P t 3 d p y W v e 5 s C F s f Z 7 / O W Y / D b Y O Y p L G 1 + K 4 V 1 K 9 B 9 3 r i l w r p V 8 / 4 k b 2 z + f t P r K a x b N e 9 N 8 K 0 U 1 q 1 A v 9 9 8 e g r r V s 3 f b 0 o 9 h X W r 5 u 8 5 p b b 1 Q 1 9 h 7 X + N V N j + z o 3 6 y v Y R 6 K t 9 R f D W 8 A f 1 l Y F / e w f L v H F / / + D B + H a J M P P K J r I 6 V j a t 9 + / v 7 m 1 c 6 X P s b F 4 5 O H j 4 Y G M m y 3 G 1 7 e X e w f 4 t 1 x N v j Z i n r v S d W 6 k r A 3 / 7 5 g 7 6 D H L z O / 1 J v / m d / r T f U n 3 d v o v + x N 9 S h 9 1 M 2 s h s 3 4 h O f 7 p v n g 5 P n d 1 m D J 4 6 u z V e n k 6 7 V R d f Z 7 L N K w 9 3 Q s X 2 X j m u / d 2 b d J o D H + q 0 3 f e E P 6 T T L P x N B L K M f a v W l q 9 v 1 d p y 9 K 1 a W 4 a 2 r X c / v X f v 3 u 3 U 2 H u 8 Y x n 7 V l g 5 F W a a 3 0 a F 3 Q 5 0 n x M 2 N n + / i X U q 6 3 b N 3 2 9 q n b a 6 X f P e 5 N 5 G W 9 0 O 9 P v N p 1 N R t 2 u + e U q H t d P t o L / n l N r W u 6 F i e s 9 8 1 v 6 N + S z X Q a i a b p f P c v A H V Z O B / + n 9 g 4 e 3 W 3 m 8 / S u O k 8 0 r m 4 j q G P k 2 r R 0 f m 9 a 7 D / c P N p o T x 8 6 3 f s W x 9 G 1 w 8 l S U N r + V i r o V 6 D 5 H 3 F J F 3 a p 5 f 3 J v q a J u 1 f z 9 Z t Z T U T d T s T + n t 1 R R t 2 n u q a h b N X + / K f V U 1 K 2 a v + e U 2 t Z 7 o Y r 6 G l m s / f 0 b 1 Z T t J F R T + + 8 J f 1 B N G f g 3 B k e O k 2 / 9 i u N m 8 8 r t 1 N R t W j t e N q 3 v 3 7 v / c G O U 6 l j 6 1 q 8 4 t r 4 N T p 6 a 0 u a 3 U l O 3 A t 3 n i F u q q V s 1 7 0 / u L d X U r Z q / 3 8 x 6 a u p m K v b n 9 J Z q 6 j b N P T V 1 q + b v N 6 W e m r p V 8 / e c U t v 6 n q + m 7 n + N 3 N X 9 n R u 1 l O 0 j 0 F L 3 F c F b w x / U U g b + 7 r 1 P 9 + 7 t f 7 p 7 7 2 C 8 s 3 s r Z R W 8 e b D 7 4 N O H 4 3 u 3 0 1 n m z f v 3 H 9 z f H X + q G v c G 1 W V e e k g o 3 t u M o 2 N z h + P + v f s H n z 7 Y 2 4 S g 4 3 j / t Y c P H u z s 3 x 9 j H W b w T c f 8 7 4 G l p 9 P M W 7 R I + W B n Z 3 y w C U t P v Z n X t u / d / / T e 7 v j e J h Q 9 N W d e u 8 1 b f U a 5 z V t 9 J r m l 0 n u f T v q s c U v d 9 1 7 U 7 j P F 9 r 2 H O / d 2 H 2 z m C E 8 f 2 j H d 4 j V P L 7 7 X a 3 2 e u K V + f K 9 e + s x w O z 2 5 H + r J 9 0 q F 3 d + 9 U U V a 8 K G K V N m 7 N f x B F W n g 7 z 3 Y 2 / / 0 H t 4 a H 2 x y b R z 3 v + + b T h D M m 5 s I 7 A T g N q 0 d / z u s 7 h / c p 4 z m p 7 Q E c T u 9 + L 5 v O i G 4 D Y a e Q t T m a H a j F r w V 6 D 6 3 b G z e n / y N z f s z f k t 9 d 6 v m 7 z f P n q K 7 m Y r 9 q d 0 I + v 3 m 0 1 N m t 2 r + f l P q K b F b N X / P K b W t 7 4 f K y 6 T L T r 5 9 + h N f n d 5 O x e z d q M J s J 6 E K U 1 1 x a / i D K s z A v 7 + 3 f / / h w Q N a w / j 0 V g r s / d 5 z f G 3 e u 5 3 6 u k 1 r x 9 W m 9 Y M H e w 8 + f U D r M Z / e L j R 9 v / c c q 9 8 G O 0 9 1 a f N b q a 5 b g e 5 z y S 1 V 1 6 2 a 9 + f 6 l q r r V s 3 f b 4 4 9 1 X U z F f s T e 0 v V d Z v m n u q 6 V f P 3 m 1 J P d d 2 q + X t O q W 3 9 a V x 1 3 T L T f / / e j W r L d h C q r X v v C X 9 Q b R n 4 e 3 v 3 d u 4 9 f L j 3 4 O F 4 d 5 P Q O m Z + 3 z c d X 5 s 3 7 z 3 Y 2 R s / 3 P S O Y + 7 b v + M 4 3 G G 4 f / / T B w 8 O 7 j 0 Y 7 9 x O k Y V v 7 l O Q O t 4 U Z z r O v z 2 a n j 7 T l 2 6 l z 0 w H t 9 R n t 2 r e 5 4 Z b 6 r N b N e / P + y 3 1 2 a 2 a 9 2 b 7 V v r s P a a p P 7 f b N 7 / l K b f b j M J T b r f H z F N x t + q j P 8 s 3 9 + H w e h A q u q + x X n B / / 0 Z l Z z s J l d 3 + e 8 I f V H Y G / s P d B w 8 e j M E 7 g y N 3 T P 4 e L z l W N y / d z j u 7 T W v H 6 K b 1 7 h 4 p t f H 9 g 1 t p t P d 4 y X H 8 b f D y 9 J g 2 v 5 U e u x X o P m f c U o 9 p 8 9 v q s V s 1 f 7 / J 9 f T Y r Z r 3 p v d W e u x W o N 9 v P j 3 V d a v m 7 z e l n t K 6 V f P 3 n F L b + q C j r l 6 8 S T 8 / f n H 8 9 L Y p s f s 3 6 i r b Q 6 i r 7 r 8 n / E F d Z e D f 3 9 + 7 R 1 r 6 V q r q 9 u 8 4 Z j b v 3 E 5 T 3 a a 1 Y 2 X T e v d T S g T f g J F j 6 v d 5 y / H 2 b T D z d J U 2 v 5 W u u h X o P m f c U l f d q n l / j j c 2 f 7 / p 9 X T V r Z r 3 J v h W u u p W o N 9 v P j 1 d d a v m 7 z e l n q 6 6 V f P 3 n F L b + q G v q z 7 9 G m u c n + 7 c q K 1 s H 4 G 2 + l Q R v D X 8 Q W 1 l 4 O / f 2 3 k 4 h u g M j t t x s n n n 0 4 M 9 S t r f S l m Z V 8 h x 3 f 1 0 / O B 2 o a N 9 i d Y I D s b 7 m 5 B z n G 1 f O r j / Y H 9 8 s O k l x + L 2 p Q c H 1 N M 9 t Q U 3 K K 7 3 Q M / T X / a t 3 Y c H u + O H m 7 r y N J l 5 a 3 v v / i 4 t C 2 / S r J 5 C M 2 / d 4 q U + R 9 z i p T 5 L 3 F K 5 v U c f f X a 4 p Y p 7 H 0 J H O G H / 0 / H + p 7 f T e H Z y b n z J 0 3 u 3 G Y 2 n 9 2 6 N l 6 f 8 b t V F f + J v 7 M J g R S v E o Q Z 8 r 9 X L T 3 d v U H 4 e + F D 5 q a T d G v 6 A 8 n P w H 5 K m 2 L + F 6 r v 9 G 4 b V 3 R u b J s H w + O 1 a G x Z 3 r R / s 3 z s Y m x W R j a r u f d 4 x D H 4 7 r K y K s 8 3 R 7 A b F d k v Q f Y 7 Y 2 L w / w R u b 9 2 f 3 V l r s l s 3 f b 2 6 t / r o N F f u T u h H 0 + 8 2 n V V W 3 b P 5 + U 2 q 1 1 C 2 b v + e U 2 t a 7 H Q X 1 / t m v T / d v V F O 2 k 1 B N q X 6 4 N f x B N W X g 7 3 7 6 k J b m D m 6 l q G 7 / j u N n 8 8 4 m 0 j p 2 v k 1 r x 8 2 m N f l X e x s 1 p 2 P q W 7 / i G P s 2 O H m K S p v f S l H d C n S f J 2 6 p q G 7 V v D + 7 t 1 R U t 2 r + f j P r K a q b q d i f 0 1 s q q t s 0 9 x T V r Z q / 3 5 R 6 i u p W z d 9 z S m 3 r v Y 6 i e s + 8 1 6 c 3 5 b 2 8 H k I t d b u 8 l 4 M / q K U M / H v 3 7 o 8 P N v k V j o 1 v / Y p j Z f P K 7 X T U b V o 7 R j a t y T W C e 7 c p Y n A c / R 4 v O b 6 + D V 6 e n t L m t 9 J T t w L d 5 4 p b 6 q l b N e 9 P 8 C 3 1 1 K 2 a v 9 / s e n r q Z i r 2 Z / W W e u o 2 z T 0 9 d a v m 7 z e l n p 6 6 V f P 3 n F L b + p 6 v p x 5 8 j Z z X g 5 0 b N Z X t I 9 B U D x T B W 8 M f 1 F Q G / v 3 d n Y M x c n 6 D 4 3 a c b N 5 5 c P 8 + Z S x u p a r M K w 8 f 3 t / f H R 8 8 v J X G M i / t 7 l D a Y n 9 8 f / d W m s u 9 9 e D g 3 s 7 4 4 a a 3 H J O 7 t 2 i V 5 u F 4 f 5 M G d r z + P h h 6 O s x 7 b f f e v f H O p s 4 8 d W Z e 2 9 7 b 3 9 8 b f 7 r x r T 4 H 3 e K l P l v c 4 q U + X 9 x S w 7 1 H H 3 2 e u K W e e y 9 K 9 7 n h g B h 8 f x O z e n r P z s 6 N L 3 n a 7 z b D 8 b T f r f H y V O C t u u j P / I 1 d O K z 2 Q z 3 4 X p m v B 7 s 3 q k A L P l S B K m u 3 h j + o A g 3 8 2 2 e + b v u G 4 3 X z x u 1 c t a D 1 j Q r P t D 5 4 8 O n D j e r Y 8 f e t X 3 H s f R u c P B W n z d H s R r 1 2 K 9 B 9 f r i l m 3 a r 5 v 2 5 v a U S u 1 X z 9 5 t Z T 3 3 d T M X + n N 7 S T b t N c 0 9 R 3 a r 5 + 0 2 p p 6 N u 1 f w 9 p 9 S 2 v t 9 R T + + f 9 3 q w f 6 O S s p 2 E S m r / P e E P K i k D f / f g w f 0 H 4 0 1 m z L H y 7 d 9 x / G z e u Z 2 i u k 1 r x 8 2 m 9 Y 1 J L M f U t 3 7 F M f Z t c P I U l T a / l a K 6 F e g + T 9 x S U d 2 q e X 9 2 b 6 m o b t X 8 / W b W U 1 Q 3 U 7 E / p 7 d U V L d p 7 i m q W z V / v y n 1 F N W t m r / n l N r W n 3 Y U 1 X v m v R 7 c v 1 F L 2 R 5 C L a W J m l v D H 9 R S B v 7 + g 3 v j h 5 / e S k n d + h X H y u a V 2 + m o 2 7 R 2 j G x a 7 + 7 s 7 R / c 2 6 g 0 H U e / x 0 u O r 2 + D l 6 e n t P m t 9 N S t Q P e 5 4 p Z 6 6 l b N + x N 8 S z 1 1 q + b v N 7 u e n r q Z i v 1 Z v a W e u k 1 z T 0 / d q v n 7 T a m n p 2 7 V / D 2 n 1 L Z + 4 O u p g 6 + R 9 z r Y u V F T 2 T 4 C T X W g C N 4 a / q C m M v D v 7 9 1 7 c M u o z 7 z y 6 c H e z i 1 X E c 0 r 9 z 4 9 2 N m / N z 7 4 9 F Y a y 7 3 1 8 N M 9 c t w 2 v e V Y 2 7 7 1 4 N P 7 n 3 6 6 O c f m m N y 9 9 W B / / + F 4 b 9 N b j t f f B 0 N P h 7 n O d u 7 v U O C 5 8 b U + v 2 3 v 3 i f t u m m y P K V m X r r 5 n T 5 T 3 P x O n y t u q d 5 u 3 0 W f H 2 6 p 4 9 6 L y n 1 O 2 D 6 4 w d X 2 d J 5 5 5 6 Z X P L 1 3 6 1 f 6 8 3 9 L 3 X f r H v o T f z v 9 d x D q v / f K d x 3 c n O + y 4 E P V d 7 t 8 l 4 M / q P o M / E 2 D d f x 9 m 9 a O v W / T 2 j H 2 b V o 7 v j a t a W 3 x I S l T k w C 8 Q c G 9 z 1 u O s W + D m a f Y t D m a 3 a j N b g W 6 z w 0 b m 7 / f 5 H r a 6 1 b N 3 2 9 6 P c V 1 q + a 9 C d 5 A x f 6 0 b g T 9 f v P p K a l b N X + / K f U U 1 K 2 a v + e U 2 t Y P Q + V 0 K r o p f f P q d u r j 3 o 3 q y X Y Q q q d 7 7 w l / U D 0 p / G E u c N x 7 Y 1 P H u T c 2 d V x r B r i J 3 o 5 p T e v 9 g 8 0 p N s e 6 t 3 3 D c e 9 t M P K 0 0 Y 1 j 9 b T R r U D 3 J / + W 2 u h W z X v z e V t t d K v m 7 z e v n j a 6 m Y r 9 K b 2 l N r p N c 0 8 b 3 a r 5 + 0 2 p p 4 1 u 1 f w 9 p 9 S 0 B l P 6 2 u h r 5 N 4 P 9 m / S S K 6 T U C P t v y f 8 I Y 1 k 4 e / u f 3 p w f + N y m W X l 9 3 j H 8 r N 9 Z x N p L T v f q r X l Z t v 6 x k S 6 Z e r b v 2 I Z + 1 Y 4 O U V l m t 9 G U d 0 O d J 8 n b q e o b t e 8 P 7 s b m 7 / f x D p F d b v m v a m 9 j a K 6 H e j 3 m 0 + n q G 7 X / P 2 m 1 C m q 2 z V / z y m 1 r X c 7 i u o 9 c + 8 H N + b e X Q + h l r o x 9 9 6 B P 6 i l D P y 9 3 Y e b x d W x 8 a 1 f c a x s X t l E V c f J t 2 n t G N m i c + / e / f H + 7 Z T U 7 d 9 x X H 0 b r D w t p c 1 v p a V u B b r P E 7 f U U r d q 3 p / e W 2 q p W z V / v 7 n 1 t N T N V O x P 6 i 2 1 1 G 2 a e 1 r q V s 3 f b 0 o 9 L X W r 5 u 8 5 p b b 1 n q + l H n 6 N z P v D n R v 1 l O 0 j 0 F M P F c F b w x / U U w b + p / f v 7 W 3 O N z t O t u / c O v V u X 6 H E + w 4 t L e 6 q n r 1 B Y X l v 3 f t 0 d 3 P u 1 P G 2 f Y s W A H c O x j u b 3 n J c 7 v p 6 + O D + / f H O 7 q 2 U 1 / t g 6 C k x 9 9 q 9 h 4 T i p 5 s 6 8 / S Z e W 1 7 7 + B g f H / j S 3 0 O u v m d P l f c / E 6 f K 2 6 p 3 2 7 f R Z 8 f b q n k 3 o v K f U 7 Y v 3 9 v v L O J U T 2 l Z 2 f m x p c 8 1 X e b 4 X i q 7 9 Z 4 e f r v V l 3 0 5 / 3 G L h x W 9 0 I l + F 7 p 9 4 e 7 N + o / C z 7 U f z q V t 4 Y / q P 8 M / E 0 E c j x + m 9 a O x W / T 2 j H 3 b V o 7 3 j a t D 3 b u P 9 x 5 M L 6 3 d y s l 9 z 5 v O e a + D W a e c t P m a H a j R r s V 6 D 4 3 b G z + f p P r a b B b N X + / 6 f W U 1 6 2 a 9 y Z 4 A x X 7 0 7 o R 9 P v N p 6 e m b t X 8 / a b U 0 1 C 3 a v 6 e U 2 p b 7 3 e U 0 / s n v B 7 u 3 6 i i b C e h i t p / T / i D K s r A 3 9 3 f 3 T v Y 6 G 8 5 V r 7 9 O 4 6 f z T u 3 U 1 e 3 a e 2 4 2 b Q + e P D p w 4 3 5 N 8 f U t 3 7 F M f Z t c P I U l T a / l a K 6 F e g + T 9 x S U d 2 q e X 9 2 b 6 m o b t X 8 / W b W U 1 Q 3 U 7 E / p 7 d U V L d p 7 i m q W z V / v y n 1 F N W t m r / n l N r W 9 z u K 6 j 0 T X g 9 v T n j Z H k I t d b u E l 4 M / q K U M / P 0 H l J / G l A + O 2 v H x 7 d 9 x z G z e u Z 2 W u k 1 r x 8 q m 9 c E e R Y B 7 m / x f x 9 K 3 f 8 f x 9 W 2 w 8 v S U N r + V n r o V 6 D 5 X 3 F J P 3 a p 5 f 3 5 v q a d u 1 f z 9 5 t b T U z d T s T + p t 9 R T t 2 n u 6 a l b N X + / K f X 0 1 K 2 a v + e U 2 t a f e n p q d + f 9 U 1 6 7 O z s 3 a i r b h 6 + p + M X 3 g j + o q Q z 8 / d 2 D G 0 I g x 8 n m n Y d 7 t 0 5 5 m V f 2 7 u 8 + 2 B s / + P R W + s q 8 d I 9 S V 5 + O 9 / Z v p b b M S w c P 7 3 + 6 2 d l z H G 7 e 2 d 3 f P 9 j Z u e W C 4 n t g 5 6 k v i 9 7 9 / X s P x m Y h + C Z F Z t 7 a v r 9 z 7 9 5 4 f 9 O o P H 1 m 3 r r F S 3 2 G u M V L f Y 6 4 p W 5 7 j z 7 6 3 H B L D f c + h O 5 z w v b 9 + 3 v 3 d j d 6 2 p 7 K s + O 5 8 S V P 8 b 3 H S 3 1 G u K X 6 e 4 8 + + h x w O y X 4 I F S C 7 5 P y 2 k V e + Q b 9 Z 8 G H + u 9 W K S 8 P / q D + M / A 3 D d b x + W 1 a O z a / T W v H 3 7 d p 7 d j b t D 4 4 O I C a u 5 2 e e 4 + X H H P f B i 9 P w W l z N L t R r d 0 K d J 8 X N j Z / v 6 n 1 d N i t m r / f 5 H r a 6 1 b N e 9 O 7 g Y r 9 W d 0 I + v 3 m 0 1 N T m 5 r b 5 u 8 3 p Z 6 C u l X z 9 5 x S 2 / o g V E 2 n o p n S k 2 + f / s R X p 7 d T I H s 3 K i j b S a i g 1 J O 6 N f x B B a X w h z n B c f C N T R 3 3 3 t j U c a 4 Z 4 O 3 0 k m l 9 / + D B w 0 9 v p Z R u + 4 b j 4 N t g 5 G m k G 8 f q a a R b g e 5 P / i 0 1 0 q 2 a 9 + b z t h r p V s 3 f b 1 4 9 j X Q z F f t T u h H 0 + 8 2 n p 5 F u 1 f z 9 p t T T S L d q / p 5 T a l s / j G u k N 6 9 u p y 3 u 3 a i N b A e h N r r 3 n v A H t Z G B f + 9 g l x z F z W 6 1 Y + T 3 e c v x s 3 l r E 2 k d O 9 + m t e N m 0 3 r / w Z 6 J p W 9 Q U 7 d 9 w 7 H 1 b T D y 1 J Q 2 v 5 W a u h X o P l f c U k 3 d q n l / d m + p p m 7 V / P 3 m 1 V N T N 1 O x P 6 W 3 V F O 3 a e 6 p q V s 1 f 7 8 p 9 d T U r Z q / 5 5 S a 1 h i E r 6 b e f 6 V w d 2 f / J l X l O g l V l e q G W 8 M f U l U W / u 7 + g 5 v y M 5 a X 3 + c l y 9 H 2 p V s p q l u 1 t v x s W x 8 c U A B / f 1 N + z v L 1 e 7 x j m f t W W D l l Z Z r f R l n d D n S f L 2 6 n r G 7 X v D / B G 5 u / 3 9 Q 6 Z X W 7 5 r 3 J v Y 2 y u h 3 o 9 5 t P p 6 x u 1 / z 9 p t Q p q 9 s 1 f 8 8 p t a 1 3 O 8 r q / V Y L d 3 f u 3 6 i p b A + h p t L l r V v D H 9 R U B v 6 D z S k 6 x 8 S 3 f M G x s X l h E 0 U d F 9 + m t W N i 0 / r h P q V Z b 6 e g b v 2 K 4 + f b 4 O T p J 2 1 + K / 1 0 K 9 B 9 b r i l f r p V 8 / 7 U 3 l I / 3 a r 5 + 8 2 s p 5 9 u p m J / T m + p n 2 7 T 3 N N P t 2 r + f l P q 6 a d b N X / P K b W t 9 3 z 9 t P c 1 V g l B h h s 0 l O 0 j 0 F B 7 i u C t 4 Q 9 q K A P / / s 7 + / u 7 O + O H B r d S U e e v T e 7 v w R H Y 3 S b p j a f P W v Y c H t D i k k e s N G s u 8 s 3 t v d 3 / n 3 v j + g 1 t p L v f W g w e 0 R r S 7 6 S 3 H 6 O 6 t h 5 8 + f D j e v Z X 6 e h 8 E P T X m X r t 3 7 9 P 7 Y 7 U 4 N y k 0 8 9 b 2 7 t 6 D f V q i h X o Z f q / P R b d 6 r c 8 c t 3 q t z x 2 3 1 H T v 1 U u f M 2 6 p 8 d 6 H 4 H 2 W 2 N 5 9 + O n u + O E m n v V U o O 3 r x p c 8 R f g e L / U Z 4 p b q 8 D 3 6 6 H P B 7 Z T i v V A p v t e q I Q Z 2 g z 6 0 4 E N 9 q L J 6 a / i D + t D A 3 9 3 h 5 1 b a 8 P b v O K Y 3 7 2 x q 7 X j 9 N q 0 d q 1 t 8 7 n 2 6 d 3 A w v p 3 y e 4 + X H K P f B i 9 P 6 W l z N L t R 1 d 0 K d J 8 v N j b v T / P G 5 v 0 Z v q V G u 1 X z 9 5 t d T 5 P d T M X + r G 4 E / X 7 z 6 a m s W z V / v y n 1 l N W t m r / n l N r W + 6 G a e s 9 8 P T q 7 Q V H Z D k J F p T r 3 1 v A H F Z W B v 3 v w 4 P 5 t F d X t 3 3 G 8 b N 6 5 n a L S 1 s O 8 6 d j 4 x q a O i 2 9 s 6 j j 4 x q a e O r q 5 b Z 9 f b q m O b t W 8 P 5 m 3 V E e 3 a v 5 + U + i p I z S / s f l 7 z K O n j m 5 u + x 4 z 6 S m i m 9 v 2 Z n J D 2 9 4 0 b m j b m 8 M N Y 7 N N 7 4 f K 5 2 t k 4 d H b D Q r I d h I q o P 3 3 h D + o g A z 8 W y T U H e e + x 0 u O f 8 1 L t 1 N B t 2 n t u N e 0 P n j w 6 c O N K T f H x L d + x f H y b X D y F J M 2 v 5 V i u h X o P l f c U j H d q n l / e m + p m G 7 V / P 1 m 1 l N M N 1 O x P 6 e 3 9 J N u 0 9 x T T 7 d q / n 5 T 6 i m p W z V / z y m 1 r T / t q K r 3 z M G j t x v 0 l O 0 h 1 F M a o N 8 a / q C e M v D 3 H z 4 Y f 7 o p r H F s f O t X H C u b V 2 6 n o 2 7 T 2 j G y a b 2 3 8 + D T 8 f 1 N G s c x 9 O 3 f c V x 9 G 6 w 8 L a X N b 6 W l b g W 6 z x O 3 1 F K 3 a t 6 f 3 l t q q V s 1 f 7 + 5 9 b T U z V T s T + o t t d R t m n t a 6 l b N 3 2 9 K P S 1 1 q + b v O a W 2 9 Q N f S 9 3 7 G p n 4 e z s 3 6 i n b R 6 C n 7 i m C t 4 Y / q K c M / P 3 d B w / G 9 / Z u p a j M O 5 8 e U O L 0 4 F a K y r y y d 3 + f 0 q D 7 t 1 J X 9 p 2 D 3 Z 2 D 8 c G m j h x j m 5 f u 7 e / v 7 4 3 3 N 7 3 k O N y + R C P 6 d P x w E 3 q O z 9 8 D P U 9 9 2 a 5 2 9 h / e G 9 / b 1 J W n y M x b 2 3 u f 7 t / b P C p P n 1 k M b 3 6 p z x C 3 e K n P E b f U b e / R R 5 8 d b q n h 3 o f Q f U 7 Y 3 r t 3 s D / e / / R 2 K s + O 5 8 a X P M X 3 H i / 1 G e G W 6 u 8 9 + u h z w O 2 U 4 E G o B N 8 r 8 3 7 v 5 s y 7 B R / q v 9 t l 3 h 3 8 Q f 1 n 4 G 8 a r O P z 2 7 R 2 b H 6 b 1 o 6 / b 9 P a s b d p f W / 3 4 f 3 9 z S r L c f d 7 v O S Y + z Z 4 e Q p O m 6 P Z j W r t V q D 7 v L C x + f t N r a f D b t X 8 / S b X 0 1 6 3 a t 6 b 3 g 1 U 7 M / q R t D v N 5 + e m r p V 8 / e b U k 9 B 3 a r 5 e 0 6 p b f 2 w o 5 r e P + E F s 3 G D g r K d h A p K Z e v W 8 A c V l I G / e 3 / 3 w b 3 x 7 R y 0 2 7 / j + N m 8 s 4 m 0 j p 1 v 0 9 p x s 2 l 9 Y + 7 K M f W t X 3 G M f R u c P E W l z W + l q G 4 F u s 8 T t 1 R U t 2 r e n 9 1 b K q p b N X + / m f U U 1 c 1 U 7 M / p L R X V b Z p 7 i u p W z d 9 v S j 1 F d a v m 7 z m l p j X C t E B R v W e 6 6 9 6 N 6 S 7 X Q 6 i l b p f u c v C H t J S F / + m n 4 / 2 H t 9 F R t 3 7 D M r J 9 4 1 Y a 6 l a t L R v b 1 h S f 3 h v f 1 + X S z S r q P d 6 x P H 0 r r J y O M s 1 v o 6 N u B 7 r P E b f T U b d r 3 p / d j c 3 f b 2 q d j r p d 8 9 7 k 3 k Z H 3 Q 7 0 + 8 2 n 0 1 G 3 a / 5 + U + p 0 1 O 2 a v + e U 2 t a 7 v o 7 a / x r J r v 2 d G 7 W U 7 S P Q U v u K 4 K 3 h D 2 o p A 5 + S X f v j B 5 / e S k + Z d 2 6 f 7 L K v 7 N 2 7 f / B w f L C p H 8 f T 9 q V P 6 b X x J o 3 o G N u 8 c 3 B v b + f h 3 v j T T Z 6 e Y 3 H z 1 u 6 n e w c P 7 x 9 s z M Y 5 T r 8 9 f p 7 + s g j u 3 d v d 2 R 1 / u o l + u 7 u P u 6 8 h 3 f X p e G c T g p 5 G c x j e + F K f J W 7 x U p 8 n b q n d 3 q O P P j / c U s e 9 F 6 X 7 v L D 9 4 O G n B 5 S Z f b D x v T 4 3 3 O Y 1 T / + 9 1 2 t 9 3 X N L P f h e v f R Z 4 X b 6 c C / U h + + V 9 9 r f v V E V W v C h K t x 9 T / i D q t D A f 0 i a c B N H O q a / 7 R u O 7 8 0 b m w j q G P 4 2 r R 2 / m 9 a U s N 8 h f X Q 7 z f c e L z l W v w 1 e n s r T 5 m h 2 o 5 6 7 F e g + T 2 x s 3 p / i j c 3 7 8 3 t L p X a r 5 u 8 3 u 5 4 6 u 5 m K / V n d C P r 9 5 t N T W b d q / n 5 T 6 q m q W z V / z y m 1 r e + F K u p U N F T 6 5 t X t l M i 9 G 5 W U 7 S B U U h o K 3 R r + o J I y 8 H c f H m w a s e P h W 7 7 g u N i 8 c D s V d Z v W j o c t M p / u 4 L m V h r r 9 O 4 6 h b 4 O V p 6 C 0 + a 0 U 1 K 1 A 9 / n h l g r q V s 3 7 k 3 t L B X W r 5 u 8 3 t 5 6 C u p m K / U m 9 p Y K 6 T X N P Q d 2 q + f t N q a e g b t X 8 P a f U t t 4 P F d T X S N D v 7 9 + o p G w n o Z L a f 0 / 4 g 0 r K w K f 2 9 x 9 s d u 8 d L 7 / H S 4 6 j z U u 3 U 1 a 3 a e 3 4 2 b R + u P f w Y L x z c C t l d f t 3 H H P f B i t P W W n z W y m r W 4 H u 8 8 U t l d W t m v c n + J b K 6 l b N 3 2 9 u P W V 1 M x X 7 k 3 p L Z X W b 5 p 6 y u l X z 9 5 t S T 1 n d q v l 7 T q l t f b + j r N 4 z S b 9 / c 5 L e 9 h B q q t s l 6 R 3 8 Q U 1 l 4 H / 6 Y A w 5 G B y z 4 + L b v u E Y 2 b x x O x 1 1 m 9 a O j U 3 r 3 Z 0 H e / f H 9 z + 9 l Z J 6 j 5 c c V 9 8 G L 0 9 L a f N b a a l b g e 7 z x C 2 1 1 K 2 a 9 + f 3 l l r q V s 3 f b 3 Y 9 L X U z F f u z e k s t d Z v m n p a 6 V f P 3 m 1 J P S 9 2 q + X t O q W 3 9 q a + l 7 n + N N P 3 9 n R v 1 l O 0 j 0 F P 3 F c F b w x / U U w b + / r 3 d T 2 + b p j f v v E e a 3 r x C h u D T v f F D V b M 3 a C z 7 0 v 2 H t H L 5 8 O G t F J d 5 a e / + 7 s P 9 h w e 3 z F b Z t / b v H x w c 7 I 3 3 N m H o e P 0 9 M P R U m H l r 9 / 6 9 + 7 s 3 J K n 7 3 L a 9 d 3 9 n / 9 a J e k e O G 1 / q M 8 U t X u p z x S 3 1 2 3 v 0 0 e e I W 2 q 5 9 y F 0 n x c + 3 f l 0 9 / 5 m X v X U n p 2 e W 7 z m q b / b j M h T f + + B m 6 c F b 9 V J f / p v 0 Y n D 7 E G o D N 8 r R 3 / / 5 h y 9 B R / q w d v l 6 B 3 8 Q T 1 o 4 G 8 i k e P 1 2 7 R 2 r H 6 b 1 o 7 H b 9 P a s b h p f X 9 n l 9 Q x q d Z P b 6 X v 3 u s 1 x + S 3 w c 1 T d N o c z W 5 U b 7 c C 3 e e H j c 3 f b 3 o 9 X X a r 5 u 8 3 w Z 4 W u 1 X z 3 h R v o G J / X j e C f r / 5 9 J T V r Z q / 3 5 R 6 W u p W z d 9 z S m 3 r g 1 A 9 m f z 8 y b d P f + K r 0 9 s p k b 0 b l Z T t J F R S 6 o L c G v 6 g k l L 4 w 5 z g O P j G p o 5 7 b 2 z q O N c M 8 H a 6 y b R + s H d w Q E b + 4 F a a 6 T 1 e c n x 8 G 7 w 8 v X T j i D 2 9 d C v Q f R a 4 p V 6 6 V f P e r N 5 W L 9 2 q + f v N r q e X b q Z i f 1 Y 3 g n 6 / + f T 0 0 q 2 a v 9 + U e n r p V s 3 f c 0 p t 6 4 d x v X T L d c P 7 9 2 7 U S b a D U C f d e 0 / 4 g z p J 4 d 9 G J 9 3 Y 1 H H u j U 0 d 1 5 o B b q K 3 Y 1 r T e v / g w f 6 9 B / v j + w e 3 0 k r v 9 Z r j 4 9 v g 5 u m l G 0 f t 6 a V b g e 6 z w S 3 1 0 q 2 a 9 2 b 2 t n r p V s 3 f b 4 Y 9 v X Q z F f v z e k u 9 d J v m n l 6 6 V f P 3 m 1 J P L 9 2 q + X t O q W m 9 v x P q p a + x X H h / / y b d 5 D o J d d P + e 8 I f 0 k 0 W / u 7 + p w f 3 x 5 9 u G L h l 5 f d 4 x / K z f W c T a S 0 7 3 6 q 1 5 W b b + u D B w 5 3 x n p J m s 7 Z 6 j 3 c s a 9 8 K K 6 e q T P P b q K r b g e 5 z x e 1 U 1 e 2 a 9 + d 3 Y / P 3 m 1 q n q m 7 X v D e 5 t 1 F V t w P 9 f v P p V N X t m r / f l D p V d b v m 7 z m l t v V u R 1 W 9 5 2 L h / f s 3 6 i n b Q 6 i n N D F 2 a / i D e s r A R 5 b y d q u F t 3 / F s b J 5 Z R N V H S f f p r V j Z N N 6 j 3 L u 4 x 1 1 L m / Q U r d / x 3 H 1 b b D y t J Q 2 v 5 W W u h X o P k / c U k v d q n l / e m + p p W 7 V / P 3 m 1 t N S N 1 O x P 6 m 3 1 F K 3 a e 5 p q V s 1 f 7 8 p 9 b T U r Z q / 5 5 T a 1 n u + l v r 0 a y w W f r p z o 5 6 y f Q R 6 6 l N F 8 N b w B / W U g b + / 9 + n u + O D g V o r K v H P 7 x U L 7 C i e n x w c P b 6 W v 7 E t 7 D / Y e j A 9 2 b 6 W 2 7 E s H 9 y m o 2 9 v 0 k m N x + 9 K D g 4 c P x / c f 3 E p x v Q d 6 n v 5 y b + 3 c v z f e 3 d S V p 8 n M W 7 R S e P 9 g / H C T d f A U m n n r F i / 1 O e I W L / V Z 4 p b K 7 T 3 6 6 L P D L V X c + x C 6 z w m f E v N 8 u n 8 7 j W c n 5 8 a X P L 1 3 m 9 F 4 e u / W e H n K 7 1 Z d 9 C f + x i 4 c V v d C D f h e K 4 S f 7 t 6 o / C z 4 U P m p p N 0 a / q D y M / A 3 E c j x + G 1 a O x a / T W v H 2 7 d p 7 V j b t D 7 Y f 3 B v / H C T B n a M f f t 3 H G P f B i t P t W l z N L t R o d 0 K d J 8 T N j Z / v 4 n 1 t N e t m r / f 1 H p 6 6 1 b N e 5 O 7 g Y r 9 S d 0 I + v 3 m 0 1 N R t 2 r + f l P q a a d b N X / P K b W t 9 z u K 6 f 1 z X d C A N 6 g n 2 0 m o n v b f E / 6 g e j L w d z 9 9 u L u 3 0 d F y r H z 7 d x w / m 3 d u p 6 p u 0 9 p x s 2 l 9 s H e w N 1 b K 3 K C p b v 2 K Y + z b 4 O Q p K m 1 + K 0 V 1 K 9 B 9 n r i l o r p V 8 / 7 s 3 l J R 3 a r 5 + 8 2 s p 6 h u p m J / T m + p q G 7 T 3 F N U t 2 r + f l P q K a p b N X / P K b W t 7 3 c U 1 X t m u j 7 1 M 1 0 B Q v 0 e Q i 1 1 u 0 y X g z + o p Q z 8 v f 3 d 8 b 1 P b 6 W k b v 2 K Y 2 X z y u 1 0 1 G 1 a O 0 Y 2 r e / f e 7 h 7 M L 6 n l L l B S 7 3 H S 4 6 v b 4 O X p 6 e 0 + a 3 0 1 K 1 A 9 7 n i l n r q V s 3 7 E 3 x L P X W r 5 u 8 3 u 5 6 e u p m K / V m 9 p Z 6 6 T X N P T 9 2 q + f t N q a e n b t X 8 P a f U t v 7 U 1 1 M P v k a u 6 8 H O j f 6 U 7 S P Q V A 8 U w V v D H 9 R U B v 7 B / s H u v Y f 7 9 + 9 9 O n 6 w K W v j + N m 9 + W D n 4 e 6 9 P X K t H u z f S m + Z N 3 d 3 K C H 1 k B y a e 7 d S Y O 6 1 / U 8 p R X J v 0 1 u O 0 8 1 b + 9 T b 3 s O d v X s 7 m w f o + N 5 / c / f h g 4 M d 8 r w 2 9 e l E 4 H 0 w 9 V S b f W 0 P W O 5 s U p + e k v M 6 o y n c o 0 B 2 Y 1 q n z 1 r b t 3 y z z z S 3 1 H z v i W G f U W 6 p A 9 + z n z 6 P 3 I b w f f 5 4 u L e / d z D e O 7 i d e r R U v 8 V r n p q 8 D S k 8 N f k e u H n a 8 l a d 9 N n g F p 0 4 z B 6 E S v O 9 0 m M Q 3 B v 0 p Q U f 6 s v b p c c c / E F 9 a e C T u t v Z + X R v / 9 O D + + P d T Q z j x O C 9 X 3 W C Y F 7 d N D F O D m 7 T 2 j G / a X 2 w s / t w 5 + G 9 / Z 1 7 4 / u b 9 L g T g P d 9 0 w n B b T D 0 F K M 2 R 7 M b 1 e G t Q P f 5 Z W P z / v T f U v P d q v n 7 T b O n 7 2 7 V v D f R G 6 j Y n 9 q N o N 9 v P j 1 l d q v m 7 z e l n h a 7 V f P 3 n F L b + i B U X 6 e i v d I 3 r 2 6 n Y O 7 d q M B s B 6 E C U x f i 1 v A H F Z i B v 7 d z 7 9 O D e 6 S 5 S W o P N j k o j p u 9 V x 8 c 7 O 0 d 3 N v 9 d L N v 4 z j b v L r 9 8 O H O P i E 7 3 q T 3 H I e b 1 2 6 n y U z r h w 9 2 a P n x 0 / u f 7 o 8 f 3 s 7 V e 9 8 3 H e f f B k N P k 2 n z W 2 m y 9 6 K Z p 9 L s Y G 7 z W p 8 x b v V a n y l u q e L e q 5 f 3 Y w R P 1 d 1 M 5 v 7 c 3 1 L V 3 a a 5 p + p u 1 b w / 5 x u b 9 6 d 6 Y / P + F G 8 c q m 3 9 M F R 1 X 2 O 9 A P H g D e r O d h K q u / 3 3 h D + o 7 g z 8 3 Y e f f n o w f r B p W d 3 x 9 H u 8 5 D j b v L S J u I 6 h b 9 P a 8 b N p f e / B p 3 s P 7 9 2 7 N 7 6 3 C S f H 2 + / 3 n m P y 2 2 D n a T V t f i u t d i v Q f f 7 Y 2 L w / 3 R u b 9 y f 6 l s r r V s 3 f b 4 4 9 p X U z F f s T e 0 u l d Z v m n t K 6 V f P 3 m 1 J P a d 2 q + X t O q W l 9 f 6 e j t N 5 z 7 e D B / Z s 0 l u s h 1 F h q y G 4 N f 0 h j W f h 7 5 G E 9 e P j p + O B W O u v 9 X r M s b V + 7 l d a 6 V W v L 0 L b 1 / r 1 P H x 4 c 3 N 8 d 7 9 9 K a 7 3 n e 5 b L b 4 W d 0 1 q m + W 2 0 1 u 1 A 9 3 n k d l r r d s 3 7 U 7 2 x + f t N s d N a t 2 v e m + T b a K 3 b g X 6 / + X R a 6 3 b N 3 2 9 K n d a 6 X f P 3 n F L b e t f X W g d f Y y X h Y O d G v W X 7 C P T W g S J 4 a / i D e s v A 3 / 9 0 7 2 C 8 f y u d Z V 5 5 c G / n 4 F b a y r x w / + H + w / G + q t w b d J Z 5 5 4 B c o M 2 5 X c f U 5 p 3 d / f 0 H 9 z d 3 5 L j b v n S P t N Z 4 b 9 N L j s d v j 5 2 n u e x L u 7 R Y f H C 7 d Q L 7 0 v b e p w 8 e j j + 9 n S I z L 9 3 8 T p 8 R b n 6 n z w m 3 V G m 3 7 6 L P B 7 f U a + 9 B 4 z 4 L 7 B 8 8 G G + y W Z 6 S s 9 N y 0 z u e p r v N U D x N d 1 u s P G 1 3 q x 4 i s n / T u O 0 b e 6 H G e 6 9 l g I P d G 5 W d B R 8 q u 9 3 3 h D + o 7 A z 8 T f R x 3 H 2 b 1 o 6 5 b 9 P a s f V t W j u u N q 1 3 7 + 3 s 3 t v M 1 o 6 r 3 + M l x 9 e 3 w c t T a d o c z W 7 U Z L c C 3 e e F j c 3 f b 2 o 9 z X W r 5 u 8 3 u Z 4 z d q v m v e n d Q M X + r G 4 E / X 7 z 6 a m o W z V / v y n 1 1 N O t m r / n l N r W 9 z q q 6 f 3 z X g f 7 N y o o 2 0 m o o P b f E / 6 g g j L w 9 3 Y p i h p v 8 q 4 c K 9 / + H c f P 5 p 3 b K a v b t H b c b F o / 3 L u / G R 3 H 1 L d + x T H 2 b X D y F J U 2 v 5 W i u h X o P k / c U l H d q n l / d m + p q G 7 V / P 1 m 1 l N U N 1 O x P 6 e 3 V F S 3 a e 4 p q l s 1 f 7 8 p 9 R T V r Z q / 5 5 T a 1 v s d R f W e u S 4 Y 8 h u 0 l O 0 h 1 F K 3 y 3 U 5 + I N a S u E P s 4 F j 3 x u b O t a 9 s a l j W z P A 2 y k k 0 3 r 3 4 f 7 B L R X S r V 9 x D H w b n D y F d O N o P Y V 0 K 9 D 9 6 b + l Q r p V 8 9 6 M 3 l Y h 3 a r 5 + 8 2 s p 5 B u p m J / T m + p k G 7 T 3 F N I t 2 r + f l P q K a R b N X / P K b W t 7 / s K 6 e H X S G M 9 3 L l R J d k + A p X 0 U B G 8 N f x B l W T g 7 + / v P h g / / H T D u B 0 n m 3 c e 7 O 7 v j M E o g + 8 4 d j b v E G o H B 5 + O 7 + 1 v e M t x t X t r / 9 O d g / H 9 T f g 5 5 j Z v 3 b + / + 2 D v 3 n h f w + A b V J e l x I M H y I L d 2 9 S X 4 / b 3 w d D T Y r a z n X u f 7 o z v b 8 L Q 0 2 f m r e 2 9 B 3 t 7 Y 7 D 5 8 F t 9 F r r F S 3 2 + u M V L f c a 4 p Y p 7 j z 7 6 L H F L R f c + h O 7 z w o P 9 P b J j m / O U f V 7 Y v s V r n g a 8 z Y g 8 D f g e u H m K 8 F a d 9 K f / F p 0 4 z D 4 N 9 e F 7 J b k e 3 p z k s u B D V X i 7 J J e D P 6 g K D f x N J H K 8 f p v W j t V v 0 9 r x + G 1 a O x Y 3 r X d 3 7 n + 6 / + n 9 M d z q w d c c j 7 / X a 4 7 J b 4 O b p + i 0 O Z r d q N 5 u B b r P D x u b v 9 / 0 e r r s V s 3 f b 4 I 9 L X a r 5 r 0 p 3 k D F / r x u B P 1 + 8 + k p q 1 s 1 f 7 8 p 9 b T U r Z q / 5 5 T a 1 g 9 C 9 X Q q 2 i l 9 8 + p 2 C u T e j Q r K d h A q K J W r W 8 M f V F A G / q e 7 B + P d T e b S c f G t X 3 G c b F 6 5 n a q 6 T W v H x 6 b 1 w c H u 3 u 6 n 4 / u b 7 I r j 6 P d 5 y z H 2 b T D z F J U 2 v 5 W i u h X o P l / c U l H d q n l / i m + p q G 7 V / P 3 m 1 1 N U N 1 O x P 6 2 3 V F S 3 a e 4 p q l s 1 f 7 8 p 9 R T V r Z q / 5 5 T a 1 g e h o v o a G f m H + z c q K 9 t J q K z 2 3 x P + o L I y 8 H f 3 H + x R b v r g V u r q P V 5 y H G 1 e u p 3 C u k 1 r x 8 + m 9 c E 9 C i Q / 3 Y S P 4 + v b v + O Y + z Z Y e c p K m / f F z L b t c 9 N G 0 H 2 + 2 N i 8 P 8 0 b m / c n e G P z 9 5 t a T 1 n d q n l v c m + l r G 4 F + v 3 m 0 1 N W t 2 r + f l P q K a t b N X / P K b W t H 3 a U 1 X t m 5 R / e v 1 F T 2 R 5 C T a V e w K 3 h D 2 o q A / / + v b 3 b 6 q l b v + J Y 2 b y y i a q O k 2 / T 2 j G y a b 2 3 9 2 B n f O / h r b T U 7 d 9 x X H 0 b r D w t p c 1 v p a V u B b r P E 7 f U U r d q 3 p / e W 2 q p W z V / v 7 n 1 t N T N V O x P 6 i 2 1 1 G 2 a e 1 r q V s 3 f b 0 o 9 L X W r 5 u 8 5 p a b 1 p z u e l t r b e f 9 U / d 7 O z k 1 6 y v X h 6 y l + 8 b 3 g D + k p C / / h L i 3 2 3 7 t V / G f f o Y z e 7 v j T 2 y g q + 8 o u L Q n c 3 3 0 4 f r i p J 8 v V 3 m v 3 H h K G 4 0 1 v W e b 2 O z t 4 e O / T 8 a e 3 U l 7 u t X u 7 9 / Y / P R h / u m l o l t / f C 0 e n x 7 z e d v b 3 9 x + M I Z z D 7 / W Z b v f T n f 3 x g 9 t l 6 + 1 L 2 7 d 4 q 8 8 b t 1 N w 7 4 N Z n z F u p + b e p 4 8 I P 9 y K 1 D G G u A 9 + 2 N m U y 3 Q K 0 C P 2 L d 5 z m v B W p H C a 8 L 2 w c x r x d r 3 0 e e A 2 v T j c d k P N + D 5 J + 7 2 d 3 R u V o g U f K s X d 9 4 Q / q B Q N / N 1 7 B w 8 3 y r N j / l u / 4 l j f v L J p J h z n 3 6 a 1 Y 3 m L z v 0 H e z s H O + P 9 W 6 X v 3 + 8 1 x / G 3 w c 1 T f d o c z W 5 U d 7 c C 3 e e M j c 3 7 E 3 1 L D X e r 5 u 8 3 w Z 5 u u 1 X z 3 h R v o G J / X j e C f r / 5 9 B T X r Z q / 3 5 R 6 C u t W z d 9 z S m 3 r v V B R v V / 6 f g / a 8 A Z V Z T s I V d W t 0 v c e / E F V p f C H u c B x 7 4 1 N H e f e 2 N R x r R n g 7 f S S a b 3 / 4 N 6 D s V l l v U E p 3 f 4 d x 8 G 3 w c r T S D e O 1 9 N I t w L d Z 4 B b a q R b N e / N 6 W 0 1 0 q 2 a v 9 / c e h r p Z i r 2 J / W W G u k 2 z T 2 N d K v m 7 z e l n k a 6 V f P 3 n F L b + l 6 o k d 4 / T 7 + 3 s 3 + j V r K d h F p p / z 3 h D 2 o l A 3 + P l t Y e b A w R H S v f / h 3 H z + a d T a R 1 7 H y b 1 o 6 b T e u H e w 8 e j P e V N D e o q t u / 4 1 j 7 N l h 5 q k q b 3 0 p V 3 Q p 0 n y t u q a p u 1 b w / v 7 d U V b d q / n 5 z 6 6 m q m 6 n Y n 9 R b q q r b N P d U 1 a 2 a v 9 + U e q r q V s 3 f c 0 p t 6 / 2 O q n q / L P 3 e z o 1 Z e t d D q K d u l a X 3 4 A / q K Q P / 4 D 7 y P Z v k 1 f H x 7 d 9 x z G z e u Z 2 e u k 1 r x 8 q m N a V E D j 4 d P 9 y E k O P p 9 3 j J c f Z t 8 P I 0 l T a / l a a 6 F e g + X 9 x S U 9 2 q e X + G b 6 m p b t X 8 / W b X 0 1 Q 3 U 7 E / q 7 f U V L d p 7 m m q W z V / v y n 1 N N W t m r / n l N r W 9 3 1 N t f s 1 M v V g 6 x t 0 l e 0 j 0 F W 7 i u C t 4 Q / q K g N / l x I z 9 + + P d x 7 e S l v Z t + 7 t 7 t z f G + 9 t S n 0 6 l j Z v C f I 3 6 S v T e m / v 4 U P K r h 7 c S m 3 Z l w 4 O 9 u + N 7 2 9 6 y T G 4 9 9 L O 3 u b 8 r 2 P z 9 0 D P 0 1 7 e W z e t j H h 6 z L y 1 f Z v O + r x z m 7 f 6 H H G b t / o c c U v t 9 j 6 d 9 F n i l k r u f Y j d 5 4 b 9 n f H B p 7 d T e X Z + b n r H 0 3 u 3 G Y u n 9 2 6 L l a f 7 b t V D f 9 5 v H L d 9 4 9 N Q / 7 1 X P h 7 c f Y P q s + B D 1 a e p m l v D H 1 R 9 B v 4 e a b E H n 9 4 y I / 8 e L z l u N y / d T v H d p r V j c t P 6 0 4 M 9 m r h b 6 b t b v + I 4 / D Y 4 e W p O m 6 P Z j c r t V q D 7 X L G x e X + S N z b v T + 8 t 1 d i t m r / f z H r 6 6 2 Y q 9 u d 0 I + j 3 m 0 9 P W d 2 q + f t N q a e o b t X 8 P a f U t n 4 Q K q n 3 z M W D k 2 5 Q U 7 a D U E 3 d e 0 / 4 g 2 r K w N + 7 T + J 6 Q 1 T l G P l 9 3 n L 8 b N 6 6 n a L S 1 s P 8 6 V j 5 x q a O k 2 9 s 6 r j 4 x q a e S r q 5 b Z 9 n b q m S b t W 8 P 6 G 3 V E m 3 a v 5 + U + i p p F s 1 f 4 9 5 9 F T S z W 3 f Y y Y 9 Z X R z 2 9 5 M b m j b m 8 Y N b X t z u G F s t u l B q I C + R u o d z H C D E r K d h E p I p f 7 W 8 A e V k I G / f 7 A x P H J c e 8 s X H N + a F 2 6 n e m 7 T 2 n G t a f 1 w j + K A g 1 v 5 S L d + x f H w b X D y F J I 2 v 5 V C u h X o P j f c U i H d q n l / a m + p k G 7 V / P 1 m 1 l N I N 1 O x P 6 c b Q b / f f H p q 6 V b N 3 2 9 K P e V 0 q + b v O a W 2 9 c O O i n r P l D s m + w b 9 Z H s I 9 d P 9 9 4 Q / q J 8 M / N 2 d 8 Y N N 0 u q 4 + L Z v O E Y 2 b 2 y i q e P j 2 7 R 2 b G x a 7 9 3 f p 8 z 5 x v y / 4 + f 3 e M l x 9 W 3 w 8 r S U N r + V l r o V 6 D 5 P 3 F J L 3 a p 5 f 3 5 v q a V u 1 f z 9 Z t f T U j d T s T + r t 9 R S t 2 n u a a l b N X + / K f W 0 1 K 2 a v + e U m t Y P d n w t t f c 1 0 u 0 g w 2 Y 9 5 f o I 9 N S e I n h r + E N 6 y s K / f + / e e O 9 W i s q + s r u z e / 8 B K S v V m Z u V l X 3 r V s r K 7 2 P n 3 o P x / o P b K C 3 v r U 8 P D u 6 N D z a 9 Z f n b f + v + H q 0 d 3 E p t v R e G T n 1 5 r + 1 8 + u D + + G B T Z 0 6 T 2 d e 2 b 9 V d n 3 1 u 9 V q f K 2 7 1 W p 8 z b q f i 3 q + X P m 9 s 7 C X G F L e g e J 8 r 7 n 2 6 O / 5 U c y c 3 q D 4 3 S z e + 5 B T g r Y b j F O D t 8 X J a 8 H Z d 9 G f / x i 4 c V r u h K n y v z D s G d 4 M W t O B D L b j 7 n v A H t a C B v 4 l A j s 1 v 0 9 p x + W 1 a O + a + T W v H 2 6 b 1 j Y l z x 9 e 3 f s W x 9 W 1 w 8 l S c N k e z G / X a r U D 3 + W B j 8 / e b V k 9 9 3 a r 5 + 0 2 s p 7 Z u 1 b w 3 t R u o 2 J / T j a D f b z 4 9 B X W r 5 u 8 3 p Z 5 u u l X z 9 5 x S 2 3 o v V E u b c + 1 9 x X F j r t 1 1 E C q m 2 + X a H f x B x W T g 7 + 1 Q 1 H k w 3 q S M H R + / x 0 u O m 8 1 L t 1 N T 2 n q Y O x 0 j 3 9 j U 8 f G N T R 0 P 3 9 j U U 0 g 3 t + 1 z z C 0 V 0 q 2 a 9 6 f z l g r p V s 3 f b w o 9 h X S r 5 u 8 x j 5 5 C u r n t e 8 y k p 4 p u b t u b y Q 1 t e 9 O 4 o W 1 v D j e M z T a 9 F 6 q f r 5 F p R z B y g w q y n Y Q q a P 8 9 4 Q + q I A N / b / / e p 7 d S P 7 d 8 w f G t e e F 2 q u c 2 r R 3 X m t Y 3 p s 0 d 8 9 7 6 F c f D t 8 H J U 0 j a / F Y K 6 V a g + 9 x w S 4 V 0 q + b 9 q b 2 l Q r p V 8 / e b W U 8 h 3 U z F / p z e 0 k O 6 T X N P L d 2 q + f t N q a e c b t X 8 P a f U t t 7 v q K j 3 z L T v 3 Z h p d z 2 E + u l 2 m X Y H f 1 A / G f g P 9 8 b g p c E x O y 6 + 7 R u O k c 0 b t 9 N Q t 2 n t 2 N i 0 p h z I w / 3 7 4 4 e 3 U 1 L v 8 5 b j 6 9 t g 5 u k p b X 4 r P X U r 0 H 2 u u K W e u l X z / g z f U k / d q v n 7 z a + n p 2 6 m Y n 9 a b 6 m n b t P c 0 1 O 3 a v 5 + U + r p q V s 1 f 8 8 p t a 3 v + 3 r q 3 t f I t d / b u V F T 2 T 4 C T X V P E b w 1 / E F N Z e D v 3 v 9 0 l / L M 9 2 6 l r M x L N + Z r H D u b V + 4 d f L p 7 7 z 4 p h / 1 b q S 3 3 2 n 3 y f P b H 9 3 d v p b / s q B 7 s 7 t w / O H h 4 M N 7 d 9 K L j d f v i p w / 2 9 i k H v L u Z J I 7 r 3 w t R T 5 3 Z 9 / Y / f f D g h s x m n / M O H j z c H e 9 v f K n P S t u 3 e K v P I L f U c u + B W Z 8 5 b q n r 3 q O P P k v c h t B 9 f r h 3 s P v g g N a P D z Z x u 6 c E L a 1 v 9 a K n D m 9 D C k 8 d v h d + n l 6 8 V T d 9 J r h V N w 6 7 T 0 M F + V 4 Z + H u 7 N + p G C z 7 U j S p 5 t 4 Y / q B s N / E 1 E c p x / m 9 a O 5 W / T 2 n H 8 b V o 7 V j e t 9 / Y O d u 6 T M t o b 3 9 + k b R 2 3 v + e L j t 1 v g 5 + n 9 L Q 5 m t 2 o 6 m 4 F u s 8 T G 5 u / 3 x R 7 2 u 1 W z d 9 v k j 2 9 d q v m v W n e Q M X + z G 4 E / X 7 z 6 S m t W z V / v y n 1 d N W t m r / n l N r W D 0 I V 9 Z 7 Z + H v 3 b l R S t o N Q S a n 9 u T X 8 Q S V l 4 N 9 O S d 2 m t e P f 2 7 R 2 7 H u b 1 o 5 7 T e t 7 9 / b 3 d / D c S k O 9 z 1 u O n W + D m a e e t P m t 1 N O t Q P e 5 4 Z b q 6 V b N 3 2 9 2 P f V 0 q + b v N 7 + e e r q Z i v 1 p v a V 6 u k 1 z T z 3 d q v n 7 T a m n n m 7 V / D 2 n 1 L Y + C N X T 1 8 j W 3 9 u / U U X Z T k I V t f + e 8 A d V l I G / u / / p w f 3 x p 7 d S V L d / x / G z e e d 2 6 u o 2 r R 0 3 m 9 Y H D z 5 9 u B E d x 9 S 3 f s U x 9 m 1 w 8 h S V N r + V o r o V 6 D 5 P 3 F J R 3 a p 5 f 3 Y 3 N n + / i f U U 1 a 2 a 9 6 b 2 V o r q V q D f b z 4 9 R d V v v l F R 3 a r 5 + 0 2 p p 6 h u 0 9 z h 8 r C j q N 4 z Z 3 / v / o 1 a y v Y Q a q n 7 7 w l / U E s Z + H t 7 D y n w 2 b m d m n q P l x w 7 m 5 c 2 U d Z x 8 2 1 a O 2 Y 2 r e / d 3 9 3 Z v 2 3 i / j 1 e c r x 9 G 7 w 8 X a X N b 6 W r b g W 6 z x m 3 1 F W 3 a t 6 f 4 l v q q l s 1 f 7 / Z 9 X T V z V T s z + o t d d V t m n u 6 6 l b N 3 2 9 K P V 1 1 q + b v O a W m 9 c G O r 6 v 2 v 0 b e f n / n J m 3 l + g i 0 1 b 4 i e G v 4 Q 9 r K w t 8 0 Y s v D t 2 p t W d i 1 H u / s 3 0 Z F 3 f Y F y 8 b 2 h f 3 d 3 Q c P 9 3 c e 3 D I 9 H 7 7 3 6 b 2 d W + q q 2 y L o 1 J V 9 Y 2 / v 3 v j h J u S c 2 r o V l Z 3 a u l 3 z 9 5 t x p 7 Z u 1 z w y 5 7 d S W 7 d r 3 p / v m 6 n Z n + t t v H T w 4 F Z K L O h o 4 z t O k 7 3 H O + 8 3 1 U 6 d v U c X 7 z n f t v V u q N P e K 9 W + v 3 u j O r P g Q 3 W m U 3 l r + I P q T O E P 2 z X H 2 D c 2 d U x 9 Y 1 P H 0 G a A m 6 j t + N m 0 p v H t P / j 0 0 / 0 H 4 w e b F p Q c U 7 / n i 4 6 x b 4 O f p 7 5 u H L m n t m 4 F u s 8 K t 1 R b t 2 r e m 9 3 b q q 1 b N X + / W f b U 1 s 1 U 7 M / s R t D v N 5 + e j r p V 8 / e b U k 8 9 3 a r 5 e 0 6 p b b 0 X a q b 3 z L B j e f c G 3 W Q 7 C H X T 7 T L s D v 6 g b l L 4 t 9 F N N z Z 1 n H t j U 8 e 1 Z o C 3 0 0 2 m 9 c G D B 7 s H 9 / b J R 9 p k c B w D v 9 9 7 j p N v g 5 2 n m W 4 c t 6 e Z b g W 6 z w i 3 1 E y 3 a t 6 b 2 9 t q p l s 1 f 7 8 5 9 j T T z V T s T + w t N d N t m n u a 6 V b N 3 2 9 K P c 1 0 q + b v O a W 2 9 b 1 Q M 7 1 v z m r / x p y V 6 y F U T b f L W T n 4 g 6 r J w N 8 0 X s f B t 2 n t G P g 2 r R 3 / 3 q a 1 Y 1 / T e n d n D B k Y f M M x 8 W 3 f c H x 8 G 4 w 8 v a T N b 6 W X b g W 6 z w W 3 1 E u 3 a v 5 + s + r p p V s 1 f 7 9 5 9 f T S z V T s T + k t 9 d J t m n t 6 6 V b N 3 2 9 K P b 1 0 q + b v O a W 2 9 b 6 v l z 7 9 G v m p T 3 d u 1 E y 2 j 0 A z f a o I 3 h r + o G Y y 8 A / 2 x n s H t 9 J O 5 o 3 d T / f H 9 z e J u O N l 8 8 r t V N R t U X L c b F G 6 d / 9 g f + f h 3 h j s O P i e 4 + z e e z u 3 c 6 V u i 6 G n t r x X N u p F T 3 u Z V 7 Z v 7 K b P L j e + 8 v 4 c 4 K m y 2 8 y n p 8 p u 3 U O f B 2 6 p z m 5 N 3 f 7 c k 5 3 a u 5 1 i s / N x w y u e c r v N M D z l d k u c P P 1 2 q w 7 6 c 3 3 T o O 0 L 9 0 M V 9 1 7 p q k 9 3 b 9 R u F n y o 3 X b f E / 6 g d l P 4 w 2 b O 8 f S N T R 0 / 3 9 j U 8 b E Z 4 K b 5 c W x s W u 8 9 2 P 3 0 Y H e H x G X T L D l e f r / 3 H E f f B j t P h 9 0 4 b k 9 5 3 Q p 0 n x E 2 N u / N 6 2 1 d r 1 s 1 7 8 3 v b V 0 v N L + x e W + S N 1 C x P 7 E b Q b / f f H r a 6 V b N 3 2 9 K P d V 0 q + b v O a W 2 9 a e h X n r P Z N W n 9 2 7 U T L a D U D P d e 0 / 4 g 5 p J 4 d 9 G M 9 3 Y 1 H H u j U 0 d 1 5 o B 3 k 4 z m d a 7 + w f 3 d u 7 f O x j f L l f 1 X q 8 5 P r 4 N b p 5 e u n H U n l 6 6 F e g + G 9 x S L 9 2 q e W 9 m b 6 u X b t X 8 / W b Y 0 0 s 3 U 7 E / r 7 f U S 7 d p 7 u m l W z V / v y n 1 9 N K t m r / n l N r W D 0 K 9 d P a T x + n v k 5 5 8 + c X Z 6 7 M v X 9 x O d + z f q J t s J 6 F u 2 n 9 P + I O 6 y c C / / + D T 8 f 0 N w 3 a M f N s 3 H C + b N z a R 1 b G y t h 7 m T c f G N z Z 1 X H x j U 8 f B N z b 1 1 N H N b f v 8 c k t 1 d K v m / Y m 8 p T q 6 V f P 3 m 0 J P H d 2 q + X v M o 6 e O b m 7 7 H j P p K a K b 2 / Z m c k P b 3 j R u a N u b w w 1 j s 0 0 P f O X z 4 G v k o x 7 s 3 K h 7 b B + B 7 n m g k 3 p r + I O 6 x 8 D f 2 9 2 5 t z s G H Q a Z x T G u e e n T f S z W 7 4 5 3 V B V G X 3 M M 7 P p 6 s L M 5 l e W 4 2 H W 1 d 3 C w s z O + t 8 m j c d x s u z q 4 9 + m 9 + 7 v 3 7 t 1 2 t c 9 7 8 f 7 B D t F x c 4 + O z 9 8 L U U 9 7 2 f f u P b j 3 4 M H B + M H G 9 / r M t 0 0 d f v r p 3 s M x l p + H X + x z 1 O 3 e 6 3 P K 7 d 7 r M 8 s t t d z 7 d d N n l F u q u / c j e 5 8 / 7 t / f 2 d s d b + J h T w f a u b r 5 L U 8 b 3 m Z E n k K 8 P W a e Z r x V H 3 0 e u L k P h 9 f D U E u + V 0 r r w c 0 p L Q s + V J C 3 S 2 k 5 + I M K 0 s D f R C H H 7 L d p 7 X j 9 N q 0 d h 9 + m t W N w 0 5 r y 7 P c f 7 N 6 / d 3 9 8 7 + G t N O B 7 v u i 4 / D b 4 e Y p P m 2 8 w t H 0 e 2 g i 6 z x M b m 7 / f F H s K 7 V b N 3 2 + S P T 1 2 q + a 9 a d 5 A x f 7 M b g T 9 f v P p q a t b N X + / K f U U 1 a 2 a v + e U m t Y P d 0 I V 9 Z 7 Z r Q c 3 Z r d c B 6 G S u l 1 2 y 8 E f U l I W / i 7 5 H r u f 3 i e r u X 8 b d f W e 7 1 m e t u / d S n H d q r X l a N v 6 / q c P d v i 5 j d Z 6 r 7 c s i 9 8 K M 6 e y T P P b q K z b g e 5 z y M b m / Q n f 2 L w / z x u b v 9 / 0 O p V 1 u + a 9 C b 6 N y r o d 6 P e b T 6 e y b t f 8 / a b U q a z b N X / P K b W t d 0 O V 9 T U S X w / 2 b 1 R b t p N Q b a m O u D X 8 Q b V l 4 O / u P 9 j 5 d L x 3 O 5 3 1 H i 8 5 j j Y v b S K u Y + j b t H b 8 b F o / f L C / C R n H 1 L d 8 w b H 1 b f D x 1 J Q 2 v 5 W a u h X o P k f c U k 3 d q n l / a m + p p m 7 V / P 1 m 1 V N T N 1 O x P 6 O 3 V F O 3 a e 6 p q V s 1 f 7 8 p 9 d T U r Z q / 5 5 T a 1 n s d N f X i T f r 5 8 Y v j p 7 e N / + 7 f q K N s D 6 G O 0 q z 4 r e E P 6 i g D / 9 6 9 B w c 7 4 5 1 P b 6 W j 3 u M l x 8 7 m p d v p q N u 0 d s x s W n + 6 f 2 + f F g b H + 5 t Q c n z 9 X q 8 5 / r 4 N b p 6 + 0 u a 3 0 l f a 9 r b 6 6 l b N + 5 N 9 S 3 1 1 q + b v N 8 G e v r p V 8 9 4 U 3 0 p f 3 Q r 0 + 8 2 n p 6 9 u 1 f z 9 p t T T V 7 d q / p 5 T a l v f 8 / X V z t d I 6 R / s 3 K i x b B + B x j p Q B G 8 N f 1 B j G f h 7 9 x / c H + / d S l + Z V + 4 9 v L c 3 3 r + V t j K v H O y N H 2 5 a g n T 8 b N 7 Y 3 d / f G e 9 u e s c x t e t l 5 9 O H 9 z 4 l X X q r N H 7 w H m X y 9 8 c m I X i D 5 r o 9 j p 7 + M i + R k h w / e L j p n T 6 j b e / e u / 9 g 4 y x 5 2 s x i d + M 7 f W 6 4 + Z 0 + O 9 x S r 9 2 + i z 4 z 3 F K 5 3 Z 7 E f R 7 Y 3 d m h H O a n t 1 N 1 b l 5 u f M v T e L c Z j a f x b o + Z p / d u 1 U d k 3 m / s w + G 1 7 2 u / g / d L 1 W O d 5 g b F Z 8 G H i k 8 l 8 9 b w B x W f g b + J Q o 7 J b 9 P a 8 f h t W j v u v k 1 r x 9 y m 9 e 6 n + 7 R S + X B v k w g 5 9 n 6 f t x x / 3 w Y z T 7 V p c z S 7 U a X d C n S f G 2 7 p m t 2 q + f v N r q f C b t X 8 / e b X 0 1 4 3 U 7 E / r b d 0 z W 7 T 3 F N U t 2 r + f l P q q a h b N X / P K b W t 7 4 f K 6 T 2 T 9 A f 3 b l R P t o N Q P d 1 7 T / i D 6 k n h D 3 O B 4 9 4 b m z r O v b G p 4 1 o z w N t p J d M a + o X c z p 1 7 m 6 2 I 4 + D 3 f N H x 8 m 3 w 8 3 T T j S P 3 d N O t Q P d Z 4 Z a 6 6 V b N e 7 N 7 W 9 1 0 q + b v N 8 u e b r q Z i v 2 Z v a V u u k 1 z T z f d q v n 7 T a m n m 2 7 V / D 2 n 1 L b + N N R N X y M b j 4 W 3 G / S T 7 S T U T / v v C X 9 Q P x n 4 9 A I F P w c b B u 5 Y + f b v O H 4 2 7 2 w i r W P n 2 7 R 2 3 G x a f 3 r v w f 7 4 Y B M + j q t v / 4 5 j 7 d t g 5 a k q b X 4 r V X U r 0 H 2 u u K W q u l X z / v z e U l X d q v n 7 z a 2 n q m 6 m Y n 9 S b 6 m q b t P c U 1 W 3 a v 5 + U + q p q l s 1 f 8 8 p t a 0 f d F T V e 2 b k D + 7 f q K d s D 6 G e 0 m T K r e E P 6 i m F P 8 w G j n 1 v b O p Y 9 8 a m j m 3 N A G + n k k z r 3 Y d 7 D 8 b 3 l A o 3 q K T b v + N Y + D Z Y e S r p x v F 6 K u l W o P s M c E u V d K v m v T m 9 r U q 6 V f P 3 m 1 t P J d 1 M x f 6 k 3 l I l 3 a a 5 p 5 J u 1 f z 9 p t R T S b d q / p 5 T a l s f + C r p 4 d d I u j / c u V E p 2 T 4 C p f R Q E b w 1 / E G l Z O D v 7 + 7 v 3 j L p b l 7 5 l J L U t 3 S d 3 C u U C r + / S S 8 4 j j b v P L x / + 7 S 7 e W f 3 / r 2 D T z d 3 5 P j b v r R / 8 P D h b b X W 7 b H z d J d 9 a e f + D a s P n h I z L 2 3 v f f r g 4 f j T 2 6 k y 8 9 L N 7 / R Z 4 e Z 3 + r x w S 6 V 2 + y 7 6 f H B L z f Y e N O 6 z w P 7 B D Q s B f Q b Y v u k d T 9 f d Z i i e r r s t V p 6 + u 1 U P E e m / a d z 2 j Y e h z n u v V P v D m 1 P t F n y o 7 m 6 X a n f w B 9 W d g b + J P o 6 7 b 9 P a M f d t W j u 2 v k 1 r x 9 W m 9 f 2 D / U 8 3 L n Q 6 n r 7 1 K 4 6 n b 4 O T p 8 6 0 O Z r d q M V u B b r P B x u b v 9 + 0 e l r r V s 3 f b 2 I 9 h X W r 5 r 2 p 3 U D F / p x u B P 1 + 8 + m p p 1 s 1 f 7 8 p 9 V T T r Z q / 5 5 R q a 0 r W d t T S + y e y H u 7 f o J y 8 T k L l p L J 1 a / g D y s n B p / b 3 N o u s Y e X 3 e c f w s 3 t n E 2 k N O 9 + u t e F m 1 / r h 3 v 1 P N z q H h q n f 4 x X D 2 L f D y S o q 2 / w W i u q W o P s 8 s b F 5 f 4 o 3 N u / P 7 s b m 7 z e x V l H d s n l v a m + h q G 4 J + v 3 m 0 y q q W z Z / v y m 1 i u q W z d 9 z S m 3 r 3 Y 6 i e s 8 0 F h z a G 7 S U 7 S H U U r d L Y z n 4 g 1 p K 4 Q + z g W P f G 5 s 6 1 r 2 x q W N b M 8 B N B H d c a 1 r v 7 t z f 3 b 9 d S P h e L z k m v g 1 e n l K 6 c c S e U r o V 6 D 4 L 3 F I p 3 a p 5 b 1 Z v q 5 R u 1 f z 9 Z t d T S j d T s T + r t 1 R K t 2 n u K a V b N X + / K f W U 0 q 2 a v + e U 2 t Z 7 n l K 6 t / P + i a x 7 U I I 3 q C X b h 6 + W + M X 3 g j + o l g z 8 T S N 2 P G x a P 9 w Z 7 + 1 v e M O x 8 W 3 g O y 6 + L X z H y O a N + 5 / u H e w c j O 9 v e s u x t O 2 H f t 2 h 1 N q n t 9 J U t 8 X O 0 1 b m l f 3 d B / s H e + O 9 T R 1 5 i s u 8 t n 1 j V 3 1 O u f G V / u T f + E q f A 2 6 p x W 7 d Q 5 8 H b q n J 3 o v C f Q 7 Y p v f u P d w b 4 4 P h 9 / o 8 c J v X P C 3 3 X q / 1 + e C W 2 u 6 9 e n k / H e B w u h d q v f d J Z d 2 D g r 1 B 4 V n w o c L b f U / 4 g w p P 4 Q 9 b P s f r N z Z 1 f H 5 j U 8 f f Z o C 3 8 8 N M 6 7 2 D / f s P P h 3 f e 3 A r / f Y + b z n e v g 1 m n m 6 7 c c y e Q r s V 6 D 4 T 3 N I T u 1 X z 3 r z e V o f d q v n 7 z a + n v 2 6 m Y n 9 a b + m J 3 a a 5 p 6 N u 1 f z 9 p t T T T b d q / p 5 T a l v v h z r p V F R S + u b V 7 b T G v R u 1 k u 0 g 1 E r 3 3 h P + o F Z S + L f R S j c 2 d Z x 7 Y 1 P H t W a A t 9 N K p v X u 7 s O H D z 6 9 P 8 Y H g 6 8 5 / n 2 v 1 x w f 3 w Y 3 T y / d O G p P L 9 0 K d J 8 N b q m X b t W 8 N 7 O 3 1 U u 3 a v 5 + M + z p p Z u p 2 J / X W + q l 2 z T 3 9 N K t m r / f l H p 6 6 V b N 3 3 N K b e v 7 o V 5 6 / / z 6 P X R 4 g 2 6 y n Y S 6 a f 8 9 4 Q / q J g N / 9 2 B n v H + w Y d y O k 2 / 9 i u N m 8 8 o m w j p m v k 1 r x 8 u m 9 Y P 9 3 Y P x w 1 u p q l u / 4 t j 6 N j h 5 a k q b 3 0 p N 3 Q p 0 n y N u q a Z u 1 b w / u b d U U 7 d q / n 4 z 6 6 m p m 6 n Y n 9 N b q q n b N P f U 1 K 2 a v 9 + U e m r q V s 3 f c 0 p t 6 0 8 7 a u r 9 s u v 3 0 N s N O s r 2 E O q o + 7 e E f 6 O O M v A 3 j d d x 8 G 1 a O w a + T W v H v 7 d p 7 d j X t N 7 f 2 9 m n H M n 9 2 4 V 3 7 / O W 4 + f b Y O b p J 2 1 + K / 1 0 K 9 B 9 b r i l f r p V 8 / e b X U 8 / 3 a r 5 + 8 2 v p 5 9 u p m J / W m + p n 2 7 T 3 N N P t 2 r + f l P q 6 a d b N X / P K b W t H / j 6 a f d r J N r B 1 j d o K N t H o K F 2 F c F b w x / U U A b + 7 T T U b V o 7 F r 5 N a 8 f B t 2 n t G N i 0 v n + w e 3 + 8 f y v 1 Z F 7 5 d O / h p + O d g 1 s p p 9 s g 5 S k n 0 3 y f H M x P N / X g K a l b d d F n i F s q q V s 1 f 7 8 J 9 p T U r Z q / 3 x R 7 S u r 2 1 O x P 8 v b N L / V n + c Z 3 P L 1 1 + 3 f e b 6 o 9 5 X X 7 L t 5 z v m 3 r g 1 C D v V f S H C x 8 g / K y 4 E P l d b u k u Y M / q L w M / N s p r 9 u 0 d q x 9 m 9 a O s 2 / T 2 j G 2 a f 3 p 7 q c P x w 8 3 L Y c 4 x r 7 9 O 4 6 v b 4 O V p 7 2 0 O Z r d q L V u B b r P C R u b v 9 / E e l r r V s 3 f b 2 o 9 r X W r 5 r 3 J 3 U D F / q R u B P 1 + 8 + m p q F s 1 f 7 8 p 9 b T T r Z q / 5 5 T a 1 g 9 D x f S e m X N w 0 g 2 q y X Y Q q q b b Z c 4 d / E H V p P C H u c B x 7 4 1 N H e f e 2 N R x r R n g J n o 7 p j W t H + x 9 e k t v 6 r Z v O O 6 9 D U a e N r p x r J 4 2 u h X o / u T f U h v d q n l v P m + r j W 7 V / P 3 m 1 d N G N 1 O x P 6 W 3 1 E a 3 a e 5 p o 1 s 1 f 7 8 p 9 b T R r Z q / 5 5 S a 1 m B K X x t 9 j X w 5 2 G O z R n K d h B p J Z e v W 8 I c 0 k o F / C 4 1 0 c 1 P L v T c 3 t Z x r B 3 g r j W R b 7 + 4 8 v N 0 y 3 q 3 f s B x 8 K 4 y c R r p 5 r E 4 j 3 Q 5 0 f / J v p 5 F u 1 7 w 3 n 7 f U S L d r / n 7 z 6 j T S L a j Y n 9 K N o N 9 v P p 1 G u l 3 z 9 5 t S p 5 F u 1 / w 9 p 9 S 2 3 u 1 o p P d M j W O y b 1 B H t o d Q H d 0 u N e 7 g D 6 o j h X 8 b d X R j U 8 e 6 N z Z 1 b G s G u I n g j m t N 6 / 2 H F I z f K m K 7 / S u O g W + D k 6 e Q b h y t p 5 B u B b o / / b d U S L d q 3 p v R 2 y q k W z V / v 5 n 1 F N L N V O z P 6 S 0 V 0 m 2 a e w r p V s 3 f b 0 o 9 h X S r 5 u 8 5 p b b 1 n q + Q 9 r 5 G L h x k u E E l 2 T 4 C l b S n C N 4 a / q B K M v A 3 j d j x 8 G 1 a O x a + T W v H w b d p 7 R j Y t N 7 d 2 d 1 / c E v l 5 N 7 Z e 0 g J 9 I N b q a f b o O W p J 9 v H / s F 4 b 1 M P n p q 6 V R d 9 l r i l m r p V 8 / e b Y k 9 N 3 a r 5 + 0 2 y p 6 Z u T 8 3 + L G / f / F J / l m 9 8 x 9 N c t 3 / n / a b a U 1 + 3 7 + I 9 5 9 u 2 v h f q s J u z 4 b 5 6 2 b 1 R f V n w o f r a v Z 3 6 s v A H 1 Z e B f z v 1 d Z v W j r V v 0 9 p x 9 m 1 a O 8 Y 2 r f d 2 d / d 3 x 0 q O G 9 T X 7 d 9 x f H 0 b r D z t p c 3 R 7 E a t d S v Q f U 6 4 p d a 6 V f P 3 m 1 l P a 9 2 q + f v N r a e 1 b q Z i f 1 I 3 g n 6 / + f R U 1 K 2 a v 9 + U e t r p V s 3 f c 0 p t 6 / 1 Q M b 1 n N h z d 3 q C a b A e h a r r 3 n v A H V Z P C H + Y C x 7 0 3 N n W c e 2 N T x 7 V m g L f T S K b 1 3 v 7 + p 5 v e c K x 7 2 z c c 9 9 4 G I 0 8 b 3 T h W T x v d C n R / 8 m + p j W 7 V v D e f t 9 V G t 2 r + f v P q a a O b q d i f 0 l t q o 9 s 0 9 7 T R r Z q / 3 5 R 6 2 u h W z d 9 z S m 3 r + 6 E 2 + h r Z 8 L 3 9 G z W S 7 S T U S P v v C X 9 Q I y n 8 2 2 i k G 5 s 6 7 r 2 x q e N c M 8 D b a S T T e v / h 7 s H t F u h u / 4 r j 4 d v g 5 O m k G 0 f r 6 a R b g e 5 P / y 1 1 0 q 2 a 9 2 b 0 t j r p V s 3 f b 2 Y 9 n X Q z F f t z e k u d d J v m n k 6 6 V f P 3 m 1 J P J 9 2 q + X t O q W 3 9 a U c n v W c + f O / + j Q r J 9 h A q p P v v C X 9 Q I S n 8 2 y i k G 5 s 6 1 r 2 x q W N b M 8 D b K S T T e v f + z g 3 p I 8 e 9 t 3 / H s f B t s P J U 0 o 3 j 9 V T S r U D 3 G e C W K u l W z X t z e l u V d K v m 7 z e 3 n k q 6 m Y r 9 S b 2 l S r p N c 0 8 l 3 a r 5 + 0 2 p p 5 J u 1 f w 9 p 9 S 2 f u C r p H t f I y N + b + d G p W T 7 C J T S P U X w 1 v A H l Z K B v 2 n E j o d N 6 / s P d 8 e f b n j D s f F t 4 D s u v i 1 8 x 8 j 2 j b 3 7 9 + 4 9 3 B s / 0 I j 2 B k V l X t v d 2 T / 4 d P / e w / G 9 T d 0 5 5 r 4 t g p 7 C c h j e u / f p P c p s b s L Q U 1 7 m v e 0 b + + p z y 4 2 v 9 B n g x l f 6 X H B L T X b r H v p 8 c E t t 9 n 4 k 7 n P B N l 7 c 2 f 9 0 / O n G F y N s c J v 3 P G X 3 f u / 1 e e G W W u / 9 u n k / Z e C Q O g j V 3 3 s l 0 + / d n E y 3 4 E P N d 7 t k u o M / q P k M / N t p v t u 0 d i x / m 9 a O 2 2 / T 2 j G 7 a b 1 / 7 2 B / f H A r b X f r V x y H 3 w Y n T 8 l p c z S 7 U b H d C n S f D z Y 2 f 7 9 p 9 X T Z r Z q / 3 8 R 6 e u x W z X t T u 4 G K / T n d C P r 9 5 t N T V L d q / n 5 T 6 u m n W z V / z y m 1 r R + G a u k 9 U + n 3 b k 6 l 2 w 5 C x X S 7 V L q D P 6 i Y F P 4 w F z j u v b G p 4 9 w b m z q u N Q P c R G / H t K b 1 7 s 7 B p 3 s H e 2 R t P r 2 V U n q / 9 x w n 3 w Y 7 T z P d O G 5 P M 9 0 K d J 8 R b q m Z b t W 8 N 7 e 3 1 U y 3 a v 5 + c + x p p p u p 2 J / Y W 2 q m 2 z T 3 N N O t m r / f l H q a q d s 8 2 v w 9 p 9 S 0 x i B 8 z f Q 1 0 u r 3 9 m / S T q 6 T U D v t v y f 8 I e 1 k 4 e / u H t w b 7 2 0 Y t + X k 2 7 9 i u d m + s o m w l p l v 1 d r y s k N n b / f g w U Z 8 L E + / x z u W s W + F l V N U p v l t F N X t Q P d 5 4 n a K 6 n b N + 9 N 7 O 0 V 1 u + b v N 7 d O U d 2 C i v 1 J 3 Q j 6 / e b T K a r b N X + / K X W K 6 n b N 3 3 N K b e v d j q J 6 z 1 z 7 v R t z 7 a 6 H U E v d L t f u 4 A 9 q K Q N / 0 3 g d B 9 + m t W P g 2 7 R 2 / H u b 1 o 5 9 T e v 7 e 5 / u 7 T 2 4 v z m T 4 T j 5 v V 5 z H H 0 b 3 D w N p c 1 v p a F u B b r P D 7 f U U L d q / n 7 z 6 2 m o W z V / v x n 2 N N T N V O z P 6 y 0 1 1 G 2 a e x r q V s 3 f b 0 o 9 D X W r 5 u 8 5 p b b 1 n q + h 9 r 9 G 6 n 1 / 5 0 Y d Z f s I d N S + I n h r + I M 6 y s C / t / 9 g / / 5 4 5 8 G t V J V 5 a f c B J T p 3 H o 5 3 N k m 6 Y 2 n z 2 v 0 9 e u e h q t k b N J f r 6 t 7 + 3 o N 7 4 4 e 7 t 1 J h 7 r X 9 3 Z 2 H + + M H m 1 5 z r O 5 e 2 3 1 w / 9 P d 8 f 1 N r z m W f y 8 k P V 3 m d b f z Y H 9 n M 5 a e X j P v b e 8 + 2 H u 4 8 y l 1 + O n t N J z r 8 D b v 9 b n k d u / 1 G e W W O u / 9 u u k z y S 2 V 3 / u R v c 8 d e / d o m W e j / + 2 p Q z t X N 7 / l a c X b j M j T i r f H z N O N t + q j z w M 3 9 + H w u h d q y P f K z u / v 3 q g c L f h Q O e p 0 3 h r + o H I 0 8 G / n w N 2 m t e P 1 2 7 R 2 H H 6 b 1 o 7 B T W t i 8 H u k o 2 + r / d 7 r N c f h t 8 H N U 3 r a H M 1 u V H S 3 A t 3 n h 1 s 6 c L d q / n 7 z 6 y m z W z V / v x n 2 d N j N V O z P 6 y 0 d u N s 0 9 1 T V r Z q / 3 5 R 6 S u p W z d 9 z S m 3 r / V A 9 v W e W f v / e j Q r K d h A q K H W X b g 1 / U E E Z + P f u 7 9 5 7 e P / + + G C T W n a c / F 6 v O Y 4 2 r 9 1 O Z d 2 m t e N n 0 3 r / 1 t m w 2 7 7 h G P s 2 G H m K S p v f S l H d C n S f L 2 6 p q G 7 V v D + 9 t 1 R U t 2 r + f v P q K a q b q d i f 0 l s q q t s 0 9 x T V r Z q / 3 5 R 6 i u p W z d 9 z S m 3 r + 6 G i + h p J + / 3 9 G 5 W V 7 S R U V v v v C X 9 Q W R n 4 u / s P d j 4 d 7 y n c G 1 T V e 7 z k O N q 8 d D t F d Z v W j p 9 N 6 4 M H n z 4 c f 3 o 7 x + r 2 7 z j m v g 1 W n r L S 5 r d S V r c C 3 e e L W y q r W z X v T / A t l d W t m r / f 3 H r K 6 m Y q 9 i f 1 l s r q N s 0 9 Z X W r 5 u 8 3 p Z 6 y u l X z 9 5 x S 2 / r T j r J 6 z 8 T 9 / v 0 b N Z X t I d R U m l G 6 N f x B T W X g f 0 p v P B g / u J 2 m e o + X H D u b l 2 6 n q W 7 T 2 j G z a X 3 / / o N d y t F t Q s h x 9 X u 8 5 H j 7 N n h 5 u k q b 3 0 p X 3 Q p 0 n z N u q a t u 1 b w / x b f U V b d q f o v Z 9 Z v 3 p v d W u u p W m L z f f H q 6 6 l b N 3 2 9 K P V 1 1 q + b v O a W 2 9 Q N f V 9 3 / G i n 8 + z s 3 a i v b R 6 C t 7 i u C t 4 Y / q K 0 M / H t 7 u / d 3 H x o t e I O 2 c i / t 7 d w / e H h v f H B w K 4 V l 3 t s d 7 2 8 K u h x X m x f u U 6 S 5 M 9 b I 9 w b N Z T v Z 3 d m j C H X / Y L y z C T v H 5 / Z F o t 3 + p w 8 o 8 f 9 w 0 4 q G 4 / j b Y + n p M d v b z v 4 B d f Z g D B E a f r H P d d v 3 e X A b S e 8 p N w / J G 9 / q s 8 d t 3 u r z x y 1 V 3 f t 0 0 u e N j Z 1 E 2 O J 2 9 O 6 z x T a 9 e W / v Y P / T 8 c H G N / t 8 c b s X P Z 3 4 n i / 2 e e O W 2 v E 9 + + m z x e 3 0 5 E G o J 9 8 r k Y 9 F t B t U p A U f q k i N l G 4 N f 1 B F G v i f 7 u 9 9 S o t L 9 8 f 3 N n G o k 4 L 3 e 8 + J g 3 l v E 3 G d G N y m t Z M C 0 3 q P h r + / v 0 / q a n + T j n N S 8 J 4 v O i G 4 D X 6 e W t T m a H a j J r w V 6 D 6 f b G z e n / a N z f u z f U u d d 6 v m 7 z f L n r K 7 m Y r 9 m d 0 I + v 3 m 0 1 N l t 2 r + f l P q K b B b N X / P K b W t H 4 Z q y y T 4 T 7 5 9 + h N f n d 5 O u e z d q L x s J 6 H y U v f o 1 v A H l Z e B v 2 n I j o l v 0 9 r x 8 G 1 a O x a + T W v H w a b 1 7 q f k U + 1 9 u j N + e H A r P W X e e / i A 1 N T O z v j T T 2 + l p W 6 D n K e l T P P t B 3 t 7 9 w 8 I u 3 s b l 7 T 7 P L W x n z 5 3 b G z + f p P t q a x b N X + / 6 f Z U 1 q 2 a 9 y f 8 l i T t z / j t 3 u t P + e 0 6 9 F T a b Q b m q b T 3 w s / T b b f q p j / 3 t + r G Y n d v J 6 7 k b r m K e f / G V U z X Q a j g b r e K 6 e A P K T g L / 9 P 7 O w 8 + 3 d m n o G 3 T w C 3 z v + d 7 V g r s e 7 d S e r d q b W X A t q a o + u G D + / f 3 d 8 e Y 1 s E X r Q y 8 7 4 t W C G 6 F n 9 N 7 p j m a 3 a T q b g e 6 z y e 3 U 3 W 3 a 9 6 f 7 d u p u t s 1 f 7 9 Z d q r u F l T s z + x G 0 O 8 3 n 0 6 V 3 a 7 5 + 0 2 p 0 2 C 3 a / 6 e U 2 p b 7 4 a K 6 2 u s a t 7 f v 1 F 5 2 U 5 C 5 b X / n v A H l Z e B v / t w 7 8 H t 1 N Z t 3 3 C 8 b N 7 Y R F b H y r d p 7 T j Z Y r P z 6 f 1 7 4 9 1 N C D m W f o + X H G P f B i 9 P U W n z W y m q W 4 H u 8 8 Q t F d W t m v f n 9 5 a K 6 l b N 3 2 9 2 P U V 1 M x X 7 s 3 p L R X W b 5 p 6 i u l X z 9 5 t S T 1 H d q v l 7 T q l t v d d R V O + 5 o n n / x h V N 1 0 O o p W 6 3 o u n g D 2 o p A 3 / v 4 P 6 9 g / G n t 1 N U 7 / G S Y 2 f z 0 u 1 0 1 W 1 a O 2 Y 2 r X f 3 d z 7 9 9 P 7 4 Y N N S h 2 P r 9 3 n L c f d t M P O 0 l T a / l b a 6 F e g + b 9 x S W 9 2 q e X + S b 6 m t b t X 8 / e b X 0 1 Y 3 U 7 E / r b f U V r d p 7 m m r W z V / v y n 1 t N W t m r / n l N r W 9 3 x t 9 e n X W N P 8 d O d G f W X 7 C P T V p 4 r g r e E P 6 i s D / / 7 9 T w 9 u p a v M C 5 / e f / B g f D t N Z V 7 Z 2 9 k b 3 9 u U C X f s b F 7 Z p R z 6 + P 6 m d x x P e + 8 8 / H T 8 4 F a 5 e v f S 7 o O d h 5 t 7 c i x + e + w 8 x W V e o m T b Z i p 4 C s y 8 Q + t p O w 8 3 U t t T Y x a 7 G 9 / p s 8 H N 7 / Q 5 4 Z Y K 7 f Z d 9 N n g l l r t 9 i T u M 8 D + w W Z 2 9 j S c n Z W b 3 v H U 3 G 1 G 4 q m 5 2 2 L l q b p b 9 d C f 8 R v H b d / Y D 9 X d e y 1 N f r p 7 o 6 a z 4 E N N t / u e 8 A c 1 n Y G / i T 6 O u W / T 2 v H 2 b V o 7 r r 5 N a 8 f U p j X J z b 2 H 4 9 3 b q b X 3 e M n x 9 W 3 w 8 h S a N k e z G x X Z r U D 3 e W F j 8 / e b W k 9 x 3 a r 5 + 0 2 u p 7 N u 1 b w 3 v R u o 2 J / V j a D f b z 4 9 F X W r 5 u 8 3 p Z 5 6 u l X z 9 5 x S 2 / p + q J r e M z P / 6 b 0 b l Z P t I F R O 9 9 4 T / q B y U v j D X O C 4 9 8 a m j n N v b O q 4 1 g z w d j r J t N 7 d P b i 3 0 X o 4 3 r 3 1 K 4 5 / b 4 O T p 4 9 u H K 2 n j 2 4 F u j / 9 t 9 R H t 2 r e m 9 H b 6 q N b N X + / m f X 0 0 c 1 U 7 M / p L f X R b Z p 7 + u h W z d 9 v S j 1 9 d K v m 7 z m l t v W n o T 7 6 G g n 3 T / d v 1 E m 2 k 1 A n 7 b 8 n / E G d Z O D v 7 d 5 / 8 O m G Y T t G v u 0 b j p f N G 5 v I 6 l j 5 N q 0 d J 5 v W u w d 7 + 5 + O D 2 6 l p W 7 / j m P r 2 2 D l q S l t f i s 1 d S v Q f Y 6 4 p Z q 6 V f P + 7 N 5 S T d 2 q + f v N r a e m b q Z i f 1 J v q a Z u 0 9 x T U 7 d q / n 5 T 6 q m p W z V / z y m 1 r R 9 0 1 N R 7 p t s / v X + j j r I 9 h D r q / n v C H 9 R R C n + Y D R z 7 3 t j U s e 6 N T R 3 b m g H e T i W Z 1 v v 7 9 3 Z v 6 T f d + h X H w L f B y V N I N 4 7 W U 0 i 3 A t 2 f / l s q p F s 1 7 8 3 o b R X S r Z q / 3 8 x 6 C u l m K v b n 9 J Y K 6 T b N P Y V 0 q + b v N 6 W e Q r p V 8 / e c U t v 6 w F d I D 7 5 G R v 3 B z o 0 q y f Y R q K Q H i u C t 4 Q + q J A N / d 5 9 S y u M H B x s G 7 l j Z v L T 3 4 N M H e z v j j b l 4 x 9 H m r X u 7 O w 8 / J f V g l j F v 0 F n 2 t X s P 9 n Y P d s f 7 m 1 5 z H G 4 H t r t 7 b 3 e f F i r v b c L S c b t 5 7 8 H D h / d 3 7 u 2 M 7 + / f S o u 9 F 5 a e O r O k v E c r F P f G J o F 4 k 2 Y z r 2 3 v f b p 3 f / / h + O H t N J z t 7 R Z v 9 X n k N m / 1 m W S j L P W 5 4 z a d 9 J l j Y y d 9 p r g V t f s 8 c W + X I p G d B + O D T T z h q U I 7 S 7 d 6 0 V O K t x m W p x T f C z 9 P O 9 6 q m z 4 f 3 K o b h 9 3 D U E 2 + V y b + w e 6 N G t K C D z W k T u 2 t 4 Q 9 q S I U / b C o d y 9 / Y 1 L H 7 j U 0 d j 5 s B b p o l x + K m 9 d 7 u g 4 P d / b 1 7 4 4 e b N J H j 8 f d 7 z / H 4 b b D z 9 N 2 N 4 / a U 3 K 1 A 9 x l h Y / P e v N 7 W f b t V 8 9 7 8 3 t Z 9 u 1 X z 3 i R v o G J / Y j e C f r / 5 9 D T V r Z q / 3 5 R 6 C u p W z d 9 z S k 3 r / Z 1 Q L 5 k 0 / M m 3 T 3 / i q 9 P b a Y + 9 m 7 S T 6 y T U T h o a 3 R p + T D v 5 8 G + h n W 5 u a r n 3 5 q a W c + 0 A b 6 W d b O t 7 + w f I r G + 0 I J a F 7 V u 7 D / Z 3 H u 6 O H 9 4 q s L w V Z k 4 z 2 e b b t + n F a a n b d d N n i N t p q d s 1 7 8 3 x L b X U 7 Z q / 3 1 w 7 L f W e F P 1 6 0 + 0 0 1 / t 1 5 1 T Y r U b l V N h 7 Y e d U 2 e 1 6 6 c / 7 b X p x u O 3 G V d o t V x Y f 3 L i y 6 D o I 1 d n t V h Y d / E F 1 Z u D f v / e Q A r D x 7 T L 5 7 / W W Y 3 7 z 1 q Y Z c b x / m 9 a O 9 U 3 r 3 f u 0 u P D g 0 4 e 3 j D 7 f 8 z 3 H + 7 f B z t N 1 2 n x Y v 3 v 6 7 V a g + x x y S / 1 2 q + b 9 m b 6 l f r t V 8 / e b Y 0 + / 3 U z F / s R u B P 1 + 8 + m p s F s 1 f 7 8 p 9 V T X r Z q / 5 5 T a 1 n u h y v o a i 4 8 P 9 m 9 U W 7 a T U G 3 t v y f 8 Q b V l 4 O / u f 3 p w f 3 w 7 p X X 7 d x w / m 3 d u p 7 J u 0 9 p x s 2 l 9 8 O m n 9 8 Y 7 S p o b 1 N X t 3 3 G s f R u s P F W l z W + l q m 4 F u s 8 V t 1 R V t 2 r e n 9 9 b q q p b N X + / u f V U 1 c 1 U 7 E / q L V X V b Z p 7 q u p W z d 9 v S j 1 V d a v m 7 z m l t v W 9 j q p 6 z w X I B z c u Q L o e Q j 1 1 u w V I B 3 9 Q T x n 4 e z s 7 9 x + O w U 6 D w 3 a M / B 4 v O X Y 2 L 9 1 O U 9 2 m t W N m i 9 D + 7 v 4 D S r V v w s i x 9 f u 8 5 b j 7 N p h 5 2 k q b 3 0 p b 3 Q p 0 n z d u q a 1 u 1 b w / y b f U V r d q / n 7 z 6 2 m r m 6 n Y n 9 Z b a q v b N P e 0 1 a 2 a v 9 + U e t r q V s 3 f c 0 p t 6 3 1 f W x 1 8 j d X J g 5 0 b 9 Z X t I 9 B X B 4 r g r e E P 6 i s D f + 8 + k k W 7 t 1 J X 5 p 1 7 D + / t j f d v p a z M K / t 7 Y 8 z O 4 B u O o c 0 b u / c e 7 m x G z H G 1 H c z O w c N P D / b G x v 2 8 Q W 9 Z 5 H b v f 7 q 7 d 3 + 8 d 3 A r x X V 7 D D 3 1 5 V D 8 9 M H B v X v j e x t X M f u 8 t r 1 L i b 3 x / Y e 3 0 2 g O x R t f 6 r P E L V 7 q 8 8 Q t t d t 7 9 N F n i V v q u P c j d Z 8 d t u n F T / e J Y z c u U H u a z + v w 5 v c 8 F f h + 7 / V 5 4 p a 6 8 P 2 6 6 f P D 7 Z T i / V A p v t d a J I T o B n 1 o w Y f 6 U K X v 1 v A H 9 a G B v 2 m w j u t v 0 9 o x / W 1 a O 2 6 / T W v H 7 K Y 1 6 b 2 d 8 c N P b 6 X 3 b v + O 4 / H b Y O W p O 2 2 O Z j e q u F u B 7 n P C x u b v N 7 G e P r t V 8 / e b W k + T 3 a p 5 b 3 I 3 U L E / q R t B v 9 9 8 e q r q V s 3 f b 0 o 9 D X W r 5 u 8 5 p b b 1 p 6 F i e s / M / c G 9 G 1 W T 7 S B U T f f e E / 6 g a l L 4 w 1 z g u P f G p o 5 z b 2 z q u N Y M 8 H Y a y b Q + 2 N k 7 2 N v b G e 9 s 8 v s c / 7 7 X a 4 6 P b 4 O b p 5 d u H L W n l 2 4 F u s 8 G t 9 R L t 2 r e m 9 n b 6 q V b N X + / G f b 0 0 s 1 U 7 M / r L f X S b Z p 7 e u l W z d 9 v S v f 2 H r 9 X 8 / e c U t v 6 Q a i X v k Z 6 H m v 8 N + g m 2 0 m o m / b f E / 6 g b j L w 6 Y X 9 n f H B h o E 7 V r 7 9 O 4 6 f z T u b S O v Y + T a t H T e b 1 g 8 O d u + P D W l u 0 F a 3 f 8 e x 9 m 2 w 8 l S V N r + V q r o V 6 D 5 X 3 F J V 3 a p 5 f 3 5 v q a p u 1 f z 9 5 t Z T V T d T s T + p t 1 R V t 2 n u q a p b N X + / K f V c q F s 1 f 8 8 p t a 0 P O q r q P d P z B / d v 1 F O 2 h 1 B P a e R + a / i D e s r A 3 3 2 w O Q / l u P i 2 b z h G N m / c T k f d p r V j Y 9 N 6 b + f h w c O 9 B + O H D 2 6 l p t 7 r N c f Z t 8 H N 0 1 T a / F a a 6 l a g + 3 x x S 0 1 1 q + b 9 O d 7 Y / P 0 m 2 N N U t 2 r e m + J b a a p b g X 6 / + f Q 0 1 a 2 a v 9 + U e p r q V s 3 f c 0 p t 6 4 e + p n r 4 N V L z D 3 d u 1 F W 2 j 0 B X P V Q E b w 1 / U F c p / G F G c A x 8 Y 1 P H v D c 2 d Y x r B r i J 5 I 5 v T e v d + / f G m K 3 B V x z 7 3 v o V x 8 K 3 w c l T S T e O 1 l N J t w L d n / 6 N z X u z e V u V d K v m v V m 9 r U q 6 V f P e 1 N 5 K J d 0 K 9 P v N p 6 e S b t X 8 / a b U U 0 m 3 a v 6 e U 2 p a 3 9 8 J V d J 7 J c Y f 7 t 6 k j R z 4 U B v t v i f 8 I W 1 k 4 W 8 a r G X f W 7 W 2 3 H u r 1 p Z 5 b 9 X a 8 q 5 t v X d v Z 7 M D Z 1 n 4 9 q 9 Y N r 4 V T k 4 t m e a 3 U U u 3 A 9 3 n g 4 3 N 3 2 9 a n V q 6 X f P 3 m 1 i n l m 7 X v D e 1 t 1 F L t w P 9 f v P p 1 N L t m r / f l D q 1 d L v m 7 z m l t v V u q J b e M y 3 + 8 M a 0 u O s g V E y 3 S 4 s 7 + I O K S e E P c 4 H j 3 h u b O s 6 9 s a n j W j P A T f R 2 T G t a f / r p G J w / + I Z j 3 d u + 4 b j 3 N h h 5 2 u j G s X r a 6 F a g + 5 N / S 2 1 0 q + a 9 + b y t N r p V 8 / e b V 0 8 b 3 U z F / p T e U h v d p r m n j W 7 V / P 2 m 1 N N G t 2 r + n l N q W + + F 2 u h r J M M f 7 t + o k W w n o U b a f 0 / 4 g x p J 4 d 9 G I 9 3 Y 1 H H v j U 0 d 5 5 o B 3 k 4 j m d a 7 n + 6 P d 2 6 n k m 7 9 i u P h 2 + D k 6 a Q b R + v p p F u B 7 k / / L X X S r Z r 3 Z v S 2 O u l W z d 9 v Z j 2 d d D M V + 3 N 6 S 5 1 0 m + a e T r p V 8 / e b U k 8 n 3 a r 5 e 0 6 p b X 2 v o 5 P e M + v 9 8 M a s t + s h V E i 3 y 3 o 7 + I M K S e H f R i H d 2 N S x 7 o 1 N H d u a A d 5 O I Z n W D z 4 d P 9 i / l T 6 6 7 R u O f W + D k a e O b h y r p 4 5 u B b o / + b d U R 7 d q 3 p v P 2 6 q j W z V / v 3 n 1 1 N H N V O x P 6 S 3 V 0 W 2 a e + r o V s 1 3 3 6 / 5 + 0 2 p p 4 5 u 0 9 y x 1 7 6 n j v Z 3 3 j + 1 v b + z c 6 N C s n 3 4 C o l f f C / 4 g w r J w N / f f b A / / v T h h n E 7 T j b v f H q w t z M + 2 P C K 4 2 b z y t 6 9 + 5 / u j f f v b X j J 8 b R 9 6 d O 9 n Y M x / h x 8 y X G 2 e e n e / f 2 D n f G 9 3 V t p L f f S w 7 3 d 8 d 6 m M T l G f w / 0 P P 3 l 3 v p 0 / + H 4 / i b 8 P E 1 m 3 t r e + 3 S f g s + N b / W Z 5 x Y v 9 T n i F i / 1 W e K W y u 0 9 + u i z w y 1 V 3 P s Q u s 8 J 2 / v 7 O 5 s X Z z 2 V Z 1 6 6 8 R 1 P 7 9 3 + n T 4 X 3 F L 5 3 b 6 L / u z f T g P e D z X g + 2 T S 9 3 d 2 b 1 R + F n y o / H Q q b w 1 / U P k Z + A 8 2 a j H H 5 b d r 7 9 j c t N 9 E T M f f t 2 n t 2 N u 0 v r d 7 Q B p 1 d 9 P 0 O u 5 + j 5 c c d 9 8 G L 0 / B a X M 0 u 1 G t 3 Q p 0 n x 8 2 N u 9 P 7 8 b m / d m 9 p Q 6 7 V f P 3 m 1 1 P e 9 1 M x f 6 s b g T 9 f v P p K a p b N X + / K f V 0 1 K 2 a v + e U 2 t a f d t T T e + e w 9 n f 2 b 1 R S t p N Q S e 2 / J / x B J W X g U / t 7 n 4 4 V 7 A 2 K 6 v b v O H 4 2 7 9 x O W d 2 m t e N m 0 3 r 3 3 u 7 9 / Y 3 4 O K 6 + / T u O t W + D l a e q t P m t V N W t Q P e 5 4 p a q 6 l b N + / N 7 S 1 V 1 q + b v N 7 e e q r q Z i v 1 J v a W q u k 1 z T 1 X d q v n 7 T a m n q m 7 V / D 2 n 1 L Z + 0 F F V 7 5 f a 2 t + x q a d B P W V 7 C P X U / f e E P 6 i n D H x a H H t 4 c C s t d d s 3 H C O b N 2 6 n o 2 7 T 2 r G x a X 1 v Z + / e 5 p j E s f P t 3 3 E 8 f R u s P B 2 l z W + l o 2 4 F u s 8 R t 9 R R t 2 r e n 9 1 b 6 q h b N X + / u f V 0 1 M 1 U 7 E / q L X X U b Z p 7 O u p W z d 9 v S j 0 d d a v m 7 z m l t v W B r 6 N 2 v 0 a + C 2 x 9 g 5 a y f Q R a a l c R v D X 8 Q S 1 l 4 O 8 / 3 H 1 4 y 6 j P v P K A c l f j h 5 / e S l G Z d 3 Z 3 H l B e 7 f 6 m j h x P 2 5 f u 7 e 3 u b k 6 f O 8 4 2 L + 0 d P L i / t 7 N D n t L D W 6 k u 8 9 7 9 + w 8 + 3 b n / Y G 8 j M R y 3 v w e O n h K z S D 7 Y 2 d t 9 Q H k 5 Y 3 Z u 0 m j m x e 2 9 / X s P x p D / 4 b f 6 T H S L l / q c c Y u X + r y x U Y D 6 b H G L P v p s s b G P C E P c j t Z 9 j t i m N 3 f I f z n Y n D 3 1 V K D X 5 S 1 e 9 J T h e 7 7 Y 5 4 t N N P H U 4 n v 2 0 2 e K j b S 3 r R + G C v K 9 0 m F g + h t 0 o w U f 6 s b b p c M c / E H d a O A T d 2 5 i T c f 9 t 3 z B 8 b 9 5 Y R M 5 H e P f p r X j e 9 O a f L H d n d 0 H O + O 9 T c r J s f 3 7 v e e Y / j b Y e S p Q m 6 P Z j V r v V q D 7 f L G x e X + a N z b v T / I t V d y t m r / f H H v K 7 W Y q 9 i d 2 I + j 3 m 0 9 P d d 2 q + f t N q a e w b t X 8 P a f U t P 5 0 J 1 R T p 6 K l 0 p N v n / 7 E V 6 e 3 U y Z 7 N y k r 1 0 m o r P b e E / 6 Q s j L w h z n B c v D N T S 3 3 3 t z U c q 4 d 4 K 2 0 k 2 1 9 7 8 H B v f s H 9 / b G 9 5 U S m 7 W T f W / 3 4 O E D W t C 8 f 0 v t d C v s n H a y z b d 3 D w 4 + 3 d 3 Z e 7 B 5 E d T p q t t 1 1 G e L 2 + k q 2 / x 2 u u p 2 z X u z f U t d d b v m / S m / L U 1 j k 3 6 r F / u z f s s u n T q 7 1 d i c O n t P D J 1 i u 1 0 / / f m / X T 8 O v 9 2 4 i n v z 6 n b q 5 9 6 N 6 s 1 2 E K q 3 e + 8 J f 1 C 9 K f z b q L c b m z q G v 7 G p Y 3 Y z w E 0 T 5 X j d t N 7 b u 3 9 v 5 + G n D 8 f 7 t 1 N v 7 / e e Y / T b Y O e p t x v H 7 S m 0 W 4 H u M 8 I t F d q t m v f m 9 r Y K 7 V b N 3 2 + O P Y V 2 M x X 7 E 7 s R 9 P v N p 6 e t b t X 8 / a b U 0 1 G 3 a v 6 e U 2 p b 7 4 W a 6 W u s S Y I 9 b t B O t p N Q O + 2 / J / x B 7 W T g 7 z 7 c o Y B J w d 6 g p m 7 / j u N n 8 8 4 m 0 j p 2 v k 1 r x 8 0 W n 7 3 7 D z f j 4 7 j 6 9 u 8 4 1 r 4 N V p 6 q 0 u a 3 U l W 3 A t 3 n i l u q q l s 1 7 8 / v L V X V r Z q / 3 9 x 6 q u p m K v Y n 9 Z a q 6 j b N P V V 1 q + b v N 6 W e q r p V 8 / e c U t v 6 X k d V v e e a J C b 7 B j 1 l e w j 1 1 O 3 W J B 3 8 Q T 1 l 4 N + / d 2 9 8 c D s 1 d e t X H C u b V 2 6 n p W 7 T 2 j G y a b 3 3 Y H + X 8 p Z 7 m 3 K 5 j q X f 5 y 3 H 2 b f B z N N U 2 v x W m u p W o P t 8 c U t N d a v m / S m + p a a 6 V f P 3 m 1 9 P U 9 1 M x f 6 0 3 l J T 3 a a 5 p 6 l u 1 f z 9 p t T T V L d q / p 5 T a l v v + 5 p q 7 2 u s T I I M N + g q 2 0 e g q / Y U w V v D H 9 R V B v 6 9 + 1 h m v J 2 y M u / s P 9 z 5 d O M C n u N m 8 8 r u H q 1 L b t I L j q P t K / u 0 l r m / e y u 9 Z d 6 h s O 5 T y n b t f H o r v W V 7 2 t l / S C s W 4 7 2 H t 1 J c t 0 f Q U 1 8 W w 7 0 d C j 7 H + H v 4 t T 6 r b e / e 2 6 c V 5 E 3 j 8 h S a x f D m l / o c c Y u X + i x x S + X 2 H n 3 0 G e K W K u 6 9 K N 1 n h u 3 7 u w c P H j w c Q z s M v 9 f n h t u 8 5 q m / 9 3 q t z w + 3 V I P v 1 U u f F W 6 n D u + H 6 v C 9 1 i E x t B s 0 o Q U f a k K V u 1 v D H 9 S E B v 6 9 / d 3 b B p e 3 f s V x v n n l d l 7 b b V o 7 j j e t k d R 6 u D f + d J N q d g z / P m 8 5 d r 8 N Z p 7 a 0 + Z o d q O u u x X o P l 9 s b N 6 f 5 o 3 N + 1 N 8 S 8 V 2 q + b v N 7 + e S r u Z i v 1 p 3 Q j 6 / e b T U 1 u 3 a v 5 + U + q p q 1 s 1 f 8 8 p t a 0 / D d X U e y b p 0 e 0 N i s p 2 E C o q 1 b m 3 h j + o q B T + M B c 4 7 r 2 x q e P c G 5 s 6 r j U D v J 1 W M q 3 J u 3 p w / 8 H 9 2 + b o 3 + s 1 x 8 e 3 w c 3 T S z e O 2 t N L t w L d Z 4 N b 6 q V b N e / N 7 G 3 1 0 q 2 a v 9 8 M e 3 r p Z i r 2 5 / W W e u k 2 z T 2 9 d K v m 7 z e l n l 6 6 V f P 3 n F L b + k G o l 7 5 G i h 6 L 9 D f o J t t J q J v 2 3 x P + o G 4 y 8 H f 3 d / c O N s a G j p V v / 4 7 j Z / P O J t I 6 d r 5 N a 8 f N p v X D v Q c P x v t K m h u 0 1 e 3 f c a x 9 G 6 w 8 V a X N b 6 W q b g W 6 z x W 3 V F W 3 a t 6 f 3 1 u q q l s 1 f 7 + 5 9 V T V z V T s T + o t V d V t m n u q 6 l b N 3 2 9 K P V V 1 q + b v O a W 2 9 U F H V b 1 n i h 6 J 4 R v 0 l O 0 h 1 F O a O b o 1 / E E 9 Z e D v 7 m 8 O e B w X 3 / Y N x 8 j m j d v p q N u 0 d m x s s d l 9 u P d w / P D T W y m p 9 3 j J c f V t 8 P K 0 l D a / l Z a 6 F e g + T 2 x s 3 p / i j c 3 7 8 7 u x + f t N r q e l b t W 8 N 7 2 3 0 l K 3 A v 1 + 8 + l p q V s 1 f 7 8 p 9 b T U r Z q / 5 5 T a 1 g 9 9 L X X v a 6 T n 7 + 3 c q K d s H 4 G e u q c I 3 h r + o J 4 y 8 D 8 9 u G H l 3 z G y e W V 3 b 4 + S q 5 u E 3 H G z f Y f e 2 N 3 U j e N o 8 8 r 9 + z s H 4 3 u b 3 n F s b b t 5 i I 4 e b n r J 8 b d 5 a W 9 n 5 / 7 + + M G m l x y X 3 x 4 7 T 3 d Z Y u / v 3 t t M B k + J m Z e 2 7 9 + 7 T 5 n V 2 6 k y i 9 6 N 7 / R Z 4 e Z 3 + r x w S 6 V 2 + y 7 6 f H B L z f Y e N O 6 z w P b D n f 2 N A Y K n 5 8 w 7 N 7 3 i 6 b p b v 9 K f / V v q u 1 v 3 0 J / 2 W + m 8 B z u h z n u v H P y 9 3 Z v U n Q M f q r v d 9 4 Q / p O 4 s / E 2 D t d x 9 q 9 a W u W / V 2 r L 1 r V p b r r a t a T 1 r f 2 + z j r J c / T 4 v W b a + F V 5 O p Z n m a H a T J r s d 6 D 4 v b G z + f l P r N N f t m r / f 5 D q l d b v m v e n d Q M X + r G 4 E / X 7 z 6 V T U 7 Z q / 3 5 Q 6 9 X S 7 5 u 8 5 p b b 1 b k c 1 v X 9 + C 3 b 8 B g V l O w k V l M r W r e E P K i g D / 9 6 9 g 7 3 7 4 w e 3 U l O 3 f 8 f x s 3 l n E 2 k d O 9 + m t e N m 0 3 r 3 w a c P D j Y 6 l Y 6 r b / + O Y + 3 b Y O W p K m 1 + K 1 V 1 K 9 B 9 r r i l q r p V 8 / 7 8 3 l J V 3 a r 5 + 8 2 t p 6 p u p m J / U m + p q m 7 T 3 F N V t 2 r + f l P q q a p b N X / P K b W t 9 z q q 6 j 3 z W / d u z G + 5 H k I 9 d b v 8 l o M / q K c M / H s P 7 2 0 M A R 0 X 3 / Y N x 8 j m j d v p q N u 0 d m x s s f l 0 d 3 M k 4 r j 5 1 q 8 4 j r 4 N T p 6 G 0 u a 3 0 l C 3 A t 3 n h 1 t q q F s 1 7 8 / t L T X U r Z q / 3 8 x 6 G u p m K v b n 9 J Y a 6 j b N P Q 1 1 q + b v N 6 W e h r p V 8 / e c U t v 6 n q + h 9 r 9 G b m t / 5 0 Y d Z f s I d N S + I n h r + I M 6 y s D f v 7 9 z f 3 z / 4 F Z a y r z z 6 c H e z s Y I 2 n G z e W X 3 0 0 / 3 H 4 w P 9 m + l r e x L B w 8 / v T f e 2 a Q Q H W e b l / Y O 7 u 3 u 3 D I p 7 7 1 0 f / d g M x k c o 7 8 H e p 7 + s m 8 9 3 H 2 w s 3 k V w 9 N k 5 q 3 t v X u 7 9 8 d g 8 O G 3 + s x z i 5 f 6 H H G L l / o s c U v l 9 h 5 9 9 N n h l i r u f Q j d 5 4 T t v Z 0 H 4 0 8 3 Y t b n h B v f 8 f T e 7 d / p c 8 E t l d / t u + j P / u 0 0 4 H 6 o A d 8 r 0 7 W / e 6 P y Y / B 9 5 b f 7 n v A H l Z + B v 2 m w j s d v 0 9 q x + G 1 a O 9 6 + T W v H 2 q b 1 3 v 7 O p 5 T D V H r c o O P e 4 y X H 2 b f B y 1 N u 2 h z N b l R p t w L d 5 4 W N z d 9 v a j 3 9 d a v m 7 z e 5 n u a 6 V f P e 9 G 6 g Y n 9 W N 4 J + v / n 0 l N S t m r / f l H r 6 6 V b N 3 3 N K b e v 7 H d X 0 / p m u / f 0 b F Z T t J F R Q + + 8 J f 1 B B G f h 7 e z s P N x k w x 8 i 3 f c P x s n n j d o r q N q 0 d J 5 v W G P H 9 j R G t 4 + j b v + P Y + j Z Y e W p K m 9 9 K T d 0 K d J 8 j b q m m b t W 8 P 7 u 3 V F O 3 a v 5 + c + u p q Z u p 2 J / U W 6 q p 2 z T 3 1 N S t m r / f l H p q 6 l b N 3 3 N K b e t P O 2 r q P b N c + z Y L N a i j b A + h j r r / n v A H d Z S B / 2 D v Y I w / B g f t 2 P j W r z h W N q / c T k v d p r V j Z N P 6 3 s 4 + B Q q 3 8 6 Z u / 4 7 j 6 t t g 5 W k p b X 4 r L X U r 0 H 2 e u K W W u l X z / v T e U k v d q v n 7 z a 2 n p W 6 m Y n 9 S b 6 m l b t P c 0 1 K 3 a v 5 + U + p p q V s 1 f 8 8 p t a 0 f + F r q / t f I d N 3 f u V F P 2 T 4 C P X V f E b w 1 / E E 9 Z e A f 3 K O s 1 f 6 t 9 J R 5 5 c G 9 n Y N b a S n z w t 7 O z s 7 D h 5 u D b s f R 5 q 3 d h w 9 3 D h 5 s z o c 4 x j Z v f X q w + + n 9 3 d 1 P x 5 / e u 5 X m s r 3 t P d z f O a A w e f x w E z U c u 7 8 P m p 4 a s 3 j u 7 u / v 7 e / u j e 9 v w t P T a b a / H X p p E 4 q e Y j P v b N / 8 U p 8 z b q n e b o 9 X n z F u q e N u 3 0 W E H 2 5 H 5 z 5 D b H + 6 u 7 d / 7 9 7 e / f G 9 T f b M U 4 C u y 9 u 8 6 K n C 9 3 y x z x O 3 V I r v 2 c 9 7 s o R t f R C q x / d K g 9 2 / O Q 1 m w Y e a 8 X Z p M A d / U D M a + E S j T 2 + l F 2 / 5 g m N / 8 8 I m c j r u v 0 1 r x / e m N e m z B w 8 + P T g Y 7 2 3 C y b H 9 + 7 3 n m P 4 2 2 H n q T 5 u j 2 Y 0 a 7 1 a g + 3 y x s X l / m m + p 5 m 7 V / P 2 m 2 N N w t 2 r e m + Q N V O x P 7 E b Q 7 z e f n u q 6 V f P 3 m 1 J P Y d 2 q + X t O q W 3 9 M F R T p 6 K l 0 p N v n / 7 E V 6 e 3 U y Z 7 N y o r 2 0 m o r N R Z u D X 8 Q W V l 4 O 8 e 3 L 9 3 s L v Z y D l m f p + 3 H E + b t z a R 1 7 H 0 b V o 7 j j a t D z 7 d 3 9 n d f / D p G J 8 M v u e 4 2 7 y 3 T 8 u b B z u 0 m L r R 7 X N s f h v s P L V l m m / v 3 9 t 7 e G 9 / 7 + E Y w j v 8 Z p / L b q n E b t W 8 P / 2 3 V G K 3 a v 5 + E + 4 p s V s 1 7 0 / 5 b W k a m / R b v d i f 9 V t 2 6 e m 5 2 4 z N 0 3 P v h 6 G n 8 W 7 V T 3 / + b 9 e P x e 9 g J 6 7 7 3 r y 6 n V 6 6 d 5 P e c x 2 E e k + F 8 9 b w h / S e g T 9 s A S 3 T 3 9 z U M v z N T S 2 z 2 w H e S r 3 Z 1 p / u 3 X + w / / D B 7 u Z 5 s p z + n u 9 Z R r 8 V d k 6 9 3 T x u p 9 B u B 7 r P C L d T a L d r 3 p v b W y q 0 2 z V / v z l 2 C u 0 W V O x P 7 E b Q s f m 8 j b a 6 F X S n r W 7 X / P 2 m 1 O m o W z V 3 u O y G m u l r L F T e 3 7 9 R O 9 l O Q u 2 0 / 5 7 w B 7 W T g b 9 7 s P N w k 8 A 6 R r 7 t G 4 6 X z R u b y O p Y + T a t H S d b b O 4 f U G o L 0 j z 4 k m P p 9 3 j J M f Z t 8 P I U l T a / l a K 6 F e g + T 9 x S U d 2 q e X 9 + b 6 m o b t X 8 / W b X U 1 Q 3 U 7 E / q 7 d U V L d p 7 i m q W z V / v y n 1 F N W t m r / n l N r W e x 1 F 9 Z 5 L l f d v X K p 0 P Y R a 6 n Z L l Q 7 + o J Y y 8 A / u 3 X 8 4 R v A 8 O G r H x 7 d / x z G z e e d 2 m u o 2 r R 0 r m 9 a f 7 u 2 S g 3 R / d 7 y / e y t l 9 X 7 v O f 6 + D X a e v t L m t 9 J X t w L d 5 4 5 b 6 q t b N e / P 8 y 3 1 1 a 2 a v 9 8 c e / r q Z i r 2 J / a W + u o 2 z T 1 9 d a v m 7 z e l n r 6 6 V f P 3 n F L b + p 6 v r z 7 9 G o u W n + 7 c q L F s H 4 H G + l Q R v D X 8 Q Y 1 l 4 G 8 a s e N h 0 3 p 3 7 9 7 4 4 a 1 S X L f q w L H x r T t w r G x e + X S f 1 h o f 3 N 8 b P 7 i d v v L e e 7 D 3 6 c P 7 4 4 e 3 U l e 3 x t D T W e a d v Y O d T 2 / w 4 z z t Z d 7 a v r m r P r / c / E 6 f B 2 5 + p 8 8 J t 9 R m t + + i z w u 3 V G n v Q + Q + F 2 z v P X i 4 f 2 + 8 u 4 k J P C V n O 7 v 5 L U / X v c 9 b f T 6 4 p c p 7 n 0 7 e T w 8 4 l P Z D z f d e 6 5 G f 7 t 6 o 9 C z 4 U O m p X N 8 a / u 8 1 p P Q M / N s p v d u 0 d p x + m 9 a O x 2 / T 2 r G 4 a U 0 r i p / u P d z d 2 R n f 2 z S 9 j s v f 8 0 X H 5 7 f B z 1 N 0 2 h z N b l R v t w L d 5 4 m N z d 9 v i j 1 1 d q v m 7 z f J n i a 7 V f P e N G + g Y n 9 m N 4 J + v / n 0 F N a t m r / f l H q a 6 l b N 3 3 N K b e v 7 o Y p 6 z 3 w 8 1 r x u U F K 2 g 1 B J q X G 7 N f x B J a X w h 7 n A c e + N T R 3 n 3 t j U c a 0 Z 4 O 1 0 k 2 k N F f P g w e 7 9 / T E m b P B F x 8 H v + a L j 5 d v g 5 + m m G 0 f u 6 a Z b g e 6 z w i 1 1 0 6 2 a 9 2 b 3 t r r p V s 3 f b 5 Y 9 3 X Q z F f s z e 0 v d d J v m n m 6 6 V f P 3 m 1 J P N 9 2 q + X t O q W 3 9 a a i b v k Z G / t P 9 G / W T 7 S T U T y p b t 4 Y / q J 8 M / L 3 9 B 2 P 8 M T h u x 8 m 3 f s V x s 3 l l E 2 E d M 9 + m t e N l 0 / o h r f S O d 2 6 n r W 7 / j m P s 2 2 D l K S p t f i t F d S v Q f Z 6 4 p a K 6 V f P + 9 N 5 S U d 2 q + f v N r a e o b q Z i f 1 J v q a h u 0 9 x T V L d q / n 5 T 6 i m q W z V / z y m 1 r R 9 0 F N V 7 Z u Q / v X + j l r I 9 h F r q / n v C H 9 R S B v 6 m 8 T o O v k 1 r x 8 C 3 a e 3 4 9 z a t H f u a 1 n s P 9 3 f 2 b p u C f 4 + X H D f f B i 9 P O 2 n z W 2 m n W 4 H u 8 8 I t t d O t m t 9 i b v 3 m 7 z e 5 n n a 6 V f P e 9 N 5 K O 9 0 K 9 P v N p 6 e d b t X 8 / a b U 0 0 6 3 a v 6 e U 2 p b H / j a 6 c H X y L 8 / 2 L l R P 9 k + A v 3 0 Q B G 8 N f x B / W T g 7 9 2 j A H f 8 Q P X e D W r K v P T p w d 7 O + O B W u s q + 8 u n + p w 8 e H o w / 3 Z Q f d W z t X t t 7 + O D e / v j T B 7 f S X u a 1 h / t 7 h O P 9 8 Y N N r z l O t 8 S g F O 6 n + z v j 3 d t p s P d C 0 l N l F s v 7 + w / H O 5 v 6 8 n S a e W n 3 w c 6 n l M v e N G G e a j N v b d / m t T 5 3 3 F L F v Q 9 u f d a 4 p a Z 7 n 0 4 i H H E z r f v 8 Q B O 7 s 3 t w f / z p p 7 d T g Z b a t 3 r R U 4 a 3 I Y W n D N 8 L P 0 8 r 3 q q b P h f c q h u H 3 c N Q P b 5 X k h 5 r a D d o R g s + 1 I w 6 t b e G P 6 g Z D f x N R H K s f 5 v W j u V v 0 9 p x / G 1 a O 0 4 3 r X c f 7 t 7 f O b h 3 f 7 x / K 9 3 3 X q 8 5 V r 8 N b p 7 K 0 + Z o d q O m u x X o P j 9 s b P 5 + 0 + u p t l s 1 f 7 8 J 9 n T a r Z r 3 p n g D F f v z u h H 0 + 8 2 n p 7 B u 1 f z 9 p t T T U 7 d q / p 5 T a l o / 3 A n V 0 3 s m 6 B / c m K B 3 H Y Q K 6 n Y J e g d / S E E Z + M N c Y L n 3 5 q a W c 2 9 u a r n W D v B W e s m 2 v v / p z t 7 e / b 3 x 3 i Y P 0 P L v + 7 1 m + f h W u D m 9 d P O o n V 6 6 H e g + G 9 x O L 9 2 u e W 9 m b 6 m X b t f 8 / W b Y 6 a V b U L E / r x t B v 9 9 8 O r 1 0 u + b v N 6 V O L 9 2 u + X t O q W 2 9 G + q l r 5 G c f 7 B / o 2 6 y n Y S 6 a f 8 9 4 Q / q J g N / d / / T A 3 I Y N w z c s f L t 3 3 H 8 b N 7 Z R F r H z r d p 7 b j Z t D 6 4 / / B 2 q u q W L z i m v g 0 + n p L S 5 r d S U r c C 3 e e H W y q p W z X v z + w t l d S t m r / f r H p K 6 m Y q 9 m f 0 l k r q N s 0 9 J X W r 5 u 8 3 p Z 6 S u l X z 9 5 x S 2 3 q v o 6 T e M z G P P N M N G s r 2 E G q o 2 y X m H f x B D W X g 3 3 u 4 f / B g v H s r D X X 7 d x w z m 3 d u p 6 F u 0 9 q x s m n 9 4 P 6 D n c 1 R u W P p 2 7 / j + P o 2 W H l 6 S p v f S k / d C n S f K 2 6 p p 2 7 V v D + / t 9 R T t 2 r + f n P r 6 a m b q d i f 1 F v q q d s 0 9 / T U r Z q / 3 5 R 6 e u p W z d 9 z S m 3 r e 7 6 e O v g a K f q D n R s 1 l e 0 j 0 F Q H i u C t 4 Q 9 q K g N / d 3 / n Y O / h 7 q c P N q / 7 O 3 b 2 X i S F 9 e n B z u Y l O c f Y 9 s W D e w + w k L e p O 8 f f 5 q 1 7 O / f 2 d u + P D z b 1 5 d j c v L W 3 e / B g d + / h w a f j v Y e 3 U m T 2 x X s 7 e 5 / u 3 d t 9 M L 5 3 O 6 / r f f D 0 t J o l C q V A 9 + 7 v f z o + 2 E Q W T 8 W Z F 7 d 3 d x / e 3 7 0 3 v r d x e a D P V 7 d 6 L c I u t 3 m t z y y 3 1 H 3 v 1 U u f R 2 6 p A 9 + T 5 n 3 m I J p T w v / e v d 3 x z r 3 b 6 U b X 5 W 1 e 9 L T k e 7 7 Y 5 4 9 b 6 s v 3 7 K f P G L f T n P u h 5 n y v 7 D 1 E 6 g a l a c G H S l N l 8 d b w B 5 W m g b 9 3 s P v p / o O 9 g 4 M x l j E G x + 3 k 4 D 1 f d B J h X r y d o + e 1 H m z t 5 M C 0 3 t 9 5 c O / e w 5 2 H t I S 1 S d c 5 O X j P F 5 0 Y 3 A Y / T z l q c z S 7 U R / e C n S f U 2 7 p 8 t 2 q e X + 6 b 6 n 2 b t X 8 / W b Z U 3 c 3 U 7 E / s 7 d 0 + W 7 T 3 F N m t 2 r + f l P q q b B b N X / P K b W t 7 4 e K y + T 1 T 7 5 9 + h N f n d 5 O v e z d q L 5 s J 6 H 6 U t m 6 N f x B 9 W X g b x q y Y + L b t H Y 8 f J v W j o V v 0 9 p x s G m 9 d + / g / q f 7 + 7 u 3 z f K b 9 3 b 3 9 3 f 2 7 n 9 6 f / x g k x P o 2 P o 2 2 H l q y j T f f r h / / 9 7 B A 1 r k 3 O g V 9 J n q l j r r V s 3 f b 7 Y 9 n X W r 5 u 8 3 3 5 7 O u l X z / o z f k q T 9 K b / d e / 0 p v 1 2 H n k 6 7 z c A 8 n f Z e + H n K 7 V b d 9 O f + V t 0 4 7 D 6 N a 7 l b r l 4 e 3 L t R w 9 k O Q g 2 n 2 N 0 a / q C G M / D J z z o 4 u P f p v U 8 3 J 6 M c 9 7 / n i 0 4 O z I u 3 0 3 u 3 a e 2 k w L S + 9 / D B v Y c P 9 + 7 t j z 8 9 u J X i e 8 8 X n R j c B j 9 P 8 2 l z N L t R 2 d 0 K d J 9 T b q n s b t W 8 P 9 2 3 V H a 3 a v 5 + s + w p u 5 u p 2 J / Z j a D f b z 4 9 Z X a r 5 u 8 3 p Z 4 O u 1 X z 9 5 x S 2 / p B q L q + x g I n s g A 3 q C / b S a i + 9 t 8 T / q D 6 M v D 3 d v f v k 7 f y 6 a 1 U 1 3 u 8 5 D j a v H Q 7 t X W b 1 o 6 f T W t K 9 N 3 f u a 2 v 9 h 4 v O f a + D V 6 e u t L m t 1 J X t w L d 5 4 x b q q t b N e 9 P 8 S 3 V 1 a 2 a v 9 / s e u r q Z i r 2 Z / W W 6 u o 2 z T 1 1 d a v m 7 z e l n r q 6 V f P 3 n F L b + q C j r t 5 z q f P g / o 2 6 y v Y Q 6 q r 7 7 w l / U F c Z + L v 3 9 v f H 4 K b B U T s + v v 0 7 j p n N O 7 f T V L d p 7 V j Z 4 r O 3 8 2 D v I W W C P 9 2 / l b J 6 v / c c f 9 8 G O 0 9 f a f N b 6 a t b g e 5 z x y 3 1 1 a 2 a 9 + d 5 Y / P 3 m 2 J P X 9 2 q e W + S b 6 W v b g X 6 / e b T 0 1 e 3 a v 5 + U + r p q 1 s 1 f 8 8 p t a 0 f + v r q 4 d d Y 8 n y 4 c 6 P G s n 0 E G u u h I n h r + I M a y 8 B / 8 O B T W r S 8 l c I y r + z u 7 e 0 / H N 9 O Y d l 3 d u 6 N 9 1 X d 3 q C 1 z C v 7 9 x / u j T / d 9 I 5 j a 9 v N p 0 j A G 7 1 + g + K y L 9 2 / f / / T 8 Y N N W Q H H 5 b f H z t N d 9 i W a m v H 9 W y b E z E v b + / s H D 8 e b f E B P l d m e b n y n z w o 3 v 9 P n h V s q t d t 3 0 e e D W 2 q 2 9 6 B x n w X u 7 9 8 b 7 2 7 E q 8 8 B 2 z e + 5 G m 7 2 w z G 0 3 a 3 x s t T e b f q o j / r N 3 Z h s H q 4 s x P q v f d a s H y 4 e 4 P K 8 8 C H K m / 3 P e E P q D w H f x O B D I f f r r V h 8 N u 1 N q x 9 u 9 a G s 1 3 r 3 Z 1 P P 3 0 4 f n i b E P K 9 X j K s f T u 8 r F q z z d H s B m 1 2 S 9 B 9 X t j Y / P 2 m 1 m q v W z Z / v 8 m 1 i u u W z X v T u 4 G K / V n d C P r 9 5 t M q q V s 2 f 7 8 p t f r p l s 3 f c 0 p t 6 9 1 Q N X W S 9 T c q j 5 u S 9 V 4 H o X K 6 X b L e w R 9 U T g p / m A s c 9 9 7 Y 1 H H u j U 0 d 1 5 o B b q K 3 Y 1 r T e p d S V B s N u u P d W 7 / i + P c 2 O H n 6 6 M b R e v r o V q D 7 0 3 9 L f X S r 5 r 0 Z v a 0 + u l X z 9 5 t Z T x / d T M X + n N 5 S H 9 2 m u a e P b t X 8 / a b U 0 0 e 3 a v 6 e U 2 p b 7 4 X 6 6 G t k 4 B / u 3 6 i T b C e h T t p / T / i D O s n A v 3 f / H g V I B x s G 7 l j 5 9 u 8 4 f j b v b C K t Y + f b t H b c b F r v 7 V B s u B E f x 9 W 3 f 8 e x 9 m 2 w 8 l S V N r + V q r o V 6 D 5 X 3 F J V 3 a p 5 f 3 5 v q a p u 1 f z 9 5 t Z T V T d T s T + p t 1 R V t 2 n u q a p b N X + / K f V U 1 a 2 a v + e U 2 t b 3 O q r q P b P v D 2 / K v n s 9 h H r q d t l 3 B 3 9 Q T y n 8 Y T Z w 7 H t j U 8 e 6 N z Z 1 b G s G e D u V Z F o / e P B w f 7 x 3 m 1 z V + 7 z j W P g 2 W H k q 6 c b x e i r p V q D 7 D H B L l X S r 5 r 0 5 v a 1 K u l X z 9 5 t b T y X d T M X + p N 5 S J d 2 m u a e S b t X 8 / a b U U 0 m 3 a v 6 e U 2 p b 7 3 s q 6 d P 7 7 5 V o + v T + 7 o 3 6 y I L 3 9 R G / + F 7 w B / W R g X / / / u 6 m 8 T o O v u U L j o f N C / f u P d z Q 3 j H x 7 d o 7 L j b t N 2 H j + P g 2 r R 0 b 3 w 4 X T z H d 8 o U + + 9 x S O 9 2 q e X 9 2 b 6 m d b t W 8 P 7 O 3 1 E 6 3 a t 6 f 1 x t I + X 5 T 6 6 m o 2 z T 3 V N S t m r / f v H o q 6 l b N 3 3 N e b e v 7 o Y p 6 v 4 T T p 1 i f u E F J 2 Q 5 C J X X v P e E P K i k D / 3 Y a 6 j a t H R P f p r X j 4 d u 0 d i x s W u / u 0 s r l z q Z 3 H B f f / h 3 H y r f B y l N S 2 h z N b t R P t w L d 5 4 R b 6 q d b N X + / m f X 0 0 6 2 a v 9 / c e v r p Z i r 2 J / W W q u k 2 z T 3 V d K v m 7 z e l n m q 6 V f P 3 n F L b + l N f N X 2 a v j 5 + / v T L 9 O T N c f r k + M W t t M e n O z d q J 9 t H o J 0 + V Q R v D X 9 Q O x n 4 u 7 v 3 H 9 z 7 d I y / B 0 f u e N m + t X d v / 8 E Y G n 3 w J c f R 9 q V 7 u w 8 P 9 s b 3 N n X l G N u 8 t X d w / + G 9 8 b 1 N X T n 2 t l 0 9 2 H 9 4 s D + + v + k t x + j 2 r Y f 3 H x 5 Q T m 2 T 6 X b 8 / h 4 I e m r M v E V h 9 8 P 7 4 0 9 v 6 X B Z D H f u 3 a M F f i Q g h l / r M 9 H 2 r d 7 r M 8 c t N d x 7 Y d f n i 1 t q u v f q p c 8 S t y F 4 n y W 2 9 3 Z 3 d o h n N y U E P B 1 o e e L m t z x V + D 5 v 9 X n i l h r x f T p 5 T 0 6 w r R + E i v G 9 w s p P b w 4 r L f h Q J 9 4 u r H T w B 3 W i g b / 3 6 c H O w 9 3 x z s G t d O L 7 v O W Y 3 7 y 1 i b C O 9 2 / T 2 r G 8 x e j h Q y h c / D 3 4 l m P 5 9 3 n L c f x t M P P U n z Z H s x u V 3 q 1 A 9 7 n j l l 7 c r Z r 3 Z / m W X t y t m r / f / H o 6 7 W Y q 9 q f 1 l l 7 c b Z p 7 q k u b 3 9 a L u 1 X z 9 5 t S T 1 n d p r n D 5 S B U V u 8 Z Y H 5 6 c 4 B p O w j V 1 e 0 C T A d / U F 0 p / G E u c N x 7 Y 1 P H u T c 2 d V x r B n g 7 r W R a 7 z 3 Y u W 1 Y e e t X H P / e B i d P H 9 0 4 W k 8 f 3 Q p 0 f / p v q Y 9 u 1 b w 3 o 7 f V R 7 d q / n 4 z 6 + m j m 6 n Y n 9 O N o N 9 v P j 1 9 d K v m 7 z e l n j 6 6 V f P 3 n F L b + m G o j 8 5 + 8 j j 9 f d K T L 7 8 4 e 3 3 2 5 Y v b 6 Y z 9 G 3 W S 7 S T U S f v v C X 9 Q J x n 4 e / u f 0 j r a L T 2 o 9 3 j J c b R 5 a R N x H U P f p r X j Z 4 v Q 3 g P y h J Q 4 N + i q 2 7 / j m P s 2 W H n K S p v f S l n d C n S f L 2 6 p r G 7 V v D / B t 1 R W t 2 r + f n P r K a u b q d i f 1 F s q q 9 s 0 9 5 T V r Z q / 3 5 R 6 y u p W z d 9 z S k 1 r M G W g r F 6 8 S T 8 / f n H 8 9 L b B 3 v 2 b N J X r I d R U G r f e G v 6 Q p r L w 7 9 1 / O H 6 o P t l m P W V f 2 X t w b 7 w p f r a c b N + 4 l Z K y r b c p C b W / C S X L z P Y V y q y N D 2 6 l q N w o D u 6 P 9 2 4 V 5 N 0 e M a e s z D u 3 U V Y W / o 3 g + + x x M 0 r 9 K b + d 1 r o 9 V u 8 3 3 0 5 z 3 b 6 H 3 o T f R n u 9 B 4 3 6 U 3 3 T K 0 6 N 3 f 6 V / o T f T p X d v o f 3 n G v b e t d X Z w + + R k b / w c 6 N C s 3 2 E S i 0 B 4 r g r e E P K j Q D / 9 7 B w Y O D g 3 s P P x 0 / f H g r t e Z e v L / / 4 B 4 t 4 d 0 y s W 9 f v E / B 2 e 7 e g / G m q X F M b 9 7 a / f R g / 4 B W E T a m I h 3 j m 9 f 2 D 3 b u 7 T w 4 + P T B e H c T l k 4 K 7 I v 0 0 v 2 9 B 5 / u b l 4 W c K L w X o h 6 m s + 8 t / f w w f 7 u + M H G t / o s e O / e L m F J N m n j e 3 2 2 2 r 7 d i 3 1 + u a U 2 f D / 8 + k x y S 5 X 4 f t 3 0 2 e M 2 R O / z x u 6 n 9 + / v 7 t D y w O 2 U p K X 5 b d 7 z N O V t a O F p y f f B z t O W t + q l z w e 3 6 c X h t h d q z P d K 9 T / Y v V F Z W v C h s t x 9 T / i D y t L A 3 6 U R 7 + 3 v Y g V v / 3 b a 0 n / z / v 6 n n 3 6 6 N z Y r E D e o S / M m 9 C w p o Y N b a U v 7 0 v 6 9 T 3 d 3 x p v 8 N S c M 5 i W y A j s H D 0 l d j g 8 2 C Y S T B / f i w Y P 9 + 5 8 + J C W 7 6 U U n E e + B p q c p 9 S 0 0 u 1 E / m h 6 2 7 + 3 c 3 / n 0 4 R g f D P f R 5 6 R b v d Z n k F u 9 1 u e O j d o u w h K 3 6 a X P F B t 7 6 b H D B j L 3 O e A 2 E 9 m f / u 1 b v O b p w 9 u M w 9 O H 7 4 G b p w 5 v 1 U l k 4 m / u x G F 2 L 9 S G Z i 3 h 5 N u n P / H V 6 e 1 0 1 t 6 N O t F 2 E u p E 5 Z l b w x / U i Q b + J k I 5 T r 9 N a 8 f o t 2 n t + P s 2 r R 1 7 m 9 b 7 n x 6 M 7 3 1 6 K z 1 3 6 1 c c i 9 8 G J 0 + 1 a f N b q b Z b g e 7 z w c b m 7 z e t n g a 7 V f P 3 m 1 h P c 9 2 q e W 9 q b 6 W 5 b g X 6 / e b T U 1 W 3 a v 5 + U + r p q F s 1 f 8 8 p t a 3 3 4 8 r p l g u d D + 7 d q J h s B 6 F i u v e e 8 A c V k 4 H / 6 b 2 D v X v 7 D z e u B D p G f p + 3 H D + b t 2 6 n q G 7 T 2 n G z a X 1 w s L d / Q L N 4 O 1 3 1 P m 8 5 9 r 4 N Z p 6 6 0 u a 3 U l c R 0 J v U 1 a 2 a 9 y f 7 l u r q V s 3 f b 3 o 9 d X W r 5 r 0 J v p W 6 u h X o 9 5 t P T 1 3 d q v n 7 T a m n r m 7 V / D 2 n 1 L a + H 6 q r r 7 E O + m D / R p V l O w l V 1 v 5 7 w h 9 U W Q Y + x d S f I j O 2 S W g d M 7 / P W 4 6 n z V u 3 U 1 m 3 a e 0 4 2 r R + 8 P D h p / d 2 b 7 v E 8 D 5 v O R a / D W a e y t L m t 1 J Z t w L d 5 4 5 b q q x b N e / P 8 i 1 V 1 q 2 a v 9 / 8 e i r r Z i r 2 p / W W K u s 2 z T 2 V d a v m 7 z e l n s q 6 V f P 3 n F L b + t O O y n r P 1 V B k K 2 / Q V 7 a H U F / d f 0 / 4 g / r K w H 9 w 7 + H e p x u D X s f H 5 h 3 q 4 e H + G B M / + J L j Z v P S 7 Z S V a b 2 9 e 2 / v 3 t 7 4 / q Z E m + N p 8 9 b e w f 7 e 7 n j v d j r L v L R P e d B 7 m x P I j s X f B z 9 P d e l r t 1 J d p o v b 9 N D n l 1 s h 1 m e D W 2 q y 9 8 H t / V j A U 2 j v 0 0 m P B 2 6 l 1 9 6 L W P 3 J v 8 V b n p p 7 n 7 f 6 X H B L b f c + n b z n 7 N v W D 3 y l 9 / B r r J k + 3 L l R 7 d k + A r X 3 U B G 8 N f x B t W f g P 9 y j X P 7 4 3 i Y 6 O a 4 3 L + 3 u 7 d F L n x 7 c S u / Z l + 5 9 + v D e w / H B J h X r e N + 8 d f / T T / d 3 N m s y x / r m p U 8 p W n y w c T n H i Y B 5 5 9 4 u R c v j + 7 f T f u + B n a f 8 L C U e Y r V p o 9 n w 1 K B 5 6 2 B n 7 + H D 8 a e a W 7 h J D Z q 3 t m / z W p 8 t b q k G 3 w e 3 P k f c U g 2 + T y d 9 X r g N s S P c 8 O D + v f v j n U 3 c 4 O l D S + x b v O Y p x N v Q w d O E 7 4 G b p x B v 1 U m f A W 7 R i c P s I F S I 7 7 U k + n D 3 R l 1 o w Y e 6 U H X W r e E P 6 k I D f 2 / v I S 2 i j / c 2 6 T X H + + 6 t / b 2 N c Z 5 j f P v K v U 1 d O M 4 3 7 b f 3 H z y 4 v x k v x / j m p d 3 d T 3 d 3 H 2 7 m f M f 4 9 q 2 9 3 U 8 P 9 s f 7 m 7 S 0 Y / z 3 Q N D T g + a t B 8 a c 3 a Q C z Q v 3 d 3 b v 3 d B L n 2 u 2 b / F W n x d u q Q D f A 7 M + G 9 x S / 7 1 H H 3 0 u u I H G f Q b Y p g z M T V P Z Z 4 C b X / L 0 3 n u 8 1 O e B T c P x 1 N 5 7 9 P G e k 2 9 b P w y 1 3 n u u L j y 8 e X X B d h D q v d u t L j j 4 g 3 r P w N / d 3 d G l 1 B t U n n l h b 8 f k C 2 9 Q e O a F T Q R 1 j G 5 a P z Q r u z d o O o v O 7 j 4 F u 7 d S c 2 7 I n z 7 c + I p j 8 d t h 5 a k 3 f Q H N b t R s B v j 2 D d D 7 T H H D C / 1 Z v u G F / i x v l I L + H N 8 A v z / N G + H 3 Z n k D O f v T e w M u / c m 9 g f 6 e 8 r o N 9 p 7 a u h 1 G n u K 6 F f z 3 n l 3 T H g P x l d b X W G N 4 u H + T 4 n K d h I p L d c a t 4 Q 8 p L g t / b / / B 3 s P x g 0 9 v o 7 z e 5 y X L 3 P a l W y m w W 7 W 2 j O 0 Q u n e f I s + N 8 2 c 5 / H 1 e s l x + K 7 y c A j P N b 6 P A b g e 6 z x k b m / c n e m P z / h T f T n P d r v n 7 z a 7 T W 7 e g Y n 9 W N 4 J + v / l 0 K u t 2 z d 9 v S p 3 C u l 3 z 9 5 x S 2 3 q 3 o 6 7 e c 3 3 h 4 Y 3 r C 6 6 H U F f d b n 3 h 4 f 0 b d Z W B f 3 / 3 Y H N 2 y b G x e W X / 4 c P x / Y e 3 0 l P m l U 1 U d Z x s W m 8 T T g 8 3 K U L H z e a V v X s P x p t Q c j x t 3 7 j / 6 f h g U y e O r 2 + N l 6 e s 9 J 1 b K S s D / 0 b w f f a 4 G a X + l N 9 S a 9 0 a q / e b b k 9 z 3 b q H 3 n z f S n v d n k b 9 q b 7 p F U + N 3 f q V / o T f U p X d u o f 3 n G v b e s 9 T Z w 9 2 3 n / l 4 M H O z o 0 K z f b h K z R + 8 b 3 g D y o 0 A 3 9 3 9 z 4 F j g 8 o I 7 t J H z g 2 t + / t P N z / l G L t 8 c 4 m E j t e N + 9 9 u k M q 9 M F 4 9 1 Y a z r y 0 T 6 H t / c 3 Z L M f z 5 q U 9 Q m 9 3 / 8 F 4 / + B W i s 6 9 9 u n D T + / v j g 8 2 0 c N J w H u g 6 K k 7 S 8 W H 9 / d o M W U T h p 7 i M 2 / d / 5 Q W e X d v u 4 h g X 9 u + 1 X t 9 F r m l A n w v 7 P q M c U s l + F 6 9 9 J n i N g S P 8 M T u / s P 7 m 4 2 4 p x Q t v W / x m q c Y b 0 M I T y m + B 2 6 e b r x V J 3 0 W u E U n D r N 7 o X p 8 n 3 W E B z u 7 N 2 p G C z 7 U j K p R b g 1 / U D M a + P f u 7 e w c 7 O 7 f H + / s 3 0 o z e u / t f 7 r / 4 N 5 4 d 5 M y c A J g 3 t v d u 7 9 x C d L J g H n j / s 7 B / b 0 x J H b w J S c B 9 q V 7 D w 8 e 7 O + P N y 5 2 O B F w r 3 1 6 8 O D e v f G D T Z r b y c B 7 o O i p R f P W 3 s 7 B / q Z + P J 1 o X t m + d 3 B v 7 + C G n v p M d J u 3 I q x x i 7 f 6 j L F R w / X 5 4 T a d 9 H l i Y y d 9 b r i R 0 n 1 O I L H Y 3 b 0 B r z 4 j b N / i N U 8 Z 3 m Y 4 n j J 8 D 9 w 8 Z X i r T i K z f 3 M n D r P 9 U B m a 5 Y W T b 5 / + x F e n t 1 N Z e z e q R N t J q B L 3 3 h P + 7 z W k E g 3 8 2 y 4 x 3 P Y F x / T m h d t F v t o a r W 5 S e z c 2 d Q x + Y 1 P H 1 T c 2 9 Z T a z W 3 7 3 L J R i v v z v r F 5 f x p v 6 d D d q v n 7 T a G n s G 7 V / D 3 m 0 d N U N 7 d 9 j 5 n 0 l N L N b X s z u a F t b x o 3 t O 3 N 4 Y a x 2 a b 3 4 6 r n d i u b D 3 b u 3 a h 2 b A e h 2 l H F e G v 4 g 2 r H w N / b f b D 3 4 M H + v f H + r Z S P / 9 r O g 9 3 7 G 1 9 z / G t e I 4 W 4 K T x w H G x e 2 M T B j o F N a 3 L y 9 v f u b d K K j p F v / 4 5 j 6 N t g 5 W k n b X 4 r 7 X R L C n k K y r y x f d M r / U m / p Z K 6 L U 7 9 e b 6 l n r p t B 7 2 Z v p W q u h U y 7 z e 5 n s K 6 V f P + / G 5 s 3 p / c W 7 p P t 2 n u c P k 0 V F 7 v v 8 L 5 A G H b D Q r M d h I q M N U X t 4 Y / q M A M f E p D U Y 5 x 8 z q f Y + n 3 e c u x t X n r d h 7 U b V o 7 j j a t 9 x / c f / j p e K N L 5 1 j 7 P V 5 y D H 4 b v D z t p c 1 v p b 1 u B b r P G 7 f 0 r W 7 V v D / H t / S t b t X 8 / W b X U 1 g 3 U 7 E / q 7 d U W L d p 7 i m s W z V / v y n 1 F N a t m r / n l N r W D z o K 6 / 3 W O B / s 3 L 9 R W 9 k e Q m 1 1 / z 3 h D 2 o r A 3 9 / b + + G 9 L f j Y / v O z g O S 8 d s l v M w 7 t 9 N U p v U 2 U n E H m 7 S I Y 2 j z z i 4 p n n u b r L b j a / P K v f 2 9 8 e 1 U 1 e 0 R 8 x S W v n Q r h W V H c S P 8 P o / c A q n + x N 9 S d 9 0 e r / e b c 0 + B 3 b 6 L 3 q T f S o t 1 y X Q r X X Z r p D y F d v t 3 + v N + S 6 1 2 + y 7 e c 8 Z t 6 w N f t e 1 + j f V O C M A N y s 3 2 E S i 3 X U X w 1 v A H l Z u B f 2 9 3 j / L s t 9 J t 5 p W 9 + / f 3 9 2 5 Y N H K c b t 7 a 3 f 3 0 H q m f h 5 v 0 q G N 4 8 9 b 9 h / c f U G 5 + k y J 1 H G 8 R p J d 2 a b 1 h U 1 e O 9 7 1 h 0 R r a G F w x + J Z j / v d A 0 F N 3 l h g P 7 + / s j R / e M q d v + / r 0 Y I 8 W D 2 6 p + s x b 2 7 d 5 r c 8 Y t 1 R + 7 4 N b n y l u q f 7 e p 5 M + O 9 y G 2 H 1 2 2 N 8 h O R o / / H T T W 3 1 2 2 L 7 F a 5 4 6 v A 0 d P E 3 4 H r h 5 C v F W n f Q Z 4 B a d O M w e h i r x v d Y 4 w e k 3 a E M L P t S G O q W 3 h j + o D Q 3 8 T / d 2 H j 6 8 n T a 8 9 S u O 6 8 0 r m y b C M f 1 t W j t m N 6 3 v P 9 w 9 + P T B G A w 9 + J Z j 9 v d 5 y z H 7 b T D z l J 4 2 R 7 M b V d 2 t Q P f 5 Y m P z / j T f U r f d q v n 7 T a + n 1 G 7 V v D f B G 6 j Y n 9 a N o N 9 v P j 2 l d a v m 7 z e l n r a 6 V f P 3 n F L T + t 5 O q K b e c w k A n L R Z U b k O Q k V 1 u y U A B 3 9 I U V n 4 + w f 3 D n b 2 b 7 c A 8 D 4 v W W 6 2 L 9 1 K W d 2 q t e V l h 9 D 9 3 Q c P 7 4 8 / v Z W y e q + 3 L H P f C j O n r E z z 2 y i r 2 4 H u 8 8 b G 5 v 2 p 3 t i 8 P 8 k b m 7 / f 9 D p l d b v m v Q m + j b K 6 H e j 3 m 0 + n r G 7 X / P 2 m 1 C m r 2 z V / z y m 1 r X d D Z f U 1 U v 5 g j x s U l u 0 k V F i q I 2 4 N f 1 B h G f h 7 9 x 4 8 P B j f / / R W C u s 9 X n I c b V 7 a R F z H 0 L d p 7 f j Z I r T 7 4 N P d 8 S Z 8 H F / f / h 3 H 3 L f B y l N W 2 v x W y u p W o P t 8 c U t l d a v m / Q m + p b K 6 V f P 3 m 1 t P W d 1 M x f 6 k 3 l J Z 3 a a 5 p 6 x u 1 f z 9 p t R T V r d q / p 5 T a l v v + c p q 7 2 v k x E C G G 3 S V 7 S P Q V X u K 4 K 3 h D + o q A / / h / T 3 V f z f o K f P C 7 s 7 u p 5 + O N 7 7 k m N m 8 t L f 3 4 O C G L J p j a f v S v f 1 7 N 2 R A H G O b l + 7 t H t y 7 P 4 a A D L 7 k O N z 2 9 O D e / v 7 t U v / v g 5 2 n v S z 1 D h 5 S 3 m 0 j e p 4 e M 2 9 t f 4 q V i U 0 k 9 7 S Z e e n m d / r c c P M 7 f Y a 4 p V 6 7 f R d 9 T r i l c n s f I v e Z Y H / / 4 c 5 t c 2 B u Z m 5 + y 9 N 5 t x m P p / N u j 5 m n + W 7 V R 3 / m b + 7 D 4 X U v 1 H / v l Q D D 8 G 5 Q f R Z 8 q P p 2 3 x P + o O o z 8 H c f 7 u x v 0 k i O 1 W / 7 h u N 2 8 8 a m W X B 8 f p v W j s 1 N 6 / 3 9 B 3 s P b 6 v q 3 u M l x + W 3 w c t T c t o c z W 5 U b b c C 3 e e J j c 3 7 U 7 y x e X 9 + b 6 n K b t X 8 / W b X 0 2 I 3 U 7 E / q x t B v 9 9 8 e u r q V s 3 f b 0 o 9 R X W r 5 u 8 5 p b b 1 f q i i T P L r 5 N u n P / H V 6 e 0 U y d 6 N i s p 2 E i o q d Q l u D X 9 Q U R n 4 9 3 Z 3 D s a 3 0 1 S 3 f s V x s 3 n l d q r q N q 0 d L 5 v W u w 8 f 3 t / o X z m W v v U r j q 1 v g 5 O n p r S 5 E b C N a u p W o P s c c U s 1 d a v m / c m 9 p Z q 6 V f P 3 m 1 l P T d 1 M x f 6 c 3 l J N 3 a a 5 p 6 Z u 1 f z 9 p t R T U 7 d q / p 5 T a l v f j 6 u p W + b o 0 e 0 N K s p 2 E K q o e + 8 J f 1 B F G f j 7 n + 7 f S j / d r r 3 j Y d P + d s p J W w / z p G P f G 5 s 6 7 r 2 x q e P c G 5 t 6 a u j m t n 0 + u a U a u l X z / i T e U g 3 d q v n 7 T a G n h m 7 V / D 3 m 0 V N D N 7 d 9 j 5 n 0 F N D N b X s z u a F t b x o 3 t O 3 N 4 Y a x 2 a a f h k r n a + T a E b / f o H h s J 6 H i U a m / N f x B x W P g 7 x 5 Q t m u 8 c z v v 6 D 1 e c v x r X r q d C r p N a 8 e 9 F q F P D 3 Y + 3 Y y Q Y + P 3 e M n x 8 2 3 w 8 p S T N r + V c r o V 6 D 5 n 3 F I 5 3 a p 5 f 4 p v q Z x u 1 f z 9 Z t d T T j d T s T + r G 0 G / 3 3 x 6 K u p W z d 9 v S j 1 F d a v m 7 z m l t v U D X 1 3 d + x r Z d i x F 3 q C t b B + B t r q n C N 4 a / q C 2 M v D 3 7 n 2 6 M f X i + N i 8 8 X D / 0 / s b F 9 Q c L 9 t O 9 v f u 7 4 4 f b H r J c b R 5 i d L 6 O 7 v j e 5 t e c n x t X z r 4 9 I Y w 0 / G 3 I 8 H O z g 0 Z Y M f l 7 4 G d p 7 z s W 5 T U 3 N + I n q f F 3 E u 7 9 3 f G m 9 D z d J l 5 a f s W b / W 5 4 Z Y q 7 T 0 w 6 z P D L R X b e / Q R Y Y O b 6 d z n g + 3 9 e w / v j f c 3 d t V n h J t f 8 p T e e 7 z U 5 4 N b q r 7 3 6 O M 9 G c C 2 P g g V 4 H u l 2 7 G y e Y P u s + B D 3 X e 7 d L u D P 6 j 7 D P z 7 + w e 3 T L f b N / Y e b q S o 4 3 b z x i a C O m Y 3 r b e R z 7 + V w j N v 0 D r m 3 t 4 t F Z 5 9 Z / / T v U 8 3 v u P Y / L a Y e c p O X 0 G z G 3 W c A X 8 T 9 D 5 z 3 I h Q f 7 5 v q d 1 u i 9 P 7 T b a n 2 m 7 b Q W + 2 N 5 C 0 P 8 s 3 E q g / y T e 8 4 S m y 2 7 7 R n + l N N P K 0 2 G 0 7 e M 9 Z t q 0 f h i r s P f N c y P 3 f o M R s B 6 E S u 1 2 e y 8 E f V G I G / t 7 e Z u v o + P q 2 b z i + N m / c T o n d p r V j 6 d t i 4 x j 7 t m 8 4 v r 4 N R p 7 i 0 u a 3 U l y 3 A t 3 n h o 3 N + 5 N 7 S 4 1 1 q + b v N 6 2 e u r p V 8 9 7 E 3 k p X 3 Q r 0 + 8 2 n p 6 R u 1 f z 9 p t T T U L d q / p 5 T a l r v 7 4 T q 6 W t k x J D 3 3 6 y i X C e h i l L Z u j X 8 I R V l 4 e 8 e P L y 3 u 3 H l z L L y e 7 x j + d m + c y s 1 d a v W l p s d P g 9 2 d i m i O L i N p n q f l y x z 3 w o v p 6 x M 8 9 s o q 9 u B 7 v P F x u b 9 a d 7 Y v D / D G 5 u / 3 + Q 6 Z X W 7 5 r 3 p v Y 2 y u h 3 o 9 5 t P p 6 x u 1 / z 9 p t Q p q 9 s 1 f 8 8 p t a 1 3 f W W 1 / z X y Y e j v B l 1 l + w h 0 1 b 4 i e G v 4 g 7 r K w N 8 0 Y s f D p v W D 3 d 2 d j Y G U 4 2 P z y v 3 9 n T 1 S b J t e c t x s X v p 0 d / f e 3 u b E u u N p + 9 L D + / u f j h 9 s 0 q G O u c 1 L e w f 3 7 + 9 v z m s 5 F n 8 P 9 D z N Z b v a 2 b 3 3 c D N + n g 4 z b 2 3 f S H N P k 9 1 6 n j x 1 d v t 3 + v y w U V 7 6 v H B z F 3 1 W u K V i e x 8 i 9 7 l g f + f h w 7 0 b s p t 9 N t i + x W u e x r v N i D y N 9 x 6 4 e Y r v V p 3 0 J / 8 W n T j M 9 k L 9 9 1 7 p M P R 4 g + q z 4 E P V t / u e 8 A d V n 4 F / O 9 V 3 m 9 a O 0 2 / T 2 v H 4 b V o 7 F j e t d 3 c f 7 n 6 6 N 7 5 / O 0 X 3 P m 8 5 F r 8 N Z p 6 K 0 + Z o d q N i u x X o P j d s b P 5 + k + s p s l s 1 f 7 / p 9 X T Y r Z r 3 J n g D F f v T u h H 0 + 8 2 n p 6 p u 1 f z 9 p t T T U b d q / p 5 T a l v f 6 y i n 9 4 8 k k f G + Q U X Z T k I V t f + e 8 A d V l I G / u 7 9 H z t M m r e x Y + f b v O H 4 2 7 9 x O X d 2 m t e N m i 8 + n B 3 s P N z u A j q 3 f 4 y X H 3 L f B y 1 N W 2 v x W y u p W o P t 8 c U t l d a v m / R m + p b K 6 V f P 3 m 1 1 P W d 1 M x f 6 s 3 l J Z 3 a a 5 p 6 x u 1 f z 9 p t R T V r d q / p 5 T a l v v + 8 r q 0 6 8 R S X 6 6 c 6 O u s n 0 E u u p T R f D W 8 A d 1 l Y H / c O f + w Y O d T 8 f g 7 8 G h O 2 b 2 X t v Z 2 b 0 / / l T 9 u x s 0 l n n t / q d 7 B 5 v e c H x t 3 t h / c P 8 h J d I 3 q R T H 3 e a l 3 Y O 9 / d 2 d + 7 u b 0 X O c 7 r 1 3 / / 7 9 B 3 v j T 2 / n b 7 0 H k p 4 m M 2 9 9 u k f z N d 5 / u O m t P t M d f E p d b f Q H P c 1 m X t q + x V t 9 3 r i l g n s P z P o c c U s 1 9 x 5 9 9 N n h N o T u M 8 P 2 7 v 5 9 M s k 7 m 1 j I U 3 + W h 2 5 + y 9 O C 7 / N W n x d u q Q z f p 5 P 3 5 A L b + n 6 o E 9 8 r u o S U 3 q A O L f h Q H d 4 u u n T w B 9 W h g X / v 3 v 7 D e w 8 e P B w / 3 C T M j v f t e z t 7 B / f u 7 d J 7 + 7 d S i O a 9 B 3 u U W / n 0 V h r R v L J 9 b 2 / n 3 t 7 + w 7 F x X G 9 Q i u Y 9 E G P v 3 q e k t B 8 8 u J V W d C / e p / f u 7 3 4 6 3 t v E O k 4 U 3 g 9 T T z O a F x 9 S b 7 f T i p b + R M f 9 T 3 f G G 5 f h P c X o o X i b F / u M c k v d + H 7 4 9 f n j l u r x / b r p 8 8 Z N B O 8 z B Q i 3 9 3 B n 5 4 a 5 7 T P F r d 7 z N O T 7 v d f n j F v q y P f r 5 j 3 5 w b b + N N S S p 6 I k 0 z e v b q f H 7 t 2 o J 2 0 H o Z 5 U 5 + 7 W 8 A f 1 p I G / + + D h / d 3 7 u 3 s b 8 8 J O D N 7 r N S c F 5 r V N x H V C c J v W j v U t S p / e e / D w 3 s Y c q u P + 9 3 j J c f 5 t 8 P K U o D Z H s x v V 3 6 1 A 9 7 l j Y / P + Z N 9 S 1 9 2 q + f t N r q f i b t W 8 N 7 0 b q N i f 1 Y 2 g 3 2 8 + P Q V 2 q + b v N 6 W e 3 r p V 8 / e c U t v 6 Q a i u v k Z W 7 t P 9 G 1 W W 7 S R U W a p / b w 1 / U G U Z + L v 7 p O D 2 x 0 Y X 3 q C x v L f u H 5 C + U n R u U F j m r d s p L N N 6 m y L V B 5 u i E 8 f W 5 p W 9 h / c / P d g Z g 4 k H 3 3 I M 7 r 3 1 4 N 7 u + O E m / 8 / x + a 3 R 8 5 S X v n M r 5 W X g 3 w i + z y s 3 o 9 S f / 1 t q s V t j 9 X 6 z 7 m m y W / f Q m / Z b a b P b 0 6 g / 1 T e 9 4 q m 1 B 7 d 9 p T / h t 1 R t t 0 b q P e f a t j 7 w 1 d v B 1 8 j j H e z c q N 1 s H 4 F 2 O 1 A E b w 1 / U L s Z + P s H D 8 a b 0 i K O w c 0 b F N Y d b M 5 Z O Q 4 3 7 9 x O r 5 n W n z 7 Y 3 b w Y 4 B j c D u P e / o O D / f v j h 5 u 0 t O N 1 8 9 o B K c O H e / v j v U 0 k c O x + a w Q 9 z e Y w v H f v A c W 0 9 z c p U U / L m f e 2 b + 6 s z z U 3 v 9 P n h J v f 6 f P C R n n p s 8 H N X f S Z Y W M X M U a 4 D Z n 7 n L C N F 0 l y x n u 3 V H 1 + h z e + 5 + m / 9 3 u v z w + b 6 O E p w f f r p s 8 N G 8 l u W z 8 M N e F 7 Z e + Q 0 L 9 B C V r w o R L c f U / 4 g 0 r Q w N 8 0 W M f 0 t 2 n t e P 4 2 r R 2 3 3 6 a 1 Y 3 b T + u G n B w d j 4 / H e o P J u / 4 7 j 8 d t g 5 a k 6 b Y 5 m N 6 q 3 W 4 H u c 8 L G 5 u 8 3 s Z 4 6 u 1 X z 9 5 t a T 5 P d q n l v c j d Q s T + p G 0 G / 3 3 x 6 q u p W z d 9 v S j 0 N d a v m 7 z m l p v X 9 n V A x m Y T Z y b d P f + K r 0 9 u p j 7 2 b 1 J P r J F R P 6 k v c G v 6 Q e j L w h z n B c v D N T S 3 3 3 t z U c q 4 d 4 K 2 0 k m 2 9 v / N g l w Y 4 3 m S B L Q v b t y j l f / 9 g 5 9 7 4 4 P 5 t V N O t U H O q y T b f v l U 3 T k / d r p 8 + S 9 x O T 9 2 u e W + W b 6 m n b t f 8 / W b b 6 a n 3 J e n X n H G n v d 6 z Q 6 f H b j U w p 8 f e D z + n 0 G 7 X T X / u b 9 W N w 2 4 3 r t l u u R R w c O N S g O s g 1 G q 3 W w p w 8 A e 1 m s K / j V a 7 s a n j 9 R u b O j 4 3 A 7 y d V j O t H + w c 3 H t w / 9 P x g 0 2 h o m P y 9 3 r N 8 f h t c P P U 2 o 2 j 9 j T Z r U D 3 2 e C W m u x W z X s z e 1 t N d q v m 7 z f D n i a 7 m Y r 9 e d 0 I + v 3 m 0 9 N U t 2 r + f l P q K a h b N X / P K b W t 9 0 K 9 9 D V y / s i V 3 6 C b b C e h b t p / T / i D u s n A 3 z 3 Y e z h + 8 O m G g T t W v v 0 7 j p / N O 5 t I 6 9 j 5 N q 0 d N 1 t 8 P r 2 3 c T n f 8 f R t 3 3 B s f R u M P D W l z W + l p m 4 F u s 8 R t 1 R T t 2 r e n 9 t b q q l b N X + / e f X U 1 M 1 U 7 E / p L d X U b Z p 7 a u p W z d 9 v S j 0 1 d a v m 7 z m l t v W 9 j p p 6 8 S b 9 / P j F 8 d P b J q 3 u 3 6 i j b A + h j l L v 7 t b w B 3 W U g b 9 p v I 6 D b 9 P a M f B t W j v + v U 1 r x 7 6 m 9 f 6 n 9 3 f v 7 X w 6 3 t v k 7 z p O f q / X H E f f B j d P Q 2 n z W 2 m o W 4 H u 8 8 M t N d S t m r / f / H o a 6 l b N 3 2 + G P Q 1 1 M x X 7 8 3 p L D X W b 5 p 6 G u l X z 9 5 t S T 0 P d q v l 7 T q l t v e 9 r q I d f Y 3 X x 4 c 6 N O s r 2 E e i o h 4 r g r e E P 6 i g D f 3 / 3 w f 0 x u H V w 3 I 6 T z T u f H u z t j A 9 u p a 7 M K 3 v 3 a C F v v L 9 J M z i e t i + R Q t k f Q 6 4 H X 3 K c b V 7 a v b d 7 f / f h 5 q 4 c j 5 u 3 7 u 9 8 + u n + w 3 v 3 x g 8 3 9 e a Y / T 1 Q 9 H S Y 6 + 3 + / Y c P 9 w 5 u u 9 R o X 9 z e + 5 S W U D / 9 9 H Z 6 z S F 5 4 0 s B Y 9 z 2 p T 5 n 3 F L H v Q d i f a 6 4 p a Z 7 T 1 r 3 W W K b 3 r x 3 b 5 + m d 3 8 j h n 2 m u N 2 L n i 5 8 z x f 7 f H F L r f i e / f S Z 4 n b 6 8 X 6 o H 9 9 r z R H y d 4 N q t O B D 1 a g y e G v 4 g 6 r R w H / 4 g A h 0 K 8 V 4 2 z e c B J g 3 b u f G 3 a a 1 4 3 z T + j 5 N 8 d h E 3 j f o w d u / 4 9 j 9 N l h 5 y k + b o 9 m N + u 5 W o P s c c U s H 7 l b N + 7 N 7 S + V 2 q + b v N 7 e e W r u Z i v 1 J v a U D d 5 v m n t K 6 V f P 3 m 1 J P V d 2 q + X t O q W 3 9 a a i g 3 j N D / / D e j S r K d h C q q H v v C X 9 Q R S n 8 Y S 5 w 3 H t j U 8 e 5 N z Z 1 X G s G e D u N Z F r v 7 u z e 2 9 v d I 0 / w w S b 3 0 X H w e 7 7 o e P k 2 + H m 6 6 c a R e 7 r p V q D 7 r H B L 3 X S r 5 r 3 Z v a 1 u u l X z 9 5 t l T z f d T M X + z N 5 S N 9 2 m u a e b b t X 8 / a b U 0 0 2 3 a v 6 e U 2 p b P w h 1 0 9 f I 0 j / c v 1 E / 2 U 5 C / b T / n v A H 9 Z O B v / v p w / 0 H 4 0 8 3 D N y x 8 u 3 f c f x s 3 t l E W s f O t 2 n t u N m 0 v n / w 6 Y P x L f P 0 t 3 / H s f Z t s P J U l T a / l a q 6 F e g + V 9 x S V d 2 q e X 9 + b 6 m q b t X 8 / e b W U 1 U 3 U 7 E / q b d U V b d p 7 q m q W z V / v y n 1 V N W t m r / n l N r W B x 1 V 9 Z 6 Z + o f 3 b 9 R T t o d Q T 2 l u 5 9 b w B / W U g U / S e n B w K y 1 1 2 z c c I 5 s 3 b q e j b t P a s b F p v U 9 L m / f v 3 7 v / 6 e Z s i u P p 9 3 z R c f d t 8 P O 0 l T a / l b a 6 F e g + b 2 x s 3 p / q j c 3 7 8 7 y x + f t N s q e t b t W 8 N 8 2 3 0 l a 3 A v 1 + 8 + l p q 1 s 1 f 7 8 p 9 b T V r Z q / 5 5 T a 1 g 8 9 b X W w 8 / 5 Z + 4 O d n R v 1 l e 3 D 1 1 f 8 4 n v B H 9 R X B v 6 m E T s e v k 1 r x 8 K 3 a e 0 4 + D a t H Q O b 1 r s P P 9 0 Z 4 6 / B d x w j 2 3 c + / f Q + K V t N 7 9 2 g n m 6 D l q e e b B / 7 n z 5 8 M A Y n D r / V 5 6 S N n f S Z Y m P z 9 5 t j T 1 H d q v n 7 z b K n q G 7 V P D L P t 6 B n f 6 a 3 b / N a f 6 5 v 8 Z a n w d 7 n r f e b c k + R v U 8 n 7 z n z p v W n O 6 E + e 5 8 s + 8 H O 7 k 2 q z I E P V Z m K 4 a 3 h D 6 k y A 3 / Y p l k W v 7 m p Z e + b m 1 r W t g O 8 l Q a z r W l G 7 4 0 R 0 g + + Y / n 6 P d 6 x T H 0 r r J w C u 3 m 8 T m 3 d D n S f A W 6 n t m 7 X v D e n t 1 R b t 2 v + f n P r 1 N Y t q N i f 1 I 2 g 3 2 8 + n X a 6 X f P 3 m 1 K n l m 7 X / D 2 n 1 L b e D f X R + y X V D 3 Z u T K q 7 D k K N d K u k u g d / U C M p / N t o p B u b O s 6 9 s a n j W j P A T f R 2 T G t a 0 y L 6 3 u 7 4 0 0 0 2 x n H v r V 7 q 6 q T b 4 O X p p B t H 7 O m k W 4 H u s 8 A t d d K t m v d m 9 b Y 6 6 V b N 3 2 9 2 P Z 1 0 M x X 7 s 3 p L n X S b 5 p 5 O u l X z 9 5 t S T y f d q v l 7 T q l t v R f q p P d P p h 8 g i X u D X r K d h H p p / z 3 h D + o l h X 8 b v X R j U 8 e 9 N z Z 1 n G s G e D u 9 Z F r f 3 7 + 3 N 1 Y i 3 K C V b v 2 K 4 + H b 4 O T p p B t H 6 + m k W 4 H u T / 8 t d d K t m v d m 9 L Y 6 6 V b N 3 2 9 m P Z 1 0 M x X 7 c 3 p L n X S b 5 p 5 O u l X z 9 5 t S T y f d q v l 7 T q l t f a + j k 9 4 v a 3 6 w c 2 P W 3 P U Q K q R b Z c 0 9 + I M K y c D f N F 7 H w b d p 7 R j 4 N q 0 d / 9 6 m t W N f 0 / r h w 0 / H O 7 f z l 2 7 9 i u P k 2 + D k a S Z t f i v N d C v Q f T 6 4 p W a 6 V f P 3 m 1 d P M 9 2 q + f v N r K e Z b q Z i f 0 5 v q Z l u 0 9 z T T L d q / n 5 T 6 m m m W z V / z y m 1 r f d 9 z b T 7 N T L k Y O s b d J P t I 9 B N u 4 r g r e E P 6 i Y D / + H O z r 3 x g 3 u 3 0 l D m n U 8 P 9 n b G B 7 d S U + a V 3 U / 3 7 l P i f v x w / 1 b 6 y n v t 3 q e 7 B 2 O T T r t B c Z n X 7 n 2 6 9 + D B g / 2 D B x u x d J x u 3 r u / u 7 9 3 8 O k D G t 2 9 T R 0 6 n n 8 v P D 1 l Z t + 7 f 2 / 3 3 t 7 B f U r 2 b 1 K a n m o z b + 7 R g u T 4 4 a Z 5 8 x S c e W n 7 F m / 1 W e S W e u 4 9 M O v z x y 2 1 3 X v 0 0 e e K 2 x K 7 z x f b u / d 3 7 + 8 8 3 C O v + / 7 G G Y 5 w x u 3 e 9 B T j + 7 7 Z 5 4 1 b 6 s j 3 7 e g 9 O c O 2 v h + q y / d K w I P z b 9 C U F n y o K X U o t 4 Y / q C k N / L 3 9 e 5 / e S k 3 e 8 g U n B O a F 2 / l y t 2 n t m N + 0 / v T T e z u 7 O / c f 3 t v M / I 7 3 3 / N F x / m 3 w c 9 T h d o c z W 5 U f r c C 3 e e M W / p 1 t 2 r e n + Z b + n W 3 a v 5 + s + z p u J u p 2 J / Z W / p 1 t 2 n u q a 9 b N X + / K f V 0 1 q 2 a v + e U 2 t a f h o r K Z O Z P v n 3 6 E 1 + d 3 k 6 d 7 N 2 o r m w n o b p S 2 b o 1 / E F 1 p f C H O c F x 8 I 1 N H f f e 2 N R x r h n g 7 f S T a X 3 / / r 2 H D / Y f P h z v f 3 o r 9 W T e 2 3 t w / + E B 0 m E H + 7 f S T r f B z t N O p v k 2 O Z Q P H + 5 8 + u n m B Q R P V 9 2 q o z 5 b 3 F J X 3 a p 5 b 6 Z v q 6 t u 1 f z 9 Z t z T V e 9 L 0 9 i k 3 + r F / q z f s k t P n d 1 m b J 4 6 e z 8 M P c V 2 q 3 7 6 8 3 + 7 f h x + D + I q 7 p a L j 2 D A G 9 S b 7 S B U b + q q 3 x r + o H o z 8 D f R y f H 9 b V o 7 t r 9 N a 8 f 1 t 2 n t m N 6 0 f r h 7 c H / 3 0 9 2 H O 2 M I 0 O C L j u f f 8 0 X H 8 7 f B z 9 N 0 2 n x Y w 3 u 6 7 V a g + z x x S 9 1 2 q + b v N 8 e e b r t V 8 / e b Z U + 3 3 U z F / s x u B P 1 + 8 + k p r l s 1 f 7 8 p 9 d T V r Z q / 5 5 T a 1 g e h k v o a q 5 F g j x s U l e 0 k V F T 7 7 w F / o 6 I y 8 H c / f f D p / f H D T e r Z 8 f J 7 v O Q 4 2 r x 0 O 7 V 1 m 9 a O n 0 3 r g / 3 9 v f E D J c 4 N G u v 2 7 z j m v g 1 W n r L S 5 r d S V r c C 3 e e L W y q r W z X v T / D G 5 u 8 3 t Z 6 y u l X z 3 u T e S l n d C v T 7 z a e n r G 7 V / P 2 m 1 F N W t 2 r + n l N q W z / s K K v 3 X K b E Z N + g q W w P o a a 6 / 5 7 w B z W V g U 9 e 5 b 2 x U Y A 3 K K r b v + O Y 2 b y z i a 6 O l 2 / T 2 r G y a X 3 / 3 v 2 9 3 Q f j n d t p q v d 5 y / H 2 b T D z d J U 2 v 5 W u u h X o P m f c U l f d q n l / j m + p q 2 7 V / P 3 m 1 9 N V N 1 O x P 6 2 3 1 F W 3 a e 7 p q l s 1 f 7 8 p 9 X T V r Z q / 5 5 S a 1 g 9 2 f F 2 1 9 z U W L k G G z d r K 9 R F o q z 1 F 8 N b w h 7 S V h b 9 p x J a H b e t 9 E u 9 P b 6 O l b g X f c v G t 4 V t G t m 9 8 + v A B L b i o E t + s p + w 7 e w 9 p V X N 3 7 2 B s V j c 2 a 6 p b Y + e 0 l d / V p w / u P 7 i 3 O d p 0 q s u + u H 1 j Z 3 1 e u f G V / v T f + E q f B 2 6 n x 2 7 f Q 5 8 L N v b Q Z 4 F b 0 r j P B 9 v 8 5 u 7 9 + + P 7 G 9 / s c 8 L t X n T a 7 n 1 f 7 P P D J p o 4 v f e + / b y f P n B Y 7 Y Y a 8 L 3 W I j G 4 G 5 S f B R 8 q P 5 X W W 8 M f V H 4 G / u 2 U 3 2 1 a O 7 6 / T W v H 8 r d p 7 T j e t P 7 0 w c 7 e + F N N B t 6 g 9 G 7 / j m P z 2 2 D l K T t t j m Y 3 6 r d b g e 5 z w s b m 7 z e x n k q 7 V f P 3 m 1 p P n d 2 q e W 9 y N 1 C x P 6 k b Q b / f f H r K 6 l b N 3 2 9 K P R V 1 q + b v O a W 2 9 V 6 o m L 7 G 2 i M w v U E 9 2 U 5 C 9 X S 7 t U c H f 1 A 9 K f x h T n A c f G N T x 7 0 3 N n W c a w Z 4 O 6 1 k W t / f 2 b n / 4 N P 9 / b G h x A 2 a y b y 3 d 3 9 n 7 4 D o c l t 3 7 D b Y e d r J N N + + X T + e r r p V R 3 2 2 u K W u u l X z 3 k z f V l f d q v n 7 z b i n q 9 6 X p l 9 3 0 j 0 d 9 p 5 d e u r s N m P z 1 N n 7 Y e g p t l v 1 0 5 / / 2 / X j 8 L s X V 3 G 3 X H s E A j e o N 9 t B q N 7 U d b g 1 / E H 1 p v B v o 9 5 u b O o Y / s a m j t n N A G + n 3 k z r h / s H + z s 7 D 8 e b Z s n x + f u 8 5 Z j 8 N p h 5 q u 3 G M X v K 7 F a g + 0 x w S 2 V 2 q + a 9 e b 2 t M r t V 8 / e b X 0 + Z 3 U z F / r T e 0 v G 6 T X N P U 9 2 q + f t N q a e f b t X 8 P a f U t t 4 P t d L X W G z c 2 7 9 R M 9 l O Q s 2 0 / 5 7 w B z W T g X 9 w 7 / 5 4 k w / j G P m 2 b z h e N m 9 s I q t j 5 d u 0 d p x s W t 8 / 2 N k d H y h Z b l B U t 3 / H s f V t s P L U l D a / l Z q 6 F e g + R 9 x S T d 2 q e X 9 2 b 6 m m b t X 8 / e b W U 1 M 3 U 7 E / q b d U U 7 d p 7 q m p W z W / / Z R 2 1 N S t o L / n l N r W 9 z t q 6 j 2 X G f d u X G Z 0 P Y Q 6 6 n b L j A 7 + o I 4 y 8 D e N 1 3 H w b V o 7 B r 5 N a 8 e / t 2 n t 2 N e 0 x k g P x g c P b 6 W c 3 u M l x 8 2 3 w c v T T t r 8 V t r p V q D 7 v H B L 7 X S r 5 u 8 3 t 5 5 2 u l X z 9 5 t d T z v d T M X + r N 5 S O 9 2 m u a e d b t X 8 / a b U 0 0 6 3 a v 6 e U 2 p b f + p r p 3 t f Y 2 H x 3 s 6 N + s n 2 E e i n e 4 r g r e E P 6 i c D / 8 G n e 7 Q i 8 + B W W s q 8 s / t g Z / / h g 4 d j M P n g a 4 6 j 7 W v 7 u / u f P h g / 2 N S Z Y 2 z 7 1 s E 9 C r v v j R 9 s 6 s w x u B 3 X w 7 3 9 3 U / v H 4 z 3 V a X f o M L M e 3 v 3 Q c P 9 + 7 v j / X u 3 U m P v h a e n z x w x 7 z 3 Y f f D p 7 q f j B 5 s 8 U 0 + 7 m T e 3 d z 8 l 9 5 8 W j x 5 u o q i n 5 2 y X t 3 q v z y u 3 e 6 / P L 7 f U f O / X T Z 9 T b q k C 3 5 f w f R 7 Z 3 n 2 w e / D g g F h s / P D g d s r R d X q r N z 0 9 + b 5 v 9 v n k l i r z f T v q 8 8 f t t O e D U H u e v c + i 5 L 3 d G x W n B R 8 q T k 3 s 3 B r + o O I 0 8 D c N 1 o n A b V o 7 C b h N a 8 f 3 t 2 n t 2 N 6 0 3 r t H K n 9 3 / + H O e P / T W 2 n G 9 3 z R 8 f x t 8 P M U o j Z H s x t V 4 K 1 A 9 3 l i Y / P 3 m 2 J P z d 2 q + f t N s q f d b t W 8 N 8 0 b q N i f 2 Y 2 g 3 2 8 + P c V 1 q + b v N 6 W e t r p V 8 / e c U t v 6 I F R R X 2 N 5 8 t 7 e j Y r K d h I q K r V F t 4 Y / q K g U / j A n O A 6 + s a n j 3 h u b O s 4 1 A 7 y d f j K t 7 9 3 7 d J 9 c t 9 2 H 4 0 8 3 m R / H x e b F 3 U 8 P 9 o g 4 9 x / e N j 1 2 G / w 8 / W S a b 9 + y I 0 9 d 3 a q n P m f c U l 3 d q n l v s m + r r m 7 V / P 0 m 3 V N X 7 0 3 U r z 3 v n i J 7 3 0 4 9 p X a b 4 X l K 7 T 1 x 9 P T b r T r q 8 8 A t O 3 I Y P o y r u l s u U 9 6 7 d 6 O a s x 2 E a k 6 D q 1 v D H 1 R z B v 6 9 e w 8 p l N 0 f 7 6 o C v U H l v d d r T h r M a 5 u m x Q n D b V o 7 W T C t 9 + 4 T Q g e f H u y P D 2 6 n A d / z R S c I t 8 H P 0 4 D a f F j 3 e y r v V q D 7 X H J L l X e r 5 v 3 J v q X K u 1 X z 9 5 t l T + X d T M X + z G 4 E / X 7 z 6 S m z W z V / v y n 1 N N i t m r / n l J r W B z u h 2 v o a 6 5 j 3 9 m 9 S X a 6 T U H W p Y r 0 1 / C H V Z e F T P u 3 T 3 V s q r v d 5 y X K 0 f e l W a u t W r S 0 / 2 9 Y P d u / v j 5 U 2 m x X W 7 V + x r H 0 r n J y q M s 1 v o 6 p u B 7 r P F b d T V b d r 3 p / e j c 3 f b 2 K d q r p d 8 9 7 U 3 k Z V 3 Q 7 0 + 8 2 n U 1 W 3 a / 5 + U + p U 1 e 2 a v + e U 2 t a 7 H V X 1 n m u Z 9 + 7 f q K d s D 6 G e 0 s T 3 r e E P 6 i k D f 3 e P 1 n H J u b i d o n q f t x x D m 7 c 2 0 d b x 8 2 1 a O 3 Y 2 r T + l f M C D 8 a 3 W B d 7 j H c f b t 8 H K 0 1 X a / F a 6 6 l a g + 5 x x S 1 2 1 s X l f V 9 2 q + f t N r a e r b t W 8 N 7 m 3 0 l W 3 A v 1 + 8 + n p q l s 1 f 7 8 p 9 X T V r Z q / 5 5 T a 1 n u + r t r / G i u b + z s 3 a i v b R 6 C t 9 h X B W 8 M f 1 F Y G P g V D t L D 7 Y L z z 8 F b q y r z 2 6 c O d n Y O d / Y 2 i 7 n j a v L W / 9 3 D n / n j n w a 2 0 l n m J X L h 7 D + / v j f c P b q W + 7 M D u P 3 j 4 6 U N y / n Y 2 q V T H 7 f a 9 / Z 2 H 9 2 h w 4 / v 7 t 1 J j 7 4 W m p 8 / 0 v V v p M 9 M H p W I + 3 d 3 Z f z D e 3 7 2 d Z r P I 3 e q 9 P n f c 7 r 0 + e 9 x S 1 7 1 f N 3 3 W u K X S u 5 n U f T a 4 3 X T 2 2 W D 7 V i 9 6 e v A 2 Y / H 0 4 H v h 5 y n E W 3 U T Y Y D b d O O w u x d q x r P 3 W b X E 5 N + g F C 3 4 U C k q 1 9 w a / q B S N P B 3 d x 7 e J 9 W x O 9 7 d N G z H 9 u / 3 n u N / 8 9 6 m S X F c f 5 v W j u k t T r u 7 5 J P t f L o 3 3 t m k 0 J w E v O e L T g R u g 5 + n A L X 5 r R T g r U D 3 + W R j 8 / 6 0 b 2 z e n + 1 b K r l b N X + / W f Z 0 2 8 1 U 7 M / s R t D v N 5 + e I r t V 8 / e b U k 9 / 3 a r 5 e 0 6 p b b 0 f q q 2 v s Z K 5 v 3 e j 8 r K d h M p L v Z N b w x 9 U X g b + / f 3 9 / Q c H Y 5 O A u 0 F 1 u b d 2 H t 7 0 l u N p 8 9 b t F J d p v X 3 v / s 7 t l J d 5 Y + / B 3 s H u z v 1 b L n J 6 r 9 3 b / f S m 1 x y j 3 x Y / T 3 n p K 7 d S X g b 8 T d D 7 r H I j Q v 3 Z v 6 U O u y 1 O 7 z f l n h q 7 b Q e 9 O b + V J r s 1 g f q T f M M b n k K 7 7 R v 9 m b 6 l T r t t B + 8 5 y 7 b 1 / b h a u + W q 5 f 6 9 G 1 W a 7 S B U a f f e E / 6 g S j P w 9 3 Y e 7 u 7 u P 9 w b Y z 4 H B + 6 4 + / 3 e c z x u 3 r u d W r t N a 8 f e p v X u z q f k J O 7 c 2 9 0 c c j t e f 8 8 X H c f f B j 9 P p W n z W 6 m 0 W 4 H u 8 8 k t d d m t m v d n + 5 a K 7 F b N 3 2 + W P S 1 2 M x X 7 M 3 t L D X a b 5 p 7 6 u l X z 9 5 t S T 3 f d q v l 7 T q l t / W m o u L 7 G u u X + / o 3 K y 3 Y S K q / 9 9 4 Q / q L w M / N 0 H 9 + 4 9 H N / / 9 F a a 6 z 1 e c h x t X r q d 2 r p N a 8 f P F i F 6 d s a b 8 j O O r 2 / / j m P u 2 2 D l K S t t f i t l d S v Q f b 6 4 p b K 6 V f P + B N 9 S W d 2 q + f v N r a e s b q Z i f 1 J v q a x u 0 9 x T V r d q / n 5 T 6 i m r W z V / z y m 1 r R 9 0 l N V 7 r l z u 3 7 9 R U 9 k e Q k 1 1 / z 3 h D 2 o q A / / T B / t j 9 d 1 u U F O 3 f c M x s n n j d j r q N q 0 d G 5 v W + w c H O + M H + 7 f S U b d / x / H 0 b b D y d J Q 2 v 5 W O u h X o P k f c U k f d q n l / d m + p o 2 7 V / P 3 m 1 t N R N 1 O x P 6 m 3 1 F G 3 a e 7 p q F s 1 f 7 8 p 9 X T U r Z q / 5 5 T a 1 g e + j r r / N V Y s 7 + / c q K V s H 4 G W u q 8 I 3 h r + o J Y y 8 O 8 d 7 O 3 t 7 u + P 9 z + 9 l a o y r + 3 v 7 u / d + / R T W r L U j N s N C s u 8 t 3 v / 3 v j B r Z Q W v w E E H 3 y 6 s / v p A 3 p t E 4 a O w 8 1 7 e / f J r b x 3 8 O n + 7 v j e p j c d v 7 s 3 9 z 8 9 u E e r n Q / G m 1 5 0 n P 9 + q H o 6 T V + 8 l U 4 z n W x z L / f 3 d s Y 7 G 3 v p s 9 I t X 4 z w y O 1 e 7 H P J L V X e e / b T 5 5 F b K r + b y d 1 n h l v O a Z 8 Z t m / 3 p q c R b z M a T y O + H 4 a e b r x V P w N c c G M / D r + H o Z Z 8 r 9 X L + 7 s 3 K k g L P l S Q G h / d G v 6 g g j T w H 9 4 7 I J 4 8 u D f e v 5 W C f K / X n A i Y 1 z b N i e P 7 2 7 R 2 b G 9 a 7 3 / 6 4 C F l 8 h / s 3 d u s 7 Z 0 Q v O + b T g p u g 6 G n C L X 5 r R T h r U D 3 + W R j 8 / 6 0 b 2 z e n + 5 b a r p b N X + / e f b 0 2 8 1 U 7 E / t R t D v N 5 + e K r t V 8 / e b U k + B 3 a r 5 e 0 6 p a f 1 w J 1 R b 7 5 n m v 3 9 j m t 9 1 E C q u 2 6 X 5 H f w h x W X h H 5 D 2 u X / w 8 N 7 4 3 i Y X z b L y e 7 5 n e d q + d y v V d a v W l q N t 6 3 1 a f 9 y 5 t / d g Z 2 / 8 c B N W l r / f + 0 3 L 6 r f C 0 K k u 0 / w 2 q u t 2 o P u c c j v V d b v m / f n e 2 P z 9 p t m p r t s 1 7 0 3 0 b V T X 7 U C / 3 3 w 6 1 X W 7 5 u 8 3 p U 5 1 3 a 7 5 e 0 6 p b b 0 b q q 6 v k e i / v 3 + j + r K d h O p r / z 3 h D 6 o v A 3 9 3 9 + H e w 8 2 R g O P l 9 3 j J c b R 5 a R N x H U P f p r X j Z 9 P 6 Y O / T e 2 O s 1 w y + 4 / j 6 9 u 8 4 5 r 4 N V p 6 y 0 u a 3 U l a 3 A t 3 n i 1 s q q 1 s 1 7 0 / w L Z X V r Z q / 3 9 x 6 y u p m K v Y n 9 Z b K 6 j b N P W V 1 q + b v N 6 W e s r p V 8 / e c U t t 6 r 6 O s 3 j P R f / / G R L / r I d R U t 0 v 0 O / i D m s r A 3 7 u / + + B g s 3 f h G P k 9 X n L s b F 6 6 n a a 6 T W v H z K b 1 v b 2 9 B 7 s P d x + O I a S D 7 z n G f r / 3 H I f f B j t P Y 2 n z W 2 m s W 4 H u 8 8 c t N d a t m v c n + p Y a 6 1 b N 3 2 + O P Y 1 1 M x X 7 E 3 t L j X W b 5 p 7 G u l X z 9 5 t S T 2 P d q v l 7 T q l t f c / X W J 9 + j b T / p z s 3 6 i z b R 6 C z P l U E b w 1 / U G c Z + P v 7 + + Q n 7 d 9 K Z Z l 3 7 u / t 7 3 8 6 v v / w V i r L v L S 7 8 2 D 8 8 F Y Z f 4 f b w e 7 O / c 0 L C 4 6 z z U u f 3 t t / s H v w 8 P 6 n 4 7 2 D W + k v 7 8 V P H 2 D J Z H N e 0 z H 8 e 6 D p 6 T F 9 6 1 Z 6 z P S w v f / g 4 c M H Y 2 O x b t J n F r F b v B X h i F u 8 1 e e J W 2 q 3 9 + m k z x C 3 V H I 3 k 7 g / + 7 e Z x P 7 U b 9 / i N U / n 3 W Y c n s 5 7 D 9 w 8 1 X e r T i L T f n M n D r P 9 U A O + V 0 r / 0 9 0 b l Z 8 F H y q / 3 f e E P 6 j 8 D P x N J H I s f p v W j s N v 0 9 p x 9 m 1 a O 8 Y 2 r X f 3 7 9 + / / 2 D / / j 6 t k N 0 u p H z f N x 2 r 3 w Z D T 7 1 p 8 1 u p t 1 u B 7 n P F x u b v N 8 m 7 7 z f L n i K 7 V f P 3 m 2 d P g 9 1 M x f 7 U b g T 9 f v P p q a x b N X + / K f V 0 1 a 2 a Y 0 p v 3 9 z h c j 9 U U u + Z w P / 0 3 o 1 q y n Y Q q q l 7 7 w l / U E 0 Z + A / v 3 d 8 / u G 1 c + R 4 v O W 4 2 L 9 1 O a d 2 m t e N l 0 3 p 3 7 8 H B v d 2 D g 3 u 3 c 8 v e 6 z X H 3 r f B z V N X 2 v x W 6 u p W o P v c c U t 1 d a v m / W m + p b q 6 V f P 3 m 2 F P X d 1 M x f 6 8 3 l J d 3 a a 5 p 6 5 u 1 f z 9 p t R T V 7 d q / p 5 T a l t / G q q r r 5 G 0 / 3 T / R p V l O w l V 1 v 5 7 w h 9 U W Q b + 7 u 7 B / t 5 m F 8 P x 8 n u 8 5 D j a v H Q 7 l X W b 1 o 6 f T e s H O / c P x h C L w X c c X 9 / + H c f c t 8 H K U 1 b a / F b K 6 l a g + 3 x x S 2 V 1 q + b 9 C b 6 l s r p V 8 / e b W 0 9 Z 3 U z F / q T e U l n d p r m n r G 7 V / P 2 m 1 F N W t 2 r + n l N q W z / o K K v 3 T N p / e v 9 G T W V 7 C D W V K o d b w x / U V A b + v d 2 x U X 8 3 q K n b v u E Y 2 b x x O x 1 1 m 9 a O j U 3 r v b 2 D T w 9 o l W L 8 Q M P j G / T U + 7 3 n e P s 2 2 H m 6 S p v f S l f d C n S f M 2 6 p q 2 7 V v D / L t 9 R V t 2 r + f n P s 6 a q b q d i f 2 F v q q t s 0 9 3 T V r Z q / 3 5 R 6 u u p W z d 9 z S m 3 r A 1 9 X P f g a 6 f o H O z d q K 9 t H o K 0 e K I K 3 h j + o r Q z 8 B / c / 3 R / f v 5 2 + s u 8 8 2 N n Z 2 d s Z 3 3 9 w K 6 V l X t v d u 7 8 5 x + + 4 2 v b 0 6 c O 9 + w e k H m + X s j e v f X p / d 2 f v 4 f 7 O 3 l h D 5 x t U m H 1 v / 9 6 9 e 5 8 e 0 N A + P b i V D n s v P D 1 l p u / d S p m Z P r b R y T 4 t Q + x s G p S n 1 n z k b n 4 v w h q 3 e q / P H r d U d O / X T Z 8 3 b q n x b i Z 1 n w 9 u N 5 1 9 N t i + 1 Y u e E r z N W D w l + F 7 4 e d r w V t 3 E G e D G b h x 2 D 0 O 1 + F 4 5 f P g M N 2 h E C z 7 U i O p s 3 B r + o E Y 0 8 D c R y T H 7 b V o 7 X r 9 N a 8 f h t 2 n t G N y 0 3 t 2 9 d 2 / 3 U 0 p s 7 Y 3 v 3 8 5 z e 9 8 3 H c P f B k N P 3 W n z W 6 m 7 W 4 H u c 8 X G 5 u 8 3 y Z 5 K u 1 X z 9 5 t m T 5 P d q n l v o m + l y W 4 F + v 3 m 0 1 N b t 2 r + f l P q a a t b N X / P K d X W u + S 4 h F r q P Z P 4 D 2 5 K 4 v s 9 h I r q d l l 8 1 8 G A o v I 6 2 L 1 / 7 + D g Y P / e e G + T g j b c / N 4 v G r 7 2 X r y N / r p l c 8 P X P l q 7 B 5 9 + e u / e g 7 1 P b 6 G + 3 v c 9 w + y 3 R M 9 q L 9 f + F u r r t s A j 3 H I r B X b b 9 p E 5 3 9 j + P a f a 6 r D b t u 9 P 9 i 2 0 2 G 2 B v + f M W j 1 2 2 / b v O b l W k 9 2 2 / f t O r m u + G + q y r 5 H h f 7 B / s z 6 z v Y T 6 b P 8 9 O x j W Z 6 a D 3 d 1 P H + y M D z Z J s c f Y 7 / G W x 9 7 m r U 0 U 9 r j 7 N s 0 9 5 j b N P / 3 0 Y H + 8 f 3 A 7 N X b 7 l z x O v w 1 i v g 7 T 9 r f T Y b c C H u G Q 2 + q w W 7 W P T P V t d d g t 2 g c 6 7 F b t + 9 N 8 O x 1 2 K + D v O b O + D r t V + / e c X F + H 3 a r 9 + 0 6 u a 7 7 X 0 W H v m f h / c F P i 3 + 8 i V G C 3 y / y 7 D o Y V m O n g 0 3 s P 7 o 2 N Y r x J f 9 3 + J Y + z z U u 3 V F + 3 a e 7 x t W l O Q 3 + w d / / B g / G D T R k + j 8 f f 7 0 W P 2 W + D o K / G t P 3 t 1 N i t g E f 4 5 L Z q 7 F b t I z N + W z V 2 q / b v O d u + G r u Z m J E p v q 0 a u 0 1 7 X 4 3 d q v 1 7 T q 6 v x m 7 V / n 0 n 1 z W / 5 6 u x g 6 + x J n C w c 7 M i s 5 0 E i u x A U b x 1 B 8 O K z H S w S 6 m g j c t 4 H l e b d / Y f H o z 3 b q n G z D u 3 V G O m + b 1 d W k H Y l C b 2 m N u 8 c 3 9 3 b / / g / s 6 9 B + M D V f g 3 K b P g z f 0 H e 7 S K s H c 7 b X Z r P H 2 V p i / d T q W Z H r Z v 7 i L C N z e / F O G F m 1 + K M M N t V d z t O 4 m w w 2 3 1 3 M 0 U j s z + z R h F J v 7 m a f F V 3 m 3 G 4 a u 8 W 6 P m 6 7 1 b d f K 1 p t 2 9 s x 8 q v / f K / B / s 3 q z 3 L P x Q 7 6 m C u n U H v 9 e g 3 j M d 3 P v 0 / n h / k 7 B 7 r H 7 r d z x 2 N + / c U u / d p r n H 5 6 b 5 7 s 6 n n z 6 4 v / v p w c H 4 0 1 v q v P d 9 1 e P 9 2 y D p 6 z t t f z t 9 d y v g E U 6 5 r Q t 3 q / a R S b + t f r t V + / e c c V + 1 3 U z M y C T f 1 o W 7 T X t f n 9 2 q / X t O r q / K b t X + f S f X N b 8 f a r H 3 X B k 4 u H e z H r M 9 h H p M t e y t O x j W Y 6 a D h 7 R o e 3 A 7 N X b b V z y m N q / c U o v d p r n H 0 h a h g 7 1 P 7 7 H j d t v 1 g P d 8 0 + P 0 2 6 D o 6 z B t f z s d d i v g E S 6 5 r Q 6 7 V f v I j N 9 W h 9 2 q / X v O t 6 / D b i Z m Z I 5 v q 8 N u 0 9 7 X Y b d q / 5 6 T 6 + u w W 7 V / 3 8 l 1 z T 8 N d d j X W B E 4 2 L 9 Z j 9 l e Q j 2 2 / 5 4 d D O s x 0 8 H D n f 3 x L f X Y b V / x G N u 8 c k s 9 d p v m H l u b 5 v d 2 H n 5 K e X 0 l z k 0 6 7 D 3 e 8 r j 8 N q j 5 + k v b 3 0 5 / 3 Q p 4 h D t u q 7 9 u 1 T 4 y 0 7 f V X 7 d q / 5 7 z 7 O u v m 4 k Z m d / b 6 q / b t P f 1 1 6 3 a v + f k + v r r V u 3 f d 3 J d 8 w c d / f W e q w F I 8 d y k v G w X o f L S a O f W H Q w r L 9 P B p i F 7 7 H y b 5 h 4 3 3 6 a 5 x 8 y 3 a e 7 x s m m + e + / e e E d J c p P K u v U 7 H l v f B i 1 f Y W n 7 2 y m s W w G P c M R t F d a t 2 r / n D P s K 6 1 b t 3 3 O O f Y V 1 M z E j s 3 t b h X W b 9 r 7 C u l X 7 9 5 x c X 2 H d q v 3 7 T q 5 r f u A r r I d f I + / / c O d m l W U 7 C V T W Q 0 X x 1 h 0 M q y z T w d 7 u v b 3 7 + 3 u f j h 8 e 3 E 5 5 m R d 3 P 9 3 Z 3 3 9 4 b + d g f G / T s o H H 5 P b N h 5 8 + f P D p w Y P x v Q e 3 0 2 j 2 x f s H B 3 u 7 9 z 8 9 G G 9 6 0 W N 7 8 y I N 8 N 6 9 h / f 2 H z 4 Y P / z 0 d i r O v r r 3 6 f 7 9 B 7 s P 9 x 7 e O r R 8 P 3 R 9 n a d v 3 k 7 n m W 6 2 d + 8 9 3 N 2 7 R 1 n P 8 b 2 N 2 d s I e 9 3 2 1 Q j j 3 P b V C O v c V i u + b 1 c R l r m t g r y Z 8 h H e u O U E R 1 h j + 3 a v + l r z N i P y t e b 7 I e n r z 1 v 1 F O O I W / X k o f g w 1 K T v t Y j w 8 B a L C B Z + q E R v t 4 j g O h h W o q a D e w d 7 D 3 f u 7 1 P 0 d k s l + n 4 v e i J h X t w 0 N 5 4 Y 3 K a 5 J w W m + S 4 N / 8 H B 7 j 7 8 u 4 e b R M 4 T i v d + 1 x O L 2 6 D p 6 0 l t f z s 9 e S v g E a 7 Z 2 D 7 C B B v b R + b + t l r w V u 3 f c 8 5 9 1 X c z M S O z v B H 4 e 8 6 s r + V u 1 f 4 9 J 9 f X b b d q / 7 6 T a 5 u D R 3 2 N Z h Y U T r 5 9 + h N f n d 5 O 7 e z d q N d c L 6 F e 0 x X J W 3 c w q N d s B / t 7 B w e f j u / d b n n U v r V 3 s E s q 7 d P x A 1 W 0 N + g 0 + 9 7 2 3 o M H e / c / 3 R n f e 3 g r 7 W Z f v J 1 2 s 8 0 f P t x / s L u 3 S e E 6 h n + P l x z X 3 w o x T 5 + Z 9 r f S Z + 9 J L k + z u Q m 6 1 Y s R f r j d i x G W u K W u e 8 + O 3 p M V P K V 3 C 4 p H e G A j 8 P e c f k / p 3 a 5 9 h A M 2 t o / M + 8 b 2 k e n e O F 7 X f D e u 9 G 6 5 i g o f 4 S a F Z 3 s I F Z 5 6 F 7 f u Y F j h m Q 7 u 7 T 5 8 e J / i 4 U / H 9 z + 9 n d J 7 z z c 9 X j d v b q K y x + G 3 a e 4 x u G m + u / P g 3 o O 9 h 4 j y x 3 t K s J t 0 3 n u / 6 / H + b d D 0 V Z + 2 v 5 3 q u x X w C N 9 s b B 9 h g 4 3 t I 5 N / W / V 2 q / b v O e e + V r u Z m J F Z v q 1 W u 0 1 7 X 6 v d q v 1 7 T q 6 v 1 W 7 V / n 0 n 1 z X f C 7 X a 1 1 h X f b h / s 2 a z v Y S a b f 8 9 O x j W b K a D v b 2 d n Z 3 x J n P q 8 f X t X / K Y 2 7 x 0 S 3 1 2 m + Y e a 5 v m p I z 2 H o w P N r m k H o + / x 1 s e p 9 8 G N V + H a f v b 6 b B b A Y 9 w y G 1 1 2 K 3 a R + b 6 t j r s V u 3 f c 5 5 9 H X Y z M S P z e 1 s d d p v 2 v g 6 7 V f v 3 n F x f h 9 2 q / f t O r m t + r 6 P D 3 n N t 9 e H N a 6 u u i 1 C B 3 W 5 t 1 X U w r M B M B w f 3 d j 9 9 s D t + c H A 7 F f Y + r 3 n c b V 6 7 p R K 7 T X O P t 0 3 z e z s 7 9 x / e O 3 h 4 M D 6 4 p U v 2 n m 9 6 L H 8 b F H 1 l p u 1 v p 8 x u B T z C L b d V Z r d q H 5 n 1 2 y q z W 7 V / z / n 2 l d n N x I z M 8 W 2 V 2 W 3 a + 8 r s V u 3 f c 3 J 9 Z X a r 9 u 8 7 u a 7 5 v q f M H u 6 8 / 7 r r w 5 2 d m 9 W Z 7 c R X Z / z m e 3 U w r M 5 M B / s P 9 w 7 G + 5 s W S j y 2 N i / t H u w d P K S E 3 C 2 V m X v t Y P z p p n c 8 D r f v U A 7 / P g W z m 5 w / j 9 H t a z u 7 D / d 3 H 9 6 / P 9 7 Z v 5 1 m 8 9 5 8 8 O m 9 B 6 T Z 9 t V 4 3 K T Z 3 g d V X 8 P p e 7 f T c K a T 7 d 0 H D x 5 + S u v H u 7 d U d Q 6 7 W 7 w X Y Z B b v R f h k d u q v v f q J 8 I g t 1 W B N 1 M 7 x g y 3 m d I I K 2 x v e D G q E 2 8 z G l 8 n v g + C v m 6 8 V T 9 R L r i 5 H w + 9 + 6 G O f J 8 V 1 Y c 7 u z e r R w s / V I / K O 7 f u Y F g 9 m g 7 2 D 3 b J x b m d d r z 1 O x 7 3 m 3 c 2 z Y f H 9 L d p 7 v G 8 a b 6 3 Q / k z k q + d 8 Y N b B q z v + a Y n A r d B 0 d e C 2 v 5 2 W v B W w C N 8 s r F 9 Z N o 3 t o 9 M + W 2 V 3 a 3 a v + d 8 + 0 r u Z m J G 5 n g j 8 P e c W V + n 3 a r 9 e 0 6 u r 8 t u 1 f 5 9 J 9 c 1 / z T U Y e + 3 n P B w 5 9 7 N W s z 2 E G o x D a h u 3 c G w F j M d 3 L u / 9 2 C H b O u n t 1 N k 7 / O a x 9 z m t V v q s t s 0 9 1 j b N C e N d P / + v b 2 d g 8 3 r u h 6 f v + e b H s f f B k V f l 2 n 7 2 + m y W w G P c M t t d d m t 2 k d m / b a 6 7 F b t 3 3 O + f V 1 2 M z E j c 3 x b X X a b 9 r 4 u u 1 X 7 9 5 x c X 5 f d q v 3 7 T q 5 r / i D U Z e + / i P A Q Y d R N + s z 2 E u q z / f f s Y F i f m Q 5 2 9 8 k j u Z 0 u u + 0 r H m O b V 2 6 p x 2 7 T 3 G N r 0 / z + w Y O D z e l A j 7 1 v / 5 L H 4 7 d B z N d e 2 v 5 2 2 u t W w C O 8 c V v t d a v 2 k X m + r f a 6 V f v 3 n G V f e 9 1 M z M j 0 3 l Z 7 3 a a 9 r 7 1 u 1 f 4 9 J 9 f X X r d q / 7 6 T 6 5 o f d L T X + y 0 f P N y 5 f 7 P q s l 2 E q k s z Q L f u Y F h 1 m Q 4 + v X 9 v f E 8 1 4 k 2 6 6 9 b v e H x t 3 r m l 8 r p N c 4 + r T f P d + / c + P S C k P r 2 d + n q f 1 z w 2 v w 1 y v g L T 9 r d T Y L c C H u G Q 2 y q w W 7 W P T P b G 9 u 8 5 0 b 4 C u 1 X 7 / l T f T o H d C v h 7 z q y v w G 7 V / j 0 n 1 1 d g t 2 r / v p P r m j / 0 F d j u 1 1 g y A J f f p M J s J 4 E K 2 1 U U b 9 3 B s A o z H e z e v 7 8 7 3 i T C H l e b d x B 7 7 e 5 9 e u v 1 T / P e J g J 7 z O 1 1 c + / + g / v j 3 U 3 d e E x u 3 r u 3 v 3 u w v / f p w c 7 4 / i 1 V m n 3 z 3 s M D k O / + 5 t U Q j / f f C 1 d f v e m L t 1 N v p p f t 2 3 U T 4 a P b v R j h j 9 u 9 G G G S j d I U Y Y 7 b d R R h k 9 v q w J s p H u G I 2 2 E V Y Y j b T Z W v F m 8 z H l 8 t v h e K v n 6 8 V U d f m x X s e x i b r y j f a 9 0 A 3 H + D j n T w Q x 2 5 + 5 4 d D O p I 2 8 E m Q j n O v 1 V z x / i 3 a u 7 Y / V b N H b f b 5 g / u f 7 q 7 v 3 N v 7 8 H Y p C J v U I b v + 6 b j / V u h 6 O l A 0 / 5 W O v B 2 w C P c s b H 9 e 0 6 2 p + d u 1 / 4 9 p 9 t T b 7 d r 3 5 / w W 6 m 3 2 w F / z 5 n 1 d N n t 2 r / n 5 H o q 7 H b t 3 3 d y X f P d U H O Z 1 Y K T b 5 / + x F e n t 1 M v e z f r L 9 t L q L 9 0 a e 7 W H Q z r L 9 P B 3 s P d h 3 v 7 4 4 e b F v 0 8 z j a v 7 e 7 f f / j p 3 n j / 0 9 v p M / P a J h p 7 / G 2 a b 9 + m G 4 / P b 9 O N x + n v M x i P 4 W + L n X C O x / n 6 4 u 1 0 2 v s g 5 + u 2 9 8 M u w h G 3 V X L v h e B 7 8 o K v 7 N 6 r n z 4 z 3 E 7 p v R / V I s x w m / d 8 L f h e 7 0 X Y 4 r b a 8 L 3 6 e V 9 u c M 3 3 4 l r x l m u o Y M O b N K L t I d S I t 1 t D d R 0 M a 0 T T w b 0 H D + 7 f e 7 B 3 2 0 X U 9 3 v P k w P z 3 i 1 1 4 m 2 a e 9 x v m j / Y f b D 3 4 N 7 e 3 s F m 1 9 w T h f d 8 0 5 O F 2 6 D o 6 0 N t f z t 9 e C v g E X 7 Z 2 D 4 y / b d V f 7 d q / 5 7 T 7 a u 9 W 7 X v T / j t 1 N 2 t g L / n z P r a 7 V b t 3 3 N y f a 1 2 q / b v O 7 m u + b 1 Q m 3 2 N V V R w y k 0 a z f Y S a r T 9 9 + x g W K O Z D v b 2 P z 0 Y 7 2 8 S Y o + v b / + S x 9 z m p V v q s t s 0 9 1 j b N K e l 4 0 / H O 7 d U Y 7 d / y e P z 2 y D m a z B t f z s N d i v g E f 6 4 r Q a 7 V f v I T N 9 W g 9 2 q / X v O s q / B b i Z m Z H p v q 8 F u 0 9 7 X Y L d q / 5 6 T 6 2 u w W 7 V / 3 8 l 1 z f c 7 G u w 9 V 1 I x 7 T e p L 9 t F q L 5 u t 5 L q O h h W X 6 a D v d 2 9 g / E t t d e t 3 / H 4 2 r x z S + V 1 m + Y e V 1 u M 9 j + 9 / + D g t s s O 7 / W a x + a 3 Q c 5 X Y N r + d g r s V s A j H H J b B X a r 9 p H J v q 0 C u 1 X 7 9 5 x p X 4 H d T M z I B N 9 W g d 2 m v a / A b t X + P S f X V 2 C 3 a v + + k + u a 3 / c V 2 N 7 X W E k F L W 5 S Y b a T Q I X t K Y q 3 7 m B Y h Z k O K I x 6 8 O n 4 / i 2 V m H l r / 9 N d W n B 8 O N 5 T n X q T I j P v P d z b P T j Y 3 x k / 2 L 2 d R j P v 7 d 4 7 2 L n / 6 Y N 7 m 1 c 4 P Y a 3 L + 7 d f / B w Z 4 d W B T a / 6 r G / e 3 V / f + f h / Z 2 D e 7 d T c O + H q 6 / q 9 M 3 b q T r T z f b + / Y N P D + 7 t j T 9 9 c E u l Z y f v V i 9 G e O V 2 L 0 b Y 5 b Z q 8 P 0 6 i v D J b f X h z R S P M c T t J j b C E t u 3 e 9 V X k r c Z k a 8 k 3 w 9 J X 1 3 e q q c I N 9 y u J w / F T 0 P F + V 4 r q x j q T T r T w g 9 1 p q q a W 3 c w r D N N B 3 v 7 9 z 6 9 n b 6 8 5 R u e C J g 3 N s 2 G x / i 3 a e 7 x v W l + 7 9 7 + / u 7 + g 0 9 3 7 4 / 3 N s m Y J w X v + 6 o n B r d B 0 t e H 2 v 5 2 + v B W w C N c s r F 9 Z N I 3 t o 9 M + W 1 1 3 q 3 a v + e M + 6 r u Z m J G J n k j 8 P e c W V + r 3 a r 9 e 0 6 u r 8 t u 1 f 5 9 J 9 c 1 f x B q s K + x w g p k b 9 J j t p d Q j + 2 9 Z w f D e s x 0 c L D z g O z s z v j e J j n 2 W N u 8 d 2 / / 0 w f 7 B 5 t o 5 v G 3 e e m W C s 0 0 3 y Y X k 0 Z 0 A 3 I e n 9 + m H 4 / T T f N b d e N x / P v h 5 2 s 1 f f N 2 W u 2 9 0 P P V 2 3 v i F + G K 2 y q 6 9 0 P x P T n C 1 3 j v 1 1 G f J W 6 n + t 6 T c B G W u N W L v j Z 8 v x c j 3 H F b t d j t a H N H 7 8 s T r v l B X D / e c q 0 V H d + k G 2 0 P o W 7 U E O 3 W H Q z r R t P B 7 u 4 + L Z n e X j e + 1 3 u e M J j 3 b q k e b 9 P c k w D T f O / h 3 s P 9 h / u k 7 c c 7 m 8 J Z T x 7 e 9 1 V P I G 6 D p K 8 Z t f 3 t N O O t g E c 4 Z m P 7 C A P c V g 3 e q v 1 7 T r i v / W 7 V v j / l t 1 N 6 t w L + n j P r a 7 h b t X / P y f U V 2 6 3 a v + / k u u Y P Q 3 3 2 N V Z b k V y 8 S a f Z X k K d t v + e H Q z r N N P B 7 s M H B / v j h 5 / e T q O 9 x 1 s e e 5 u 3 N l H Y 4 + 7 b N P e Y 2 + K 0 v / f g l n r s t q 9 4 X H 4 b p H z 9 p e 1 v p 7 9 u B T z C H b f V X 7 d q H 5 n m 2 + q v W 7 V / z x n 2 9 d f N x I x M 7 m 3 1 1 2 3 a + / r r V u 3 f c 3 J 9 / X W r 9 u 8 7 u b b 5 v Z 2 O / n r P t V a k + m 5 Q X q 6 L U H n p u s C t O x h U X r a D T 3 c e 7 O 6 O 7 6 l W v E F 5 v c 9 b j r f t W 7 d T X r d q 7 j j b N t / b f 0 D L z J u T 2 4 7 H 3 + s 1 x + q 3 Q s 5 T Y q b 9 r Z T Y 7 Y B H u O S W S u x 2 7 S P T v b H 9 e 0 6 0 p 8 R u 1 7 4 / 1 b d S Y r c D / p 4 z 6 y m x 2 7 V / z 8 n 1 l N j t 2 r / v 5 L r m u 7 4 S 2 / 8 a 6 6 3 7 O z e r M d t J o M b 2 F c V b d z C s x k w H + 5 / e 2 7 9 / 7 8 H u v f H O 7 u 1 U W f D m 3 v 1 7 O + P 9 2 8 W W 9 s 3 d 3 Y O 9 8 f 1 N O t B j d X 1 p m H U 9 N r + x r c f l N 7 b 1 O P z G t r 7 i u r l x h J l u J o m v v s x b 2 7 d 4 L T L n t 9 V i 7 4 F c Z J Z v q 8 v e o 5 f 3 m W p f o 9 3 c + H 0 m 2 9 d l N z f u T / a G x v 0 5 3 t C 4 P 7 M b B u j a 7 o X 6 6 7 2 W P f d 3 b 1 Z d F n 6 o u l S 7 3 L q D Y d V l O q A k 0 O 6 9 + w 9 v H 0 K + 7 5 s e U 5 s 3 N z G 1 x 9 P a f H g + P E 6 + s a 3 H y D e 2 9 f j 4 x r a + 0 r q 5 c Y S D N k p 4 h C M 2 t o 9 M 8 G 3 1 1 K 3 a v + d k + h r q V u 3 f Z 0 Z 9 3 X R z 4 / e Z U 1 8 3 3 d y 4 P 6 c b G v c n d E P j / m x u G K B r e y / U T e + Z s N + / O W H v e g i 1 0 + 0 S 9 q 6 D Y e 1 k O n i 4 c 2 / / w a e 7 e / f G n z 6 8 n X Z 6 z z c 9 h j Z v 3 l I 7 a f P h G f F 4 + c a 2 H i v f 2 N b j 5 B v b + t r p 5 s Y R H r q t d r p V + 8 g E 3 1 Y 7 3 a r 9 e 0 6 m r 5 1 u 1 f 5 9 Z t T X T j c 3 f p 8 5 9 b X T z Y 3 7 c 7 q h c X 9 C N z T u z + a G A b q 2 + 6 F 2 + h r p 9 / 3 9 m z W U 7 S X U U P v v 2 c G w h j I d 3 N / / 9 N a e 0 6 3 f 8 R j Z v H N L r a T N h 2 f C 4 + E b 2 3 o s f G N b j 4 N v b O t r p Z s b R 3 j n t l r p V u 0 j k 3 p b r X S r 9 u 8 5 m b 5 W u l V 7 M 6 O 3 I u b 7 T K m v l W 5 s 7 G u l m x v 3 5 3 R D 4 / 6 E b m j c n 8 0 N A 3 R t 7 3 e 0 0 n s m 1 f d v k V S 3 X Y Q q 6 X Z J d d f B s E o y H d x 7 s L 9 P b s / t d N L t X / L 4 2 L x 0 S 6 W k z Y c n w m P h G 9 t 6 H H x j W 4 + B b 2 z r K 6 W b G 0 d Y 5 7 Z K 6 V b t I 9 N 6 W 6 V 0 q / b v O Z m + U r p V + / e Z U V 8 p 3 d z 4 f e b U V 0 o 3 N + 7 P 6 Y b G / Q n d 0 L g / m x s G 6 N p + 6 i u l + 1 8 j S X 5 / 5 2 a 1 Z D s J 1 N J 9 n d 1 b d z C s l k w H e w f 3 7 j 8 4 2 D t 4 O L 5 / S 9 3 k v 3 n / 3 t 7 D B + N 7 m 9 7 0 e N q + u f / w 4 d 5 4 7 3 Z q S l 8 a n h q P q W 9 s 6 / H 0 j W 0 9 l r 6 x r a + m b m 4 c Y a a b S e I r K / P W 9 i 1 e i 8 z 5 b X X W e y A X m e X b a q 7 3 6 O V 9 p t r X X z c 3 f p / J 9 v X X z Y 3 7 k 7 2 h c X + O N z T u z + y G A b q 2 D 0 L 9 9 V 5 J 8 v u 3 S J J b + K H q u l 2 S 3 H U w r L p M B / c / f b C 7 Q 8 m k n b H C j o 7 c 4 + f 3 e 9 F j a f P i L T 0 r b T 4 8 G x 4 f 3 9 j W Y + M b 2 3 p c f G N b X 2 X d 3 D j C P 7 f 1 r G 7 V P j K 9 t 9 V S t 2 r / n p P p 6 6 d b t X + f G f U 1 0 8 2 N 3 2 d O f c 1 0 c + P + n G 5 o 3 J / Q D Y 3 7 s 7 l h g K 7 t Q a i Z 3 j N F f v / e z b r J 9 h D q p n v v 2 c G w b j I d 3 H + w I y r m d p r J f 2 3 v 4 d 7 + g / H D / d u p J v P m 9 t 6 9 3 b 0 b X v O Y W l 8 b n h a P o W 9 s 6 / H z j W 0 9 d r 6 x r a + i b m 4 c Y a T b E M V X V e a 9 2 7 w W m f T b v B a Z 9 N s q r v f p p j / V t 9 Z f N 1 P 6 f e b b 1 1 8 3 N v b 1 1 8 2 N + x O + o X F / l j c 0 7 s / t h g G 6 t g 9 D / f U 1 k u j 3 9 2 / W Y b a X U I c p O 9 y 6 g 2 E d Z j q 4 / 4 C 4 b J M / 7 v H y r d / x + N m 8 s 4 k x P T 7 W 5 s M z 4 f H w j W 0 9 F r 6 x r c f B N 7 b 1 V d b N j S O 8 s 1 F K I 1 y w s X 1 k U j e 2 j 0 z o b Z X T r d r 3 Z / P W W u l m Y r 7 P l P p a 6 c b G v l a 6 u X F / T j c 0 7 k / o h s b 9 2 d w w Q N t 2 f 6 e j l d 4 z i X 7 f 5 r g H V Z L r I l R J 9 9 + z g 0 G V Z D u 4 v 0 P G b / z w 4 F Z K 6 X 3 e c p x s 3 7 q d W j L N h 6 f C M f H N b R 0 P 3 9 z W s f D N b T 2 1 d I v G E e a 5 p V q 6 X f v I x N 5 S L d 2 u / X t O p q e W b t f + f W b U U 0 u 3 a P w + c + q p p V s 0 7 s / p h s b 9 C d 3 Q u D + b G w b o 2 u 7 6 a u n T r 5 F G / 3 T n Z s V k O w k U E 9 5 8 r w 6 G F Z P p Y P f e w d 7 O w f 7 u g / E D 1 X r R 8 X u c H L z 5 4 N O d W 4 d 8 9 s 2 D n Y f j g 9 3 b a S l 9 Z 3 h m P J 6 + s a 3 H 0 j e 2 9 T j 6 x r a + l r q 5 c Y S X b q S I r 6 r M S 9 s 3 v x W Z 8 N s q r N u j F p n h 2 2 q t 2 3 f y P t P s q 6 6 b G 7 / P R P u q 6 + b G / Y m + n e q 6 u X F / X m + l u v Z C 1 f V e G f R P d 2 / W W h Z + q L V 0 Y m / d w b D W M h 3 s P f j 0 3 s N P 6 b X x g 0 2 6 x 9 N a 7 / m m x 9 P m z U 0 8 7 b G 0 N r + V w r q x r c f I N 7 b 1 + P j G t r 7 C u r l x h I N u 6 1 b d q n 1 k g m + r p W 7 V / j 0 n 0 1 d Q t 2 r / P j P q 6 6 a b G 7 / P n P q 6 6 e b G / T n d 0 L g / o R s a 9 2 d z w w B d 2 3 u h b n r P H P q n N + f Q X Q + h d r p d D t 1 1 M K y d T A d 7 B w 8 o X 3 W f b N r e 7 Z T T + 7 3 o s b N 5 8 Z a 6 S Z s P z 4 f H y T e 2 9 R j 5 x r Y e H 9 / Y 1 t d N N z e O c N B t d d O t 2 k e m 9 7 a 6 6 V b t 3 3 M y f d 1 0 q / b v M 6 O + b r q 5 8 f v M q a + b b m 7 c n 9 M N j f s T u q F x f z Y 3 D N C 1 3 Q 9 1 0 9 f I j 3 + 6 f 7 N + s r 2 E + m n / P T s Y 1 k + m g 7 2 D g / H D T 2 + n m m 7 9 j s f I 5 p 1 b a i V t P j w T H g / f 2 N Z j 4 R v b e h x 8 Y 1 t f K 9 3 c O M I 7 t 9 V K t 2 o f m d T b a q V b t X / P y f S 1 0 q 3 a v 8 + M + l r p 5 s b v M 6 e + V r q 5 c X 9 O N z T u T + i G x v 3 Z 3 D B A 1 / Z + R y u 9 Z 3 7 8 0 1 v k x 2 0 X o U q 6 X X 7 c d T C s k k w H e z v 3 d / Z v u 2 j 3 P m 9 5 n G z e u q V a 0 u b D U + E x 8 Y 1 t P R 6 + s a 3 H w j e 2 9 d X S z Y 0 j z H N b t X S r 9 p G J v a 1 a u l X 7 9 5 x M X y 3 d q v 3 7 z K i v l m 5 u / D 5 z 6 q u l m x v 3 5 3 R D 4 / 6 E b m j c n 8 0 N A 3 R t P / X V 0 o O v k R 9 / s H O z Y r K d B I r p g c 7 u r T s Y V k y m g / 1 P d w 7 u 7 T w 4 o H y R p r G i 4 / c 4 2 X 9 z 7 + G 9 e w / H 9 2 6 n n 8 y L u / v 7 D 8 b 7 m 3 r z + F p f G p 4 Z j 6 d v b O u x 9 I 1 t P Y 6 + s a 2 v p W 5 u H O G l m 0 n i 6 y r z 1 v Y t X o t M + W 1 V 1 n s g F 5 n l 2 y q u 9 + j l f a b a V 1 8 3 N 3 6 f y f b V 1 8 2 N + 5 O 9 o X F / j j c 0 7 s / s h g G 6 t g 9 C 9 f V e O X K o i J s 0 l 4 U f a i 6 d 2 F t 3 M K y 5 T A c P 9 3 Z 2 d z 7 d 3 7 0 3 v n 9 L t + o 9 3 / S Y 2 r x 5 S 9 d K m w / P h 8 f J N 7 b 1 G P n G t h 4 f 3 9 j W V 1 o 3 N 4 5 w 0 G 1 d q 1 u 1 j 0 z w b f X U r d q / 5 2 T 6 G u p W 7 d 9 n R n 3 d d H P j 9 5 l T X z f d 3 L g / p x s a 9 y d 0 Q + P + b G 4 Y o G t 7 E O q m 9 8 y R P 7 h 3 s 3 a y P Y T a S T 2 Y W 3 c w r J 1 M B 7 s 7 u 3 u 7 O / c / 3 d s d f 3 p w O / X 0 v q 9 6 L G 1 e v a V + 0 u b D c + J x 8 4 1 t P W a + s a 3 H y z e 2 9 f X T z Y 0 j X L R Z P 7 1 n + 8 g U 3 1 Y / 3 a r 9 e 0 6 m r 5 9 u 1 f 5 9 Z t T X T z c 3 f p 8 5 9 f X T z Y 3 7 c 3 o 7 / X R z 4 / 5 s 3 k o / P Q z 1 0 9 f I k 2 N R / i Y d Z X s J d d T + e 3 Y w r K N M B w 8 O 9 j / d 3 x n f / / R 2 + u l 9 X v P Y 2 b x 2 S 9 2 k z W + l m 2 5 s 6 z H y j W 0 9 P r 6 x r a + b b m 4 c 4 a D b 6 q Z b t Y 9 M 7 W 1 1 0 6 3 a v + d k + r r p V u 3 f Z 0 Z 9 3 X R z 4 / e Z U 1 8 3 3 d y 4 P 6 c b G v c n d E P j / m x u G K B t e 3 + n o 5 v e M 1 v + w C a z B x W T 6 y J U T P f f s 4 N B x W Q 7 e H D b k O 6 2 b z g O t m / c T h 2 Z 5 s N T 4 J j 3 5 r a O d 2 9 u 6 1 j 3 5 r a e O r p F 4 w j T 3 F I d 3 a 5 9 Z E J v q Y 5 u 1 / 4 9 J 9 N T R 7 d r / z 4 z 6 q m j W z R + n z n 1 1 N E t G v f n d E P j / o R u a N y f z Q 0 D d G 1 3 f X V 0 8 D W y 5 A c 7 N y s k 2 0 m g k P D m e 3 U w r J B M B 5 8 + 3 L m 3 f / / B f V I z m 5 L d H i f b N + 8 d 7 H 6 6 R + + O 9 2 + X J r d v 3 t / b P b h 3 b 2 d n v H s 7 T a X v D c + O x 9 c 3 t v X Y + s a 2 H l f f 2 N b X V D c 3 j v D T r a j i q y z z 4 v b t 3 o x M / m 2 V 1 / u h G J n x 2 2 q x 9 + v o f a b d V 2 c 3 N 3 6 f i f f V 2 c 2 N + x O / o X F / s j c 0 7 s / v h g G 6 t n u h O n u v r P n B 7 s 2 a z M I P N Z l O 7 K 0 7 G N Z k p o P d e w / 3 D / Y f 7 O 3 v j / c O b q f K 3 v d V j 7 P N q 5 s 4 2 2 N s b T 4 8 I x 4 v 3 9 j W Y + U b 2 3 q c f G N b X 4 X d 3 D j C Q x v F P M I T G 9 t H p v i 2 + u p W 7 d 9 z M n 0 1 d a v 2 7 z O j v n a 6 u f H 7 z K m v n W 5 u 3 J / T D Y 3 7 E 7 q h c X 8 2 N w z Q t b 0 X a i e T N z / 5 9 u l P f H V 6 O x W y d 7 O O s r 2 E O m r v P T s Y 1 l G m g 4 N 7 + 3 s P 9 s a f b j J r H h + b 1 + 5 9 u r v 3 g N 4 7 2 L + d c j L v b d N b B / f J j I L 8 g y 9 6 j K 0 v D k + N x 9 Q 3 t v V 4 + s a 2 H k v f 2 N Z X U z c 3 j j D T 7 c j i K y z z 5 u 1 e j E z 8 7 V 6 M T P 1 t V d j 7 d d S f 8 l v r s p s p / j 7 z 7 u u y G x v 7 u u z m x v 2 J 3 9 C 4 P 9 c b G v f n d 8 M A X d v 9 u C 6 7 5 R r g w b 2 b 9 Z j t I d R j y g q 3 7 u D 3 G t R j p o P d e x Q 1 0 k u 7 9 8 c H m i S L j t 5 j 6 P d 9 1 e N t 8 + o t f S 1 t P j w n H j f f 2 N Z j 5 h v b e r x 8 Y 1 t f i d 3 c O M J F t / W 1 b t U + M s W 3 9 b V u 1 f 4 9 J 9 P X T 7 d q / z 4 z 6 u u n m x u / z 5 z 6 + u n m x v 0 5 3 d C 4 P 6 E b G v d n c 8 M A X d v 7 o X 7 6 G m u A 8 E 9 u 0 l G 2 l 1 B H 7 b 9 n B 8 M 6 y n R w 7 9 6 n + + N 7 6 s N F x + 5 x 8 e 1 f 8 l j Z v H R L v a T N h + f C 4 + I b 2 3 p M 3 G 2 7 S S / d 2 N b X S z c 3 j n D P b f X S r d p H p v W 2 e u l W 7 d 9 z M n 2 9 d K v 2 7 z O j v l 6 6 u f H 7 z K m v l 2 5 u 3 J / T 2 + m l m x v 3 Z / N W e u n T j l 5 6 z / U / e B k 3 K S X b R a i U 1 D + 5 d Q f D S s l 0 s L u 7 / / A + 5 5 l U 4 d 2 k m N 7 v R Y + f z Y u 3 V E 7 a / F b K 6 c a 2 H i f f 2 N Z j 5 B v b + s r p 5 s Y R F r q t c r p V + 8 j 0 3 l Y 5 3 a r 9 e 0 6 m r 5 x u 1 f 5 9 Z t R X T j c 3 f p 8 5 9 Z X T z Y 3 7 c 7 q h c X 9 C N z T u z + a G A b q 2 D 3 z l 9 P B r r A Y + 3 L l Z P d l O A v X 0 U G f 3 1 h 0 M q y f T w c H u g / 2 D n Y M H 4 1 u 6 T e a 9 T y k L d n / n 0 4 P x P V W Z 0 R c 9 h j Y v 7 u 4 + 3 L u 3 s 3 u w O R b 0 O F t f H J 4 b j 6 t v b O s x 9 Y 1 t P Z 6 + s a 2 v p 2 5 u H O G m 2 5 H F 1 1 j m z e 1 b v h q Z / N s q r / d E M j L r t 1 V j 7 9 n T + 0 y 9 r 9 B u b v w + k + 8 r t J s b 9 y d / Q + P + f G 9 o 3 J / h D Q N 0 b Q 9 C h f Z e 6 4 E P 7 X L d s C 6 z 8 E N d p h n x W 3 c w r M t M B 7 v 3 D x 7 c v / / g 4 a f j B 5 u 4 x m P s 9 3 z T Y 2 z z 5 i 2 d L W 0 + P B 8 e J 9 / Y 1 m P k G 9 t 6 f H x j W 1 + J 3 d w 4 w k G 3 d b Z u 1 T 4 y w b f V V 7 d q / 5 6 T 6 W u p W 7 V / n x n 1 d d P N j d 9 n T n 3 d d H P j / p x u a N y f 0 A 2 N + 7 O 5 Y Y C u 7 c N Q N 3 2 N 1 c C H t 1 g N t L 2 E G u p 2 q 4 G u g 2 E N Z T p A s m l n E 9 d 4 T H z r d z x G N u / c U i t p 8 + G Z 8 H j 4 x r Y e C 9 / Y 1 u P g G 9 v 6 W u n m x h H e u a 1 W u l X 7 y K T e V i v d q v 1 7 T q a v l W 7 V / n 1 m 1 N d K N z d + n z n 1 t d L N j f t z u q F x f 0 I 3 N O 7 P 5 o Y B 2 r a f 7 s S 1 0 i 3 X 9 R 7 e v K 7 n e g g 1 0 u 3 W 9 V w H g x r J d r B L U d z u z r 0 H B + M d B R 4 d v G P j 8 M 1 P 9 / f 2 x / u 3 8 5 n s m 9 u f 7 u x / O t 7 f F H E 6 t j Z v D U + M Y + m b 2 z q O v r m t Y + i b 2 3 p K 6 h a N I 6 x 0 C 5 p 4 u s q + d o u 3 I p N + i 7 c i E 3 5 L v f U + v f S n + b b a 6 x Z U f p + 5 9 r T X z Y 0 9 7 X W L x v 3 J 3 t C 4 P 8 U b G v d n d s M A X d v d U H t 9 j V W / h / s 3 a z D b S 6 j B 9 t + z g 2 E N Z j r 4 d O f e / X t I k x / c T n + 9 1 3 s e W 5 v 3 N j G o x 8 / a f H h G P F 6 + s a 3 H y j e 2 9 T j 5 x r a + 2 r q 5 c Y S H N k p r h B s 2 t o 9 M 7 s b 2 k U m 9 r Y 6 6 V f v + b N 5 a O 9 1 M z P e Z U l 8 7 3 d j Y 1 0 4 3 N + 7 P 6 Y b G / Q n d 0 L g / m x s G 6 N r u d b T T e 6 7 9 P b x 5 7 c 9 1 E a q m 2 6 3 9 u Q 6 G V Z P p Y P / e / b 0 H 4 / u 3 S 6 2 / z 1 s e J + O t 9 1 B L 2 n x 4 K j w m v r G t x 8 M 3 t v V Y + M a 2 v l q 6 u X G E e W 6 r l m 7 V P j K x t 1 V L t 2 r / n p P p q 6 V b t X + f G f X V 0 s 2 N 3 2 d O f b V 0 c + P + n G 5 o 3 J / Q D Y 3 7 s 7 l h g K 7 t P U 8 t 7 e 7 s v f e y H 7 2 z c 7 N m s r 1 4 m k n e f K 8 O h j W T 6 e A e B Y k P 7 + / u 3 b u 3 e Y X F 4 + X g 1 f 0 H D y l k 3 L + l 6 2 R f 3 b t / f 3 z v w e 0 0 l b 4 0 P D s e X 9 / Y 1 m P r G 9 t 6 X H 1 j W 1 9 T 3 d w 4 w k 8 3 k 8 T X V + a t 7 V u 8 F p n 1 2 6 q t 9 0 A u M s u 3 V V 7 v 0 c v 7 T L W v w m 5 u / D 6 T 7 a u w m x v 3 J 3 t D 4 / 4 c b 2 j c n 9 k N A 3 R t 9 z s q 7 D 0 W + q j 5 7 s 3 a y 3 Y Q a q / d 9 + x g W H u Z D v b 3 D h 7 s 7 O / s P z x 4 M N 7 f x D g e T 7 / 3 u x 5 n m 3 d v 6 W N p 8 + F J 8 d j 5 x r Y e N 9 / Y 1 m P m G 9 v 6 m u v m x h E 2 u q 2 P d a v 2 k U m + r b K 6 V f v 3 n E x f T d 2 q / f v M q K + g b m 7 8 P n P q K 6 i b G / f n d E P j / o R u a N y f z Q 0 D d G 3 v d x T U e + X V 6 Y V 7 N 6 s o 2 0 W o o u 6 9 Z w f D K s p 0 s L 9 / f / / h 7 v 3 d B z u 7 Y z i a g 6 z j c f J 7 v + t x t X n 3 l i p K m w 9 P i 8 f Q N 7 b 1 + P n G t h 4 7 3 9 j W V 1 E 3 N 4 4 w 0 m 1 V 1 K 3 a R y b 5 t i r q V u 3 f c z J 9 F X W r 9 u 8 z o 7 6 K u r n x + 8 y p r 6 J u b t y f 0 w 2 N + x O 6 o X F / N j c M 0 L X 9 t K O i g u T 5 7 Z T I / s 1 a y v Y S a q n 9 9 + x g W E u Z D v b 2 H 4 w / 3 R T E e U x 8 6 3 c 8 R j b v 3 F I r a f P h m f B 4 + M a 2 H g v f 2 N b j 4 B v b + l r p 5 s Y R 3 r m t V r p V + 8 i k 3 l Y r 3 a r 9 e 0 6 m r 5 V u 1 f 5 9 Z t T X S j c 3 f p 8 5 9 b X S z Y 3 7 c 7 q h c X 9 C N z T u z + a G A b q 2 D 7 p a 6 b 2 S 5 v T G / Z t 1 k u 0 j 1 E n 3 3 7 O D Y Z 1 k O t j d 2 9 2 7 v 3 t v f F 9 B R w f v s f F 7 v e e x s 3 n v l r p J m w / P h 8 f J N 7 b 1 G P n G t h 4 f 3 9 j W 1 0 0 3 N 4 5 w 0 G 1 1 0 6 3 a R y b 3 t r r p V u 3 f c z J 9 3 X S r 9 u 8 z o 7 5 u u r n x + 8 y p r 5 t u b t y f 0 w 2 N + x O 6 o X F / N j c M 0 L U 9 C H T T v a + R O L + 3 c 7 N 2 s r 0 E 2 u m e T u + t O x j W T q a D + w 8 O D v Y + p b W D e 5 t T l h 4 v e 6 8 + + P R g h 7 q 7 d V R n X z 3 Y u f 9 w b / x g k 2 r z u F t f G 5 4 f j 7 N v b O s x 9 o 1 t P b 6 + s a 2 v q 2 5 u H O G o 2 x D F 1 1 n m v e 1 b v R i Z + 9 s q r / d C M D L b t 1 V i 7 9 X P + 0 y 5 r 8 x u b v w + k + 4 r s 5 s b 9 y d 9 Q + P + T G 9 o 3 J / d D Q N 0 b R 9 2 l N l 7 p d D v 3 S K F b j s I 9 d g N K f R e B 8 N 6 z H S w u 3 u w 8 2 D v w b 2 H D z 4 d 7 3 9 6 O 0 X 2 3 u 9 6 v G 3 e 3 c T b H m t r 8 + F J 8 d j 5 x r Y e N 9 / Y 1 m P m G 9 v 6 G u z m x h E 2 2 i j o E a 7 Y 2 D 4 y y b d V W L d q / 5 6 T 6 S u q W 7 V / n x n 1 F d T N j d 9 n T n 0 F d X P j / p x u a N y f 0 A 2 N + 7 O 5 Y Y C 2 7 Y O d j o I y K f S T b 5 / + x F e 3 0 1 J 7 N 2 o p 1 0 u o p d S p u X U H g 1 r K d r B H O u 3 h w / v 3 9 s c 7 B 7 f S U e / 7 p m N q + + b t N J R p P j w r j p 9 v b u v Y + e a 2 j p t v b u t p q F s 0 j v D R L T X U 7 d p H J v i W G u p 2 7 d 9 z M j 0 N d b v 2 7 z O j n o a 6 R e P 3 m V N P Q 9 2 i c X 9 O N z T u T + i G x v 3 Z 3 D B A 1 3 Z 3 Q E P d c p H v 3 s 2 L f K 6 L U D 3 d b p H P d T C s n k w H u 7 v 3 D y i q 2 7 3 / Y H 9 8 7 3 b p q v d / 1 + N q 8 + 4 t V Z Q 2 H 5 4 W j 6 F v b O v x 8 4 1 t P X a + s a 2 v o m 5 u H G G k 2 6 q o W 7 W P T P J t V d S t 2 r / n Z P o q 6 l b t 3 2 d G f R V 1 c + P 3 m V N f R d 3 c u D + n G x r 3 J 3 R D 4 / 5 s b h i g a 7 v X U V H v v 8 h 3 b / 9 m L W V 7 C b X U / n t 2 M K y l T A f I V o 3 B S Y N s 4 3 H x 7 V / y W N m 8 d E u 9 p M 2 H 5 8 L j 4 h v b e k x 8 Y 1 u P h 2 9 s 6 + u l m x t H u O e 2 e u l W 7 S P T e l u 9 d K v 2 7 z m Z v l 6 6 V f v 3 m V F f L 9 3 c + H 3 m 1 N d L N z f u z + m G x v 0 J 3 d C 4 P 5 s b B u j a 3 u v q p f d c 5 o O b c Z N W s n 2 E W u l 2 y 3 y u g 2 G t Z D r A o u C 9 B 5 / u P R g j w B 3 k H I + R 3 / N N j 6 X N m 7 f U T 9 p 8 e E 4 8 b r 6 x r c f M N 7 b 1 e P n G t r 5 + u r l x h I t u q 5 9 u 1 T 4 y w b f V T 7 d q / 5 6 T 6 e u n W 7 V / n x n 1 9 d P N j d 9 n T n 3 9 d H P j / p x u a N y f 0 A 2 N + 7 O 5 Y Y C u 7 X 6 g n / a / x l L f / s 7 N G s r 2 E m i o f Z 3 e W 3 c w r K F M B 7 s 7 O z s H n 9 6 7 N 9 7 b v 5 2 C M i / u 3 / t 0 b 2 f n 4 X j v 0 9 u p J / P e / U / 3 P 8 X C 4 s O D 2 + k p f W 9 4 b j y u v r G t x 9 Q 3 t v V 4 + s a 2 v p 6 6 u X G E m 2 5 F F V 9 h m R e 3 b / d m Z O Z v q 7 r e D 8 X I j N 9 W h 7 1 f R + 8 z 7 b 4 y u 7 n x + 0 y 8 r 8 x u b t y f + A 2 N + 5 O 9 o X F / f j c M 0 L W 9 3 1 F m 7 7 X U t 7 9 7 s x 6 z H Y R 6 b P c 9 O x j W Y 6 Y D 0 k X 8 3 E 6 J v c d b H k O b t 2 7 p Y W n z 4 Y n w W P j G t h 4 H 3 9 j W Y + A b 2 / q a 6 + b G E d a 5 r Y d 1 q / a R i b 2 t m r p V + / e c T F 8 7 3 a r 9 + 8 y o r 5 R u b v w + c + o r p Z s b 9 + d 0 Q + P + h G 5 o 3 J / N D Q N 0 b T / t K C V N n t P y 3 u 2 0 x t 7 N a s l 2 E a q l v f f s Y F g t m Q 7 u f 3 r v w K 4 Z R g f u s b B 5 i f p 5 Q K m p / d t p J f P W 9 s 1 9 e e y s b w 1 P i M f K N 7 b 1 O P n G t h 4 j 3 9 j W V 0 4 3 N 4 6 w 0 C 1 o 4 u u o 2 8 + a r 6 n e 4 6 3 I Z N 9 W X 7 1 H L / 1 p v r X W u p n K 7 z P X v t a 6 s b G v t W 5 u 3 J / s D Y 3 7 U 7 y h c X 9 m N w z Q t X 0 w o L V u u e S 3 f + 9 m r W W 7 C L X W v f f s Y F h r m Q 4 e P i A F 9 J A 8 8 F s q r v d 6 z + N p 8 9 4 t H S p t P j w d H i P f 2 N b j 4 x v b e m x 8 Y 1 t f Z 9 3 c O M J A t 3 W o b t U + M r m 3 d a h u 1 f 4 9 J 9 N X T b d q / z 4 z 6 q u m m x u / z 5 z 6 q u n m x v 0 5 3 d C 4 P 6 E b G v d n c 8 M A X d u D j m p 6 / 6 W + / f 2 b t Z P t J d R O + + / Z w b B 2 M h 0 c 7 I 3 v f 3 o 7 x X T b V z w 2 N q / c U i d p 8 + F 5 8 D j 4 x r Y e A 9 / Y 1 u P f G 9 v 6 O u n m x h H O u a 1 O u l X 7 y J T e V i f d q v 1 7 T q a v k 2 7 V / n 1 m 1 N d J N z d + n z n 1 d d L N j f t z u q F x f 0 I 3 N O 7 P 5 o Y B u r Y P u z r p P Z f 5 9 u / f r J F s H 6 F G u v + e H Q x r J N P B 7 o O 9 T z 8 d 7 x / c T i m 9 x 1 s e K 5 u 3 b q m X t P n w X H h c f G N b j 4 l v b O v x 8 I 1 t f b 1 0 c + M I 9 9 x W L 9 2 q f W R i b 6 u X b t X + P S f T 1 0 u 3 a v 8 + M + r r p Z s b v 8 + c + n r p 5 s b 9 O d 3 Q u D + h G x r 3 Z 3 P D A G 3 b g 5 1 A L 9 3 / G s t 7 9 3 d u 1 E y u l 0 A z 3 d f p v X U H g 5 r J d r C 7 v 7 N 7 8 O m D g 9 t 6 T M G L n z 7 Y / X R 8 o O o y + q J j a f f i w 0 9 3 x w 9 2 b 6 W l z E v D M + N 4 + u a 2 j q V v b u s 4 + u a 2 n p a 6 R e M I L 9 1 M E k 9 X 2 b e 2 b / F a Z M Z v q b L e B 7 n I L N 9 S c b 1 P L + 8 z 1 Z 7 6 u k X j 9 5 l s T 3 3 d o n F / s j c 0 7 s / x h s b 9 m d 0 w Q N d 2 t 6 O + 3 m t B 7 / 7 u z Z r L d h B q L p 3 Z W 3 c w r L l M B 3 u U 5 b y 3 f + / e + J a K 6 7 3 e 8 z j a v L e J o z 2 G 1 u b D k + G x 8 Y 1 t P S 6 + s a 3 H x D e 2 9 T X W z Y 0 j 7 L N R v C P c s L F 9 Z H J v q 6 R u 1 f 4 9 J 9 N X T 7 d q / z 4 z 6 i u m m x u / z 5 z 6 i u n m x v 0 5 3 d C 4 P 6 E b G v d n c 8 M A X d u 9 j m J 6 z / T 4 / Z v T 4 6 6 L U D X d L j 3 u O h h W T a a D / T 3 K p t M z v v / w d r r p / V 7 0 + N m 8 e E v l p M 2 H J 8 R j 5 R v b e p x 8 Y 1 u P k W 9 s 6 y u n m x t H W O i 2 y u l W 7 S P T e 1 v l d K v 2 7 z m Z v n K 6 V f v 3 m V F f O d 3 c + H 3 m 1 F d O N z f u z + m G x n Z C b 9 O 4 P 5 s b B u j a 3 u s o p / d P k N / f v 1 k / 2 V 5 C / b T / n h 0 M 6 y f T w f 7 9 / f 2 x g R s d u 8 f F t 3 / J Y 2 X z 0 i 3 1 k j Y f n g u P i 2 9 s 6 z H x j W 0 9 H r 6 x r a + X b m 4 c 4 Z 7 b 6 q V b t Y 9 M 6 2 3 1 0 q 3 a v + d k + n r p V u 3 f Z 0 Z 9 v X R z 4 / e Z U 1 8 v 3 d y 4 P 6 c b G v c n d E P j / m x u G K B r u 9 / V S + + Z J L 9 / c 5 L c 9 R F q p d s l y V 0 H w 1 r J d H D v 4 d 6 9 8 f 7 e 7 b T S 7 V / y G N m 8 d E u t p M 2 H Z 8 L j 4 R v b e i x 8 Y 1 u P g 2 9 s 6 2 u l m x t H e O e 2 W u l W 7 S P T e l u t d K v 2 7 z m Z v l a 6 V f v 3 m V F f K 9 3 c + H 3 m 1 N d K N z f u z + m G x v 0 J 3 d C 4 P 5 s b B u j a 3 g + 0 0 q d f I 0 X + 6 c 7 N e s n 2 E u i l T 3 V 6 b 9 3 B s F 4 y H V C i + + G D h + T 7 3 E 4 z v c 9 r H j u b 1 2 6 p m 7 T 5 8 H x 4 n H x j W 4 + R b 2 z r 8 f G N b X 3 d d H P j C A f d V j f d q n 1 k a m + r m 2 7 V / j 0 n 0 9 d N t 2 r / P j P q 6 6 a b G 7 / P n P q 6 6 e b G / T n d 0 L g / o R s a 9 2 d z w w B d 2 0 8 7 u u m 9 8 t + f 7 t 6 s l m w H o V r a f c 8 O h t W S 6 W D 3 0 5 0 H 9 + 9 9 e n A 7 r f Q e b 3 l 8 b N 6 6 p V L S 5 s M T 4 b H w j W 0 9 D r 6 x r c f A N 7 b 1 l d L N j S O s c 1 u l d K v 2 k Y m 9 r V K 6 V f v 3 n E x f K d 2 q / f v M q K + U b m 7 8 P n P q K 6 W b G / f n d E P j / o R u a N y f z Q 0 D d G 0 f d J T S e + a + P 7 1 3 s 1 q y X Y R q 6 d 5 7 d j C s l k w H 9 M b 9 + w f 7 9 2 + d X 3 q / F z 1 + N i / e U j l p 8 + E J 8 V j 5 x r Y e J 9 / Y 1 m P k G 9 v 6 y u n m x h E W u q 1 y u l X 7 y P T e V j n d q v 1 7 T q a v n G 7 V / n 1 m 1 F d O N z d + n z n 1 l d P N j f t z u q F x f 0 I 3 N O 7 P 5 o Y B u r Y H H e X 0 / r n v T / d v 1 k + 2 l 1 A / q S q 4 d Q f D + s l 0 s H f v w d 7 4 l q r p 1 u 9 4 j G z e u a V W 0 u b D M + H x 8 I 1 t P R a + s a 3 H w T e 2 9 b X S z Y 0 j v H N b r X S r 9 p F J v a 1 W u l X 7 9 5 x M X y v d q v 3 7 z K i v l W 5 u / D 5 z 6 m u l m x v 3 5 3 R D 4 / 6 E b m j c n 8 0 N A 3 R t H 3 a 1 0 n t m v j + 9 f 7 N O s n 2 E O k k T O r f u Y F g n m Q 5 2 9 + 8 9 G H 9 6 O 5 1 0 6 3 c 8 N j b v 3 F I n a f P h e f A 4 + M a 2 H g P f 2 N b j 3 x v b + j r p 5 s Y R z r m t T r p V + 8 i k 3 l Y n 3 a r 9 e 0 6 m r 5 N u 1 f 5 9 Z t T X S T c 3 f p 8 5 9 X X S z Y 2 7 c 3 p b n X Q z 5 P 5 s b h i g b f t w J 9 B J D 7 5 G 3 v v B z o 1 a y f U S a K U H O r 2 3 7 m B Q K 9 k O 9 n b 3 P n 2 w e / + W z l L w 2 r 1 P H 4 z v 3 2 5 R z r 5 3 b / / B G C Z g 8 B 3 H 0 + a d 4 V l x / H x z W 8 f O N 7 d 1 3 H x z W 0 9 D 3 a J x h I 9 u p I i n p u x L 2 z e / F Z n r W y q r 9 0 A t M s O 3 1 F j v 0 c n 7 T L O n t m 7 R + H 0 m 2 l N b t 2 j c n + g N j f s T v K F x f 1 4 3 D N C 1 3 e 2 o r f d K i T / Y v V l j 2 Q 5 C j b X 7 n h 0 M a y z T w f 7 e / b 2 d 3 Z 3 x J s 3 j M f P 7 v O a x s 3 l t E z t 7 3 K z N h 6 f C Y + I b 2 3 o 8 f G N b j 4 V v b O v r q p s b R 5 h n o 2 x H e G F j + 8 j U 3 l Z B 3 a r 9 e 0 6 m r 5 t u 1 f 5 9 Z t R X S z c 3 f p 8 5 9 d X S z Y 3 7 c 7 q h c X 9 C N z T u z + a G A b q 2 e x 2 1 9 J 5 J 8 Q c 3 J 8 V d F 6 F i u l 1 S 3 H U w r J h M B 5 / e e 3 B / Z 2 c T z 3 g s f P u X P D 4 2 L 9 1 S K W n z 4 Y n w W P j G t h 4 H 3 9 j W Y + A b 2 / p K 6 e b G E d a 5 r V K 6 V f v I t N 5 W K d 2 q / X t O p q + U b t X + f W b U V 0 o 3 N 3 6 f O f W V 0 s 2 N + 3 O 6 o X F / Q j c 0 7 s / m h g G 6 t v c 6 S u n 9 k + E P 9 m / W S 7 a X U C / t v 2 c H w 3 r J d L D 3 4 N 7 9 8 Y 7 C j Y 7 d 4 + L b v + S x s n n p l n p J m w / P h c f F N 7 b 1 m P j G t h 4 P 3 9 j W 1 0 s 3 N 4 5 w z 2 3 1 0 q 3 a R 6 b 1 t n r p V u 3 f c z J 9 v X S r 9 u 8 z o 7 5 e u r n x + 8 y p r 5 d u b t y f 0 w 2 N + x O 6 o X F / N j c M 0 L X d 7 + q l 9 0 y H P 7 g 5 H e 7 6 C L X S 7 d L h r o N h r W Q 6 2 N 3 f 2 7 l l O v z 2 7 3 h s b N 6 5 p U 7 S 5 s P z 4 H H w j W 0 9 B r 6 x r c e / N 7 b 1 d d L N j S O c c 1 u d d K v 2 k U m 9 r U 6 6 V f v 3 n E x f J 9 2 q / f v M q K + T b m 7 8 P n P q 6 6 S b G / f n d E P j / o R u a N y f z Q 0 D d G 3 v B z r p 4 G u k w w 9 2 b t Z K t p d A K x 3 o 9 N 6 6 g 2 G t Z D q 4 t 7 P z 6 c O d M X h 1 k H E 8 P n 6 f 1 z x 2 N q / d U j d p 8 + H 5 8 D j 5 x r Y e I 9 / Y 1 u P j G 9 v 6 u u n m x h E O u q 1 u u l X 7 y N T e V j f d q v 1 7 T q a v m 2 7 V / n 1 m 1 N d N N z d + n z n 1 d d P N j f t z u q F x f 0 I 3 N O 7 P 5 o Y B u r a f d n T T e + W 8 D 3 Z v V k u 2 g 1 A t 7 b 5 n B 8 N q y X T w 6 Q 5 F s L R I d 0 u 1 9 D 6 v e Z x s X r u l W t L m w 1 P h M f G N b T 0 e v r G t x 8 I 3 t v X V 0 s 2 N I 8 x z W 7 V 0 q / a R q b 2 t W r p V + / e c T F 8 t 3 a r 9 + 8 y o r 5 Z u b n z b O e 2 q p R s h + 2 r p 5 s b 9 C b 2 d W r q x s Y f F g 4 5 a e s + c 9 8 G 9 m x W T 7 S J U T P f e s 4 N h x W Q 6 I A 2 z f 2 / / t m t x 7 / G W x 8 n m r V u q J W 1 + K 7 V 0 Y 1 u P h 2 9 s 6 7 H w j W 1 9 t X R z 4 w j z 3 F Y t 3 a p 9 Z G J v q 5 Z u 1 f 4 9 J 9 N X S 7 d q / z 4 z 6 q u l m x u / z 5 z 6 a u n m x v 0 5 3 d C 4 P 6 E b G v d n c 8 M A X d u D j l p 6 / 6 z 3 w f 7 N m s n 2 E m q m / f f s Y F g z m Q 4 e 7 n 8 6 3 j m 4 n V 6 6 9 T s e I 5 t 3 b q m V t P n w T H g 8 f G N b j 4 V v b O t x 8 I 1 t f a 1 0 c + M I 7 9 x W K 9 2 q f W R S b 6 u V b t X + P S f T 1 0 q 3 a v 8 + M + p r p Z s b v 8 + c + l r p 5 s b 9 O d 3 Q u D + h G x r 3 Z 3 P D A F 3 b h 1 2 t 9 J 4 5 7 4 P 7 N + s k 2 0 e o k + 6 / Z w f D O s l 0 s H 9 / f 2 x U X X T g H g v f + h 2 P j c 0 7 t 9 R J 2 n x 4 H j w O v r G t x 8 A 3 t v X 4 9 8 a 2 v k 6 6 u X G E c 2 6 r k 2 7 V P j K p t 9 V J t 2 r / n p P p 6 6 R b t X + f G f V 1 0 s 2 N 3 2 d O f Z 1 0 c + P + n G 5 o 3 J / Q D Y 3 7 s 7 l h g K b t 7 s 5 O o J M e f o 2 c 9 8 O d m 7 S S 1 0 u g l R 7 q 9 N 6 6 g y G t 5 D r 4 d P f e w c 7 4 V m r p f V 6 y r O x e u p V e s s 2 H 5 8 J y 8 S 3 a W i a + R V v L w 7 d o 6 / T S b R p H u O d 2 e u m W 7 S P T e j u 9 d M v 2 7 z m Z T i / d s v 3 7 z K j T S 7 d p / D 5 z 6 v T S b R r 3 5 3 R D 4 / 6 E b m j c n 8 0 N A 3 R t d z t 6 6 b 3 y 3 Q 9 3 b 1 Z J t o N Q J e 2 + Z w f D K s l 0 s L u 3 9 + D + 3 i 2 X 4 d 7 v N Y + T z W u 3 V E v a f H g q P C a + s a 3 H w z e 2 9 V j 4 x r a + W r q 5 c Y R 5 b q u W b t U + M r W 3 V U u 3 a v + e k + m r p V u 1 f 5 8 Z 9 d X S z Y 3 f Z 0 5 9 t X R z 4 / 6 c b m j c n 9 A N j f u z u W G A r u 1 e R y 2 9 Z 7 7 7 4 Y 3 5 b q + L U D H d L t / t O h h W T K Y D e m N n 5 / 4 Y g j D I N R 4 T v 8 9 r H i + b 1 2 6 p m L T 5 8 G R 4 b H x j W 4 + L b 2 z r M f G N b X 3 F d H P j C P v c V j H d q n 1 k a m + r m G 7 V / j 0 n 0 1 d M t 2 r / P j P q K 6 a b G 7 / P n P q K 6 e b G / T n d 0 L g / o R s a 9 2 d z w w B d 2 3 s d x f T + G e + H + z f r J t t L q J v 2 3 7 O D Y d 1 k O i D f 5 / 7 4 / s H t N N P t X / J Y 2 b x 0 S 7 2 k z Y f n w u P i G 9 t 6 T H x j W 4 + H b 2 z r 6 6 W b G 0 e 4 5 7 Z 6 6 V b t I 9 N 6 W 7 1 0 q / b v O Z m + X r p V + / e Z U V 8 v 3 d x Y 5 / R W j X 2 9 d H P j / p x u a N y f 0 A 2 N + 7 O 5 Y Y C u 7 X 5 X L 7 1 n z v v h j T l v r 4 9 Q K 9 0 u 5 + 0 6 G N Z K p o O D 8 f 1 P b 6 e S b v m G x 8 L m j V v q I 2 0 + P A c e 9 9 7 Y 1 m P e G 9 t 6 v H t j W 1 8 f 3 d w 4 w j W 3 1 U e 3 a h + Z 0 N v q o 1 u 1 f 8 / J 9 P X R r d q / z 4 z 6 + u j m x u 8 z p 7 4 + u r l x f 0 4 3 N O 5 P 6 I b G / d n c M E D X 9 r 6 v j 3 Z 3 3 j / f z W m s m z S S 7 c X X S P z m e 3 U w r J F M B / T O g 3 v 3 d u / v j h / s 3 0 4 z m T c / v f f g 4 b 1 P 7 x / c 2 m E y L + 7 T e w / 3 H 9 4 b g 4 E H X / S Y W 1 8 c n h 6 P s W 9 s 6 / H 1 j W 0 9 t r 6 x r a + q b m 4 c Y a j b k c V X W u b N 7 V u + G p n + 2 + q v 9 0 Q y M u u 3 1 W T v 2 d P 7 T L 2 v 0 2 5 u / D 6 T 7 + u 0 m x v 3 J 3 9 D 4 / 5 8 b 2 j c n + E N A 3 R t P + 3 o t P f J l X P 6 6 y Z 1 Z j s I 1 d n u e 3 Y w r M 5 M B 3 s 7 + 3 u f 3 t / Z P x j f u 6 U 6 e 8 8 3 P c 4 2 b 9 7 S 4 d L m w x P i s f K N b T 1 O v r G t x 8 g 3 t v W 1 2 M 2 N I y x 0 W 4 f r V u 0 j E 3 x b h X W r 9 u 8 5 m b 6 a u l X 7 9 5 l R X z n d 3 P h 9 5 t R X T j c 3 7 s / p h s b 9 C d 3 Q u D + b G w b o 2 j 7 o K K f 3 y 5 h z s H m T e r J d h O r p 3 n t 2 M K y e T A e 7 9 w 8 e 7 u z s 7 h 6 M D 2 6 p n t 7 z T Y + j z Z u 3 V E / a f H h K P G a + s a 3 H y z e 2 9 V j 5 x r a + e r q 5 c Y S J b q u e b t U + M s G 3 V U + 3 a v + e k + m r p 1 u 1 f 5 8 Z 9 d X T z Y 3 f Z 0 5 9 9 X R z 4 / 6 c b m j c n 9 A N j f u z u W G A r u 1 B R z 2 9 d 9 6 c w 8 + b N J T t J d R Q q g p u 3 c G w h j I d 7 B 0 8 3 O x x e 0 x 8 6 3 c 8 R j b v 3 F I r a f P h m f B 4 + M a 2 H g v f 2 N b j 4 B v b + l r p 5 s Y R 3 r m t V r p V + 8 i k 3 l Y r 3 a r 9 e 0 6 m r 5 V u 1 f 5 9 Z t T X S j c 3 f p 8 5 9 b X S z Y 3 7 c 7 q h c X 9 C N z T u z + a G A b q 2 D 7 t a 6 f 2 y 5 h w + 3 q S T b B + h T r r / n h 0 M 6 y T T A f 1 2 8 P D h + L 5 q u + j Y P S 5 + n 9 c 8 Z j a v 3 V I z a f P h 2 f D 4 + M a 2 H h v f 2 N b j 4 h v b + p r p 5 s Y R / r m t Z r p V + 8 j U 3 l Y z 3 a r 9 e 0 6 m r 5 l u 1 f 5 9 Z t T X T D c 3 f p 8 5 9 T X T z Y 3 7 c 7 q h c X 9 C N z T u z + a G A d q 2 4 E h P M + 1 + j f w 5 Q N y g m 1 w v g W 7 a 1 e m 9 d Q e D u s l 2 8 H D / 0 7 1 7 9 x 4 + G N 9 X v R c d v + N k 7 8 X 7 D y j v v j 8 + u J V 6 s u / d 3 9 n b 3 x s / 2 N S b 4 2 v z 1 v D M O J 6 + u a 1 j 6 Z v b O o 6 + u a 2 n p W 7 R O M J L t 6 C J p 6 z s a 9 u 3 e S 8 y 5 7 d U W u + F X m S m b 9 Z d 7 9 / N + 0 y 3 p 8 J u 0 f h 9 J t x T Y b d o 3 J / w W 6 m w W z T u z + 2 t V N h u R 4 W 9 V 7 o c b 9 + k v W w H o f b a f c 8 O h r W X 6 W D 3 4 O H u / j 5 l v c d 7 t 9 N e 7 / e i x 9 T m x U 1 M 7 e k t b X 4 r v X V j W 4 + P b 2 z r s f G N b X 2 9 d X P j C A N t l P A I P 2 x s H 5 n e 2 y q q W 7 V / z 8 n 0 v K v b t X + f G f V V 0 8 2 N 3 2 d O f d V 0 c + P + n G 5 o 3 J / Q D Y 3 7 s 7 l h g K 7 t X k c 1 v W e y H E x 0 k 3 K y X Y T K 6 X b J c t f B s H I y H R g d s 4 l r P C Z + n 9 c 8 X j a v 3 V I x a f P h y f D Y + M a 2 H h f f 2 N Z j 4 h v b + o r p 5 s Y R 9 r m t Y r p V + 8 j U 3 l Y x 3 a r 9 e 0 6 m r 5 h u 1 f 5 9 Z t R X T D c 3 f p 8 5 9 R X T z Y 3 7 c 7 q h c X 9 C N z T u z + a G A b q 2 9 z q K 6 f 3 T 5 O C L m 3 S T 7 S X U T f v v 2 c G w b j I d 7 B 7 s P B x / e j v F d O t 3 P E Y 2 7 9 x S K 2 n z 4 Z n w e P j G t h 4 L 3 9 j W 4 + A b 2 / p a 6 e b G E d 6 5 r V a 6 V f v I p N 5 W K 9 2 q / X t O p q + V b t X + f W b U 1 0 o 3 N 3 6 f O f W 1 0 s 2 N + 3 O 6 o X F / Q j c 0 7 s / m h g G 6 t v t d r f S e a X L M 8 k 0 6 y f Y R 6 q T b p c l d B 8 M 6 y X S w u 7 O 3 9 3 B n / P B 2 W u k 9 3 v J Y 2 b x 1 S 7 2 k z Y f n w u P i G 9 t 6 T H x j W 4 + H b 2 z r 6 6 W b G 0 e 4 5 7 Z 6 6 V b t I x N 7 W 7 1 0 q / b v O Z m + X r p V + / e Z U V 8 v 3 d z 4 f e b U 1 0 s 3 N + 7 P 6 Y b G / Q n d 0 L g / m x s G 6 N r e D / T S 3 t d I k o M A N 2 k m 2 0 u g m f Z 0 e m / d w b B m M h 3 s 7 V C K / N 7 u w / G D e 7 d T T v 6 L D + 7 d v z / + d F N W 0 2 N p 8 + L u w 0 / 3 x 1 g x H X z J 4 2 t 9 a X h m P J 6 + s a 3 H 0 j e 2 9 T j 6 x r a + l r q 5 c Y S X b i a J r 6 v M W 9 u 3 e C 0 y 4 7 d V W e + B X G S W b 6 u 4 3 q O X 9 5 l q X 3 3 d 3 P h 9 J t t X X z c 3 7 k / 2 h s b 9 O d 7 Q u D + z G w b o 2 n 7 a U V / v l S D H c G 7 S X L a D U H P t v m c H w 5 r L d H B v 5 + H + w 3 t 7 e + N 7 + 7 f T X O / 3 o s f T 5 s V b e l b a f H g 6 P E a + s a 3 H x z e 2 9 d j 4 x r a + z r q 5 c Y S B b u t Z 3 a p 9 Z H p v q 6 Z u 1 f 4 9 J 9 N X U L d q / z 4 z 6 q u m m x u / z 5 z 6 q u n m x v 0 5 3 d C 4 P 6 E b G v d n c 8 M A X d s H H d X 0 n g l y d H u T c r J d h M p J X Z 9 b d z C s n E w H 9 + 4 f 7 O 7 s P r g / B g U G + c Z j 4 / d 7 0 e N n 8 + I t l Z M 2 H 5 4 Q j 5 V v b O t x 8 o 1 t P U a + s a 2 v n G 5 u H G G h 2 y q n W 7 W P T O / N y u k 9 2 r / n Z P r K 6 V b t 3 2 d G f e V 0 c + P 3 m V N f O d 3 c u D + n t 1 N O N z f u z + a t l N N B R z m 9 f 5 J 8 b / 9 m / W R 7 C f X T / n t 2 M K y f T A f 3 P n 2 w M 9 7 k b X u q 6 d b v e I x s 3 r m l V t L m t 9 J K N 7 b 1 W P j G t h 4 H 3 9 j W 1 0 o 3 N 4 7 w z m 2 1 0 q 3 a R y b 1 t l r p V u 3 f c z J 9 r X S r 9 u 8 z o 7 5 W u r n x + 8 y p r 5 V u b t y f 0 w 2 N + x O 6 o X F / N j c M 0 L V 9 2 N V K 7 5 k k 3 7 t / s 0 6 y f Y Q 6 S b M + t + 5 g W C e Z D h 7 c P / h 0 v K + 6 L j p y j 4 d v / 5 L H y O a l W 2 o l b T 4 8 E x 4 P 3 9 j W Y + E b 2 3 o c f G N b X y v d 3 D j C O 7 f V S r d q H 5 n W 2 2 q l W 7 V / z 8 n 0 t d K t 2 r / P j P p a 6 e b G 7 z O n v l a 6 u X F / T j c 0 7 k / o h s b 9 2 d w w Q N s W 2 H t a 6 d 7 X S J H f 2 7 l R L 7 l e A r 1 0 T 6 f 3 1 h 0 M 6 i X b w b 2 9 h / f 3 7 + / u b E 5 P O k 6 2 L z 5 8 c H D / / s H D 8 f 0 H t 1 J P 9 r 2 9 e 7 u f H j z c 2 x n f 3 7 2 V o j I v D k + O Y + u b 2 z q u v r m t Y + q b 2 3 q K 6 h a N I + x 0 O 7 J 4 K s u + u X 3 L V y O T f 0 v t 9 b 5 I R m b 9 l n r s f X t 6 n 6 n 3 N N o t G r / P 5 H s a 7 R a N + 5 O / o X F / v j c 0 7 s / w h g G 6 t r s d j f Z e W f N 7 u z c r M 9 t B q M x 0 Z m / d w b A y M x 1 8 e v 9 g / 9 7 D n Y P x 3 u 1 0 2 X u 9 5 3 G 1 e W 8 T V 3 t M r c 2 H J 8 N j 4 x v b e l x 8 Y 1 u P i W 9 s 6 2 u w m x t H 2 G e j i E e 4 Y W P 7 y O T e V l n d q v 1 7 T q a v o m 7 V / n 1 m 1 F d M N z d + n z n 1 F d P N j f t z u q F x f 0 I 3 N O 7 P 5 o Y B u r Z 7 H c X 0 n j n z e z f n z F 0 X o W q 6 X c 7 c d T C s m k w H u w / v P 9 j Z u 3 9 v v M l d 8 r j 4 v d 7 z u N m 8 d 0 v V p M 2 H p 8 N j 5 B v b e n x 8 Y 1 u P j W 9 s 6 6 u m m x t H G O i 2 q u l W 7 S O T e 1 v V d K v 2 7 z m Z v m q 6 V f v 3 m V F f N d 3 c + H 3 m 1 F d N N z f u z + m G x v 0 J 3 d C 4 P 5 s b B u j a 3 u u o p v f P m G N 9 / i b t Z H s J t d P + e 3 Y w r J 1 M B w / 3 7 t 8 2 O X X 7 d z x G N u / c U i t p 8 + G Z 8 H j 4 x r Y e C 9 / Y 1 u P g G 9 v 6 W u n m x h H e u a 1 W u l X 7 y K T e V i v d q v 1 7 T q a v l W 7 V / n 1 m 1 N d K N z d + n z n 1 t d L N j f t z u q F x f 0 I 3 N O 7 P 5 o Y B u r b 7 X a 3 0 n h n z e z d n z F 0 f o U 6 6 X c b c d T C s k 0 w H n 9 6 n t 8 Y P P 7 2 d V n q P t z x W N m / d U i 9 p 8 + G 5 8 L j 4 x r Y e E 9 / Y 1 u P h G 9 v 6 e u n m x h H u u V k v v U f 7 y M T e V i / d q v 1 7 T q a v l 2 7 V / n 1 m 1 N d L N z d + n z n 1 9 d L N j f t z e j u 9 d H P j / m z e S i / d D / T S / t f I m e / v 3 K y Z b C + B Z t r X 6 b 1 1 B 8 O a y X R w f 2 d n l 9 K T O + N P V e v d p J z e 7 0 W P p c 2 L t 9 R P 2 v x W + u n G t h 4 z 3 9 j W 4 + U b 2 / r 6 6 e b G E S 6 6 r X 6 6 V f v I 9 N 5 W P 9 2 q / X t O p q + f b t X + f W b U 1 0 8 3 N 3 6 f O f X 1 0 8 2 N + 3 O 6 o X F / Q j c 0 7 s / m h g G 6 t p 9 2 9 N N 7 Z c D 3 d 2 9 W T b a D U D X t v m c H w 6 r J d L C 7 w w 8 t n B z s 3 0 4 3 v e e b H j + b N 2 + p n L T 5 8 I R 4 r H x j W 4 + T b 2 z r M f K N b X 3 l d H P j C A v d V j n d q n 1 k g m + r n G 7 V / j 0 n 0 1 d O t 2 r / P j P q K 6 e b G 7 / P n P r K 6 e b G / T n d 0 L g / o R s a 9 2 d z w w B d 2 w c d 5 f S e W f D 9 e z e r J 9 t F q J 7 u v W c H w + r J d L B L H t C 9 e 5 / u 3 x v v 3 z I P / p 5 v e h x t 3 r y l e t L m w 1 P i M f O N b T 1 e v r G t x 8 o 3 t v X V 0 8 2 N I 0 x 0 W / V 0 q / a R C b 6 t e r p V + / e c T F 8 9 3 a r 9 + 8 y o r 5 5 u b v w + c + q r p 5 s b 9 + d 0 Q + P + h G 5 o 3 J / N D Q N 0 b Q 8 6 6 u n 9 M + F I I t + k o W w v o Y b a f 8 8 O h j W U 6 e D h / q f j n Y P b 6 a Z b v + M x s n n n l l p J m w / P h M f D N 7 b 1 W P j G t h 4 H 3 9 j W 1 0 o 3 N 4 7 w z m 2 1 0 q 3 a R y b 1 t l r p V u 3 f c z J 9 r X S r 9 u 8 z o 7 5 W u r n x + 8 y p r 5 V u b t y f 0 w 2 N + x O 6 o X F / N j c M 0 L V 9 2 N V K 7 5 k J 3 7 9 / s 0 6 y f Y Q 6 S V M 7 t + 5 g W C e Z D v b u 3 d v f G e 9 / e j u t 9 B 5 v e a x s 3 r q l X t L m w 3 P h c f G N b T 0 m v r G t x 8 M 3 t v X 1 0 s 2 N I 9 x z W 7 1 0 q / a R i b 2 t X r p V + / e c T F 8 v 3 a r 9 + 8 y o r 5 d u b v w + c + r r p Z s b 9 + d 0 Q + P + h G 5 o 3 J / N D Q O 0 b e / t B H r p / v s G c / d v D u Z c F 4 F a w p v v 1 c G g W r I d 7 O 2 T F n v 4 8 G B 8 / 3 a x 3 H u + 6 P j Z v n g 7 5 W S a D 0 + I Y + W b 2 z p O v r m t Y + S b 2 3 r K 6 R a N I y x 0 S + V 0 u / a R 6 b 2 l c r p d + / e c T E 8 5 3 a 7 9 + 8 y o p 5 x u 0 f h 9 5 t R T T r d o 3 J / T D Y 3 7 E 7 q h c X 8 2 N w z Q t d 0 N l N O n X 2 O Z 7 t O d m / W T 7 S X Q T 3 j z v T o Y 1 k + m g w P K Z u / R c t v 4 Q H V f d P w e J 5 s X K d W 0 s 3 v v 4 G A M N h x 8 0 W N p 8 + I 9 5 M 8 f Y H 1 v k 2 L z e F t f H J 4 d j 6 9 v b O u x 9 Y 1 t P a 6 + s a 2 v q a T x L T X V + 5 H F 1 1 n m z e 1 b v h q Z / d u q r / d E M j L r t 1 V k 7 9 n T + 0 y 9 r 9 J u b v w + k + + r t J s b 9 y d / Q + P + f G 9 o 3 J / h D Q N 0 b f c 6 K u 2 9 V v Y + 3 b 1 Z m 9 k O Q m 2 2 + 5 4 d D G s z 0 w G p P n n G e 7 f T Z u / 3 o s f X 5 s V N f O 2 x t T Y f n g 6 P k W 9 s 6 / H x j W 0 9 N r 6 x r a / D b m 4 c Y a D b e l u 3 a h + Z 3 t u q q 1 u 1 f 8 / J 9 J X U r d q / z 4 z 6 q u n m x u 8 z p 7 5 q u r l x f 0 4 3 N O 5 P 6 I b G / d n c M E D X 9 l 5 H N b 1 n K P j p L U J B 2 0 W o n G 4 X C r o O h p W T 6 W B X N M z B 3 v j + p 7 f T T u / 5 p s f R 5 s 1 b q i d t P j w l H j P f 2 N b j 5 R v b e q x 8 Y 1 t f P d 3 c O M J E t 1 V P t 2 o f m e D b q q d b t X / P y f T V 0 6 3 a v 8 + M + u r p 5 s b v M 6 e + e r q 5 c X 9 O N z T u T + i G x v 3 Z 3 D B A 1 3 a / o 5 7 e f 1 3 v 0 / 2 b N Z T t J d R Q + + / Z w b C G M h 3 s P X j w 6 R j 6 e Z B t P C 6 + / U s e K 5 u X b q m X t P n w X H h c f G N b j 4 l v b O v x 8 I 1 t f b 1 0 c + M I 9 9 x W L 9 2 q f W R a b 6 u X b t X + P S f T 1 0 u 3 a v 8 + M + r r p Z s b v 8 + c + n r p 5 s b 9 O d 3 Q u D + h G x r 3 Z 3 P D A F 3 b + 1 2 9 9 J 4 r e 5 / e v L L n + g i 1 0 u 1 W 9 l w H w 1 r J d L C / f + / e g 9 u u 7 L 3 P W x 4 r m 7 d u q Z e 0 + f B c e F x 8 Y 1 u P i W 9 s 6 / H w j W 1 9 v X R z 4 w j 3 3 F Y v 3 a p 9 Z G J v q 5 d u 1 f 4 9 J 9 P X S 7 d q / z 4 z 6 u u l m x u / z 5 z 6 e u n m x v 0 5 3 d C 4 P 6 E b G v d n c 8 M A X d t P A 7 3 0 4 G s k z x / s 3 K y Z b C + B Z n q g 0 3 v r D o Y 1 k + l g Z 6 w p r O i 4 P Q 6 + 3 Q s e C 9 s X b q e P t P n w H H j c e 2 N b j 3 l v b O v x 7 o 1 t f X 1 0 c + M I 1 9 x W H 9 2 q f W w 6 b 6 m P b t X + P S f T 1 0 e 3 a v 8 + M + r r o 5 s b v 8 + c + v r o 5 s b 9 O d 3 Q u D + h G x r 3 Z 3 P D A F 3 b B x 1 9 9 F 6 Z 7 w e 3 y H z b D k J V d L v M t + t g W B W Z D m 6 d 8 b 7 d C x 7 3 2 h d u p 4 q 0 + T D 5 P c a 9 s a 3 H t z e 2 9 d j 2 x r a + K r q 5 c Y R h b q u K b t U + N p 2 3 V E W 3 a v + e k + m r o l u 1 f 5 8 Z 9 V X R z Y 3 f Z 0 5 9 V X R z 4 / 6 c b m j c n 9 A N j f u z u W G A r u 1 B V x W 9 d y r p w f 7 N + s j 2 E u q j / f f s Y F g f m Q 5 u r Y 9 u 9 4 L H w v a F 2 + k j b T 4 8 B x 7 3 3 t j W Y 9 4 b 2 3 q 8 e 2 N b X x / d 3 D j C N b f V R 7 d q H 5 v O W + q j W 7 V / z 8 n 0 9 d G t 2 r / P j P r 6 6 O b G 7 z O n v j 6 6 u X F / T m + n j 2 5 u 3 J / N W + m j h 1 1 9 9 J 4 p p A c 2 w z O s j W w f o T a 6 X Q r J d T C s j U w H u / f v 3 3 r R 7 d b v e G x s 3 r m l T t L m t 9 J J N 7 b 1 G P j G t h 7 / 3 t j W 1 0 k 3 N 4 5 w z m 1 1 0 q 3 a R y b 1 t j r p V u 3 f c z J 9 n X S r 9 u 8 z o 7 5 O u r n x + 8 y p r 5 N u b t y f 0 w 2 N + x O 6 o X F / N j c M 0 L b d 3 w l 0 0 s H X S B 8 d 7 N y o l V w v g V Y 6 0 O m 9 d Q e D W s l 2 s H P L 9 N E t X 3 A s 7 F 6 4 l T 4 y z Y f n w H H v z W 0 d 8 9 7 c 1 v H u z W 0 9 f X S L x h G u u a U + u l 3 7 2 H T e T h / d r v 1 7 T q a n j 2 7 X / n 1 m 1 N N H t 2 j 8 P n P q 6 a N b N O 7 P 6 Y b G / Q n d 0 L g / m x s G 6 N r u d v T R e 6 W P D n Z v V k W 2 g 1 A V q R a 4 d Q f D q s h 0 c N t w 7 Z Y v e N x r X 7 i d K t L m w + T 3 G P f G t h 7 f 3 t j W Y 9 s b 2 / q q 6 O b G E Y a 5 r S q 6 V f v Y d N 5 S F d 2 q / X t O p q + K b t X + f W b U V 0 U 3 N 3 6 f O f V V 0 c 2 N + 3 O 6 o X F / Q j c 0 7 s / m h g G 6 t n t d V f T e 6 a O D / Z v 1 k e 0 l 1 E f 7 7 9 n B s D 4 y H d x a H 9 3 u B Y + F 7 Q u 3 0 0 f a f H g O P O 6 9 s a 3 H v D e 2 9 X j 3 x r a + P r q 5 c Y R r b q u P b t U + N p 2 3 1 E e 3 a v + e k + n r o 1 u 1 f 5 8 Z 9 f X R z Y 3 f Z 0 5 9 f X R z 4 / 6 c b m j c n 9 A N j f u z u W G A r u 2 9 Q B 8 9 / B q h 2 s O d m / W R 7 S X Q R w 9 1 e m / d w b A + M h 3 s 3 D Z U u 9 0 L H g v b F 2 6 n j 7 T 5 8 B x 4 3 H t j W 4 9 5 b 2 z r 8 e 6 N b X 1 9 d H P j C N f c V h / d q n 1 s O m + p j 2 7 V / j 0 n 0 9 d H t 2 r / P j P q 6 6 O b G 7 / P n P r 6 6 O b G / T n d 0 L g / o R s a 9 2 d z w w B d 2 / 2 O P n q v U O 3 h 7 s 2 q y H Y Q q i L V A r f u Y F g V m Q 5 u 7 R r d 7 g W P e + 0 L t 1 N F 2 n y Y / B 7 j 3 t j W 4 9 s b 2 3 p s e 2 N b X x X d 3 D j C M L d V R b d q H 5 v O W 6 q i W 7 V / z 8 n 0 V d G t 2 r / P j P q q 6 O b G 7 z O n v i q 6 u X F / T j c 0 7 k / o h s b 9 2 d w w Q N f 2 f l c V v X e o 9 n D / Z n 1 k e w n 1 0 f 5 7 d j C s j 0 w H t 9 Z H t 3 v B Y 2 H 7 w u 3 0 k T Y f n g O P e 2 9 s 6 z H v j W 0 9 3 v X a 3 q y P b m 4 c 4 Z r b 6 q N b t Y 9 N 5 y 3 1 0 a 3 a v + d k + v r o V u 3 f Z 0 Z 9 f X R z 4 / e Z U 1 8 f 3 d y 4 P 6 e 3 0 0 c 3 N + 7 P 5 q 3 0 0 a e + P t r b e f 9 Q b W 9 n 5 2 Z 9 Z H v x 9 R G / + V 4 d D O s j 0 8 H O b U O 1 2 7 3 g s b B 9 4 X b 6 S J v f S h / d 2 N Z j 3 h v b e r x 7 Y 1 t f H 9 3 c O M I 1 t 9 V H t 2 o f m 8 5 b 6 q N b t X / P y f T 1 0 a 3 a v 8 + M + v r o 5 s b v M 6 e + P r q 5 c X 9 O N z T u T + i G x v 3 Z 3 D B A 1 / Z B R x + 9 T 6 i 2 t 3 O L U M 1 2 E K q i W 4 V q X g f D q s h 0 c G v X 6 H Y v e N x r X 7 i d K t L m w + T 3 G P f G t h 7 f 3 t j W Y 9 s b 2 / q q 6 O b G E Y a 5 r S q 6 V f v Y d N 5 S F d 2 q / X t O p q + K b t X + f W b U V 0 U 3 N 3 6 f O f V V 0 c 2 N + 3 O 6 o X F / Q j c 0 7 s / m h g G 6 t g d d V f S + o d r e z v 7 N + s j 2 E u q j / f f s Y F g f m Q 5 u r Y 9 u 9 4 L H w v a F 2 + k j b T 4 8 B x 7 3 3 t j W Y 9 4 b 2 3 q 8 e 2 N b X x / d 3 D j C N b f V R 7 d q H 5 v O W + q j W 7 V / z 8 n 0 9 d G t 2 r / P j P r 6 6 O b G 7 z O n v j 6 6 u X F / T j c 0 7 k / o h s b 9 2 d w w Q N f 2 Y a C P d r 9 G q A a m v k k f 2 V 4 C f Y Q 3 3 6 u D Y X 1 k O t h 9 e P / h g 4 P 7 D + 6 P 7 9 9 O L 5 k X P 7 1 3 b + 9 g f / 9 g v L P p R Y + l b Y / 3 9 j 6 9 v 7 O 7 9 2 C 8 v + l N j 7 n 1 z e H p 8 R j 7 x r Y e X 9 / Y 1 m P r G 9 v 6 q u r m x h G G u i V d f K 1 l X t 2 + 7 b s R B r i t B n t f N C M z f 1 t l 9 r 5 d v c / 0 + 3 r t 5 s b v w w C + X r u 5 c Z 8 B N j T u T / m G x v 0 5 3 j B A 2 / b + T k e v v V f I B 3 6 + Q a W 5 D k K V t v u e H Q y q N N v B v Y P 7 n 9 7 7 9 N O 9 + 2 P j v 0 X H 7 n j 7 f d 9 0 r G 3 f 3 M T a j r N N 8 + E J c a x 8 c 1 v H y T e 3 d Y x 8 c 1 t P k 9 2 i c Y S F N s p 5 h C M 2 t o 9 M 8 C 1 V 1 u 3 a v + d k e n r q d u 3 f Z 0 Y 9 5 X S L x u 8 z p 5 5 y u k X j / p x u a N y f 0 A 2 N + 7 O 5 Y Y C u 7 W 5 H O Z 2 K b k r f v L q d 9 r h 3 s 3 q y X Y T q 6 d 5 7 d j C s n k w H u / c + 3 T / Y v X 9 / Z 3 z v 0 9 u p p / d 8 0 + N o 8 + Y t 1 Z M 2 H 5 4 S j 5 l v b O v x 8 o 1 t P V a + s a 2 v n m 5 u H G G i 2 6 q n W 7 W P T P B t 1 d O t 2 r / n Z P r q 6 V b t 3 2 d G f f V 0 c + P 3 m V N f P d 3 c u D + n G x r 3 J 3 R D 4 / 5 s b h i g a 7 v X U U / v n 6 M C X 9 y k o W w v o Y b a f 8 8 O h j W U 6 e D T g w f j e w e 3 0 0 2 3 f s d j Z P P O L b W S N h + e C Y + H w 7 a b t d K N b T 0 O v r G t r 5 V u b h z h n d t q p V u 1 j 0 z q b b X S r d q / 5 2 T 6 W u l W 7 d 9 n R n 2 t d H P j 9 5 l T X y v d 3 L g / p 7 f T S j c 3 7 s / m r b T S v a 5 W e v E m / f z 4 x f H T 2 w Z 1 9 2 / W S b a P U C d p u H 7 r D o Z 1 k u l g 9 8 G D B w / v j R + q t r t J L b 3 P a x 4 z m 9 d u q Z m 0 + a 0 0 0 4 1 t P T a + s a 3 H x T e 2 9 T X T z Y 0 j / H N b z X S r 9 p G p v a 1 m u l X 7 9 5 x M X z P d q v 3 7 z K i v m W 5 u / D 5 z 6 m u m m x v 3 5 3 R D 4 / 6 E b m j c n 8 0 N A 3 R t 9 w P N t P c 1 c u g g w E 2 6 y f Y S 6 K Y 9 n d 5 b d z C s m 0 w H e 3 s P H l K m c v / h G O w 6 y D s e K 9 s 3 d / f u 3 d + / / 2 B / / O m 9 2 2 k o 8 y a F g Q 9 2 H 9 K L c F Q H X / S 4 W 1 8 c n h + P s 2 9 s 6 z H 2 j W 0 9 v r 6 x r a + r b m 4 c 4 a j b k c X X W u b N 7 V u + G p n / 2 y q w 9 0 Q y M u u 3 V W X v 2 d P 7 T L 2 v 1 G 5 u / D 6 T 7 y u 1 m x v 3 J 3 9 D 4 / 5 8 b 2 j c n + E N A 3 R t 7 3 e U 2 n s l 0 D G c m / S Z 7 S D U Z z q z t + 5 g W J + Z D v b v 7 + z c u 3 f v / s P x w a e 3 0 2 f v + a b H 2 e b N W 3 p c 2 n x 4 Q j x W v r G t x 8 k 3 t v U Y + c a 2 v h a 7 u X G E h W 7 r c d 2 q f W S C b 6 u w b t X + P S f T V 1 O 3 a v 8 + M + o r p 5 s b v 8 + c + s r p 5 s b 9 O d 3 Q u D + h G x r 3 Z 3 P D A F 3 b T z v K 6 T 0 T 6 O j 2 J v V k u w j V k / o 1 t + 5 g W D 2 Z D j 5 9 e P / T n Q c H D / f H 9 / Z v p 5 7 e 8 0 2 P o 8 2 b t 1 R P 2 n x 4 S j x m v r G t x 8 s 3 t v V Y + c a 2 v n q 6 u X G E i W 6 r n m 7 V P j L B t 1 V P t 2 r / n p P p q 6 d b t X + f G f X V 0 8 2 N 3 2 d O f f V 0 c + P + n G 5 o 3 J / Q D Y 3 7 s 7 l h g K 7 t g 4 5 6 e v 8 E + t 7 + z R r K 9 h J q K F U F t + 5 g W E O Z D u 7 f + 3 T 8 6 S 1 1 0 6 3 f 8 R j Z v H N L r a T N h 2 f C 4 + E b 2 3 o s f G N b j 4 N v b O t r p Z s b R 3 j n t l r p V u 0 j k 3 p b r X S r 9 u 8 5 m b 5 W u l X 7 9 5 l R X y v d 3 P h 9 5 t T X S j c 3 7 s / p h s b 9 C d 3 Q u D + b G w b o 2 h 5 0 t d J 7 J t D 3 7 t + s k 2 w f o U 6 6 / 5 4 d D O s k 0 8 H u z q c P H 9 w f 7 + / d T i 2 9 z 2 s e M 5 v X b q m Z t P n w b H h 8 f G N b j 4 1 v b O t x 8 Y 1 t f c 1 0 c + M I / 9 x W M 9 2 q f W R q b 6 u Z b t X + P S f T 1 0 y 3 a v 8 + M + p r p p s b v 8 + c + p r p 5 s b 9 O d 3 Q u D + h G x r 3 Z 3 P D A F 3 b h 4 F m u v c 1 E u j 3 d m 7 W T b a X Q D f h z f f q Y F g 3 m Q 7 u 7 e 5 Q H n z n / v 3 x w e 2 0 k 3 l x 7 9 M H l K n / 9 P 6 D 8 d 6 D y J v m T Y + n z Z v 7 9 3 Z 2 9 + 8 9 P B h j 4 e I 2 q k p f v J W q u r G t x 9 c 3 t v X Y + s a 2 v q q 6 u X G E o W 5 H F l 9 p m T e 3 b / l q Z P p v q 7 / e E 8 n I r N 9 W k 7 1 n T + 8 z 9 b 5 O u 7 n x + 0 y + r 9 N u b t y f / N v p t J s b 9 2 f 4 N j r t 0 5 2 O T n u v / P m 9 3 R v V m e s g V G e 7 7 9 n B o D q z H X y 6 s 0 N 5 p g N y m x 5 s Y h v H 2 e / 7 p u N s + + Y m z n a M b Z o P T 4 h j 5 Z v b O k 6 + u a 1 j 5 J v b e l r s F o 0 j L L R R z C M c s b F 9 Z I J v q b B u 1 / 4 9 J 9 N T U 7 d r / z 4 z 6 i m n W z R + n z n 1 l N M t G v f n d E P j / o R u a N y f z Q 0 D d G 1 3 O 8 r p P f P n 9 2 7 O n 7 s u Q v V 0 u / y 5 6 2 B Y P Z k O 7 n / 6 Y O f h g 4 P 9 v V u r J + / N + / f v P y R 3 C 1 w + + K b H 0 e b N 7 f 3 7 B 7 u 7 + + N 9 1 b b R 9 z z O 1 v e G 5 8 b j 6 h v b e k x 9 Y 1 u P p 2 9 s 6 + u p m x t H u O l W V P E V l n n x V u 9 F p v 5 W 7 0 U m / r Y K 7 L 3 6 6 U / 3 r R X Z z d R + n z n 3 F d m N j X 1 F d n P j / q R v a N y f 6 A 2 N + 7 O 7 Y Y C u 7 V 5 H k b 1 / p h 1 L Z z f p M t t L q M t U a d y 6 g 2 F d Z j o 4 2 L s / / v R 2 S u y 2 r 3 j s b F 7 Z x J Y e F 2 v z 4 X n w O P j G t h 4 D 3 9 j W 4 9 8 b 2 / p K 6 + b G E c 6 5 r X N 1 q / a R K b 2 t c 3 W r 9 u 8 5 m b 5 O u l X 7 9 5 l R X y f d 3 P h 9 5 t T X S T c 3 7 s / p h s b 9 C d 3 Q u D + b G w b o 2 t 7 r 6 q T 3 z L P f u z n P 7 v o I N d L t 8 u y u g 2 G N Z D q g f M H O w 0 / H m 9 J R H h O / x 1 s e K 5 u 3 b q m X t P n w X H h c f G N b j 4 l v b O v x 8 I 1 t f b 1 0 c + M I 9 9 x W L 9 2 q f W R i b 6 u X b t X + P S f T 1 0 u 3 a v 8 + M + r r p Z s b v 8 + c + n r p 5 s b 9 O d 3 Q u D + h G x r 3 Z 3 P D A F 3 b / U A v 7 X + N L P v + z s 2 a y f Y S a K Z 9 n d 5 b d z C s m U w H O + N N 7 r j H w b d 7 w W N h + 8 L t 9 J E 2 H 5 4 D j 3 t v b O s x 7 4 1 t P d 6 9 s a 2 v j 2 5 u H O G a 2 + q j W 7 W P T e c t 9 d G t 2 r / n Z P r 6 6 F b t 3 2 d G f X 1 0 c + P 3 m V N f H 9 3 c u D + n G x r 3 J 3 R D 4 / 5 s b h i g a 3 u / o 4 / e K 0 O O W P w m V W Q 7 C F W R a o F b d z C s i k w H O + O 9 2 6 m i 2 7 3 g c a 9 9 4 X a q S J s P k 9 9 j 3 B v b e n x 7 Y 1 u P b W 9 s 6 6 u i m x t H G O a 2 q u h W 7 W P T e U t V d K v 2 7 z m Z v i q 6 V f v 3 m V F f F d 3 c + H 3 m 1 F d F N z f u z + m G x v 0 J 3 d C 4 P 5 s b B u j a f t p V R e + d R t r f v 1 k f 2 V 5 C f b R / 2 w 5 u 1 E e m g 1 v r o 9 u 9 4 L G w f e F 2 + k i b D 8 + B x 7 0 3 t v W Y 9 8 a 2 H u / e 2 N b X R z c 3 j n D N b f X R r d r H p v O W + u h W 7 d 9 z M n 1 9 d K v 2 7 z O j v j 6 6 u f H 7 z K m v j 2 5 u 3 J / T D Y 3 7 E 7 q h c X 8 2 N w z Q t X 0 Q 6 K P 7 X y N U u 7 9 z s z 6 y v Q T 6 6 L 5 O 7 6 0 7 G N Z H p o P 9 g 9 3 9 B 5 + C G I N 8 4 7 G x / 9 b 9 n Z 3 d 8 c N b K i f z 4 t 6 n e 7 v j n Y P b q S h 9 a X h a P I a + s a 3 H z z e 2 9 d j 5 x r a + i r q 5 c Y S R b i a J r 6 j M W 9 u 3 e C 0 y 3 b f V V + + B X G S W b 6 u 1 3 q O X 9 5 l q X 3 f d 3 P h 9 J t v X X T c 3 7 k / 2 h s b 9 O d 7 Q u D + z G w b o 2 h 5 0 d N d 7 h X X 3 b x H W 2 Q 5 C t X W 7 s M 5 1 M K y 2 T A c P P 9 1 7 u L O z c 2 9 8 s H 8 7 z f V + L 3 o 8 b V 6 8 p V u l z Y e n w 2 P k G 9 t 6 f H x j W 4 + N b 2 z r 6 6 y b G 0 c Y a K O A R / h h Y / v I 9 N 5 W T d 2 q / X t O p q + g b t X + f W b U V 0 0 3 N 3 6 f O f V V 0 8 2 N + 3 O 6 o X F / Q j c 0 7 s / m h g G 6 t g 8 7 q u l U N F P 6 5 t X t d M e 9 m 5 W T 7 S J U T u r 6 3 L q D Y e V k O i A d c / B g 7 9 O D 8 c H t d N N 7 v e d x s 3 n v l q p J m w 9 P h 8 f I N 7 b 1 + P j G t h 4 b 3 9 j W V 0 0 3 N 4 4 w 0 G 1 V 0 6 3 a R y b 3 t q r p V u 3 f c z J 9 1 X S r 9 u 8 z o 7 5 q u r n x + 8 y p r 5 p u b t y f 0 w 2 N + x O 6 o X F / N j c M 0 L Z 9 s N N R T e + f g b q / f 6 N 2 c r 2 E 2 m n / P T s Y 1 E 6 2 g 7 0 H 9 + 6 P d x R u d O y O i 9 / j J c f K 9 q X b 6 S X T f H g u H B f f 3 N Y x 8 c 1 t H Q / f 3 N b T S 7 d o H O G e W + q l 2 7 W P T O s t 9 d L t 2 r / n Z H p 6 6 X b t 3 2 d G P b 1 0 i 8 b v M 6 e e X r p F 4 / 6 c b m j c n 9 A N j f u z u W G A r u 1 u V y + 9 e J N + f v z i + O l t A 7 r 7 N 2 s l 2 0 e o l e 6 / Z w f D W s l 0 c H 9 v f 2 8 M P h p k G o + H b / + S x 8 j m p V t q J W 0 + P B M e D 9 / Y 1 m P h G 9 t 6 H H x j W 1 8 r 3 d w 4 w j u 3 1 U q 3 a h + Z 1 t t q p V u 1 f 8 / J 9 L X S r d q / z 4 z 6 W u n m x u 8 z p 7 5 W u r l x f 0 4 3 N O 5 P 6 I b G / d n c M E D X d i / Q S p 9 + j f z 4 p z s 3 6 y X b S 6 C X P t X p v X U H w 3 r J d L D / 4 O D T h w / 2 x g e 3 y 5 D b 9 / Y e 7 u / f O 9 g b 3 3 9 4 O + 1 k 3 t s 9 2 N + 7 / 5 A W / f Z v p 6 b 0 v e G p 8 Z j 6 x r Y e T 9 / Y 1 m P p G 9 v 6 a u r m x h F m u h V V f H 1 l X t y + 3 Z u R i b + t 5 n o / F C M z f l s V 9 n 4 d v c + 0 + 7 r s 5 s b v M / G + L r u 5 c X / i N z T u T / a G x v 3 5 3 T B A 1 / Z e R 5 c N 5 8 t j W m b 3 Z j V m O w j V 2 O 7 t 1 J j t Y F i N m Q 4 e P N z 9 d P / e g / H e p 7 d T Y + / 1 n s f U 5 r 1 b O l n a f H g y P D a + s a 3 H x T e 2 9 Z j 4 x r a + 9 r q 5 c Y R 9 b u t k 3 a p 9 Z H J v q 6 p u 1 f 4 9 J 9 P X U L d q / z 4 z 6 i u m m x u / z 5 z 6 i u n m x v 0 5 3 d C 4 P 6 E b G v d n c 8 M A X d v 9 j m J 6 z 2 z 5 p / d u V k 2 2 i 1 A 1 q R t 0 6 w 6 G V Z P p Y H f v w Y N 7 u 7 s H 4 0 9 v q Z v s i / v 7 e w / v 3 7 8 / h k 4 f f N H j Z / P i 9 u 6 n 9 1 m r 7 W z q 0 W N s f X F 4 a j y m v r G t x 9 M 3 t v V Y + s a 2 v p q 6 u X G E m W 5 H F l 9 h 2 Z m 4 1 Y u x u b / V i 5 G 5 v 6 0 K e 7 + O + l N + a 1 1 2 M 8 X f Z 9 5 9 X X Z j Y 1 + X 3 d y 4 P / E b G v f n e k P j / v x u G K B r e 7 + j y 9 4 / v f 7 p / s 3 q z P Y S q r P 9 9 + x g W J 2 Z D n b 3 7 o 0 P F G x 0 6 B 4 3 3 / o d j 6 P N O 7 f 0 s L T 5 8 E x 4 P H x j W 4 + F b 2 z r c f C N b X 3 V d X P j C O / c 1 s O 6 V f v I p N 7 W w 7 p V + / e c T F 8 r 3 a r 9 + 8 y o r 5 V u b v w + c + p r p Z s b 9 + d 0 Q + P + h G 5 o 3 J / N D Q N 0 b T / t a q X 3 T K 5 / e v 9 m n W T 7 C H X S / f f s Y F g n m Q 7 2 d u 7 v j / c O b q e U b v + S x 8 j m p V t q J W 0 + P B M e D 9 / Y 1 m P h G 9 t 6 H H x j W 1 8 r 3 d w 4 w j u 3 1 U q 3 a h + Z 1 t t q p V u 1 f 8 / J 9 L X S r d q / z 4 z 6 W u n m x u 8 z p 7 5 W u r l x f 0 4 3 N O 5 P 6 I b G / d n c M E D X 9 k G g l R 5 8 j e Q 6 V h h v 0 k u 2 l 0 A v P d D p v X U H w 3 r J d H B v b / / B / o O d 8 X 1 N e E W H 7 z G y / 9 7 O w 4 e 3 D v z s e 9 T X g 0 0 J e Y + p 9 Z 3 h a f E Y + s a 2 H j / f 2 N Z j 5 x v b + i r q 5 s Y R R r q R I r 6 e M i 9 t 3 / x W Z L J v q 6 1 u j 1 p k h m + r s m 7 f y f t M s 6 + 3 b m 7 8 P h P t 6 6 2 b G / c n e k P j / g R v a N y f 1 w 0 D d G 0 P O n r r v R L p W H 6 8 S W X Z D k K V p X r l 1 h 0 M q y z T w a f 7 D + / t P S D H 6 H Y a 6 3 1 e 8 9 j Z v H Z L d 0 q b D 0 + F x 8 Q 3 t v V 4 + M a 2 H g v f 2 N b X V T c 3 j j D P b d 2 p W 7 W P T O 1 t F d S t 2 r / n Z P q 6 6 V b t 3 2 d G f b V 0 c + P 3 m V N f L d 3 c u D + n G x r 3 J 3 R D 4 / 5 s b h i g a / u w o 5 b e M 4 2 O l P 1 N i s l 2 E S q m 2 6 X R X Q f D i s l 0 o B r m d m r p 9 i 9 5 f G x e u q V S 0 u b D E + G x 8 I 1 t P Q 6 + s a 3 H w D e 2 9 Z X S z Y 0 j r H N b p X S r 9 p F p v a 1 S u l X 7 9 5 x M X y n d q v 3 7 z K i v l G 5 u / D 5 z 6 i u l m x v 3 5 3 R D 4 / 6 E a u M b l N K N j R 0 W B z s d p f T + + X A I 9 A 1 6 y f U S 6 i V V B b f u Y F A v 2 Q 4 e 7 t 0 f 7 9 9 O L d 3 + H c f I 9 p 3 b a S X T / D Z a 6 e a 2 j o V v b u s 4 + O a 2 n l a 6 R e M I 7 9 x S K 9 2 u f W R S b 6 m V b t f + P S f T 0 0 q 3 a / 8 + M + p p p V s 0 f p 8 5 9 b T S L R r 3 5 / R W W u k W j f u z u W G A r u 1 u V y u 9 Z z 4 c y f e b d J L t I 9 R J t 8 u H u w 6 G d Z L p Y P f T T z 8 d H 9 w u h H u P l z x G N i / d U i t p 8 + G Z 8 H j 4 x r Y e C 9 / Y 1 u P g G 9 v 6 W u n m x h H e u a 1 W u l X 7 y L T e V i v d q v 1 7 T q a v l W 7 V / n 1 m 1 N d K N z d + n z n 1 t d L N j f t z u q F x f 0 I 3 N O 7 P 5 o Y B u r Z 7 g V Y 6 + B r 5 c C j B m / S S 7 S X Q S w c 6 v b f u Y F g v m Q 7 2 P t 3 Z 2 d s b 7 z 2 8 n W b y X 9 v d G d + 7 p W 4 y r + 3 u j h 8 + u J 1 + 0 l e G 5 8 T j 5 h v b e s x 8 Y 1 u P l 2 9 s 6 + u n m x t H u O g m g v g 6 y r y z f e N L k X m + r a K 6 N W K R 2 b 2 t s r p 1 H + 8 z x b 7 C u r n x + 0 y y r 7 B u b t y f 5 A 2 N + 7 O 7 o X F / V j c M 0 L W 9 1 1 F Y 7 5 U I h 2 q 8 S V f Z D k J d t f u e H Q z r K t P B / b 0 d e s Y K O D p u j 5 P f 4 y 2 P l 8 1 b t / S i t P n w R H g s f G N b j 4 N v b O s x 8 I 1 t f S 1 1 c + M I 6 9 z W i 7 p V + 8 j E 3 l Y 5 3 a r 9 e 0 6 m r 5 h u 1 f 5 9 Z t R X S j c 3 f p 8 5 9 Z X S z Y 3 7 c 7 q h c X 9 C N z T u z + a G A b q 2 + x 2 l 9 J 5 p c P R 1 k 1 q y X Y R q 6 d 5 7 d j C s l k w H o m B u p 5 R u / Y 7 H x e a d W 6 o k b T 4 8 D R 4 D 3 9 j W 4 9 8 b 2 3 r s e 2 N b X y X d 3 D j C O L d V S b d q H 5 n U 2 6 q k W 7 V / z 8 n 0 V d K t 2 r / P j P o q 6 e b G 7 z O n v k q 6 u X F / T j c 0 7 k / o h s b 9 2 d w w Q N f 2 f k c l v X 8 S H N 3 d p J V s L 6 F W 2 n / P D o a 1 k u l g b 2 f 8 q U K N j t z j 4 d u + 4 r G x e e W W O k m b D 8 + D x 8 E 3 t v U Y + M a 2 H v / e 2 N b X S T c 3 j n D O b X X S r d p H p v S 2 O u l W 7 d 9 z M n 2 d d K v 2 7 z O j v k 6 6 u f H 7 z K m v k 2 5 u 3 J / T D Y 3 7 E 7 q h c X 8 2 N w z Q t f 2 0 q 5 P e M w W O z m 7 S S L a P U C P d f 8 8 O h j W S 6 W B / f 7 x / c D u N d N t X P C Y 2 r 9 x S I 2 n z 4 V n w + P f G t h 7 7 3 t j W 4 9 4 b 2 / o a 6 e b G E b 6 5 r U a 6 V f v I l N 5 W I 9 2 q / X t O p q + R b t X + f W b U 1 0 g 3 N 3 6 f O f U 1 0 s 2 N + 3 N q G 2 / U S D c 3 7 s / m r T T S g 0 A j P f w a 6 e + H O z f r J N t L o J M e 6 v T e u o N h n W Q 6 2 B n v q K K 7 S S X d 8 g 2 P i e 0 b t 9 N I 2 v x W G u n G t h 7 7 3 t j W 4 9 4 b 2 / o a 6 e b G E b 6 5 r U a 6 V f v Y h N 5 S I 9 2 q / X t O p q + R b t X + f W b U 1 0 g 3 N 3 6 f O f U 1 0 s 2 N + 3 N 6 O 4 1 0 c + P + b G 4 Y o G t 7 0 N F I 7 5 X f f n i L / L b t I F R G t 8 t v u w 6 G l Z H p Y O e 2 q e 3 b v e B x r 3 3 h d q p I m w + T 3 2 P c G 9 t 6 f H t j W 4 9 t b 2 z r q 6 K b G 0 c Y 5 r a q 6 F b t Y 9 N 5 S 1 V 0 q / b v O Z m + K r p V + / e Z U V 8 V 3 d z 4 f e b U V 0 U 3 N + 7 P 6 Y b G / Q n d 0 L g / m x s G 6 N o + 7 K q i 9 0 4 h P d y / W R / Z X k J 9 t P + e H Q z r I 9 M B q Z d b O k e 3 f M N j Y v v G 7 T S S N h + e B Y 9 / b 2 z r s e + N b T 3 u v b G t r 5 F u b h z h m 9 t q p F u 1 j 0 3 o L T X S r d q / 5 2 T 6 G u l W 7 d 9 n R n 2 N d H P j 9 5 l T X y P d 3 L g / p x s a 9 y d 0 Q + P + b G 4 Y o G 2 L U M h p p H s 7 7 x + u 3 c M q 1 Q 0 a y f X i a 6 R 7 Z n 3 r 1 h 0 M a i T b w f 6 9 / Y P d e 3 v j + 5 / e S i / 5 7 z 2 4 v / 9 g r I t / 0 d c c P 9 v X 7 h / c H + 9 t 6 s r x t H l n e F Y c P 9 / c 1 r H z z W 0 d N 9 / c 1 t N Q t 2 g c 4 a M b K e K p K f v S 9 s 1 v R e b 6 l s r q P V C L z P A t N d Z 7 d P I + 0 + y p r V s 0 f p + J 9 t T W L R r 3 J 3 p D 4 / 4 E b 2 j c n 9 c N A 3 R t d z t q 6 3 1 i u n s 7 u z d r L N t B q L F 2 3 7 O D Y Y 1 l O j j 4 9 O H + w 4 O d W 0 Z 2 7 / W a x 8 7 m t U 3 s 7 H G z N h + e C o + J b 2 z r 8 f C N b T 0 W v r G t r 6 t u b h x h n o 2 y H e G F j e 0 j U 3 t b B X W r 9 u 8 5 m b 5 u u l X 7 9 5 l R X y 3 d 3 P h 9 5 t R X S z c 3 7 s / p h s b 9 C d 3 Q u D + b G w b o 2 u 5 1 1 N K p a K X 0 z a v b 6 Y 1 7 N y s m 2 0 W o m N R x u X U H w 4 r J d E A a 5 v 7 O w / 3 x p 7 d T T O / z m s f L 5 r V b K i Z t P j w Z H h v f 2 N b j 4 h v b e k x 8 Y 1 t f M d 3 c O M I + t 1 V M t 2 o f m d r b K q Z b t X / P y f Q V 0 6 3 a v 8 + M + o r p 5 s b v M 6 e + Y r q 5 c X 9 O N z T u T + i G x v 3 Z 3 D B A 1 / Z e R z G d v X i T f n 7 8 4 v j p b V 0 m u 4 w / r J l s H 6 F m 0 n z P r T s Y 1 k y m g 9 0 9 c r J 3 9 m 6 n l 2 7 / k s f I 5 q V b a i V t P j w T H g / f 2 N Z j 4 R v b e h x 8 Y 1 t f K 9 3 c O M I 7 t 9 V K t 2 o f m d b b a q V b t X / P y f S 1 0 q 3 a v 8 + M + l r p 5 s b v M 6 e + V u o 1 3 q S V b m 7 c n 9 D b a a U b G 3 t Y 7 A d a a f d r J J / A 1 D f p J d t L o J d 2 d X p v 3 c G w X j I d 7 O 7 R w u S D / f H e w e 1 U U / D e p / f G D z + 9 n X a y 7 + 2 M 7 2 1 S a B 5 P 6 y u 3 0 l A 3 t v X Y + c a 2 H j f f 2 N b X U D c 3 j v D R T Q T x t Z R 5 Z / v G l y I z f V t V d W v E I r N 7 W 3 V 1 6 z 7 e Z 4 p 9 l X V z 4 / e Z Z F 9 l 3 d y 4 P 8 k b G v d n d 0 P j / q x u G K B r e 7 + j s t 4 r 8 Q S e v U l b 2 Q 5 C b b X 7 n h 0 M a y v T w d 7 + v Q d 7 9 x + M 7 + / f T l u 9 1 3 s e P 5 v 3 b u l L a f P h y f D Y + M a 2 H h f f 2 N Z j 4 h v b + p r q 5 s Y R 9 r m t L 3 W r 9 p H J v a 2 C u l X 7 9 5 x M X z n d q v 3 7 z K i v m G 5 u / D 5 z 6 i u m m x v 3 5 3 R D 4 / 6 E b m j c n 8 0 N A 3 R t P + 0 o p v d M P Y G J b l J N t o t Q N d 1 7 z w 6 G V Z P p A C p m 5 / 7 D 8 S 3 9 q P d 5 z e N l 8 9 o t F Z M 2 H 5 4 M j 4 1 v b O t x 8 Y 1 t P S a + s a 2 v m G 5 u H G G f 2 y q m W 7 W P T O 1 t F d O t 2 r / n Z P q K 6 V b t 3 2 d G f c V 0 c + P 3 m V N f M d 3 c u D + n G x r 3 J 3 R D 4 / 5 s b h i g a / u g o 5 j O f v I 4 / X 3 S k y + / O H t 9 9 u X t V M f + z b r J 9 h L q p v 3 3 7 G B Y N 5 k O d n f u k 6 P 9 6 e 0 0 0 + 1 f 8 l j Z v H R L v a T N h + f C 4 + I b 2 3 p M f G N b j 4 d v b O v r p Z s b R 7 j n t n r p V u 0 j 0 3 p b v X S r 9 u 8 5 m b 5 e u l X 7 9 5 l R X y / d 3 P h 9 5 t T X S z c 3 7 s / p h s b 9 C d 3 Q u D + b G w b o 2 h 5 0 9 d J 7 p s Q x y z d p J d t H q J X u v 2 c H w 1 r J d L D 3 c P f W G f F b v + O x s X n n l j p J m w / P g 8 f B N 7 b 1 G P j G t h 7 / 3 t j W 1 0 k 3 N 4 5 w z m 1 1 0 q 3 a R y b 1 t j r p V u 3 f c z J 9 n X S r 9 u 8 z o 7 5 O u r n x + 8 y p r 5 N u b t y f 0 w 2 N + x O 6 o X F / N j c M 0 L V 9 G O i k v a + R E A c B b t J K t p d A K + H N 9 + p g W C u Z D v Y e P H y 4 9 2 C 8 t 3 8 7 x f Q + r 3 n s b F 6 7 p W 7 S 5 s P z 4 X H y j W 0 9 R r 6 x r c f H N 7 b 1 d d P N j S M c d F v d d K v 2 k a m 9 r W 6 6 V f v 3 n E x f N 9 2 q / f v M q K + b b m 7 8 P n P q 6 6 a b G / f n d E P j / o R u a N y f z Q 0 D N G 3 3 d n Y 6 u u m 9 M t 8 Y z m a 1 5 H U Q q q X d 9 + x g S C 2 5 D u i d g 0 8 f 7 I x 3 b q W X 3 v M 9 y 8 v u v V s p J t t 8 e D I s G 9 + i r e X i W 7 S 1 T H y L t k 4 x 3 a Z x h H 1 u p 5 h u 2 T 4 y u b d T T L d s / 5 6 T 6 R T T L d u / z 4 w 6 x X S b x g 8 f 3 7 1 1 Y 6 e Y b t O 4 P 6 c b G v c n d E P j / m x u G K B r u 9 t R T O + Z + U a 3 N 6 k m 2 0 W o m m 6 X + X Y d D K s m 0 8 H 9 + w c P H 2 h 4 G B 2 3 x 8 G 3 f s f j Y v P O L V W S N h + e B o + B b 2 z r 8 e + N b T 2 V d G N b X y X d 3 D j C O L d V S b d q H 5 n U 2 6 q k W 7 V / z 8 n 0 V d K t 2 r / P j P o q 6 e b G 7 z O n v k q 6 u X F / T j c 0 7 k / o h s b 9 2 d w w Q N d 2 r 6 O S 3 j / n j e D n J q 1 k e w m 1 0 v 5 7 d j C s l U w H D z 8 9 G O 8 d 3 E 4 r 3 f o d j 5 H N O 7 f U S t p 8 e C Y 8 H r 6 x r c f C N 7 b 1 O P j G t r 5 W u r l x h H d u q 5 V u 1 T 4 y q b f V S r d q / 5 6 T 6 W u l W 7 V / n x n 1 t d L N j d 9 n T n 2 t d H P j / p x u a N y f 0 A 2 N + 7 O 5 Y Y C u 7 b 2 u V n r P j P f e j R l v r 4 9 Q J 9 0 u 4 + 0 6 G N Z J p o P 9 g / G + a r r o u D 0 O v u 0 r H h O b V 2 6 p k b T 5 8 C x 4 / H t j W 4 9 9 b 2 z r c e + N b X 2 N d H P j C N / c V i P d q n 1 k S m + r k W 7 V / j 0 n 0 9 d I t 2 r / P j P q a 6 S b G 7 / P n P o a 6 e b G / T n d 0 L g / o R s a 9 2 d z w w B d 2 / 1 A I 9 3 7 G v n u e z s 3 6 y T b S 6 C T 7 u n 0 3 r q D Y Z 1 k O k C C a P e A l v o h D Y O s 4 3 F y + O K 9 h + N b O k z 2 v Z 3 x v U 1 d e U y t r w x P i 8 f Q N 7 b 1 + P n G t h 4 7 3 9 j W V 1 E 3 N 4 4 w 0 k 0 E 8 d W U e W f 7 x p c i U 3 1 b X X V r x C K z e 1 t 9 d e s + 3 m e K f Z 1 1 c + P 3 m W R f Z 9 3 c u D / J G x r 3 Z 3 d D 4 / 6 s b h i g a 3 u / o 7 P e K w 9 + b / d m d W U 7 C N X V 7 n t 2 M K y u T A d 7 e / c + 3 X m 4 + 2 B 8 f / 9 2 6 u r 9 X v Q 4 2 r x 4 S 3 d K m w 9 P h 8 f I N 7 b 1 + P j G t h 4 b 3 9 j W 1 1 U 3 N 4 4 w 0 G 3 d q V u 1 j 0 z v b V X U r d q / 5 2 T 6 6 u l W 7 d 9 n R n 3 V d H P j 9 5 l T X z X d 3 L g / p x s a 9 y d 0 Q + P + b G 4 Y o G v 7 a U c 1 v W c m / N 6 9 m 5 W T 7 S J U T v f e s 4 N h 5 W Q 6 g I 7 Z 3 / 3 0 0 / E t X a n 3 e s / j Z v P e L V W T N h + e D o + R b 2 z r 8 f G N b T 0 2 v r G t r 5 p u b h x h o N u q p l u 1 j 0 z u b V X T r d q / 5 2 T 6 q u l W 7 d 9 n R n 3 V d H P j 9 5 l T X z X d 3 L g / p x s a 9 y d 0 Q + P + b G 4 Y o G v 7 o K O a 3 j 8 j f m / / Z u 1 k e w m 1 0 / 5 7 d j C s n U w H u / f u P 7 i t Z r r 1 O x 4 j m 3 d u q Z W 0 + f B M e D x 8 Y 1 u P h W 9 s 6 3 H w j W 1 9 r X R z 4 w j v 3 F Y r 3 a p 9 Z F J v q 5 V u 1 f 4 9 J 9 P X S r d q f / O M x r X S z Z R / n z n 1 t d L N j f t z e j u t d H P j / m z e S i s d d L X S e 2 b E 7 9 2 / W S f Z P k K d d P 8 9 O x j W S a a D v Q c H e + M H t 9 N J t 3 7 H Y 2 P z z i 1 1 k j a / l U 6 6 s a 3 H w D e 2 9 f j 3 x r a + T r q 5 c Y R z b q u T b t U + M q m 3 1 U m 3 a v + e k + n r p F u 1 f 5 8 Z 9 X X S z Y 3 f Z 0 5 9 n X R z 4 / 6 c b m j c n 9 A N j f u z u W G A r u 3 D Q C f t f 4 2 c + P 7 O z V r J 9 h J o J b z 5 X h 0 M a y X T w d 6 n D 3 d 2 D v b H D z + 9 n W Z 6 r / c 8 h j b v 3 V I 7 a f P h G f F 4 + c a 2 H i v f 2 N b j 5 B v b + t r p 5 s Y R H r q t d r p V + 8 j k 3 l Y 7 3 a r 9 e 0 6 m r 5 1 u 1 f 5 9 Z t T X T j c 3 f p 8 5 9 b X T z Y 3 7 c 7 q h c X 9 C N z T u z + a G A d q 2 4 M h A O 7 1 X 9 n t / 9 0 b F 5 D o I F d P u e 3 Y w q J h s B / f v H e z s 3 n s w R v J / k G k c D 7 / f e 4 6 X 7 X u 3 U 0 y m + f B k O D a + u a 3 j 4 p v b O i a + u a 2 n m G 7 R O M I + t 1 R M t 2 s f m d x b K q b b t X / P y f Q U 0 + 3 a v 8 + M e o r p F o 3 f Z 0 4 9 x X S L x v 0 5 3 d C 4 P 6 E b G v d n c 8 M A X d v d j m J 6 z 9 z 3 / s 2 5 b 9 d F q J p u l / t 2 H Q y r J t M B q x i w 0 S D P e C x 8 + 5 c 8 P j Y v 3 V I p a f P h i f B Y + M a 2 H g f f 2 N Z j 4 B v b + k r p 5 s Y R 1 r m t U r p V + 8 i 0 3 l Y p 3 a r 9 e 0 6 m r 5 R u 1 f 5 9 Z t R X S j c 3 f p 8 5 9 Z X S z Y 3 7 c 7 q h c X 9 C N z T u z + a G A b q 2 e x 2 l 9 P 5 Z 7 / 3 9 m / W S 7 S X U S / v v 2 c G w X j I d P N g Z 3 7 + l V r r t K x 4 b m 1 d u q Z O 0 + f A 8 e B x 8 Y 1 u P g W 9 s 6 / H v j W 1 9 n X R z 4 w j n 3 F Y n 3 a p 9 Z E p v q 5 N u 1 f 4 9 J 9 P X S b d q / z 4 z 6 u u k m x u / z 5 z 6 O u n m x v 0 5 3 d C 4 P 6 E b G v d n c 8 M A X d t 7 X Z 3 0 n j n v / Z t z 3 q 6 P U C P d L u f t O h j W S K a D e 3 v j g 4 P b a a T b v u I x s X n l l h p J m w / P g s e / N 7 b 1 2 P f G t h 7 3 3 t j W 1 0 g 3 N 4 7 w z W 0 1 0 q 3 a R 6 b 0 t h r p V u 3 f c z J 9 j X S r 9 u 8 z o 7 5 G u r n x + 8 y p r 5 F u b t y f 0 w 2 N + x O 6 o X F / N j c M 0 L X d D z T S / a + R 8 b 6 / c 7 N O s r 0 E O u m + T u + t O x j W S a a D n f H u 7 T T S 7 V 7 w W N i + c D t 9 p M 2 H 5 8 D j 3 h v b e s x 7 Y 1 u P d 2 9 s 6 + u j m x t H u O a 2 + u h W 7 W P T e U t 9 d K v 2 7 z m Z v j 6 6 V X t / R m 8 k 5 v t M q a + P b m z s 6 6 O b G / f n d E P j / o R u a N y f z Q 0 D d G 3 v d / T R + 0 d t 9 / d v 1 k e 2 l 1 A f 7 b 9 n B 8 P 6 y H S w M 1 a Y 0 X F 7 H H y 7 F z w W t i / c T h 9 p 8 + E 5 8 L j 3 x r Y e 8 9 7 Y 1 u P d G 9 v 6 + u j m x h G u u a 0 + u l X 7 2 H T e U h / d q v 1 7 T q a v j 2 7 V / n 1 m 1 N d H N z d + n z n 1 9 d H N j f t z u q F x f 0 I 3 N O 7 P 5 o Y B u r a f B v r o 0 6 / h H 3 1 6 C / / I 9 h L o o 0 9 1 e m / d w b A + M h 3 s P d z 9 d O / + w / G 9 T 2 + n l v z 3 d g 8 + v X X 0 Z t 5 7 s D f e 3 / S K x 9 P 6 y v C s e P x 8 Y 1 u P n W 9 s 6 3 H z j W 1 9 D X V z 4 w g f 3 U Q Q X 0 u Z d 7 Z v f C k y 0 7 d V V b d G L D K 7 t 1 V X t + 7 j f a b Y V 1 k 3 N 3 6 f S f Z V 1 s 2 N + 5 O 8 o X F / d j c 0 7 s / q h g G 6 t g 8 6 K u v s h S z H 3 U 6 Z 7 N 6 s r W w H o b b S Q O r W H Q x r K 9 P B / Y N 7 e z s H l M W + n b J 6 n 9 c 8 b j a v 3 d K T 0 u b D U + E x 8 Y 1 t P R 6 + s a 3 H w j e 2 9 f X U z Y 0 j z H N b T + p W 7 S N T e 1 v 1 d K v 2 7 z m Z v m q 6 V f v 3 m V F f L d 3 c + H 3 m 1 F d L N z f u z + m G x v 0 J 3 d C 4 P 5 s b B u j a H n T U 0 q l o p f T N q 9 v p j X s 3 K y b b R a i Y 7 r 1 n B 8 O K y X R w / + H O w f 3 7 u + N P N 1 k z j 4 v f 6 z 2 P m 8 1 7 t 1 R N 2 n x 4 O j x G v r G t x 8 c 3 t v X Y + M a 2 v m q 6 u X G E g W 6 r m m 7 V P j K 5 t 1 V N t 2 r / n p P p q 6 Z b t X + f G f V V 0 8 2 N 3 2 d O f d V 0 c + P + n G 5 o 3 J / Q D Y 3 7 s 7 l h g K 7 t w 4 5 q e v + k 0 6 f 7 N 2 s n 2 0 u o n f b f s 4 N h 7 W Q 6 2 N 2 9 t z s + U L j R s X t c f P u X P F Y 2 L 9 1 S L 2 n z 4 b n w u P j G t h 4 T 3 9 j W 4 + E b 2 / p 6 6 e b G E e 6 5 r V 6 6 V f v I t N 5 W L 9 2 q / X t O p q + X b t X + f W b U 1 0 s 3 N 3 6 f O f X 1 0 s 2 N + 3 O 6 o X F / Q j c 0 7 s / m h g H a t s A + 1 E s v 3 q S f H 7 8 4 f n r b Y O 7 + j V r J 9 R F q J Y 2 d b t 3 B o F a y H e z f O x i D a o M 8 4 1 j 4 9 u 8 4 N r b v 3 E 4 n m e b D 8 + A 4 + O a 2 j o F v b u v 4 9 + a 2 n k 6 6 R e M I 5 9 x S J 9 2 u f W R S b 6 m T b t f + P S f T 0 0 m 3 a / 8 + M + r p p F s 0 f p 8 5 9 X T S L R r 3 5 3 R D 4 / 6 E b m j c n 8 0 N A 3 R t d w O d 9 O B r J M Q f 7 N y s l W w v g V b C m + / V w b B W M h 3 c 3 7 l / b 3 + H I r I H t 9 N M 5 r 3 9 v X s P d x 7 c G 9 / b v 5 1 2 M u 8 d 7 O 7 f 2 z s Y 3 9 O Y N P q a x 9 f 6 2 v D M e D x 9 Y 1 u P p W 9 s 6 3 H 0 j W 1 9 L X V z 4 w g v 3 Y Y o v r Y y 7 2 3 f 6 s X I r N 9 W b b 0 X g v 5 s 3 6 a f / j T f r p / 3 m X J f j d 3 c + H 0 m 3 V d j N z f u T / q G x v 2 Z 3 t C 4 P 7 s b B u j a 7 n X U 2 H s l y R / s 3 q z B b A e h B t t 9 z w 6 G N Z j p Y H f n 0 4 f 3 7 p E K 2 7 + l c x W 8 u H / T i x 5 X m x e 3 d 3 c 2 M b b H 1 / r G 8 I x 4 v H x j W 4 + V b 2 z r c f K N b X 3 1 d X P j C A / d Q A 9 f c z n a 3 9 b T u u U b k f m 9 r a 9 1 y x 7 6 0 3 p r b + t m q r 7 P 3 P p q 6 s b G v p q 6 u X F / c j c 0 7 k / r h s b 9 G d 0 w Q N f 2 X k d N m a T 5 y b d P f + K r 2 6 m S v Z t 1 l e 0 l 1 F W q F m 7 d w b C u M h 3 s P d g 7 2 N u / n Z o y 7 + z v 7 9 5 / u D c + u K W S M q 9 t 7 3 5 6 8 O D T g 8 3 v e T y t 7 w 3 P i s f P N 7 b 1 2 P n G t h 4 3 3 9 j W V 1 U 3 N 4 7 w 0 a 2 o 4 i s s 8 + K t 3 o v M + K 3 e i 8 z 6 b Z X X e / X T n + 5 b q 7 C b q f 0 + c + 6 r s B s b + y r s 5 s b 9 S d / Q u D / R G x r 3 Z 3 f D A F 3 b / Q E V d s t 1 v w f 3 b t Z f t o t Q f 9 1 7 z w 6 G 9 Z f p 4 O D e p 7 t 7 + / f H 4 K R B t v G 4 + b 3 e 8 7 j a v H d L N 0 u b D 0 + H x 8 g 3 t v X 4 + M a 2 H h v f 2 N b X X T c 3 j j D Q b X 2 s W 7 W P T O 5 t / a t b t X / P y f R V 0 6 3 a v 8 + M + q r p 5 s b v M 6 e + a r q 5 c X 9 O N z T u T + i G x v 3 Z 3 D B A 1 / Z + R z W 9 / 7 r f g / 2 b t Z P t J d R O + + / Z w b B 2 M h 3 s 7 e 7 u 7 9 4 b P 7 i l c n q f 1 z x 2 N q / d U j d p 8 + H 5 8 D j 5 x r Y e I 9 / Y 1 u P j G 9 v 6 u u n m x h E O u q 1 u u l X 7 y N T e V j f d q v 1 7 T q a v m 2 7 V / n 1 m 1 N d N N z d + n z n 1 d d P N j f t z u q F x f 0 I 3 N O 7 P 5 o Y B u r a f d n X T e 6 7 9 P b h / s 2 a y f Y S a 6 f 5 7 d j C s m U w H N P Q 9 S p Y / O L i d Z n q f 1 z x m N q / d U j N p 8 + H Z 8 P j 4 x r Y e G 9 / Y 1 u P i G 9 v 6 m u n m x h H + u a 1 m u l X 7 y N T e V j P d q v 1 7 T q a v m W 7 V / n 1 m 1 N d M N z d + n z n 1 N d P N j f t z u q F x f 0 I 3 N O 7 P 5 o Y B u r Y P A s 1 0 8 D V W A A 9 2 b t Z N t p d A N x 3 o 9 N 6 6 g 2 H d Z D r Y G e + o w o s O 3 G P h W 7 7 h M b F 9 4 3 Y a S Z s P z 4 L H v z e 2 9 d j 3 x r Y e 9 9 7 Y 1 t d I N z e O 8 M 1 t N d K t 2 s c m 9 J Y a 6 V b t 3 3 M y f Y 1 0 q / b v M 6 O + R r q 5 8 f v M q a + R b m 7 c n 9 M N j f s T u q F x f z Y 3 D N C 1 P e h o p P d a z D u w a 2 3 D y s h 2 E C q j 3 f f s Y F g Z m Q 5 u r 4 x u + Y b H v / a N 2 y k j b T 4 8 A R 7 r 3 t j W 4 9 w b 2 3 q M e 2 N b X x n d 3 D j C M r d V R r d q 7 y b 0 d u 1 j 0 3 l L Z X S r 9 v 3 Z v L U y u p m Y 7 z O l v j K 6 s b G v j G 5 u 3 J / T D Y 3 7 E 7 q h c X 8 2 N w z Q t X 3 Y V U b v n V Q 6 2 L 9 Z I 9 l e Q o 2 0 / 5 4 d D G s k 0 8 H O e P e W G u m W b 3 h M b N + 4 n U b S 5 s O z 4 P H v j W 0 9 9 r 2 x r c e 9 N 7 b 1 N d L N j S N 8 c 1 u N d K v 2 s Q m 9 p U a 6 V f v 3 n E x f I 9 2 q / f v M q K + R b m 7 8 P n P q a 6 S b G / f n d E P j / o R u a N y f z Q 0 D t G 3 v 7 Q Q a 6 e H X C N g e 7 t y o k V w v g U Z 6 q N N 7 6 w 4 G N Z L t 4 N 7 e / U 8 f 3 h s b 7 y s 6 e s f H 7 / W a Y 2 f 7 2 u 1 0 k 2 k + P B + O k 2 9 u 6 x j 5 5 r a O j 2 9 u 6 + m m W z S O c N A t d d P t 2 k e m 9 p a 6 6 X b t 3 3 M y P d 1 0 u / b v M 6 O e b r p F 4 / e Z U 0 8 3 3 a J x f 0 4 3 N O 5 P 6 I b G / d n c M E D X d r e j m 9 4 r d H u 4 e 7 N a s h 2 E a k m 1 w K 0 7 G F Z L p o N P 7 + / e g w w M M o z H v 7 d + x + N h 8 8 4 t F Z I 2 H 5 4 E j 3 1 v b O t x 7 4 1 t P e a 9 s a 2 v k G 5 u H G G b 2 y q k W 7 W P T O p t F d K t 2 r / n Z P o K 6 V b t 3 2 d G f Y V 0 c + P 3 m V N f I d 3 c u D + n G x r 3 J 3 R D 4 / 5 s b h i g a 7 v X U U i n o o / S N 6 9 u p z H u 3 a y S b B e h S r r 3 n h 0 M q y T T w Y 3 q x e P g W 7 / j c b F 5 5 5 Y q S Z s P T 4 P H w D e 2 9 f j 3 x r Y e + 9 7 Y 1 l d J N z e O M M 5 t V d K t 2 k c m 9 b Y q 6 V b t 3 3 M y f Z V 0 q / b v M 6 O + S r q 5 8 f v M q a + S b m 7 c n 9 M N j f s T u q F x f z Y 3 D N C 1 v d d R S e + f U X q 4 f 7 N W s r 2 E W m n / P T s Y 1 k q m g w f 3 x 5 / e U i n d 9 h W P j c 0 r t 9 R J 2 n x 4 H j w O v r G t x 8 A 3 t v X 4 9 8 a 2 v k 6 6 u X G E c 2 6 r k 2 7 V P j K l t 9 V J t 2 r / n p P p 6 6 R b t X + f G f V 1 0 s 2 N 3 2 d O f Z 1 0 c + P + n G 5 o 3 J / Q D Y 3 7 s 7 l h g K 7 t f l c n v X i T f n 7 8 4 v j p b U O 3 + z d r J N t H q J E 0 u X z r D o Y 1 k u n g P T T S b V / x m N i 8 c k u N p M 2 H Z 8 H j 3 x v b e u x 7 Y 1 u P e 2 9 s 6 2 u k m x t H + O a 2 G u l W 7 S N T e l u N d K v 2 7 z m Z v k a 6 V f v 3 m V F f I 9 3 c + H 3 m 1 N d I N z f u z + m G x v 0 J 3 d C 4 P 5 s b B u j a 3 v c 1 0 v 7 O + 2 e 5 9 3 d 2 b t Z J t h d f J / G b 7 9 X B s E 4 y H e z t 3 b 9 3 / 9 P b K S X z z v 7 9 v f H + 7 Z S S 6 2 b / 4 c 6 9 8 a a O P G 7 W t 4 b n w + P k G 9 t 6 j H x j W 4 + P b 2 z r 6 6 a b G 0 c 4 6 B Y 0 8 V W U e W 3 b e + 8 2 q s q 8 d 1 t V 9 T 7 o R W b 6 t h r r f b p 5 n + n 2 F d f N j d 9 n w n 3 F d X P j / o R v a N y f 5 g 2 N + 3 O 7 Y Y C u 7 a c d x f U + K f D 9 n d 2 b d Z b t I N R Z u + / Z w b D O M h 3 s 3 9 / 5 9 N O 9 8 b 1 b + l L v 8 5 r H 0 O a 1 W / p T 2 n x 4 K j w m v r G t x 8 M 3 t v V Y + M a 2 v s 6 6 u X G E e W 7 r T 9 2 q f W R q b 6 u k b t X + P S f T 1 0 6 3 a v 8 + M + q r p Z s b v 8 + c + m r p 5 s b 9 O d 3 Q u D + h G x r 3 Z 3 P D A F 3 b B x 2 1 9 H 6 J 8 P 2 d e z c r J t t F q J j u v W c H w 4 r J d L C J W z z m N c 3 h e 9 3 b H Y P v B l / z e N i 8 t n 2 b 9 z x e 1 v e G Z 8 P j 4 x v b e m x 8 Y 1 u P i 2 9 s 6 2 u m m x t H + O d W V P F V 1 P v M g q + q 3 u u 9 y K z f V m W 9 V z / 9 6 b 6 1 6 r q Z 2 u 8 z 5 7 7 q u r G x r 7 p u b t y f 9 A 2 N + x O 9 o X F / d j c M 0 L U 9 6 K i u 9 0 6 Y 7 + / s 3 6 y 9 b C + h 9 t p / z w 6 G t Z f p 4 O H O / d v p r 9 u 9 4 L G y e e G W r p Q 2 H 5 4 D j 3 t v b O s x 7 4 1 t P d 6 9 s a 2 v s G 5 u H O G a 2 7 p S t 2 o f m c 7 b u l K 3 a v + e k + n r o 1 u 1 f 5 8 Z 9 f X R z Y 3 f Z 0 5 9 f X R z 4 / 6 c b m j c n 9 A N j f u z u W G A r u 3 D r j 5 6 v 2 T 5 P s T 5 J m 1 k + w i 1 k S q C W 3 c w r I 1 M B / s P x / s H t 9 N H t 3 3 F Y 2 L z y i 0 1 k j Y f n g W P f 2 9 s 6 7 H v j W 0 9 7 r 2 x r a + R b m 4 c 4 Z v b a q R b t Y 9 M 6 W 0 1 0 q 3 a v + d k + h r p V u 3 f Z 0 Z 9 j X R z 4 / e Z U 1 8 j 3 d y 4 P 6 c b G v c n d E P j / m x u G K B t u 7 8 T a K T d r 5 E s B 1 P f o J N c L 4 F O 2 t X p v X U H g z r J d r C 7 Q w 7 i p w e 3 y z t 5 b + 0 e 3 L u / d 3 D b l T z 7 4 v 3 9 3 f v 3 x j A B g 2 8 5 r j Z v D c + L 4 + i b 2 z q G v r m t 4 + e b 2 3 o 6 6 h a N I 5 x 0 C 5 p 4 q s q + t n 2 b 9 y I z f k u V 9 V 7 o R W b 6 l p r r v b p 5 n + n 2 F N g t G r / P h H s K 7 B a N + x O + o X F / m j c 0 7 s / t h g G 6 t r s d B f Z e S X P w 7 0 2 6 y 3 Y Q 6 q 7 d 9 + x g W H e Z D v Z 3 H u 4 d H J g V x O i 4 P X 5 + j 7 c 8 d j Z v b W r u c b M 2 H 5 4 I j 4 V v b O t x 8 I 1 t P Q a + s a 2 v s W 5 u H G G d j b I d 4 Y S N 7 S M T e 1 s V d a v 2 7 z m Z v m 6 6 V f v 3 m V F f K d 3 c + H 3 m 1 F d K N z f u z + m G x v 0 J 3 d C 4 P 5 s b B u j a 7 n W U 0 n u m z M F E N 6 k l 2 0 W o l m 6 X M n c d D K s l 0 8 H e z r 1 P P z 1 4 u D e G K A z y j c f G 7 / e i x 8 / m x V s q J 2 0 + P C E e K 9 / Y 1 u P k G 9 t 6 j H x j W 1 8 5 3 d w 4 w k K 3 V U 6 3 a h + Z 3 t s q p 1 u 1 f 8 / J 9 J X T r d q / z 4 z 6 y u n m x u 8 z p 7 5 y u r l x f 0 5 v p 5 x u b t y f z V s p p 3 s d 5 f T + S X H w x U 3 6 y f Y S 6 q f 9 9 + x g W D + Z D n Y / v T + + d 0 v V d O t 3 P E Y 2 7 9 x S K 2 n z W 2 m l G 9 t 6 L H x j W 4 + D b 2 z r a 6 W b G 0 d 4 5 7 Z a 6 V b t I 5 N 6 W 6 1 0 q / b v O Z m + V r p V + / e Z U V 8 r 3 d z 4 f e b U 1 0 o 3 N + 7 P 6 Y b G / Q n d 0 L g / m x s G 6 N r u d 7 X S e 6 b G M c s 3 6 S T b R 6 i T b p c a d x 0 M 6 y T T w d 7 e w 3 t 7 B 5 t X h D 0 u f p / X P G Y 2 r 9 1 S M 2 n z 4 d n w + P j G t h 4 b 3 9 j W 4 + I b 2 / q a 6 e b G E f 6 5 r W a 6 V f v I 1 N 5 W M 9 2 q / X t O p q + Z b t X + f W b U 1 0 w 3 N 3 6 f O f U 1 0 8 2 N + 3 O 6 o X F / Q j c 0 7 s / m h g G 6 t v c D z b T 3 N V L k I M B N u s n 2 E u i m P Z 3 e W 3 c w r J t M B z v j 3 d t p p d u 9 4 L G w f e F 2 + k i b D 8 + B x 7 0 3 t v W Y 9 8 a 2 H u / e 2 N b X R z c 3 j n D N b f X R r d r H p v O W + u h W 7 d 9 z M n 1 9 d K v 2 7 z O j v j 6 6 u f H 7 z K m v j 2 5 u 3 J / T D Y 3 7 E 7 q h c X 8 2 N w z Q t f 2 0 o 4 / e P 3 7 b 2 7 9 Z H 9 l e Q n 2 0 / 5 4 d D O s j 0 8 H O W G F G x + 1 x 8 O 1 e 8 F j Y v n A 7 f a T N h + f A 4 9 4 b 2 3 r M e 2 N b j 3 d v b O v r o 5 s b R 7 j m t v r o V u 1 j 0 3 l L f X S r 9 u 8 5 m b 4 + u l X 7 9 5 l R X x / d 3 P h 9 5 t T X R z c 3 7 s / p h s b 9 C d 3 Q u D + b G w b o 2 j 4 I 9 N G 9 r + E f 3 b u F f 2 R 7 C f T R P Z 3 e W 3 c w r I 9 M B / s 7 O z s P P x 2 D d I O M 4 / G x / 9 r e 3 n j n 4 H a 6 y b z 2 Y H 8 M q R h 8 x e N o f W V 4 T j x u v r G t x 8 w 3 t v V 4 + c a 2 v n 6 6 u X G E i 2 4 i i K + j z D v b N 7 4 U m e f b K q p b I x a Z 3 d s q q 1 v 3 8 T 5 T 7 C u s m x u / z y T 7 C u v m x v 1 J 3 t C 4 P 7 s b G v d n d c M A X d u D j s I 6 e y H L c 7 d T J b s 3 6 y r b Q a i r N I y 6 d Q f D u s p 0 Q O v + O x u X / j 0 + v v U 7 H h + b d 2 7 p Q W n z 4 U n w 2 P f G t h 7 3 3 t j W Y 9 4 b 2 / o a 6 u b G E b b Z K N Q R L t j Y P j K p t 1 V M t 2 r / n p P p K 6 V b t X + f G f U V 0 s 2 N 3 2 d O f Y V 0 c + P + n G 5 o 3 J / Q D Y 3 7 s 7 l h g K 7 t w 4 5 C O h V 9 l L 5 5 d T u N c e 9 m l W S 7 C F X S v f f s Y F g l m Q 5 Y v e y N D w 5 u p 5 X e 5 z W P l 8 1 r t 1 R M 2 n x 4 M j w 2 v r G t x 8 U 3 t n 3 4 H m 1 9 x X R z 4 w j 7 3 F Y x 3 a p 9 Z G p v q 5 h u 1 f 4 9 J 9 N X T L d q / z 4 z 6 i u m m x t 7 i u n G x r 5 i u r l x f 0 5 v p 5 h u b t y f z d s o p v s 7 H c X 0 / q m m e / s 3 6 i b X S 6 i b 9 t + z g 0 H d Z D v Y 3 x 3 v 3 U 4 v 3 f o V x 8 b 2 l d v p J N P 8 N j r p 5 r a O g W 9 u 6 / j 3 5 r a e T r p F 4 w j n 3 F I n 3 a 5 9 Z E p v q Z N u 1 / 4 9 J 9 P T S b d r / z 4 z 6 u m k W z R + n z n 1 d N I t G v f n d E P j / o R u a N y f z Q 0 D d G 1 3 u z r p x Z v 0 8 + M X x 0 9 v G 8 D d v 1 k j 2 T 5 C j X T / P T s Y 1 k i m g 7 1 7 n 4 4 f 3 i 7 T d P t 3 P D Y 2 7 9 x S J 2 n z 4 X n w O P j G t h 4 D 3 9 j W 4 9 8 b 2 / o 6 6 e b G E c 6 5 r U 6 6 V f v I p N 5 W J 9 2 q / X t O p q + T b t X + f W b U 1 0 k 3 N 3 6 f O f V 1 0 s 2 N + 3 O 6 o X F / Q j c 0 7 s / m h g G 6 t n u B T t r / G i n w / Z 2 b t Z L t J d B K + z q 9 t + 5 g W C u Z D n Y 2 r v h 7 H G x f u J 0 2 u h 1 8 j 4 P 1 h e E 5 8 L j 3 x r Y e 8 9 7 Y 1 u P d G 9 v 6 + u j m x h G u 2 U w O X y O Z N 7 Z v e C U 2 p 7 d U S r d E K j a r t 1 R L t + z h f a b W V 0 w 3 N 3 6 f y f U V 0 8 2 N + 5 O 7 o X F / X j c 0 7 s / o h g G 6 t v c 6 i u n 9 A 7 j 9 / Z s V k + 0 l V E z 7 7 9 n B s G I y H e y M b + k r 3 e 4 F j 4 n t C 7 d T T N p 8 e A 4 8 7 r 2 x r c e 8 N 7 b 1 e P f G t r 5 i u r l x h G t u 6 y j d q n 1 s O m + p k 2 7 V / j 0 n 0 9 d I t 2 r / P j P q 6 6 O b G 7 / P n P r 6 6 O b G / T n d 0 L g / o R s a 9 2 d z w w B d 2 / 1 A H 9 3 / G o 4 S Y s W b 9 J H t J d B H 9 3 V 6 b 9 3 B s D 4 y H d x H 1 v r B g 9 t m u + 1 7 t / S X 3 q s b j 5 / 1 v e E Z 8 X j 5 x r Y e K 9 / Y 1 u P k G 9 v 6 2 u n m x h E e u h V V f D V l X t y + 3 Z u R + b 6 t w n o / F C M z f l v N 9 X 4 d v c + 0 + y r s 5 s b v M / G + C r u 5 c X / i N z T u T / a G x v 3 5 3 T B A 1 / Z + R 4 W d v Z D V u t s p l 9 2 b t Z f t I N R e 6 i z f u o N h 7 W U 6 2 N 2 R 5 3 a 6 6 z 3 e 8 h j a v H V L v 0 q b D 0 + E x 8 I 3 t v U 4 + M a 2 H g P f 2 N b X X D c 3 j r D O b f 2 q W 7 W P T O x t 1 d S t 2 r / n Z P r a 6 V b t 3 2 d G f a V 0 c + P 3 m V N f K d 3 c u D + n G x r 3 J 3 R D 4 / 5 s b h i g a / t p V y m 9 d 5 w H H X i T Z r K 9 h J p p / z 0 7 G N Z M p o N b x 3 m 3 e 8 F j Y f v C 7 f S R N h + e A 4 9 7 o 2 3 9 t h 7 z 3 t j W 4 9 0 b 2 / r 6 6 O b G E a 6 5 r T 6 6 V f v Y d N 5 S H 9 2 q / X t O p q + P b t X + f W b U 1 0 c 3 N 3 6 f O f X 1 0 c 2 N + 3 N 6 O 3 1 0 c + P + b N 5 K H z 3 o 6 q P 3 X K S D 8 r t J G 9 k + Q m 1 0 / z 0 7 G N Z G p o P d + / f H G P 0 g z 3 g s f O t 3 P D Y 2 7 9 x S J 2 n z W + m k G 9 t 6 D H x j W 4 9 / b 2 z r 6 6 S b G 0 c 4 5 7 Y 6 6 V b t I 5 N 6 W 5 1 0 q / b v O Z m + T r p V + / e Z U V 8 n 3 d z 4 f e b U 1 0 k 3 N + 7 P 6 Y b G / Q n d 0 L g / m x s G 6 N o e + D r p / s 7 7 5 5 7 u I + i 5 S S v Z X n y t d N + E S 7 f u Y F g r m Q 5 2 b r t I Z 1 + 4 n T a 6 H X y P g / W F 4 T n w u P f G t h 7 z 3 t j W 4 9 0 b 2 / r 6 6 O b G E a 7 Z T A 5 f I 5 k 3 3 m O R 7 j Z T 5 C u l W y I V m 9 V b q q V b 9 v A + U + s r p p s b v 8 / k + o r p 5 s b 9 y d 3 Q u D + v G x r 3 Z 3 T D A F 3 b h x 3 F 9 D 4 Z p f s 7 t 8 g o 2 Q 5 C n X S r j J L X w b B O M h 3 c O m 6 7 3 Q s e / 9 o X b q e T t P k w + T 3 G v b G t x 7 c 3 t v X Y 9 s a 2 v k 6 6 u X G E Y T Y K c 2 T + N 7 a P T e c t 1 d G t 2 r / n Z P r K 6 F b t 3 2 d G f V V 0 c + P 3 m V N f F d 3 c u D + n G x r 3 J 3 R D 4 / 5 s b h i g b f v p T q C K d r + G j w S m v k E f u V 4 C f b S r 0 3 v r D g b 1 k e 1 g 5 5 Y + k n v h V t r o l v A d B 5 s X h u f A c e / N b R 3 z 3 t z W 8 e 7 N b T 1 9 d I v G E a 7 Z T A 5 P I 9 k 3 b u 8 j 3 W q K P K V 0 W 6 R i s 3 o 7 t X T b H t 5 n a j 3 F d I v G 7 z O 5 n m K 6 R e P + 5 G 5 o 3 J / X D Y 3 7 M 7 p h g K 7 t b k c x v Z e P B F 6 9 S S f Z D k K d p D N 7 6 w 6 G d Z L p 4 L Y + 0 i 1 f 8 P j X v n A 7 n a T N h 8 n v M e 6 N b T 2 + v b G t x 7 Y 3 t v V 1 0 s 2 N I w y z U Z g j 8 7 + x f W w 6 b 6 m O b t X + P S f T V 0 a 3 a v 8 + M + q r o p s b v 8 + c + q r o 5 s b 9 O d 3 Q u D + h G x r 3 Z 3 P D A F 3 b v U A V 7 X 0 N H w k E u E k f 2 V 4 C f b S n 0 3 v r D o b 1 k e l g 5 7 Y + k n 3 h d t r o d v A 9 D t Y X h u f A 4 9 4 b 2 3 r M e 2 N b j 3 d v b O v r o 5 s b R 7 h m M z l 8 j W T e e A 8 f 6 T Z T 5 C u l W y I V m 9 V b q q V b 9 v A + U + s r p p s b v 8 / k + o r p 5 s b 9 y d 3 Q u D + v G x r 3 Z 3 T D A F 3 b e x 3 F 9 F 4 + E o Z z k 0 6 y H Y Q 6 S W f 2 1 h 0 M 6 y T T w a 1 9 p N u 9 4 P G v f e F 2 O k m b D 5 P f Y 9 x o W 7 + t x 7 c 3 t v X Y 9 s a 2 v k 6 6 u X G E Y W 7 r I 9 2 q f W w 6 b 6 m O b t X + P S f T V 0 a 3 a v 8 + M + q r o p s b v 8 + c + q r o 5 s b 9 O b 2 d K r q 5 c X 8 2 b 6 W K 9 g N V d O 9 r + E j 3 b u E j 2 V 4 C f X R P p / f W H Q z r I 9 P B z m 1 9 J P v C 7 b T R 7 e B 7 H K w v 3 E o f 3 d j W Y 9 4 b 2 3 q 8 e 2 N b X x / d 3 D j C N Z v J 4 W s k 8 8 Z 7 + E i 3 m S J f K d 0 S q d i s 3 l I t 3 b K H 9 5 l a X z H d 3 P h 9 J t d X T D c 3 7 k / u h s b 9 e d 3 Q u D + j G w b o 2 t 7 v K K a z n z x O f 5 / 0 5 M s v z l 6 f f X k 7 v b F / s 2 K y v Y S K a f 8 9 O x h W T K a D W z t K t 3 v B Y 2 L 7 w u 0 U k z Y f n g O P e 2 9 s 6 z H v j W 0 9 3 r 2 x r a + Y b m 4 c 4 Z r b O k q 3 a h + b z l v q p F u 1 f 8 / J 9 D X S r d q / z 4 z 6 + u j m x u 8 z p 7 4 + u r l x f 0 4 3 N O 5 P 6 I b G / d n c M E D X 9 t N A H + 1 / D U d p / x a O k u 0 l 0 E f 7 O r 2 3 7 m B Y H 5 k O d m 7 r K N k X b q e N b g f f 4 2 B 9 Y X g O P O 6 9 s a 3 H v D e 2 9 X j 3 x r a + P r q 5 c Y R r N p P D 1 0 j m j f d w l G 4 z R b 5 S u i V S s V m 9 p V q 6 Z Q / v M 7 W + Y r q 5 8 f t M r q + Y b m 7 c n 9 w N j f v z u q F x f 0 Y 3 D N C 1 f d B R T O / v K O 3 v 3 6 y Y b C + h Y t p / z w 6 G F Z P p 4 N a O 0 u 1 e 8 J j Y v n A 7 x a T N h + f A 4 9 4 b 2 3 r M e 2 N b j 3 d v b O s r p p s b R 7 j m t o 7 S r d r H p v O W O u l W 7 d 9 z M n 2 N d K v 2 7 z O j v j 6 6 u f H 7 z K m v j 2 5 u 3 J / T D Y 3 7 E 7 q h c X 8 2 N w z Q t T 2 w + u h V u r P 7 v n 7 S g 5 0 d 8 P R N 6 s h 2 4 t S R v v l e H Q y r I 9 P B v Q P S x g f j g 4 P b K S X z 2 v 3 7 D w 7 G O 5 / e T j G Z l x 7 c 2 z 8 4 2 B 8 f b H r N Y 2 m L 4 v 0 H D x 7 u j 3 f 2 N 7 z m c b Z 5 b X / / / s 6 9 n Y O D 3 f H B J g X q s b l 7 c / / h / X 2 i 5 h i p x s E 3 P Z 5 / H 1 R 9 l W b e 2 z v Y 3 d m 7 N z 6 4 v + m 9 C A / e e / B g 5 + H O 5 g H 6 W s 6 8 t 3 2 r F y P s c l t 1 9 1 4 I R l j l t m r v v f q J M M m t C B 9 h k Q e f U o d j q L 3 h 1 y L 8 s X 2 L 9 3 z 1 e B t y + B r y P d D z d e W t u o l w w y 2 6 8 Z B 7 G C r O 2 y 8 K Q q X t 3 q w z L f x Q Z 6 q H f u s O h n W m 6 e D B v Z 1 P 9 x + O 9 2 / p y L 3 P a 5 4 o m N c 2 T Y o n C b d p 7 g m A a X 7 w c P d g / 8 H O / Y f j g 0 3 T 6 I n A e 7 7 p S c F t U P S 1 o 7 b f Y J U j 3 L U R e I R b N r a P T P 5 t N e C t 2 r / n d P u a 7 1 b t + x O + g Z i R O d 4 I / D 1 n 1 t d r t 2 r / n p P r K 7 R b t X / f y b X N H + y E m u x U F F l 6 8 u 3 T n / j q 9 H b q Z u 9 G f e Z 6 C f W Z q o 9 b d 6 D 6 z H T g R m 0 6 G G Y J x 8 4 3 t 3 W s f H N b x 8 Z 2 k L d T W 7 b 5 7 v 2 H 9 3 f v j R / e z r O z r z 1 4 + O D + p + O H n 9 5 K X 9 0 K N 0 9 f 2 f b b t + j G U 1 2 3 6 y f C G L d U X b d r 3 5 / r 2 6 q u 2 7 V / z z n 3 V N f 7 0 f X r z b q n z N 6 r O 0 + p 3 W p Y n l J 7 H / Q 8 3 X a 7 b i K z f 4 t u P O R 2 4 y r u z a v b a Z 9 7 N 6 s 3 2 0 O o 3 j T i u n U H w + r N d L C 3 M z Z K 8 y Y t d 9 t X P O Y 3 r 2 y a D o / 3 b 9 P c Y 3 3 T n J T d / s 7 O / d 0 H 4 / 0 H t 1 N 5 7 / m m x / + 3 Q d F X e 9 p + W N 3 7 u u 5 W w C N c c l t d d 6 v 2 k R m / r a 6 7 V f v 3 n G 9 f 1 9 1 M z M g c b w T + n j P r a 7 R b t X / P y f V V 2 a 3 a v + / k u u Z 7 o Q 4 L F g 5 e 3 E 7 N 7 N + s x 2 w v o R 7 b f 8 8 O h v W Y 6 W B 3 f + f T v f G 9 W 6 q y 9 3 j L Y 2 / z 1 i 2 1 2 W 2 a e 8 z t c N r f P 7 i d G r v t K x 6 X 3 w Y p X 3 9 p + 9 v p r 1 s B j 3 D H b f X X r d p H p v m 2 + u t W 7 d 9 z h n 3 9 d T M x I 5 N 7 W / 1 1 m / a + / r p V + / e c X F 9 / 3 a r 9 + 0 6 u a 3 6 v o 7 9 e v E k / P 3 5 x / P S 2 O b P 7 N y s v 2 0 W o v D Q d e u s O h p W X 6 e D e w T 4 t M 9 x W e b 3 H W x 5 v m 7 d u q b x u 0 9 z j b N N 8 9 4 D W T B 6 M H 9 5 S g b 3 P a x 6 r 3 w Y 5 X 4 l p + 9 s p s V s B j 3 D J b Z X Y r d p H p v u 2 S u x W 7 d 9 z p n 0 l d j M x I x N 8 W y V 2 m / a + E r t V + / e c X F + J 3 a r 9 + 0 6 u a 7 7 v K 7 G 9 r 7 F c C l r c p M Z s J 4 E a 2 1 M U b 9 3 B s B o z H T w 4 u L c z 3 n l 4 O y 1 m X t p E K Y + r T f O 9 + / c O 7 n 0 6 3 t m k 9 T z m t q / t f 0 p x 3 v j h v d u p M / P a 7 v 7 u p w 8 O P r 0 3 v r d 7 O 4 X m v 7 i 3 + + D B + N N N 5 P A Y / 3 0 Q 9 V W b e 2 / n H g X m G / H 0 t d z t 5 8 z X d e a t 7 V u 8 F m G Q 2 6 q 8 9 0 A u w i K 3 V X z v 0 U u E N W 5 F 8 A h n 3 P / 0 4 P 7 4 0 0 3 s 6 + t D S / C b X / P V 4 m 1 I 4 a v F 2 y P n K 8 d b 9 R J h g 5 t 7 8 V C 7 H 6 r I 9 1 o Y x R B v 0 o 4 W f q g d d V p v 3 c G w d t Q O h u 2 l x / g 3 t v X Y / c a 2 H q u b Q d 7 S m z P N 9 3 b 4 u Z 3 q u / 1 L H n / f B j F f 3 d 0 4 a F / H 3 Q p 4 h B V u 6 8 n d q n 1 / d m / t y d 2 q / X v O s q / K b i Z m Z H p v 6 8 n d p r 2 v s m 7 V / j 0 n 1 1 d W t 2 r / v p P r m n 8 a q q m v s e o J Z G 9 S V r a X U F m p K r 1 1 B 8 P K S j u 4 l b K 6 s a 3 H y j e 2 9 d j Y D P K W y s o 0 f 3 B / 5 9 6 n 9 3 b H B 5 s s u c f Q 7 / W e x 9 i 3 Q c 9 X W T c O 3 V d Z t w I e Y Y j b q q x b t e / P 8 a 1 V 1 q 3 a v + d c + y r r Z m J G Z v h m l X X 7 9 r 7 K u l X 7 9 5 x c X 2 X d q v 3 7 T q 5 r / i C u s m 6 5 i o m O b 1 J X t o d Q X W l s c + s O h t W V d n A r d X V j W 4 + N b 2 z r s b A Z 5 C 3 V l W m + / + m 9 e 7 T C M T 6 4 f z t 1 9 V 7 v e e r q N u j 5 6 u r G o f v q 6 l b A I w x x W 3 V 1 q / b 9 O b 6 1 u r p V + / e c a 1 9 d 3 U z M y A z f V l 3 d p r 2 v r m 7 V / j 0 n 1 1 d X t 2 r / v p P r m h + E 6 u p r L F j u 7 d + s s m w v o c r a f 8 8 O h l W W d n A r l X V j W 4 + V b 2 z r s b E Z 5 C 1 V l m l + f + f + G E Z m 8 B 2 P m W / 9 j s f Q t 0 H L V 1 U 3 D t l X V b c C H m G E 2 6 q q W 7 X v z + 2 t V d W t 2 r / n H P u q 6 m Z i R m Z 3 I / D 3 n F l f V d 2 q / X t O r q + q b t X + f S f X N X / Y U V X v u T a 5 d / 9 m P W W 7 C P W U O g W 3 7 m B Y T 5 k O d u 9 / + u n O G J M / O H K P q 9 / j L Y + 3 z V u b y O u x 9 m 2 a e 5 x t m t P C w c 4 N C V u P x d / j L Y / R b 4 O a r 8 K 0 / e 1 U 2 K 2 A R 3 j k t i r s V u 0 j k 3 1 b F X a r 9 u 8 5 z 7 4 K u 5 m Y k f m 9 r Q q 7 T X t f h d 2 q / X t O r q / C b t X + f S f X N j / Y 8 V X Y v a + x M n l v 5 0 Y l 5 j o J l N g 9 R f H W H Q w q M d v B A 4 q a 7 m 9 e N H R 8 b d / a R C r H 1 r b 5 3 v 7 u w / u 7 D 8 c 7 m y I z x 9 7 u v X v 7 + w c H + + O d 2 y 1 O 2 v f u U 3 / 7 4 3 s P b q X P b j U o x + 7 v h 5 y n 0 d y L e w 9 3 P j 1 4 O P 7 0 0 0 0 v R j j u F n P l K T n 7 2 v Z t 3 o u w x i 2 V 3 X u h F 2 G O j d 1 E m O I 2 3 U R 4 4 n Z U j 7 D F L Z j J 0 4 a O 6 r d 4 z 9 O K t y K H p x X f B z 1 P O d 6 u m w g z 3 K I b D 7 n d U E e + 1 9 I k H I q b 1 K O F H 6 p H d U V u 3 c G w e j Q d 7 D 8 8 e D D e 3 7 + d d r z 9 S 5 4 Y m J c 2 T Y g n B b d p 7 n G / R e n B w / v j g 4 P b K c T b v + T x / W 0 Q 8 7 W h t k e 7 m z X g r Y B H + G N j + 8 h 0 3 1 b l 3 a r 9 e 0 6 y r + t u 1 b 4 / z R u I G Z n e j c D f c 2 Z 9 T X a r 9 u 8 5 u b 4 K u 1 X 7 9 5 1 c 1 3 y v q 7 v e L 0 S 9 d 3 O I 6 r o I 1 d f t Q l T X w b D 6 M h 3 s 7 u / T H + N P b 6 e / 3 u M t j 7 f N W 7 d U Y L d p 7 n G 2 x e n e z v 0 H h N M m s + / x + P u 8 5 r H 6 b Z D z l Z i 2 v 5 0 S u x X w C J f c V o n d q n 1 k u m + r x G 7 V / j 1 n 2 l d i N x M z M s G 3 V W K 3 a e 8 r s V u 1 f 8 / J 9 Z X Y r d q / 7 + S 6 5 v d 8 J b b / N Y L U / Z 2 b 1 Z j t J F B j + 4 r i r T s Y V m O m g / 1 7 + 7 v j / d 3 b a T H z 0 i Z K e V x t m t / b 3 X 8 I D 3 e T 1 v O Y 2 7 2 2 8 + n 9 v f H D T Z G t x + P u t b 1 P x 5 9 u i h w 9 X r / N i D x W f x / U f G V m 3 9 t 5 c J + w u 8 c 6 8 x Z 6 7 f a z 5 G s 3 8 9 b 2 L V 6 L s M R t l d x 7 I B d h i t u q u v f o J c Y M t y F 4 h B 9 u Z i J f A 1 q C 3 / y a r w h v Q w p f E d 4 e O V 8 d 3 q q X C B v c 3 I u H 2 n 6 o F N 8 r K s W k 3 q Q P L f x Q H y o 7 3 L q D Y X 1 o O t g 7 o K X D 2 2 n D 2 7 7 i M b 9 5 5 Z Y O n T Y f N t s e x 9 / Y 1 u P y G 9 t 6 v H 1 j W 1 / P 3 d w 4 w j O 3 d d p u 1 T 4 y p b f V Z 7 d q / 5 6 T 6 W u y W 7 V / n x n 1 F d f N j d 9 n T n 0 t d X P j / p x u a N y f 0 A 2 N + 7 O 5 Y Y C u 7 f 2 u N n q / O H P / F n G m 7 S J U S L e L M 1 0 H w w r J d H B w 7 + G D 8 e 4 m + + W x 8 O 1 f 8 v j Y v H R L p X S b 5 h 4 X m + Y P E P c e b E L J 4 + b b v + R x 9 W 0 Q 8 5 W V t r + d s r o V 8 A h / 3 F Z Z 3 a p 9 Z K Z v q 6 x u 1 f 4 9 Z 9 l X V j c T M z K 9 G 4 G / 5 8 z 6 K u t W 7 d 9 z c n 3 F d a v 2 7 z u 5 r v m n v v q 6 / z U i z P s 7 N y s w 2 0 m g w O 4 r i r f u Y F i B m Q 5 2 d w 4 O b r 0 K a l 7 a u / / g 4 M H + e O / g d i r M v H Z L F e Z 6 + f T B w a f j v U 9 v p 8 r M a / c f 3 t s f Y 2 1 7 8 C W P 1 2 + D m s f q 7 4 O a r 8 z c e z s H 9 y l Q 2 r i a F O G 1 7 V t 1 G O G f W 7 0 X Y Y t b v R f h j N s q v P f q J 8 I b t 1 V 8 7 0 X 4 C F / c z E y + J r T T d f N r v k K 8 z a B 8 h X h 7 5 H y 1 e K t e I q x w c y 8 e a g 9 C 5 X g q g W b 6 5 t X t F N e 9 m z W j 7 S H U j B o J 3 7 q D Y c 1 o O r i / e / 8 B j f z T / d v p x v d 5 z R M E 8 9 o t d a M 2 H z b k H u / f 2 N b j 9 x v b e l x + Y 1 t f 8 9 3 c O M I 9 t 3 X j b t U + M r W 3 d e N u 1 f 4 9 J 9 P X Z r d q / z 4 z 6 q u w m x u / z 5 z 6 + u r m x v 0 5 3 d C 4 P 6 E b G v d n c 8 M A X d u D U C + d / e R x + v u k J 1 9 + c f b 6 7 M s X t 1 M d + z f r J t t L q J t U F d y 6 g 2 H d Z D r Y v T d + e E u f 7 b a v e G x s X r m l T t L m w / P g c f C N b T 0 G v r G t x 7 8 3 t v V 1 0 s 2 N I 5 x z W 5 1 0 q / a R K b 2 t T r p V + / e c T F 8 n 3 a r 9 + 8 y o r 5 N u b v w + c + r r p J s b 9 + d 0 Q + P + h G 5 o 3 J / N D Q N 0 b R 9 2 d N J 7 5 s H u 2 z T V s E K y X Y Q K 6 X Z 5 M N f B s E I y H e z t P v h 0 v K O K L j p w j 4 V v / 5 L H x + a l W y q l 2 z T 3 u N g 0 3 9 0 / u H 8 w B s s O v u W x 8 3 u 8 5 f H 1 b V D z 1 Z W 2 v 5 2 6 u h X w C I f c V l 3 d q n 1 k r m + r r m 7 V / j 3 n 2 V d X N x M z M r 8 b g b / n z P p K 6 1 b t 3 3 N y f d V 1 q / b v O 7 m 2 + c M d X 4 F 9 + j U y Y Z / u 3 K j C X C e B C v t U U b x 1 B 4 M q z H a w e / D p 7 h i i J E P f q M L s S 5 s o 5 b j a N v 9 0 5 x 7 F h i D 5 4 F u O t + 1 b 9 w / 2 H 9 w b b 1 w w c B z u x n M P C Y 9 b K b J b D c f x + f s g 5 i k y 9 9 q D 3 b 3 d 8 Y O N r 0 X Y 7 O Y J 8 h S b f W v 7 F q 9 F u O G W + u 1 9 k I v w w 8 Z e I p x w i 1 4 i n H A b e k e Y 4 U Y G 8 l S f R + 6 b 3 v I U 4 K 3 o 4 C n A 2 6 P m a c H b d R J T C D e O 3 7 2 z G 6 r C 9 / X l P r 3 Z l 3 N d h I r w d r 6 c 6 2 B Y E Z o O 7 j 3 Y 2 x v v b e I W j / 9 v / 5 L H / u a l T T P i c f 9 t m n t s b 5 r v P f h 0 b 6 z k u U k B 3 v o d j + V v g 5 a v / r Q 9 2 t 2 s 9 G 4 F P M I d G 9 t H J v u 2 e u 5 W 7 d 9 z i n 0 N d 6 v 2 / U n e Q M z I 7 G 4 E / p 4 z 6 6 u x W 7 V / z 8 n 1 N d i t 2 r / v 5 L r m e 7 7 y e v A 1 / L g H O z e r L 9 t J o L 4 e K I q 3 7 m B Y f Z k O 8 M 7 u e G e T E H t 8 b d 7 a R C q P r U 3 z e 5 / u 3 C e F B w 4 e f M 3 j b v v a / s P 9 n R s s u M f k 5 r W D n Q f 3 x 3 u 3 V G W 3 G Z H H 6 + + D m q / N 3 H u 7 9 / b u j w 8 2 U c J X b O 8 x T b 5 + M 6 9 t 3 + a 9 C F f c V s + 9 D 3 o R v r i t u n u f b i I M c S u i R 3 j i Z k b y 1 a C l + c 2 v + d r w N r T w t e H t k f N 1 4 q 1 6 i T D C z b 1 4 q N 0 L N e P Z C 1 n P v J 3 O 2 r 1 Z K V r 4 o V J U G b x 1 B 8 N K 0 X S w i U o e 9 9 + m u c f 1 t 2 n u M f 1 t m n v M b p r v 3 b t 3 a + V 3 6 3 c 8 N r 8 N W r 7 m 0 / Z o d 7 O 6 u x X w C E d s b P + e E + z r t 1 u 1 f 8 8 p 9 h X b r d r 3 J 3 k D M S O z u x H 4 e 8 6 s r 7 l u 1 f 4 9 J 9 f X W b d q / 7 6 T 6 5 r v d 7 X V + w W h D 2 4 R h N o u Q o V 1 u y D U d T C s s E w H e 3 t 7 + + R f 3 U 5 t 3 f 4 l j 7 P N S 7 d U X r d p 7 v G 1 a b 5 7 8 B B e 1 c P b q a / 3 e M t j 8 9 u g 5 i s w b X 8 7 B X Y r 4 B E O u a 0 C u 1 X 7 y F z f V o H d q v 1 7 z r O v w G 4 m Z m R + b 6 v A b t P e V 2 C 3 a v + e k + s r s F u 1 f 9 / J d c 3 v + w r s 4 G s E o g c 7 N 6 s w 2 0 m g w g 4 U x V t 3 M K z C T A e b B u 0 x t G 0 + 3 r m l 5 r p N B x 5 H 3 7 I D j 6 f N G 7 u b 3 / A Y 2 7 z x 6 f 7 Y r C 7 f p L V u i Z a v u G w v 9 z b 3 4 u s v 8 8 7 2 T f 1 E W O S m V 2 K T f s M r s Y m / p S a 7 b R e x q b + l M r s 1 g S N T v 4 2 X 9 m + p 2 P y O N r 3 j K 7 d b v x O Z / d s q u F v 3 8 Z 7 y 7 q H 0 a a j k T i W k T N + 8 u p 0 C u n e z h r M 9 h B r u 3 n t 2 M K z h T A f E i X u 3 U 3 K 3 f M P j d v v G 7 Z T c b Z p 7 j G 6 a 0 6 8 b / U W P z 2 / 7 i s f l t 0 H K 1 2 / a H u 1 u V m y 3 A h 7 h i t s 6 Z r d q H 5 v i W 6 q z W 7 V / z x n 2 d d n N x I x M r g O + W X / d p r 2 v u 2 7 V / j 0 n 1 9 d b t 2 r / v p P r m j 8 I d d b 7 R p Y H 9 2 9 W W r a L U G m p F b p 1 B 8 N K y 3 R w S 7 f s N s 0 9 b r 5 N c 4 + Z b 9 P c 4 2 X T f G + z + v Q Y + p Z v e C x 9 G 5 R 8 Z a X t b 6 e s b g U 8 w g 2 3 V V a 3 a v + e s + s r q 1 u 1 f 8 / 5 9 Z X V z c S M z O 1 t l d V t 2 v v K 6 l b t 3 3 N y f W V 1 q / b v O 7 m u + Y G v r B 5 + j S j y 4 c 7 N 6 s p 2 E q i r h 4 r i r T s Y V l e m g 1 u q q 9 s 0 9 / j 5 N s 0 9 d r 5 N c 4 + b b f P N C 6 Q e S 5 s 3 y L V 6 c D t 1 d R u U f H X l e t g c P U U Y a W M X E Z 7 Y 2 P 4 9 p 9 h X W r d q / 5 6 T 7 C u t W 7 W P T P N N J I 3 M 8 / Z N 7 0 R m + o Z X f A 1 2 2 1 f e c 7 J 9 J X b b L t 5 3 v l 3 z h 6 E e e 6 / F x 4 e 7 N 6 s w C z 9 U Y T q a W 3 c w r M K 0 g 2 G j 5 v H 2 j W 0 9 v r 6 x r c f T Z p C 3 1 F y m + b 2 D e 3 u 7 + / s 7 m 7 M A H m O / 3 4 s e d 9 8 G Q V + P 3 T h 4 X 4 P d C n i E J W 6 r w W 7 V v j / L t 9 Z g t 2 r / n r P t a 7 C b i R m Z 4 o 3 A 3 3 N m f a V 1 q / b v O b m + x r p V + / e d X N P 8 3 s 5 O q K 7 e M 6 + F t c 7 N C s v r I V R Y t 8 t r u Q 6 G F J b t 4 B Y K 6 x Z t L R v f o q 1 l Y T f I W y k s 1 3 z 3 Y H z v V q r q 9 q 9 Y V r 4 d U k 5 J 3 W L A T k n d E n i E D W 6 n p G 7 Z v j + z t 1 R S t 2 z / n j P s l N R t i B m Z 3 I 3 A 3 3 N m n Z K 6 Z f v 3 n F y n p G 7 Z / n 0 n 1 z X f D Z X U + y a y k O u / S U v Z L k I t d b t E l u t g W E u Z D j Y N 2 W P n 2 z T 3 u P k 2 z T 1 m v k 1 z j 5 d N 8 9 1 P b 5 X H u u 0 L H k P f B i F f V W n 7 2 6 m q W w G P 8 M J t V d W t 2 r / n 3 P q q 6 l b t 3 3 N 2 f V V 1 M z E j U 3 t b V X W b 9 r 6 q u l X 7 9 5 x c X 1 X d q v 3 7 T q 5 r v u e p q t 2 d 9 0 9 j 7 U I 3 3 q S s b C e + s u I 3 3 6 u D Y W V l O t i 9 f 4 9 S 0 Q 9 v p 7 L M S 7 d U W a b 5 / s N P P / 1 0 f P D p 7 T S X f e t g 9 9 7 + + M G m t J P H 4 X Y 8 R I P x / s H t l N h t x u M x + n t g 5 m s y + 9 q D n b 2 9 8 d 4 m W v s 6 7 f Y z 5 G s 2 8 9 b 2 L V 6 L s M N t F d x 7 I B d h i N u q u f f o J c I K t 6 F 3 h B l u 5 i B f + T l 6 3 / i a r w N v Q w l f B 9 4 e O V 8 T 3 q q X m F K 4 s R c P t X u h P n y f d N g u d O 9 N q t D C D 1 X h 7 n t 2 M K w K T Q e 7 O 3 v j e 5 s G 7 f H / r d / x u N + 8 s 2 k 2 P O b X 5 s M 2 2 2 P 5 G 9 t 6 f H 5 j W 4 + 7 b 2 z r 6 7 m b G 0 e 4 Z q M q i H D B z i 0 V 2 q 3 g R y Z 0 Y / v 3 n E x f l d 2 q / f v M q K + 6 b m 7 8 P n P q 6 6 m b G / f n d E P j / o R u a N y f z Q 0 D d G 3 3 u / r o v U L J 3 Z 1 b h J K 2 i 1 A l 3 S q U 9 D o Y V k m m g 7 2 H n + 6 O b 6 m S b v 2 O x 8 X m n V u q p N s 0 9 3 j Y Y r S 3 t z 9 + + O m G l z x e v v 1 L H k / f B j F f V W n 7 2 6 m q W w G P c M f G 9 p H J v q 2 q u l X 7 9 5 x k X 1 X d q n 1 / m m + n q m 4 F / D 1 n 1 l d Y t 2 r / n p P r q 6 1 b t X / f y X X N 7 / v K a / d r B J f g 8 p v U l + 0 k U F + 7 i u K t O x h W X 6 a D + + N 7 6 q b d p L z M G 5 v I 5 L G 0 a b 7 7 g F S d q t 2 b l J d 9 h 2 L R j Y u A H m u b d 2 6 9 4 O h 1 8 3 D v 0 / H + p h j R 4 / J b 4 + Y r M f P S 3 s 7 9 v c 0 9 + d r s l n P j K z T z y v Z N 7 0 R Y 4 L Z K 7 b Z o R Z j g t n r t t l 1 E 5 v 8 W J I 6 w w P b u w c H 9 s V k H u 1 H V W S a 4 8 S 1 f 4 b 3 H W x E u u K 3 a e 4 9 e 3 p c J X P N P Q + X 3 X p E k W P w m v W f h h 3 r v d p G k 6 2 B Y 7 2 k H w 5 b Q Y / g b 2 3 q c f m N b j 8 v N I G / p o 5 n m u / f G D / d u p + F u + 4 r H 2 r d B y l d t N w 7 Y 1 2 i 3 A h 5 h g 9 v 6 Z 7 d q 3 5 / Z W / t n t 2 r / n j P s K 7 G b i R m Z 3 N v 6 Z 7 d p 7 6 u r W 7 V / z 8 n 1 F d W t 2 r / v 5 L r m D 0 I V d S o a K j 3 5 9 u l P f H V 6 O z 2 y d 7 O i s r 2 E i k q F 7 d Y d D C s q 7 e B W i u r G t h 4 r 3 9 j W Y 2 M z y F s q K t P 8 3 s G 9 h + O d W 6 o q 8 9 L u w 9 2 H 4 / u b r L 7 H 0 r d B z F d W p v 3 2 z b 3 4 a u t W 3 U S Y 4 r Z q 6 1 b t + / N 8 a 7 V 1 q / b v O d + + 2 n o f s n 6 t K f f V 2 H t 0 5 m u z 2 4 z J 1 2 a 3 R 8 7 X a b f q J T L z N / f i o X Y Q 1 2 x v X t 1 O 6 d y 7 W a v Z H k K t p s 7 k r T s Y 1 m r a w a 2 0 2 o 1 t P U 6 / s a 3 H 5 W a Q t 9 R q p v m 9 g 3 3 y q w 9 u p 9 V u / 5 L H 4 b d B z N d q N w 7 a 1 2 W 3 A h 5 h h d v q s l u 1 7 8 / u r X X Z r d q / 5 y z 7 u u x m Y k a m d y P w 9 5 x Z X 2 n d q v 1 7 T q 6 v r m 7 V / n 0 n 1 z V / G C q q s 5 8 8 T n + f 9 O T L L 8 5 e n 3 3 5 4 n a 6 Z P 9 m Z W V 7 C Z X V / n t 2 M K y s t I N b K a s b 2 3 q s f G N b j 4 3 N I D d R 3 u N i 0 / z T W y f z b / m G x 8 y 3 Q c l X U z c O 1 1 d T t w I e Y Y L b q q l b t e / P 6 6 3 V 1 K 3 a v + f 8 + m r q Z m J G 5 v a 2 a u o 2 7 X 0 1 d a v 2 7 z m 5 v p q 6 V f v 3 n V z b H D w a q K n 3 X I b E t N + g o 1 w X o Y 7 S f P i t O x j U U b a D 3 Z 3 x p 5 s i L s f S t 3 7 F c b V 9 Z R N h H V P f q r n j a d v 8 4 N 5 4 f / 9 W W u v W r z j m v h V S n t o y 7 W + l t m 4 H P M I X t 1 R b t 2 s f m e O N 7 d 9 z g j 2 1 d b v 2 / S m + l d q 6 H f D 3 n F l P b d 2 u / X t O r q e 2 b t f + f S f X N d / 1 1 d b e 1 1 i A B C 1 u U l y 2 k 0 B x 7 S m K t + 5 g W H G Z D u 7 d O 9 g b P 9 y 9 n e o y L 2 2 i l M f V p v n u z s N P P 3 0 w N n H s T e r L v f b p 3 s H + e G + T k v R 4 3 L y 2 t 3 + f l h V v l / 6 6 1 Y g 8 V n 8 f 1 H x l 5 t 4 j c j 8 Y H 2 x 6 L c J q N 0 + S r 9 z M W 9 u 3 e C 3 C E b f V c e + B X I Q n b q v p 3 q O X C C / c h t 4 R b r i Z h X z 9 Z + l 9 8 2 u + G r w N J X w 1 e H v k f G V 4 q 1 4 i X H B z L x 5 q e 6 F K f K 9 l S Q z x J m 1 o 4 Y f a U L n h 1 h 0 M a 0 P T w d 7 e p 2 M s e A w O 2 u P / W 7 / j c b 9 5 Z 9 N s e M y v z Y f N t s f y N 7 b 1 + P z G t h 5 3 3 9 j W 1 3 M 3 N 4 5 w z U Z V E O G C j e 0 j k 3 p b h X a r 9 u 8 5 m b 4 q u 1 X 7 9 5 l R X 3 X d 3 P h 9 5 t T X U z c 3 7 s / p h s b 9 C d 3 Q u D + b G w b o 2 t 7 r 6 q P 3 i y z 3 b h F Z 2 i 5 C l X S 7 y N J 1 M K y S T A e f 3 q f V v A e 3 1 E m 3 f 8 n j Y / P S L Z X S b Z p 7 X G y a 7 z / c 3 R s f 7 G 9 4 y e P m 2 7 / k c f V t E P O V l b a / n b K 6 F f A I f 9 x W W d 2 q f W S m b 6 u s b t X + P W f Z V 1 Y 3 E z M y v R u B v + f M + i r r V u 3 f c 3 J 9 x X W r 9 u 8 7 u a 7 5 v q + + 7 n 2 N C P P e z s 0 K z H Y S K L B 7 i u K t O x h W Y K a D 3 d 2 D h + O D h 7 d T Y O a l T Z T y u N o 0 v 3 d w / 8 G 9 8 Y F q 3 5 s 0 m H 3 r w T 1 K Y G 3 M u 3 s c b t 4 6 + J T e 2 T Q c j 9 F v M x y P z 9 8 D M V + R 2 d c + v b / 7 c P z w w a b X I m x 2 8 w T 5 i s 2 8 t X 2 L 1 y L c c F v 9 9 h 7 I R f j h t l r u P X q J c M J t 6 B 1 h h h s Z y F d 9 l t w 3 v u U r w N v Q w V e A t 0 b N 1 4 K 3 6 i T C A j d 2 4 i F 2 P 1 S F 7 x V Z 3 r t F Z G n h h 1 r w d p G l 6 2 B Y C 5 o O H j w c 3 1 e o N + n A 2 7 7 i 8 b 1 5 5 Z Y u n D Y f N t Y e s 9 / Y 1 u P w G 9 t 6 j H 1 j W 1 / D 3 d w 4 w j O 3 d d V u 1 T 4 y p b d V Z b d q / 5 6 T 6 S u x W 7 V / n x n 1 l d b N j d 9 n T n 0 d d X P j / p x u a N y f 0 A 2 N + 7 O 5 Y Y C u 7 a d d b f R + c e U 9 G / Y N K y T b R a i Q 1 L O 5 d Q f D C s l 0 s H d v Z 2 e 8 t 8 l 2 e S x 8 + 5 c 8 P j Y v 3 V I p 3 a a 5 x 8 W m + e 4 D S v A + P N j w k s f N t 3 / J 4 + r b I O Y r K 2 1 / O 2 V 1 K + A R / r i t s r p V + 8 h M 3 1 Z Z 3 a r 9 e 8 6 y r 6 x u J m Z k e j c C f 8 + Z 9 V X W r d q / 5 + T 6 i u t W 7 W + c 3 E H 1 9 c B X X / t f I 6 7 c 3 7 l Z g d l O A g W 2 r 0 O 6 d Q f D C s x 0 c P / e g / H e 7 d S X e W U T X T 2 e N s 1 3 P 9 3 9 l B Z B N q k 7 j 7 P t W / c / 3 X u 4 W U l 6 / G 3 e 2 t s / u L 9 / f 3 x / 0 4 g 8 T n c o 3 t t 7 c E D J P r D F 4 I s e y 7 8 H l r 5 O c / 3 t P N x / u L e 3 W X n 6 C u 6 2 0 + U r O f P O 9 o 0 v R f j i t p r u 1 o h F O O O 2 2 u 7 W f U Q 4 4 p a k j j D F N r 3 6 4 O H e w 3 v j B 5 v i B 1 8 T e p 3 e 4 k 1 f J 7 7 n m x H O u K 1 2 f M + e 3 p c 1 X P O D U E + + V 9 C 5 f 4 u g 0 8 I P V e T t g k 7 X w b C K 1 A 6 G j a Y n B j e 2 9 d j / x r Y e 6 5 t B b q K 5 x / W m + a c 7 O 3 s 7 4 4 N N L O 9 x / H u 8 5 T H 7 b V D z l d + N w / b 1 3 a 2 A R 5 h h Y / v + 3 N 5 a z d 2 q f X + O b 6 3 i b t W + P 9 E b i B m Z 3 4 3 A 3 3 N m f e V 1 q / b v O b m + y r p V + / e d X N f 8 Y a i o T k V P p S f f P v 2 J r 0 5 v p 0 3 2 b l Z X t p d Q X a k 9 u 3 U H w + p K O 7 i V u r q x r c f K N 7 b 1 2 N g M c h P l P S 4 2 z f c P d n Y f P D j Y v N b q M b R 5 7 9 6 9 g w d 7 e w f j v f 3 b q a z b o O e r L N N + m + z F / v 3 7 O 5 s d S 1 9 / 3 a q n C H f c V n / d q n 1 / w m + t v 2 7 V / j 0 n 3 t d f 7 0 n Z y N z f 7 s X I 5 N + u S 1 + / 3 W Z w v n 5 7 L x R 9 R X e r j i J c c K u O H I I Y W 0 z j v X l 1 O 2 V 0 7 0 Z t 5 3 o I t Z 2 G V 7 f u Y F D b m Q 5 u o + 1 u b u s Y / + a 2 j u n t I G + n 7 W z z v Y c H e 5 / e 3 9 8 b f 3 q 7 M P U 9 X 3 Q s f y s E P X 1 3 8 + A 9 F X c 7 4 B G W u K W K u 1 3 7 / i z f V s X d r v 1 7 z r a n 4 m 5 B z M g U b w T + n j P r q b D b t X / P y f U 0 1 + 3 a v + / k u u a 7 o c I 6 + 8 n j 9 P d J T 7 7 8 4 u z 1 2 Z c v b q d T 9 m 9 W W r a X U G n t v 2 c H w 0 p L O 7 i V 0 r q x r c f K N 7 b 1 2 N g M c h P l P S 4 2 z f f J O 7 u l u r r t K x 4 7 3 w Y p X 1 H d O G B f U d 0 K e I Q N b q u o b t W + P 7 O 3 V l S 3 a v + e M + w r q p u J G Z n c 2 y q q 2 7 T 3 F d W t 2 r / n 5 P q K 6 l b t 3 3 d y X f O 9 j q J 6 z 7 X N / Z v X N l 0 X o Z a 6 3 d q m 6 2 B Y S 5 k O d n c e 7 I 9 V + d 2 k r W 7 9 j s f X 5 p 1 N p P X Y + j b N P a 4 2 z f f v P d i 5 d 3 9 8 7 9 P b K a / 3 e c 1 j 8 9 s g 5 y s w b X 8 7 B X Y r 4 B E O u a 0 C u 1 X 7 y G T f V o H d q v 1 7 z r S v w G 4 m Z m S C b 6 v A b t P e V 2 C 3 a v + e k + s r s F u 1 f 9 / J d c 3 v + Q r s / v t l 7 e / v 3 q y 9 L P x A e + H N 9 + p g W H u Z D j a N 1 + P l 2 z T 3 W P k 2 z T 1 O v k 1 z j 5 F N 8 / 0 H F O Q 9 3 K R G P Y a + / U s e V 9 8 G M V 9 f a f v b 6 a t b A Y / w x G 3 1 1 a 3 a v + c c + / q K 2 7 + H v r p V + / 4 0 3 0 5 f 3 Q r 4 e 8 6 s r 6 9 u 1 f 4 9 J 9 f X V 7 d q / 7 6 T 6 5 r v + / r q 0 / T 1 8 f O n X 6 Y n b 4 7 T J 8 c v b q V T P t 2 5 W W n Z T g K l 9 a m i e O s O h p W W 6 W B v 9 9 M H m 7 N 4 H l u b l 2 6 p u k z z B z t 7 n 3 6 6 c R 3 d Y 2 3 z 0 q c H O w 8 P x p 8 e 3 E 6 P m b d 2 7 z + 4 N z 5 4 c D s 9 d p v h e H z + H p j 5 i s y + 9 u n 9 v f 3 x g d q d G 1 X a 7 S f I V 2 z m r e 1 b v B b h h t v q t / d A L s I P t 9 V y 7 9 F L h B V u Q + 8 I M 9 z M Q b 7 u s / S + + T V f B d 6 G E r 4 K v D 1 y v i K 8 V S 8 R L r i 5 F w + 1 + 6 E 6 f C / 3 7 d N b u G 8 W f q g J b + e + u Q 6 G N a H p g P J p 4 4 P 9 2 y n C W 7 / j c b 9 5 Z 9 N s e M y v z Y d N t s f y N 7 b 1 + P z G t h 5 3 3 9 j W 1 3 M 3 N 4 5 w z W 0 d t l u 1 j 0 z q b R X a r d q / 5 2 T 6 q u x W 7 d 9 n R n 3 V d X P j 9 5 l T X 0 / d 3 L g / p x s a 9 y d 0 Q + P + b G 4 Y o G v 7 a U c f v X / i / t P 9 m 7 W S 7 S X U S q o K b t 3 B s F Y y H e w b m N F x e x x 8 u x c 8 F j Y v 3 F I f a f P h O f C 4 9 8 a 2 H v P e 2 N b j 3 R v b + v r o 5 s Y R r r m t P r p V + 8 h 0 3 l Y f 3 a r 9 e 0 6 m r 4 9 u 1 f 5 9 Z t T X R z c 3 f p 8 5 9 f X R z Y 3 7 c 7 q h c X 9 C N z T u z + a G A b q 2 D z r 6 6 D 3 z 8 5 / e v 1 k Z 2 S 5 C Z X T / P T s Y V k a m g / 3 d h z s b 4 z i P g 2 / 9 j s f F 5 p 1 b q q T b N P d 4 2 D S / 9 / D e 7 h h z O P i S x 8 u 3 f 8 n j 6 d s g 5 q s q b X 8 7 V X U r 4 B H u u K 2 q u l X 7 y E T f V l X d q v 1 7 z r K v q m 4 m Z m R 6 N w J / z 5 n 1 F d a t 2 r / n 5 P p q 6 1 b t 3 3 d y X f M D X 3 k 9 + B q 5 r g c 7 N 6 s v 2 0 m g v h 4 o i r f u Y F h 9 m Q 4 2 D d p j 6 N s 0 9 / j 5 N s 0 9 d r 5 N c 4 + b T f O 9 2 6 s s 8 8 r u w / 3 x w 1 t q r N t g 5 W s s 2 w d l C j Y m C i L M t L G P C F 9 s b P + e 0 + w r r l u 1 f 8 + J 9 h X X r d p H p v p G m k b m e v v G l y K T f d M 7 v i K 7 9 T v v O e G + M r t 1 H + 8 7 6 a 7 5 w 1 C h v V e 2 6 s E t s l U W f q j L b p e t c h 0 M 6 z L T w a b x e j x + m + Y e i 9 + m u c f h t 2 n u M b h p v n 9 v / O k t d d l t X / G 4 + z Z I + a p M 2 6 P d z T r s V s A j / H B b H X a r 9 u 8 5 v 7 4 O u 1 X 7 9 5 x h X 4 f d T M z I 5 G 4 E / p 4 z 6 + u s W 7 V / z 8 n 1 9 d W t 2 r / v 5 N r m 9 3 Z C X X U q q i p 9 8 + p 2 y u T e j d r K 9 R B q q 3 v v 2 c G g t j I d D L O D Y + W b 2 z o 2 v r m t Y 2 E 7 y N s p K d v 8 3 o P b q a h b v u D Y e B C h g A 0 c G 9 8 8 W E 9 B 3 Q 5 4 h A V u q a B u 1 7 4 / q 7 d V U L d r / 5 6 z 6 y m o W x A z M r U b g b / n z H o K 6 n b t 3 3 N y P Q V 1 u / b v O 7 m u + W 6 o o L 5 G q v 3 B / s 1 K y v Y S K q n 9 9 + x g W E l p B 7 d S U j e 2 9 V j 5 x r Y e G 5 t B b q K 8 x 8 W m + e 6 9 8 c N N u T W P l 2 / 7 i s f O t 0 H K V 1 Q 3 D t h X V L c C H m G D 2 y q q W 7 X v z + y t F d W t 2 r / n D P u K 6 m Z i R i b 3 t o r q N u 1 9 R X W r 9 u 8 5 u b 6 i u l X 7 9 5 1 c 1 3 y v o 6 j e M w f / 4 O Y c v O s i 1 F K 3 y 8 G 7 D o a 1 l H Z w K y 1 1 Y 1 u P j 2 9 s 6 / G w G e Q t t Z R t P r 5 3 c D s l d c s 3 P E 6 + D U q + j r p x u L 6 O u h X w C B P c V k f d q n 1 / X m + t o 2 7 V / j 3 n 1 9 d R N x M z N r e 3 1 F G 3 a e / r q F u 1 f 8 / J 9 X X U r d q / 7 + S 6 5 v d 8 H X X w N V L t B z s 3 a y n b S a C l D h T F W 3 c w r K V M B / d 2 7 t 0 b g 1 U G h + 6 x t X l p E 6 U 8 r j b N H x 5 Q S D 2 G P A 2 + 5 f G 2 f e v + 3 s P 7 m / P i H o e b t / b u U 0 4 S U z r 4 k s f p l g g P d s Y H m z r y u P 0 9 0 P P V m X 3 t 3 s 7 D e 2 O 1 N j f q t d v P k q / d z F v b t 3 g t w h K 3 V X L v g V y E K W 6 r 6 t 6 j l w g 7 3 I L c E X 7 Y 2 9 v Z G + 9 v n N o I R 2 z f / J q v B m 9 D C F 8 N 3 h 4 5 X x n e q p c I E 9 z c i 4 f a f q g S 3 9 d t O 7 i F 2 2 a 7 C B X i 7 d w 2 1 8 G w Q j Q d f H o A B X I 7 f X j r d z z + N + 9 s m h C P / W / T 3 O N 7 0 3 z / w Y P 7 4 w e b X D O P 7 W / / k s f 1 t 0 H M V 4 D a H u 1 u 1 n u 3 A h 7 h j o 3 t I 5 N 9 W 1 V 3 q / b v O c m + k r t V + / 4 0 b y B m Z H o 3 A n / P m f U V 2 a 3 a v + f k + i r s V u 3 f d 3 J d 8 / u + 8 n r 4 N f y 5 h 9 b d e j O o v m w n g f p 6 q C j e u o N h 9 W U 6 2 L 3 3 Y I y 1 1 s G R e 1 z t 3 r m 3 d / / + Z m 3 v M b d 5 7 Z Y a z O t l d / d g v L s J O Y / F z W u f 7 t / f H W N O B 1 / y W N 2 8 d J 8 M 2 f 0 b v D O P 4 9 8 H R V + n W R w / 3 d n Z 2 x t v f C 3 C c d u 3 6 i / C R b d 6 L 8 o c t 3 g v w i C 3 V X v v 1 U + E R W 6 r / t 6 H 7 h H u 2 L 6 / 9 + n D n f 3 x p 5 v C B F 8 j W r a 6 x X u + Z n y v 9 y I M c l s N + V 7 9 R P j i l p r y 0 1 B T n r 2 Q h c 7 b 6 b D d m 5 W k h R 8 q y d 3 3 7 G B Y S Z o O N o 3 X Y / / b N P e 4 / z b N P a a / T X O P 5 0 3 z T + 9 T s P r w d u r w 1 u 9 4 v H 4 b t H w d q O 3 R 7 m b N d y v g E Y 7 Y 2 P 4 9 J 9 h X c L d q / 5 5 T 7 C u 2 W 7 X v T / I G Y k Z m d y P w 9 5 x Z X 3 v d q v 1 7 T q 6 v t W 7 V / n 0 n 1 z V / E G q r U 1 F W 6 Z t X t 1 M n 9 4 b 1 V a + H U F 9 p I H j r D o b 1 l e l g 7 9 P 9 3 f 1 P x / c 3 6 X W P q 9 / n N Y + 5 z W u 3 1 F + 3 a e 6 x t m m + u / P p p 5 8 + 3 G S y P R a / / U s e n 9 8 G M V + D a f v b a b B b A f e Y / F b t I 1 N + W w 1 2 q / b v O c m + B r t V + / 4 0 3 0 6 D 3 Q r 4 e 8 6 s r 8 F u 1 f 4 9 J 9 f X Y L d q / 7 6 T 6 5 o f h B r s 7 C e P 0 9 8 n P f n y i 7 P X Z 1 + + u J 2 S 2 b 9 Z i 9 l e Q i 2 2 / 5 4 d D G s x 0 8 H e v U / 3 x w r 2 J h V 2 6 3 c 8 1 j b v 3 F J / 3 a a 5 x 9 g W I 1 o q u K X 2 u u 0 r H o f f B i l f d 2 n 7 2 + m u W w G P c M b G 9 p G J 3 t g + M s k b 2 7 / n B P u 6 6 1 b t + 1 N 8 O 9 1 1 K + D v O b O + 7 r p V + / e c X F 9 3 3 a r 9 + 0 6 u a / 6 w o 7 v e c 0 n g 4 f 2 b F Z f t I l R c 9 9 + z g 2 H F Z T r Y e 7 A / v v / p 7 R T X r d / x + N q 8 s 4 m 0 H l v f p r n H 1 a b 5 7 u 7 9 + / f G D 2 6 n u m 7 / k s f i t 0 H M V 1 7 a / n b K 6 1 b A I 9 x x W + V 1 q / a R i b 6 t 8 r p V + / e c Z V 9 5 3 U z M y P T e V n n d p r 2 v v G 7 V / j 0 n 1 1 d e t 2 r / v p N r m + / v e M p r 7 9 7 7 L w n s 7 e z c q L 5 c J 7 7 6 4 j f f q 4 N B 9 W U 7 I B G m H O k m G X Z s b V / a R C n H 1 b b 5 / R 3 6 f b y / e y s N Z t / a P 3 h w 8 G B 8 f / 9 W i s y + d W / n w f 1 P P x 1 / u q k z x + v 2 t Y c 7 D 3 f 3 i R I P H t 5 K m 7 0 P k p 5 S s 6 8 d H N z b + 5 S W h R 9 s T D J H m O 7 m 6 f L U n H 1 r + x a v R X j j l t r u f Z C L c M c t d d 7 7 9 B L h i 9 t R P M I Z 2 z T D 9 w 4 O P r 1 h w S L C G 7 d 6 0 V O M 7 / l i h D s 2 k d L T k O / Z 0 f t y h m u + G 6 r K 9 1 k T 2 N v Z v V l L W v i h l l T Z v 3 U H w 1 r S d L B p v J 4 g 3 K a 5 J w G 3 a e 4 J w G 2 a e 5 x v m t / f f X B / b 3 e 8 v 0 l H e X z / P q 9 5 T H 8 b 5 H x N q O 3 R 7 m b t d y v g E b 7 Y 2 P 4 9 p 9 l X e L d q / 5 4 T 7 a u 6 W 7 X v T / U G Y k Y m e C P w 9 5 x Z X 4 v d q v 1 7 T q 6 v v G 7 V / n 0 n 1 z X f C 3 W W W R k 4 + f b p T 3 x 1 e j v F s n e z 5 r K 9 h J p L j d O t O x j W X N r B M E t 4 7 H x j W 4 + V b 2 z r s b E Z 5 C 0 V l m m + + 2 D / 4 c N P 4 c R t s t U e R 5 s X D + j F g 3 v 3 x v f U A N y k s 2 6 D n 6 + z T P v t W 3 X k K 7 B b 9 R R h j 9 s q s F u 1 7 8 / 4 r R X Y r d q / 5 8 z 7 C u w 9 K f t 1 5 9 5 X a + / X p a / g b j M 4 X 8 G 9 F 4 q + p r t V R x E u u F V H H o L 3 4 i r v d o u h e z s 3 L 4 a 6 H k J 1 d 6 v F U K + D Y X W n H d x K 3 d 3 Y 1 m P 8 G 9 t 6 T G 8 G e U t 1 Z 5 r v H u z u P z j Y / X R z F O m x / P u 9 6 L H 8 b R D 0 9 d 2 N g / d V 3 K 2 A R 1 j i t i r u V u 3 7 s 3 x r F X e r 9 r e Y 7 a B 9 f 7 o 3 E D M y x b f 1 0 W 7 T 3 l d h t 2 r / n p P r a 6 5 b t X / f y X X N 9 0 O F 9 f 5 r n 3 s 7 + z c r L d t L q L R U 2 G 7 d w b D S M h 1 s G r X H 0 b d p 7 j H 0 b Z p 7 / H y b 5 h 4 7 m + Y H 9 8 b 3 b + m m 3 f Y V j 6 9 v g 5 S v s b T 9 7 T T W r Y B H + O G 2 G u t W 7 d 9 z f n 2 N d a v 2 7 z n D v s a 6 m Z i R y b 2 t x r p N e 1 9 j 3 a r 9 e 0 6 u r 7 F u 1 f 5 9 J 9 c 1 v 9 / R W O + 3 4 r m 3 c / O K p + s i V F e 3 W v H 0 O h h W V 6 a D e 7 s 7 9 8 c P 9 m + n t G 7 / k s f Z 5 q V b q q 7 b N P f 4 2 j T f O 9 j H O u w m n D w G f 4 + 3 P D a / D W q + A t P 2 t 1 N g t w I e 4 Z D b K r B b t Y / M 9 W 0 V 2 K 3 a v + c 8 + w r s Z m J G 5 v e 2 C u w 2 7 X 0 F d q v 2 7 z m 5 v g K 7 V f v 3 n V z X / F N f g e 1 / j V V P c P l N K s x 2 E q i w X U X x 1 h 0 M q z D T w e 6 9 n Z 3 9 8 Z 7 q x p t 0 m H l r E 6 k 8 t j b N 9 / d 2 7 z / Y G + 8 9 v J 0 W s 6 / t H N z / 9 G B s / M y b t J l 5 7 e H + / t 7 m 1 S 2 P 2 W 8 z I o / X 3 w c 1 X 5 u Z 9 + 4 9 f L i 7 d 3 9 8 b x N 2 v m J 7 j 2 n y 9 Z t 5 b f s 2 7 0 W 4 4 r Z 6 7 n 3 Q i / D F b d X d + 3 Q T Y Y h b E T 3 C E z c z k q 8 G L c 1 v f s 3 X h r e h h a 8 N b 4 + c r x N v 1 U u E E W 7 u x U P t Q a g Z 3 9 e 1 A 4 f c p B d t F 6 F e V I 6 4 d Q f D e t F 0 s P f p z s 7 B + J Z q 8 f Y v e U J g X r q l a 3 e b 5 h 7 v m + a 7 B w c H 9 2 + 9 5 P k e b 3 m c f x v U f G W o 7 d H u Z g 1 4 K + A R D r m t a 3 e r 9 p G 5 v q 1 r d 6 v 2 7 z n P v p K 7 m Z i R + b 2 t a 3 e b 9 r 4 y u 1 X 7 9 5 x c X 4 3 d q v 3 7 T q 5 r f u A r s P t f w 7 W 7 b z 2 v Y R V m O w l U 2 H 1 F 8 d Y d D K s w 0 8 H e L q 0 c Y j Y H h + 6 x t X l p E 6 U 8 r j b N C a W 9 e + M H D 2 6 n w 8 x b n x 7 s 3 H 8 w v n 9 w O 1 V m 3 3 q w 9 2 D v Y O f e G O I y + K L H 7 d 6 L 9 z / d v b 8 7 / n T T M p D H 9 u + B p 6 / X z G v 3 d / d 3 P h 2 b N Z 0 b N d z t 5 8 v X c + a t 7 V u 8 F m G O j R I R 4 Y t b 9 B J h j 4 2 9 R B j j F r 1 E G O M 2 9 I 6 w B f V F P H F / o z c Z Y Y r t W 7 z n 6 8 T b 0 M L X i e + B n q 8 a b 9 V N h B F u 0 Y 2 H 3 M N Q Q 5 6 9 k B X S 2 + m u 3 Z u V o 4 U f K k e V 2 1 t 3 M K w c t Y N h c + n x / o 1 t P Y 6 / s a 3 H 7 W a Q m 6 b K Y 3 P T / M H e p 7 s H n 5 I / v r + J 0 z 1 G f 7 8 X P V a / D Y K + 4 r t x 8 L 6 6 u x X w C E t s b N + f 4 V t r u F u 1 7 8 / 0 r X X b r d r 3 p 3 s D M S N T v B H 4 e 8 6 s r 7 x u 1 f 4 9 J 9 f X W r d q / 7 6 T a 5 v D W / L V 1 a l o q / T N q 9 v p k 3 s 3 K i z X Q 6 i w V N B u 3 c G g w j I d 3 E Z h 3 d z W s f H N b R 0 L 2 0 H e T m G Z 5 k c P H j w 8 2 N m 5 v z c 2 8 f k N C u s 9 X 3 R s f S s E P Y V 1 8 + A 9 h X U 7 4 B G W u K X C u l 3 7 / i z f V m H d r v 1 7 z r a n s G 5 B z M g U b w T + n j P r K a z b t X / P y f U U 1 u 3 a v + / k u u a 7 o c I 6 + 8 n j 9 P d J T 7 7 8 4 u z 1 2 Z c v b q d T 9 m 9 W W r a X U G n t v 2 c H w 0 p L O 7 i V 0 r q x r c f K N 7 b 1 2 N g M c h P l P S 4 2 z X f v j R / e b u 3 g 1 q 9 4 7 H w b p H x F d e O A f U V 1 K + A R N r i t o r p V + / 7 M 3 l p R 3 a r 9 e 8 6 w r 6 h u J m Z k c m + r q G 7 T 3 l d U t 2 r / n p P r K 6 p b t X / f y X X N 9 z q K 6 j 1 z / Y g 3 b 9 J S t o t Q S 9 0 u 1 + 8 6 G N Z S p o P 9 e / f 2 x v c O N g z c Y + r b v + R x t n l p E 3 E 9 x r 5 N c 4 + v T f M H + w 8 / H d 9 S d 9 3 6 H Y / F b 4 O W r 7 y 0 / e 2 U 1 6 2 A R 7 j j t s r r V u 0 j 8 3 x b 5 X W r 9 u 8 5 x 7 7 y u p m Y k d m 9 r f K 6 T X t f e d 2 q / X t O r q + 8 b t X + f S f X N b / n K 6 9 P v 0 a e / 9 O d m 9 W X 7 S R Q X 5 8 q i r f u Y F h 9 m Q 7 2 H z w c 3 1 J 5 m V d 2 H 3 6 6 S x n T / d t p L / P W L b W X 6 2 T 3 H u m W T Z 1 4 / G 3 e e r i 7 s z O + t + k l j 8 / N S / f v P z j A a 7 d U Z O + B o a / P b G + f P j j A e 5 t 6 8 1 W b e W / 7 N v 1 F O O g 2 r 0 X 4 4 j a v R X j j t g r v f b q J c M d t 9 d 5 7 E T 3 C G t v 3 9 w 8 + f f h w / H C T i P i 6 0 H Z 4 i / d 8 n f h e 7 0 W 4 4 7 a 6 8 b 3 6 i b D F L X X k f q g j 3 y v T j 3 W 2 m 9 S j h R + q x 9 3 3 7 G B Y P W o H w w b T 4 / 0 b 2 3 p 8 f 2 N b j 9 n N I D f R 3 O N 1 0 / w 9 Y t D b v u I x + G 2 Q 8 t X e j Q P 2 d d 2 t g E f Y Y G P 7 / q z e 2 o 2 7 V f v + 7 N 7 a j b t V + / 4 U b y B m Z H I 3 A n / P m f V V 1 q 3 a v + f k + q r q V u 3 f d 3 J d 8 / u h i j L Z / Z N v n / 7 E V 6 e 3 0 y N 7 N y s q 2 0 u o q F T Y b t 3 B s K L S D m 6 l q G 5 s 6 7 H y j W 0 9 N j a D v K W i M s 3 3 9 u 7 t 7 j 6 4 N 9 7 f v 5 2 2 M u / t f v r g 3 r 2 D n f H O J u P l M f Z t 0 P N V l m m / T Y 7 h g 4 f 3 x v c + 3 f R i h K V u q 7 5 u 1 b 4 / 1 7 d W X 7 d q 3 5 / z W 6 u v W 7 W P T P z t C B u Z + V u 9 F 5 n 5 W 3 X o 6 7 b b j M z X b e + D o K / j b t V P h A N u 0 4 + H 3 q d x X X f L l c x P 7 9 2 s 5 2 w P o Z 6 7 9 5 4 d D O s 5 0 8 G 9 h 3 u U O t s o + p 4 E v M d b n h y Y t z b N i i c G t 2 n u S Y F p T q O / f 5 8 m 8 d N N W H l C 8 F 7 v e U J w G / R 8 9 a f t h z W / r / J u B T z C J 7 d V e b d q H 5 n w 2 6 q 8 W 7 V / z 7 n 2 V d 7 N x I z M 8 E b g 7 z m z v l a 7 V f v 3 n F x f m 9 2 q / S 0 n 1 4 7 X g X 8 Q a r G v s b z 5 6 f 7 N m s z 2 E m q y / f f s Y F i T a Q f D L O G x 8 4 1 t P V a + s a 3 H x m a Q t 1 R Z p v m n 4 4 e f 3 k 5 Z 3 f I N j 5 l v g 5 K v p m 4 c r q + m b g U 8 w g S 3 V V O 3 a t + f 1 1 u r q V u 1 f 8 / 5 9 d X U z c S M z O 1 t 1 d R t 2 v t q 6 l b t 3 3 N y f T V 1 q / b v O 7 m u + U F H T b 3 n 4 u a n 9 2 / W U b a L U E f d f 8 8 O h n W U 6 e D h / Y f j T f L r s f R t X / G 4 2 r y y i b A e U 9 + m u c f T p v n u w f 6 D B + O d W 6 b E 3 u M t j 8 V v g 5 q v v L T 9 7 Z T X r Y B H u O O 2 y u t W 7 S M z v b H 9 e 0 6 z r 7 x u 1 b 4 / 0 b d T X r c C / p 4 z 6 y u v W 7 V / z 8 n 1 l d e t 2 r / v 5 L r m D 3 3 l 9 e B r L G 4 + 2 L l Z f d l O A v X 1 Q F G 8 d Q f D 6 s t 0 s E f P g z F 4 f X D s H l + b t x 7 u 7 z + 4 v z d + 8 P B 2 W s y 8 t r t D a a n 7 B + M 9 V c M 3 q T P 7 3 s O H 9 w 8 O K A O / e z u 9 Z t / b 3 X u 4 v / P g w f 3 x z i Z M P d 5 3 b + 7 Q G A 8 e 7 o 4 h G Y N v e l L w X r j 6 i k 5 f v J 2 i M 7 1 s P 9 z b u 7 9 3 f / z p p 7 f U e H b m b v N e h E 9 u 9 V 6 E U 2 6 r A d + r n w i L 3 F Y T 3 k z t G D f c a k 4 j z L B 9 q z d 9 5 X i b 8 f j K 8 b 1 Q 9 L X k r T q K M M K t O n I I f r o T q s v 3 W u d 8 s H u j p n T w Q 0 2 p 2 N 2 6 g 0 F N a T u 4 9 y k l 1 A 8 2 e T u O / d / j J S c D 9 q V N U + J Y / 1 b N H e f b 5 n v 3 P t 3 d 3 9 + F U t y / l V J 8 3 z e d H N w K R U 8 X m v a 3 0 o W 3 A x 7 h l I 3 t I x O / s X 1 k z m + p 8 m 7 X / j 3 n 2 1 N 1 t y B m Z I 4 3 A n / P m f X 0 2 u 3 a v + f k e u r s d u 3 f d 3 J d 8 9 1 Q i 7 3 n 8 s C D m 5 c H X A + h H r v d 8 o D r Y F i P m Q 5 2 D w 7 I t X k 4 f n g 7 T f Y + r 3 n M b V 7 b R F + P t 2 / T 3 G N t 0 5 y W L P b 2 9 / c e P h h / u g k v j 8 / f 8 0 2 P 4 2 + D o q / L t P 3 t d N m t g E e 4 5 b a 6 7 F b t I 7 N + W 1 1 2 q / b v O d + + L r u Z m J E 5 v q 0 u u 0 1 7 X 5 f d q v 1 7 T q 6 v y 2 7 V / n 0 n 1 z X f C 3 X Z 1 1 g k e L B / s z 6 z v Y T 6 b P 8 9 O x j W Z 6 a D + / c 3 r / N 5 X H 3 b V z z G N q / c U o / d p r n H 1 q b 5 v Q c P 9 8 a Q j 8 G X P P a + / U s e j 9 8 G M V 9 7 a f v b a a 9 b A Y / w x m 2 1 1 6 3 a R + b 5 t t r r V u 3 f c 5 Z 9 7 X U z M S P T e 1 v t d Z v 2 v v a 6 V f v 3 n F x f e 9 2 q / f t O r m t + r 6 O 9 3 n P t 4 M H N a w e u i 1 B 1 3 W 7 t w H U w r L p M B / s H F F i P d 2 6 p v d 7 j L Y + 3 z V u 3 V G C 3 a e 5 x t m m + e 3 9 n d / d g d 7 w p j + j x + P u 8 5 r H 6 b Z D z l Z i 2 v 5 0 S u x X w C J f c V o n d q n 1 k u g f b d 5 T Y r d q / 5 0 z 7 S u x m Y k Y m + L Z K 7 D b t f S V 2 q / b v O b m + E r t V + / e d X N d 8 3 1 d i B 1 9 j D e F g 5 2 Y 1 Z j s J 1 N i B o n j r D o b V m O l g d 3 c M w R g c u M f U 5 h X K 8 u 7 u b c 4 h e q x t 3 r q l D v M 6 2 d n d v E j h 8 b d 5 6 / 7 u w 7 2 D g w N a 2 f z 0 d s r M e 3 H n 0 3 s H 9 8 d 7 D 2 6 n z t 4 D T 1 + r 6 W u 3 0 2 q m j + 3 b d B J h n t u 8 F m G J 2 7 w W Y Y v b 6 r r 3 6 S b C G L d V e T d T O s I G t 8 E p w g S 3 m S B f A 9 5 m L L 4 G f A / 0 f E V 4 q 2 6 + J g O 4 t + 6 H + v C 9 F g k O d m 9 W h R Z + q A p V / d y 6 g 2 F V a D r Y 2 7 m 1 K r z t K x 7 b m 1 d u q Q d v 0 9 z j d t N 8 d + f g 4 a e f 7 u w + 2 L z 2 6 b H + e 7 7 p c f 9 t U P R 1 n 7 a / n e 6 7 F f A I l 2 x s H 5 n 0 j e 0 j M 3 5 b L X e r 9 u 8 5 3 7 5 6 u 5 m Y k T n e C P w 9 Z 9 b X Z 7 d q / 5 6 T 6 y u y W 7 V / 3 8 l 1 z T 8 N N d h 7 L h A c 3 L t Z h 9 k e Q h 2 m o d O t O x j W Y a a D f Q R l t 1 0 e u P 1 L H m O b l 2 6 p x 2 7 T 3 G N r 0 3 x 3 5 9 4 B D Z / Q 0 s j 9 J j X 2 f i 9 6 v H 4 b B H 0 t p u 1 v p 8 V u B T z C J 7 f V Y r d q H 5 n x 2 2 q x W 7 V / z 9 n 2 t d j N x I x M 8 W 2 1 2 G 3 a + 1 r s V u 3 f c 3 J 9 L X a r 9 u 8 7 u a 7 5 g 1 C L f Y 2 l g Y P 9 m z W Z 7 S X U Z P v v 2 c G w J j M d 7 N 4 b P 7 y l N 3 b b V z z G N q / c U o v d p r n H 1 h a h + / c O b r 0 0 c P u X P B 6 / D W K + 9 t L 2 t 9 N e t w I e 4 Y 3 b a q 9 b t Y / M 8 2 2 1 1 6 3 a v + c s + 9 r r Z m J G p v e 2 2 u s 2 7 X 3 t d a v 2 7 z m 5 v v a 6 V f v 3 n V z X / K C j v d 5 z a e D g / s 2 q y 3 Y R q i 7 1 E 2 7 d w b D q M h 3 s 3 T q O v O U b H k + b N 2 6 p u G 7 T 3 O N o 0 3 z / w b 2 H + 5 t x 8 l j 7 P d 7 y G P w 2 q P m q S 9 v f T n X d C n i E N 2 6 r u m 7 V P j L R G 9 u / 5 z T 7 q u t W 7 f s T f T v V d S v g 7 z m z v u q 6 V f v 3 n F x f d d 2 q / f t O r m v + 0 F d d D 7 / G g s D D n Z u V l + 0 k U F 4 P F c V b d z C s v E w H D 3 b G O w 9 u p 7 3 s K 5 / e P 9 g b 3 9 8 U c H m s b d 7 a R F 2 P s 7 1 O a N V h / + B 2 i s y 8 d f / T v U 8 p I q T l i k 0 v e r z u X t w 9 u H d A x L h l G P k e a P p K T V + 7 n V I z f W z f p p M I 7 9 z m t R h H 3 O K 1 C F f c V t W 9 T z c R v r i t x r u Z 0 h E u u A 1 O E S a 4 z Q T 5 C v A 2 Y / E V 4 H u g 5 + v B W 3 X z N R n A v v V g J 1 S H 7 7 U e g E X F G z S h g x 9 q w t 3 3 7 G B Q E 9 o O N p H J 8 f u t m j t 2 1 + a 3 V X + 3 a u 6 4 3 D b f 3 f + U V j T v 7 + 2 O b + f D v e e L j u d v h a C n 8 U z 7 W 2 m 8 2 w G P 8 M b G 9 u 8 5 1 Z 5 u u 1 3 7 9 5 x s T 6 n d r n 1 / u m + l 1 G 4 H / D 1 n 1 t N i t 2 v / n p P r q a / b t X / f y X X N d 0 O 9 9 Z 6 r A A 9 v X g V w P Y S a 6 3 a r A K 6 D Y c 1 l O q A U 0 u 4 9 B X u T + r r 1 O x 5 b m 3 c 2 U d b j 6 t s 0 9 5 j a Y r T 3 c G 9 v 7 + D B g / H O w 9 s p s f d 8 0 + P 1 2 6 D o a z F t f z s t d i v g E T 6 5 r R a 7 V f v I l N 9 W i 9 2 q / X v O t 6 / F b i Z m Z I 5 v q 8 V u 0 9 7 X Y r d q / 5 6 T 6 2 u x W 7 V / 3 8 l 1 z f d C L f Y 1 V g E e 7 t + s y W w v o S b b f 8 8 O h j W Z 6 e A e Z c Z u p 8 d u + Y b H 1 u a N W 2 q x 2 z T 3 m N o 0 3 3 s w N q s j N 6 m v 2 7 7 i c f d t k P L 1 l r a / n d 6 6 F f A I V 9 x W b 9 2 q f W S K b 6 u 3 b t X + P W f Y 1 1 s 3 E z M y u b f V W 7 d p 7 + u t W 7 V / z 8 n 1 9 d a t 2 r / v 5 L r m 9 z p 6 6 z 3 z / w 9 v z v + 7 L k K l d b v 8 v + t g W G m Z D n b 3 d 8 b g 2 8 F x e z x 9 6 3 c 8 v j b v 3 F J x 3 a a 5 x 9 W m + f 7 O / f s H 4 0 2 p Q I + 7 b / + S x + K 3 Q c x X X t r + d s r r V s A j 3 H F b 5 X W r 9 p G J v q 3 y u l X 7 9 5 x l X 3 n d T M z I 9 N 5 W e d 2 m v a + 8 b t X + P S f X V 1 6 3 a v + + k + u a 7 3 v K 6 9 7 O + 6 8 A 3 N v Z u V l 9 2 U 5 8 9 c V v v l c H w + r L d E C R 4 I O 9 8 c 4 t / S 7 z 1 i Z S e W x t m t / f 2 T + 4 d + / B + M G n t 1 N i 7 r 1 7 e w 8 / v T 9 + s C k v 7 7 G 5 e e / g 4 c O d n Q e 7 O + P 9 e 7 f T a P b F / Y N P H z z Y 3 x 9 j W W j w R Y / 3 3 w t T X 7 3 p i 7 d T b + 8 x W b 6 W M 6 9 t 3 + a 9 C G / c V t u 9 D 3 o R 7 r i t 0 n u f b v p M c T v d 9 3 7 z G W G E 7 V u 9 6 a v D 2 5 D B V 4 f v h a K v F 2 / V U Y Q N b t W R h + D 9 U E G + z 5 r A P c z q T b r R w g 9 1 o / L D r T s Y 1 o 2 m g 0 2 E 8 t j / N s 0 9 t r 9 N c 4 / r b 9 P c 4 3 b T f P f B w w f 3 S F A 2 6 T G P 7 9 / n N Y / r b 4 O c r / W 0 / e 2 0 3 q 2 A R / h i Y / v 3 n G Z f z d 2 q / X t O t K / f b t W + P 9 W 3 U 2 y 3 A v 6 e M + t r s V u 1 f 8 / J 9 Z X X r d q / 7 + S 6 5 p + G O u v 9 1 g P u 7 d y 7 W W v Z H k K t p Q 7 K r T s Y 1 l r a w T A 7 e K x 8 Y 1 u P j W 9 s 6 7 G w G e Q t l Z V p v v t g / 0 a t 4 / H y + 7 z m s f R t k P O V 1 Y 0 D 9 5 X V r Y B H 2 O G 2 y u p W 7 f s z f G t l d a v 2 7 z n T v r K 6 m Z i R C b 6 t s r p N e 1 9 Z 3 a r 9 e 0 6 u r 6 w 6 7 W 9 U V r d p 7 6 H z I F R W 7 5 / 2 v 7 e z f 7 P C s r 2 E C m v / P T s Y V l j a w a 0 U 1 o 1 t P V a + s a 3 H x m a Q t 1 R Y p j k N c 3 z v 0 9 t p q 1 u / 4 z H 0 b d D y V d W N Q / Z V 1 a 2 A R x j h t q r q V u 3 7 c 3 t r V X W r 9 u 8 5 x 7 6 q u p m Y k d m 9 r a q 6 T X t f V d 2 q / X t O r q + q b t X + f S f X N T / o q K r 3 y / T f 2 7 l / s 5 6 y X Y R 6 S o P V W 3 c w r K d M B / d 2 k B n a 2 d s w c o + r 3 + M t j 7 f N W 5 v I 6 7 H 2 b Z p 7 n G 2 a P / j 0 P i 0 7 7 m / C y W P x 9 3 j L Y / T b o O a r M G 1 / O x V 2 K + A R H r m t C r t V + 8 h k b 2 z / n t P s q 7 B b t e 9 P 9 O 1 U 2 K 2 A v + f M + i r s V u 3 f c 3 J 9 F X a r 9 u 8 7 u a 7 5 Q 6 v C f u 9 0 Z 2 f 3 f R P + B / T O z s 1 a z P b i t J i + + V 4 d D G s x 0 8 H D e w f 7 9 x / u 7 e + O H 9 5 S k / l v 7 u 9 / e n 9 / f E t l 5 r 1 4 c D A + e H A 7 n W b e e v C Q k n X j X d X j N 6 k 2 8 9 b e p z t 7 e / v 3 K Y k / 3 t / 0 q s f / 3 q v 3 d g 8 e 0 j / j g 0 3 r B p 4 o v A e u v q 4 z r + 0 S r l h C v b + p O 1 / v 2 R f 3 7 x / Q c s q m e f D V n 3 l t + z b v R X j m t m r w f d C L 8 M l t t e H 7 d B N h k d t R P c I g 2 w / 3 7 + 3 d f z C + d 3 B L T W k F 4 B b v + R r z v d 6 L s M d t N e d 7 9 f O + f G G b H + x 0 N O j t V w S g 2 3 Z v V J 6 u g 1 B 5 7 r 5 n B 4 P K 0 3 a w + / D + v f t 7 + 5 / u 7 4 3 v f 3 o r 7 f n e r z q 5 s K 9 u I r M T i 1 s 1 d + J g m 9 / f f 3 h / d 2 f 3 w Y O D 8 c N b K c z 3 f d M J x K 1 Q 9 B S l a Y 9 2 N y r H 2 w G P c M 3 G 9 h E m u K U 2 v F 3 7 9 5 x u T w 3 e r n 1 / w j c Q M z L H G 4 G / 5 8 x 6 K u 5 2 7 d 9 z c j 3 V d r v 2 7 z u 5 r v l u R 6 W Z B Y O T b 5 / + x F e 3 U z t 7 N + s 1 2 0 u o 1 9 T g 3 b q D Y b 1 m O t i / T 4 r p 0 w c P x m C B w f F 7 v P 1 + L 3 p M b l 7 c R G e P x 2 / T 3 G N x 0 / z T / Q e f H u z c + 3 R 8 / 5 Y q z X / x 3 t 7 + w 8 0 v e n x / G w R 9 j W b a b + 8 / 2 O g Q + 4 r t V n 1 E 2 O a 2 i u 1 W 7 S O T f 1 v F d q v 2 7 z n p v m K 7 N U 0 j E 3 7 T K 5 G p v q k b X 8 3 d Z i i + m r s l W r 6 m u 1 U X M Z m / Y e T u j b 0 B Z X e b 1 V E o o p t X R 1 0 X o a a 7 x e p o 0 M G w p j M d 0 J o h e S 0 H B / u b y O X x + n u 9 5 / G 8 e e + W e u 4 2 z T 2 O N 8 3 3 7 + / s 3 a N Y h s K g n U 0 K 2 G P 8 9 3 3 V E 4 D b I O n r O m 2 P d j c r u V s B j 3 D M b Z X c r d p H J v 6 2 S u 5 W 7 d 9 z x n 0 l d z M x I 5 O 8 E f h 7 z q y v 1 m 7 V / j 0 n 1 9 d p t 2 r / v p P r m t / r K L R g B f V 2 K m f / Z p 1 m e w l 1 2 v 5 7 d j C s 0 0 w H 9 M I m C f a Y + p Z v e G x t 3 r i l H r t N c 4 + p T f N P b 6 e 7 b t P c 4 + r b I O P r K 2 1 / O 3 1 1 K + D C D b d v H 5 n c 2 + q r W 7 V / z 4 n 1 9 d W t 2 v e n 9 n b 6 6 l b A 3 3 N m f X 1 1 q / b v O b m + v r p V + / e d X N d 8 v 6 u v 3 m c Z F c r k 5 m V U 1 0 e o r W 6 x j B p 0 M K y t T A e 7 5 H j s Y h X h 3 t 7 t l N b 7 v e i x u H n x l r r r N s 0 9 B n d o P d z d v T e + 3 W L D + 7 z l 8 f t t U P M 1 m b a / n S a 7 F f A I p 9 x W k 9 2 q f W S + b 6 v J b t X + P e f Z 1 2 Q 3 E z M y v 7 f V Z L d p 7 2 u y W 7 V / z 8 n 1 N d m t 2 r / v 5 L r m 9 w N N d u 9 r L K b e 2 7 l Z l 9 l e A l 1 2 T 3 G 8 d Q f D u s x 0 c G 9 3 5 + H B z s E e L Y l u i q U 9 5 v b e P N j b f b D 3 c H x w O 2 V m X t y / f / / B z s 7 m t R q P 2 c 1 r e w 8 / / X T n / v j h 7 u 2 U m 3 n t / t 7 B 7 s O D h w e 0 J L p / O w X n v b l / c O / T T / f H D + 7 d T s m 9 D 6 q + s r M 9 H u z u Y Z 1 5 0 2 s R V i R N v P O Q V o s 3 J k M i z L V 9 q x c j T H N b P f h e C E Y 4 5 b b 6 8 L 3 6 i f H I L e g e Y Z B t Y p B P D / b G B w 9 v q S o t f 9 z i P V 9 l v t d 7 E Q a 5 r e p 8 r 3 7 e l y 9 c 8 0 8 7 K v S 9 V l P v 7 d 6 s P W 0 H o f Z U c b x 1 B 8 P a 0 3 T w 6 d 7 u v Y c H n x 7 c G 3 + 6 S U V 4 I v G e b 3 p C Y d 7 c R G R P J m 7 T 3 B M F 0 3 x 3 5 / 6 n O z v 7 e 5 9 + O n 6 4 C T F P H N 7 3 V U 8 g b o O k r y h v 1 T 7 C a R v b R x h n Y / s I H 9 x W I d 6 q / X v O u a 8 I b 9 U + M u s b 2 0 e m e m P 7 9 5 x f X 9 H d q v 1 7 z q + v 4 G 7 V / n 3 n 1 z V / 0 F F s 7 7 n M c O / e z a r N d h G q N p W 3 W 3 c w r N p M B w d 7 D + / v 7 9 8 n x x C 5 y c H R e 8 z t v 3 m P 7 M c m 6 + H x u H n t w a c P 7 2 / u y 2 N 0 8 9 I t t Z t p v r v z 6 d 6 n u w f 0 / z H E c v B V j + X f 9 1 W P + 2 + D p K / d t D 3 a 3 a z a b k 8 2 X 8 G Z t 7 Z v 8 V q E K W 6 r 5 9 4 D u Q g n 3 F b b v U c v f V 7 Y Q O X I 7 N 9 W 4 d 2 m v a / w b t U + M u u 3 V X i 3 a v + + E + 2 a H 3 Q U 3 v s v Q 9 z b v 1 n n 2 V 5 C n a d S e O s O h n W e 6 e D h e O / g d r r u l m 9 4 z G 3 e 2 E R Z j 7 e 1 + T C X e h x 9 Y 1 u P o W 9 s 6 z H z j W 1 9 5 X V z 4 w j f b G S z C A d s b B + Z 0 N v q q 1 u 1 f 8 / J 9 D X V r d q / z 4 z 6 O u r m x u 8 z p 7 5 2 u r l x f 0 4 3 N O 5 P 6 I b G / d n c M E D X 9 m F X I 7 3 n Q s O 9 + z f r I 9 t H q I / u v 2 c H w / r I d L C / 9 / D e / n h n k 4 b x m P g 9 3 v J Y 2 b x 1 S 7 1 0 m + Y e I 5 v m 9 5 C E G x 9 o B H 6 T k n q P t z z W v g 1 q v s b S 9 r f T W L c C H u G R 2 2 q s W 7 W P T P Z t N d a t 2 r / n P P s a 6 2 Z i R u Z 3 I / D 3 n F l f b 9 2 q / X t O r q + 9 b t X + f S f X N n + 4 E + i w / a + x x L C / c 6 M W c 7 0 E W m x f c Q w 7 2 N D B o B a z H W w a t e P o W z V 3 D H 2 r 5 o 6 f b 9 X c s b N t v r d / O 5 V l X 9 i / v 7 s 7 3 h S K O L a + F U 6 e w n J 9 7 D 3 Y 2 d i H p 7 h u 1 0 m E L T a 2 f 8 9 Z 9 h T X 7 d q / 5 z x 7 i u t 2 7 S M z f T N R I 7 O 9 f f N b k f m + 8 S V P l 7 3 H S + 8 5 6 Z 5 C e 4 9 O 3 n f m X f P d j l Z 7 z + T Y / s 3 J M d d F q N J u l x x z H Q y r N O 1 g 2 M p 5 j H 5 j W 4 / J b 2 z r M b g Z 5 C 0 1 m W m + f 4 8 W M v d v p 8 x u / Y 7 H 3 L d B y 1 d m N w 7 Z V 2 K 3 A h 5 h h N s q s V u 1 7 8 / t r Z X Y r d q / 5 x z 7 S u x m Y k Z m d y P w 9 5 x Z X 2 P d q v 1 7 T q 6 v r G 7 V / n 0 n 1 z X f 6 + i p 9 8 9 p 7 e / f r K p s L 6 G q U m G 7 d Q f D q k o 7 u J W q u r G t x 8 o 3 t v X Y 2 A z y l q r K N N / f f f D p 7 R T V L d / w m P k 2 K P l q 6 s b h + m r q V s A j T H B b N X W r 9 v 1 5 v b W a u l X 7 9 5 x f X 0 3 d T M z I 3 N 5 W T d 2 m v a + m b t X + P S f X V 1 O 3 a v + + k + u a 3 w v U 1 P 2 v E S T e 3 7 l Z T d l e A j V 1 X 3 G 8 d Q f D a s p 0 s G n U H k f f p r n H 0 L d p 7 v H z b Z p 7 7 G y a 7 z 2 4 N 9 b k 3 0 0 K y 7 y y + + n B / Y e 7 4 4 P b K a 3 b 4 O U r L a + X e 7 s H Y / V / b 1 R f t + o m w h y 3 V V + 3 a v + e k + 2 r r 1 u 1 f 8 / p 9 t X X + 5 A 1 M u f b t 3 k v M u u 3 e M 3 X a + / z 2 n t O v q / e 3 q e b 9 + U B 1 3 y / o + X O X k j U e D v 9 s 3 u z g r M d h A p u 9 z 0 7 G F Z w 2 s G w z f M Y / s a 2 H r P f 2 N Z j d D P I W + o 1 0 / z B g / G n + 7 f T a 7 d 9 x W P v 2 y D l K 7 U b B + y r s l s B j 7 D B b V X Z r d r 3 Z / b W q u x W 7 d 9 z h n 1 V d j M x I 5 O 7 E f h 7 z q y v s W 7 V / j 0 n 1 1 d V t 2 r / v p P r m t / v 6 K j 3 T G z d v 3 e z l r J d h F p K l e 6 t O x j W U t r B r b T U j W 0 9 P r 6 x r c f D Z p C 3 1 F K m + b 1 7 D 3 b 3 D s Y 7 n 9 5 O U 7 3 P a x 5 P 3 w Y 5 X 1 v d O H B f W 9 0 K e I Q d b q u t b t W + P 8 O 3 1 l a 3 a v + e M + 1 r q 5 u J G Z n g 2 2 q r 2 7 T 3 t d W t 2 r / n 5 P r a 6 l b t 3 3 d y X f N P O 9 r q 7 M W b 9 P P j F 8 d P b + t U 3 b 9 Z X d k + Q n W l M d K t O x h W V 6 a D T W P 2 + P k 2 z T 1 2 v k 1 z j 5 t v 0 9 x j Z t P 8 w c 7 e e O / g d k r r 1 u 9 4 f H 0 b t H y N p e 1 v p 7 F u B T z C E b f V W L d q / 5 4 z 7 G u s W 7 V / z z n 2 N d b N x I z M 7 m 0 1 1 m 3 a + x r r V u 0 3 T u 5 m j X U r + O 8 7 u a 7 5 g 0 B j f f o 1 M l 2 f 7 t y s s 2 w v g c 7 6 V H G 8 d Q f D O s t 0 s L e z c 2 9 8 7 + H t N J d 5 a X / / 0 0 9 v p 7 z s G w / 2 d / Z 2 x w 9 U 6 d 6 k x N x r n + 4 f 7 I / v b e r N 4 3 P z 2 u 7 + v f v j T z c N y u N 3 8 9 K m + f f Y / X 1 Q 8 x W a e + / + z v 7 B + N M H m 9 6 L 8 N v 2 3 v 6 n e + N P N R V w o 4 q z 8 3 v z W z G u u P m t C F v c V t 2 9 R y 8 R n r i t 0 n s v g k f 4 4 W Y m 8 r W g n a a b X / O V 4 W 0 G 5 S v D 2 y P n q 8 R b 9 R J h g 5 t 7 8 V A 7 6 C j G 9 0 q O g Q t u 0 o m 2 g 1 A n K v / c u o N h n a g d D J t J j + d v b O v x + 4 1 t P S 4 3 g 9 w 0 V R 6 T m + Z 7 u w / H m w T J 4 + / b v u I x 9 2 2 Q 8 n X d j Q P 2 F d y t g E f Y Y G P 7 / q z e 2 n m 7 V f v + 7 N 7 a e b t V + / 4 U b y B m Z H I 3 A n / P m f X 1 1 a 3 a v + f k + p r q V u 3 f d 3 J d 8 4 d d H f W T x + n v k 5 5 8 + c X Z 6 7 M v b 6 d H 9 m 9 W V L a X U F H t v 2 c H w 4 r K d H D w 8 N 7 e h o F 7 T H 3 L N z y 2 N m 9 s o q z H 1 d p 8 m E s 9 j r 6 x r c f Q N 7 b 1 m P n G t r 6 O u r l x h G 9 u q 6 N u 1 T 4 y o b f V U b d q / 5 6 T 6 e u o W 7 V / n x n 1 d d T N j d 9 n T n 3 t d H P j / p x u a N y f 0 A 2 N + 7 O 5 Y Y C m 7 f 7 O T l c j v W c C 7 N M b E 2 B e H 6 E + u l 0 C z H U w p I 9 c B / T b p + M H B 7 d R S e / z k m V k 9 9 K t t N L t m l s 2 d s 3 v P T g 4 G B 9 s U p S W n d / n J c v W t 0 P M a S v b / j b a 6 p b A I / x x O 2 1 1 y / a R m b 6 d t r p l + / e c Z a e t b k P M y P R u B P 6 e M + t 0 1 i 3 b v + f k O s 1 1 y / b v O 7 m u + W 6 g v x 5 8 j X T Y g 5 2 b N Z j t J d B g D x T H W 3 c w r M F M B 5 t G 7 X H 0 b Z p 7 D H 2 b 5 h 4 / 3 6 a 5 x 8 6 m + b 2 d n f 2 x W Y W 9 S W u Z l 3 Y P P n 3 w Y H 9 z d s T j 7 t u g 5 u s t 1 8 2 9 B w 9 2 x t A K w + 9 F 2 G p j P x E G 2 d j + P e f b V 2 G 3 a v + e M + 6 r s F u 1 j 8 z 5 r e g a m f b t W 7 0 Y m f j b v O e r t / d 6 7 z 0 Z w F d z 7 9 X P + z K C a 7 7 X U X e n k u N K 3 7 y 6 n S q 6 d 7 O u s 1 2 E u k 7 l + t Y d D O s 6 7 W D Y / H l 8 f 2 N b j + d v b O v x u x n k L V W c a X 7 v w b 2 9 f V p 0 v K V r 9 j 6 v e b x + G + R 8 J X f j w H 3 N d i v g E X a 4 r W a 7 V f v + D N 9 a s 9 2 q / X v O t K / Z b i Z m Z I I 3 A n / P m f W 1 1 6 3 a v + f k + l r r V u 3 f d 3 J d 8 3 s d b f X + 6 a 4 H + z c r L N t L q L B U A 9 + 6 g 2 G F p R 3 c S m H d 2 N Z j 5 R v b e m x s B n l L h W W a 3 9 t 5 M I Y 0 D 7 7 j M f O t 3 / E Y + j Z o + a r q x i H 7 q u p W w C O M c F t V d a v 2 / b k 9 u q 2 q u h X 8 9 5 x j X 1 X d T M z I 7 N 5 W V d 2 m v a + q b t X + P S f X V 1 W 3 a v + + k + u a 7 3 d V 1 X v m w R 7 c I g 9 m + w g V 1 e 3 y Y K 6 D Y U V l O t g 0 Z o + f b 9 P c Y + f b N P e 4 + T b N P W Y 2 z T / d 2 X k 4 3 v n 0 d i r r 9 i 9 5 n H 0 b x H y d p e 1 v p 7 N u B T z C E 7 f V W b d q / 5 5 z 7 O u s W 7 V / z 1 n 2 d d b N x I x M 7 2 1 1 1 m 3 a + z r r V u 3 f c 3 J 9 n X W r 9 u 8 7 u a 7 5 / U B n H X y N 3 N f B z s 1 a y / Y S a K 0 D x f H W H Q x r L d M B v b B 3 7 8 E u 5 Z A 2 C b L H 2 9 6 L O / c O 9 n f G i K Y H X / S Y 3 L x 4 7 9 6 n + 5 8 + + H T 8 6 a b 3 P G Z 3 7 + 3 v H + z s b d Y 4 H t O b 9 3 Y / v U + Y P t g b Q + I G X / Q E w L 5 4 7 x 5 l 1 3 Y 2 8 Y U n B u + F p q / p z I s P 9 / f 3 H o 4 f b q K K r / M s l g 8 P K J V 3 f 9 P Y f N V n X t u + z X s R f r m t C n w f 9 C J M c l t N + D 7 d R H j j N j S P c M a 9 v f s 3 c 5 S v I y 3 V b / W m r y 1 v Q x B f W 7 4 X i r 7 a v F V H E Y a 4 V U c e g p 9 2 9 O f Z C 8 m m 3 U 6 z 7 d 6 s O m 0 H o e r U O b 5 1 B 8 O q 0 3 S w v / v p z o N P D 0 g D b o r b P J l 4 v x c 9 q T A v 3 t I J v E 1 z T x h M 8 7 1 7 u / c / v b e 7 M 7 5 3 S 0 X 5 f i 9 6 4 n A b B H 0 V q e 3 R 7 m b F e C v g E X 6 5 r T N 4 q / a R W b + t M 3 i r 9 u 8 5 2 7 7 u u 5 m Y k S m + r T N 4 m / a + e r t V + / e c X F + r 3 a r 9 + 0 6 u a / 6 g o 8 z e c 2 X g 4 N 7 N 6 s x 2 E a q z e + / Z w b A 6 M x 3 c T i t 5 j P 1 + L 3 o c b l 6 8 p T q 7 T X O P v 0 3 z 3 U 8 / / f Q G 9 8 1 j 9 P d 4 y 2 P 3 2 6 D m K z J t f z t F d i v g E U 6 5 r S K 7 V f v I f N 9 W k d 2 q / X v O s 6 / I b i Z m Z H 5 v q 8 h u 0 9 5 X Z L d q / 5 6 T 6 y u y W 7 V / 3 8 l 1 z Q 8 6 i u z 9 F w 0 O 9 m / W Z b a X U J f t v 2 c H w 7 p M O x h m C Y + d b 2 z r s f K N b T 0 2 N o O 8 p b o y z f f G + 0 q H m 1 T V L d / w m P k 2 K P l q 6 s b h + m r q V s A j T H B b N X W r 9 v 1 5 v b W a u l X 7 9 5 x f X 0 3 d T M z I 3 G 4 E / p 4 z 6 6 u p W 7 V / z 8 n 1 1 d S t 2 r / v 5 L r m D 7 t q 6 j 0 X D A 7 u 3 6 y k b B + h k t L Q 5 t Y d D C s p 0 8 H + 3 o P 9 T 8 f 3 b u l t v c d b H n O b t z b R 1 + P t 2 z T 3 W N s 0 f 7 D 7 6 d 7 4 4 O H t 1 N f t X / L 4 / D a I + R p M 2 9 9 O g 9 0 K e I R D b q v B b t U + M t W 3 1 W C 3 a v + e s + x r s J u J G Z n e 2 2 q w 2 7 T 3 N d i t 2 r / n 5 P o a 7 F b t 3 3 d y b X P w q N N g u z v v v 3 y w i 9 j k B h 3 m e v F 1 2 K 6 J a m 7 d w a A O M x 0 M s 4 R j 5 5 v b O l b e 0 L a n r O w g b 6 e s b P P d n f 1 P K c q 7 N z 4 4 u J X C e s 8 X H W v f C k F P a d 0 8 e E 9 p 3 Q 5 4 h C U 2 t u / P 8 G 2 V 1 u 3 a 9 2 f 6 t k r r d u 3 7 0 3 0 r p X U 7 4 O 8 5 s 5 7 S u l 3 7 9 5 x c T 2 n d r v 3 7 T q 5 r v t t R W u + T s 9 / F + u B N + s p 2 E O q r 3 f f s Y F h f a Q e 3 0 l c 3 t v W 4 + M a 2 H g e b Q W 4 i u s f A p v n t 1 I 7 H z O / 3 o s f V t 0 H Q 1 1 c 3 D t 7 X V 7 c C H m G J 2 + q r W 7 X v z / K t 9 d W t 2 r / n b P v 6 6 m Z i R q b 4 t v r q N u 1 9 f X W r 9 u 8 5 u b 6 + u l X 7 9 5 1 c 1 3 y v o 6 / e L y 2 / u 3 N z W t 5 1 E W q s W 6 X l v Q 6 G N Z Z 2 c C u N d W N b j 4 9 v b O v x s B n k L T W W a b 6 3 8 3 D n 3 r 2 9 B + M H n 9 5 O Y 7 3 f i x 5 f 3 w Z B X 2 P d O H h f Y 9 0 K e I Q l b q u x b t W + P 8 u 3 1 l i 3 a v + e s + 1 r r J u J G Z n i 2 2 q s 2 7 T 3 N d a t 2 r / n 5 P o a 6 1 b t 3 3 d y X f N 7 n s b a 3 U v f N 7 G 1 u 3 d z Y s v 1 E a g s v P l e H Q y r L N P B p j F 7 / H y b 5 h 4 7 3 6 a 5 x 8 2 3 a e 4 x s 2 m + S + u Y S p G b t N Z t X / G 4 + j Z I + f p K 2 9 9 O X 9 0 K e I Q f b q u v b t X + P e f X 1 1 e 3 a v + e M + z r q 5 u J G Z n c 2 + q r 2 7 T 3 9 d W t 2 r / n 5 P r 6 6 l b t 3 3 d y X f N 9 X 1 / d S 9 8 v I r y 3 e 7 O y s h 0 E y g p v v l c H w 8 r K d H B L Z X W b 5 h 4 v 3 6 a 5 x 8 q 3 a e 5 x s m 0 + 3 t m 7 n a 6 6 5 R s e Q 9 8 G J V 9 V a f v b q a p b A Y 9 w w 2 1 V 1 a 3 a v + f s + q r q V u 3 f c 3 5 9 V X U z M W N z e 0 t V d Z v 2 v q q 6 V f v 3 n F x f V d 2 q / f t O r m t + 3 1 d V D 9 K v k X F / s H O z v r K 9 B P r q g e J 4 6 w 6 G 9 Z X p Y G / 3 / s 7 e g / v 3 x 3 s H t 9 N c 9 s W 9 3 Y N 7 D / d 2 x q p D b 1 J h 5 r 1 b q j D T / N O D 3 d 1 P 9 8 c H m 9 S M x + n m t Y O D 3 Z 0 H B w 9 3 x g / 2 b 6 f R 7 I s P H n x 6 b / f h 3 v j T T e P y 2 P 9 9 E P U V n H n v 3 r 1 P 9 z / 9 d P z p w 0 3 v R f h v + 1 Y d R l j q V u 9 F O O V W 7 0 U Y 5 b Z K 8 L 3 6 i X D K b Z X h e x E + w i H 3 9 v c / f X g w B o m G 3 4 s w y P Z t X v Q V 5 W 0 G 5 i v K 9 0 H Q V 5 i 3 6 i f C E L f p x 0 P v 0 4 7 i f C 8 f 7 8 E t f D z b Q a g z b + f j u Q 6 G d a b p 4 O G n e w f 3 9 x 9 + O r 7 3 6 e 1 0 p n 1 x b + / h 3 n 1 S L g 8 3 B X i e T J g X t 3 c / P f j 0 0 1 u q T v s S / b p 7 n x L 2 + 5 t U m S c Z 5 s X d f Z r a g 3 v 3 d s d 7 t 9 S e 7 s 0 H D w / u 7 d 1 / M P 7 0 l i H s + y H r K 1 D z 5 r 0 H J M k b e T D C h P c e P t y j 5 O A N v U W Y a / t 2 b 0 a 4 5 r b O 4 / u h G G G W 2 3 q R 7 9 d R h E 9 u p n y E R b b 3 7 9 / b f 7 j 3 6 Q 3 d R V j k V i / 6 C n T T i x s 1 6 W 0 o 6 W v Q 9 + v o f X n D N X / Q U a H v u R D x 4 N 7 N S t R 2 E S p R n e V b d z C s R E 0 H + 3 u f f r q 3 e + 9 g / O k m Q + / J h X u R A v J 7 D z a Z b U 8 o z F v k C z 6 4 / 3 B z Z 5 5 s m N f u f b p D z + 3 U p 3 m H 1 O f O v Y f k X I z 3 b 6 k + 3 Z t 7 n z 6 4 + U 1 P N m 6 N p 6 8 5 9 S W 0 u 1 l j m h 7 u 3 7 u Z g L 7 C N O 9 t 3 + r F C I P c V l + + F 4 I R z r i t u n y v f v p s s Y H a E U 6 4 e T 4 j T L B 9 4 1 u + d r z N + H 2 l e G v U f M 1 4 q 0 4 i k 3 9 j J x 5 i B x 2 t e P a T x + n v k 5 5 8 + c X Z 6 7 M v b 6 e 3 9 m 9 W j L a X U D G q n N 6 6 g 2 H F a D r Y 3 X 1 w f + f g Y L y 7 i c E 8 / r f v 7 e 3 s 7 D 8 k f b r J I n v 8 b 9 5 7 Q P p m 9 + H m N V J P D O x r D 3 d 2 7 u 2 M 9 x 7 c T j m a 1 z 7 d u b + 3 f + / T s V n a v k k 1 m v f u 7 3 2 6 t 7 9 z / 9 Z L u e + D p q 8 b 9 b 3 b 6 U b T y f b e / f 1 d W r W 5 r T N p 3 r v N a x E O u c 1 r E Q b Z K E 4 R x r h N N x H G 2 N h N n y N u p x f f a z o j b L B 9 m x d 9 7 X i b 0 f j a 8 X 0 Q 9 B X k r f q J 8 M B t + v H Q e + j r y I O v k 7 U 8 2 L l Z R 9 p e A h 1 5 o G O 7 d Q f D O t J 0 s L t 3 s E k P e M x v 3 t h E X 4 / 3 b Q f 7 D z c p K I / t z R t 7 O 7 f U h O a F + x T R 4 4 / B d z z 2 N + 9 8 + u D + v X t 7 4 5 1 b B t e 3 w 8 1 X f + a N g w O k d j f 2 4 y v C W 8 6 L r w P N K 9 s 3 v R O Z / o 0 q J j L 5 N 3 U R Y Y C N X U S m / 6 Y u I g x w G x p H e G D 7 4 O D B 7 r 0 b 3 o s w w S 1 e 8 x X g + 7 w W 4 Y S N + i z C B r f p 5 n 0 5 w T b H u A L 1 9 1 6 5 x 4 P d G z W f 6 y D U f L v v 2 c G g 5 r M d 7 O 7 s 3 n + 4 S Z o d + 7 t 3 K O 9 4 c C v 9 Z 1 8 h n / D + 7 U J l + 8 r 2 7 o M H u 7 f T g Q 6 z 3 Y M H O w 8 3 d e Q E w L 2 0 t 3 N / Z 2 M y 1 H H / 7 b H z t K B 9 a W + z 8 x N h s I O 9 e 5 s X F C I 8 s 3 3 j S x E + u K U K v D 1 i E S a 4 p Q 6 8 f R 8 R D r i B x J H p p 5 l 8 + O k m d v a U n + O Z G 9 7 x N N / t 3 4 n M / y a S e W r v 9 n 2 8 7 9 S 7 5 r s d n f e e y c K D m 5 O F r o t Q 6 9 0 u W e g 6 G N Z 6 p o N N Q / a Y / T b N P T 6 / T X O P z W / T 3 O N w 0 5 w W M + 9 / S g u a m / j c Y / P 3 e c 1 j 9 N s g 5 6 s 4 b Y 9 2 N 2 u 3 W w G P 8 M X G 9 u 8 5 z b 5 S u 1 X 7 9 5 x o X 6 H d q n 1 / q j c Q M z L B G 4 G / 5 8 z 6 6 u t W 7 d 9 z c n 3 V d a v 2 7 z u 5 r v m e r 7 Y e f p 1 I 9 e H O z Z r L 9 h J o r o e K 4 6 0 7 G N Z c p o N b a q 7 b N P c Y + j b N P X 6 + T X O P n W / T 3 G N o 0 3 y f F o 0 / H W 8 M a T 2 2 v k 0 n v s J 6 j 1 5 8 1 X W r b i K M c V v V d a v 2 7 z n R v u q 6 V f v 3 n G p f d b 0 P W S N z v n 2 b 9 y K z f o v X f J 3 2 P q + 9 5 + T 7 q u 1 9 u n l f H n D N 7 3 U 0 3 H s 6 Z k h M 3 a T e b B e h e r u d Y + Y 6 G F Z v p o N b q r f b N P e Y / j b N P Z 6 / T X O P 5 b n 5 Y 8 6 / P N g b 3 z u 4 n Z Z 7 j 7 c 8 f r 8 N a r 6 W 0 / Z o d 7 N u u x X w C F f c V r f d q v 1 7 z r K v 2 2 7 V / j 3 n 2 d d t N x M z M r 8 b g b / n z P o q 7 F b t 3 3 N y f d 1 1 q / b v O 7 m u + b 6 n t P Z 2 v o Z b t o f l 3 J v 0 l u 3 F 1 1 t 7 Z i H 4 1 h 0 M 6 y 3 T w S 3 1 1 m 2 a e w x 9 m + Y e P 9 + m u c f O t 2 n u M b R p v n 9 v 9 4 C W D G 7 p l t 2 m E 1 9 h v U c v v u q 6 V T c R x r i t 6 r p V + / e c a F 9 1 3 a r 9 e 0 6 1 r 7 r e h 6 y R O d + + z X u R W b / F a 7 5 O e 5 / X 3 n P y f d X 2 P t 2 8 L w + 4 5 v c 7 G u 5 9 1 g j 2 d n Z v V m 6 2 g 1 C 5 7 b 5 n B 8 P K z X R w S + V 2 m + Y e y 5 v m 9 / c f b p o B j + l v + Y b H 9 r d B y W P 3 2 z T 3 u P y W + P j q 7 b a v R P j o t q r t V u 3 f c 5 Z 9 1 X a r 9 p F 5 v q 1 q u 1 X 7 y B z f R N L 3 n G d f n d 2 m v a / H b t X + P a f Y V 2 C 3 a v + + U + y a f 9 r R X O 8 X U O 7 t 3 L t Z d 9 k u Q t 1 1 7 z 0 7 G N Z d p o N b 6 q 7 b N P d 4 + j b N P Z a + T X O P o 0 3 z g 0 / v I W F / c D v l 9 R 5 v e a x 9 G 9 R 8 B a b t 0 e 5 m 1 X U r 4 B G u u K 3 q u l X 7 9 5 x l X 3 X d q v 1 7 z r O v u m 4 m Z m R + b 6 u 0 b t P e V 1 q 3 a v + e k + s r r V u 1 f 9 / J d c 0 f + E p r 9 + s E l G D z m / S W 7 S X Q W 7 u K 4 6 0 7 G N Z b p o M H 9 0 G A w Y F 7 T G 3 e u K X q u m U H H l f f p g O P q U 3 z 3 f s 7 J t C + S X W Z V + 7 f 3 9 n d H T / c u 5 3 q u g 1 e v u o y 7 f d 3 b u z F V 2 K 3 J J i v x 8 w r 2 z e 9 E 5 n 4 2 + q y 2 6 I V m f r b q r P b d h G Z / N v Q O M I A 2 7 d 5 L 8 I C t 3 j N V 3 X v 8 1 q E E 2 6 r 8 d 6 n m / f l B N f 8 o K P 4 3 i v O B K P f p P N s B 6 H O u 1 2 c 6 T o Y 1 n m m g / 3 7 n 0 I i B g f t c b 9 5 5 d 7 u 7 o P 9 2 y k + 8 8 r u / v 1 7 O 7 d U f f a d e z s H n z 6 4 n f 4 z 7 z w g B X g 7 9 W c H 8 + k 9 Q 9 W b d N + t E f M V o H 3 p 0 5 0 d / D H 8 U o S 9 d v f 3 7 2 2 M r y I c s 3 3 j S x E u u K 0 C v D V i E R 6 4 r Q a 8 d R + R + b + Z y h E W 2 N 5 7 u P v p J h 7 w t Z 9 5 6 a Z 3 f N V 3 6 3 c i L H B b v X f r P t 5 3 9 l 3 z h x 2 l 9 5 4 h K v j u J r V n u w j V 3 u 1 C V N f B s N o z H W w a s s f v t 2 n u s f p t m n u c f p v m H p O b 5 r f w 2 D w u f 4 + 3 P D a / D W q + m t P 2 a H e z e r s V 8 A h X b G z / n p P s a 7 V b t X / P a f Y 1 2 q 3 a 9 y d 6 A z E j 8 7 s R + H v O r K + 8 b t X + P S f X V 1 y 3 a h + f 3 O H x W v D 3 d n y l t f d 1 Q l Q Q 4 w a 9 5 X o J 9 N a e j u n W H Q z q L d v B 7 f T W r Z o 7 h r 5 V c 8 f P t 2 r u 2 P l W z R 1 D 2 + Z 7 9 x 4 8 e D B + 8 P B W C u t W n X g K 6 3 1 6 8 V T X 7 b q J M M b G 9 u 8 5 z 5 7 q u l 3 7 9 5 x p T 3 X d r n 1 k r m 9 D 1 s i c b 9 / m v c i s 3 + I 1 T 6 e 9 1 2 v v O f m e a n u v b t 6 X B 1 z z 3 Y 6 G e 0 + 3 D D 3 f p N 5 s F 6 F 6 u 5 1 b 5 j o Y V m + m g 0 1 D 9 r j + N s 0 9 p r 9 N c 4 / n b 9 P c Y 3 n T f P / B / f v 3 x / c P b q f l 3 u M t j 9 9 v g 5 q v 5 b Q 9 2 t 2 s 2 2 4 F P M I V t 9 V t t 2 r / n r P s 6 7 Z b t X / P e f Z 1 2 8 3 E j M z v R u D v O b O + C r t V + / e c X F 9 3 3 a r 9 + 0 6 u a 7 7 n K 6 1 7 X 8 c t g 5 q 8 S W / Z X g K 9 d U 9 x v H U H w 3 r L d H B L v X W b 5 h 5 D 3 6 a 5 x 8 + 3 a e 6 x 8 2 2 a e w x t m u / v 3 H + w O 9 7 Z v Z 3 C u k 0 n v s J 6 j 1 5 8 1 X W r b i K M c V v V d a v 2 7 z n R v u q 6 V f v 3 n G p f d b 0 P W S N z v n 2 b 9 y K z f o v X f J 3 2 P q + 9 5 + T 7 q u 1 9 u n l f H n D N 7 3 U 0 3 H u 6 Z X j / J v V m u w j V 2 + 3 c M t f B s H o z H d x S v d 2 m u c f 0 t 2 n u 8 f x t m n s s b 5 r v P t z d / f T + + O D T 2 6 m 5 9 3 n N 4 / j b I O f r O W 2 P d j d r t 1 s B j / D F b b X b r d q / 5 z z 7 2 u 1 W 7 d 9 z p n 3 t d j M x I x O 8 E f h 7 z q y v x G 7 V / j 0 n 1 9 d e t 2 r / v p P r m u / 7 a m v / 6 z h m + z s 3 a y 7 b S 6 C 5 9 h X H W 3 c w r L l M B 7 f U X L d p 7 j H 0 b Z p 7 / H y b 5 h 4 7 3 6 a 5 x 9 C m + e 6 D e 7 t 7 4 4 2 L P x 5 b 3 6 Y T X 2 G 9 R y + + 6 r p V N x H G u K 3 q u l X 7 9 5 x o X 3 X d q v 1 7 T r W v u t 6 H r J E 5 3 7 7 N e 5 F Z v 8 V r v k 5 7 n 9 f e c / J 9 1 f Y + 3 b w v D 7 j m 9 z s a 7 j 0 d s 3 3 r N 7 0 Z V G + 2 i 1 C 9 3 c 4 x c x 0 M q z f T w S 3 V 2 2 2 a e 0 x / m + Y e z 9 + m u c f y p v m 9 / U / 3 7 o 8 x / 4 N v e R z / H m 9 5 / H 4 b 1 H w t p + 3 R 7 m b d d i v g E a 6 4 r W 6 7 V f v 3 n G V f t 9 2 q / X v O s 6 / b b i Z m Z H 4 3 A n / P m f V V 2 K 3 a v + f k + r r r V u 3 f d 3 J d 8 0 9 9 p X X / 6 7 h l 9 3 d u 1 l u 2 l 0 B v 3 V c c b 9 3 B s N 4 y H d x S b 9 2 m u c f Q t 2 n u 8 f N t m n v s f J v m H k O b 5 p Q 4 2 N 2 9 d R x 5 m 0 5 8 h f U e v f i q 6 1 b d R B j j t q r r V u 3 f c 6 J 9 1 S X t b 6 + 6 b t U + M t e 3 I W t k z r d v 8 1 5 k 1 m / x m q / T 3 u e 1 9 5 x 8 X 7 W 9 T z f v y w O u + Y O O h j t 7 I X 7 Z 7 X T P 7 s 3 K z X Y Q K j f 1 M m / d w b B y M x 3 c U r n d p r n H 8 r d p 7 n H 8 b Z p 7 D G + a 3 9 v Z v 6 V D Z t 7 4 d O d g / 3 a 6 7 T Y o + b r t l j j 5 e u 1 W X U R 4 4 r Z 6 7 V b t 3 3 O O f b 1 2 q / b v O c u + X r s t S S P z v H 3 T O 5 G Z v u E V X 5 f d 9 p X 3 n G x f j 9 2 2 i / e d b 9 f 8 o K P D 3 j O 0 v H + L 0 N J 2 E W q x 2 4 W W r o N h L W Y 6 u K U W u 0 1 z j 8 F v 0 9 z j 7 9 s 0 9 9 j b N D / 4 d H / v 3 v j B L T X Z e 7 z l 8 f h t U P O 1 m b Z H u 5 v 1 2 K 2 A R 7 j i t n r s V u 3 f c 5 Z 9 P X a r 9 u 8 5 z 7 4 e u 5 m Y k f n d C P w 9 Z 9 Z X X b d q / 5 6 T 6 + u t W 7 V / 3 8 l 1 z R / 6 S u v T r x N a f r p z s 9 6 y v Q R 6 6 1 P F 8 d Y d D O s t 0 8 E + L W 3 u j 0 2 u 7 S b 1 5 d 6 6 f 3 A w f v D w d l r M v L W J w h 5 3 m + b 3 7 u + P 4 R Y P v u N x + G 2 6 8 H j 8 P U b v c f q t E f M V 2 X u Q z F d p 5 r X t m z u L s M 3 N L 0 V Y 4 e a X I p x w W x V 3 + 0 4 i n H B b P f c + t I 5 w w / Y t 2 M H X f O / B R b 4 C f J / X I h x x W z 3 4 P t 1 E u O F 2 6 h C L i 4 E 6 f K 8 4 F G s W N 2 h C 1 0 G o C X f f s 4 N B T W g 7 2 D R g x / i 3 a u 7 4 / l b N H c f f q r l j e N t 8 7 9 O D W y k + + 8 L 9 j T L o e P x W C H n q 7 p Y Y e Z r u d j 1 E G G J j + / e c X 0 + z 3 a 7 9 e 8 6 w p 9 R u 1 / 6 9 5 9 j T Z / a N 7 R t e i U z z 5 j c 8 L X b b N 9 5 z o j 0 F d t s e 3 n e q X f P d j u 5 6 z / j z 0 5 v j T 9 d F q L 1 u F 3 + 6 D o a 1 l + n g Y H f 3 w Y P x / U 2 U 8 n j c v r V z Q D H c x u V B j 9 P N W 5 v I 6 z G 6 a X 6 z C + N x u 3 n p F l b L 4 3 j 3 1 o 2 G 3 2 P 6 2 y P o a z h 9 C + 1 u V m 6 m i 5 t 7 i D D N L f C K c M J t 9 d z t U X t P F v C V 3 e 0 7 6 f P A B g p H p v 4 W x I p M / Y 0 v + S r v 9 i 9 F O O C 2 W u / 2 n b z v 3 L v m e 7 7 i e / B 1 Y t g H O z f r P t t L o P s e K I 6 3 7 m B Y 9 5 k O N o 3 a Y / j b N P d Y / T b N P U 6 / T X O P x 2 / T 3 O N y 0 / w W a t H j 8 t t 0 4 q u 2 9 + j F V 3 K 3 6 i b C G B v b v + c 8 + 5 r t V u 3 f c 6 Z 9 p X a r 9 p G 5 v g 1 Z I 3 P + n m H p + 3 T n a 7 f 3 e e 0 9 J 9 / X b + / T z f v y g G t + r 6 P h 3 t O 1 e 3 A L 1 8 5 2 E a q 3 2 7 l 2 r o N h 9 W Y 6 u K V 6 u 7 F 5 q N 5 u 0 9 z j + d s 0 9 1 j e N D / Y 2 f / 0 Y P M i u M f x 7 / G W x + + 3 Q c 3 X c t o e 7 W 7 W b b c C H u G K 2 + q 2 W 7 V / z 1 n 2 d d u t 2 r / n P P u 6 7 W Z i R u Z 3 I / D 3 n F l f h d 2 q / X t O r q + 7 b t X + f S f X N d / 3 l d b B 1 3 H L D n Z u 1 l u 2 l 0 B v H S i O t + 5 g W G + Z D m 6 p t 2 7 T 3 G P o 2 z T 3 + P k 2 z T 1 2 v k 1 z j 6 F N 8 / 2 d e 7 u f j j / d u 5 3 C u k 0 n v s J 6 j 1 5 8 1 X W r b i K M c V v V d a v 2 7 z n R v u q 6 V f v 3 n G p f d b 0 P W S N z v n 2 b 9 y K z f o v X f J 3 2 P q + 9 5 + T 7 q u 1 9 u n l f H n D N 7 3 c 0 3 H u 6 Z Q f W a 3 o z q N 5 s F 6 F 6 u 5 1 b 5 j o Y V m + m g 1 u q t 9 s 0 9 5 j + N s 0 9 n r 9 N c 4 / l T f O D n U / v U d 5 v / 3 Z a 7 j 3 e 8 v j 9 N q j 5 W k 7 b o 9 3 N u u 1 W w C N c c V v d d q v 2 7 z n L v m 6 7 V f v 3 n G d f t 9 1 M z M j 8 b g T + n j P r q 7 B b t X / P y f V 1 1 6 3 a v + / k u u a f + k r r 4 d d x y x 7 u 3 K y 3 b C + B 3 n q o O N 6 6 g 2 G 9 Z T q 4 p d 6 6 T X O P o W / T 3 O P n 2 z T 3 2 P k 2 z T 2 G N s 3 3 P t 3 Z 3 x s / e H A 7 h X W b T n y F 9 R 6 9 + K r r V t 1 E G O O 2 q u t W 7 d 9 z o n 3 V d a v 2 7 z n V v u p 6 H 7 J G 5 n z 7 N u 9 F Z v 0 W r / k 6 7 X 1 e e 8 / J 9 1 X b + 3 T z v j z g m j / o a L j 3 d M s e 3 s I t s 1 2 E 6 u 1 2 b p n r Y F i 9 m Q 5 u q d 5 u 0 9 x j + t s 0 9 3 j + N s 0 9 l j f N 7 9 N o 7 4 / v 7 9 9 O y 7 3 H W x 6 / 3 w Y 1 X 8 t p e 7 S 7 W b f d C n i E K 2 6 r 2 2 7 V / j 1 n 2 d d t t 2 r / n v P s 6 7 a b i R m Z 3 4 3 A 3 3 N m f R V 2 q / b v O b m + 7 r p V + / e d X N f 8 w F N a 9 3 a + h l t 2 b 2 f n Z r 1 l e / H 1 F r / 5 X h 0 M 6 y 3 T w S 3 1 1 m 2 a e w x 9 m + Y e P 9 + m u c f O t 2 n u M b R p v r 9 z n 5 Z + 7 t 2 / n c K 6 T S e + w n q P X n z V d a t u I o y x s f 1 7 z r O v u m 7 V / j 1 n 2 l d d t 2 o f m e v b k D U y 5 9 u 3 e S 8 y 6 7 d 4 z d d p 7 / P a e 0 6 + r 9 r e p 5 v 3 5 Q H X / G F H w 5 2 9 E L / s d r p n 9 2 b l Z j s I l d v u e 3 Y w r N x M B 5 s G 7 P H 8 b Z p 7 L H + b 5 h 7 H 3 6 a 5 x / C m + e 7 u / U 1 u t 8 f r 5 o 2 9 e x D k w T c 8 L r 8 N S r 5 u u y V O v l 6 7 V R c R n r i t X r t V + / e c Y 1 + v 3 a r 9 e 8 6 y r 9 d u S 9 L I P G / f 9 E 5 k p m 9 4 x d d l t 3 3 l t p M d 0 W O 3 7 e J 9 5 9 s 2 v 7 / T 0 W H v F 1 r e 2 7 k 5 t H R d h F r s V q G l 1 8 G g F r M d 3 E 6 L 3 a q 5 Y / B b N X f 8 f a v m j r 1 t 8 4 P d n U 8 P x r d T Z O / x k u P w W y H m 6 T L T H u 1 u 1 G K 3 A x 7 h i V t q s d u 1 f 8 8 5 9 r T Y 7 d q / 5 y x 7 W u w W x I x M 7 0 b g 7 z m z n u K 6 X f v 3 n F x P a 9 2 u / f t O r m u + 6 6 u s 3 a 8 T W I L N b 9 J a t p d A a + 0 q j r f u Y F h r m Q 4 e 7 u 7 d 2 3 / 4 Y L x 7 O + 1 l X n t w 8 G B / d 2 + T 7 H v s b V 7 a v b e 3 / + D h z v j h / u 2 U m e 3 s / v 7 e z v h g 0 1 s e s 5 u 3 7 t 2 7 d / D p A 1 J Q q u p v U m v u v d 2 9 + / u b n H a P + d 8 D R V + 7 m d f 2 H + 4 d E O 0 3 E d / X c 5 a Q e / s P 7 z 3 Y 2 T h p v r 4 z 7 2 3 f 6 s U I l 9 x W 8 b 0 X g h E O u a 0 C f K 9 + I r x x G 7 p H W G P v 0 1 1 a 4 t 7 I U L 5 m t G S / x X u + h r w N N X w N + R 7 o + Y r y V t 1 E m O E W 3 X j I 7 X X 0 5 X u F q Z i h m 1 S l 7 S B U l T q 3 t + 5 g W F W a D n Y P S D P c + 3 R v / H D v d s r S e / H + w f 6 n D z e / 6 I m D e X F 7 / 9 P d n U 1 K 1 h M J 8 8 6 m 2 f Q k w T R / Q O H o w 7 3 7 4 w e b Z M E T h f d 6 z 5 O F 2 6 D n a 0 h t j 3 Y 3 6 8 V b 0 8 t X i u a l G 9 + J s M K N 7 0 S 4 Y O P I I 5 N / Y x / v O f m + H r y Z u p E p v 6 1 D e J v 2 v r q 7 V f v I b N / W I b x V + 8 g k 3 9 I h v N d R c O 8 Z w 4 K 9 b l J x t o t Q x d 0 u h n U d D K s 4 0 8 H u / U 8 f 7 H + 6 f 0 v 9 9 h 5 v e f x t 3 t p E X o + 1 b 9 P c 4 2 z T / N N P 9 + 7 v P N z 0 k s f h t 3 / J Y / P b I O Z r N G 1 / O 4 1 2 K + A R D t n Y P j L h t 3 X s b t X + P S f Z V 2 C 3 a t + f 5 t s p s F s B f 8 + Z 9 R X Y r d q / 5 + T 6 C u x W 7 d 9 3 c l 3 z / Y 4 C O 3 v x J v 3 8 + M X x 0 9 s 6 a f d v 1 m C 2 j 1 C D a Z R 1 6 w 6 G N Z j p g D y 0 n Z 3 x p w e 3 0 2 D v 8 Z b H 3 O a t W 2 q w 2 z T 3 W N v i h G e 8 u 8 k F 8 H j 8 P d 7 y O P 0 2 q P k 6 T N v f T o f d C n i E R 2 6 r w 2 7 V P j L Z t 9 V h t 2 r / n v P s 6 7 C b i R m Z 3 9 v q s N u 0 9 3 X Y r d q / 5 + T 6 O u x W 7 d 9 3 c l 3 z + 7 4 O 2 / s 6 W T k Q 4 y Y t Z n s J t N i e 4 n j r D o a 1 m O l g 0 6 g 9 j r 5 N c 4 + h b 9 P c 4 + f b N P f Y 2 T T f f b C / P 3 7 w 6 e 3 U 1 u 1 f 8 n j 7 N o j 5 W k v b 3 0 5 r 3 Q p 4 h C d u q 7 V u 1 f 4 9 5 9 j X W r d q / 5 6 z 7 G u t m 4 k Z m d 7 b a q 3 b t P e 1 1 q 3 a v + f k + l r r V u 3 f d 3 J d 8 0 8 7 W u u 9 c m M Y 1 0 0 K y 3 Y Q K q z b 5 c Z c B 8 M K y 3 R w S 4 V 1 m + Y e L 9 + m u c f K t 2 n u c b J p f o 8 W J c a I + g d f 8 j j 6 9 i 9 5 b H 0 b x H y F p e 1 v p 7 B u B T z C E 5 3 2 g w r r V u 3 f c 4 5 9 h X W r 9 u 8 5 y 7 7 C u p m Y k e m 9 r c K 6 T X t f Y d 2 q / X t O r q + w b t X + f S f X N X / Q V V g / e Z z + P u n J l 1 + c v T 7 7 8 n Z K Z f 9 m r W V 7 C b X W / n t 2 M K y 1 T A e 3 1 F q 3 a e 4 x 9 G 2 a e / x 8 m + Y e O 5 v m 9 / Y P b q + 1 b v + S x 9 u 3 Q c z X W t r + d l r r V s A j P H F b r X W r 9 u 8 5 x 7 7 W u l X 7 9 5 x l X 2 v d T M z I 9 N 5 W a 9 2 m v a + 1 b t X + P S f X 1 1 q 3 a v + + k + u a H / h a 6 9 7 X C Q 7 v 7 d y s t W w v g d a 6 p z j e u o N h r W U 6 u K X W u k 1 z j 6 F v 0 9 z j 5 9 s 0 9 9 j Z N H + w + + D B 7 V T W L d / w u P o 2 K P n 6 S t v f T l / d C n i E G z a 2 f 8 / J 9 f X V r d q / 5 / T 6 + u p W 7 f s T f D t 9 d S v g 7 z m z v r 6 6 V f v 3 n F x f X 9 2 q / f t O r m v + s K O v 3 i s s v H e L s N B 2 E K q q 2 4 W F r o N h V W U 6 2 L 3 / 4 N 7 B 7 d T V b V / x e N q 8 s o m s H k v f p r n H 0 a b 5 / f 0 D J c x N K u u W b 3 i M f R u U f J W l 7 W + n s m 4 F P M I V t 1 V Z t 2 o f m e H b q q x b t X / P + f V V 1 s 3 E j M z t b V X W b d r 7 K u t W 7 d 9 z c n 2 V d a v 2 7 z u 5 t v m n O x 2 V d S o a K 3 3 z 6 n Y 6 5 d 6 N S s t 1 E S q t e + / Z w a D S s h 1 s G r J j 5 1 s 1 d 9 x 8 q + a O m W / V 3 P G y b b 5 3 7 + H t Q s L b v u F Y + l Y o e c r K t L + V s r o d 8 A g 3 b G z / n p P r K a v b t X / P 6 f W U 1 e 3 a 9 y f 4 V s r q d s D f c 2 Y 9 Z X W 7 9 u 8 5 u Z 6 y u l 3 7 9 5 1 c 1 3 y 3 o 6 z e P 4 t 1 b / 9 m f W V 7 C f X V / n t 2 M K y v T A e b R u 1 x 9 G 2 a e w x 9 m + Y e P 9 + m u c f O p v m t 4 8 H b v u F x 9 W 1 Q 8 v W V t r + d v r o V 8 A g 3 3 F Z f 3 a r 9 e 8 6 u r 6 9 u 1 f 4 9 5 9 f X V z c T M z K 3 t 9 V X t 2 n v 6 6 t b t X / P y f X 1 1 a 3 a v + / k u u Z 7 v r 7 a / z r 5 q / 2 d m / W V 7 S X Q V / u K 4 6 0 7 G N Z X p o N b 6 q v b N P c Y + j b N P X 6 + T X O P n U 3 z P c q g j / H X 4 E s e W 9 / + J Y + 3 b 4 O Y r 7 W 0 / e 2 0 1 q 2 A R 3 j i t l r r V u 3 f c 4 5 9 r X W r 9 u 8 5 y 7 7 W u p m Y k e m 9 r d a 6 T X t f a 9 2 q / X t O r q + 1 b t X + f S f X N b / X 0 V r v l c X a 3 7 1 Z Y d k O Q o W 1 + 5 4 d D C s s 0 8 E t F d Z t m n u 8 f J v m H i v f p r n H y a b 5 / q c H n 4 7 N 0 u k m h f V + L 3 l s f R v E f I W l 7 W + n s G 4 F P M I T t 1 V Y t 2 r / n n P s K 6 x b t X / P W f Y V 1 s 3 E 9 B T W r Y C / 5 8 z 6 C u t W 7 d 9 z c n 2 F d a v 2 7 z u 5 r v l + V 2 G 9 d 1 i 4 v 3 + z 1 r K 9 h F p L h e 3 W H Q x r L d P B L b X W b Z p 7 D H 2 b 5 h 4 / 3 6 a 5 x 8 6 m + f 6 n D x / c W m v d / i W P t 2 + D m K + 1 t P 3 t t N a t g E d 4 4 r Z a 6 1 b t 3 3 O O f a 1 1 q / b v O c u + 1 r q Z m J H p v a 3 W u k 1 7 X 2 v d q v 1 7 T q 6 v t W 7 V / n 0 n 1 z W / 7 2 u t + 1 8 n O L y / c 7 P W s r 0 E W u u + 4 n j r D o a 1 l u n g l l r r N s 0 9 h r 5 N c 4 + f b 9 P c Y 2 f T / N M H B + O D 2 + k s 8 8 r e H q 0 V b n z J 4 + z b o O X r L N v J L k 3 C p n c i 7 H R b 1 X W r 9 u 8 5 z 7 7 q u l X 7 9 5 x p X 3 X d q n 1 k r m + k a W S y t 2 9 8 K T L Z N 7 3 j q 7 J b v / O e E + 6 r s 1 v 3 8 b 6 T 7 p p / 2 l F p 7 x U 5 3 r 9 F 5 G g 7 C L X Z 7 S J H 1 8 G w N j M d Q F I G R + x x u W l / S 3 V m m m 9 / + u m n G 5 W H x + j u n R u 0 l M f s t 0 H L 4 3 P T / K Y e P C 6 / N V a + X t O X 0 O 5 m h X a r q f A 1 m k V p 8 x u R 2 b 6 t T r s d S p H 5 v q 1 S u 1 0 H / Y n e Q N H I N N 8 8 Z 5 G J v u k d X 5 3 d + p 3 I d N 9 W n d 2 6 j / e d b 9 f 8 Q U e d n Y o 2 S 9 + 8 u p 2 + u X e z Q r N d h A p N 9 f O t O x h W a K a D T U P 2 O P w 2 z T 3 + v k 1 z j 7 1 v 0 9 x j b t P 8 3 s O d e w / H n 9 5 O l 9 3 + J Y / J b 4 O Y r 8 i 0 / e 0 U 2 a 2 A R 3 h i Y / v 3 n G J f i 9 2 q / X t O s q / E b t W + P 8 2 3 0 2 G 3 A v 6 e M + u r r l u 1 f 8 / J 9 d X W r d q / 7 + S 6 5 g c d l f X + q b D 7 + z d r L d t L q L X 2 3 7 O D Y a 1 l O r i l 1 r p N c 4 + h b 9 P c 4 + f b N P f Y 2 T S / / / C 2 e b B b v u F x 9 W 1 Q 8 v W V t r + d v r o V 8 A g 3 b G z / n p P r 6 6 t b t X / P 6 f X 1 1 a 3 a 9 y f 4 d v r q V s D f c 2 Z 9 f X W r 9 u 8 5 u b 6 + u l X 7 9 5 1 c 1 / y h r 6 8 + / T p J s E 9 3 b t Z X t p d A X 3 2 q O N 6 6 g 2 F 9 Z T r Y N G q P o 2 / T 3 G P o 2 z T 3 + P k 2 z T 1 2 N s 1 3 d / b v j x / c U m X d / i W P t 2 + D m K + 1 t P 3 t t N a t g E d 4 Y m P 7 9 5 x i X 2 v d q v 1 7 T r K v t W 7 V v j / N t 9 N a t w L + n j P r a 6 1 b t X / P y f W 1 1 q 3 a v + / k 2 u Y P d j p a 6 7 3 y X J / u 3 q i w X A e h w t q N d b C h g 0 G F Z T u 4 n c K 6 V X P H y 7 d q 7 l j 5 V s 0 d J 9 v m e z s P 9 s b 7 B 7 d S W O / x k m P r W y H m K S z T / l Y K 6 3 b A I z y x s f 1 7 T r G n s G 7 X / j 0 n 2 V N Y t 2 v f n + Z b K a z b A X / P m f U U 1 u 3 a v + f k e g r r d u 3 f d 3 J d 8 9 2 u w n r v s B C r m z d p L d t L q L X 2 3 7 O D Y a 1 l O t g 0 a o + j b 9 P c Y + j b N P f 4 + T b N P X Y 2 z f d 2 H u 7 e W m v d / i W P t 2 + D m K + 1 t P 3 t t N a t g E d 4 Y m P 7 9 5 x i X 2 v d q v 1 7 T r K v t W 7 V v j / N t 9 N a t w L + n j P r a 6 1 b t X / P y f W 1 1 q 3 a v + / k u u Z 7 v t Z 6 8 H W C Q + j J m 7 S W 7 S X Q W g 8 U x 1 t 3 M K y 1 T A f 3 S G 3 v 3 F J 1 m X c + f b i / + R 2 P t c 0 7 t 9 R f t 0 b L 4 2 7 z z v 6 9 v Y c P d 8 b g n c H X P D 4 3 r x 3 c v / E t j 9 t v j a C v z P S l 2 y k z 0 8 P 2 z V 1 E G O b m l 7 4 O E / j K 7 T Y z 6 i u 3 2 3 c S 4 Y P b a r i b K R y Z + Z s x i k z 8 z d P i K 7 v b j M N X d r d G z d d 4 t + r k a 0 2 7 e + d e R + 2 9 V 3 Q J H X u T x r M d h B p P x f L W H Q x r P N P B w 3 s 7 R o / e p P D M K / c / 3 d u / p b 4 z r 2 z v 3 t u 7 n c q z b 9 z 7 9 O G n m 9 7 x 2 N 2 8 8 + D B L v 1 v v L / p N Y / x z W s H O w c P 7 t 3 b / J r H + r f G 0 N d 5 + t L t d J 7 p 4 d 6 n B / d u q / E 8 r G 5 4 K c I E t 1 V 2 t 0 Y s w g K 3 1 X W 3 7 q P P A L f T d 7 e f v 8 i k 3 / S O r + 1 u / U 5 k 6 m + r 7 G 7 d x / v O u m u + 3 9 F 1 p 6 L q 0 j e v b q e M 7 t 2 s 7 W w X o b a 7 9 5 4 d D G s 7 0 w H l w n d v 7 e C Z l 9 7 H w T P v b G r u M b t p f r M Z 9 b j d D u b T + z t 7 l C m 7 n b Y z b 9 0 n q t 3 w l s f 3 t 0 f Q 1 3 b 6 1 u 2 0 n e n i 5 h 4 i H H M L v C J s c F t 9 d 3 v U 3 p M F f I V 3 + 0 7 6 P H A 7 j f c e x I p M / Y 0 v + T r v 9 i 9 F O O C 2 S u / 2 n b z v 3 L v m 9 z t a 7 / 3 T c e j x J s V n e w k V 3 / 5 7 d j C s + E w H t 1 R 5 t 2 n u s f p t m n u c f p v m H o + b 5 p 8 + v H 8 w 3 r m l U 3 f 7 l z x W v w 1 i v n 7 T 9 r f T b 7 c C H u G J 2 y q 1 W 7 V / z z n 2 9 d m t 2 r / n L P u q 7 G Z i R q b 3 t k r s N u 1 9 / X W r 9 u 8 5 u b 7 q u l X 7 9 5 1 c 1 / x T X 2 s d f J 1 0 3 M H O z V r L 9 h J o r Q P F 8 d Y d D G s t 0 8 E t t d Z t m n s M f Z v m H j / f p r n H z q b 5 g / 1 7 t 1 5 D u P U 7 H m f f B i 1 f Z 2 n 7 2 + m s W w G P c M R t d d a t 2 r / n D P s 6 6 1 b t 3 3 O O f Z 1 1 M z G D 2 b 0 F 8 P e c W V 9 n 3 a r 9 e 0 6 u r 7 N u 1 f 5 9 J 9 c 1 f 9 D R W e + V S z u 4 R S 7 N d h C q q 9 v l 0 l w H w + r K d H B L d W W a 3 x C J e u x 8 m w 4 8 b r 5 l B x 4 / m z f 2 9 h 8 8 H D / 8 9 H Z a y 3 Z z 4 0 s e c 9 8 S N 1 9 z 6 S u 3 0 1 w G / v Z N H U Q Y 5 K Z X I l N + 0 y u R a b + t D r t t F 5 G J v 6 0 a u 5 m y s e m + f Q h 5 2 8 n w t d l t x u B r s 1 u i 5 S u 0 W 3 X x N S b b v X H Q 1 W n v H T 0 e 7 N + s 2 G w v o W L b f 8 8 O h h W b 6 W D v 1 j k z 8 8 b t d Z t 5 4 5 a 6 z T S / i a U 8 L r c 4 7 R 9 8 e m v l Z o d + 4 0 s e v 9 8 W O V + 7 6 T u 3 0 2 6 3 J K + v 3 G 6 N U 2 T e N 7 Z / / 1 n 3 t d u t u o j M + 0 1 d 9 O f 9 d t r t 1 m S K T P d 7 a L f b v h K Z 8 4 3 t I x N + U x f v O 9 + u + U N f u z 3 8 O l H m w 5 2 b t Z v t J d B u D x X H W 3 c w r N 1 M B w 8 f b F z O 9 P j c v L G p u c f j t 2 n u s b h p v n 0 D Q h 6 L m 1 c + f X D v w a 2 j T f P S 7 q d k 2 m 4 d b 9 4 W O 1 + 3 6 T u 3 0 2 2 3 n A 5 f t 9 0 a p 8 i s b 2 w f m f O b u n j P e f d 1 2 2 2 7 6 E / 8 7 X T b r c k U m e 4 b X v F 1 2 2 1 f i c z 5 b X X b b b t 4 3 / m 2 z Z G d C n T b e 0 W j D 3 d v V G u u g 1 C t 7 b 5 n B 4 N q z X a w u 7 t z T 1 d Q b 9 B r 7 p W H / P v g K 4 7 H 7 S v b + / c f 3 k q 9 2 T c e P D z Y p H I c k / t o 3 b u 1 5 + a N f 3 / / 4 L a u 2 2 2 x 8 7 S b e e V W 2 s 3 R 6 2 B / / 8 H t 1 J t 9 5 6 Z X I p N / 0 y u R y b + l d r t 1 F 5 G p v 6 V 2 u w V l I / N 9 0 8 x F J n v 7 h n c 8 7 X a r M X i q 7 b Z o e d r t d l 1 E J v u m k b s 3 d j v a 7 V S U W / r m 1 e 3 U z 7 2 b 9 Z v t I t R v q o l u 3 c G w f j M d b K K S x 9 6 3 a e 5 x 9 2 2 a e 5 x 9 m + Y e Y 5 v m y L P d o J s 8 D n + P t z w m v w 1 q v j r T 9 r d T Z 7 c C H u G K j e 3 f c 5 J 9 J X a r 9 u 8 5 z b 4 G u 1 X 7 / k T f T o P d C v h 7 z q y v u m 7 V / j 0 n 1 9 d b t 2 r / v p P r m u 9 1 l N b 7 J 9 M e 7 t + s t 2 w v o d 7 a f 8 8 O h v W W 6 e C W e u s 2 z T 2 G v k 1 z j 5 9 v 0 9 x j Z 9 P 8 Y P f + L X X W L d / w u P o 2 K P n 6 S t v f T l / d C n i E G 2 6 r r 2 7 V / j 1 n 1 9 d X t 2 r / n v P r 6 6 u b i R m Z 2 9 v q q 9 u 0 9 / X V r d q / 5 + T 6 + u p W 7 d 9 3 c l 3 z e 5 6 + 2 t / 5 G u m x f S T u b t J X t h d f X / G b 7 9 X B s L 4 y H R w c 7 H 6 6 0 b / 0 2 N q 8 c 2 / / U x v S 3 q S 5 z D t 7 e / f 2 N / b j s b d 5 Z / v e 7 u 7 B z s P b K T H z 0 v 6 D e / c f H G y K X T x e N y / d 3 9 l / c P + 2 r l c X v d s p N H 3 r d g r N 4 n X v / t 7 D 2 w a U F q + b 3 4 o w w m 1 1 2 + 1 R i 3 D B b R X c 7 T v p c 8 D t t N x 7 T G J k 6 m 9 8 y V d 4 t 3 8 p w g G 3 1 X q 3 7 + R 9 5 9 4 1 3 + + o v v f J n u 3 v 7 N 6 s 9 W w H o d Z T V X P r D o a 1 n u l g d / f B 7 q d 7 m 8 j k c b x 9 6 f 4 B x W i b a O V x v H l p e 5 e 0 5 f 7 9 2 y k + 8 9 L e g 0 9 3 N 2 o j j + s t d r Q g 9 P A B J H v w L Y / 9 z V s P H 9 y 7 d 3 9 3 k 4 R 5 3 H 9 r 9 H y 9 p y / d T u 9 Z q u 3 v 7 h z s b z I x v u I z b 9 3 8 U o Q V b n 4 p w g q 3 d e x u 3 0 m E C 2 7 r 3 d 1 M 4 c j E 3 z y H k Y n f v v E t X + / d Z h y + y r s 1 a r 7 e u 1 U n k W m / s R M P s f s d v f d + e b X 9 n X s 3 a z 7 b R a j 5 V J p v 3 c G w 5 j M d b K K T x + i 3 a e 7 x + W 2 a e x x + m + Y e g 5 v m p O I O P j 3 Y 3 7 u d i n u P t z x W v w 1 q v n r T 9 r d T b 7 c C H u G K j e 3 f c 5 J 9 d X a r 9 u 8 5 z b 4 m u 1 X 7 / k T f T p P d C v h 7 z q y v v m 7 V / j 0 n 1 9 d c t 2 r / v p P r m n / a U V r v n V f b 3 9 m / W W / Z X k K 9 t f + e H Q z r L d P B L f X W b Z p 7 D H 2 b 5 h 4 / 3 6 a 5 x 8 6 m + c G 9 + 5 v e 8 H j 6 l m 9 4 X H 0 b l H x 9 p e 1 v p 6 9 u B T z C D b f V V 7 d q / 5 6 z 6 + u r W 7 V / z / n 1 9 d X N x I z M 7 W 3 1 1 W 3 a + / r q V u 3 f c 3 J 9 f X W r 9 u 8 7 u a 7 5 A 1 9 f 7 X 6 d v B r Y / C Z 9 Z X s J 9 N W u 4 n j r D o b 1 l e n g l v r q N s 0 9 h r 5 N c 4 + f b 9 P c Y 2 f T f H f n 3 o O x W d O 9 S W X d / i W P t 2 + D m K + 1 t P 3 t t N a t g E d 4 4 r Z a 6 1 b t 3 3 O O f a 1 1 q / b v O c u + 1 r q Z m J H p v a 3 W u k 1 7 X 2 v d q v 1 7 T q 6 v t W 7 V / n 0 n 1 z U / 6 G i t 9 0 q J g W l v U l i 2 g 1 B h 3 S 4 l 5 j o Y V l i m g 1 s q r N s 0 9 3 j 5 N s 0 9 V r 5 N c 4 + T T f O 9 n Q f 3 x z A 4 g y 9 5 H H 3 7 l z y 2 v g 1 i v s L S 9 r d T W L c C H u G J j e 3 f c 4 p 9 h X W r 9 u 8 5 y b 7 C u l X 7 / j T f T m H d C v h 7 z q y v s G 7 V / j 0 n 1 1 d Y t 2 r / v p P r m j / s K q z 3 D g v B K T d p L d t L q L X 2 3 7 O D Y a 1 l O t g 0 a o + j b 9 P c Y + j b N P f 4 + T b N P X Y 2 z W 9 W Q B 5 b 3 / 4 l j 7 d v g 5 i v t b T 9 7 b T W r Y B H e O K 2 W u t W 7 d 9 z j n 2 t d a v 2 7 z n L v t a 6 m Z i R 6 b 2 t 1 r p N e 1 9 r 3 a r 9 e 0 6 u r 7 V u 1 f 5 9 J 9 c 2 f 7 j j a 6 2 9 r x M c g h g 3 a C 3 X S 6 C 1 9 h T H w Q 6 6 H Q x q L d v B 7 b T W r Z o 7 h r 5 V c 8 f P t 2 r u 2 N k 2 3 3 2 w c S H L 8 f R t 3 3 B c f S u U P H 1 l 2 t 9 K X 9 0 O e I Q b N r Z / z 8 n 1 9 N X t 2 r / n 9 H r 6 6 n b t + x N 8 K 3 1 1 O + D v O b O e v r p d + / e c X E 9 f 3 a 7 9 + 0 6 u a 7 7 b 0 V f v F R Z i X D e p K t t B q K p U z m 7 d w b C q M h 1 s G r D H z L d p 7 v H y b Z p 7 r H y b 5 h 4 n m + b 3 9 h 9 8 e j t V d c s 3 P I a + D U q + q t L 2 t 1 N V t w I e 4 Y b b q q p b t X / P 2 f V V 1 a 3 a v + f 8 + q r q Z m J G 5 v a 2 q u o 2 7 X 1 V d a v 2 7 z m 5 v q q 6 V f v 3 n V z X f K + r q t 4 7 I N z b v 1 l f 2 V 5 C f b X / n h 0 M 6 y v T w S 3 1 1 W 2 a e w x 9 m + Y e P 9 + m u c f O p v m 9 / Y O 9 2 + m r W 7 7 h c f V t U P L 1 l b a / n b 6 6 F f A I N 9 x W X 9 2 q / X v O r q + v b t X + P e f X 1 1 c 3 E z M y t 7 f V V 7 d p 7 + u r W 7 V / z 8 n 1 9 d W t 2 r / v 5 L r m 9 3 x 9 d e / r h I L 3 d m 7 W V 7 a X Q F / d U x x v 3 c G w v j I d 3 F J f 3 a a 5 x 9 C 3 a e 7 x 8 2 2 a e + x s m u / t 3 L 9 / O 3 1 1 y z c 8 r r 4 N S r 6 + 0 v a 3 0 1 e 3 A h 7 h h t v q q 1 u 1 f 8 / Z 9 f X V r d q / 5 / z 6 + u p m Y k b m 9 r b 6 6 j b t f X 1 1 q / b v O b m + v r p V + / e d X N d 8 v 6 O v 3 i s U v L d 7 s 6 q y H Y S q a v c 9 O x h W V a a D W 6 q q 2 z T 3 e P k 2 z T 1 W v k 1 z j 5 N N 8 3 s P M O W D b 3 j s f M s 3 P I a + D U q + q t L 2 t 1 N V t w I e 4 Y b b q q p b t X / P 2 f V V 1 a 3 a v + f 8 + q r q Z m J G 5 v a 2 q u o 2 7 X 1 V d a v 2 7 z m 5 v q q 6 V f v 3 n V z X / H 5 X V b 1 3 K H h v / 2 Z 9 Z X s J 9 d X + e 3 Y w r K 9 M B 7 f U V 7 d p 7 j H 0 b Z p 7 / H y b 5 h 4 7 m + b 7 P H m D b 3 g 8 f c s 3 P K 6 + D U q + v t L 2 t 9 N X t w I e 4 Y b b 6 q t b t X / P 2 f X 1 1 a 3 a v + f 8 + v r q Z m J G 5 v a 2 + u o 2 7 X 1 9 d a v 2 7 z m 5 v r 6 6 V f v 3 n V z X / F N f X + 1 / n V B w f + d m f W V 7 C f T V v u J 4 6 w 6 G 9 Z X p Y H d n B 5 w 1 O H K P q 7 1 X d m 6 p t + w r m 7 r w G N u 0 v 6 X i M s 3 3 D w 7 2 H t 5 O c 9 3 2 F Y / B b 4 O U r 7 q 0 / e 1 U 1 6 0 o 5 O s u 8 8 L 2 5 j c i U 3 1 b 7 X U 7 l C K z f F v 1 d b s O + v N 8 O / 1 1 K 2 z e c 3 p 9 / X W r 9 p E Z v q 3 + u l X 7 e + / X 3 k P n Q U d / v V d o i D X 1 m 1 S X 7 S B U X b c L D V 0 H w 6 r L d L C 7 t / t g U 7 T k s b R 7 5 e D B J q n 3 m N q 8 s r 2 r m N + k u 8 w L n 2 J G B l / w u N o i t b O 3 f 3 / T O x 5 z u 3 d 2 H 3 y 6 a c Y 9 B r 8 d Y r 4 G 0 z d u p 8 E s o R 7 s P L i l D j O v 3 P B G Z M 5 v e C M y 5 b f 1 w W 7 Z Q 2 T C b + u F 3 U z V y E T f M G m R a d 7 e / I q v y m 4 z A l + V 3 Q 4 p X 5 n d q o f I P N 8 w b P f C Q U e d n Y o 2 S 9 + 8 u p 2 + u X e z Q r N d h A r t 3 n t 2 M K z Q T A f 3 9 x 8 + 3 B k / 3 K R v P A Z / j 7 c 8 N j d v b Z o Q j 8 d v 0 9 x j c d N 8 / 2 a c P F 5 / j 7 c 8 f r 8 N a r 5 S 0 / a 3 U 2 q 3 A h 7 h k Y 3 t I 1 O + s X 1 k s m + r z W 7 V / j 3 n 2 d d l N x M z M r 8 b g b / n z P p q 7 F b t 3 3 N y f S V 2 q / b v O 7 m u + c O O C n v / D N j + / s 1 a z P Y S a r H 9 9 + x g W I u Z D v b 2 d w / G O 7 d 0 z M x L 5 M n t b X 7 J Y 2 7 z 0 i b 6 e r x t m t 9 g G D 3 u N m / c 3 7 t / M N 4 Y p X h c b l 9 6 e H 9 / 8 0 s e q 9 8 S N 1 + P 6 S u 3 0 2 M G / g 3 g I 3 x y E 0 a R m b + t M r s l U u 8 5 4 7 4 6 u 2 U P / S m / n U K 7 L Y 0 i E 3 1 7 5 + y W b 0 Q m + 7 Z 6 7 Z Y 9 v O 9 M m + b 3 k S V y m u 3 T r 5 M r Q 4 y z W b N 5 v Q S a z U R H t + 5 g S L O 5 D n b v H z w c m 0 B 2 s 2 Z z L 2 0 i l e V w 1 / z e g 4 O D 3 f v j T + / f R r f 5 r 5 E C / X S 8 t 3 8 b B e e N a P f e p + N P b 7 V I 6 f f 1 6 Q 4 R Y u N r l v P f D 0 W n 5 9 x 7 D + 5 T n P / w h v c i T H f z b D m 1 5 9 7 a v s V r E d a 4 n e p 7 L + Q i z H E 7 9 f d e v U S Y 4 l Y E j / D F 9 r 0 H l E 3 X s O g G h e i z x Q 0 v O Z 3 4 P i 9 F G G I T 9 Z x a f J 9 O 3 p c R X P P d j m Z 8 r y z c p 7 s 3 K 0 X b Q a g U l R d u 3 c G w U t Q O h g 2 m x / U 3 t v V 4 / c a 2 H p + b Q W 4 i u s f g p v n D e + O N F s / j 7 d u + 4 j H 2 b Z D y 9 d y N A / a V 2 6 2 A R 9 h g Y / v + r N 5 a n 9 2 q f X 9 2 b 6 3 J b t W + P 8 U b i B m Z 3 I 3 A 3 3 N m f W 1 1 q / b v O b m + o r p V + / e d X N d 8 r 6 e j 3 q S f H 7 8 4 f n p b N X X / Z j V l + w j V l H o / t + 5 g W E 2 Z D u 7 t P j g Y H 9 w q K n 2 f l z z W N i 9 t o q 7 H 2 b d p 7 j G 2 a b 7 3 Y P 9 g f O / g d t r r 9 i 9 5 X H 4 b x H z 9 p e 1 v p 7 9 u B T z C H 7 f V X 7 d q H 5 n p 2 + q v W 7 V / z 1 n 2 9 d f N x I x M 7 2 3 1 1 2 3 a + / r r V u 3 f c 3 J 9 / X W r 9 u 8 7 u a 7 5 P a N b T s 7 S n X v v H X 0 + 3 N m 5 t 3 O z B r O 9 O A 2 m b 7 5 X B 8 M a z H R w / + G D 8 Y P 9 2 y k w 8 8 7 u w 9 3 N c Z r H 2 v a d B / d J t W 5 W F x 6 H u 9 f 2 P 9 3 f G e 9 9 e j t 9 Z l 7 7 9 O D T z e 9 4 / G 6 7 u n c w 3 r u l N n s f 9 H y t 5 r 2 3 8 3 B v c 3 e + g j P v 7 e 9 8 O t 7 d R H l f y 5 m X t m 9 + y z C G 9 9 Z t d d 3 t U Y t w x W 0 V 3 u 0 7 i T D D r Y g d Y Y j 7 + w / G D z e + F O G I 7 R v f 8 n X h b e j g 6 8 J b o + Y r x F t 1 E l M N N 4 7 f v b P f 0 Y r v u d o A p b V / s 1 a 0 v Y R a U d X X r T s Y 1 o q m g 7 2 H m 4 j l c f / t X v A 4 3 7 y w q b n H + N p 8 2 H J 7 / H 5 j W 4 / H b 2 z r s f a N b X 0 N d 3 P j C N d s V A O R + d / Y P j K d t 9 V l t 2 r / n p P p q 7 F b t X + f G f X V 1 s 2 N 3 2 d O f S 1 1 c + P + n G 5 o 3 J / Q D Y 3 7 s 7 l h g K 7 t / a 4 + e p 8 o E 8 r i F l G m 7 S P U R r e I M o M O h r W R 6 W B 3 l w K t g 0 9 v p 5 F u / 5 L H y O a l W 2 q l 2 z T 3 2 N i i t H d v f 3 M C 2 G P n 2 7 / k s f V t E P O 1 l b a / n b a 6 F f A I f 9 x W W 9 2 q f W S m b 6 u t b t X + P W f Z 1 1 Y 3 E z M y v R u B v + f M + j r r V u 3 f c 3 J 9 z X W r 9 u 8 7 u a 7 5 p 0 a 3 n P 5 k u r P 7 v l H m 7 s 7 O D t j 8 J g 1 m e 7 E a z L z 5 X h 0 M a z D T w d 6 9 h / d 2 9 z 8 9 e D D + 9 M H t 1 J h 9 8 9 N 7 n 1 J / F G T d u 5 0 q s y 8 e P N w j p / 9 2 C s 2 + t H + P O n y w P z 7 Y 1 J v H 8 + 7 F g 5 2 d g 3 v 3 a I F r 0 w A 9 A X B v E j X 3 d m l J b e f g d k r u / Z D 1 1 Z 1 5 c / d g f 2 9 n b 2 9 / / O k m v e r r P v P m N q H 7 8 M H + / b 3 x p x s 7 j T D Z L d + M c c / t 3 o x w z 2 1 V 4 3 v 2 F O G c 2 y r J 9 5 y C C M P c f 7 j z K f 0 5 h n Y c f j H C L 9 u 3 e t N X o r c Z n K 9 E 3 w t F X 5 v e q q M I Z 9 y q I w / B B 5 5 a Z b 1 6 + y V S V n m 7 N + t U 2 0 W o U 3 f f s 4 N h n W o 6 2 P + U U m o P 7 h 3 s 3 1 q n v u e b n n y Y N 2 / p H 9 6 m u S c T p v m 9 h 5 / u H T y 4 v 3 9 / v L N p P j 2 Z e M 8 3 P a G 4 D Y q + 6 t T 2 a H e z t r w V 8 A j P 3 N Z T v F X 7 y M T f V h 3 e q v 1 7 z r e v B G 8 m Z m S O b + s p 3 q a 9 r + R u 1 f 4 9 J 9 f X b b d q / 7 6 T 6 5 o f 9 F T a q W i 0 9 M 2 r 2 + m c e z c r N d t J q N T U S N 6 6 g 2 G l Z j r Y v 7 e / + / D h f V o g h Y 4 f H L / H 2 + / 5 p s f l 5 s 1 b K r X b N P d 4 3 D Q n v / f + v f s H O / f H 9 z f 5 F B 7 D v + e b H u v f B k V f q W n 7 2 y m 1 W w G P 8 M x t l d q t 2 k c m f m P 7 9 5 x u X 6 n d q n 1 / w m + n 1 G 4 F / D 1 n 1 l d q t 2 r / n p P r K 7 V b t X / f y X X N H / a U 2 v s k 8 F j p 2 P z a s F a z v Y R a 7 e Y E X t j B s F Y z H T w 8 2 D 2 g 0 P D e L f 2 0 9 3 n N Y 3 D z 2 i Y a e / x 9 m + Y e e 5 v m 5 D w + o N W 0 + w e 3 U 2 b v 8 5 r H 7 7 d B z t d k 2 v 5 2 m u x W w C N 8 c l t N d q v 2 k f m + r S a 7 V f v 3 n G l f k 9 1 M z M g E 3 1 a T 3 a a 9 r 8 l u 1 f 4 9 J 9 f X Z L d q / 7 6 T a 5 u D R 0 X H f P t 1 S k r j f R N 5 u 7 d K 5 L l e n C b T N 9 + r g 9 9 r S J P Z D i j h 9 H D / 3 g H W F n Z U T 9 6 g z f x X H 9 x / s P 9 g Z 3 d 8 8 P B W G s 2 + u n v w 4 B 6 l y M Y H m z S h Y 3 j 7 3 s M H D / b G D 3 Z v p e D s S / s P H + z u P L i / 9 2 B s g v Y b d J z / 5 r 0 H u / c p l b d 3 O z X 3 H o h 6 y s 5 R l G J 4 W h w 5 2 N S Z p / c 8 c n 5 6 b 3 / / 0 z F 0 x P C L E f b a v t 2 b E b 6 5 p S p 8 T x Q j r H J L n f i e H U X Y 5 F b E j z D J 9 t 6 n + z u f 7 o 1 3 N / G y p z A 9 + b n 5 P U 9 x v t 9 7 E S 7 Z R E l P g b 5 f P + / L G q 7 5 b k e R 3 j 5 x B 0 2 4 e 7 M O t R 2 E O l S F 8 t Y d D H q D t o P 7 e w f 3 9 u 7 d 2 9 3 7 d H x L F f q e b 3 p i Y d 7 c R G R P K m 7 T 3 J M F 0 5 y 8 1 I P d h 7 v 3 9 z c u 0 n j C 8 H 4 v e s J w G w R 9 V a n t 0 e 5 m / X g r 4 B G O 2 d g + w g C 3 V Y a 3 a v + e k + 3 r w F u 1 7 0 / 3 B m J G p n g j 8 P e c W V + 9 3 a r 9 e 0 6 u r 9 Z u 1 f 5 9 J 9 c 1 3 + u o M 5 O 0 O / n 2 6 U 9 8 d T u V s 3 e z T r O 9 h D p N V 0 V v 3 c G w T j M d P H j 4 k J Z b P x 0 / 3 L T g 6 r H 2 e 7 3 n s b h 5 7 5 b 6 7 D b N P Q Y 3 z b E y R 0 7 u z u b Q 2 2 P 2 9 3 v R 4 / r b I O j r M 2 1 / O 3 1 2 K + A R b r m t P r t V + 8 i k 3 1 a f 3 a r 9 e 8 6 2 r 8 9 u J m Z k i m + r z 2 7 T 3 t d n t 2 r / n p P r 6 7 N b t X / f y X X N 7 w 3 o s 9 s s Q k D X 3 L w I 4 b o I l d k t F i G C D o a V m e n g 0 x 0 K x / Y o 9 0 6 5 t 4 P b 6 b P 3 f d X j c v P q L V X a b Z p 7 P G 6 a P 7 x 3 7 z 4 F 0 b Q 8 8 u k m v D y G f 8 8 3 P d a / D Y q + U t P 2 t 1 N q t w I e 4 Z r b K r V b t Y / M / G 2 V 2 q 3 a v + d 8 + 0 r t Z m J G 5 v i 2 S u 0 2 7 X 2 l d q v 2 7 z m 5 v l K 7 V f v 3 n V z X f L + j 1 M 5 + 8 j j 9 f d K T L 7 8 4 e 3 3 2 5 e 3 U z v 7 N e s 3 2 E u q 1 / f f s Y F i v m Q 4 e P r h / b 7 z / 6 e 0 0 2 u 1 f 8 p j b v H R L X X a b 5 h 5 r m + Z 7 t N B L y c B N L q P H 4 + / x l s f p t 0 H N 1 2 H a / n Y 6 7 F b A I x x y W x 1 2 q / a R u b 6 t D r t V + / e c Z 1 + H 3 U z M y P z e V o f d p r 2 v w 2 7 V / j 0 n 1 9 d h t 2 r / v p P r m t / v 6 r D 3 W U i F g r l 5 I d X 1 E W q w W y y k B h 0 M a z D T w b 1 P K f d 1 b / M q o s f X 7 / O a x 9 7 m t V t q s d s 0 9 5 j b I r W z f + / B + G C T Z v W 4 / D 3 e 8 n j 9 N q j 5 W k z b 3 0 6 L 3 Q p 4 h E t u q 8 V u 1 T 4 y 2 7 f V Y r d q / 5 7 z 7 G u x m 4 k Z m d / b a r H b t P e 1 2 K 3 a v + f k + l r s V u 3 f d 3 J d 8 0 9 9 L b a X f o 1 l V B D j J j 1 m e w n 0 2 J 7 i e O s O h v W Y 6 e D + w w e 0 k L o z f n h L R W b e O 6 D g 8 i F W q + 7 d T p O Z 9 3 b v 7 d P 6 6 f 7 m h V e P 1 c 1 7 + z s H B w / 2 d 8 Y 7 + 7 f T b b a / n Y e 7 D y i t t 7 f p P Y / 7 7 f g O a H H 5 1 j 7 a e 2 H p q z n z 4 r 2 d g / v 7 9 / f G n 2 7 q 0 F d 5 5 s X t v Q f 7 n 9 6 / f 3 9 s b N y N y s + 8 e b s X I y x z u x c j P H N b d Y j 2 t + 8 o w i y 3 1 Y v v R / 0 I l 5 C w 3 d s 7 e D D e 3 / h i h F G 2 b / W m r z Z v M z Z f b b 4 X i r 7 + v F V H E b a 4 V U c e g g 8 6 i v T 9 1 l E x 1 J u U q O 0 h V K K 7 7 9 n B s B I 1 H e z t 7 + / u 7 9 3 b G 9 / / 9 H Z a 9 P 1 e 9 E T D v H h L h / A 2 z T 1 5 s G j t 7 J P k f T o + u K X S f K / 3 P G m 4 D X q + t t T 2 a H e z h r w V 8 A i 3 3 N Y p v F X 7 y J z f V g v e q v 1 7 z r W v / G 4 m Z m S G b + s U 3 q a 9 r 9 1 u 1 f 4 9 J 9 d X a r d q / 7 6 T 6 5 o f d H X Z e y 4 6 o O u b t J n t I 9 R m 6 n / d u o N h b W Y 6 2 P 3 0 g F y 0 v V u q s v d 4 y 2 N u 8 9 Y t 9 d h t m n u s b Z r v k T L a 5 G d 6 D H 7 b V z w e v w 1 S v v b S 9 r f T X r c C H u G O 2 2 q v W 7 W P T P P G 9 u 8 5 w b 7 2 u l X 7 / h T f T n v d C v h 7 z q y v v W 7 V / j 0 n 1 9 d e t 2 r / v p P r m j / s a i 9 / d e F 2 6 m X / Z v 1 l e w n 1 1 / 5 7 d j C s v 0 w H u 3 s H D 8 k P v b / J D / U 4 + 3 1 e 8 x j c v L a J x h 5 / 3 6 a 5 x 9 6 m + d 7 D 3 f 3 d 8 d 4 m n D w + f 4 + 3 P G 6 / D W q + H t P 2 t 9 N j t w I e 4 Z L b 6 r F b t Y / M 9 m 3 1 2 K 3 a v + c 8 + 3 r s Z m J G 5 v e 2 e u w 2 7 X 0 9 d q v 2 7 z m 5 v h 6 7 V f v 3 n V z b H C P p 6 L H 3 X G H Y u 3 + j G n O d h G p M U x S 3 7 m B Q j d k O 4 I j s j v c 3 5 d c c X 7 / P W 4 6 7 7 V u 3 U 2 K 3 a u 5 4 2 z b f 3 9 n Z 9 I Z j 8 N u + 4 V j 8 V i h 5 y s u 0 v 5 X y u h 3 w C G 9 s b B + Z 6 o 3 t I 5 O 8 s f 1 7 T q + n v G 7 X v j / B t 1 J e t w P + n j P r K a / b t X / P y f W U 1 + 3 a v + / k u u a 7 v v K 6 9 3 X W F e 7 t 3 K y 9 b C + B 9 r q n O N 6 6 g 2 H t Z T q 4 f 3 D w 8 N M H + w f 3 d 8 c 7 t 1 R h 7 t U H 9 x 8 8 3 N t / s D / + 9 J Z 6 z L y 6 e 4 / W J H b u H 4 w h N Y M v e h x v X v z 0 3 q c H u + M H m 9 7 y + N 6 8 9 e B g 5 9 7 D T 3 f v 3 R 8 / f H A 7 B e e / e Y 9 W U H f G B 5 u S 2 5 4 4 v A e m v r 5 z R P 3 0 1 o s L H j k P D v b u P f h 0 v L G 3 C H t t 3 + 7 N C N / c V h W + H 4 o R V r m t T n y / j i J M c j P l I / z x 6 b 2 d h 7 T w c c t l B U f 3 W 7 z n 6 8 z b E M P X m e + B n q 8 6 b 9 V N h B l u 0 Y 2 H 3 F 5 H g 7 7 f g s K 9 3 Z u 1 p + 0 h 1 J 6 7 7 9 n B s P Y 0 H e z e u 7 e 7 R w u z n 9 K i 1 C b 9 4 A n E + 7 7 q i Y R 5 d d P 0 e B J x m + a e H F j E H u 7 d v / d g / 9 7 9 B 5 u 1 s y c N 7 / u q J x G 3 Q d L X k 9 o e 7 W 7 W j 7 c C H u G b j e 0 j b H B b Z X i r 9 u 8 5 4 b 4 O v F X 7 / p R v I G Z k k j c C f 8 + Z 9 X X c r d q / 5 + T 6 y u 1 W 7 d 9 3 c l 3 z e 1 2 t 9 p 5 L C / d u X l p w f Y R 6 7 X Z L C 6 6 D Y b 1 m O t j d f 3 j / A b 2 1 9 2 B n / O n B J s X 2 A e 9 6 j G 7 e v a V m u 0 1 z j 8 0 d Z v f v 3 3 / w Y O / B / c 3 Z Q 4 / p 3 / d V j / 9 v g 6 S v 2 b T 9 7 T T b r Y B H O O e 2 m u 1 W 7 T 3 N d q v 2 7 z n h v m a 7 V f v + l N 9 O s 9 0 K + H v O r K / Z b t X + P S f X 1 2 y 3 a v + + k + u a 7 3 c 1 2 3 s v O 9 z b v 1 m 3 2 V 5 C 3 b b / n h 0 M 6 z b T w d 6 D g 4 2 x g c f V t 3 3 F Y 2 z z y i 0 1 2 W 2 a e 2 x t m j / Y e z j e + f R 2 K u z W 7 3 g c f h u 0 f N 2 l 7 W + n u 2 4 F P M I Z t 9 V d t 2 o f m e X b 6 q 5 b t X / P O f Z 1 1 8 3 E j M z u b X X X b d r 7 u u t W 7 d 9 z c n 3 d d a v 2 7 z u 5 r v n 9 n u 5 6 z 6 W G e 7 d Y a r C d h K r r d k s N r o N h 1 W U 6 e P B w 9 8 E B B d q b p N h j 7 P d 5 z e N v 8 9 o t V Z g 2 H 2 Z X j 7 V v b O t x 9 o 1 t P a 6 + s a 2 v r G 5 u H G G g 2 y q r W 7 W P T O 1 t l d W t 2 r / n Z P r K 6 l b t 3 2 d G f W V 1 c + P 3 m V N f T d 3 c u D + n G x r 3 J 3 R D 4 / 5 s b h i g a / u p r 5 r 2 v 8 5 C w v 7 O z b r J 9 h L o p n 2 d 3 l t 3 M K y b T A e b G M b j 3 9 s 0 9 9 j 3 N s 0 9 7 r 1 N c 4 9 5 T f M 9 S u 8 f 3 M 6 b M q / c + / T B 7 t 7 4 0 0 3 L C R 4 v 3 w Y v X 0 W 5 X r B K / O D h p t c i L H V b Z X W r 9 u 8 5 1 7 6 y u l X 7 9 5 x t X 1 n d q n 1 k v m 9 D 1 s i c b 9 / m v c i s 3 + I 1 X 5 e 9 z 2 v v O f m + Y n u f b t 6 X B 1 z z B x 0 t 9 7 5 p s f 1 7 N + s 4 2 0 e o 4 + 6 9 Z w f D O k 4 7 G F b r H s / f 2 N b j 9 x v b e r x u B n l L 1 W a a P 7 h H i 2 H j / V u m u 9 7 j L Y / P b 4 O a r 9 1 u H L a v 0 2 4 F P M I M t 9 V p t 2 r f n 9 9 b 6 7 R b t X / P e f Z 1 2 s 3 E j M z v R u D v O b O + 6 r p V + / e c X F 9 n 3 a r 9 + 0 6 u a 3 7 Q V V b v n e n a 3 7 9 Z X d l e Q n W 1 / 5 4 d D K s r 7 e B W 6 u r G t h 4 r 3 9 j W Y 2 M z y F u q K 9 N 8 9 9 M H 4 x 2 l x E 3 K 6 t b v e A x 9 G 7 R 8 V X X j k H 1 V d S v g E U a 4 r a q 6 V f v + 3 N 5 a V d 2 q / X v O s a + q b i Z m Z H Y 3 A n / P m f V V 1 a 3 a v + f k + q r q V u 3 f d 3 J d 8 4 e + q v q U V N X r 9 4 0 e P 9 2 5 W V X Z X g J V 9 a n i e O s O h l W V 6 W D T q D 2 O v k 1 z j 6 F N 8 9 2 d + w e 7 D 8 Z m M e E m 3 f U + r 3 n s b V 7 b J 2 / 6 0 9 u p M N s T R a C 3 z c 2 / D 3 a + K v P f e 3 h / / O n G 9 y K c t p E x I z x z W 6 1 2 q / b v y Q O + V r t V + 8 j s 3 1 a r v R d d I 3 O / T Y t L G q r c q O T M O z e 8 4 u u 5 2 7 7 y n j N u V N 3 7 d P G + k 2 6 b 3 9 v p a r u z F x J G 3 k 4 R 7 d 6 o 6 V w P o a b b f c 8 O B j W d 7 e B 2 m u 5 W z R 2 T 3 6 q 5 4 / F b N X c s b p u T o 3 V w O 8 1 2 6 1 c c c 9 8 K K U + h m f Z o d 6 M W u x 3 w C D / c U o v d r v 1 7 z q + n x W 7 X / j 1 n 2 N N i t y B m Z H I 3 A n / P m f V 0 1 u 3 a v + f k e g r r d u 3 f d 3 J d 8 9 2 u t j I 5 r 5 N v n / 7 E 7 R T K 3 s 0 a y / Y S a i z N 2 d y 6 g 2 G N Z T r Y N G q P o 2 / T 3 G P o 2 z T 3 + P k 2 z T 1 2 N s 3 3 H t 7 f G d + / n c o y 7 + z u P 7 g / 3 t v 0 k s f a t 8 H L V 1 q m / f b N v f j q 6 1 b d R J j j t u r r V u 3 f c 7 J 9 9 X W r 9 u 8 5 3 b 7 6 e h + y f q 0 p 9 9 X Z e 3 T m a 7 X b j M n X a r d H z t d t t + o l M v M 3 9 + K h t t f V c O + d K I O b f J O G s 7 2 E G m 7 / P T s Y 1 n D a w b D R 8 z j + x r Y e t 9 / Y 1 u N 0 M 8 h b K j b T f G / n Y H x w O 7 1 2 2 1 c 8 D r 8 N U r 5 W u 3 H A v i 6 7 F f A I G 9 x W l 9 2 q f X 9 m b 6 3 L b t X + P W f Y 1 2 U 3 E z M y u R u B v + f M + k r r V u 3 f c 3 J 9 d X W r 9 u 8 7 u a 7 5 v Z 6 i e v E m / f z 4 x f H T 2 8 a O 9 2 / W U 7 a T U E + p L r 1 1 B 8 N 6 S j u 4 l Z 6 6 s a 3 H y T e 2 9 b j Y D P K W e s o 0 v y E n 4 H H y L d / w e P k 2 K P l a 6 s b h + l r q V s A j T H B b L X W r 9 v 1 5 v b W W u l X 7 9 5 x f X 0 v d T M z I 3 N 5 W S 9 2 m v a + l b t X + P S f X 1 1 K 3 a v + + k + u a 7 / t a 6 g H l 8 o / f N 5 n / Y O d m N W V 7 C d T U A 8 X x 1 h 0 M q y n T w a Z R e x x 9 m + Y e Q 5 v m B 5 / u H T w 8 2 P C O x 9 S 3 f s d j b P P O w 0 9 v n e w y r + z S O 7 d c i b w 9 a r 4 G 8 1 5 6 + P D B e H f j e x E G u 6 0 y u 1 X 7 9 5 x 5 X 5 n d q n 1 k 7 m + r z G 7 V P j L n t 6 J r Z O K 3 H z 6 8 4 a X I z N / 0 j q / g b v 3 O e 0 6 6 r + R u 3 c f 7 T r x r f r + j 6 N 4 v j / 9 g 9 2 Y l Z 3 s I l d z u e 3 Y w r O R M B 7 d U c r d p 7 j H 6 b Z p 7 f H 6 b 5 h 6 b m + a 7 n + 6 P H + z d T r f d + h 2 P w 2 + D l q / W t D 3 a 3 a z L b g U 8 w h G 3 1 W W 3 a v + e M + z r s l u 1 f 8 8 5 9 n X Z z c S M z O 5 G 4 O 8 5 s 7 7 e u l X 7 9 5 x c X 2 f d q v 3 7 T q 5 r / m l P X 7 1 v n u v B / s 0 6 y / Y S 6 q z 9 9 + x g W G d p B 8 M s 4 b H z j W 0 9 V r 6 x r c f G Z p C 3 V F W m + f 7 e 7 n h n k z X y m P n W 7 3 g M f R u 0 f F V 1 4 5 B 9 V X U r 4 B F G u K 2 q u l X 7 / t z e W l X d o n 2 g q m 7 V v j / J t 1 N V t w L + n j P r q 6 p b t X / P y f V V 1 a 3 a v + / k u u Y P f F V 1 8 H V i y I O d m 1 W V 7 S V Q V Q e K 4 6 0 7 G F Z V p o N N o / Y 4 + j b N P Y Y 2 z f d 2 7 j 8 k d + b + h r c 8 t n 6 P t z z m N m 9 9 + u D W c a R 5 Z X e P l m J u q c D e A z l f j 7 n X P r 2 / N 4 Z Q D r 8 W 4 b L b a r R b t X / P 6 f c 1 2 q 3 a R x h g Y / v I 1 N 9 W o 7 0 P W S M T v 3 3 / w X h / k 5 P t K z j z 0 k 3 v + E r u 1 u + 8 5 5 z 7 i u 7 W f b z v v L v m B x 1 l 9 3 5 x 5 M E t 4 k j b Q 6 j o b h d H u g 6 G F Z 3 p 4 J a K 7 j b N P T 6 / T X O P z W / T 3 O N y 0 / z h w 8 2 Z A o / D b / u K x 9 + 3 Q c p X a d o e 7 W 5 W Z L c C H u G H 2 y q y W 7 V / z / n 1 F d m t 2 r / n D P u K 7 G Z i R i Z 3 I / D 3 n F l f a 9 2 q / X t O r q + x b t X + f S f X N X / Y 1 V a n o q z S N 6 9 u p 0 7 u 3 a y v b B + h v r r 3 n h 0 M 6 y v t Y J g h P G a + s a 3 H y D e 2 9 Z j Y D H I T 3 T 0 e N s 3 v 7 Y 4 3 u U U e I 9 / y D Y + V b 4 O S r 6 R u H K 6 v p G 4 F P M I E t 1 V S t 2 r f n 9 d b K 6 l b t X / P + f W V 1 M 3 E j M z t b Z X U b d r 7 S u p W 7 d 9 z c n 0 l d a v 2 7 z u 5 t v n + T l d J v X e q 6 2 D / R j X l e g n V 1 P 5 7 d j C o p k w H t 1 F T N 7 d 1 r H x z W 8 f G d p C 3 U 1 O 2 + d 7 u w / H O p 7 d S V L d / x z H 0 r d D y V N X N Q / Z U 1 e 2 A R x j h l q r q d u 3 7 c 3 t b V X W 7 9 u 8 5 x 5 6 q u g U x I 7 O 7 E f h 7 z q y n q m 7 X / j 0 n 1 1 N V t 2 v / v p P r m u / 2 V N W L N + n n x y + O n 9 4 2 A L x / s 6 a y n Y S a S t 2 C W 3 c w r K m 0 g 1 t p q h v b e p x 8 Y 1 u P i 8 0 g N x H e Y 2 L T / N 6 n 4 / v 7 t 1 N U t 3 3 F 4 + b b I O X r q R s H 7 O u p W w G P s M F t 9 d S t 2 v d n 9 t Z 6 6 l b t 3 3 O G f T 1 1 M z E j k 3 t b P X W b 9 r 6 e u l X 7 9 5 x c X 0 / d q v 3 7 T q 5 r v u f r q Y d f J y X / c O d m R W V 7 C R T V Q 8 X x 1 h 0 M K y r T w a Z R e x x 9 m + Y e Q 9 + m u c f P t 2 n u s b N p / p A S 6 p t y k R 5 T m 1 f u 3 9 s / 2 N v f n M L 0 e P s 2 i P l a y + v m w d 7 D 8 c a k b 4 S n b q u / b t X + P S f b 1 1 + 3 a v + e 0 + 3 r r 1 u 1 j 0 z 4 b c g a m f T t 2 7 w X m f V b v O Y r t v d 5 7 T 0 n 3 9 d v 7 9 P N + / K A a 3 6 v o + b e L x n / c P d m F W d 7 C F X c 7 n t 2 M K z i t I N h q + d x / I 1 t P W 6 / s a 3 H 6 W a Q t 9 R s p v m 9 g 4 c P d + 6 N 9 2 + n 3 N 7 j L Y / L N 6 A W 1 W 0 3 D t v X a L c C H m G G 2 2 q 0 W 7 X v z + + t N d q t 2 r / n P P s a 7 W Z i R u Z 3 I / D 3 n F l f c d 2 q / X t O r q + x b t X + f S f X N d / v q i q T i T / 5 9 u l P 3 E 6 b 7 N 2 s r m w v o b p S 9 X v r D o b V l X Z w K 3 V 1 Y 1 u P l W 9 s 6 7 G x G e Q t 1 Z V p z o p n 7 7 b q 6 j 3 e 8 p j 6 N q j 5 6 u r G Y f v q 6 l b A I 8 x w W 3 V 1 q / b 9 + b 2 1 u r p V + / e c Z 1 9 d 3 U z M y P z e V l 3 d p r 2 v r m 7 V / j 0 n 1 1 d X t 2 r / v p P r m t 8 f U l e 3 X D h 8 e O 9 m Z W X 7 C J X V v f f s Y F h Z a Q e 3 U l Y 3 t v U Y + c a 2 H h O b Q d 5 S W Z n m e w c P P 3 3 w Y H x v k + P s c f P 7 v O Y x 9 W 2 Q 8 9 X V j Q P 3 1 d W t g E f Y 4 b b q 6 l b t + z N 8 a 3 V 1 q / b v O d O + u r q Z m J E J v q 2 6 u k 1 7 X 1 3 d q v 1 7 T q 6 v r m 7 V / n 0 n 1 z X / t K u u 3 n s J 8 e H + z Q r L 9 h I q r P 3 3 7 G B Y Y W k H t 1 J Y N 7 b 1 W P n G t h 4 b m 0 H e U m G Z 5 r u f 3 h 8 / u K W 2 u v U 7 H k P f B i 1 f V d 0 4 Z F 9 V 3 Q p 4 h B F u q 6 p u 1 b 4 / t 7 d W V b d q / 5 5 z 7 K u q m 4 k Z m d 3 b q q r b t P d V 1 a 3 a v + f k + q r q V u 3 f d 3 J d 8 w c 9 V f W e S 4 g P 7 9 + s q W w n o a a 6 / 5 4 d D G s q 0 8 G m Q X s M f Z v m H j / f p r n H z r d p 7 n G z a b 5 7 c D C G X z z 4 j s f U t 3 7 H Y + z b o O W r L G 1 / O 5 V 1 K + A R j r i t y r p V + / e c Y V 9 l 3 a r 9 e 8 6 x r 7 J u J m Z k d m + r s m 7 T 3 l d Z t 2 r / n p P r q 6 x b t X / f y X X N D z y V t b v z N V Y T S a n c r L N s L 7 7 O 4 j f f q 4 N h n W U 6 2 B s b R X i T 2 j J v 3 F J t 2 Q 7 u 7 X y 6 e c 3 D Y 2 z / p U / H e 5 s w 8 9 j b v P V g f P / T 2 2 k w 8 8 b B v f H 9 W / p c 7 4 G a r 8 f c a 7 v 7 e 2 P w 9 f B r E S 6 7 Y X p 8 p W Z e 2 b 7 p n Q g X 3 F a x 3 R a t C B / c V r f d t o v I / N + G x h E m 2 H 5 w f / x w E + P 4 2 s 7 y 2 g 3 v + B r v 1 u 9 E G G A T 2 X y t d + s + 3 n f 2 X f O H H c 3 3 3 n H l 7 s 7 + z Z r P 9 h J q v v 3 3 7 G B Y 8 2 k H w 8 b Q 4 / c b 2 3 q M f m N b j 8 n N I D d R 3 m N w 0 3 z 3 0 w d j Q 4 m b V N y t 3 / G Y + z Z o + c r t x i H 7 K u 1 W w C O M s L F 9 f 1 5 v r c t u 1 b 4 / v 7 d W Z L d q 3 5 / k D c S M z O 5 G 4 O 8 5 s 7 7 K u l X 7 9 5 x c X 1 3 d q v 3 7 T q 5 t f n + n p 6 r e L 6 7 c 3 b k 5 r n S d h J r q V n G l 1 8 G g p r I d k E r f M G x m 6 f d 5 w f G 0 f W E T W R 1 L 3 6 q 5 4 2 j b f P f + e H e T l + X 4 + t a v O N a + F V K e 0 j L t b 6 W 0 b g c 8 w h O 3 V F q 3 a x + Z 4 Y 3 t 3 3 O C P a V 1 u / b 9 K b 6 V 0 r o d 8 P e c W U 9 p 3 a 7 9 e 0 6 u p 7 R u 1 / 5 9 J 9 c 1 3 / W V 1 u 7 X 8 a / A K T d p L d t L o L X w 5 n t 1 M K y 1 T A e b R u 1 x 9 G 2 a e w x 9 m + Y e P 9 + m u c f O p j m F 0 P f H 9 z 6 9 n c 6 6 / U s e b 9 8 G M V 9 r a f v b a a 1 b A Y / w x G 2 1 1 q 3 a v + c c + 1 r r V u 3 f c 5 Z 9 r X U z M S P T e 1 u t d Z v 2 v t a 6 V f v 3 n F x f a 9 2 q / f t O r m u + 5 2 u t / a + T D 9 v f u V l r 2 V 4 C r b W v O N 6 6 g 2 G t Z T r Y f z i G s z k 4 c o + r z S u 3 1 F y m + b 2 D B / u 7 B + N 7 t 0 u J + a / d + / R g f H D v d p r s N s h 5 T G 6 a P 7 y 3 O X 3 g 8 f n 7 I O Z r M p 8 O n + 6 N H 2 y i t q / U b j t D v m I z 7 2 z f + F K E F W 6 r 3 W 6 N W I Q Z b q v h b t 1 H h A V u R e g I L 2 z f x A y + 1 r s t A / m a 7 9 b v R L j g t t r v 1 n 2 8 L w O 4 5 v c 6 G v D 9 / T Y s o t 2 k A W 0 v o Q b c f 8 8 O h j W g d j B s F D 2 W v 7 G t x + o 3 t v X Y 3 A z y l u 6 a a b 5 7 8 G D 8 c J M + 9 b j 7 1 u 9 4 z H 0 b t H w V d + O Q f b 1 2 K + A R R r i t s 3 a r 9 v 2 5 v b W z d q v 2 7 z n H v h q 7 m Z i R 2 b 2 t s 3 a b 9 r 7 K u l X 7 9 5 x c X 1 3 d q v 3 7 T q 5 r v t 9 T V e + Z F 9 u / R V 7 M d h J q q t v l x V w H w 5 r K d P D w Y P z w Y M P A P a a + 7 S s e X 5 t X N p H W Y 2 t t P s y m H k v f 2 N b j 6 B v b e t x 8 Y 1 t f S d 3 c O M I 4 t 1 V S t 2 o f m d L b K q l b t X / P y f S V 1 K 3 a v 8 + M + k r q 5 s b v M 6 e + e r q 5 c X 9 O N z T u T + i G x v 3 Z 3 D B A 1 / a + r 5 I + / T r x 4 6 c 7 N + s k 2 0 u g k z 7 V 6 b 1 1 B 8 M 6 y X S w i W E 8 / r 1 N c 4 9 9 b f P x z u 7 t 1 N E t 3 / B Y 2 L x B A 7 4 3 N n 7 l T d r J v b R P I e C m C M N j 6 V v i 5 i s r 8 8 q 9 + + P 9 T z e 9 E + G s 2 + q s W 7 V / z y n 3 d d a t 2 s c m / Z Y 6 6 1 b t I x N + I 0 0 j 8 7 2 N l 9 S i 3 6 j C / I 4 2 v e N r s l u / 8 5 4 T 7 u u 0 W / f x v p P u m n / a 0 W 7 k c H 3 + 6 v T 1 L b 2 t T 3 d v 1 m y 2 h 1 C z q W D d u o N h z W Y 6 u K V m u 0 1 z j 8 l v 0 9 z j 8 d s 0 9 1 j c N C e 3 c u / W O u 3 2 L 3 k 8 f h v E f I W m 7 T e Y y A g X 3 V a T 3 a r 9 e 0 6 x r 8 l u 1 f 4 9 J 9 n X Z L d q 3 5 / m D c S M T O 9 G 4 O 8 5 s 7 7 m u l X 7 9 5 x c X 2 t F 2 2 / Q W L d p 7 6 H z o K u x T k V h p W 9 e 3 U 6 l 3 L t Z Z 9 k + Q p 1 1 7 z 0 7 G N Z Z 2 s E w Q 3 j M f G N b j 5 F v b O s x s R n k L V W V a b 5 3 b 2 + z W + S x 8 q 3 f 8 d j 5 N m j 5 i u r G I f u K 6 l b A I 4 x w W 0 V 1 q / b 9 u b 2 1 o r p V + / e c Y 1 9 R 3 U z M y O z e V l H d p r 2 v q G 7 V / j 0 n 1 1 d U t 2 r / v p P r m h 9 0 F d V 7 p 9 0 / 3 b 9 Z V d l e Q l W 1 / 5 4 d D K s q 7 e B W q u r G t h 4 r 3 9 j W Y 2 M z y F u q K t M c v 4 4 f H N x O V 9 3 + J Y + l b 4 O Y r 6 x u H L S v r G 4 F P M I K t 1 V W t 2 r f n 9 1 b K 6 t b t X / P W f a V 1 c 3 E j E z v R u D v O b O + s r p V + / e c X F 9 Z 3 a r 9 + 0 6 u a / 6 w p 6 z e M / H + 6 f 2 b d Z X t J N R V G t r e u o N h X a U d 3 E p X 3 d j W 4 + Q b 2 3 p c b A a 5 i f A e E 5 v m e 5 / e O v 6 7 7 S s e N 9 8 G K V 9 P 3 T h g X 0 / d C n i E D W 6 r p 2 7 V v j + z t 9 Z T t 2 r / n j P s 6 6 m b i R m Z 3 N v q q d u 0 9 / X U r d q / 5 + T 6 e u p W 7 d 9 3 c m 3 z T 3 c 8 P b W 3 + z W y 8 X t g 8 x s U l e v F V 1 T 8 5 n t 1 M K i o b A d 7 D x / s P q A 0 s 0 a W N + g s / 7 U d v L Y p K e g Y 3 L 5 2 b 2 d 3 Z 2 d 8 b 9 N b j s 2 9 t 3 b w 1 o N b 6 T P 7 1 s O D e / s 7 l K f f u 5 V O c 6 8 9 2 L 9 3 j 0 Z 2 O 7 3 2 P j h 6 6 s 3 R c e c h K d G H D z e 9 F m G + h w 8 3 L 9 J 6 y s 6 + s 3 3 j S x H 2 u K X G u z 1 i E a b Y 2 E e E H W 7 s I 8 I M t 6 F z j B l 2 H t w b 3 9 v Y W Y Q X t m 9 + z V O I t 6 K D p x D f A z l P L d 6 u l w g H 3 N y L h 9 p u R z m + V z J / D 5 x + k 2 K 0 P Y S K c f c 9 O x h W j K a D T + / v k P 4 Y 7 3 x 6 O 8 X 4 P q 9 5 M m B e 2 z Q r n g j c p r n H / a b 5 7 s G 9 + w e f 3 h 8 f b F J q H v u / 1 3 u e A N w G P V 8 L a n u 0 u 1 n 3 3 Q p 4 h F M 2 t o 9 M / G 1 V 3 q 3 a v + d U + + r u V u 3 7 k 7 2 B m J E Z 3 g j 8 P W f W 1 2 m 3 a v + e k + t r s 1 u 1 f 9 / J d c 3 3 u n r s / V L 8 e + C r m z S Z 7 S P U Z L d K 8 X s d D G s y 0 8 H + / q f 3 H m z y g j y m v v U 7 H m O b d 2 6 p w 2 7 T 3 G N r 0 3 z 3 4 e 7 e v Y N N a t V j 7 9 u / 5 P H 4 b R D z t Z e 2 v 5 3 2 u h X w C H f c V n v d q n 1 k o m + r v W 7 V / j 1 n 2 d d e N x M z M r 2 3 1 V 6 3 a e 9 r r 1 u 1 f 8 / J 9 b X X r d q / 7 + S 6 5 v e 6 2 u t 9 8 / 5 7 4 J S b 9 J f t J d R f + + / Z w b D + M h 3 c u 7 8 / f r h J h j 2 2 v v U 7 H m u b d 2 6 p v 2 7 T 3 G N s i 9 H e v f 3 x z s H t 9 N f t X / K 4 / D a I + f p L 2 9 9 O f 9 0 K e I Q 7 b q u / b t U + M t G 3 1 V / 3 b t P + P W f Z 1 1 8 3 E z M y v b f V X 7 d p 7 + u v W 7 V / z 8 n 1 9 d e t 2 r / v 5 L r m + 7 7 + 2 v s 6 K T Y Q 4 y b 9 Z X s J 9 N e e 4 n j r D o b 1 l + n g w a f 3 d j 6 l 5 N B t f T D 7 3 v 3 9 g 5 2 9 e + O H t / T D z H u 7 + w / v P 9 g b H + z e T p + Z 1 z 7 9 9 O H D T 8 c 7 m 9 7 y + N 2 8 d X / 3 4 O D + p w / H D + 7 d T r O 5 9 z 7 d P d j b H d / W O X s P L H 0 d Z 1 7 b 3 9 n b P x g b 4 3 S j t j O v H e z d f / D p e J P + 9 X W e e W v 7 F q 9 F + O S 2 q u 8 9 k I t w x 2 0 V 4 H v 0 E m G L 2 9 A 7 w h V 7 n z 7 Y f z A + 2 J h F j T D F 9 i 3 e 8 / X j b W j h 6 8 f 3 Q M 9 X k 7 f q J s I I t + j G Q + 5 + R 1 u + X 8 4 N w 7 x J U 9 o e Q k 2 p M n j r D o Y 1 p e m A N M L + z q d Q e b f T l P a 9 + / v 3 P n 1 A C d 7 7 m 2 j m C Y N 5 c X v 3 / s O H m 6 b H E w j 7 z t 7 B 7 s O D g w f j e 5 t U n i c T 5 s X 9 f Z r i e 5 t E w p M I 8 9 K D P T I f p C c 3 d u a J x P t h 6 a t K f R P t b l a Q p p u 9 g 5 1 7 B w 9 v 6 i X C S 9 u 3 e z P C J L d V k + + H Y o Q 5 b q s p 3 6 + j P m N s o H i E I W 4 5 s R G W u N W L v p p 8 v x c j 3 H F b f / L 9 O n p f n n D N P + 2 q y v d M 6 6 H r m 5 S l 7 S N U l j q i W 3 c w r C x N B 7 v 3 k d 3 6 d J N l 9 q T h P d 7 y R M G 8 d U s V e Z v m H v 9 b n H b u 3 X 9 w / 7 a L E + / x l i c E t 0 H N 1 4 b a / n b a 8 F b A I z y y s X 1 k y m + r + m 7 V / j 2 n 2 d d 4 t 2 r f n + j b K b p b A X / P m f W 1 2 q 3 a v + f k + s r s V u 3 f d 3 J d 8 w d d H f b e y b 2 9 / Z u 1 m O 0 l 1 G I q b L f u Y F i L m Q 7 2 9 w 7 G O 5 t k 2 G P r W 7 / j s b Z 5 5 5 Y a 7 D b N P c Y 2 z e / d 2 7 u / O b 7 3 G P z 2 L 3 l c f h v E f P 2 l 7 W + n v 2 4 F P M I d t 9 V f t 2 o f m e j b 6 q 9 b t X / P W f b 1 1 8 3 E j E z v b f X X b d r 7 + u t W 7 d 9 z c n 3 9 d a v 2 7 z u 5 r v m B r 7 / u f Z 3 k 3 r 2 d m / W X 7 S X Q X / c U x 1 t 3 M K y / T A c U q 5 M b Q v H Z / d v p M P v e g 3 2 K d h + O H 2 4 K d T 0 W N + / d U o + Z 5 p 9 S + u Z g j M z C 4 F s e n 1 v k d o g S 9 y j t s 3 E J x e N 5 7 0 W K x A 9 u v 2 b x H n j 6 2 s 2 8 9 v A h x Q D j B 5 u w 9 P W c e W 3 7 N t 1 F u O k 2 r 0 V 4 5 D a v R V j k t t r v f b q J s M j G b i L M c R u a R 1 h j + 9 7 u v Z 0 H 4 9 1 N 9 s 5 X i + a 9 W 7 z m a 8 f 3 e S 3 C G Z u I 4 S v J 9 + k m w h E b a e 6 a P + z o y v d L 7 d 2 7 R W r P 9 h D q y d u l 9 l w H w 3 r S d L B 7 s H N / d / / g 3 v j g l r k 9 9 + J D c p T u P d z s K X n i Y F 7 c 3 v 1 0 / 9 O 9 8 c a E m y c O 5 r W D T + / v P b w 3 3 t + E p i c V 5 r V 9 C k f 3 7 9 3 7 d L z 3 4 H Y q 0 7 6 4 s / t w b / 8 h L Q / d U m W + D 6 K + z j T v 0 Z L y / q a u f I V p a X l w s P v g / v 3 x w W 3 T f B b J 2 7 w X Y Z d b v R f h l t v q z P f q J 8 I l t 1 W a t y Z 6 h D M O y E P Y v 3 / D B E c Y Y / s 2 L / o 6 8 z a D 8 p X l + y D o K 8 1 b 9 R N j h l v 0 4 9 B 7 s N P V m p z l u 3 2 W D 9 n H G / S m 6 y P U m 7 f L 8 r k O B v W m 7 e A + 8 v + 7 O + N b 5 v n 8 9 w 4 O 7 u 1 t f s 8 J h H 1 v b / f T T X r W i Y J 9 Y / / T j T k 4 J w y u j 4 O 9 B z s P N y 5 r O 3 H w 3 / q U V t J v p y V v i 5 2 n I M 0 r a H e j Z r T w t / f u 7 2 0 a i K c U 3 U h u e C X C B j e 9 E u G A W 6 r C W 3 c R m f p b a s F b U D Y y 3 z f N X G S y t 2 9 4 x 1 N 6 t x q D p / R u i 5 a n 7 2 7 X R W S y b x q 5 e 2 O 3 q + r e O x k I 9 + g m Z W d 7 C Z W d 4 n j r D o a V n e m A n O n 9 n b 3 x / U 9 v p + v e 5 z W P 4 c 1 r m 6 b F Y / b b N P d 4 3 T R / u H P / 4 f 7 D 8 c E m f e V x / f u 8 5 n H + b Z D z d Z y 2 v 5 2 O u x X w C J 9 s b B + Z 9 o 3 t I / N 9 W 8 1 2 q / b v O d O + W r u Z m J E J 3 g j 8 P W f W 1 2 e 3 a v + e k + s r s 1 u 1 f 9 / J d c 3 3 f E 2 2 / 3 X S g v s 7 N 2 s y 2 0 u g y f Y V x 1 t 3 M K z J T A e b R u 1 x 9 G 2 a e w x 9 m + Y e P 9 + m u c f O p v n + 3 v 3 9 + 3 v j j f G K x 9 j 2 t f 1 P 9 w / u j z e 6 j x 5 / 3 w Y 5 X 3 O Z 9 n s U a N 8 b Q y 0 M v x b h q 9 v q s F u 1 f 8 8 J 9 3 X Y r d q / 5 5 T 7 O u x W 7 S O T f h u y R i Z 9 + z b v R W b 9 F q / 5 y u 1 9 X n v P y f d 1 3 P t 0 8 7 4 8 4 J r f 6 6 i 6 9 8 v q 7 e / e r O Z s D 6 G a 2 3 3 P D o b V n O n g l m r u N s 0 9 n j f N t z e 6 w R 7 T 3 + 4 F j + v N C / f 2 a L H 6 l n r O e 4 c S k r d T c r d D z F d z + g b a 3 a z c b k N X X 7 n d q v 1 7 T r O v 3 G 7 V P j L R t 1 V u t 2 r f n + Y N x I z M 7 w 1 z F Z n d W 8 e c t 3 v h P S f Y V 2 C 3 6 + B 9 Z 9 g 1 3 + + q r v d M r e 3 f u 1 l 5 2 T 5 C 5 X X v P T s Y V l 6 m g 1 s q r 9 s 0 9 3 j 6 N s 0 9 l r 5 N c 4 + j T f N 7 D + 8 9 / P R g v F E P e b z 9 P q 9 5 D H 4 b 5 H z l p e 1 v p 7 x u B T z C F 7 d V X r d q / 5 7 z 7 C u v W 7 V / z 5 n 2 l d f N x I x M 8 E b g 7 z m z v u a 6 V f v 3 n F x f c d 2 q / f t O r m t + v 6 u 3 3 j t P t r 9 / s + a y v Y S a a / 8 9 O x j W X K a D v b 3 x j k K 9 S X u Z V / b 3 x x t T 5 x 5 j m 1 d u q c F u i 5 T H 2 u a V 3 f 1 7 B + N N 7 3 g c 7 t 7 Z / X R 8 7 9 P b K b D b 4 u Y r M X 3 n d k r M d L B 9 Y w 8 R P r n x n a 8 x 9 b 5 G u 8 1 E + h r t 1 n 1 E Z v + 2 W u 1 m 6 k b m / E a E I l N + 4 4 z 4 6 u 0 2 o / D V 2 2 0 R 8 1 X c r f r 4 O j P u X v n U V 3 P 3 S c 2 9 f t 8 k 2 v 2 d m 9 W c 7 S V Q c / d 1 X L f u Y F j N m Q 4 2 U c p j 8 9 s 0 9 7 j 8 N s 0 9 B r 9 N c 4 + / b 9 P c 4 3 D T / P 6 n e 7 v j h x q g 3 6 T V b t O H r 9 F u 3 4 m v 2 m 7 V S 4 Q t N r Z / z 1 n 2 t d m t 2 g / P 8 4 2 a 7 F b w I z N 9 C 6 p G J n z 7 F q 9 F p v z m t 3 y 1 9 h 5 v v e f E + 4 r t P X p 5 3 + l 3 z R 9 0 V d t 7 R p 7 3 b x F 5 2 j 5 C x X a 7 y N N 1 M K z Y T A e 3 V G y 3 a e 4 x / G 2 a e / x + m + Y e u 5 v m N N z 9 e + O D W w a e 7 / G W x + 2 3 Q c 1 X c N o e 7 W 7 W a 7 c C H u G K 2 + q 1 W 7 V / z 1 n 2 9 d q t 2 r / n P P t 6 7 W Z i R u Z 3 I / D 3 n F l f g 9 2 q / X t O r q + 7 b t X + f S f X N T / w t d a n X 8 c h + 3 T n Z r 1 l e w n 0 1 q e K 4 6 0 7 G N Z b p o N b 6 q 3 b N P c Y + j b N P X 6 + T X O P n W / T 3 G N o 0 / x m Y + Z x 9 W 3 6 8 P X V 7 T v x F d e t e o m w x c b 2 7 z n L v u K 6 V f v 3 n G d f c d 2 q f W S m b 0 H V y I S / p 0 N 2 + 8 5 8 d f Y e b 7 3 n x P t K 7 T 1 6 e d / p d 8 0 f d l X b e z p k n 9 7 C I b N 9 h I r t d g 6 Z 6 2 B Y s Z k O b q a U x / e 3 f 8 l j f v P S J u p 6 v H + b 5 h 7 r 3 x 4 l j / N v / 5 L H 9 7 d B z F d 1 2 h 7 t b t Z w t w I e 4 Y / b a r h b t Y / M 9 G 0 1 3 K 3 a v + c s + x r u Z m J G p n c j 8 P e c W V + X 3 a r 9 e 0 6 u r 8 V u 1 f 5 9 J 9 c 2 P 9 j x 9 d e D r + O a P d i 5 U Y O 5 X g I N 9 k B x v H U H g x r M d r C 3 S 6 n 0 v Y N b a T D 3 0 o O N C 8 W O s 9 0 b e 7 s P x z u q g G 9 Q Y u 6 l g 0 / 3 x 8 h n D r 7 k e N w b 0 I P 7 Y / j b g y 8 5 X r c v 3 d t 7 + G B 8 b 1 N P j u H f A z 1 P o b m u H h 7 Q O s Q m S n i a z b 6 1 / e k + j W p T G O z p N / v W z S 9 F O O L m l y I c c U t N 9 x 6 d R P j h l u r u f U g d 4 Y V t S N H 4 / i a R 8 N S f f e 3 m t z w l + D 5 v R b h h E y E 8 V f g + v U Q Y Y S O 5 X f P d r k I 8 e y E e 3 e 1 0 1 e 7 N y t D 2 E C p D 9 T x u 3 c G w M j Q d f P r w 0 9 s p w t u 9 4 P G 9 e W E T T T 2 O v 0 1 z j + F N 8 4 c P 7 4 / v 3 S 7 D d v t 3 P F 6 / D V q + z t P 2 a H e z q r s V 8 A h X b G w f m e S N 7 S N z f F v V d q v 2 7 z n H v l a 7 m Z i R 2 d 0 I / D 1 n 1 t d f t 2 r / n p P r a 6 5 b t X / f y X X N 9 7 o 6 6 z 2 D 0 A c 3 B 6 G u j 1 B r 3 S 4 I d R 0 M a y 3 T w b 3 d n Z 3 x p 7 f U X L d / y W N t 8 9 I t t Z c 2 H + Z U j 6 t v b O s x 9 Y 1 t P Y a + s a 2 v p 2 5 u H O G d 2 + q p W 7 W P T O t t 9 d S t 2 r / n Z P p 6 6 l b t 3 2 d G f T 1 1 c + P 3 m V N f Q 9 3 c u D + n G x r 3 J 3 R D 4 / 5 s b h i g a 3 u v q 5 X O f v I 4 / X 3 S k y + / O H t 9 d j u 1 s X + z X r K 9 h H p p / z 0 7 G N Z L p o M H u w 8 3 + R U e C 9 / y D Y + J z R u 3 1 E i 3 a e 6 x s G l + / 9 P 7 D 2 7 t U N 3 + J Y + l b 4 O Y r 6 m 0 / e 0 0 1 a 2 A R z j j t p r q V u 0 j 0 3 x b T X W r 9 u 8 5 y 7 6 m u p m Y k e m 9 r U d 1 m / a + v r p V + / e c X F 9 r 3 a r 9 + 0 6 u a 7 7 f 0 1 0 v 3 q S f H 7 8 4 f n r b Q P D + z a r L d h K q L k 3 B 3 L q D Y d V l O o B z d P / T 2 y m v W 7 / j c b Z 5 5 5 b q 6 z b N P b 6 2 G O 3 u j T 9 9 e D v t d e t 3 P B a / D V q + 8 t L 2 t 1 N e t w I e 4 Y 3 b K q 9 b t Y 9 M 8 2 2 V 1 6 3 a v + c c + 8 r r Z m J G Z v e 2 y u s 2 7 X 3 l d a v 2 7 z m 5 v v K 6 V f v 3 n V z X / L 6 v v A 6 + T k 4 f S b O b t J f t J d B e B 4 r j r T s Y 1 l 6 m g 7 2 d + + N b K i / z y i Z C e U x t m u / u 7 9 3 b 3 5 z A 9 V j b v b W z 9 3 C 8 u + k t j 8 H N W / d 2 D n Y + H Z v F 2 5 v 0 m H 1 r 7 + D e w f 7 + e P e W u u w 9 c P R V m u v u 0 w c 7 n x K a B 5 t e j L D c T X P l q z j z z v a N L 0 W Y 4 r Z 6 7 t a I R d j i t r r u 1 n 3 E 2 O F W l I 5 w x P a 9 v f v 3 d u 4 9 2 G y k f S 3 o u r z F i 7 4 6 f L 8 X I 1 x x W 7 3 4 f h 2 9 L 1 e 4 5 p 9 2 F e R 7 5 f i R n b t J O d o e Q u W 4 + 5 4 d D C t H 0 8 H u w a 0 9 u 9 u + 4 k m C e W U T X T 1 B u E 1 z T w Z M 8 3 s H 9 x / c G 9 / S s 7 v 9 S x 7 r 3 w Y x X w 9 q e 7 S 7 W f f d C n i E N z a 2 j 0 z 1 b V X e r d q / 5 y T 7 6 u 5 W 7 f v T v I G Y k e n d C P w 9 Z 9 b X Z b d q / 5 6 T 6 6 u w W 7 V / 3 8 l 1 z R 9 0 N Z f J 9 J 9 8 + / Q n b q d c 9 m 7 W X r a X U H u p F 3 H r D o a 1 l 3 Y w z B I e O 9 / Y 1 m P l G 9 t 6 b G w G e U t l Z Z r v 3 a P n A S 3 E 7 9 9 O X 5 n 3 d n c / / f T T g 4 M x J G P w P Y + x b 4 O e r 7 J M + + 1 b d e T r r 1 v 1 F O G O 2 + q v W 7 X v T / i t 9 d e t 2 r / n x P v 6 6 z 0 p + 3 X n 3 t d q 7 9 e l r 9 9 u M z h f v 7 0 X i r 6 i u 1 V H E S 6 4 V U c e g g d D G u + W a 5 v I / N 2 k 7 2 w f o b 7 T G O 3 W H Q z r O + 3 g V v r u x r Y e 6 9 / Y 1 m N 7 M 8 h b 6 j v T / N P 7 n z 6 4 t / N w v P P p 7 f T d e 7 3 n s f x t 0 P P 1 3 Y 1 D 9 1 X c r Y B H G O K 2 K u 5 W 7 f t z f G s V d 6 v 2 7 z n X v o q 7 m Z i R G d 4 I / D 1 n 1 l d h t 2 r / n p P r a 6 5 b t X / f y X X N H 3 Y V 1 n s v e y L f d 5 P K s r 2 E K m v / P T s Y V l n a w a 1 U 1 o 1 t P V a + s a 3 H x m a Q m y j v c b F p f m 9 / d / z p L Z c 5 b / 2 O x 9 C 3 Q c t X V T c O 2 V d V t w I e Y Y T b q q p b t e / P 7 a 1 V 1 a 3 a v + c c + 6 r q Z m J G Z v e 2 q u o 2 7 X 1 V d a v 2 7 z m 5 v q q 6 V f v 3 m l x f V T 3 c 6 a m q 9 1 z l R O L t B k 3 l O g k 1 1 f 3 3 7 G B Q U 9 k O 9 n c O x p + q A r x B Y 9 3 + H c f Z 9 p 1 N k + E Y + 1 b N H V / b 5 n t 7 D + 9 / O t 7 7 9 F b q 6 3 3 e c m x + K 9 Q 8 B W b a 3 0 q B 3 Q 5 4 h D 9 u q c B u 1 z 4 y 1 b d U Y L d r / 5 7 z 7 C m w W x A z M r 8 b g b / n z H o K 7 H b t 3 3 N y P Q V 2 u / b v O 7 m u + a 6 v w B 5 + n Z V O 9 H i T B r O 9 B B r s o e J 4 6 w 6 G N Z j p Y H f / A a 0 g b Q q M P b 4 2 L 2 0 i l c f W t o 9 P d x 7 c f z g 2 S x E 3 a T H 7 2 v 2 H 5 D a O I V i D r 3 l M b l / b + 3 R 3 b 2 e 8 r 9 r + J n V m X t u 7 d 0 C v H d y / t U Z 7 H z R 9 z e Z 1 u H 9 / b / 9 g / H A T p r 6 a u / 2 c + c r O v L V 9 i 9 c i D H J b n f c e y E V Y 5 L a a 7 z 1 6 i b D G L U k e 4 Y 7 t v X u f H t x / + O n + Z i 7 2 9 a L r 9 D Z v + h r y P d + M c M h t d e V 7 9 v S + 7 O G a 7 3 W 1 5 n s t f 6 K 3 m z S m 7 S H U m D q e W 3 c w r D F N B 5 t G 7 M n D b Z p 7 g n C b 5 p 4 c 3 K a 5 J w C m O Y 3 2 l o u e t 3 7 F 4 / j b I O V r Q m 2 P d j c r v 1 s B j / D D x v b v O b 2 + v r t V + / e c Y F / T 3 a p 9 f 4 o 3 E D M y u R u B v + f M + h r s V u 3 f c 3 J 9 v X W r 9 u 8 7 u a 7 5 v a 6 2 e s 8 F A A C 4 S V / Z P k J 9 d b s F A N f B s L 7 S D o Y Z w m P m G 9 t 6 j H x j W 4 + J z S B v q a Z M 8 / v 3 9 s g X e 3 A w 3 t + / n b J 6 v x c 9 x r 4 N g r 7 K u n H w v s q 6 F f A I S 9 x W Z d 2 q f X + W b 6 2 y b t X + P W f b V 1 k 3 E z M y x b d V W b d p 7 6 u s W 7 V / z 8 n 1 V d a t 2 r / v 5 L r m + 1 2 V 9 d 5 L A A B x k 9 K y v Y R K S 4 X t 1 h 0 M K y 3 t 4 F Z K 6 8 a 2 H i v f 2 N Z j Y z P I W y o t 0 3 x v 9 9 M x D M 3 g O x 4 z 3 / o d j 6 F v g 5 a v q m 4 c s q + q b g U 8 w g i 3 V V W 3 a t + f 2 1 u r q l u 1 f 8 8 5 9 l X V z c S M z O 5 t V d V t 2 v u q 6 l b t 3 3 N y f V V 1 q / b v O 7 m u + f 2 e q n r P J Q B A u E l T 2 U 5 C T X W 7 J Q D X w b C m M h 1 Q 4 9 3 x v f 0 N Q / f Y + v Y v e b x t X t p E X o + 1 b 9 P c 4 2 z T / N 6 9 v f v 3 d 8 b 3 b 6 n B 3 u c 1 j 9 V v g 5 y v x L T 9 7 Z T Y r Y B H e O S 2 S u x W 7 S O z f V s l d q v 2 7 z n T v h K 7 m Z i R C b 6 t E r t N e 1 + J 3 a r 9 e 0 6 u r 8 R u 1 f 5 9 J 9 c 1 / 9 R T Y v d 2 v s Y y w L 2 d n Z u 1 m O 3 F 1 2 L 8 5 n t 1 M K z F T A f 0 w r 3 N K X O P r + 1 L D w 5 u q c L M G w f 7 u + P 9 T S l G j 7 v N O 7 v 3 d y k D 9 e n t t J l F 7 e G D h 7 f W Z b a n 3 U / v 7 x M d 7 m 3 K K 3 s s f 3 s M f Z X m 9 X b v 4 f 7 9 G x L K E Z b b / v Q B K d x N c + U r O f P W z S 9 F 2 O L m l y J s 0 Z W g o H 2 E K W 7 u J M I V t 9 V 5 7 0 f t C F N s 0 5 t 7 + / f u j Q 8 2 o h h j i 9 u 8 6 K v E 9 3 s x w h m 3 1 Y 3 v 1 1 G E L 2 6 p J B 9 0 l e T 7 Z P 3 v 7 d i k / L C C t D 2 E C l I n + d Y d D C t I 0 w G t 8 d 1 O O d 7 u B U 8 M z A u 3 d O 9 u 0 9 z j f 9 N 8 b 3 9 n v H d L f X j r d z y m v w 1 a v h b U 9 m h 3 s + a 7 F f A I V 9 z W s b t V + 8 g c 3 1 b T 3 a r 9 e 8 6 x r + R u J m Z k d m / r 2 N 2 m v a / F b t X + P S f X V 1 6 3 a v + + k + u a H 3 R 1 l s n 9 n 3 z 7 9 C d u p 1 b 2 b t Z b t p d Q b 6 m w 3 b q D Y b 2 l H Q y z h M f O N 7 b 1 W P n G t h 4 b m 0 H e U l W Z 5 n s U U u 4 Y H / c m X W V e g i m 7 v / E l j 6 V v g 5 i v r E z 7 7 Z t 7 8 d X W r b q J M M X G 9 v 0 5 v r X a u l X 7 / l z f W m 3 d q n 1 k w m 9 D 1 q 8 1 5 b 4 a e 4 / O f G 1 2 m z H 5 2 u z 2 y P k 6 7 V a 9 R G b + 5 l 4 8 1 B 4 O a b b b r W r e 2 7 l 3 s 1 6 z f Y R 6 7 d 5 7 d j C s 1 7 S D W + m 1 G 9 t 6 v H 5 j W 4 / P z S A 3 0 d 1 j c 9 P 8 v f T a 7 V / y e P w 2 i P l 6 7 c Z B + 9 r s V s A j r H B b b X a r 9 v 3 Z v b U 2 u 1 X 7 9 5 x l X 5 v d T M z I 9 N 5 W e 9 2 m v a + 2 b t X + P S f X V 1 i 3 a v + + k 2 u a f w p + D 1 X V + 6 5 m 3 t v Z v 0 l Z e b 2 E y m r / P T s Y U l a u g w f 7 e w p 0 s 8 q 6 9 R u W r d 0 b m y h r u f p 2 z S 1 T u + b 3 7 9 G C x a e f 3 k Z 3 v c 9 L l s N v h 5 j T X b b 9 b X T X L Y F H O O N 2 u u u W 7 S P T v L H 9 e 0 6 y 0 1 2 3 b N + f 5 t v o r l s C f 8 + Z d b r r l u 3 f c 3 K d 7 r p l + / e d X N d 8 t 6 e 7 3 m 9 5 8 9 7 O / Z t V l + 0 k V F 2 a x 7 t 1 B 8 O q y 3 R A a 3 s P b 6 e 6 b v m G x 9 X m j U 2 E 9 Z j 6 N s 0 9 n j b N 9 x 7 u P R h / + u B 2 q u v 2 L 3 k M f h v E f N W l 7 W + n u m 4 F P M I Z t 1 V d t 2 o f m e b b q q 5 b t X / P W f Z V 1 8 3 E j E z v b V X X b d r 7 q u t W 7 d 9 z c n 3 V d a v 2 7 z u 5 r v m e r 7 r 2 v s 6 i J o h x k + 6 y v Q S 6 a 0 9 x v H U H w 7 r L d P D p w / v j 2 6 X t 3 T s U b D 0 Y H 9 x S g Z m X d s Z m x e E m H W b e 2 L + 3 u z f + d F N u 3 W N x 8 9 I D h M g H B + P 9 W y o z 9 9 7 e p z s P 7 m 9 e 5 v G 4 / v Z I + l p N 3 7 q d V j N d b E s f m 6 j n K 7 c Q s 4 1 v R f j h F m 9 F O O K 2 i u 4 9 e o k w x G 3 V 3 c 1 U j j D A L S Y y M v 0 6 N 5 t e 8 3 X f b U b i 6 7 7 b I + d r w F v 1 M j j 3 G 0 n g X r r X 1 Y P v t W 6 J Q d 6 k A 2 0 P o Q 5 U r r l 1 B 8 M 6 0 H S w e + 9 g f 7 y z S W F 4 L H / 7 l z y + N y 8 N z k i o A W / T 3 O N 3 i 9 L + z v 0 H D + 8 9 H E N 4 B l / 0 e P / 9 X v T Y / z Y I + n p P 2 9 9 O 7 9 0 K e I R P b u v N 3 a p 9 Z M Z v q + R u 1 f 4 9 Z 9 t X b z c T M z L F t / X m b t P e 1 2 i 3 a v + e k + v r s l u 1 f 9 / J d c 3 3 u 1 r s P f P 9 6 P o m P W b 7 C P X Y v f f s Y F i P m Q 4 e 7 j w 4 G G 9 S 3 x 5 T 3 / o d j 7 H N O 7 f U Y r d p 7 r G 1 a b 6 7 / + n B w 4 P 7 t 1 R h 7 / G W x + W 3 Q c 3 X X 9 r + d v r r V s A j / H F b / X W r 9 p G p v q 3 + u l X 7 9 5 x n X 3 / d T M z I / N 5 W f 9 2 m v a + / b t X + P S f X 1 1 + 3 a v + + k + u a 3 + / q r / d e B E A O / S Y N Z n s J N d j + e 3 Y w r M F M B w / v U U b p d g r s t q 9 4 j G 1 e u a X + u k 1 z j 6 0 t Q g f 3 x 7 c M P m / 7 i s f f t 0 H K 1 1 z a / n a a 6 1 b A I 3 x x W 8 1 1 q / a R O b 6 t 5 r p V + / e c Y V 9 z 3 U z M y O T e V n P d p r 2 v u W 7 V / j 0 n 1 9 d c t 2 r / v p P r m n / a 0 1 z v u Q S w d / 9 m x W U 7 C R W X 5 n h u 3 c G w 4 j I d f L o 5 4 e T x 9 C 3 f 8 L j a v H F L t X W b 5 h 5 P m + Y P H + w c j O / v 3 0 5 x 3 f 4 l j 8 F v g 5 i v u r T 9 7 V T X r Y B H O O O 2 q u t W 7 S P T f F v V d a v 2 7 z n L v u q 6 m Z i R 6 b 2 t 6 r p N e 1 9 1 3 a r 9 e 0 6 u r 7 p u 1 f 5 9 J 9 c 1 f + C r r v 2 v s w S w v 3 O z 7 r K 9 B L p r X 3 G 8 d Q f D u s t 0 s H f v 3 t 7 B 3 v 1 7 B 2 N k A g c J 4 D G 3 f X N v / 9 7 O w Y N 7 e + O 9 W + o y 8 + b D B 3 v 7 l H Q a 7 z + 8 n V I z 7 z 2 4 v 3 P / 4 c P x g 0 0 q x + N 6 8 9 p 9 c q w f 7 u x / O r 5 / S 8 / M v n h / 7 + H B P r 1 4 o O H 6 T U r u f R D 1 l Z 2 + d z t l Z z o 5 e P j g 3 g F R 8 Y E a t B u 1 n n l x + 3 Z v R p j l t v r v / V C M c M h t F e H 7 d d T n j d t p x P e a 1 g g 7 b N / m R V 9 F 3 o Y M v o p 8 H w R 9 V X m r f i J 8 c J t + P P Q O u i r z v V Y L 9 m + x W m B 7 C N X l 7 V Y L X A f D 6 t J 0 s P 8 p a Z K H + w / 3 x g c H t 1 O X 7 s 2 D h z v 3 H j 7 c 3 f y m J w z m z X t 7 D 3 f 2 N i l n T y D M O 7 s H 9 + 6 b x Z K b 9 K R 9 Z 3 f / 4 b 1 7 9 + / d v 7 U n 6 L 1 J L L G z u 3 9 r d / D W e P p q U l + 6 n Z q 0 P e z f v 7 9 x 8 d l X k e a l 7 Z v f i j D H b d X j 7 V G L c M N t V e P t O + m z w u 3 U 4 u 3 n M D L x 2 z e + 5 S v E 2 w z e V 4 i 3 R s 3 X h r f q J D L t N 3 b i I f a w q w r f c 8 l h / x Z L D r a P U B n e b s n B d T C s D E 0 H + / v 7 9 w 5 2 D x 5 s I p j H 9 u / z m s f 4 5 r V N z T 2 + v 0 1 z j + N N 8 9 2 d h z s P 7 + / v f X o 7 z f c + r 3 n c f x v k f I 2 n 7 W + n 8 W 4 F P M I n G 9 t H p v 2 2 a u 5 W 7 d 9 z o n 0 N d 6 v 2 / a m + n X K 7 F f D 3 n F l f o / n t b 6 P R b t X + P S f X V 2 a 3 a e / Q A Y + G e u y 9 l x 7 2 9 2 / U Z K 6 X U J P t v 2 c H g 5 r M d v D g H s W H 9 8 b 3 H 9 5 K k 3 m v k X X d H W 9 6 y / G 3 f e t 2 i s w 2 f 3 h w M L 6 3 e y t t Z t / Z / Z R C 1 / v j e 5 v C I c f s 3 m s U 0 j 8 Y Y x 1 q 8 D X H 8 7 f H 0 F N p 5 q V b q T T b w / b N X U T Y 5 u a X I q x w 8 0 s R R r i l i n u P T i K M c E s 9 d w s K R 6 b + Z o w i E 3 / z t H g q 7 1 b j 8 F T e 7 V H z 9 N 7 t O v l a 0 + 7 e 2 e 0 p v / d c v d i / e f X C d R L q v t u t X r g O h n W f 6 W D / w c O D n d 3 x R g / W Y 3 n 7 2 v 7 O g 9 2 D 8 c N N r 3 m c b 1 6 7 p f I z z b f v P d w 5 2 B t v y r 9 5 n G / e u r + 7 v 0 f p i U 9 v p / 3 M W w 9 3 7 u / u j X c 2 v e X J w H t g 6 K s / f e 1 2 6 s / 0 c Y s u I p x z G 8 w i / L B R z U Q Y 4 R a 9 v C c f + M r v P X r p M 8 L t V O D 7 0 C v C A D e / 5 S v B 9 3 g r w g g b t V q E B W 7 R y / t y g G u + 5 6 v B + 1 9 n J e T + z s 1 6 0 P Y S 6 M H 7 i u O t O x j W g 6 a D e 7 s P x 2 Z x + C Y l a N 4 h 9 + / T g / u b E 6 E e 8 5 v X b q k E v V 7 u f f r p 5 u U S j / n N a 5 / e v 7 9 / c I 9 W d j a i 5 w m C e 3 F / Z 4 8 W a T a T w x O F 9 0 H U V 4 b 6 3 u 2 U o e l k + 1 a 9 R D j o V u 9 F G O N W 7 0 W Y 4 7 Z O 4 X v 1 E 2 G P 2 / q F N 1 M 7 w g u 3 Q i r C C r e a J V 8 x 3 m Y 0 v k p 8 H w R 9 1 X i r f r 4 u F 7 j X 7 n W V 4 3 u t e d z f v V k x 2 h 5 C x b j 7 n h 0 M K 0 b T w S Z K e W x / m + Y e 1 9 + m u c f s t 2 n u 8 b p p v k t L 1 D v 3 2 M 0 f f M 3 j + v d 5 z W P 6 2 y D n 6 z 1 t f z u 9 d y v g E b 7 Y 2 P 4 9 p 9 l X b 7 d q / 5 4 T 7 a u 1 W 7 X v T / X t 1 N q t g L / n z P p a 7 F b t 3 3 N y f e 1 1 q / b v O 7 m u + X 5 X a 7 3 n 8 s T 9 e z f r L d t H q L f u v W c H w 3 r L d L D 3 c J c W Z j Z m 5 z y 2 f o + 3 P O Y 2 b 9 1 S i 9 2 m u c f a p r m q I 6 w 4 D b 7 m M f n 7 v O b x + m 2 Q 8 7 W Y t r + d F r s V 8 A i X 3 F a L 3 a p 9 Z L p v q 8 V u 1 f 4 9 Z 9 r X Y j c T M z L B t 9 V i t 2 n v a 7 F b t X / P y f W 1 2 K 3 a v + / k u u b 3 u 1 r s v R c n 7 u / f r M d s L 6 E e 2 3 / P D o b 1 m O l g 9 2 B 8 / 9 P b K b H b v u I x t n n l l h r s N s 0 9 t j b N 9 + 7 d + 3 R 8 y 9 W I W 7 / j c f h t 0 P J 1 l 7 a / n e 6 6 F f A I Z 9 x W d 9 2 q f W S W b 6 u 7 b t X + P e f Y 1 1 0 3 E z M y u 7 f V X b d p 7 + u u W 7 V / z 8 n 1 d d e t 2 r / v 5 L r m n / Z 0 1 3 u u L d y / f 7 P q s p 2 E q k t l 7 d Y d D K s u 0 8 H D e 7 u b V x M 9 r r 7 1 O x 5 n m 3 d u q b x u 0 9 z j a 9 N 8 7 + G 9 n U / v j / c P b q e / 3 u c 1 Z v T b I + e r M G 1 / O x V 2 K + A R D r m t C r t V + 8 h k 3 1 a F 3 a r 9 e 8 6 0 r 8 J u J m Z k g m + r w m 7 T 3 l d h t 2 r / n p P r q 7 B b t X / f y X X N H / g q 7 N O v s y 7 w 6 c 7 N O s z 2 E u i w T x X H W 3 c w r M N M B 7 s P 7 t 8 f H 2 w S Y o + v z U v 7 O / v 3 H t 7 f u P L i c b d 5 a 2 e z 4 v P 4 2 / W z 9 + m 9 h + P 9 T 2 + n 0 d x r 9 2 j V d 7 y / C T + P 4 S 0 p d u / T i u + D 2 + m z 9 0 H R 1 2 v 6 3 u 3 0 m u l k 2 / S y d 0 s F 1 8 V u 4 3 s R r r j V e x H G u K 3 C e 6 9 + I o x x W 8 V 3 M 7 U j f H C r K Y 2 w g p 2 l T S / 6 m v A 2 o / E 1 4 f s g 6 G v E W / W z g Q s 2 E s K 9 d t D V j O + 1 K P D p L R Y F b A + h V r z d o o D r Y F g r m g 7 u P R j f 2 z R q j / V v + 4 r H / e a V T f P h M f 1 t m n s 8 b 5 o f 7 N x / 8 O k m h e u x / q 3 f 8 d j + N m j 5 m k / b 3 0 7 z 3 Q p 4 h D M 2 t o 9 M 9 M b 2 k V m + r Y K 7 V f v 3 n G N f s d 1 M z M j s b g T + n j P r 6 7 F b t X / P y f X 1 1 6 3 a v + / k u u Y P u 3 r r P Z c F P r 3 F s o D t I 9 R c t 1 s W c B 0 M a y 7 T A U v w J n P q M f W t 3 / E Y 2 7 y z i b Y e X 2 v z Y T 7 1 e P r G t h 5 L 3 9 j W Y + c b 2 / p a 6 u b G E c 6 5 r Z a 6 V f v I p N 5 W S 9 2 q / X t O p q + l b t X + f W b U 1 1 I 3 N 3 6 f O f X 1 0 8 2 N + 3 O 6 o X F / Q j c 0 7 s / m h g H a t s A + 1 E n v n e S H G b 9 B K 7 l e Q q 2 0 / 5 4 d D G o l 2 8 H + / t 7 O x m S 3 Y + L b v + M Y 2 b 5 z O 6 1 0 q + a O j W 3 z v X u 7 D 8 Y P l T o 3 a K j 3 e M m x 9 a 0 Q 8 7 S V a X 8 r b X U 7 4 B H u u K W 2 u l 3 7 y E T f U l v d r v 1 7 z r K n r W 5 B z M j 0 b g T + n j P r 6 a z b t X / P y f U 0 1 + 3 a v + / k u u a 7 P f 3 1 n o n + T 2 9 O 9 L t O Q v V 1 u 0 S / 6 2 B Y f Z k O 9 n b 2 H 4 7 3 P r 2 d / r r 9 S x 5 v m 5 c 2 k d d j 7 d s 0 9 z j b N N 8 9 u L c z P t i E k s f h t 3 / J Y / P b I O Y r M G 1 / O w V 2 K + A R / r i t A r t V + 8 h M 3 1 a B 3 a r 9 e 8 6 y r 8 B u J m Z k e m + r w G 7 T 3 l d g t 2 r / n p P r K 7 B b t X / f y X X N 9 3 w F 9 u D r p P k f 7 N y s w W w v g Q Z 7 o D j e u o N h D W Y 6 + H T n 4 f 7 u w f 7 4 w e 1 C Q + + 9 g 5 2 H 9 / b H Z v X 0 J j 1 m 3 t u 9 t 3 d / Z w x + G 3 z L Y 3 T z F q 0 Q 7 N 5 O o 5 k 3 N g 3 H Y 3 a L 1 v j h w 9 s p s l u i 5 O s y f e V 2 u q x D q E 2 r D r 5 K M 6 9 t 3 + a 9 C B / c V r W 9 D 3 q R 6 b + t h n u f b v q z f z t F d 9 u Z j E z + 9 g 3 v + P r u N k P 3 9 d 0 t 0 f J V 3 q 2 6 i E 3 6 D S N 3 b 9 z r a r 3 3 S u E / 2 I 1 p v F D j 2 R 5 C j a f 4 3 b q D Y Y 1 n O j h 4 + P D T T x / e M u a 8 / U s e s 5 u X b u m z 3 a a 5 x + O m + S 0 1 3 G 2 a e x x + G 2 R 8 3 a b t b 6 f b b g U 8 w h O 3 9 d N u 1 T 4 y u 7 f 1 0 2 7 V / j 1 n 1 l d f N x M z M r G 3 9 d N u 0 9 7 X W 7 d q / 5 6 T 6 y u t W 7 V / 3 8 l 1 z f e 7 G u s 9 k / c P 7 t 2 s s 2 w f o c 6 6 9 5 4 d D O s s 0 8 H u z q f 3 7 u 1 u X A 3 3 2 P o 9 3 v K Y 2 7 x 1 S 6 2 l z Y d 5 1 e P r G 9 t 6 b H 1 j W 4 + l b 2 z r a 6 q b G 0 e 4 5 7 a a 6 l b t I x N 7 W 0 1 1 q / b v O Z m + p r p V + / e Z U V 9 T 3 d z 4 f e b U 1 1 E 3 N + 7 P 6 Y b G / Q n d 0 L g / m x s G 6 N r e 7 + q l 9 0 7 g P 9 i / W T P Z X k L N t P + e H Q x r J t P B w b 2 D 3 f H O w e 0 U 0 + 1 f 8 l j Z v H R L v X S b 5 h 4 j m + b 3 x g 8 3 4 e N x 8 y 3 f 8 F j 6 N i j 5 m k r b 3 0 5 T 3 Q p 4 h D N u q 6 l u 1 T 4 y x 7 f V V L d q / 5 7 z 6 2 u q m 4 k Z m d u N w N 9 z Z n 1 9 d a v 2 7 z m 5 v t a 6 V f v 3 n V z X / N O e 7 n r P 5 P 2 D + z e r L t t J q L o 0 9 r p 1 B 8 O q y 3 S w 9 + n 9 e / f H + 5 / e T n e 9 x 1 s e d 5 u 3 b q m 8 t P k w s 3 q M f W N b j 6 9 v b O v x 9 I 1 t f V V 1 c + M I + 9 x W V d 2 q f W R i b 6 u q b t X + P S f T V 1 W 3 a v 8 + M + q r q p s b v 8 + c + k r q 5 s b 9 O d 3 Q u D + h G x r 3 Z 3 P D A F 3 b B 7 5 i O v g 6 S f m D n Z s 1 k + 0 l 0 E w H O r 2 3 7 m B Y M 5 k O d n c f j j + 9 Z b B n 3 r m / c + / + 7 t h 4 e N G 3 P F Y 2 b 9 1 S L 7 l O 9 u 7 t j X c 3 o e b x s 3 l r 7 / 7 9 e z s H e 7 v j T c h 5 r O 3 e 2 z / Y u X 9 A i 6 U H t 3 O 0 3 g N N X 4 n p a 7 d T Y q a P 7 d t 0 E m G e 2 7 w W Y Y n b v B b h i t u q t v f p J s I X t 9 V w N 1 M 6 w g a 3 w S n C B L e Z I F / t 3 W Y s v u Z 7 D / R 8 H X i r b r 4 m A 7 i 3 D r o K 8 b 3 y 9 Q e 3 y N f b H k J l e L t 8 v e t g W B m a D n Y P x v c / v Z 0 u v O 0 r H u O b V 2 6 p C G / T 3 O N 3 0 / z + z s N P D x 7 u k 1 Z / e D s V + H 4 v e t x / G w R 9 3 a f t b 6 f 7 b g U 8 w i M b 2 0 e m f G P 7 y H z f V s v d q v 1 7 z r a v 3 m 4 m Z m S K N w J / z 5 n 1 9 d m t 2 r / n 5 P q K 7 F b t 3 3 d y X f O H X Q 3 2 n v n 7 g 1 v k 7 2 0 f o Q 6 7 X f 7 e d T C s w 0 w H u z s 7 n x 7 s j x + q d r x J j 7 3 P a x 5 7 m 9 c 2 U d j j 7 t s 0 9 5 j b N I d K 2 q H n d o r s P d 7 y e P 0 2 q P l a T N v f T o v d C n i E S 2 6 r x W 7 V P j L b t 9 V i t 2 r / n v P s a 7 G b i R m Z 3 9 t q M a / 9 Y H t f i 9 2 q / X t O r q / F b t X + f S f X N r + 3 0 9 V i 7 5 3 t P 9 i / U Y + 5 X k I 9 t v + e H Q z q M d v B 7 q 1 9 s V u / 4 h j b v n I 7 / X W r 5 o 6 t H U K 7 D 2 5 A y b H 3 e 7 z k e P x W i H n a y 7 S / l f a 6 H f A I b 9 x S e 9 2 u f W S e b 6 m 9 b t f + P W f Z 0 1 6 3 I G Z k e j c C f 8 + Z 9 b T X 7 d q / 5 + R 6 2 u t 2 7 d 9 3 c l 3 z 3 Z 7 2 e s 9 8 / 8 H N + X 7 X S a i 8 b p f v d x 0 M K y / T w d 7 e z v j T B 7 f T X r d + x + N s 8 8 4 m 4 n q M f Z v m H l + b 5 r t 7 B / s P d 8 c H m 5 D y O P x 9 X v M Y / T b I + S p M 2 9 9 O h d 0 K e I R D b q v C b t U + M t m 3 V W G 3 a v + e M + 2 r s J u J G Z n g 2 6 q w 2 7 T 3 V d i t 2 r / n 5 P o q 7 F b t 3 3 d y X f M 9 X 4 U 9 / D o r A w 9 3 b t Z h t p d A h z 1 U H G / d w b A O M x 3 c 3 z 0 Y P 3 x 4 O x 1 m 3 r m 3 g / W E e 5 / e T o u Z t 2 6 p x U z z P Y R 3 4 3 u b 1 I v H 4 X Y 4 B w e f P t z / 9 O G t 1 Z n 3 4 r 2 H 9 O 5 Y z c R N + u w 9 0 P T V m r 5 2 O 7 V m + t i + T S c R 5 r n N a x G W u M 1 r E a 6 4 r b J 7 n 2 4 i f H F b n X c z p S N c c B u c I k x w m w n y V e B t x u K r w P d A z 9 e E t + r m a z K A e + t e V y G + 1 8 o A U l E 3 K U P b Q 6 g M d 9 + z g 2 F l a D o g z X H r c P T W 7 3 i s b 9 6 5 p S q 8 T X O P 4 0 1 z U m U 7 p K H 3 x / f 3 b 6 c D 3 + 9 F j / 9 v g 6 C v / b T 9 7 b T f r Y B H u O S 2 T t 2 t 2 k c m / L Z 6 7 l b t 3 3 O 2 f Q V 3 M z E j U 3 x b p + 4 2 7 X 2 N d q v 2 7 z m 5 v i q 7 V f v 3 n V z X f L + r w 9 5 z b e D h v Z u 1 m O 0 j 1 G L 3 3 r O D Y S 1 m O v h 0 Z 2 9 3 Z 7 M M e 2 z 9 H m 9 5 z G 3 e u q U m u 0 1 z j 7 V N c 1 J I D w 4 e P L g 3 P j i 4 n S Z 7 v x c 9 f r 8 N g r 4 m 0 / a 3 0 2 S 3 A h 7 h l N t q s l u 1 j 0 z 5 b T X Z r d q / 5 2 z 7 m u x m Y k a m + L a a 7 D b t f U 1 2 q / b v O b m + J r t V + / e d X N f 8 f l e T v f f 6 w M P 9 m 3 W Z 7 S X U Z f v v 2 c G w L j M d 7 B 2 M M f m D I / e 4 + r a v e I x t X r m l F r t N c 4 + t T f O H n 9 4 f Q 7 w H 3 / G 4 + 9 b v e B x + G 7 R 8 3 a X t b 6 e 7 b g U 8 w h m 3 1 V 2 3 a h + Z 5 d v q r l u 1 f 8 8 5 9 n X X z c S M z O 5 t d d d t 2 v u 6 6 1 b t 3 3 N y f d 1 1 q / b v O 7 m u + a c 9 3 f W e q w M P 7 9 + s u m w n o e r S t M + t O x h W X a Y D S o 7 v b 5 J g j 6 l v + 4 r H 1 + a V W 6 q u 2 z T 3 u N o 0 3 7 1 3 8 P D e w / G D / d t p r / d 5 z W P z 2 y D n K z B t 3 5 O 5 q A K 7 F f A I f 9 x W g d 2 q f W S u b 6 v A b t X + P W f a V 2 A 3 E z M y w b d V Y L d p 7 y u w W 7 V / z 8 n 1 F d i t 2 r / v 5 L r m D z w F t r / z n q m w / Z 1 b p M J s D 7 7 2 4 j f f q 4 N h 7 W U 6 2 L 1 / j x b 4 7 t 8 f P 7 z l A u f 7 v e g x u H n x l p p M m w / z q 8 f b N 7 b 1 W P v G t h 5 b 3 9 j W 1 1 Y 3 N 4 5 w 0 G 2 1 1 a 3 a R 6 b 3 t t r q V u 3 f c z J 9 b X W r 9 u 8 z o 7 6 2 u r n x + 8 y p r 6 d u b t y f 0 w 2 N + x O 6 o X F / N j c M 0 L U 9 8 H X T 3 t d Y t 9 w H A W 7 S T 7 a X Q D / t 6 f T e u o N h / W Q 6 I B f j 0 7 3 7 9 2 m d Y u f h 7 R R U + C a 9 O 9 6 5 p a 9 l 3 t z b p 3 c 2 a T W P s f W d 4 a n x m P r G t h 5 P 3 9 j W Y + k b 2 / p q 6 u b G E W a 6 k S K + r j I v b d / 8 V m T C b 6 u x b o 9 a Z I Z v q 7 Z u 3 8 n 7 T L O v u 2 5 u / D 4 T 7 e u u m x v 3 J 3 p D 4 / 4 E b 2 j c n 9 c N A 3 R t H 3 Z 1 1 3 v 5 V R j P T X r L 9 h D q r d v 5 V a 6 D Y b 1 l O r h 3 7 8 H u w 7 2 d n b 3 x 3 q e 3 0 1 v v + a b H 1 e b N T V z t M b U 2 H 5 4 R j 5 d v b O u x 8 o 1 t P U 6 + s a 2 v s m 5 u H O G h j S I e 4 Y i N 7 S M T f F s 9 d a v 2 7 z m Z v o q 6 V f v 3 m V F f O 9 3 c + H 3 m 1 N d O N z f u z + m G x v 0 J 3 d C 4 P 5 s b B m j b 7 u 9 0 t d P 7 L R 7 u o 9 8 b 9 J P r I 9 R P t 1 o 8 9 D o Y 1 E + 2 g / 2 d / Y O d 3 X v 3 P h 3 v H 9 x K P 7 3 v m 4 6 l 7 Z u 3 0 0 + m + f C c O G 6 + u a 1 j 5 p v b O l 6 + u a 2 n n 2 7 R O M J F t 9 R P t 2 s f m e B b 6 q f b t X / P y f T 0 0 + 3 a v 8 + M e v r p F o 3 f Z 0 4 9 / X S L x v 0 5 3 d C 4 P 6 E b G v d n c 8 M A X d v d r n 5 6 3 y X B / b 3 9 m z W U 7 S X U U P v v 2 c G w h j I d 7 D 2 8 v 3 s 7 z X T L N z w m N m / c U i N p 8 + F Z 8 P j 3 x r Y e + 9 7 Y 1 u P e G 9 v 6 G u n m x h G + u a 1 G u l X 7 y I T e V i P d q v 1 7 T q a v k W 7 V / n 1 m 1 N d I N z d + n z n 1 N d L N j f t z u q F x f 0 I 3 N O 7 P 5 o Y B u r Z 7 P Y 3 0 f g t 9 + 3 s 3 L / S 5 T k K F d K u F P q + D Y Y V k O t h 7 c H A w / v R 2 S 3 3 v 8 Z L H y e a l W 6 o l b T 4 8 F R 4 T 3 9 j W 4 + E b 2 3 o s f G N b X y 3 d 3 D j C P L d V S 7 d q H 5 n W 2 6 q l W 7 V / z 8 n 0 1 d K t 2 r / P j P p q 6 e b G 7 z O n v l q 6 u X F / T j c 0 7 k / o h s b 9 2 d w w Q N f 2 n q + W 9 r 9 O i h x + 2 U 1 6 y f Y S 6 K V 9 n d 5 b d z C s l 0 w H m x j G 4 1 / T / P 6 9 + 0 g v j R 8 + v J 1 S s t 2 M z f J j 9 A 2 P k 8 O e N r 3 k s f P t X z p 4 P x J 4 j H 3 7 P n y t p W / d T m u Z L r Z v R W Z f f 7 3 X / P i K 7 P 1 e j H D E b T X a + 3 U U Y Y j b q r a b K e 6 p t v e Y 1 A g r 6 D x t e s 3 X d r c Z i a / w b o + c r / l u 1 c s g B 2 w k g X t p v 6 s F 3 y v Z D j / w J g 1 o e w g 1 o O J 3 6 w 6 G N a D p 4 J Y a 8 D b N P X a / T X O P y W / T 3 O N x 0 3 x 3 5 8 H u w f 7 G S f O Y / T 3 e 8 p j 9 N q j 5 G k / b 3 0 7 j 3 Q p 4 h C t u 6 6 f d q v 1 7 z r K v 1 W 7 V / j 3 n 2 V d m N x M z M r 8 b g b / n z P r 6 6 1 b t 3 3 N y f c 1 1 q / b v O 7 m u + f 2 u z n r P F D w 0 5 U 1 a y / Y R a q 1 7 7 9 n B s N Y y H a g M 3 1 J 5 v c d b H n O b t 2 6 p w 7 T 5 M K 9 6 f H 1 j W 4 + t b 2 z r s f S N b X 1 N d X P j C P f c V l P d q n 1 k Y m + r q W 7 V / j 0 n 0 9 d U t 2 r / P j P q a 6 q b G 7 / P n P o 6 6 u b G / T n d 0 L g / o R s a 9 2 d z w w B d 2 0 + 7 e u m 9 U + / Q h D d p J t t L q J n 2 3 7 O D Y c 1 k O t g d P z y 4 n V a 6 5 R s e E 5 s 3 b q m R t P n w L H j 8 e 2 N b j 3 1 v b O t x 7 4 1 t f Y 1 0 c + M I 3 9 x W I 9 2 q f W R C b 6 u R b t X + P S f T 1 0 i 3 a v 8 + M + p r p J s b v 8 + c + h r p 5 s b 9 O d 3 Q u D + h G x r 3 Z 3 P D A F 3 b B z 2 N 9 J 6 p d + i / m x S S 7 S R U S P f f s 4 N h h W Q 6 u K W P d J v m H v f e p r n H v L d p 7 v G u a X 7 L y O 4 2 z T 3 + v Q 0 y v l r S 9 r d T S 7 c C H u G D 2 6 q l W 7 V / z 3 n 1 1 d K t 2 r / n z P p q 6 W Z i R i Z 2 I / D 3 n F l f O d 2 q / X t O r q + i b t X + f S f X N T / w F d X 9 r 5 O M v 7 9 z s 6 a y v Q S a 6 r 7 i e O s O h j W V 6 e C W m s o 0 / / Q + J X E O d v Z v p 7 B u 0 4 n H 1 u / R i c f c 7 / G W x + W 3 Q c 1 j 8 v f o x N d i + t r t t J j p Y / s 2 n U R 4 5 T a v R T j g N q 9 F O G G j u E R 4 4 D b d R H h h Y z d 9 L r i d i n s f n C J M c J s J 8 j X e b c b i a 7 z 3 Q M 9 X f L f q 5 m s y g H v r Y V f / v V c a / r 7 N k r 8 Z 1 H 2 2 h 1 D 3 q a N x 6 w 6 G d Z / p 4 J a 6 7 z b N P Y a / T X O P 0 W / T 3 O N z 0 / z e 3 o O d n Y c 7 e 5 t e 8 z j + f V 7 z O P 4 2 y P n 6 T t v f T t / d C n i E L z a 2 f 8 9 p 9 j X b r d q / 5 0 T 7 K u 1 W 7 f t T f T u V d i v g 7 z m z v g 6 7 V f v 3 n F x f e d 2 q / f t O r m 0 O j y j U W u + Z i L 9 / c y L e 9 R H q r X u P 3 6 + D Q b 1 l O 9 i 9 t 3 O w c + / T n Y N b 6 a / 3 e s 2 x t 3 3 t d n r M N B / m V s f Z N 7 d 1 j H 1 z W 8 f U N 7 f 1 d N U t G k f 4 5 5 a 6 6 n b t I 1 N 7 S 1 1 1 u / b v O Z m e r r p d + / e Z U U 9 X 3 a L x + 8 y p p 6 V u 0 b g / p x s a 9 y d 0 Q + P + b G 4 Y o G u 7 6 2 u m T 7 9 G O P n p z s 2 q y X Y S q C a 8 + V 4 d D K s m 0 8 H + 7 u 7 + 3 s P 7 4 x 3 N q U V H 7 / G x e e / e w w e f U l f j A 1 2 2 j L 7 n 8 b N 5 b / f e w e 7 D n T F m a v A 1 j 6 3 1 t e G J 8 V j 6 x r Y e R 9 / Y 1 m P o G 9 v 6 S u r m x h F W u g 1 R f G V l 3 t u + 1 Y u R W b + t 1 n o v B C O z f V v t 9 V 7 9 v M + U + 1 r s 5 s b v M + m + F r u 5 c X / S N z T u z / S G x v 3 Z 3 T B A 1 3 a v o 8 X e K y j 8 d P d m D W Y 7 C D X Y 7 n t 2 M K z B T A c H e 3 v 3 H z y 8 N 9 7 5 9 H Y a 7 L 3 e 8 3 j a v L e J p z 2 W 1 u b D k + G x 8 Y 1 t P S 6 + s a 3 H x D e 2 9 T X X z Y 0 j 7 H N b 9 + p W 7 S O T e 1 t F d a v 2 7 z m Z v o K 6 V f v 3 m V F f M d 3 c + H 3 m 1 F d M N z f u z + m G x v 0 J 3 d C 4 P 5 s b B u j a 3 u s o J h P 3 n X z 7 9 C d u p z v 2 b l Z O t p N Q O a n Z u X U H w 8 r J d L B 7 b / / h p z v j B 7 f U T e a 1 v U 8 f P t z b H d 9 X h K K v e d x s X t u + T X c e V + t 7 w / P i c f S N b T 2 G v r G t x 8 8 3 t v V 1 1 M 2 N I 5 x 0 K 6 r 4 y u p 9 J s 9 X W u / 1 X m T W b 6 u 8 3 q u f / n T f W o n d T O 3 3 m X N f i d 3 Y 2 F d i N z f u T / q G x v 2 J 3 t C 4 P 7 s b B u j a 7 g 8 o s V s m r z 6 9 d 7 M K s 1 2 E K u z e e 3 Y w r M J M B + S T P 3 z 4 Y H 9 v v E k Z e d z 8 X u 9 5 X G 3 e u 6 V / p c 2 H p 8 N j 5 B v b e n x 8 Y 1 u P j W 9 s 6 + u u m x t H G O i 2 / t W t 2 k c m 9 7 b + 1 a 3 a v + d k + q r p V u 3 f Z 0 Z 9 1 X R z 4 / e Z U 1 8 1 3 d y 4 P 6 c b G v c n d E P j / m x u G K B r e 7 + j m s 5 + 8 j j 9 f d K T L 7 8 4 e 3 1 2 O 9 2 x f 7 N y s p 2 E y m n / P T s Y V k 6 m g / 1 P H z w Y 7 9 5 S M 9 3 + J Y + T z U u 3 V E v a f H g q P C a + s a 3 H w z e 2 9 V j 4 x r a + W r q 5 c Y R 5 b q u W b t U + M q 2 3 V U u 3 a v + e k + m r p V u 1 f 5 8 Z 9 d X S z Y 3 f Z 0 5 9 t X R z 4 / 6 c b m j c n 9 A N j f u z u W G A r u 2 n X b X 0 4 k 3 6 + f G L 4 6 e 3 T U n d v 1 k r 2 T 5 C r X T / P T s Y 1 k q m g / 3 7 B + O H t 1 R K t 3 7 H Y 2 P z z i 1 1 k j Y f n g e P g 2 9 s 6 z H w j W 0 9 / r 2 x r a + T b m 4 c 4 Z z b 6 q R b t Y 9 M 6 m 1 1 0 q 3 a v + d k + j r p V u 3 f Z 0 Z 9 n X R z 4 / e Z U 1 8 n 3 d y 4 P 6 c b G v c n d E P j / m x u G O D j u 7 + 3 t n 3 g 6 6 Q H X 2 O l 7 8 H O z U r J d h I o p Q c 6 u 7 f u Y F g p m Q 7 2 H u 7 t 7 O 0 8 G N 9 / e D v F 5 N 7 b f f j w Y H d s v L f o e x 4 / 2 / f 2 7 o 8 f q m 6 N v u P x t L 4 z P C s e P 9 / Y 1 m P n G 9 t 6 3 H x j W 1 9 D 3 d w 4 w k c 3 U s R X U + a l 7 Z v f i k z 2 b Z X V 7 V G L z P B t N d b t O 3 m f a f b V 1 s 2 N 3 2 e i f b V 1 c + P + R G 9 o 3 J / g D Y 3 7 8 7 p h g K 7 t Q U d t v d f S 3 o P d m 1 W W 7 S B U W b v v 2 c G w y j I d 3 D + 4 9 / B g n 5 j m d h r r f V 7 z 2 N m 8 d k t v S p s P T 4 X H x D e 2 9 X j 4 x r Y e C 9 / Y 1 t d V N z e O M M 9 t v a l b t Y 9 M 7 W 0 V 1 K 3 a v + d k + r r p V u 3 f Z 0 Z 9 t X R z 4 / e Z U 1 8 t 3 d y 4 P 6 c b G v c n d E P j / m x u G K B r + 7 C j l t 4 z J / 7 g F j l x 2 0 W o m G 6 X E 3 c d D C s m 0 w E 0 z N 6 D / f G n t 1 N M 7 / O a x 8 v m t V s q J m 0 + P B k e G 9 / Y 1 u P i G 9 t 6 T H x j W 1 8 x 3 d w 4 w j 6 3 V U y 3 a h + Z 2 t s q p l u 1 f 8 / J 9 B X T r d q / z 4 z 6 i u n m x u 8 z p 7 5 i u r l x f 0 4 3 N O 5 P 6 I b G / d n c M E D b 9 t O d j m J 6 7 4 z 4 g / 0 b V Z P r J F R N + + / Z w a B q s h 1 8 e v D p + N O D W + m l 2 7 / j + N i + c z u l Z J o P T 4 R j 4 Z v b O g 6 + u a 1 j 4 J v b e k r p F o 0 j r H N L p X S 7 9 p F J v a V S u l 3 7 9 5 x M T y n d r v 3 7 z K i n l G 7 R + H 3 m 1 F N K t 2 j c n 9 M N j f s T u q F x f z Y 3 D N C 1 3 e 0 q p f f M h z + 4 O R / u + g h 1 0 u 3 y 4 a 6 D Y Z 1 k O r j / 6 Y O x O m H R c X s c f N t X P C Y 2 r 9 x S I 2 n z 4 V n w + P f G t h 7 7 3 t j W 4 9 4 b 2 / o a 6 e b G E b 6 5 r U a 6 V f v I l N 5 W I 9 2 q / X t O p q + R b t X + f W b U 1 0 g 3 N 3 6 f O f U 1 0 s 2 N + 3 O 6 o X F / Q j c 0 7 s / m h g G 6 t n u + R j p 4 / 2 T 4 w c 7 N G s n 2 E W i k A 5 3 c W 3 c w r J F M B 5 Q 5 v / f g / s O d 8 b 1 b 6 i X 7 4 q c P 7 9 + / 9 3 B / v H 9 L 7 W R e P N j b f b g 5 J e V x t b 4 0 P C 8 e R 9 / Y 1 m P o G 9 t 6 / H x j W 1 9 H 3 d w 4 w k k 3 k 8 T X V O a t 7 V u 8 F p n x 2 y q s 9 0 A u M s u 3 V V v v 0 c v 7 T L W v v G 5 u / D 6 T 7 S u v m x v 3 J 3 t D 4 / 4 c b 2 j c n 9 k N A 3 R t 7 w X K 6 7 0 y 4 g e 7 N + s t C z 7 U W 7 v v 2 c G w 3 j I d P H z w 4 M H 9 g 7 1 N i y g e L 7 / H W x 4 v m 7 d u 6 U 9 p 8 + F p 8 B j 4 x r Y e / 9 7 Y 1 m P f G 9 v 6 u u r m x h H G u a 0 / d a v 2 k Y m 9 r X q 6 V f v 3 n E x f M d 2 q / f v M q K + S b m 7 8 P n P q q 6 S b G / f n d L i x r 5 J u b t y f z V u p p P 1 A J b 1 v O v z g 3 s 1 a y f Y Q a i V 1 X G 7 d w b B W M h 3 s 7 l P 2 / O D h A 3 K n 9 m 6 n m d 7 z T Y + h z Z u 3 1 E 7 a / F b a 6 c a 2 H i v f 2 N b j 5 B v b + t r p 5 s Y R H r q t d r p V + 8 g E 3 1 Y 7 3 a r 9 e 0 6 m r 5 1 u 1 f 5 9 Z t T X T j c 3 f p 8 5 9 b X T z Y 3 7 c 3 o 7 7 X R z 4 / 5 s b h i g a 3 s / 1 E 7 v n R M / 2 L 9 Z P 9 k + Q v 2 0 / 5 4 d D O s n 0 8 H u / s 7 D 8 X 2 F G x 2 5 x 8 O 3 f 8 l j Z P P S L b W S N h + e C Y + H b 2 z r s f C N b T 0 O v r G t r 5 V u b h z h n d t q p V u 1 j 0 z r b b X S r d q / 5 2 T 6 W u l W 7 d 9 n R n 2 t d H P j 9 5 l T X y v d 3 L g / p x s a 9 y d 0 Q + P + b G 4 Y o G v 7 a U c r v W d S / O D + z U r J d h E q J Y 2 d b t 3 B s F I y H d y / v z s + u K W 7 d O t 3 P C 4 2 7 9 x S J W n z 4 W n w G P j G t h 7 / 3 t j W Y 9 8 b 2 / o q 6 e b G E c a 5 r U q 6 V f v I p N 5 W J d 2 q / X t O p q + S b t X + f W b U V 0 k 3 N 3 6 f O f V V 0 s 2 N + 3 O 6 o X F / Q j c 0 7 s / m h g G 6 t g 9 C l Z S + f 2 L 8 4 c 7 N W s n 2 E m i l h z q 9 t + 5 g W C u Z D v Y f j h 9 o 2 i o 6 c o + H z S u k k j a 9 4 X G x 7 e T B b R P h + s b w T H g 8 f G N b j 4 V v b O t x 8 I 1 t f a 1 0 c + M I 7 9 x A D 1 8 x m V e 2 b 3 o n M r e 3 V U 6 3 R S s y s 7 f V T 7 f t 4 n 2 m 1 1 d R N z d + n w n 2 V d T N j f s T v K F x f 2 o 3 N O 7 P 6 Y Y B u r Y H X R X 1 X v n v h 7 s 3 q y f b Q 6 i e V C 3 c u o N h 9 W Q 6 u K V q M s 1 v 0 m Y e B 5 t X t v c P N r / j c b G + M z w J H v v e 2 N b j 3 h v b e s x 7 Y 1 t f O 9 3 c O M I 2 N 1 L E 1 0 + W 8 j e 9 E 5 n c G 9 + J z P B t H a h b 9 9 G f 3 l s 7 U T d T 9 3 3 m 2 N d Q N z b 2 N d T N j f u T v K F x f 3 I 3 N O 7 P 6 o Y B u r Y P e x r q f f N N D / d v 1 l K 2 l 1 B L 7 b 9 n B 8 N a y n S w s 9 k j 8 t j Y v n E 7 J X X L D j w e 1 j e G Z 8 H j 3 x v b e u x 7 Y 1 u P e 2 9 s 6 6 u o m x t H + O Y G e v g K y r y y f d M 7 s X m 9 p X K 6 L V q x m b 2 l b r p t F + 8 z v b 5 6 u r n x + 0 y w r 5 5 u b t y f 4 A 2 N + 1 O 7 o X F / T j c M 0 L Z 9 s O P U 0 8 7 9 n f T 1 8 X u G e P d 3 d m 7 U T q 4 T X z v x m + / V w a B 2 s h 3 c 2 3 3 w Y O / B g 4 c P x / d 0 K T A 6 f s f P w Z s 7 O / f u 7 4 0 / 3 f S m Y 2 v 7 5 t 6 D / f 1 P x w 9 u p b P M S 8 N T 4 5 j 6 5 r a O p 2 9 u 6 1 j 6 5 r a e z r p F 4 w g z 3 U w S T 2 3 Z t 7 Z v 8 V p k z m + p u d 4 H u c g s 3 1 J 5 v U 8 v 7 z P V n v 6 6 R e M N k 7 1 J f 9 0 M 2 d N f t 2 j c n + N b 6 a + b G 3 t Y 7 D r 9 l Z L + e p / w 7 / 7 O 7 s 2 q y 8 I P V Z c a p l t 3 M K y 6 T A e f 7 u D Z v b c 3 3 t + / n e p 6 z z c 9 p j Z v b m J q j 6 e 1 + a 2 U 1 o 1 t P U a + s a 3 H x z e 2 9 Z X W z Y 0 j H L R R w i M c s b F 9 Z I J v q 6 d u 1 f 4 9 J 9 P X U L d q / z 4 z 6 u u m m x u / z 5 z 6 u u n m x v 0 5 3 d C 4 P 6 E b G v d n c 8 M A X d u 9 U D e l 6 a k o p / T N q 9 u p j 3 s 3 6 y f b R 6 i f 1 I e 5 d Q f D + s l 0 8 O n 9 T 3 c e P j z Y v T 8 2 y i 8 6 f I + R 3 / N N j 6 X N m 7 f U T 9 p 8 e E 4 8 b r 6 x r c f M N 7 b 1 e P n G t r 5 + u r l x h I t u q 5 9 u 1 T 4 y w b f V T 7 d q / 5 6 T 6 e u n W 7 V / n x n 1 9 d P N j d 9 n T n 3 9 d H P j / p x u a N y f 0 A 2 N + 7 O 5 Y Y C u 7 b 2 u f n r f 1 N T 9 n f 2 b N Z T t J d R Q + + / Z w b C G M h 3 s 7 t 9 7 O L 5 / c D v l d P u X P F Y 2 L 9 1 S L 2 n z 4 b n w u P j G t h 4 T 3 9 j W 4 + E b 2 / p 6 6 e b G E e 6 5 r V 6 6 V f v I t N 5 W L 9 2 q / X t O p q + X b t X + f W b U 1 0 s 3 N 3 6 f O f X 1 0 s 2 N + 3 O 6 o X F / Q j c 0 7 s / m h g G 6 t v s 9 v f T i T f r 5 8 Y v j p 7 c N 7 O 7 f r J Z s J 6 F a u v + e H Q y r J d P B / f v 7 n 3 4 6 B u E G 2 c b j 4 v d 4 y + N l 8 9 Y t F Z M 2 H 5 4 M j 4 1 v b O t x 8 Y 1 t P S a + s a 2 v m G 5 u H G G f 2 y q m W 7 W P T O x t F d O t 2 r / n Z P q K 6 V b t 3 2 d G f c V 0 c + P 3 m V N f M d 3 c u D + n G x r 3 J 3 R D 4 / 5 s b h i g a 3 v f V 0 y 7 6 e v 3 z Z W D p W / S S 7 a P Q C / t 6 u T e u o N h v W Q 6 e P j p g 0 8 f f v r p / T H W C w Y Z x + N j 8 + L e v V t q p a C n / X v 3 N v f k c b S + O D w n H j f f 2 N Z j 5 h v b e r x 8 Y 1 t f P 9 3 c O M J F t y O L r 6 n M m 9 u 3 f D U y 6 7 d V W u + J Z G T W b 6 u + 3 r O n 9 5 l 6 X 5 H d 3 P h 9 J t 9 X Z D c 3 7 k / + h s b 9 + d 7 Q u D / D G w b o 2 n 7 q K z L x s N 4 j b w 5 m v k m N 2 R 5 C N a Y J o F t 3 M K z G T A e 7 D 2 n R 7 u G n 9 / f H D 2 / p Y r 3 n m x 5 r m z d v 6 W Z p 8 + E Z 8 X j 5 x r Y e K 9 / Y 1 u P k G 9 v 6 a u z m x h E e u q 2 b d a v 2 k Q m + r c a 6 V f v 3 n E x f T 9 2 q / f v M q K + d b m 7 8 P n P q a 6 e b G / f n d E P j / o R u a N y f z Q 0 D d G 0 f + N p p 9 + v k p c A X N 2 k o 2 0 u o o f b f s 4 N h D W U 6 2 P 9 U Y U b H 7 X H w 7 V 7 w W N i 8 c E t 9 p M 2 H 5 8 D j 3 h v b e s x 7 Y 1 u P d 2 9 s 6 + u j m x t H u O a 2 + u h W 7 S P T e V t 9 d K v 2 7 z m Z v j 6 6 V f v e j N 5 S H 9 1 M + f e Z U 1 8 f 3 d y 4 P 6 c b G v c n d E P j / m x u G K B r e 9 D T R + + Z j 8 I 0 3 6 S O b C e h O r r / n h 0 M q y P T w U N S x u P 9 T 2 + n k m 7 / k s f J 5 q V b q i V t P j w V H h P f 2 N b j 4 R v b e i x 8 Y 1 t f L d 3 c O M I 8 t 1 V L t 2 o f m d b b q q V b t X / P y f T V 0 q 3 a v 8 + M + m r p 5 s b v M 6 e + W r q 5 c X 9 O N z T u T + i G x v 3 Z 3 D B A 1 / a h r 5 b 2 S C 2 9 d z 4 K B L h J L 9 l e A r 2 E N 9 + r g 2 G 9 Z D r Y 3 d / Z 2 T l 4 + G A M 3 T z I O h 4 n B y / u 3 d 8 Z 3 7 + l f j I v f r r / Y I x p H X z H Y 2 t 9 Z 3 h i P J a + s a 3 H 0 T e 2 9 R j 6 x r a + k r q 5 c Y S V b q S I r 6 n M S 9 s 3 v x W Z 7 t v q q 9 u j F p n h 2 y q t 2 3 f y P t P s a 6 6 b G 7 / P R P u a 6 + b G / Y n e 0 L g / w R s a 9 + d 1 w w B t 2 4 O d r u Z 6 r / Q T x n O D 1 n I 9 h F p L p / b W H Q x q L d v B 3 g E p n w c 7 u 2 N I x i D b O H 5 + z x c d T 9 s X N / G 0 Y 2 n T f H g + H C f f 3 N Y x 8 s 1 t H R / f 3 N Z T W L d o H O G g j Q I e 4 Y e N 7 S P T e 0 s t d b v 2 7 z m Z n o K 6 X f v 3 m V F P N 9 2 i 8 f v M q a e b b t G 4 P 6 c b G v c n d E P j / m x u G K B r u 9 v V T a e i m t I 3 r 2 6 n P O 7 d r J 1 s H 6 F 2 u v e e H Q x r J 9 P B v U 9 3 + L m d a n q P t z x W N m / d U i 9 p 8 + G 5 8 L j 4 x r Y e E 9 / Y 1 u P h G 9 v 6 e u n m x h H u u a 1 e u l X 7 y M T e V i / d q v 1 7 T q a v l 2 7 V / n 1 m 1 N d L N z d + n z n 1 9 d L N j f t z u q F x f 0 I 3 N O 7 P 5 o Y B u r Z 7 X b 3 0 3 k n x v f 2 b N Z P t J d R M + + / Z w b B m M h 3 s U s g 2 N n C j Y / e 4 + P Y v e a x s X r q l X t L m w 3 P h c f G N b T 0 m v r G t x 8 M 3 t v X 1 0 s 2 N I 9 x z W 7 1 0 q / a R a b 2 t X r p V + / e c T F 8 v 3 a r 9 + 8 y o r 5 d u b v w + c + r r p Z s b 9 + d 0 Q + P + h G 5 o 3 J / N D Q N 0 b e / 1 9 N J 7 J s f 3 b k 6 O u 0 5 C t X S 7 5 L j r Y F g t m Q 5 2 d x 7 u j / f 3 b q e W b v + S x 8 n m p V u q J W 0 + P B U e E 9 / Y 1 u P h G 9 t 6 L H x j W 1 8 t 3 d w 4 w j y 3 V U u 3 a h + Z 1 t u q p V u 1 f 8 / J 9 N X S r d q / z 4 z 6 a u n m x u 8 z p 7 5 a u r l x f 0 4 3 N O 5 P 6 I b G / d n c M E D X d t 9 X S / e + T n L 8 3 s 7 N e s n 2 E u i l e z q 9 t + 5 g W C + Z D j 6 9 n U Y y z e + P H z 6 8 n T o y b + y M d 3 Z v p 5 H 0 j e F Z 8 P j 3 x r Y e + 9 7 Y 1 u P e G 9 v 6 G u n m x h G + u Y E e v l I y r 2 z f 9 E 5 k X m + r m G 6 L V m x m g / b D u u m 2 X b z P 9 P r q 6 e b G 7 z P B v n q 6 u X F / g m + n n m 5 u 3 J / T W 6 m n + 1 3 1 9 F 4 Z 8 H u 7 N 6 s m 2 0 O o m n R q b 9 3 B s G o y H W z i L 4 + D T f N N m s z j X t N 8 e 1 N 7 j 3 u 1 / a 2 0 0 o 1 t P a 6 9 s a 3 H t D e 2 9 b X S z Y 0 j 7 L K R G r 5 O u g 2 1 f X 1 0 q / a R 2 b y t o 3 Q r + P 3 p v L W j d D M 1 3 2 d O f U 1 0 Y 2 N f E 9 3 c u D + p G x r 3 J 3 R D 4 / 5 s b h i g a / t p T x O 9 b 1 7 p 3 v 7 N 2 s j 2 E m q j / f f s Y F g b m Q 5 u 8 H w 8 F j Z v b G I x j 4 N v 2 Y H H w / r G 8 C x 4 / H t j W 4 9 9 b 2 z r c e + N b X 2 V d H P j C N / c Q A 9 f K Z l X t m 9 6 J z K v t 3 W U b o t W Z G Z v 6 y j d t o v 3 m V 5 f P d 3 c + H 0 m 2 F d P N z f u T / C G x v 2 p 3 d C 4 P 6 c b B u j a P j C K 4 + x J u r P 7 3 n H c 3 s 4 O O P w m 9 W R 7 c e p J 3 3 y v D o b V k + l g 9 / 7 u p / v j T z + 9 n Y o y b + 3 d O z i 4 n Z Y y b 9 z 7 9 M H u / f 3 x p p y U x 9 H 2 r f v 7 9 x 4 8 G N / f 3 / C a x 9 V 2 U D s P 9 / b G 9 z a h 6 L H 3 L Q f l 8 f j 7 o O f r M / v e / v 2 D / X t j y P D w e x G e 2 9 1 7 8 O D T z Z P l q z f z 2 v Z t 3 o v w x m 1 V 3 P u g F 2 G N 2 6 q 5 9 + k m w h S 3 I n q E L Q 7 I 3 G / m J V / 9 W Z r f / J q v C G 9 D C 1 8 X 3 h 4 5 X y n e q p c I I 9 z c i 4 f a Q V d B v p / / B v 2 1 f 7 O C t L 2 E C l I l 8 d Y d D C t I 0 8 E + M d v t l O M t 3 / A k w L y x a T 4 8 A b h N c 4 / x L T 4 P H 9 y / n S a 8 5 R s e u 9 8 G J V 8 D a v s N l j b C S R u B R 3 h i Y / v I F N 9 W z 9 2 q / X t O r 6 / g b t W + P 8 E b i B m Z 2 4 3 A 3 3 N m f Q 1 2 q / b v O b m + 7 r p V + / e d X N f 8 Y U 9 r v c + q I X T K / Z u V l u 0 k V F o q a 7 f u Y F h p m Q 7 u 3 f t 0 7 9 5 4 o z v j 8 f V 7 v O V x t 3 l r E 4 E 9 5 r 5 N c 4 + 3 H U 5 7 c O U 2 + Y 0 e k 7 / H W x 6 r 3 w Y 1 X 4 l p + 9 s p s V s B j / D I b Z X Y r d p H J v u 2 S u x W 7 d 9 z n n 0 l d j M x I / N 7 W y V 2 m / a + E r t V + / e c X F + J 3 a r 9 + 0 6 u b f 5 w x 1 d i e + + V x C c F g 4 H d o M F c D 4 E G w 5 v v 1 c G g B r M d 3 N v f 3 3 1 4 b 7 y z S Y Q d V 7 / X a 4 6 5 7 W u 3 0 2 G 3 a u 5 Y 2 z b f 3 b 1 3 7 y F 5 0 B v d Q s f l 7 / e e 4 / Z b o e f p M d P + V n r s d s A j n H J L P X a 7 9 p E Z 3 9 j + P a f a 0 2 O 3 a 9 + f 7 F v p s d s B f 8 + Z 9 f T Y 7 d q / 5 + R 6 e u x 2 7 d 9 3 c l 3 z X V + P 3 X v / D N u 9 n Z s 1 m e 0 j 0 G T 3 F M N b d z C s y U w H u w 8 f P q C 1 W M o T g d 0 H h + + x t v f m p w 8 / 3 f v 0 h t j b Y 3 L z 5 o M 9 Q n O 8 M Y j z W F 3 f G m Z d j 8 1 v b O t x + Y 1 t w e G 3 b e s r r p s b R 5 j p F j T x 9 Z d 5 b f s 2 7 0 W m / b Z 6 7 H 3 Q i 8 z 0 b d X Z + 3 T z P t P t a 7 W b G 7 / P h P v 6 7 O b G / Q n f 0 L g / z R s a 9 + d 2 w w B d 2 7 1 Q h 7 2 X J 3 Z v 9 2 b 9 Z e G H + m v 3 P T s Y 1 l + m g 3 s P H 1 K a e 3 9 n d / z p J q 7 x W P o 9 3 / S 4 2 r y 5 i a s 9 p t b m w / P h c f K N b T 1 G v r G t x 8 c 3 t v U V 1 8 2 N I x y 0 U c Q j H L G x f W S C b 6 u p b t X + P S f T V 1 G 3 a v 8 + M + r r p p s b v 8 + c + r r p 5 s b 9 O d 3 Q u D + h G x r 3 Z 3 P D A F 3 b e 6 F u O h X V l L 5 5 d T v l c e 9 m 7 W R 7 C L W T O k C 3 7 m B Y O 5 k O 9 h / s 3 L / 3 4 B 7 l r e 4 / v J 1 2 e s 8 3 P Y Y 2 b 9 5 S O 2 n z 4 R n x e P n G t h 4 r 3 9 j W 4 + Q b 2 / r a 6 e b G E R 6 6 r X a 6 V f v I B N 9 W O 9 2 q / X t O p q + d b t X + f W b U 1 0 4 3 N 3 6 f O f W 1 0 8 2 N + 3 O 6 o X F / Q j c 0 7 s / m h g G 6 t v u h d n r v 5 c N 7 + z f r J 9 t H q J / 2 3 7 O D Y f 1 k O r i / e 2 9 3 j K k e Z B q P h 2 / / k s f I 5 q V b a i V t P j w T H g / f 2 N Z j 4 R v b e h x 8 Y 1 t f K 9 3 c O M I 7 t 9 V K t 2 o f m d b b a q V b t X / P y f S 1 0 q 3 a v 8 + M + l r p 5 s b v M 6 e + V r q 5 c X 9 O N z T u T + i G x v 3 Z 3 D B A 1 / Z + R y u 9 5 / L g v Z u X B 1 0 X o V K 6 3 f K g 6 2 B Y K Z k O K C h 7 c D D + d O 9 2 W u k 9 3 v I 4 2 b x 1 S 7 W k z Y e n w m P i G 9 t 6 P H x j W 4 + F b 2 z r q 6 W b G 0 e Y 5 7 Z q 6 V b t I x N 7 W 7 V 0 q / b v O Z m + W r p V + / e Z U V 8 t 3 d z 4 f e b U V 0 s 3 N + 7 P 6 Y b G / Q n d 0 L g / m x s G 6 N p + a t X S i 3 R n l 5 b 8 3 i 9 Z f m 9 n B 0 x 9 k 2 a y v T j N p G + + V w f D m s l 0 c P 8 + r X o + 2 L t / Q A 7 Q f V V 8 U R J 4 z O y 9 u 3 + w S z p q n 5 b + b x n S m X f 3 d u 4 / e P D w 4 O E Y X D z 4 o s f h 5 s V N H O 4 x u O 3 n A a X D H u 4 / / H T / 0 / H 9 T V 1 5 / O 6 9 u 3 d / / y G R d G 9 8 / 9 6 G d z 3 2 v w 2 a v l a z f d 2 7 v 7 / 7 6 f 3 7 4 4 c P N r 0 Z Y c T b U d J X d u b N 7 V u + G m G b 2 + q 9 9 0 Q y w i i 3 1 Y D v 2 V O M V W 4 3 B R F G 2 b 7 l q x E + u d 2 b v s 5 8 z z c j H L O J p L 4 O f c + e 3 p d N X P M H X Z 1 6 + + Q 9 1 N 0 t k v e 2 h 1 C f 3 i J 5 H 3 Q w r E 9 N B 7 s 7 + w 9 3 D g 4 O 9 v c P 7 o 9 3 N 9 H L k 5 L 3 f 9 k T F P P y L f 2 + 2 z T 3 h M M 0 3 3 / 4 Y O / h 7 s 7 e z o O H 4 / 1 N u t A T j / d + 1 5 O P 2 6 D p 6 9 F b t Y + w 3 G 0 d x F u 1 j / D D b R X l r d q / 5 6 z 7 6 v F W 7 S P z v r F 9 Z K 4 3 t n / P + f W 1 3 q 3 a v + f 8 + r r u V u 3 f d 3 5 d 8 4 O u h n u f J Q C o o H s 3 6 z j b R 6 j j V O B s B z d 1 M K z j T A e 7 O / f v f / r w 4 c 7 D v Q d 7 Y w P / J h 3 n v 3 x A C w E 7 e w c P x v c O b q f j z M v b u z u f 7 u 3 u 7 N 4 f 7 2 3 y V T 2 + N 2 / e U t 2 Z 5 v s P 9 n Z 3 H + 7 s 7 d 3 / d H z v 0 9 u p u / d + 1 x O H 2 6 D p q z t t j 3 Y 3 6 7 r 3 p J 6 v 9 t y s 3 e r N K L P c 6 s 0 I p 9 x W F b 5 n T + / J H L 5 S v J n q E X b Y C P w 9 W c D X i L d q H + G C j e 0 j U 7 + x f W T C N 4 7 X N X / Y 1 Y j v t + w A l b V / s 0 6 0 v Y Q 6 c f 8 9 O x j W i d r B M E t 4 j H 1 j W 4 + p b 2 z r s b E Z 5 C 1 1 n G n + 6 f 2 d / R 3 6 3 + 2 0 2 3 u 8 5 T H 1 b V D z 9 d q N w / b 1 2 q 2 A R 5 h h Y / v + 3 N 7 a h 7 t V + / 4 c 3 9 q H u 1 X 7 / k T f T l 3 d C v h 7 z q y v r m 7 V / j 0 n 1 1 d X t 2 r / v p N r m j / Y 2 e m p q / d Z j 4 A y u X + T t v I 6 C b W V m r N b d z C k r V w H + + S f 7 H y 6 M z 4 4 2 D B 6 y 9 n v + Z 7 l c P f e J i J b B r f N h x n W M v c t 2 l r e v k V b y 9 e 3 a O v U 1 W 0 a R 1 j o d u r q l u 0 j k 3 s 7 d X X L 9 u 8 5 m U 5 d 3 b L 9 + 8 y o U 1 e 3 a f w + c + o U 1 W 0 a 9 + d 0 Q + P + h G 5 o 3 J / N D Q N 0 b X d 9 5 X T v 6 6 x J 3 N u 5 W T v Z X g L t h D f f q 4 N h 7 W Q 6 2 B v v 7 9 5 O L 5 k 3 N r G Y x 8 G 2 g 0 8 / H Y M / B t / x u N i 9 c 2 / 8 4 O A 2 H p Z 7 5 9 5 4 f 9 M b H j v b g Y z v b 3 r D 4 + l b 4 + X r K / f S D T r c 1 1 u 3 n B Z f d Z l X t m 9 6 J z L 7 t 1 V f t 0 U r M v + 3 1 W C 3 7 S I y 9 T d T O D L 7 e + N N T O l r N I / A m 1 7 x 9 d p t B u + r t t s h 5 e u 3 W / U Q l f e N w 3 Y v 7 H X 1 3 H t m 0 e 7 d m E X z + g i 1 3 O 2 y a K 6 D Y S 2 n H Q w r d o / H b 2 z r M f e N b T 3 G N o P c N F M e U 5 v m D w 8 e 7 O 7 v P t g f 3 9 + / n V p 7 v x c 9 / r 4 N g r 5 i u 3 H w v k K 7 F f A I S 2 x s 3 5 / h W 2 u y W 7 X v z / S t 1 d i t 2 v e n e w M x I 1 O 8 E f h 7 z q y v t m 7 V / j 0 n 1 1 d a t 2 r / v p P r m t / r q q z 3 j R v v 3 S J u t J 2 E O u t 2 c a P r Y F h n m Q 7 2 x w d 7 G 8 b t 8 f Q t 3 / C 4 2 r y x i b A e U 9 + m u c f T p v n D 8 b 1 b 6 q 5 b v u G x 9 m 1 Q 8 p W W t r + d 0 r o V 8 A h P 3 F Z p 3 a p 9 Z I J v q 7 R u 1 f 4 9 5 9 d X W j c T M z K 3 t 1 V a t 2 n v K 6 1 b t X / P y f W V 1 q 3 a v + / k u u b 7 v t K 6 / 3 X i y f s 7 N 2 s t 2 0 u g t e 4 r j r f u Y F h r m Q 4 e 7 N 7 f u f f p w / v 3 x / c 3 r Q x 5 z O 2 9 u X f v 4 f 1 d C u Q 2 u a g e m 5 s 3 9 x 7 c 2 9 0 d Q 4 A H 3 / K Y 3 b 6 1 9 / D g 0 4 f j n U 1 o e j x v X 9 v f v 7 d H 7 + 4 c b P S k P Q H w 3 7 x 3 f + / g 0 0 2 I e o L w P o j 6 q s 6 8 d + / + w 4 M 9 o s v G 9 y K c u L 2 3 s 3 f / / o P x w / 1 b q j + L 6 G 3 e i / D M r d 6 L c M x t 1 e F 7 9 R P h l N u q x T 7 h N 7 w X Y Z D t 3 b 2 H D + / T M v 8 t N a V 5 7 x a v + Q r z f V 6 L s M d t 9 e b 7 d B N h i l u q z / t d 9 X n 2 Q u L U 2 2 m 2 3 Z t V p + 0 h V J 0 6 n l t 3 M K w 6 T Q e 7 e 5 S J 3 H 2 4 d 3 B w 6 7 W C 9 3 3 V E w r z 6 i 1 d w N s 0 9 0 T B N L + 3 s 3 + w f 0 C Y 7 Y 8 f 3 F J d v u + r n k D c B k l f U 2 p 7 t L t Z P d 4 K e I R v b u s U 3 q p 9 Z O 5 v q w V v 1 f 4 9 Z 9 z X f j c T M z L J t 3 U K b 9 P e 1 3 G 3 a v + e k + s r t 1 u 1 f 9 / J d c 0 / 7 W q 1 9 0 y + 3 b 9 3 s 1 6 z f Y R 6 7 d 5 7 d j C s 1 0 w H 5 N f t 7 u w 9 3 D + 4 v 9 E I e K z 9 n m 9 6 T G 7 e v K V W u 0 1 z j 8 V N 8 3 s 7 D 3 Y e P H i w d 2 9 3 / H C T d + U x / P u + 6 v H + b Z D 0 t Z q 2 v 5 1 W u x X w C N f c V q v d q n 1 k 6 m + r 1 W 7 V / j 1 n 3 N d q N x M z M s m 3 1 W q 3 a e 9 r t V u 1 f 8 / J 9 b X a r d q / 7 + S 6 5 g + 6 W u 1 9 8 3 M I K W 9 S a 7 a T U K 2 p r N 2 6 g 2 G 1 Z j r Y 3 3 / 4 4 M H m 5 U C P r 9 / j L Y + 7 z V u 3 V G f a f J h Z P c a + s a 3 H 1 z e 2 9 X j 6 x r a + q r q 5 c Y R 9 b q u q b t U + M r G 3 V V W 3 a v + e k + m r q l u 1 f 5 8 Z 9 V X V z Y 3 f Z 0 5 9 J X V z 4 / 6 c b m j c n 9 A N j f u z u W G A r u 2 B r 5 g + / T o 5 u E 9 3 b t Z M t p d A M 3 2 q 0 3 v r D o Y 1 k + l g Z w w x G O Q Z j 4 X t G 7 d T R 6 b 5 7 v 5 4 b 1 N I 5 j G x 9 w p 4 d f A V j 4 / N K w e U 8 9 q k J z 1 u t r 3 c 3 9 k l 7 f r p 7 R y r 2 + L m a y z 3 z s P 9 v f H B J h f O 1 1 2 3 n B p f f Z l X t m 9 6 J 8 Y B t 1 R h t 0 U r w g O 3 1 W K 3 7 S L C A L e h c Y Q J t u m 9 v Y P x p 5 t 4 x 9 d u X n c 3 v e b r u f d 5 L c Y J m 9 p H 2 O A 2 3 b w v J 7 j m D 7 s a 8 D 0 D z k 9 v E X D a P k L 9 d 7 u A 0 3 U w r P + 0 g 2 G V 7 3 H + j W 0 9 l r + x r c f u Z p C b 6 O 6 x u m l O I 9 z Z G y P 5 O f i W x + n v 8 Z b H 5 7 d B z V d 1 N w 7 b V 3 C 3 A h 5 h h o 3 t + 3 N 7 a 8 1 2 q / b 9 O b 6 1 W r t V + / 5 E b y B m Z H 4 3 A n / P m f V V 1 6 3 a v + f k + j r r V u 3 f d 3 J t c / B o q K z e N 4 7 8 9 O Y 4 0 n U S a q v b x Z G u g 0 F t Z T v Y G e 9 t E m D H 0 7 d 9 w 3 G 1 e 2 N D c 8 f U t 2 r u e N o 2 3 3 1 4 f 3 x v k 2 F y r H 3 7 d x x 7 3 w o t T 3 G Z 9 r d S X L c D H u G L j e 1 j 0 3 w 7 x X W 7 9 u 8 5 x Z 7 i u l 3 7 / i T f S n H d D v h 7 z q y n u G 7 X / j 0 n 1 1 N c t 2 v / v p P r m u / 6 i u v g 6 8 S Z B z s 3 a y 7 b S 6 C 5 D h T H W 3 c w r L l M B / d 3 H u 7 s f X p / / O n t 1 J f 3 2 h 6 t 7 I 3 V 8 b t J h 5 n X N t H Y 4 2 / T f O / + w d 7 4 d h G n e 2 d n v D E Q 9 D j d v j I + 2 P C G r 8 V u j Z i v y t x L R O d N S t 9 X a e a l 7 Z u 7 i r D N z S 9 F W O H m l y K M c F s V d / t O I n x w W z 1 3 e 0 p H u I C S D p u 4 2 V d 5 d n J u e M d X e 7 c Z i 6 / 2 b o m W r / l u 1 U V k 4 m 8 a u X t j r 6 v 8 z l 5 I j H k 7 v b R 7 s + K z P Y S K b / c 9 O x h W f K Y D V n z 3 y Y F R 0 D d p v v d 6 z 2 N 8 8 9 4 t V d 9 t m n s c b 5 r v 7 j w g H 3 x 3 b w x + G H z R 4 / r 3 e 9 H j / d s g 6 G s / b Y 9 2 N 2 u 9 W w G P c M v G 9 p H J 3 9 g + M u m 3 1 X K 3 a v + e s + 0 r u J u J G Z n i j c D f c 2 Z 9 j X a r 9 u 8 5 u b 4 6 u 1 X 7 9 5 1 c 1 / x e V 5 e 9 Z 7 r s 4 O Z 0 m e s j 1 G a 3 S 5 e 5 D o a 1 m e n g / u 7 B / f H D g 9 u p s t u / 5 L G 2 e e m W e k y b D 3 O q x 9 U 3 t v W Y + s a 2 H k P f 2 N b X U z c 3 j v D O b f X U r d p H p v W 2 e u p W 7 d 9 z M n 0 9 d a v 2 7 z O j v p 6 6 u f H 7 z K m v o W 5 u 3 J / T D Y 3 7 E 7 q h c X 8 2 N w z Q t d 3 v a q X 3 z Y t h q e U m t W Q 7 C d X S 7 f J i r o N h t W Q 6 2 N v f v P z n s f B t X / G 4 2 L x y S 5 V 0 m + Y e D 5 v m + / f G 9 2 4 Z U N 7 2 F Y + f b 4 O U r 6 a 0 / e 3 U 1 K 2 A R / j i t m r q V u 0 j c 3 x b N X W r 9 u 8 5 w 7 6 a u p m Y k c n d C P w 9 Z 9 Z X V r d q / 5 6 T 6 6 u s W 7 V / 3 8 l 1 z e / 7 i u v h 1 8 m L P d y 5 W X P Z X g L N 9 V B x v H U H w 5 r L d H D v 4 N O d 8 a c P b 6 e 7 z E u b S O W x t W n + 8 N N 7 D / f H m 5 S d x 9 v 2 p b 3 7 9 / b H k P L B t z w O t 8 P Z v / f p 7 X S Y e e P T g 5 3 x g 3 u 3 U 2 L v g Z u v y 8 x r B w 8 f P D g Y H + x v e i 3 C a T d P k a / b z F v b t 3 g t w g + 3 V X H v g V y E I 2 6 r 6 N 6 j l w g z 3 I b e E Y 7 Y e 0 B p j 7 2 N u b s I T 2 z f / J q v B W 9 D C V 8 L 3 h 4 5 X x f e q p c I F 9 z c i 4 f a p 1 2 N + L 6 u 3 M N b u H K 2 k 1 A h 3 s 6 V c x 0 M K 0 T T A W R 7 D L Y Y H L o n B b d / y R M C 8 9 K m S f F k 4 D b N P e Y 3 z T / d f b i 7 e Q o 9 1 r / 9 S x 7 n 3 w Y x X w 1 q e 7 S 7 W f n d C n i E P z a 2 j 0 z 3 b f X d r d q / 5 y T 7 m u 5 W 7 f v T v I G Y k e n d C P w 9 Z 9 Z X Z r d q / 5 6 T 6 6 u x W 7 V / 3 8 l 1 z R 9 4 C m x 3 5 2 u 4 d L s 7 1 u M a 1 m C 2 F 1 + D 8 Z v v 1 c G w B j M d 7 D 6 4 v z / e u 6 V L Z 1 7 a R C q P r U 3 z / X s H O 7 v j + 6 p + b 1 J h 9 q 2 9 n f 0 H 4 7 1 P b 6 f J 7 H j u f 7 q 7 c e H G 4 3 T z z r 2 d h + N 7 t 8 z 0 v w d 2 v j q z r + 0 8 e E j G c p P y 9 x X b 7 W f J V 2 / m r e 1 b v B Z h i d t q u f d A L s I U t 9 V 1 7 9 F L h B 1 u Q + 8 I R + z u 3 d / d n A T 2 N a C j 9 4 2 v + Y r w N p T w F e H t k f P V 4 a 1 6 i S m G j b 1 0 l O J B V y m + p 1 e 3 u 3 M L r 8 5 2 E u r E W 3 l 1 X g f D O t F 0 c O / + z s H 4 / i Y C e 1 J w + 5 c 8 I T A v b Z o U T w Z u 0 9 x j f o v S 3 j 0 K h G 6 n C 2 / 9 j s f 3 t 0 H L V 4 L a H u 1 u V n 2 3 A h 7 h j o 3 t I 5 N 9 W 2 1 3 q / b v O c W + n r t V + / 4 k b y B m Z H Y 3 A n / P m f V V 2 a 3 a v + f k + k r s V u 3 f d 3 J d 8 4 e + + t r 9 O j 4 d 2 P w m / W V 7 C f T X r u J 4 6 w 6 G 9 Z f p Y N O o P Y 6 + T X O P o U 3 z + w 8 O 9 u 5 / + m B s F O 9 N y u u 9 3 v M Y / D b o e S x + m + Y e h 7 8 X V r 4 S e 7 8 X I 0 y 2 k S c j 7 L K x / X v O v q / Q b t U + M v + 3 V W i 3 a h + Z 7 9 s R 9 j 1 n 3 l d u t 2 n v K 7 d b t X / P i f a V 2 6 3 a v + 9 E 2 + Y Y i V N u D 7 6 O c n t w s 3 J z v Q T K 7 Y H i e O s O B p W b 7 e C A / K w H B w 8 e j A 8 + v Z W a s y / u P X y w P 9 6 U r X K 8 7 n W 2 e 4 / e + 3 S 8 8 / B W y s 6 + u H + w 8 2 B v / H B T I O p Y 3 0 P x Y J 8 6 3 C M P b F M 4 6 n j f v v n p p w / v 7 e w j z N 6 E q B O C 9 0 H U 0 3 7 2 t X s P d h 7 e e / g p Q r L d 2 + m / Y A L 3 H + 5 Q C n T T B H q a 0 L 6 5 f c t X I 1 x z S 6 X 4 v k h G W O a W 6 v F 9 e 4 p w y 2 3 n I M I u 2 / T u w c P d + w e 7 N 8 T G E Y 6 5 5 a u e B n 3 v V y N c s 4 m s n j J 9 7 6 7 e l 1 d c 8 9 2 u X j 1 7 8 f m r 0 9 e 3 D H g f 7 N 6 s U 2 0 P o U 7 V y b 5 1 B 8 M 6 1 X S w + + k B s d H O w f 3 x p 5 u I 5 c n J e 7 7 p y Y l 5 c x O V P T G 5 T X N P N k z z v f s P S S M + 2 H 8 4 v r 9 J I X q i 8 Z 5 v e o J x G x R 9 H a r t 0 e 5 m r X k r 4 B G e 2 d g + w g K 3 V Z C 3 a v + e 0 + 2 r x V u 1 7 0 / 4 B m J G 5 n g j 8 P e c W V / P 3 a r 9 e 0 6 u r 9 x u 1 f 5 9 J 9 c 1 3 + t q t F N R a O n J t 0 9 / 4 n Z K Z + 9 m r W Z 7 C b W a O j y 3 7 m B Y q 5 k O N o 3 a 4 + j b N P c Y + j b N P X 6 + T X O P n U 3 z e 7 u U s v z 0 3 s H O 5 i U G j 7 f N m 3 v 7 9 + 7 v f 3 r / 3 t 7 m F L H H 5 b d B 0 d d f p v 3 2 p 5 / e v 0 8 e 6 4 N b r 2 f c r q s I r 9 x W m 9 2 q / X v O v a / N b t X + P W f f 1 2 b v S 9 r I / N / y z c j 8 3 7 J T X + H d Z n y + w n s / J H 3 V d 6 u e I p x w u 5 4 8 F O 8 N K c E 3 r 2 6 n o e 7 d r A J t H 6 E K 1 C D s 1 h 0 M q 0 D T w f 2 H 5 M f s 3 0 4 P 3 v o d T x 7 M O 7 d U h r d p 7 k m D a X 6 w t / P w Y P f h / b 3 N O S F P G N 7 z T U 8 Y b o O i r w y 1 P d r d r P 5 u B T z C J 7 d V f 7 d q H 5 n y 2 6 q / W 7 V / z / n 2 1 d / N x I z M 8 U b g 7 z m z v m 6 7 V f v 3 n F x f o 9 2 q / f t O r m u + 3 9 V j 7 7 s k + + D m J V n X S a j I b r c k 6 z o Y V m S m g 9 1 P 7 + / t 7 B 2 M 9 9 V N v E m Z v d d 7 H o e b 9 2 6 p 0 G 7 T 3 O N v 0 3 x v h 5 7 9 v X v j B 5 u M k s f r 7 / e i x / S 3 Q d B X Z 9 r + R n V 2 e + A R b r m t O r t V + 8 i k 3 1 a d 3 a r 9 e 8 6 2 r 8 5 u J m Z k i m + r z m 7 T 3 l d n t 2 o f 0 R + 3 V W e 3 a v + + k + u a 3 / f V 2 c H X W c U 4 2 L l Z n 9 l e A n 1 2 o D j e u o N h f W Y 6 2 D R q j 6 N N 8 / 3 N C x A e T 9 + m A 4 + l b 9 m B x 9 T m j d 1 9 U k b 7 D / Z 3 9 s f 3 b u m V 9 V 6 9 I b r 1 u P 2 W e P q q T F + 5 n S o z 8 L d v 6 i D C L D e 9 E p n + m 1 6 J s M B t l d p t u 4 g w w W 3 1 2 s 2 U j U z 6 T f h E J v u m y f D V 2 2 3 G 4 K u 3 W 6 L l a 7 h b d f E 1 J t u 9 8 W l X y b 3 X k s L B 7 s 0 K z v Y Q K r j d 9 + x g W M G Z D m 6 p 4 G 7 T 3 G P u 2 z T 3 G P s 2 z T 2 + N s 0 p g f Z g 5 / 6 9 + 1 h Z 2 6 S f P C 5 / 3 1 c 9 b r 8 N k r 5 e 0 / a 3 0 2 u 3 A h 7 h j 4 3 t 3 3 O 6 f W 1 2 q / b v O e G + K r t V + / 6 U 3 0 6 V 3 Q r 4 e 8 6 s r 8 N u 1 f 4 9 J 9 d X Y L d q / 7 6 T 6 5 o / 6 G q v 9 8 y c H d y 7 W X / Z P k L 9 d e 8 9 O x j W X 6 a D g z F m f n D Y H k v f 8 g 2 P q c 0 b t 9 R i t 2 n u s b R p v n d w / + H O z s M H B w / G 9 z d F v x 6 D v + + r H q / f B k l f i 2 n 7 2 2 m x W w G P c M l t t d i t 2 k e m / L Z a 7 F b t 3 3 P G f S 1 2 M z E j k 3 x b L X a b 9 r 4 W u 1 X 7 9 5 x c X 4 v d q v 3 7 T q 5 r f t D V Y u + b N z u 4 f 7 M a s 5 2 E a k z j q F t 3 M K z G T A e b B u 0 x 9 G 2 a e / x 8 m + Y e O 9 + m u c f N p v m 9 3 Q N D k Z s U 1 2 1 f 8 d j 6 N k j 5 C k v b 3 0 5 h 3 Q p 4 h B 8 2 t n / P 6 f U V 1 q 3 a v + c E + w r r V u 3 7 U 3 w 7 h X U r 4 O 8 5 s 7 7 C u l X 7 9 5 x c X 2 H d q v 3 7 T q 5 r / t B T W H s 7 X y M z R s m Y m z W W 7 c X X W P z m e 3 U w r L F M B 5 t G 7 X G 0 a b 4 / 3 h R b e y x 9 G / g e R 9 8 O v s f S 5 o W 9 + w e 7 O 5 / e 3 z 0 Y P 9 i / n f L q v n l v f L D p T Y / T b 4 e k r 8 X 0 j d t p M Q N + + w b 4 E T a 5 4 Y 3 I v N / w R m T q b 6 v M b t l D Z P J v q 8 5 u p m p k u m 9 A J z L N N 8 y D r 9 N u M w J f p 9 0 O K V + r 3 a q H 9 5 9 n + 8 K 9 n a 5 e e 5 9 k 2 N 7 O 7 o 0 6 z f U Q 6 r T d 9 + x g U K f Z D m 6 n 0 2 7 V 3 P H 1 r Z o 7 p r 5 V c 8 f T t v n 9 3 U 9 3 D y i Z e W 8 M C R l 8 0 z H 4 + 7 7 p G P 1 W K H r a z L S / l T a 7 H f A I d 2 x s / 5 6 T 7 a m x 2 7 V / z + n 2 l N j t 2 v c n / F Z K 7 H b A 3 3 N m P f 1 1 u / b v O b m e 9 r p d + / e d X N d 8 t 6 u 7 3 i 8 V t r d z c y r M 9 R F q r 1 u l w r w O h r W X 6 e D h + K A 3 6 q j + u t 0 L H k u b F z Z R 1 e P o 2 z T 3 G N o 0 3 3 9 w n / y q v Y c H 4 / u 3 1 G D v + a b H 5 7 d B 0 d d g 2 v 5 2 G u x W w C M c c l s N d q v 2 k f m + r Q a 7 V f v 3 n G 9 f g 9 1 M z M g c 3 1 a D 3 a a 9 r 8 F u 1 f 4 9 J 9 f X Y L d q / 7 6 T 6 5 r v d T X Y 2 U 8 e p 7 9 P e v L l F 2 e v z 2 6 n Y v Z v 1 m G 2 l 1 C H 7 b 9 n B 8 M 6 T D s Y Z g m P n W 9 s 6 7 H y j W 0 9 N j a D v K X a M s 3 3 P 9 2 j X M D O + O E m Z e o x 9 H u 9 5 z H 2 b d D z V d a N Q / d V 1 q 2 A R x j i t i r r V u 3 7 c 3 x r l X W r 9 u 8 5 1 7 7 K u p m Y k R m + r c q 6 T X t f Z d 2 q / X t O r q + y b t X + f S f X N b / X U 1 n v l 7 n f 2 7 k 5 c + 8 6 C T X W r T L 3 X g f D G s t 0 s G n Q H k P f p r n H z 7 d p 7 r H z b Z p 7 3 G y a 7 9 1 / c L A / x v w N v u W x 9 X u 8 5 T H 3 b V D z 1 Z a 2 v 5 3 a u h X w C F f c V m 3 d q v 1 7 z r K v t m 7 V / j 3 n 2 V d b N x M z M r + 3 V V u 3 a e + r r V u 1 f 8 / J 9 d X W r d q / 7 + S 6 5 v u + 2 t p 9 3 z w X u P Y m n W V 7 C H Q W 3 n y v D o Z 1 l u l g 9 / 6 9 B w 8 O H t w f H z y 4 n f Z 6 v x c 9 B j c v 3 l K P a f N h f v V 4 + 8 a 2 H m v f 2 N Z j 6 x v b + t r q 5 s Y R D r q t t r p V + 8 j 0 3 l Z b 3 a r 9 e 0 6 m r 6 1 u 1 f 5 9 Z t T X V j c 3 f p 8 5 9 f X U z Y 3 7 c 7 q h c X 9 C N z T u z + a G A b q 2 9 3 3 d t P d 1 1 h Z B g J v 0 k + 0 l 0 E 9 7 O r 2 3 7 m B Y P 5 k O d v f v 0 Q L b w c 7 e G M s R g 7 z j s b J 9 c 2 / 3 Y P / B p x t f 8 z j a v L a H 9 + j v z f 1 5 r K 0 v D k + O x 9 Y 3 t v W 4 + s a 2 H l P f 2 N Z X V D c 3 j r D T 7 c j i q y z z 5 v Y t X 4 1 M / m 2 1 1 3 s i G Z n 1 2 + q x 9 + z p f a b e 1 2 g 3 N 3 6 f y f c 1 2 s 2 N + 5 O / o X F / v j c 0 7 s / w h g G 6 t p 9 2 N d p 7 e V s Y z 0 3 a z P Y Q a r P b e V u u g 2 F t Z j r Y O 7 h / f / f g / u 7 + + M H B 7 b T Z e 7 7 p s b Z 5 8 5 b + l j Y f n h G P l 2 9 s 6 7 H y j W 0 9 T r 6 x r a / G b m 4 c 4 a H b + l u 3 a h + Z 4 N t q r F u 1 f 8 / J 9 P X U r d q / z 4 z 6 2 u n m x u 8 z p 7 5 2 u r l x f 0 4 3 N O 5 P 6 I b G / d n c M E D X 9 k F X O 7 3 n u i H 6 v U k / 2 T 5 C / X T v P T s Y 1 k + m g 7 3 9 e 5 8 + v L 9 3 / 5 b K 6 X 1 e 8 5 j Z v H Z L z a T N h 2 f D 4 + M b 2 3 p s f G N b j 4 t v b O t r p p s b R / j n t p r p V u 0 j U 3 t b z X S r 9 u 8 5 m b 5 m u l X 7 9 5 l R X z P d 3 P h 9 5 t T X T D c 3 7 s / p h s b 9 C d 3 Q u D + b G w b o 2 h 6 E m u n 9 k + t 7 9 2 9 W T b a T U D X d f 8 8 O h l W T 6 e B T e u H g 4 f i W m u k 9 3 v J 4 2 b x 1 S 8 W k z Y c n w 2 P j G 9 t 6 X H x j W 4 + J b 2 z r K 6 a b G 0 f Y 5 7 a K 6 V b t I x N 7 W 8 V 0 q / b v O Z m + Y r p V + / e Z U V 8 x 3 d z 4 f e b U V 0 w 3 N + 7 P 6 Y b G / Q n d 0 L g / m x s G 6 N o + 9 B X T v a + T o r q 3 c 7 N m s r 0 E m g l v v l c H w 5 r J d L C 7 / / D + w b 0 H e / f 3 x p 9 u y g Z 4 v B x 5 1 U S b 0 V c 9 t j a v 7 o z 3 D 2 6 n p v S N 4 a n x m P r G t h 5 P 3 9 j W Y + k b 2 / p q 6 u b G E W a 6 g R 6 + p j K v b N / 0 T m S y b 6 u t b o t W b G Z v q b B u 2 8 X 7 T K + v s 2 5 u / D 4 T 7 O u s m x v 3 J 3 h D 4 / 7 U b m j c n 9 M N A 7 R t 9 3 e 6 O u u 9 k l D 3 d m / U V 6 6 H U F + p W r h 1 B 4 P 6 y n a w 9 / A A s d q n D / Z v p a z e 7 z 3 H z / a 9 T f z s 2 N k 0 H 5 4 N x 8 c 3 t 3 V s f H N b x 8 U 3 t / X U 1 C 0 a R / h n o 3 B H u G F j + 8 j k 3 l I / 3 a 7 9 e 0 6 m p 5 x u 1 / 5 9 Z t T T T L d o / D 5 z 6 m m m W z T u z + m G x v 0 J 3 d C 4 P 5 s b B u j a 7 n Y 1 0 3 s m o O 7 d n I B y f Y S 6 6 X Y J K N f B s G 4 y H e w 9 f L j 7 k H J J D x 6 M P / 3 0 d u r p f V / 1 m N q 8 e k s N p c 2 H Z 8 X j 5 x v b e u x 8 Y 1 u P m 2 9 s 6 2 u o m x t H + O i 2 G u p W 7 S N T f F s N d a v 2 7 z m Z v o a 6 V f v 3 m V F f Q 9 3 c + H 3 m 1 N d Q N z f u z + m G x v 0 J 3 d C 4 P 5 s b B u j a 7 n U 1 1 P s m o r B c e J O K s p 2 E K u p 2 i S j X w b C K M h 3 s 7 R 8 8 e L D 7 4 O D B G E H v I O t 4 n P y e b 3 o 8 b d 6 8 p Y L S 5 s O T 4 r H z j W 0 9 b r 6 x r c f M N 7 b 1 F d T N j S N s d F s F d a v 2 k Q m + r Y K 6 V f v 3 n E x f Q d 2 q / f v M q K + g b m 7 8 P n P q K 6 i b G / f n d E P j / o R u a N y f z Q 0 D d G 3 v + Q p q / + s k p O C x 3 a S h b C + B h t r X 6 b 1 1 B 8 M a y n T w 6 f 3 d g 3 v 3 7 + 1 u z i l 5 n G x e 3 H 3 4 c O f e / f v 3 b p k v t + / t 3 9 9 7 8 P A h O V 7 7 m z r 0 W F t f H J 4 c j 6 1 v b O t x 9 Y 1 t P a a + s a 2 v q G 5 u H G G n 2 5 H F V 1 n m z e 1 b v h q Z / N t q r / d E M j L r t 9 V j 7 9 n T + 0 y 9 r 9 F u b v w + k + 9 r t J s b 9 y d / Q + P + f G 9 o 3 J / h D Q N 0 b f e 7 G u 2 9 0 l W Y o J u 0 m e 0 h 1 G Y 6 t b f u Y F i b m Q 5 2 9 z 7 9 9 N P 9 T 4 2 e j I 7 c 4 + v 3 e c 1 j a v P a L T 0 t b T 4 8 F x 4 X 3 9 j W Y + I b 2 3 o 8 f G N b X 4 H d 3 D j C P b f 1 t G 7 V P j K 1 t 9 V V t 2 r / n p P p a 6 h b t X + f G f X 1 0 s 2 N 3 2 d O f b 1 0 c 2 N / T m 9 s 3 J / Q D Y 3 7 s 7 l h g K 7 t / a 5 e e s 9 k F Z T g T Z r J 9 h F q p n v v 2 c G w Z j I d 3 N 9 5 Q I 7 W p w / G t 8 2 k v 9 + L H k O b F 2 + p n b T 5 8 I x 4 v H x j W 4 + V b 2 z r c f K N b X 3 t d H P j C A / d V j v d q n 1 k e m + r n W 7 V / j 0 n 0 9 d O t 2 r / P j P q a 6 e b G 7 / P n P r a 6 e b G / T n d 0 L g / o R s a 9 2 d z w w B d 2 0 + 7 2 u l 9 E 1 X o 7 S b 1 Z D s J 1 d P 9 9 + x g W D 2 Z D n b v H + w / 2 L 3 3 6 f j h p n D O Y + T 3 e 9 H j a P P i L d W T N h + e E o + Z b 2 z r 8 f K N b T 1 W v r G t r 5 5 u b h x h o t u q p 1 u 1 j 0 z v b d X T r d q / 5 2 T 6 6 u l W 7 d 9 n R n 3 1 d H P j 9 5 l T X z 3 d 3 L g / p x s a 9 y d 0 Q + P + b G 4 Y o G v 7 w F d P 9 7 9 O m u r + z s 3 6 y f Y S 6 K f 7 O r 2 3 7 m B Y P 5 k O 9 u 4 f 3 K O M 0 z 7 l q T 6 9 n Y L y 3 t z 9 9 P 7 B Q 3 K g 1 K u L v u k x t X l z 9 / 7 + z v 6 9 8 f 1 N r 3 m 8 r a 8 N z 4 7 H 1 z e 2 9 d j 6 x r Y e V 9 / Y 1 t d U N z e O 8 N N t i O J r L P P e 9 q 1 e j M z 8 b V X X e y E Y m e 3 b q r D 3 6 u d 9 p t x X Z T c 3 f p 9 J 9 1 X Z z Y 3 7 k 7 6 h c X + m N z T u z + 6 G A b q 2 B 1 1 V 9 l 7 5 q f u 3 y E / Z H k I 1 d r v 8 l O t g W I 2 Z D v Z 3 7 9 1 7 e I C s + S 2 1 2 P u 9 6 L G 1 e f G W b p Y 2 H 5 4 P j 5 N v b O s x 8 o 1 t P T 6 + s a 2 v v G 5 u H O G g 2 7 p Z t 2 o f m d 7 b 6 q p b t X / P y f R 1 1 K 3 a v 8 + M + r r p 5 s b v M 6 e + b r q 5 c X 9 O N z T u T + i G x v 3 Z 3 D B A 1 / Z h V z e 9 Z 4 4 K 5 u M m 7 W T 7 C L X T 7 X J U r o N h 7 W Q 6 u P 9 g 7 9 P d g / u 7 D 8 d 7 D 2 6 n n t 7 z T Y + l z Z u 3 1 E / a f H h O P G 6 + s a 3 H z D e 2 9 X j 5 x r a + f r q 5 c Y S L b q u f b t U + M s G 3 1 U + 3 a v + e k + n r p 1 u 1 f 5 8 Z 9 f X T z Y 3 f Z 0 5 9 / X R z 4 / 6 c b m j c n 9 A N j f u z u W G A t i 1 C r F A / v W + W 6 v 7 N W S r X S a i g b p e l c h 0 M K i j b w c H + w b 2 H u + O H e 7 f S T u / 1 m u N m + 9 r t V J N p P j w d j p F v b u v 4 + O a 2 j o 1 v b u u p p l s 0 j j D Q L V X T 7 d p H p v a W q u l 2 7 d 9 z M j 3 V d L v 2 7 z O j n m q 6 R e P 3 m V N P N d 2 i c X 9 O N z T u T + i G x v 3 Z 3 D B A 1 3 b X V 0 2 f f p 0 M 1 a c 7 N + s m 2 0 u g m / D m e 3 U w r J t M B / f 3 P z 3 Y 3 T 0 g D 2 j 3 d t r J v r i z + + D e g 3 v 3 x / c 2 v e i x t H l x n 5 Y G 9 y k i f H g 7 P a W v D c + N x 9 U 3 t v W Y + s a 2 H k / f 2 N b X U z c 3 j n D T b Y j i 6 y v z 3 v a t X o z M + 2 0 V 1 3 s h G J n t 2 y q w 9 + p n a M q j j d 9 n z n 1 F d m N j X 5 H d 3 L g / 6 b d T Z D c 3 7 s / u r R T Z X l e R v V d + 6 t P d m 5 W Y 7 S F U Y q o v b t 3 B s B I z H e z u 0 O / 3 9 u 8 R 2 3 x 6 O y 3 2 n m 9 6 j G 3 e 3 M T Y H l 9 r 8 1 u p r x v b e q x 8 Y 1 u P k 2 9 s 6 6 u v m x t H e O i 2 b t a t 2 k c m + L b a 6 l b t 3 3 M y f S 1 1 q / b v M 6 O + d r q 5 8 f v M q a + d b m 7 c n 9 M N j f s T u q F x f z Y 3 D N C 1 v d f V T u + Z o f r 0 5 g y V 6 y P U T 7 f L U L k O h v W T 6 Y D e O d j b e f D g 0 z G Y d Z B z P E Z 2 b + 7 v 7 j y k a H N 8 b 9 O b H k u b N 7 f 3 9 g 4 O 9 h + Q Y 3 c 7 R a X v D U + O x 9 Y 3 t v W 4 + s a 2 H l P f 2 N Z X V D c 3 j r D T r a j i a y z z 4 q 3 e i 0 z 9 r d 6 L T P x t N d h 7 9 d O f 7 l t r s p u p / T 5 z 7 m u y G x v 7 m u z m x v 1 J 3 9 C 4 P 9 E b G v d n d 8 M A X d v 9 r i Z 7 3 1 z W p 7 f I Z d l O Q l V 2 u 1 y W 6 2 B Y l Z k O d g / u H T z c 3 x / v f 3 o 7 R f Z e 7 3 l 8 b d 6 7 p Z u l z Y c n x G P l G 9 t 6 n H x j W 4 + R b 2 z r a 6 + b G 0 d Y 6 L Z u 1 q 3 a R y b 3 t m 7 W r d q / 5 2 T 6 y u l W 7 d 9 n R n 3 l d H P j 9 5 l T X z n d 3 L g / p x s a 9 y d 0 Q + P + b G 4 Y o G t 7 3 1 d O D 7 5 O N u v B z s 3 a y f Y S a K c H O r 2 3 7 m B Y O 5 k O d j 9 9 8 P D + w 0 / 3 d 2 + 7 F B i + e b B L G m p n / 3 Y a y r 6 5 / / D B G P Q f f M n j b H 1 p e G 4 8 r r 6 x r c f U N 7 b 1 e P r G t r 6 e u r l x h J t u J o m v r c x b 2 7 d 4 L T L n t 1 V a 7 4 F c Z J Z v q 7 r e o 5 f 3 m W p f g d 3 c + H 0 m 2 1 d g N z f u T / a G x v 0 5 3 t C 4 P 7 M b B u j a f t p V Y O + V x X p w i y y W 7 S F U X r f L Y r k O h p W X 6 e D e v b 2 D B 3 u f P l C n L T p y j 5 / f 5 z W P o c 1 r t 3 S s t P n w X H h c f G N b j 4 l v b O v x 8 I 1 t f Y V 1 c + M I 9 9 z W s b p V + 8 j U 3 l Z H 3 a r 9 e 0 6 m r 5 1 u 1 f 5 9 Z t T X S z c 3 f p 8 5 9 f X S z Y 3 7 c 7 q h c X 9 C N z T u z + a G A b q 2 D 7 p 6 6 T 3 z V w / u 3 a y Z b B + h Z l K j c + s O h j W T 6 e D e v Y d 7 D w 7 o G e 8 c 3 E 4 5 v e e b H k u b N 2 + p n 7 T 5 8 J x 4 3 H x j W 4 + Z b 2 z r 8 f K N b X 3 9 d H P j C B f d V j / d q n 1 k g m + r n 2 7 V / j 0 n 0 9 d P t 2 r / P j P q 6 6 e b G 7 / P n P r 6 6 e b G / T n d 0 L g / o R s a 9 2 d z w w B d 2 4 O u f n r f r B T 8 j Z s U l O 0 k V F D q q d y 6 g 2 E F Z T p 4 s P + A M u x j h L 6 D f O O x 8 f u 8 5 n G z e e 2 W q k m b D 0 + H x 8 g 3 t v X 4 + M a 2 H h v f 2 N Z X T T c 3 j j D Q b V X T r d p H p v a 2 q g n t b 2 z / n p P p q 6 Z b t X + f G f V V 0 8 2 N 3 2 d O f d V 0 c + P + n G 5 o 3 J / Q D Y 3 7 s 7 l h g K 7 t Q 1 8 1 H X y d n N T B z s 2 6 y f Y S 6 C a 8 + V 4 d D O s m 0 8 G n u / s U n x 0 8 G B 9 8 e j v t 5 F 6 8 t 3 u w s 7 O J 4 T x + N m / t f v r w x s 4 8 t t b X h i f G Y + k b 2 3 o c f W N b j 6 F v b O s r q Z s b R 1 j p N k T x l Z V 5 b / t W L 0 Y m / b Z a 6 7 0 Q j M z 2 b b X X e / X z P l P u a 7 G b G 7 / P p P t a 7 O b G / U n f 0 L g / 0 x s a 9 2 d 3 w w B t 2 0 9 3 u l r s v R J T B 7 s 3 a j D X Q 6 j B d t + z g 0 E N Z j v Y 3 f n 0 4 N P 9 + / c f j v c 3 L S 8 7 t n 7 f N x 1 j 2 z c 3 M b b j a 9 N 8 e E Y c L 9 / c 1 r H y z W 0 d J 9 / c 1 l N f t 2 g c 4 a G N U h 7 h i I 3 t I x N 8 S 2 1 1 u / b v O Z m e l r p d + / e Z U U 8 7 3 a L x + 8 y p p 5 1 u 0 b g / p x s a 9 y d 0 Q + P + b G 4 Y o G u 7 2 9 V O 7 5 m e O r g 5 P e X 6 C P X T 7 d J T r o N h / W Q 6 2 N 0 9 + B S O 0 i a 2 8 b j 4 f V 7 z m N m 8 d k v N p M 2 H Z 8 P j 4 x v b e m x 8 Y 1 u P i 2 9 s 6 2 u m m x t H + O e 2 m u l W 7 S N T e 1 v N d K v 2 7 z m Z v m a 6 V f v 3 m V F f M 9 3 c + H 3 m 1 N d M N z f u z + m G x v 0 J 3 d C 4 P 5 s b B u j a 7 n U 1 0 / s m p g 5 u T k y 5 T k L V d L v E l O t g W D W Z D v Y O P t 3 Z / X S s O i 8 6 d o + L 3 + M t j 5 f N W 7 d U T N p 8 e D I 8 N r 6 x r c f F N 7 b 1 m P j G t r 5 i u r l x h H 1 u q 5 h u 1 T 4 y s b d V T L d q / 5 6 T 6 S u m W 7 V / n x n 1 F d P N j d 9 n T n 3 F d H P j / p x u a N y f 0 A 2 N + 7 O 5 Y Y C u 7 T 1 f M T 3 8 O m m p h z s 3 a y b b S 6 C Z H u r 0 3 r q D Y c 1 k O r j 3 g D I B B z v 3 x 3 s H t 1 N O 7 s W D + 3 v 3 7 t 8 f f / r g d v r J v P j g 0 / 3 9 h 2 M Y g 8 G 3 P M b W t 4 a n x m P q G 9 t 6 P H 1 j W 4 + l b 2 z r q 6 m b G 0 e Y 6 R Y 0 8 b W V e W 3 7 N u 9 F J v 2 2 W u t 9 0 I v M 9 G 2 V 1 / t 0 8 z 7 T 7 e u w m x u / z 4 T 7 O u z m x v 0 J 3 9 C 4 P 8 0 b G v f n d s M A X d v 9 r g 5 7 r 6 T U w 9 2 b 9 Z f t I d R f O r W 3 7 m B Y f 5 k O 7 u / c 2 9 v b O 3 g 4 f r h 3 O / 3 1 f i 9 6 X G 1 e v K V / p c 2 H 5 8 P j 5 B v b e o x 8 Y 1 u P j 2 9 s 6 y u u m x t H O O i 2 / t W t 2 k e m 9 7 a a 6 l b t 3 3 M y f R V 1 q / b v M 6 O + b r q 5 8 f v M q a + b b m 7 c n 9 M N j f s T u q F x f z Y 3 D N C 1 v d / V T e + Z k n p 4 7 2 b t Z P s I t d O 9 9 + x g W D u Z D j 6 9 t 7 N z b / f + z n h P Y 8 r o 6 D 0 + 9 l 6 8 f + / T 3 f v j B 7 f 0 r s y L 2 / d 3 9 j + 9 P 7 6 / S a l 5 f K 2 v D c + M x 9 M 3 t v V Y + s a 2 H k f f 2 N b X U j c 3 3 n 3 8 t Y j i a y v z 3 m 1 e i 8 z 6 b V 6 L z P l t d d f 7 d N O f 6 l u r s J s p / T 7 z 7 a u w G x v 7 K u z m x n 3 l s a F x f 5 Y 3 N O 7 P 7 Y Y B u r a f d l X Y + + a u H t 6 / W Y f Z T k I d p n r m 1 h 0 M 6 z D T A e X g 7 z + 8 P 9 6 5 p X / 1 P q 9 5 T G 1 e u 6 V 3 p c 2 H p 8 N j 5 B v b e n x 8 Y 1 u P j W 9 s 6 + u t m x t H G O i 2 3 t W t 2 k e m 9 r b e 1 a 3 a v + d k + q r p V u 3 f Z 0 Z 9 1 X R z 4 / e Z U 1 8 1 3 d y 4 P 6 c b G v c n d E P j / m x u G K B r + 6 C r m t 4 3 e 3 U P 6 2 Q 3 6 S b b i 6 + b 7 p k V t l t 3 M K y b T A d 7 D x 8 8 3 L 1 / s N l L 8 h j Z v L e 7 f 3 D / / t 7 O e P 9 2 y s m 9 9 v D e p / c O x v c 2 d e f x t b 4 3 P D M e T 9 / Y 1 m P p G 9 t 6 H H 1 j W 1 9 L 3 d w 4 w k u 3 o o q v r s y L 2 7 d 7 M z L v t 1 V c 7 4 d i Z M Z v q 8 H e r 6 P 3 m X Z f l d 3 c + H 0 m 3 l d l N z f u T / y G x v 3 J 3 t C 4 P 7 8 b B u j a H n R V 2 f s k s e 7 t 3 C K J Z X s I 1 d i t k l h e B 8 N q z H S w v 3 / / 0 / u f 7 o 5 v 6 W K 9 z 2 s e T 5 v X b u l i a f P h u f C 4 + M a 2 H h P f 2 N b j 4 R v b + s r r 5 s Y R 7 r m t i 3 W r 9 p G p v a 2 m u l X 7 9 5 x M X 0 H d q v 3 7 z K i v l 2 5 u / D 5 z 6 u u l m x v 3 5 3 R D 4 / 6 E b m j c n 8 0 N A 3 R t H / b 1 0 n t F f 5 T 5 u V k 1 2 U 5 C 1 X S r 6 M / r Y F g 1 m Q 5 2 P 6 V F v v H D / d t p p v d 4 y + N l 8 9 Y t F Z M 2 H 5 4 M j 4 1 v b O t x 8 Y 1 t P S a + s a 2 v m G 5 u H G G f 2 y q m W 7 W P T O x t F d O t 2 r / n Z P q K 6 V b t 3 2 d G f c V 0 c + P 3 m V N f M d 3 c u D + n G x r 3 J 3 R D 4 / 5 s b h i g b f t g x 1 N M 9 3 a / T u w H p r 5 B M 7 l e A s 2 0 q 9 N 7 6 w 4 G N Z P t g G K / B w / 2 P h 0 f f H o r 3 W T f o 9 h v / 2 D n 0 1 v G f t 5 r D / c e I m T c 1 J 3 j a / P e 8 M w 4 n r 6 5 r W P p m 9 s 6 j r 6 5 r a e l b t E 4 w k u 3 o o q n r u y L 2 7 d 7 M z L v t 1 R c 7 4 l i Z M Z v q c H e s 6 P 3 m X Z P l d 2 i 8 f t M v K f K b t G 4 P / E b G v c n e 0 P j / v x u G K B r u 9 t V Z e 8 V + 4 G R b 1 J j t o d Q j e 2 + Z w f D a s x 0 Q E H c / v 7 u w 1 v G f u / 1 m s f T 5 r V N P O 2 x t D Y f n g u P i 2 9 s 6 z H x j W 0 9 H r 6 x r a + 8 b m 4 c 4 Z 6 N A h 7 h h Y 3 t I 1 N 7 W 0 1 1 q / b v O Z m + g r p V + / e Z U V 8 v 3 d z 4 f e b U 1 0 s 3 N + 7 P 6 Y b G / Q n d 0 L g / m x s G 6 N r u 9 f X S + 8 V + u z Y 0 G 1 Z N t p N Q N d 0 u 9 n M d D K s m 0 w F F c X s H 4 9 1 b a q b 3 e M v j Z f P W L R W T N h + e D L D x b d t 6 X H x j W 4 + J b 2 z r K 6 a b G 0 f Y 5 7 a K 6 V b t I x N 7 W 8 V 0 q / b v O Z m + Y r p V + / e Z U V 8 x 3 d z 4 f e b U V 0 w 3 N + 7 P 6 Y b G / Q n d 0 L g / m x s G 6 N r e 8 x X T 3 t e J / U C A m z S T 7 S X Q T H s 6 v b f u Y F g z m Q 4 + v U f r f v t j h L + D j O P x s X l t E 5 9 5 b P w + v X j c r K 8 N z 4 f H y T e 2 9 R j 5 x r Y e H 9 / Y 1 t d N N z e O c N B t i O L r K P P e 9 q 1 e j M z 1 b Z X V e y E Y m e 3 b K q 3 3 6 u d 9 p t x X X j c 3 f p 9 J 9 5 X X z Y 3 7 k 7 6 h c X + m N z T u z + 6 G A b q 2 + 1 3 l 9 V 7 R H s Z z k + K y P Y S K a / c 9 O x h W X K a D 3 Y c 7 D 3 f u U d L q d o r r f V 7 z W N q 8 d k u n S p s P z 4 X H x T e 2 9 Z j 4 x r Y e D 9 / Y 1 l d c N z e O c M 9 t n a p b t Y 9 M 7 W 3 1 1 K 3 a v + d k + v r p V u 3 f Z 0 Z 9 v X R z 4 / e Z U 1 8 v 3 d y 4 P 6 c b G v c n d E P j / m x u G K B r e 7 + v l 9 4 v 2 t u 7 R b R n O w l V 0 + 2 i P d f B s G o y H d z b v X c w x l w P c o 3 H x L d / y e N k 8 9 I t 1 Z I 2 H 5 4 K j 4 l v b O v x 8 I 1 t P R a + s a 2 v l m 5 u H G G e 2 6 q l W 7 W P T O t t 1 d K t 2 r / n Z P p q 6 V b t 3 2 d G f b V 0 c + P 3 m V N f L d 3 c u D + n G x r 3 J 3 R D 4 / 5 s b h i g a / u p r 5 b u f Z 1 Y 7 9 7 O z X r J 9 h L o p X s 6 v b f u Y F g v m Q 4 + v X e w t 7 c 7 3 t + / n W Y y r 2 3 i M 4 + N 3 6 c X j 5 v 1 t e H 5 8 D j 5 x r Y e I 9 / Y 1 u P j G 9 v 6 u u n m x h E O u g 1 R f B 1 l 3 t u + 1 Y u R u b 6 t s n o v B C O z f V u l 9 V 7 9 v M + U + 8 r r 5 s b v M + m + 8 r q 5 c X / S N z T u z / S G x v 3 Z 3 T B A 1 / Z B V 3 m 9 V 6 x 3 7 x a x n u 0 h V F y 3 i / V c B 8 O K y 3 S A o O 3 h / f 3 b x n r v 8 5 r H 0 u a 1 W z p V 2 n x 4 L j w u v r G t x 8 Q 3 t v V 4 + M a 2 v u K 6 u X G E e 2 7 r V N 2 q f W R q b 6 u n b t X + P S f T 1 0 + 3 a v 8 + M + r r p Z s b v 8 + c + n r p 5 s b 9 O d 3 Q u D + h G x r 3 Z 3 P D A F 3 b g 7 5 e e r 9 Y 7 9 4 t Y j 3 b S a i a b h f r u Q 6 G V Z P p g M K 2 h + N P b 6 m Y b v + S x 8 n m p V u q J W 0 + P B U e E 9 / Y 1 u P h G 9 t 6 L H x j W 1 8 t 3 d w 4 w j y 3 V U u 3 a h + Z 1 t u q p V u 1 f 8 / J 9 N X S r d q / z 4 z 6 a u n m x u 8 z p 7 5 a u r l x f 0 4 3 N O 5 P 6 I b G / d n c M E D X 9 q G v l v a / T q y 3 v 3 O z X r K 9 B H o J b 7 5 X B 8 N 6 y X S w v / f p / d 3 7 + w / 3 x v u q 9 K I E 8 F j Z v H n v / o O H D z / d u X 9 / v P / 4 V g r K v P j p w f 3 d h / v 3 H o x 3 N v X o M b e + O D w 9 H m P f 2 N b j 6 x v b e m x 9 Y 1 t f V d 3 c O M J Q t y O L r 7 T M m 9 u 3 f D U y / b f V X + + J Z G T W b 6 v J 3 r O n 9 5 l 6 X 6 f d 3 P h 9 J t / X a T c 3 7 k / + h s b 9 + d 7 Q u D / D G w Z o 2 x 7 s d H X a e 4 W A + 7 s 3 6 j P X Q 6 j P d t + z g 0 F 9 Z j s 4 2 N / 9 9 O D e z s 4 m d n N 8 / V 6 v O a a 2 r 2 1 q 7 n j a N B + e C 8 f F N 7 d 1 T H x z W 8 f D N 7 f 1 F N g t G k e 4 Z 6 O E R 3 h h Y / v I 1 N 5 S V 9 2 u / X t O p q e h b t f + f W b U 0 0 u 3 a P w + c + r p p V s 0 7 s / p h s b 9 C d 3 Q u D + b G w b o 2 u 5 2 9 d K p q K X 0 5 N u n P 3 E 7 1 b F 3 s 2 6 y v Y S 6 a e 8 9 O x j W T a a D T Q z j 8 a 9 p / u m D H d J J D / b H 9 x 7 e T i u Z F 7 d v 9 6 b H 0 v r m 8 K R 4 7 H x j W 4 + b b 2 z r M f O N b X 0 F d X P j C B v d k i 6 + r n q / u f C 1 1 n u + G Z n / 2 + q v 9 + y p P + 2 3 1 m Q 3 U / 1 9 5 t 7 X Z D c 2 9 j X Z z Y 3 7 k 7 + h c X + 6 N z T u z / C G A b q 2 e 0 O a 7 M 2 r 2 6 m Z e z f r M d t H q M f u v W c H w 3 r M d H C w 9 / D + w a e 7 u z u 3 T L S 7 F + / t 7 t x 7 s P v g 3 n j / 0 9 u p N P P m 9 u 7 + / d 2 d T / f G n 2 5 6 0 W N t f X F 4 c j y 2 v r G t x 9 U 3 t v W Y + s a 2 v k a 7 u X G E n W 5 H F l + h m T d v 9 2 J k 8 m / 3 Y m T y b 6 v O 3 q + j / p T f W p v d T P H 3 m X d f m 9 3 Y 2 N d m N z f u T / y G x v 2 5 3 t C 4 P 7 8 b B u j a 3 u t q s / d N z S P X d J M 6 s 5 2 E 6 u x 2 q X n X w b A 6 M x 3 s 7 + z f w / L f g 9 s p s / d 5 z W N r 8 9 o m 7 v S Y W Z s P T 4 f H y D e 2 9 f j 4 x r Y e G 9 / Y 1 t d f N z e O M N B G U Y 3 w w s b 2 k a n d 2 D 4 y p 7 f V U b d q 3 5 / N W 6 u m m 4 n 5 P l P q q 6 Y b G / u q 6 e b G / T n d 0 L g / o R s a 9 2 d z w w B d 2 3 1 f N d 3 / O u n 5 + z s 3 6 y b b S 6 C b 7 u v 0 3 r q D Y d 1 k O t h / e L D 7 8 N 7 O A e m Z 3 V v q J / P q 3 v 6 D T 5 H R u m 1 O y 7 5 3 f + f + p 7 f o 0 m N v f X V 4 g j z W v r G t x 9 k 3 t v U Y + 8 a 2 v r K 6 u X G E p W 5 L G F 9 x m X e 3 b / 1 y h A l u q 8 X e G 9 H I 7 N 9 W o 7 1 3 X + / D A r 5 2 u 7 n x + z C B r 9 1 u b t x n g g 2 N + 7 O + o X F / l j c M 0 L W 9 3 9 V u 7 5 W o v 7 9 7 s 2 a z P Y S a b f c 9 O x j W b K a D B 7 d R T x 5 z v 9 d 7 H m O b 9 2 7 p d 2 n z 4 d n w + P j G t h 4 b 3 9 j W 4 + I b 2 / q q 7 O b G E f 6 5 r d 9 1 q / a R y b 2 t x r p V + / e c T F 9 L 3 a r 9 + 8 y o r 5 l u b v w + c + p r p p s b 9 + d 0 Q + P + h G 5 o 3 J / N D Q M 0 b R 8 c f N r V T O + Z 4 L p / 7 2 b d Z P s I d d O 9 9 + x g W D e Z D m 7 l O n l s 7 N 4 7 2 L + / 9 2 D n 4 J Y x o X l v + 2 D v p r c 8 p t a 3 h q f F Y + g b 2 3 r 8 f G N b j 5 1 v b O u r q J s b R x j p F j T x N Z V 5 7 R Z v R S b 8 F m 9 F p v u 2 W u s 9 e u l P 8 6 1 1 1 8 1 U f p + 5 9 n X X j Y 1 9 3 X V z 4 / 5 k b 2 j c n + I N j f s z u 2 G A r u 2 D r u 5 6 3 3 T W f Z t t G l Z e t p N Q e d 1 / z w 6 G l Z f p g F 7 5 d J f 4 b H x v / 3 b a 6 / 1 e 9 P j a v H h L 1 0 q b D 0 + J x 8 w 3 t v V 4 + c a 2 H i v f 2 N b X W z c 3 j j D R b V 2 r W 7 W P T O 9 t X a t b t X / P y f T V 0 6 3 a v 8 + M + u r p 5 s b v M 6 e + e r q 5 c X 9 O N z T u T + i G x v 3 Z 3 D B A 1 / b A q q f f O 9 3 Z T V 8 f v 1 d G a 3 9 n B z x 9 k 3 q y n T j 1 p G + + V w f D 6 s l 0 s P v w / u 6 n D w 8 e 7 u 2 O H 3 5 6 O w V l X t 3 b 2 X t A a 9 z 7 n z 4 c 7 + / d T k W Z V / d 3 9 g 5 2 7 9 + 7 P / 7 0 l k 6 W R X f 3 0 7 2 D h z s H 9 8 Y Q x s E 3 P U a 3 2 F I 4 v L e z e + 8 e K d S D D a 9 6 b O 9 e 3 d / 9 d P 8 e X j 3 Y N F B P C N 4 T X 1 / N 2 V d 3 P n 1 A C 7 T 0 6 v 2 N P k q E N b c f f L q z 8 + D + / o P N C 7 u + / j O v 3 v L N C C f d 8 s 0 I I 9 1 W J 7 5 n T x H 2 u a 1 2 f N 8 5 i D D N w / v 3 H z x 8 + H B 8 f y O O E Z b Z v t W b v h K 9 z e h 8 P f p e K P o 6 9 V Y d R V j j V h 1 5 C D 4 M V e z t s 2 p Q f r f I q l n 4 o X a 9 R V Y t 6 G B Y u 5 o O 9 h / s 7 N 3 b 2 f + U t O v u J s 3 h C Y V 9 9 T 4 C 3 v v 3 d v f H 9 2 + p X c 2 r p J j 3 9 u 4 f P D w Y 3 3 9 4 O / V q 3 t x + c G + f P M 4 d p c R N u t W 8 d v / T v Y f 3 P n 2 w f 2 9 n / O k t d a v / 6 j 7 1 S b r 1 0 0 3 I e o L y P s j 6 i l X f 2 2 D k I y w I W j 6 k J Z 9 P x x t 5 N 8 J c 2 7 d 8 N c I 2 G 9 V U h F d u 2 V O E V T b 2 F G G Q W / b U 5 5 E N V I 9 w x a 2 m N s I S t 3 j N V 5 z v 8 1 q E N z a q w Q h H 3 K a b 9 + U G 2 / z h T q g 0 3 y f h B 6 1 2 c 8 L P 9 R C q z V s k / I I O B t W m 7 W B / Z / / + 7 r 3 7 B / u f j h / e T m 2 6 V + 8 9 / H T v H r m l u + N N m s i J g n 1 z m x z E 3 R 0 g O z 7 Y 9 K q T C v v q p h l y o u B w 3 K V 1 5 E 8 f 3 N / b G T / Y p P O c Y L z 3 q 0 4 2 b o W k p y Z N + 1 u p y f c m n q c o 7 b u 3 f T X C K L d 9 N c I o G 8 k R Y Y / b d v W e 7 O G p y l t Q P s I R G 4 G / J x t 4 u v F 2 7 S O c s L F 9 Z P Y 3 t o 9 M + c b x u u a 7 o T Y 8 + 8 n j 9 P d J T 7 7 8 4 u z 1 2 Z c v b q e w 9 m / W i L a X U C P u v 2 c H w x r R d E B x 6 / 7 O p 3 v j T x X 0 T e r w v d 7 z u N 2 8 t 4 n K H o f f p r n H 4 B Y r c o g f P t z 5 d G f 8 c J M s e d z + n m 9 6 f H 8 b F H 3 1 p + 1 v p / 5 u B T z C L x v b R 6 Z / Y / v I t N 9 W u d 2 q / X v O t 6 / R b i Z m Z I 5 v q 9 F u 0 9 7 X a L d q / 5 6 T 6 2 u 0 W 7 V / 3 8 l 1 z f c 6 G u 1 9 F k W g b W 5 e F H F d h O r s F o s i Q Q f D 6 s x 0 Q J 7 d 3 n 1 y 0 e 5 v E m K P r 9 / r P Y + / z X u 3 V G e 3 a e 5 x t 8 V q 9 + D h / X u 3 9 u X e 5 z W P 3 W + D n C o y v / 3 t F N m t g E c 4 5 b a K 7 F b t I x N + W 0 V 2 q / b v O d O + I r u Z m J E J v q 0 i u 0 1 7 X 5 H d q v 1 7 T q 6 v y G 7 V / n 0 n 1 z W / 5 y u y v f f L 7 m F Y N 2 k x C z / Q Y n j z v T o Y 1 m K m A y y c 3 N / f v f f p e G f v d n r s P d / 0 G N y 8 e U t N p s 2 H + d X j 7 R v b e q x 9 Y 1 u P r W 9 s 6 2 u r m x t H O O i 2 2 u p W 7 S M T f F t t d a v 2 7 z m Z v r a 6 V f v 3 m V F f W 9 3 c + H 3 m 1 N d T N z f u z + m G x v 0 J 3 d C 4 P 5 s b B u j a 7 o e 6 6 T 2 T a O j 1 J u 1 k e w i 1 0 7 3 3 7 G B Y O 5 k O K F u x e / / T + / v 7 4 x 1 1 4 K K D 9 9 j 4 P d / 0 G N q 8 e U v t p M 2 H Z 8 T j 5 R v b e q x 8 Y 1 u P k 2 9 s 6 2 u n m x t H e O i 2 2 u l W 7 S M T f F v t d K v 2 7 z m Z v n a 6 V f v 3 m V F f O 9 3 c + H 3 m 1 N d O N z f u z + m G x v 0 J 3 d C 4 P 5 s b B u j a 3 j e 6 4 / V x u n M v f X 3 8 / O m X 6 c m b 4 / T J 8 Y u b 9 Q c t K N 7 b u V l B 2 U 6 c g t I 3 3 6 u D Y Q V l O q B 3 K K f 6 6 f 3 7 O + M d V X 9 R A n i s 7 L 1 6 7 9 N 7 B 7 s U C m 6 K n j y m t m 8 + O H i A h N j G C N J j b v P e v R 1 K u + + P 9 z c p R I / H z W u f P t x 5 s L t P q 7 j j A / U / b 9 J h / p u 0 g v 6 Q l P A t A 8 T 3 Q d V X b v a 9 B / d 2 y C N 9 s G k u f D 1 n S b r / g J Z v D 8 Z m I e h G h W d e 3 L 7 d m x H W u a 3 q e z 8 U I + x y W x 3 4 f h 1 F G O V W x I + w y f a n + / e I n f c 2 s b O v I i 1 7 3 f y a r y z f 5 7 U I i 2 w i o 6 8 5 3 6 e b 9 2 U L 1 / z T U I 3 e P g C F g r t F A G r h h x r 0 F g F o 0 M G w B j U d 7 N F i / P 1 7 D / Z 3 9 8 b 7 t 1 O g w Z v 3 7 z 9 8 u H v r C N S 8 u r 1 7 c P / B w f j T T a 9 5 k m F e 2 z Q 3 n j y Y 5 q T g d z / d p / 8 O x v u 3 1 J z v + 6 o n F b d B 0 l e Z 2 n 6 D 0 Y 6 w 2 2 0 I 5 6 t J O 5 5 b v B Z h j t u 8 F u G M 2 3 q J 7 9 P N e 7 K D r x 9 v p n S E A z Y C f 8 9 p 9 7 X g r d p H Z v 6 2 6 u 9 W 7 S N T f U u 9 9 y D U e + 8 T 3 E I x 3 S K 4 t T 2 E m u 8 W w W 3 Q w b D m M x 3 c 2 / / 0 / s G n e 5 8 + v D e + 9 + n t V J / / K p m M B 7 v 3 x / s P b q f 6 z K u f f v r w w Y P x w S Z / z G N 1 8 9 Y t N Z 9 p j k j / w b 2 H B w d 7 G 3 1 b j + 3 f 8 0 1 P A G 6 D o q / 3 t P 3 t 9 N 5 7 U M 1 X e + a 1 7 d u 8 F 2 G N 2 / q G 7 4 N e h B d u 6 x m + T z d 9 b r i d 3 r s V T u 8 5 7 b 7 e u 1 X 7 y M z f V u / d q v 3 7 T r V r f h D q v b O f P E 5 / n / T k y y / O X p 9 9 + e J 2 q m n / Z t 1 n e w l 1 3 / 5 7 d j C s + 0 w H e 3 s U 3 u 0 / u L X i e 6 / 3 P E 4 3 7 2 2 i s s f o t 2 n u M b h p v r v 7 c I + U 8 e 0 0 3 e 1 f 8 r j 9 N o j 5 S k 7 b 3 0 7 J 3 Q p 4 h E s 2 t o 9 M + m 2 1 2 q 3 a v + c k + + r s V u 3 7 0 3 w 7 P X Y r 4 O 8 5 s 7 4 e u 1 X 7 9 5 x c X 4 / d q v 3 7 T q 5 r / r C j x 1 6 8 S T 8 / f n H 8 t B e 6 D u i Y + z c r M d t F q M Q 0 l X S T E r M d D C s x 0 w G t Z j z 4 d H x f t e N N K u w 9 3 v J 4 2 7 y 1 i b w e a 2 v z Y V b 1 2 P r G t h 5 X 3 9 j W 4 + g b 2 / q K 6 u b G E e a 5 r a K 6 V f v I x N 5 W U d 2 q / X t O p q + o b t X + f W b U V 1 Q 3 N 3 6 f O f V V 1 M 2 N + 3 O 6 o X F / Q j c 0 7 s / m h g G a t g c 7 O 7 5 a 2 v 8 a q x L 7 O z c p J q + T Q D H t 6 + z e u o M h x e Q 6 e E g K 5 t N b q S X 3 z i Y e s y z s m u 9 9 u n e w s / 9 w / H D 3 N o o p e O / B z o N 7 4 7 1 N Y a t l a f f e g 4 d 7 4 4 N N C R r L 2 V 5 f D w 4 2 E c G y 9 3 t i 5 9 R X 8 O L D n U 9 v W r C I M N y N U + X 0 m X t p + + a 3 I l x x O 6 3 2 P q h F + O J 2 q u 1 9 O o k w w + 2 o H e G I 7 V 1 k i / H N 8 G s R t r j 5 L a f + 3 u u t C E N s I q B T h e / V y / v y g m u + G 6 r F r x F 1 7 u / f r B d t L 6 F e V K 6 4 d Q f D e t F 0 s D P e p K 0 8 E b j d C x 7 7 2 x d u p w 1 v 0 9 z j e 9 P 8 / v 1 P N 0 2 0 x / C 3 f M P j 9 d u g 5 G s + b b / B u k b 4 a C P w C E d s b B + b 4 F u q u F u 1 f 8 / p 9 b X b r d r 3 J 3 g D M S N z u x H 4 e 8 6 s r 7 9 u 1 f 4 9 J 9 f X X L d q / 7 6 T 6 5 r v d X T W e 0 a Y s C k 3 K S z b R a i w b h d h u g 6 G F Z b p Y J e W R j c v I X t M f f u X P M 4 2 L 9 1 S c d 2 m u c f X D q X 9 / Y 2 q 1 G P v W 7 / j s f h t 0 P K V l 7 a / n f K 6 F f A I d 9 x W e d 2 q f W S e b 6 u 8 b t X + P e f Y V 1 4 3 E z M y u 7 d V X r d p 7 y u v W 7 V / z 8 n 1 l d e t 2 r / v 5 L r m 9 3 z l d f 9 r x K H 3 d 2 5 W X 7 a T Q H 3 d V x R v 3 c G w + j I d b B q 0 x 9 C 3 a e 7 x 8 2 2 a e + x 8 m + Y e N 9 + m u c f P p v n u w 0 9 v t 2 B 5 u x 5 8 Z X X b L n y d d a s + I i x x W 5 1 1 q / b v O c W + z r p V + / e c Z F 9 n 3 Z q m k a n e v v G l y G T f 9 I 6 v w 2 7 9 z n t O u K / H b t 3 H + 0 6 6 a 7 4 f 6 r K z F 5 + / O n 1 9 S y / s / u 7 N a s z C D 9 W Y u g y 3 7 m B Y j Z k O b q n G b t P c Y / H b N P c 4 / D b N P Q Y 3 z f c o T Y I / B t / x G P z W 7 3 j 8 f R u 0 f G W m 7 d H u Z i 1 2 K + A R j r i t F r t V + / e c Y V + L 3 a r 9 e 8 6 x r 8 V u J m Z k d j c C f 8 + Z 9 b X W r d q / 5 + T 6 G u t W 7 d 9 3 c l 3 z + x 1 t 9 f 6 p L i z p 3 a S z b C + h z t p / z w 6 G d Z Z 2 M M w S H j v f 2 N Z j 5 R v b e m x s B n l L V W W a H 9 x / M D 6 4 n a a 6 7 S s e O 9 8 G K V 9 R 3 T h g X 1 H d C n i E D W 6 r q G 7 V v j + z t 1 Z U t 2 r / n j P s K 6 q b i d m b 3 N s r q t s g 4 y u q W 7 V / z 8 n 1 F d W t 2 r / v 5 L r m n / q K 6 t O v E S J + u n O z n r K d B H r q U 0 X x 1 h 0 M 6 y n T w a f 3 d x 7 c 3 3 2 w 8 3 D 8 6 b 0 N 4 / d 4 O 3 z z 0 4 f 3 x v c 3 O b A e l 5 s 3 9 x 6 O H 2 z S G h 6 j m 1 d 2 7 4 0 f 7 N 9 O n d l X d u 7 d 3 9 / f e 7 D 3 6 f j + 7 b R a 9 8 2 D g / H D T U T x Z O C 2 e P o a z r x D K 3 C Q 1 e F 3 I s y 3 + + l m D 9 F X d u a d 7 R t f i v D H b T X e r R G L 8 M N t t d 6 t + 4 h w w 4 1 E j v D B 9 q d 7 4 / 1 N D O B r Q S s W N 7 z j a 8 J b v x P h g N t q w 1 v 3 8 b 6 T 7 5 o / C D X i e w W a n 9 4 i 0 L T w Q 2 V 4 u 0 D T d T C s D E 0 H u / d o O f z + z u 7 e 3 v h g E 7 N 4 f P + + r 3 r s b 1 7 d R G W P + 2 / T 3 G N 8 0 3 z v 4 N 7 9 g 4 d 7 n x 4 Q Y p v m 3 + P / 9 3 3 V k 4 L b I O n r Q G 2 P d j c r v 1 s B j / D N b b 2 8 W 7 W P z P 1 t v b x b t X / P G f d 1 3 c 3 E j E z y b b 2 8 2 7 T 3 d d u t 2 r / n 5 P p 6 7 V b t 3 3 d y X f O D U K e d i k p L 3 7 y 6 n d K 5 d 7 N W s z 2 E W k 0 F 7 d Y d D G s 1 0 8 E u + U D 7 D 3 b 3 9 x 6 O d z e J s c f Z 7 / u q x + T m 1 V t q t d s 0 9 1 j c I v b g Y P f + w d 7 D / d 0 x m H T w V Y / h 3 / d V j / d v g 6 S v 1 b T 9 7 b T a r Y B H + O a 2 W u 1 W 7 S N z v 7 H 9 e 0 6 4 r 9 V u 1 b 4 / 5 b f T a r c C / p 4 z 6 2 u 1 W 7 V / z 8 n 1 t d q t 2 r / v 5 L r m D 0 O t d v b i T f r 5 8 Y v j p 7 d 1 1 u 7 f r N Z s F 6 F a 0 x D s 1 h 0 M q z X T w a f 7 9 + 4 / e D B + s H c 7 l f Y + r 3 n c b V 7 b R G C P u W / T 3 O N t 0 3 x v 5 + H + p + O 9 T 2 + n y d 7 j L Y / V b 4 O a r 8 S 0 / e 2 U 2 K 2 A R 7 j k t k r s V u 0 j s 3 1 b J X a r 9 u 8 5 z 7 4 S u 5 m Y k f m 9 r R K 7 T X t f i d 2 q / X t O r q / E b t X + f S f X N g e P O i X 2 4 G s k 4 B 7 s 3 K j G X C e B G n u g K N 6 6 g 0 E 1 Z j v Y p 8 z b r T S Y e 2 M M t T / 4 h u N q + w a F p g 9 3 x w 8 2 x a W O t / 2 3 o F 4 2 J c 8 c h / v j e b g J P c f n 9 h X K t O 3 f S o e 9 D 2 q e K r O v 7 e 7 s 3 D v Y G e 9 t I o S n 1 d y Y 7 o / v b 7 I X n m a z 7 2 z f + F K E G W 6 p 3 m 6 P W I Q Z N v Y R Y Y M b + 4 g w w a 0 I H e G E 7 b 0 H 9 4 i 9 N 3 Y X Y Y e b 3 / L U 3 / u 8 F e G F T e T z l O D 7 9 P K + j O C a 7 4 a q 8 L 0 y b w 9 2 b 9 a C F n 6 o B X f f s 4 N h L W g 6 2 D R e j + 9 v 0 9 x j + d s 0 9 z j + N s 0 9 Z j f N 9 8 d 7 S p C b F N 4 t 3 / A 4 / D Y o + Z p O 2 6 P d z e r t V s A j 3 L C x / X t O r q / V b t X + P a f X 1 2 i 3 a t + f 4 A 3 E j M z t R u D v O b O + 1 r p V + / e c X F 9 f 3 a r 9 + 0 6 u a 7 7 X 0 V Q / e Z z + P u n J l 1 + c v T 7 7 8 s X t 1 M n + z f r K 9 h L q q / 3 3 7 G B Y X 2 k H w y z h s f O N b T 1 W v r G t x 8 Z m k L d U U 6 b 5 / f u f H t x O T f E b N 7 / h M f N t U P L V 1 I 3 D 9 d X U r Y B H m O C 2 a u p W 7 f v z e m s 1 d a v 2 7 z m / v p q 6 m Z i R u b 2 t m r p N e 1 9 N 3 a r 9 e 0 6 u r 6 Z u 1 f 5 9 J 9 c 1 v 9 d R U + + Z I H t w c 4 L M d R H q q N s l y F w H w z r K d P D w / h j D H x y 2 x 9 K 3 f c X j a v P K J s J 6 T H 2 b 5 h 5 P m + a 7 u / f G O 5 u i C I + 1 b / 2 O x 9 6 3 Q c t X X N r + d o r r V s A j n H F b x X W r 9 p F Z v q 3 i u l X 7 9 5 x j X 3 H d T M z I 7 N 5 W c d 2 m v a + 4 b t X + P S f X V 1 y 3 a v + + k + u a 7 / u K 6 + B r J M U O d m 5 W X b a T Q H U d K I q 3 7 m B Y d Z k O d v c 3 5 x w 8 p j a v b K K T x 9 O m + b 2 H O / d 3 x m Z Z 4 i b t 5 b 1 1 7 9 P N S 6 E e f 9 v R 7 I 1 3 N s V 7 H p e b V 2 6 f E n s P 1 H x F Z l 7 b x y L S Z q X v q 7 T b T p C v 1 s w 7 2 z e + F O G E 2 + q 2 W y M W 4 Y X b 6 r d b 9 x H h g d v Q O c I H l B B 7 s D t + + P C W S s + x z 0 1 v + a r v P d 6 K s M J t F e B 7 9 P K + f O C a 3 w / V 4 N c I M y F 3 N + l B 2 0 u o B / f f s 4 N h P a g d D F t G j / N v b O t x / I 1 t P W 4 3 g 7 y l x 2 a a f 7 p z b x O T e z x + y z c 8 9 r 4 N S r 6 S u 3 G 4 v m q 7 F f A I E 9 z W W 7 t V + / 6 8 3 t p b u 1 X 7 9 5 x f X 5 P d T M z I 3 N 7 W W 7 t N e 1 9 l 3 a r 9 e 0 6 u r 6 x u 1 f 5 9 J 9 c 1 / 7 S j p t 4 z z D y w U e C w j r J d h D p K H Z 5 b d z C s o 0 w H e w / H O 6 r 5 b l J V t 3 3 F 4 2 r z y i b C e k x 9 m + Y e T 1 u E P t 2 M k M f Z t 3 3 F Y + 7 b I O W r L W 1 / O 7 V 1 K + A R v r i t 2 r p V + 8 g c 3 1 Z t 3 a r 9 e 8 6 w r 7 Z u J m Z k c m + r t m 7 T 3 l d b t 2 r / n p P r q 6 1 b t X / f y X X N H / h q 6 + H X C D I f 7 t y s u G w n g e J 6 q C j e u o N h x W U 6 2 P t 0 Z 3 9 / / 8 G n B + O 9 T 2 + n v 7 w 3 q a + d n f 3 x R s / F 4 3 L z 5 r 2 d e / c o x 7 Z J c X i 8 b t 4 6 u H + f f O Z N X X k M 7 5 C 8 t U 6 z r 9 w 6 6 r w 9 Z r 5 i s 2 8 d 3 C M T A O 4 b f i 3 C d t v 3 7 + 9 R j L u z 8 b 0 I J 9 3 m t Q h / 3 O a 1 C H P c V v G 9 T z c R n r i t / n s f m k d Y g g L Q + w / G D z e + F u G L m 9 / y 1 e J 7 v B V h i 9 s q x / f o J c I N t 1 S R B 6 G K P H v x + a v T 1 7 d 0 6 x 7 u 3 q w d L f x Q O 2 p 6 6 d Y d D G t H 0 8 H 9 v Z 2 D g w e 7 D w 9 u p x r f 5 z V P C M x r m 6 j r M b 8 2 H z b m H u P f 2 N b j 9 h v b e i x + Y 1 t f 4 9 3 c O M I 7 G 1 k t w g s b 2 0 e m d m P 7 y J z e V q P d q n 1 / N m + t y m 4 m 5 v t M q a + 2 b m z s a 6 u b G / f n d E P j / o R u a N y f z Q 0 D d G 0 f h l r p V J R S + u b V s N r w 1 c a 9 m / W S 7 S H U S 5 q O v k k v 2 Q 6 G 9 Z L p 4 P 7 e 7 g 4 / t 9 N L 7 / O a x 8 r m t V v q J W 0 + P B c e F 9 / Y 1 m P i G 9 t 6 P H x j W 1 8 v 3 d w 4 w j 2 3 1 U u 3 a h + Z 2 t v q p V u 1 f 8 / J 9 P X S r d q / z 4 z 6 e u n m x u 8 z p 7 5 e u r l x f 0 4 3 N O 5 P 6 I b G / d n c M E D b F t j 7 e u l r p O s f 7 t + o m 1 w v o W 7 a f 8 8 O B n W T 6 W B 4 y I 5 5 b 2 7 r G P f m t o 5 p 7 S A 3 M a 3 j W d v 8 / v 1 P D z a 8 4 R j 3 t m 8 4 7 r 0 V S p 5 S u n m 4 n l K 6 H f A I E 9 x S K d 2 u f X 9 e b 6 u U b t f + P e f X U 0 q 3 I G Z k b j c C f 8 + Z 9 V T T 7 d q / 5 + R 6 C u p 2 7 d 9 3 c l 3 z 3 Y 6 a e s 9 0 / c O b 0 / W u i 1 B H 3 S 5 d 7 z o Y 1 l G m g 7 1 7 9 w 7 G R v f d p K x u / 5 L H 2 e a l T c T 1 G P s 2 z T 2 + N s 3 v 7 4 1 3 D m 6 n u W 7 7 i s f g t 0 H K V 1 3 a / n a q 6 1 b A I 7 x x W 9 V 1 q / a R W b 6 t 6 r p V + / e c Y V 9 1 3 U z M y O T e V n X d p r 2 v u m 7 V / j 0 n 1 1 d d t 2 r / v p P r m u 9 5 q m t 3 5 7 3 y U b s 7 u z f r L Q v f 1 1 v 8 5 n t 1 M K y 3 T A f 7 t 4 7 5 b v 2 K x 9 L m l V v q r N s 0 9 x j a N r 9 t R v 6 2 b 3 h 8 f R u U f I 2 l 7 W + n s W 4 F P M I V t 9 V Y t 2 o f m e H b a q x b t X / P + f U 1 1 s 3 E j M 3 t L T X W b d r 7 G u t W 7 d 9 z c n 2 N d a v 2 7 z u 5 r v k 9 X 2 P t v v 8 i 4 y 6 4 / C a 1 Z T s J 1 N a u o n j r D o b V l u l g 9 8 H m 1 T 6 P q c 0 r t 1 R Z p v n + p 7 u 7 D 8 e f f n o 7 z e W 9 t b M 3 v r 9 3 O w V m R 7 O / e T Q e l 5 t X b r 2 m + D 6 o + Y r M v k b r D n v j e w e b X o u w 2 U 0 T 5 K s 1 8 8 7 2 j S 9 F O O G 2 u u 3 W i E V 4 4 b b 6 7 d Z 9 R H j g N n S O 8 A E t J H 7 6 c H y w i U 1 9 p e f Y 5 6 a 3 f N X 3 H m 9 F W O G 2 C v A 9 e n l f P n D N 9 0 M 1 + F 6 O G / j 8 J g 1 o 4 Y c a 8 H a O m + t g W A N q B 8 M 2 0 e P 5 G 9 t 6 v H 5 j W 4 / P z S B v 6 a e Z 5 r v j P Q 2 8 b 9 J y t 3 z D Y + z b o O S r t x u H 6 y u 1 W w G P M M F t / b R b t e / P 6 6 3 9 t F u 1 f 8 / 5 9 X X Y z c S M z O 1 t / b T b t P e V 1 a 3 a v + f k + m r q V u 3 f d 3 J d 8 / u h g n q / N c V d c N V N K s r 2 E K q o e + / Z w b C K 0 g 5 u p a J u b O u x 8 Y 1 t P R Y 2 g 7 y l i j L N D z Z G t h 4 X 3 + 4 F j 4 1 v g 5 C v o G 4 c r K + g b g U 8 w g K 3 V V C 3 a t + f 1 V s r q F u 1 f 8 / Z 9 R X U z c S M T O 1 t F d R t 2 l s F d d v 2 7 z m 5 v o K 6 V f v 3 n V z X / N N Q Q b 3 / 4 u I u O O U m J W V 7 C Z X U / n t 2 M K y k t I N b K a k b 2 3 q s f G N b j 4 3 N I G + p p E z z T z / d U z r c p K V u + Y b H z L d B y V d T N w 7 X V 1 O 3 A h 5 h g t u q q V u 1 7 8 / r r d X U r d q / 5 / z 6 a u p m Y k b m 9 r Z q 6 j b t f T V 1 q / b v O b m + m r p V + / e d X N f 8 Q U d N v d / i 4 i 6 m / S Y d Z b s I d Z R G L L f u Y F h H m Q 7 u 7 Y / 3 D j Y M 2 2 P p 2 7 7 i c b V 5 Z R N h P a a + T X O P p y 1 C u + P 7 S p m b t N Z t X / G Y + z Z I + W p L 2 9 9 O b d 0 K e I Q v b q u 2 b t U + M s e 3 V V u 3 a v + e M + y r r Z u J G Z n c 2 6 q t 2 7 T 3 1 d a t 2 r / n 5 P p q 6 1 b t 3 3 d y X f M D X 2 3 t f Y 0 0 P W h x k + K y n Q S K a 0 9 R v H U H w 4 r L d L B p 0 B 5 D 3 6 a 5 x 8 + m + d 7 u / o O 9 g / G D T T r C Y + v 3 e c 3 j 7 t s g 5 / G 3 7 e X W C f r 3 w c v X Y e 6 9 B / d 3 9 2 5 4 L 8 J i G z k y w i 0 b 2 7 / n 5 P v q 7 F b t I 9 O / s X 1 k 3 j e 2 j 0 z 4 r e g a m f n t G 6 b e 1 2 6 3 5 B Z f w d 3 2 l f e c c V / H 3 b a L 9 5 1 0 1 / x h q O a + R h C J g O Y m P W d 7 C f W c j u n W H Q z r O e 1 g 2 P J 5 b H 5 j W 4 / F b 2 z r s b c Z 5 C b K e 9 x t m t + / / + n B 7 T T a L d / w u P o 2 K P m a 7 M b h + u r r V s A j T H B b 9 X W r 9 v 1 5 v b X 6 u l X 7 9 5 x f X 3 3 d T M z I 3 G 4 E / p 4 z 6 y u r W 7 V / z 8 n 1 N d W t 2 r / v 5 N r m 9 3 Y 6 a u o 9 g 0 i k 1 m 7 Q U a 6 L U E f d L o h 0 H Q z q K N v B p i E 7 d r 5 V c 8 f N t 2 r u m P l W z R 0 v 2 + a 7 e w 8 / 3 b y k 7 n j 6 P V 5 y j H 0 r x D y V Z d r f S m X d D n i E J z a 2 f 8 8 p 9 l T W 7 d q / 5 y R 7 K u t 2 7 f v T f C u V d T v g 7 z m z n s q 6 X f v 3 n F x P Z d 2 u / f t O r m u + 6 6 u s e 1 8 j g E S H N y k t 2 0 m g t O 4 p i r f u Y F h p m Q 7 2 d h 6 M N 3 o d H l e b d z Y R y m N q 0 3 x / n x y b T 8 c P N i k K j 7 e 9 1 + 7 d f z j e + f R 2 m s w O a O / T 8 f 1 b K j L 7 z m 1 D y f d C z t d m 7 r 0 H D 3 c J w b 1 N 7 0 W Y 7 c Z p 8 r W b e W n 7 5 r c i H H F b H X d 7 1 C I 8 c V t F d / t O I q x w K 2 J H 2 G F 7 7 / 7 9 B + P 9 j X M b 4 Y m b 3 / K 1 4 H u 8 F e G H 2 + r C 9 + j l f V n B N d 8 L N a I X a 9 5 O X e 3 f r A 9 t F 6 E + V K m 9 d Q f D + l A 7 G L a Q H u f f 2 N Z j + B v b e s x u B r m J 7 B 6 b m + a 3 D j R v + 4 b H 2 7 d B y d d z N w 7 X V 2 6 3 A h 5 h g o 3 t + 3 N 6 a 4 1 2 q / b 9 u b 2 1 M r t V + / 4 E b y B m Z G 4 3 A n / P m f X 1 1 a 3 a v + f k + p r q V u 3 f d 3 J d 8 3 s d H f W e g e a 9 W w S a t o t Q R 9 0 u 0 H Q d D O s o 0 8 H + p / f G 9 z f p c o + n b / 2 O x 9 f m n U 2 k 9 d j 6 N s 0 9 r j b N P 7 2 / u x k j j 7 l v / Y 7 H 4 L d B y 1 d d 2 v 5 2 q u t W w C O 8 c V v V d a v 2 k W m + r e q 6 V f v 3 n G N f d d 1 M z M j s 3 l Z 1 3 a a 9 r 7 p u 1 f 4 9 J 9 d X X b d q / 7 6 T 6 5 r v + 6 p r / 2 s E n P s 7 N y s v 2 0 m g v P Y V x V t 3 M K y 8 T A d 7 9 8 i T 3 + S R e 1 x t 3 t l E K I + p T f P 7 O w 8 f P H y w O T P l 8 b b 3 2 n 2 K 6 T a G C x 6 L 2 w H R O x C V w X c 8 T r f v 3 D r g f B / k f G 1 m 3 6 P l 5 I P 9 8 b 1 N C P q K 7 d b T 5 G s 3 8 9 L 2 z W 9 F O O K 2 O u 7 2 q E V 4 4 r a K 7 v a d R F j h V s S O s A M F n H v 7 4 9 u u a X q c d 9 N b v h Z 8 j 7 c i / H B b X f g e v b w v K 7 j m 9 0 O N e P b i 8 1 e n r 2 / p y e 3 v 3 q w M L f x Q G e 6 + Z w f D y l A 7 G D a P H t v f 2 N b j 9 h v b e p x u B n l L t 8 0 0 3 9 s b 7 z y 8 n b a 7 7 S s e a 9 8 G K V / N 3 T h g X 7 f d C n i E D W 7 r t N 2 q f X 9 m b + 2 0 3 a r 9 e 8 6 w r 8 Z u J m Z k c m / r t N 2 m v a + u b t X + P S f X V 1 S 3 a v + + k + u a f 9 p R U S 4 n d v b l i 9 v p k f 2 b F Z X t J V R U + + / Z w b C i 0 g 5 u p a h u b O u x 8 o 1 t P T Y 2 g 7 y l o j L N b 5 8 W u + U b H j P f B i V f T d 0 4 X F 9 N 3 Q p 4 h A l u q 6 Z u 1 b 4 / r 7 d W U 7 d q / 5 7 z 6 6 u p m 4 k Z m d v b q q n b t P f V 1 K 3 a v + f k + m r q V u 3 f d 3 J d 8 w c d N f W e a b F 9 m 7 U a 1 l G 2 i 1 B H 3 X / P D o Z 1 l O l g / 8 H 9 8 Z 6 q v p t 0 1 a 3 f 8 f j a v L O J t B 5 b 3 6 a 5 x 9 W m + X 0 K I O 7 f 0 s G 6 9 T s e g 9 8 G L V 9 1 a f v b q a 5 b A Y / w x m 1 V 1 6 3 a R 6 b 5 t q r r V u 3 f c 4 5 9 1 X U z M S O z e 1 v V d Z v 2 v u q 6 V f v 3 n F x f d d 2 q / f t O r m t + 4 K u u + 1 8 j L X Z / 5 2 b l Z T s J l N d 9 R f H W H Q w r L 9 P B 7 r 2 H 4 7 2 D 2 y k v + 8 6 D g w f 3 D n b H W A s Z f M / j b v P e L R W Y 3 8 3 e P s V w m / S k x + T m v Y e 0 Z v / w l p r M v H P 7 x N h 7 Y e c r N O / F h 7 u 7 B + M d t U Q 3 K j f z 4 v b t u o x w 0 e 1 e j H H H r V 6 M s M h t F d / 7 d R R h k o 0 d R Z j j d t S P c M j 2 7 s G D T 8 c 7 m o u 5 U S n a / m 5 8 y 1 e N 7 / F W h E E 2 0 c J X k O / R S 4 Q n N l L c N X 8 Y q s n 3 y p X d t 6 m s N 4 M a 0 s I P N a S O 5 t Y d D G t I 0 8 G m 8 X q c f 5 v m H u P f p r n H 7 r d p 7 n G 7 a X 5 / Z 7 y / S U l 7 f H 7 b V z w e v w 1 S v g b U 9 m h 3 s 9 a 7 F f A I P 2 x s / 5 7 T 6 2 u 2 W 7 V / z w n 2 F d q t 2 v e n e A M x I 5 O 7 E f h 7 z q y v t 2 7 V / j 0 n 1 9 d Y t 2 r / v p N r m 2 M Z 0 d d V p 6 K q 0 j e v b q d M 7 t 2 o r V w P o b a 6 9 5 4 d D G o r 2 8 G 9 + w / 2 H 3 y 6 N z 6 4 3 V L n + 7 3 n 2 N u + d z v 9 Z Z o P c 6 v j 7 J v b O s a + u a 1 j 6 p v b e r r q F o 0 j / H N L X X W 7 9 p H J v a W u u l 3 7 9 5 x M T 1 f d r v 3 7 z K i n q 2 7 R + H 3 m 1 N N S t 2 j c n 9 M N j f s T u q F x f z Y 3 D N C 1 3 Q 0 1 0 9 d I 5 9 / f v 1 k 7 2 V 5 C 7 b T / n h 0 M a y f t Y H j I H v P e 2 N Z j 3 B v b e k x r B r m J a T 2 e N c 1 v n c 6 / 7 R s e 9 9 4 G J V 8 p 3 T h c X y n d C n i E C W 6 r l G 7 V v j + v t 1 Z K t 2 r / n v P r K 6 W b i R m Z 2 4 3 A 3 3 N m f d V 0 q / b v O b m + g r p V + / e d X N d 8 r 6 O m 3 j O d f / / m d L 7 r I t R R t 0 v n u w 6 G d Z T p g F J B 4 / u f 3 s 5 7 u v U 7 H l + b d z a R 1 m P r 2 z T 3 u N p i t P f p / n j 3 d o r r 1 u 9 4 D H 4 b t H z V p e 1 v p 7 p u B T z C G 7 d V X b d q H 5 n m 2 6 q u W 7 V / z z n 2 V d f N x I z M 7 m 1 V 1 2 3 a + 6 r r V u 3 f c 3 J 9 1 X W r 9 u 8 7 u a 7 5 P V 9 1 P f g a 6 f w H O z c r L 9 t J o L w e K I q 3 7 m B Y e Z k O N g 3 a Y + j b N P f 4 + T b N P X a + T X O P m 2 / T 3 O N n 0 / z h p / d 2 D 8 Y H D 2 + n r 2 7 T i a + v 3 q M X X 3 P d q p s I Y 9 x W c 9 2 q / X t O t K + 5 b t X + P a f a 1 1 z v Q 9 b I n G / f 5 r 3 I r N / i N V + l v c 9 r 7 z n 5 v m Z 7 n 2 7 e l w d c 8 / 1 Q w b 1 n c u v B v Z u 1 m + 0 h 1 G 7 3 3 r O D Y e 2 m H Q z b O 4 / j b 2 z r c f u N b T 1 O N 4 O 8 p V I z z X c f k v 5 + O H 5 w c D v l 9 j 6 v e X x + G + R 8 7 X b j w H 2 d d i v g E X a 4 r U 6 7 V f v + D N 9 a p 9 2 q / X v O t K / T b i Z m Z I I 3 A n / P m f V V 1 6 3 a v + f k + j r r V u 3 f d 3 J d 8 / u h s v o a + a 4 H + z c r L N t L q L D 2 3 7 O D Y Y W l H d x K Y d 3 Y 1 m P l G 9 t 6 b G w G e U u F Z Z o / 3 L u l q r r d C x 4 r 3 w Y h X 0 n d O F h f S d 0 K e I Q F b q u k b t W + P 6 u 3 V l K 3 a v + e s + s r q Z u J G Z n a 2 y q p 2 7 T 3 l d S t 2 r / n 5 P p K 6 l b t 3 3 d y X f N P O 0 q K s 1 2 3 z 3 Y 9 s M m o Y Q 1 l u w g 1 1 P 3 3 7 G B Y Q 2 k H t 9 J Q N 7 b 1 + P j G t h 4 P m 0 H e U k O Z 5 r s P D w 5 2 d j a 9 5 L H y 7 V / y + P k 2 i P m a 6 s Z B + 5 r q V s A j r H B b T X W r 9 v 3 Z v b W m u l X 7 9 5 x l X 1 P d T M z I 9 N 5 W U 9 2 m v a + p b t X + P S f X 1 1 S 3 a v + + k + u a P / A 1 1 c H X S G 4 d 7 N y s q 2 w n g a 4 6 U B R v 3 c G w r j I d P H w 4 v r + 7 Y e A e U 5 t X N t H J 4 2 n T f G / 3 3 v 6 D T 8 c Q p 8 H X P N b 2 X r t H r 3 2 6 d z t F Z l 7 b 3 T k Y P / j 0 d n r M d v X g Y P 9 2 S u x 9 k P O V m X v v 0 5 3 7 u + O D T Q j 6 e u 2 2 s + T r N v P O 9 o 0 v R d j h t g r u 1 o h F G O K 2 S u 7 W f U T Y 4 F a E j r D C 9 t 6 n D + 6 P 9 z a x g 6 / 6 b H c 3 v u U r w P d 4 K 8 I L t 1 W D 7 9 H L + z K C a 3 4 Q K s O v E V t C 9 G 7 S h r a X U B v q m G 7 d w b A 2 1 A 6 G 7 a P H + j e 2 9 V j + x r Y e u 5 t B b q K 8 x + m m + f 3 7 n x 7 c T t 3 d 8 g 2 P v W + D k q / m b h y u r 9 t u B T z C B B v b 9 + f 0 1 i r t V u 3 7 c 3 t r d X a r 9 v 0 J 3 k D M y N x u B P 6 e M + u r r F u 1 f 8 / J 9 Z X V r d q / 7 + S 6 5 g 8 7 a u o 9 o 8 u D W 0 S X t o t Q R 9 0 u u n Q d D O s o 0 8 H u w 4 f j n U 2 O h 8 f T t 3 7 H 4 2 v z z i b S e m x 9 m + Y e V 5 v m 9 8 g 6 3 / v 0 d o r r 1 u 9 4 D H 4 b t H z V p e 1 v p 7 p u B T z C G 7 d V X b d q H 5 n m 2 6 q u W 7 V / z z n 2 V d f N x I z M 7 m 1 V 1 2 3 a + 6 r r V u 3 f c 3 J 9 1 X W r 9 u 8 7 u b b 5 / R 1 f d T 3 8 G u H m w 5 0 b l Z f r J F B e D x X F W 3 c w q L x s B 5 s G 7 R j 6 V s 0 d P 9 v m e / f v P 9 i s I R x T v 8 d L j r N v h Z j j b d f H b S P M 9 8 D K 0 1 7 2 r f v 3 9 m 9 Q k Z 4 a u 9 V g P D V 2 u / b v O e m e G r t d + 8 i 0 b 2 w f m f G N 7 S O T f Q u q R u Z 8 + 4 Z J 9 3 T a b f n E U 2 u 3 f u U 9 5 9 v T b L f u 4 n 2 n 3 D X f D Z X b 1 w g f H + 7 f r N 1 s L 6 F 2 0 z H d u o N h 7 a Y d D N s 7 j 8 l v b O s x + I 1 t P e Y 2 g 9 x E e Y + 3 T f N b h 4 + 3 f c P j 6 t u g 5 G u x G 4 f r K 6 9 b A Y 8 w w W 2 V 1 6 3 a 9 + f 1 1 s r r V u 3 f c 3 5 9 5 X U z M S N z u x H 4 e 8 6 s r 6 x u 1 f 4 9 J 9 f X V L d q / 7 6 T 6 5 r v e W p q b / / 9 f b C 9 / Z 2 b t Z T t x N d S / O Z 7 d T C s p U w H e 5 8 + 3 J y N 9 7 j a v L O J U B 5 T m + b 3 H z z Y 3 / t 0 c 9 b R 4 2 3 v t V 1 y e y D m g 6 9 5 L G 4 H 9 P D e G G 7 1 4 D s e p 9 t 3 b u 2 R v Q 9 y v j Z z 7 z 3 8 d P / B D W s F E W a 7 c Z p 8 7 W Z e 2 r 7 5 r Q h H 3 F b H 3 R 6 1 C E / c V t F 5 n d z Q S Y Q V b k X s C D t s 7 + 0 / 3 L l h m S H C E z e / 5 W v B 9 3 g r w g + 3 1 Y X v 0 c v 7 s o J r f i / U i O / v u O 3 t 7 9 + s E m 0 v o U p U w b 1 1 B 8 M q U T s Y N p I e 8 9 / Y 1 u P 5 G 9 t 6 / G 4 G e U v H z T S / v e N 2 y z c 8 9 r 4 N S r 6 q u 3 G 4 v n 6 7 F f A I E 9 z W c b t V + / 6 8 3 t p x u 1 X 7 9 5 x f X 5 X d T M z I 3 N 7 W c b t N e 1 9 l 3 a r 9 e 0 6 u r 6 x u 1 f 5 9 J 9 c 1 3 + + o q f f L + + / t 3 5 z 3 d 1 2 E O u p W e X + v g 2 E d Z T q 4 f + 9 g v P f p h n F 7 P H 3 r d z y + N u 9 s I q 3 H 1 r d p 7 n G 1 a f 7 p w Y P N K x E e c 9 / 6 H Y / B b 4 O W r 7 q 0 / e 1 U 1 6 2 A R 3 j j t q r r V u 0 j 0 3 x b 1 X W r 9 u 8 5 x 7 7 q u p m Y k d m 9 r e q 6 T X t f d d 2 q / X t O r q + 6 b t X + f S f X N b / v q 6 5 P v 0 b M + e n O z c r L d h I o r 0 8 V x V t 3 M K y 8 T A f 7 D x + M 7 z + 4 n f I y 7 2 w i l M f U p v n u z q c P 7 u / v j X c 3 d e M x t / / e z v 7 + e J O a 9 H j c v I a u 9 j Z 1 5 b G 6 e e f 2 Q e f 7 I O e r M + + 9 h 3 s H n 4 7 v 3 d v 0 Y o T d b p w o X 7 + Z l 7 Z v f i v C E 7 f V c r d H L c I V t 1 V 1 t + 8 k w g u 3 o 3 a E I b b 3 9 m h p 4 c H G 1 y J c c f N b v i J 8 j 7 c i D H F b d f g e v b w v L 7 j m n 4 Z K 8 W u E n Z / u 3 6 w V b S + h V l T R v X U H w 1 p R O x i 2 k x 7 3 3 9 j W Y / o b 2 3 o M b w Z 5 S / / N N L 9 9 2 H n L N z z 2 v g 1 K v r K 7 c b i + g r s V 8 A g T 3 N Z 3 u 1 X 7 / r z e 2 n e 7 V f v 3 n F 9 f l 9 1 M z M j c 3 t Z 3 u 0 1 7 X 2 X d q v 1 7 T q 6 v r G 7 V / n 0 n 1 z V / 0 F F T 7 x l 2 f n q L s N N 2 E e q o 2 4 W d r o N h H W U 6 e P j w / h h 8 O z h u j 6 d v / Y 7 H 1 + a d T a T 1 2 P o 2 z T 2 u N s 1 3 k b L e + f R 2 m u v 2 L 3 k s f h v E f O W l 7 W + n v G 4 F P M I d t 1 V e t 2 o f m e j b K q 9 b t X / P W f a V 1 8 3 E j E z v b Z X X b d r 7 y u t W 7 d 9 z c n 3 l d a v 2 7 z u 5 r v m B r 7 w e f I 3 A 8 8 H O z e r L d h K o r w e K 4 q 0 7 G F Z f p g P y y v d U K d 6 k v c w r m + j k 8 b R p T r 9 S k D Z + e H A 7 B e Z e 2 3 9 4 c I O n 7 H G 4 e e 3 h / v j e J s 3 q 8 b l 5 5 f Z R 5 / v g 5 u s y 9 9 6 D T x / s j u 8 9 3 P R e h N V u m i R f t Z l 3 t m 9 8 K c I N t 9 V v t 0 Y s w g 8 b + 4 g w w o 1 9 R L j g V o S O s A I t D x 8 8 H H / 6 6 S 0 1 n + W g G 9 / y 9 d 9 7 v B X h h U 3 k 8 7 X g e / T y v o z g m j 8 M d e H Z i 8 9 f n b 6 + p R f 3 Y P d m N W j h h 2 p w 9 z 0 7 G F a D 2 s G w Y f S Y / s a 2 H r P f 2 N Z j d D P I T T T 3 e N w 0 3 7 0 / 3 q i 3 P P a + 7 S s e a 9 8 G K V / F 3 T h g X 6 / d C n i E D T a 2 7 8 / q r d X Z r d r 3 Z / f W q u x W 7 f t T v I G Y k c n d C P w 9 Z 9 Z X V 7 d q / 5 6 T 6 y u q W 7 V / 3 8 m 1 z T / d 6 a i o 9 0 + J P d i / U V G 5 X k J F p c J 2 6 w 4 G F Z X p 4 D a K 6 u a 2 j p V v b u v Y 2 A 7 y d o r K N v / 0 4 a e b 3 n C s f N s 3 H D P f C i V P T d 0 8 X E 9 N 3 Q 5 4 h A l u q a Z u 1 7 4 / r 7 d V U 7 d r / 5 7 z 6 6 m p W x A z M r c b g b / n z H p q 6 n b t 3 3 N y P T V 1 u / b v O 7 m u + W 5 H T b 1 n S u z B z S k x 1 0 W o o 2 6 X E n M d D O s o 0 8 H u g 7 3 x 7 W L K W 7 / i c b V 5 Z R N h P a a + T X O P p 0 3 z v X u f j g 8 O b q e 2 b v 2 O x 9 6 3 Q c t X X N r + d o r r V s A j n H F b x X W r 9 p F Z v q 3 i u l X 7 9 5 x j X 3 H d T M z I 7 N 5 W c d 2 m v a + 4 b t X + P S f X V 1 y 3 a v + + k + u a 7 / m K 6 + B r p M M O d m 5 W X b a T Q H U d K I q 3 7 m B Y d Z k O d u + N 7 + / e T n W Z V z b R y e N p 0 3 z v 4 O G n n 4 7 3 N 3 X i c b b 3 1 v 2 9 8 c P b 6 T A 7 G F p l 2 J S i 8 p j c 9 n P b X N h 7 Y O a r M f P W P V L 4 l E B 7 s O m 1 C J P d N D 2 + U j P v b N / 4 U o Q P b q v Z b o 1 Y h B N u q 9 1 u 3 U e E B W 5 D 5 w g b b O 8 9 + P R g f L D x t R g v 3 P i W r / j e 4 6 0 I K 9 x W / b 1 H L + / L B 6 7 5 v V A J f o 0 g E 2 J 3 k x a 0 v Y R a U A X 2 1 h 0 M a 0 H t Y N g u e p x / Y 1 u P 4 2 9 s 6 3 G 7 G e Q t / T X T / P 7 9 T 2 / p r d 3 y D Y + 9 b 4 O S r + R u H K 6 v 2 m 4 F P M I E t / X V b t W + P 6 + 3 9 t V u 1 f 4 9 5 9 f X Z D c T M z K 3 t / X V b t P e V 1 m 3 a v + e k + s r q 1 u 1 f 9 / J d c 3 3 O 2 r q P Y P M g 1 s E m b a L U E f d L s h 0 H Q z r K N P B 3 o P x z t 6 G Y X s s f d t X P K 4 2 r 2 w i r M f U t 2 n u 8 b R p f n 9 n f G 8 T Q h 5 n 3 / Y V j 7 l v g 5 S v t r T 9 7 d T W r Y B H + O K 2 a u t W 7 S N z f F u 1 d a v 2 7 z n D v t q 6 m Z i R y b 2 t 2 r p N e 1 9 t 3 a r 9 e 0 6 u r 7 Z u 1 f 5 9 J 9 c 1 v + + r r Y d f I 8 R 8 u H O z 4 r K d B I r r o a J 4 6 w 6 G F Z f p Y G f z a q z H 0 / a N 2 + k s 0 3 z 3 3 s P 9 8 c N N f X h 8 H b x 0 7 3 b q y 7 4 z 3 r 2 l 9 j J v 3 D 6 8 v D V e v g Y z L + 3 v P n g w h o A N v x V h r x s m x t d m 5 p X t m 9 6 J z f 8 t N d p t 0 Y p w w G 2 V 2 m 2 7 i M z 9 L U g c m X + K K w / 2 N u d I f T 3 n s c 0 N b / n a 7 j 3 e i n H B L X X e e / T y v k z g m n 8 a a r 5 u X A k Q N 2 m m / Z t V n + 0 l V H 0 q q b f u Y F j 1 a Q f D x t B j + x v b e v x + Y 1 u P 1 8 0 g N 1 H e 4 3 P T / P Z x 5 S 3 f 8 N j 7 N i j 5 6 u 3 G 4 f p a 7 V b A I 0 y w s X 1 / T m + t z m 7 V v j + 3 t 9 Z l t 2 r f n + A N x I z M 7 U b g 7 z m z v s q 6 V f v 3 n F x f W d 2 q / f t O r m v + o K O m 3 j O u f H i L u N J 2 E e q o 2 8 W V r o N h H W U 6 2 N 0 c X 3 k c f c s 3 P J 4 2 b 2 w i q 8 f S t 2 n u c b R p v r f Z + f P Y + p Z v e I x 9 G 5 R 8 l a X t b 6 e y b g U 8 w h O 3 V V m 3 a h + Z 4 N u q r F u 1 f 8 / 5 9 V X W z c S M z O 1 t V d Z t 2 v s q 6 1 b t 3 3 N y f Z V 1 q / b v O 7 m u + Y G n s u 7 t f A 3 P 6 t 7 O / s 1 a y / b i a y 1 + 8 7 0 6 G N Z a 2 s E w S 3 j s f G N b j 5 V v b O u x s R n k L d W U a b 5 7 f 7 x z c D s 9 d d t X P H a + D V K + o r p x w L 6 i u h X w C B v c V l H d q n 1 / Z m + t q G 7 V / j 1 n 2 F d U N x M z M r k b g b / n z P q K 6 l b t 3 3 N y f U V 1 q / b v O 7 m u + U N f U e 2 + f / L r H r j 8 J j 1 l O w n 0 1 K 6 i e O s O h v W U 6 W D T o D 2 G v k 1 z j 5 9 N 8 / v 7 4 / u b X D G P p W / 7 i s f V t 0 H K 4 + v b N P f Y + r Y I + U r r 1 u 9 E + G k j + 0 V Y Y 2 P 7 9 5 x p X 3 f d q n 1 k r m + r u 2 7 V P j L L N 9 L 0 P a f a V 2 G 3 a e + r s F u 1 f 8 8 5 9 l X Y r d q / 7 x z b 5 g 9 2 f B W 2 / z V U 2 P 7 N K s x 1 E q i w f U X x 1 h 0 M q j D b w b 2 9 8 b 0 H t 1 J j 9 p W 9 z f l V x 9 3 2 j U / v H e x 8 O t 5 7 e C t l 5 r 3 1 4 M G n 4 / s H t 9 J n / o A e b H r F M b o b 0 G 3 z + O + D m q f Z 3 G u f 3 q d V 2 4 1 v R R h t 7 + H 4 w e 7 t 9 J t 9 Z / v G l y K 8 s F E A Y o x w U x 8 R V t j Y R 4 Q J b u w j w g K 3 I H O E C y i b f 3 9 3 v L d R S 0 Z Y 4 e a 3 P N 3 3 P m 9 F O G E T 8 T w N + D 6 9 v C 8 b u O a 7 o R 7 8 G j H n / v 7 N i t D 2 E i p C l d d b d z C s C L U D j P Z G D X h j W 4 / h b 2 z r M b s Z 5 C b K e 3 x u m t / f N b H 3 T Z r u l m 9 4 7 H 0 b l H w V d + N w f c 1 2 K + A R J t j Y v j + n t 1 Z o t 2 r f n 9 t b K 7 N b t e 9 P 8 A Z i R u Z 2 I / D 3 n F l f Z d 2 q / X t O r q + s b t X + f S f X N d / r q K n 3 y + b f 2 7 8 5 m + + 6 C H X U r b L 5 X g f D O s p 0 8 O n e 5 o y R x 9 K 3 f c X j a v P K J s J 6 T H 2 b 5 h 5 P m + b 3 9 x 6 O 7 3 9 6 O 7 V 1 6 3 c 8 9 r 4 N W r 7 i 0 v a 3 U 1 y 3 A h 7 h j N s q r l u 1 j 8 z y b R X X r d q / 5 x z 7 i u t m Y k Z m 1 w C P t n / P m f U V 1 6 3 a v + f k + o r r V u 3 f d 3 J d 8 3 u + 4 r r / 3 o r r / i 0 U l + 0 i U F z 3 b 6 e 4 X A f D i s t 0 s G n I H j v f p r n H z b d p 7 j H z b Z p 7 v G y a P x h j 5 g b f 8 B j 6 l m 9 4 L H 0 b l H x l p e 1 v p 6 x u B T z C D b d V V r d q / 5 6 z 6 y u r W 7 V / z / n 1 l d X N x I z M 7 W 2 V 1 W 3 a + 8 r q V u 3 f c 3 J 9 Z X W r 9 u 8 7 u a 7 5 v q + s H n y N p B i i z 5 v U l e 0 k U F c P F M V b d z C s r k w H B 7 t 7 n 5 J j t n v v 3 v j B L Z N j 7 t X 9 n Y O d h / c P 9 s e f 7 t 5 O j Z l X 9 + 7 t P t h / s L O 3 O a / k M b x 5 8 d 6 D T + 8 9 3 L 1 / b 7 y / S e 1 4 n G 9 e / P T h p w 9 2 9 / Y p m z X e 2 4 S s J w f u 1 Q e f 7 n 2 6 / + D + p + M d t R c 3 K b v 3 Q 9 d X e + b N / U 8 f P H i 4 9 2 B v v P f p p j c j f L m 9 u 7 / / 6 f 7 + / Z 3 x x l S f r w 7 N q 7 d 8 M 8 J G t 3 w z w k W 3 V Z H v 2 V O E d 2 6 r L N 9 z C i I c s / 2 Q R G N 3 9 + A G H C M M c 6 s X f W X 6 f i 9 G 2 O W 2 W v X 9 O o q w y C 3 V 6 / 1 Q v Z 6 9 + P z V 6 e t b O o I I m G / S r B Z + q F l V J 9 y 6 g 2 H N a j r Y f X j / / q e f 3 t v 9 9 M H + 2 A T I N 6 n W 9 3 7 X E x D z 7 i 1 d x N s 0 9 4 T C Y r b z 4 O G n D 3 f v 7 e 0 9 v L U i 9 d 9 9 s H u f l i D o 3 U 2 K 3 x O M 2 6 D p 6 0 / T f o / U x N 7 O e G e T T f O 1 5 6 3 6 i b D R b T 3 I W 7 W P c M J t 1 e O t 2 r / n 9 P t K 8 b 3 o G p n 7 7 V u 9 G J n 4 2 7 z n K 8 T 3 e u 8 9 G c D X h + / V z / s y g m v + a a g O T 0 U b p i f f P v 2 J r 0 5 v p 7 P 2 b l a K t p d Q K a r T c u s O h p W i 6 W D / / n 1 y / R 7 S / z d r D 0 8 S 3 K v 3 6 L V P d z 7 9 9 N a L s u b V 7 d 2 H B 3 s 7 9 / b u b 1 a m n n j Y N + / R m / f u P 9 j U o S c l F t c H D + 5 9 + h B u 9 f j h p l c 9 Q X G v f v r g 0 9 2 D n Z 3 N y 3 q e p L w P r r 6 q t O / t 3 3 + 4 s 7 N z s D f e 3 f h q h C v 3 6 D 0 i 6 8 7 Y J F J u 1 J u 2 0 1 u + G u G h 2 6 r Q 9 0 Q y w j e 3 V a b v 2 V O E Y W 4 7 B x G G + X T n w a f 3 d z 6 9 4 c U Y v 9 z q T V + 3 3 o Y u v k 5 9 L x R 9 5 X q r j i K s c a u O P A Q f x L X r m 1 e 3 U 3 z 3 b t a s t o d Q s 9 5 7 z w 6 G N a v p Y B c 6 b n / / 4 f 2 H + + N 7 t 1 S t 7 / 2 u J y P m 3 V u 6 m 7 d p 7 s m F a X 7 / / s 7 D h 5 / e / 5 Q U 6 S Z t 6 I n F e 7 7 p y c V t U P T 1 p 7 Z H u 5 s 1 5 q 2 A R / j m t v 7 l r d p H p v 6 2 / u W t 2 r / n f P u K 8 G Z i R u Z 4 I / D 3 n F l f z 9 2 q / X t O r q / e b t X + f S f X N T 8 I t d r Z T x 6 n v 0 9 6 8 u U X Z 6 / P v n x x O 8 W z f 7 N m s 7 2 E m m 3 / P T s Y 1 m y m g w N K a N 7 f f z D + d F M O z W P t 9 3 r P Y 3 H z 3 i 0 1 2 m 2 a e w x u m u / t I A m 5 v z 9 + 8 P B 2 C u 3 9 X v S 4 / j Y I + v p M 2 9 9 O n 9 0 K e I R b b q v P b t U + M u k b 2 7 / n Z P v 6 7 F b t + 9 N 9 O 3 1 2 K + D v O b O + P r t V + / e c X F + f 3 a r 9 + 0 6 u a / 6 w o 8 / e c 3 k Y I f d N y s x 2 E S o z d e N v 3 c G w M j M d 7 C F 1 t k 8 r J p s i B I + v 3 + s 9 j 7 / N e 5 t I 7 L H 3 b Z p 7 3 G 2 a U 7 B z 7 x 7 F O / d u u W z 8 X u 9 5 D H 8 b 9 H x V p u 1 v p 8 p u B T z C K 7 d V Z b d q H 5 n y 2 6 q y W 7 V / z 7 n 2 V d n N x I z M 8 G 1 V 2 W 3 a + 6 r s V u 3 f c 3 J 9 V X a r 9 u 8 7 u b b 5 w Y 6 v y h 5 + j c X j h z s 3 K j P X S a D M H i q K t + 5 g U J n Z D j 7 d G e / v 3 k q P 2 V c 2 0 c n x t G 2 + u / f w / r 3 7 4 / s P b 6 X G / N d o v X Y M x h x 8 z X G 4 G w 9 l D j b p V 8 f n 9 p W 9 B x s X w h y n v x d u n i 5 z 7 9 3 b 2 3 1 4 b 7 y j q Y O b 1 N q t J 8 l T b f a d 7 R t f i n D D R h G I s M K N f U T 4 Y W M f E U a 4 s Y 8 I F 9 y K 0 B F W 2 N 5 7 Q G n t g 4 2 p v w g / 3 P y W p / / e 5 6 0 I L 2 w i n 6 c F 3 6 e X 9 2 U E 1 3 w 3 1 I V f I 0 x 9 u H + z M r S 9 h M p Q h f b W H Q w r Q + 1 g 2 D x 6 r H 9 j W 4 / l b 2 z r s b s Z 5 C b K e 5 x u m t M i 8 y Y t 5 P H 4 L d / w 2 P s 2 K P l q 7 s b h + r r t V s A j T L C x f X 9 O b 6 3 S b t W + P 7 e 3 V m e 3 a t + f 4 A 3 E j M z t R u D v O b O + y r p V + / e c X F 9 Z 3 a r 9 + 0 6 u a 7 7 X U V P v G X 0 + v D n 6 d F 2 E O u p 2 0 a f r Y F h H m Q 5 2 a a U a f w y O 2 + P p W 7 / j 8 b V 5 Z x N p P b a + T X O P q y 1 G 9 / b G m 4 y z x 9 u 3 f c V j 7 9 s g 5 S s u b X 8 7 x X U r 4 B H O u K 3 i u l X 7 y C T f V n H d q v 1 7 z r C v u G 4 m Z m R y b 6 u 4 b t P e V 1 y 3 a v + e k + s r r l u 1 f 9 / J d c 3 v e Y p r f + f 9 Y 8 3 9 n Z 2 b V Z f t x F d d / O Z 7 d T C s u k w H m w b t M f R t m n v 8 b J r v j e 9 v U g 8 e R 9 / y D Y + n z R v k O t 2 / 4 S 2 P u f 2 3 d s Y 7 u 7 d T X r f E z t d f l m K b O / G 1 2 G 2 I 7 G u x W 7 V / z z n 3 t d i t 2 k d m / b Z a 7 F b t I z N + E 0 k j 0 0 0 T t 8 n W + u r M v L J 9 w z u + S r v N S H y V d k u 0 f K 1 2 q y 4 i k 3 3 T y N 0 b + 6 F i O 3 v x + a v T 1 7 d z x / Y x I T f p N A s / 1 G k 6 l b f u Y F i n a Q f D V s 7 j 7 R v b e n x 9 Y 1 u P p 8 0 g N 0 2 T x 9 K m + e 4 u r a p u e s f j 6 V u / 4 z H 1 b d D y t d e N Q / b 1 1 q 2 A R x j h t n r r V u 3 7 c 3 t r v X W r 9 u 8 5 x 7 7 e u p m Y k d n d C P w 9 Z 9 Z X V b d q / 5 6 T 6 + u p W 7 V / 3 8 l 1 z e + H S u p U d F T 6 5 t X t t M i 9 m 9 W U 7 S F U U 2 r 3 b 9 3 B s J r S D m 6 l p m 5 s 6 7 H x j W 0 9 F j a D v K W a M s 1 v V D k e I 9 / 6 H Y + Z b 4 O W r 6 Z u H L K v p m 4 F P M I I t 1 V T t 2 r f n 9 t b q 6 l b t X / P O f b V 1 M 3 E j M z u b d X U b d r 7 a u p W 7 b u T + x 5 q 6 l b w 3 3 d y X f N P Q z X 1 / k n 4 / Z 3 9 m 1 W V 7 S V U V f v v 2 c G w q t I O b q W q b m z r s f K N b T 0 2 N o O 8 p a q y z c c 7 m / x e j 5 V v + Y b H z L d B y V d T N w 7 X V 1 O 3 A h 5 h g t u q q V u 1 7 8 / r r d X U r d q / 5 / z 6 a u p m Y s b m 9 p Z q 6 j b t f T V 1 q / b v O b m + m r p V + / e d X N f 8 Q U d N v V 8 S f n / n / s 0 6 y n Y R 6 q j 7 7 9 n B s I 4 y H W w a s s f O t 2 n u c f N t m n v M f J v m H i + b 5 p + O P 9 2 / n b K 6 5 R s e S 9 8 G J V 9 Z a f v b K a t b A Y 9 w w 2 2 V 1 a 3 a v + f s + s r q V u 3 f c 3 5 9 Z X U z M S N z e 1 t l d Z v 2 v r K 6 V f v 3 n F x f W d 2 q / f t O r m t + 4 C u r 3 a + R e A e X 3 6 S u b C e B u t p V F G / d w b C 6 M h 3 c U l 3 d p r n H z 6 b 5 3 v 0 H n 9 4 f 3 1 M t e 5 P W e o + 3 P N 6 + D W o e d 9 t O H i D m H 3 z D 4 + / 3 Q M t X Y P a 1 g / v 7 D 2 9 4 L c J e G 7 k x w i k b 2 7 / n x P u q 7 F b t I 1 O / s X 1 k 0 j e 2 j 0 z 3 b c g a m f b t G + b d V 2 y 3 Z B V f t 9 3 2 l f e c c F + 9 3 b a L 9 5 1 z 1 / x h q O G + R t Q I B r p J x d l e Q h W n Y 7 p 1 B 8 M q T j s Y N n o e l 9 / Y 1 u P w G 9 t 6 3 G 0 G u Y n y H n O b 5 v d p X f B 2 6 u y W b 3 h c f R u U f D 1 2 4 3 B 9 7 X U r 4 B E m u K 3 2 u l X 7 / r z e W n v d q v 1 7 z q + v v W 4 m Z m R u N w J / z 5 n 1 l d W t 2 r / n 5 P q a 6 l b t 3 3 d y b f O H O 7 6 a 2 v s a j h h o c Y O W c p 0 E W m p P U b x 1 B 4 N a y n a w a d C O o W / V 3 P G z b X 5 v Z / x w d 8 M r j q V v / Y r j a u + V e w c P 9 j c v i z v + 9 l 7 7 d O f h w f j e 7 d J e t 0 b Q U 2 L 2 n b 2 9 + / f H e 5 s 6 8 r T Z r Y j t a b P b t X / P u f e 0 2 e 3 a R 2 Z / Y / v I 1 G 9 s H 5 n 3 W 1 A 1 M u 3 b e 3 t 7 + + N 7 G 6 c w M u 0 3 v + X p u P d 5 6 z 0 n 3 t N 0 7 9 P L + 0 6 / a 7 4 b 6 r u z F 7 L o e D t N t H u z q r P w Q 1 W n o 7 l 1 B 8 O q T j s Y N n 4 e q 9 / Y 1 m P z G 9 t 6 L G 4 G u Y n m H o e b 5 p / u P P j 0 4 P 7 4 w e 1 y + e / 1 m s f i t 0 H O 1 2 o 3 D t x X Z r c C H m G H 2 y q z W 7 X v z / C t l d m t 2 r / n T P v K 7 G Z i R i Z 4 I / D 3 n F l f b d 2 q / X t O r q + w b t X + f S f X N d 8 L V d W p a K r 0 z a v b 6 Z J 7 N y s r 2 0 O o r O 6 9 Z w f D y k o 7 u J W y u r G t x 8 Y 3 t v V Y 2 A z y l s r K N F e t c 8 t c / n u 9 5 r H 0 b Z D z l d W N A / e V 1 a 2 A R 9 j h t s r q V u 3 7 M 3 w 7 Z X X b 9 u 8 5 0 7 6 y u p m Y k Q m + r b K 6 T X t f W d 2 q / X t O r q + s b t X + f S f X N b 8 X K q u v k e 7 a 2 7 9 Z Y d l e Q o W l w n b r D o Y V l n Z w K 4 V 1 Y 1 t P Y d 3 Y 1 m N j M 8 h b K i z T f P 8 + Z H / w D Y + V b / m G x 8 y 3 Q c l X U z c O 1 1 d T t w I e Y Y L b q q l b t e / P 6 6 3 V 1 K 3 a v + f 8 + m r q Z m J G 5 v a 2 a u o 2 7 X 0 1 d a v 2 7 z m 5 v p q 6 V f v 3 n V z X f L + j p l 6 8 S T 8 / f n H 8 9 L Y R 4 P 2 b d Z T t I t R R u s Z y 6 w 6 G d Z T p Y N O Q P X a + T X O P m 2 / T 3 G P m 2 z T 3 e N k 0 P 3 g w v m V y / t a v e E x 9 G 6 R 8 d a X t b 6 e u b g U 8 w g + 3 V V e 3 a v + e 8 + u r q 1 u 1 f 8 8 Z 9 t X V z c S M T O 5 t 1 d V t 2 v v q 6 l b t 3 3 N y f X V 1 q / b v O 7 m u + X 1 f X d 3 / G t n 5 + z s 3 K y z b S a C w 7 i u K t + 5 g W G G Z D m 6 p s G 7 T 3 O N n 2 3 w M L h 9 8 w + P o W 7 7 h 8 b R 5 4 9 6 D 3 U / H e w 9 v p 7 j M S 5 9 + e m 9 / f P / T 2 6 m u W + L m a y / z y t 7 D 3 Y P x / t 6 m t y K s d V s 1 d q v 2 7 z n p v h q 7 V f v Y t N 9 S j d 2 q f W T K b 0 H V y J x v 8 2 t 7 D 2 6 p 1 o L O N r 7 l K 7 f 3 e O s 9 J 9 5 X c e / R y / t O v 2 v + a a j o 3 i s t f 3 / 3 Z h 1 n 4 Y c 6 T s O f W 3 c w r O O 0 g 2 G r 5 7 H 6 j W 0 9 N r + x r c f i Z p C b a O 5 x u G n + Y P / e 7 v j e w e 2 U 2 u 1 f 8 t j 7 N o j 5 G u 3 G Q f u K 7 F b A I 6 x w W 0 V 2 q / b 9 2 b 2 1 I r t V + / e c Z V + R 3 U z M y P R u B P 6 e M + u r r F u 1 f 8 / J 9 Z X V r d q / 7 + S 6 5 g 9 C N f W e K f n 7 9 2 5 W V L a H U F H d e 8 8 O h h W V d n A r R X V j W 4 + N b 2 z r s b A Z 5 C 0 V l W n + 4 M H O 7 n h 3 k y n 2 O P n 2 L 3 n s f B v E f E V 1 4 6 B 9 R X U r 4 B F W u K 2 i u l X 7 / u z e W l H d q v 1 7 z r K v q G 4 m Z m R 6 b 6 u o b t P e V 1 S 3 a v + e k + s r q l u 1 f 9 / J d c 0 P Q k X 1 N d L x 9 / d v V l a 2 l 1 B Z 7 b 9 n B 8 P K S j u 4 l b K 6 s a 3 H y j e 2 9 d j Y D P K W y s o 0 v 3 / / t g m u W 7 7 h M f N t U P L V 1 I 3 D 9 d X U r Y B H m O C 2 a u p W 7 f v z e m s 1 d a v 2 7 z m / v p q 6 m Z i R u d 0 I / D 1 n 1 l d T t 2 r / n p P r q 6 l b t X / f y X X N H 3 b U 1 H u m 4 + / f v 1 l H 2 S 5 C H a X J l V t 3 M K y j T A e b h u y x 8 2 2 a e 9 x 8 m + Y e M 9 + m u c f L p v n u e O + W b t U t 3 / B Y + j Y o + c p K 2 9 9 O W d 0 K e I Q b b q u s b t X + P W f X V 1 a 3 a v + e 8 + s r q 5 u J G Z n b 2 y q r 2 7 T 3 l d W t 2 r / n 5 P r K 6 l b t 3 3 d y T f O H O z u + s v r 0 a y T j P 9 2 5 S V 1 5 n Q T q 6 l N F 8 d Y d D K k r 1 8 H O e O P i v + V p 7 4 3 b a C z X f H d / b 7 y z S U d Y t v b f 2 R 0 / 3 I S W Z W 3 3 z r 1 7 9 3 b 3 7 o 0 P b q O / v L c + v b / 7 6 a e f P r z l m u J 7 o O h 0 m d / b 7 s G 9 T 2 k F 8 8 H D T W 9 G m O 2 G a X K 6 z b 2 y f d M 7 M W 6 4 l X 6 7 P V o R f t j Y R Y Q X b u o i x g q 3 I 3 O E H b b 5 1 f v 7 9 8 c H m / j B a b 9 O p z e + 6 f T g e 7 8 Z 4 4 p b a c T 3 7 u l 9 G c M 1 3 w 1 1 4 3 v l 7 z / d v V k t W v i h W l Q G u X U H w 2 p R O x g 2 l J 4 Q 3 N j W 4 / 4 b 2 3 q c b w a 5 i e Y e 1 5 v m n + 4 / f P h g / 3 b q 7 9 b v e I x + G 7 R 8 p X f j k H 0 9 d y v g E U b Y 2 L 4 / r 7 d W c L d q 3 5 / f W 2 u 3 W 7 X v T / I G Y k Z m d y P w 9 5 x Z X 3 H d q v 1 7 T q 6 v r m 7 V / n 0 n 1 z X f C 5 W U y d 6 f f P v 0 J 7 4 6 v Z 0 m 2 b t Z V d l e Q l W l n t C t O x h W V d r B r V T V j W 0 9 V r 6 x r c f G Z p C 3 V F W m + T 1 a R N 7 d 2 7 8 3 / v T B 7 f S V e X F 3 / + G D B / t 7 + + N b B Z 2 3 w 8 / X W a b 9 9 u 6 D h / f u H e w + H O 9 v w t D X Y L f q K s I f t 9 V g t 2 r f n / J b a 7 B b t X / P q f c 1 2 P u S N j b 7 t 3 s z M v + 3 7 N R X c r c Z n 6 / k 3 g 9 J X 9 3 d q q c I J 9 y u J w / F e 3 H F d 8 t l y 0 9 v X L b 0 e g i V 3 u 2 W L V 0 H w 0 p P O 7 i V 0 r u x r c f 9 N 7 b 1 O N 8 M 8 p Z K z z T f 3 9 n d / f T B v U / H O w 9 v p / T e 7 0 W P 6 2 + D o K / 1 b h y 8 r + d u B T z C E r f V c 7 d q 3 5 / l W + u 5 W 7 V / z 9 n 2 9 d z N x I x M 8 W 0 9 t d u 0 9 5 X Y r d q / 5 + T 6 q u t W 7 d 9 3 c l 3 z / V B h f Y 3 l y 0 / 3 b 1 Z a t p d Q a e 2 / Z w f D S k s 7 u J X S u r G t x 8 o 3 t v X Y 2 A z y l k r L N P / 0 0 7 3 d z b k x j 5 t v / 5 L H 0 r d B z F d W N w 7 a V 1 a 3 A h 5 h h d s q q 1 u 1 7 8 / u r Z X V r d q / 5 y z 7 y u p m Y k a m 9 7 b K 6 j b t f W V 1 q / b v O b m + s r p V + / e d X N f 8 f k d Z v e c i 5 q c 3 L m J 6 X Y S a 6 n a L m K 6 D Y U 1 l O t j Z v K z n c f Q t 3 / B 4 2 r 6 x o b n H 0 r d p 7 n G 0 a b 6 3 t 3 9 w M N 6 / p e Z 6 j 7 c 8 B r 8 N a r 7 q 0 v a 3 U 1 2 3 A h 7 h j d u q r l u 1 j 0 3 0 L V X X r d q / 5 z z 7 q u t m Y k b m 9 7 a q 6 z b t f d V 1 q / b v O b m + 6 r p V + / e d X N f 8 U 1 9 1 P f g a S 5 o P d m 5 W X r a T Q H k 9 U B S H O u h 1 M K y 8 T A e b B u 0 x 9 G 2 a e / x s m u / u f D p + s E n V e T x 9 6 3 c 8 v r b v 7 O / s 7 I z v q W 6 / S Y H Z t x 7 c 2 9 k d 4 8 / B t z w 2 v z V + v h Y z L 9 3 b 3 3 k w 3 r + 3 6 a 0 I i 9 1 W n d 2 q / X t O v q / O b t U + M v 2 3 V W e 3 a h + Z 9 l t Q N T L t 2 / f u E b M 8 2 L 2 l e r O d 3 f i W r + T e 4 6 3 3 n H h f 1 b 1 H L + 8 7 / a 7 5 g 1 D h v d c 6 J X C 6 S d d Z + K G u 0 9 H c u o N h X a c d D F s / j 9 V v b O u x + Y 1 t P R Y 3 g 9 x E c 4 / D T f O 9 g x 0 s K w + + 4 r H 3 b V / x W P s 2 S P n a 7 M Y B + 0 r s V s A j b H B b J X a r 9 v 2 Z v b U S u 1 X 7 9 5 x h X 4 n d T M z I 5 G 4 E / p 4 z 6 6 u r W 7 V / z 8 n 1 F d W t 2 r / v 5 L r m B 6 G K e s 9 k / Y N 7 N y s p 2 0 O o p N T 2 3 L q D Y S W l H d x K S d 3 Y 1 m P j G 9 t 6 L G w G e U s l Z Z r v 3 7 t / f 3 c M d h 1 8 y 2 P l 9 3 j L Y + j b o O a r q h u H 7 a u q W w G P M M N t V d W t 2 v f n 9 9 a q 6 l b t 3 3 O e f V V 1 M z E j 8 7 s R + H v O r K + q b t X + P S f X V 1 W 3 a v + + k + u a P w x V 1 d d I 0 z / Y v 1 l d 2 V 5 C d b X / n h 0 M q y v t 4 F b q 6 s a 2 H i v f 2 N Z j Y z P I T Z T 3 u N g 0 / 3 T / 4 a e 3 U 1 W 3 f M N j 5 t u g 5 K u p G 4 f r q 6 l b A Y 8 w w W 3 V 1 K 3 a 9 + f 1 1 m r q V u 3 f c 3 5 9 N X U z M S N z e 1 s 1 d Z v 2 v p q 6 V f v 3 n F x f T d 2 q / f t O r m 0 O H g 3 U 1 H s m 6 B / c v 1 F H u S 5 C H a V J n F t 3 M K i j b A e b h u z Y + V b N H T f f q r l j 5 l s 1 d 7 x s m + 9 9 e j C + v 3 8 r d X X 7 d x x b 3 w o t T 2 G Z 9 r d S W L c D H u G I j e 3 f c 4 I 9 h X W 7 9 u 8 5 x Z 7 C u l 3 7 / i T f S m H d D v h 7 z q y n s G 7 X / j 0 n 1 1 N Y t 2 v / v p P r m u 9 6 C u v + / v u n 5 e / v 7 9 y s s m w n v s r i N 9 + r g 2 G V Z T r Y N G i P o W / T 3 O P n 2 z T 3 2 P k 2 z T 1 u t s 3 H u 7 f T V + a F 3 Y N 7 n 4 4 h p 4 M v e W x 9 G 6 R 8 h R V 0 s r O p E 1 9 z 3 a q X C G N s b P + e 8 + x r r l u 1 f 8 + Z 9 j X X r d p H 5 v o W V I 1 M + P Y t X o t M + c 1 v + f r s P d 5 6 z 4 n 3 t d p 7 9 P K + 0 + + a 7 4 W 6 7 f 1 j x v v 7 + z c r N 9 t L q N x 0 T L f u Y F i 5 a Q f D 5 s 5 j + B v b e s x + Y 1 u P 0 c 0 g b 6 n T T P N 7 n z 7 Y G + 8 d 3 E 6 v 3 f 4 l j 8 l v g 5 i v 1 2 4 c t K / O b g U 8 w g q 3 V W e 3 a t + f 3 V u r s 1 u 1 f 8 9 Z 9 t X Z z c S M T O 9 G 4 O 8 5 s 7 7 i u l X 7 6 O T e T m X d C v 7 7 T q 5 r f q + j r N 4 v c r y / f 4 v I 0 X Y R a q p b R Y 5 e B 8 O a y n S w a c g e O 9 + m u c f N t 2 n u M f N t m n u 8 b J r f 2 7 k 3 v q X C u u 0 r H l P f B i l f X W n 7 2 6 m r W w G P 8 M N t 1 d W t 2 r / n / P r q 6 l b t 3 3 O G f X V 1 M z E j k 3 t b d X W b 9 r 6 6 u l X 7 9 5 x c X 1 3 d q v 3 7 T q 5 r v u + r q / t f I 2 6 8 v 3 O z w r K d B A r r v q J 4 6 w 6 G F Z b p 4 J Y K 6 z b N P X 6 + T X O P n W / T 3 O N m 0 3 x v b 2 / 8 c O 9 2 G s u 8 s 7 + 3 d + / B w c 7 + + N 6 D 2 + m t 2 + D m 6 6 2 g o / s H u 2 N j Z W 5 U Y r f q K c I j t 1 V i t 2 r / n n P u K 7 F b t X / P W f e V 2 H t S N j L 5 2 7 d 8 N T L 9 t 3 v T V 3 P v + e Z 7 M o K v 8 N 6 z p / d l C d f 8 f q j 6 T j 9 / d f r 6 y 9 f p y b d P f + K r 0 9 u p p r 2 b d Z / t J d R 9 K u i 3 7 m B Y 9 2 k H w 9 b Q E 4 I b 2 3 o C c G N b j / n N I G + p 8 k z z g 3 1 a y N j Z J / V 1 O 7 V n 3 h P W I H 2 J T w Z f 9 P j + N v j 5 a s + 0 V x G 7 q S d f 7 9 2 q q w h / 3 F b v 3 a p 9 f 8 p v r f d u 1 f 4 9 p 9 7 X e + 9 L 2 q 8 9 / b 7 e e 8 9 O f c V 3 m / H 5 6 u 7 9 k P Q V 3 6 1 6 i n D C 7 X r y U P w 0 V H x f I 5 + G 5 b W b F J / t J V R 8 + + / Z w b D i 0 w 5 u p f h u b O t J w I 1 t P e 4 3 g 7 y l 4 j P N 6 b f x p 7 f 0 9 W 7 9 j s f v t 0 H L 1 3 c 3 D t n X c L c C H m G E 2 2 q 4 W 7 X v z + 2 t N d y t 2 r / n H P s a 7 m Z i R m Z 3 I / D 3 n F l f f d 2 q / X t O r q + 0 b t X + f S f X N X / Q U V X v m U 2 7 f / 9 m P W W 7 C P W U 6 t J b d z C s p 0 w H m 4 b s s f N t m n v c f J v m H j P f p r n H y 6 b 5 7 r 1 7 D 8 b G a b 1 J Y 9 3 + J Y + x b 4 O Y r 7 K 0 / e 1 U 1 q 2 A R 3 j i t i r r V u 3 f c 4 5 9 l X W r 9 u 8 5 y 7 7 K u p m Y k e m 9 r c q 6 T X t f Z d 2 q / X t O r q + y b t X + f S f X N T / w V d a n X y O j 9 u n O z U r L d h I o r U 8 V x V t 3 M K y 0 T A e 3 V F q 3 a e 7 x 8 2 2 a e + x 8 m + Y e N 9 + m u c f P p v n e g / H O L Z X V b X r w l d V t u / B 1 1 q 3 6 i L D E x v b v O c O + z r p V + / e c Y 1 9 n 3 a p 9 Z J Z v p G l k q r d v f C k y 2 T e 9 4 + u w W 7 / z n h P u 6 7 F b 9 / G + k + 6 a P w x 1 2 d e I F D / d v 1 m Z 2 V 5 C Z b b / n h 0 M K z P t Y N i 8 e W x + Y 1 u P x W 9 s 6 7 G 3 G e Q t d Z h p f n 9 / v K O E u E m P 3 f Y V j 7 V v g 5 S v x 2 4 c s K / A b g U 8 w g a 3 V W C 9 9 j c o s F u 1 7 8 / u r R X Y r d r 3 p 3 g D M S O T u x H 4 e 8 6 s r 7 B u 1 f 4 9 J 9 d X V r d q / 7 6 T a 5 t j J I G i e s 8 4 8 d O b 4 0 T X R a i l b h c n u g 4 G t Z T t Y N O Q H T v f q r n j 5 l s 1 d 8 x 8 q + a O l 2 3 z 3 Q d k j A 5 u p a 9 u / 4 5 j 6 1 u h 5 S k s 0 / 5 W C u t 2 w C M c s b H 9 e 0 6 w p 7 B u 1 / 4 9 p 9 h T W L d r 3 5 / k W y m s 2 w F / z 5 n 1 F N b t 2 r / n 5 H o K 6 3 b t 3 3 d y X f N d X 2 E 9 / B p R 4 s O d m 1 W W 7 S R Q W Q 8 V x V t 3 M K y y T A e b B u 0 x 9 G 2 a e / x 8 m + Y e O 9 + m u c f N p v n e g / 2 d B 7 v 7 O + M H u 7 f T W + G L n x 6 M P 3 1 4 O + V 1 G w R 9 5 e U 6 G j 8 8 2 P R O h K 8 2 9 h F h k Y 3 t 3 3 P G f R 1 2 q / b v O e e + D r t V + + i s 3 0 D T y I R v 3 / h S Z L J v e s f X a b d + 5 z 0 n 3 N d r t + 7 j f S f d N d 8 L d d v Z i 8 9 f n b 6 + p S f 2 c P d m t W b h h 2 p N x f f W H Q y r N d P B g 5 3 d M Y R l c N A e o 9 / 6 H Y / Z z T u 3 V H C 3 a e 6 x u m l + / / 6 9 / Y f 3 d w 7 G D z b N t 8 f v 7 / e i x / O 3 Q d B X c N o e 7 W 7 W b L c C H u G S 2 2 q 2 W 7 W P T P h t N d u t 2 r / n b P u a 7 W Z i R q Z 4 I / D 3 n F l f k 9 2 q / X t O r q / F b t X + f S f X N b 8 X a r B T U W D p m 1 e 3 U z H 3 b t Z h t o d Q h 9 1 7 z w 6 G d Z h 2 M M w O H i v f 2 N Z j 4 x v b e i x s B n l L h W W a 3 9 8 / 2 N 3 d v 3 d / j G k b f N H j 5 v d 7 0 W P r 2 y D o K 6 w b B + 8 r r F s B j 7 D E b R X W r d r 3 Z / n W C u t W 7 d 9 z t n 2 F d T M x I 1 N 8 W 4 V 1 m / a + w r p V + / e c X F 9 h 3 a r 9 + 0 6 u a 7 4 f K q y v k a h / u H + z 0 r K 9 h E p r / z 0 7 G F Z a 2 s G t l N a N b T 1 W v r G t x 8 Z m k L d U W q b 5 3 s O d v T H E Y f A l j 5 t v / 5 L H 0 r d B z F d W N w 7 a V 1 a 3 A h 5 h h d s q q 1 u 1 7 8 / u r Z X V r d q / 5 y z 7 y u p m Y k a m 9 7 b K 6 j b t f W V 1 q / b v O b m + s r p V + / e d X N f 8 f k d Z v W e y / u E t k v W 2 i 1 B T 3 S 5 Z 7 z o Y 1 l S m g 0 1 D 9 t j 5 N s 0 9 b r 5 N c 4 + Z b 9 P c 4 2 X T / O D T v f E t F d Z t X / G Y + j Z I + e p K 2 9 9 O X d 0 K e I Q f b q u u b t X + P e f X V 1 e 3 a v + e M + y r q 5 u J G Z n c 2 6 q r 2 7 T 3 1 d W t 2 r / n 5 P r q 6 l b t 3 3 d y X f N P P X X 1 6 c 7 7 p + o / 3 d m 5 W W H Z T n y F x W + + V w f D C s t 0 8 G C H n 7 3 x v d t p r s 5 7 t 1 R g 5 q 2 9 / Y O H 9 8 e Q 3 M G 3 P C 7 3 3 9 o b H 2 x 6 y + N 1 8 9 a n D z + 9 v 7 N z 7 + D + e G f / d l r N v f n g 3 v 7 9 h 9 T n p 5 v e 9 E T g P T D 1 d Z x 5 7 e D B D q E 6 3 t / 4 X o Q F N 8 + a r / D M G 9 s 3 v B L h k N v q v F s i F e G K 2 2 q 9 W / Y Q 4 Y V b E T j C C d s H + / c / 3 X m w 0 c b 5 q t D 2 d / N r v k Z 8 n 9 c i b H B b x f g + 3 b w v I 7 j m D 0 L 9 + D 7 p / k 9 3 b D Z + W D V a + K F q 1 K m 9 d Q f D q t F 0 Q I u A N + o 4 j / / f 5 z V P C M x r m 5 p 7 M n C b 5 p 4 A W K T u P b x 3 I 1 a e A L z X e 5 4 A 3 A Y 9 X w N q e 7 S 7 W e 3 d C n i E U z a 2 j 0 z 8 b T X e r d q / 5 1 T 7 + u 5 W 7 f u T v Y G Y k R n e C P w 9 Z 9 b X a b d q / 5 6 T 6 y u z W 7 V / 3 8 l 1 z Q 9 C L f Z + K f 9 P d + 7 d r M d s D 6 E e U 9 N 2 6 w 6 G 9 Z j p 4 D Y K y e P q 9 3 n N Y 2 7 z 2 i 3 1 2 G 2 a e 6 x t k b r 3 c P / T g 0 / 3 d x + M 8 d n g q x 6 j v + + r H s / f B k l f m 2 n 7 2 2 m z W w G P 8 M v G 9 p H p 3 9 g + M u 8 b 2 7 / n h P v a 7 F b t + 1 N + O 2 1 2 K + D v O b O + N r t V + / e c X F + b 3 a r 9 + 0 6 u a / 4 w 1 G b v v x 7 w K W K o m z S a 7 S X U a P v v 2 c G w R t M O h l n C Y + c b 2 3 q s f G N b j 4 3 N I D d R 3 u N i 0 / z + / U 8 P b q e v b v m G x 8 y 3 Q c l X U z c O 1 1 d T t w I e Y Y L b q q l b t e / P 6 6 3 V 1 K 3 a v + f 8 + m r q Z m J G 5 v a 2 a u o 2 7 X 0 1 d a v 2 7 z m 5 v p q 6 V f v 3 n V z b / N 5 O R 0 2 9 3 0 r A p z s 2 U T + o o 1 w X o Y 6 6 / 5 4 d D O o o 2 8 H D 8 c 7 e h l E 7 j r 7 t G 4 6 n 7 R u b y O p Y + l b N H U f b 5 g 8 e 7 I x 3 b q e 0 b v + O Y + 5 b o e W p L d P + V m r r d s A j f L G x f W S a N 7 a P T P L G 9 u 8 5 x Z 7 a u l 3 7 / i T f S m 3 d D v h 7 z q y n t m 7 X / j 0 n 1 1 N b t 2 v / v p P r m u / 6 a u v T r 7 E i 8 O n O z Y r L d h I o r k 8 V x V t 3 M K y 4 T A e 7 D 3 c f f n q w T 3 L 8 8 H b 6 K 3 j x 0 5 2 H 4 / 3 b a T H z 3 v 6 D g w c P 7 4 0 f P L i d N v N e u / / p v c 3 a x m N 4 8 9 q D h / v U 2 8 F 4 U 2 8 e 6 9 v X 7 h 8 c H O z t j D f 1 5 k n A + y D p 6 z h L y 9 2 H + / u 0 U r L x v Q g L 7 t 3 b G X + 6 a d 5 8 n W d e 2 r 7 5 r Q i f 3 F b z 3 R 6 1 C G / c V v 3 d v p M I S 9 y K 2 B G e u H f / 4 S 5 l E z Z 2 F + G J 7 V u 8 5 2 v H 2 9 D C 1 4 7 v g Z 6 v J G / V T Y Q P b t G N h 9 x e q C v f a 3 X g 0 9 2 b 1 a S F H 6 r J 3 f f s Y F h N m g 7 2 9 + 7 t 7 X x K b H N P Y d + k J t 2 L + w e f P r h H C m / T i 5 4 s m B e 3 d 0 m 7 H h x s V K + e S J j X N s 2 n J w y m + e 7 9 T + 8 f 7 N x / s N k Z 9 a T h / V 7 0 5 O E 2 C P q 6 U d u j 3 c 0 K 8 X 2 I 5 u t E O 5 p b v B b h i t u 8 F u G J j S S I s M J t u n l P V v A V 4 8 2 U j s z / R u D v O e 2 + + r t V + 8 j M 7 9 x S 7 9 0 K f m S q b + k c 3 g s V 3 n s u J H x 6 8 0 K C 6 y F U e b d b S H A d D K s 8 0 8 G 9 g 7 2 H O w 8 f b D K T H m + / x 1 s e h 5 u 3 N l H X 4 + z b N P c Y 2 z T f v b + 7 t 7 9 5 a c P j 8 P d 4 y + P z 2 6 D m q z d t f z v 1 d i v g E R 7 Z 2 D 4 y 5 b d 1 8 m 7 V / j 2 n 2 d d g t 2 r f n + j b a b B b A X / P m f U 1 2 K 3 a v + f k + h r s V u 3 f d 3 J d 8 / 1 Q g 3 2 N x Y N P 9 2 / W Y r a X U I v t v 2 c H w 1 r M d P C A D O c t V d h t X / E Y 2 7 x y S / 1 1 m + Y e W 5 v m u w 8 f 3 n u 4 O 7 6 l h / Y e b 3 l c f h v U f P 2 l 7 W + n v 2 4 F P M I d t 9 V f t 2 o f m e n b 6 q 9 b t X / P e f b 1 1 8 3 E j M z v b f X X b d r 7 + u t W 7 d 9 z c n 3 9 d a v 2 7 z u 5 r v l 9 X 3 8 9 + B r p u Q c 7 N 6 s v 2 0 m g v h 4 o i r f u Y F h 9 m Q 7 2 9 z 7 d 3 z n Y / 3 S j G H u c b d / b / / T e 3 s H B p 7 c O O 8 2 L 9 3 c 2 u z w e l 5 t X 9 n b 2 6 X 8 7 4 / u b u v K 4 3 X a 1 t / t g l 7 C 8 P / 7 0 l q r N v k m 6 b X / / 4 M G n G / M Q n g y 8 F 6 q + m r M v P r j 3 6 b 3 d 8 Y O N e Y 8 I F 2 4 T p r f o M c J a t 3 s x w j K 3 e z H C M 7 f V h u / X U Y R h b q s W 3 4 v 4 E T b Z f Y D M N i V / N 7 G X r y r d r N 3 m T V 9 p 3 m Z o v t J 8 L x R 9 7 X m r j m J c c Z u O P A Q / D d X o e 2 X u o H N u 0 q A W f q h B l Z V u 3 c G w B j U d 7 O 3 u 7 D / c u X + f + H T / d j r U v k l v P d z 5 d P f e Z q J 5 k m H e 3 P 7 0 w c H O p 5 t T Y 5 5 c 2 N f 2 H 3 7 6 4 M H + 3 v h g E 6 a e g J g X 7 + / t 7 O 3 d o + h + f H D / d p r U v X l / n x J 5 9 x 5 u z q N 7 M v J + y P q 6 1 N L 1 w f 4 + o p L h l y J 8 u H / w 8 C H 9 N T 7 Y y L 8 R B t u + 3 Z s R z r m t N / l + K E b Y 5 b Z u 5 f t 1 F O G T m y k f Y Z H t + 3 v 7 Z K n v 3 z D R E R a 5 1 Y u + F n 2 / F y N c c l s f 9 P 0 6 e l / e c M 0 f h F r 0 P d O B D + 7 d r E d t D 6 E e 1 U m + d Q f D e t R 0 s H v v A S 3 9 P C B N s b t J U 3 h y 8 Z 5 v e o J h 3 r y l I 3 q b 5 p 4 0 m O a k 2 c m 9 / p Q s w 2 2 1 5 n u + 6 Y n E b V D 0 d a W 2 R 7 u b d e S t g E d 4 Z m P 7 C A v c V i H e q v 1 7 T r e v B 2 / V v j / h G 4 g Z m e O N w N 9 z Z n 0 d d 6 v 2 7 z m 5 v m q 7 V f v 3 n V z X / C D U a F 8 j P f h g / 2 a t Z n s J t Z p q 6 V t 3 M K z V T A e 7 + w / 3 9 y h L B n Y Z H L 7 H 2 u 6 9 g / 0 H D 3 c 2 v + e x u H 1 v Z / / B p l c 8 L j e v P H z w 6 e 3 0 m n l h 7 2 D n w c H 9 e + O 9 T e 6 B x / H e e 5 8 e P H i w + T 2 P 8 2 + H o K / V 9 I 3 b a T U L / v 7 O b W N n 8 8 r 2 T e 9 E O O G 2 y u 2 2 a E U m / 7 b 6 7 b Z d 9 O f + d i r u l h M X m e r t z a / 4 e u 4 2 g / b 1 3 O 2 Q 8 j X d r X q I z P Q N w 3 Y v P P R 1 3 c H X S C U e 7 N y s 6 m w n g a o 7 0 E H d u o N h V W c 6 2 N 2 9 v 7 / / 4 N 7 e W L X o T a r O v U c R 4 u 7 9 B + N N v O h x u 3 3 v / s 6 9 / Y f j e 5 u 6 8 5 j e v P Z g h 6 L K 8 c 6 m t z y + N 2 / t P 3 i 4 / + n e / v h g k 4 f p i Y B 7 7 / 5 D U u T j g 0 2 D 8 w T h P b D 0 F Z 9 5 7 d 7 9 T / c O x g 8 3 8 l + E A R 8 8 v E 9 B y s b A L c J R 2 7 d 4 L c I n t 1 W E 7 4 F c h D t u q w v f o 5 c I W 9 y G 3 h G u u H d / d / / + e O f g l t r R E v w W 7 / k q 8 j a 0 8 F X k e 6 D n 6 8 l b d R N h h F t 0 4 5 D b 3 w m V 5 X s l D C F 9 N + h J B z / U k y q 3 t + 5 g U E / a D v b v P 3 y w i / T K x v S d E w T 3 4 q e 7 e / u 7 9 w 7 G n 2 4 K C p 0 s 2 B f v 7 T 4 w A f s N W t K + s k s p O 5 K H T z e 9 5 u T B v v Y p k q G 7 O + O 9 T e 8 5 g b D v 3 X 9 4 / 9 7 e f e r v V l r y v b D 0 1 K Q j y N 6 9 P Z 3 Y m 3 S k f W d 7 9 / 4 e p U F v 6 C z C U L d 6 L 8 I n t 3 o v w i Y b N V + E O 2 7 V T 4 R F N v Y T 4 Y 0 b i R 7 h i 9 3 7 u 5 / e 3 7 8 B t w h j b N / m R U 9 V 3 m p Q n q p 8 L w Q 9 X X m 7 f q L M c H M / H n q 7 o b J 8 z 7 z g w b 2 b 1 a X t I V S X i t + t O x h W l 6 a D v X s P a Q 1 3 o 5 X w h O A 9 3 v J E w b y 1 a V Y 8 C b h N c 0 8 A T P N 7 l B 3 f v P j t S c D t X / L Y / z a I + f p Q 2 6 P d z Y r w V s A j H L K x f W T C N 7 a P T P V t 9 d 2 t 2 r / n L P t 6 7 m Z i R q Z 3 I / D 3 n F l f n 9 2 q / X t O r q / H b t X + f S f X N d 8 L 9 d f X y A J i x e U m H W Z 7 C X X Y / n t 2 M K z D T A d 7 B w + R z H 9 4 O x 3 m 3 n p w 8 P D e e O e W 3 p 5 5 7 Z Z K z D T f p v W p B 5 v X G T w m N 2 8 d H N z f e T g 2 y + k 3 K T P z 1 s O d v U 8 f j O 9 / e j t t 9 h 4 Y + k p N X 7 u d U j N 9 3 K K L C O P c B r M I O 9 x W w 7 0 H c u / J B 7 6 e e 4 9 e + o x w O 2 3 3 P v S K M M D N b / m q 7 z 3 e i j D C b R X g e / T y v h z g m t / z 1 e D D r 5 E g f L h z s x a 0 n Q R a 8 K G i e O s O h r W g 6 W D v 3 q c U i e 7 s f j q + v 8 m N 9 Q T A v X n v 3 u 4 O p W g 2 5 h Y 9 G T A v 3 j v 4 9 A H 9 b 3 M i z Z M F 8 9 7 B p 7 u f U m 7 i 4 S b 9 5 g m D x f P T / Y N P H 3 5 K I e n 9 2 6 3 4 + m / u P N x 7 u E O o b q K N J x z v g 6 q v H u 1 7 + 1 i L Q T J m + L U I K 9 7 b 2 f l 0 b 2 9 3 v L s J T V 9 X m h e 3 b / d m h G 9 u q y 7 f D 8 U I t 9 x W Y 7 5 f R x E + u Q 3 t I 0 z y 4 M G n D z 4 9 G N / f u 6 X + t K S / z Y u + C r 0 N Q X z l + T 4 I + k r 0 V v 1 E O O I 2 / X j o 7 Y d q 9 L 1 S h 5 C r m z S o h R 9 q U J X I W 3 c w r E F N B 7 v 3 M P K H D / c + 3 c w 8 n l D 4 r 9 7 b v 3 e f N M y 9 T e z q i Y V 5 9 f 7 B p 5 R 0 3 L j y 4 Q m H e W t 7 7 8 G D B w c 7 m 1 e w P d m w v T 3 8 F O 7 y 3 s 5 m l e a J h / f m f V q c 3 9 n d n F P 2 B O S 9 c P W V q L 6 I d j e r T t P L v X u f 7 u 8 + H O 9 8 e k v N a b G 7 1 Y s R d r m t 4 n w v B C M M c l u 9 + V 7 9 9 F l j A 7 U j 3 H C 7 O Y 0 w w 2 3 e 8 5 X l e 7 0 X Y Y v b e p z v 1 c / 7 c o N r f j 9 U l i Z 1 e P L t 0 5 / 4 6 v R 2 G m 3 v Z p V p e w l V p i r 0 W 3 c w r D J N B 5 t G 7 Y n A b Z p 7 n H + b 5 h 7 j 3 6 a 5 x + + m + e 4 9 W l / c v 5 0 S v P U 7 H s f f B i 1 f 6 2 n 7 2 2 m 9 W w G P c M T G 9 u 8 5 w b 6 S u 1 X 7 D V M c b f + e c + w r t Z u J G Z n d j c D f c 2 Z 9 H X a r 9 u 8 5 u b 7 u u l X 7 9 5 1 c 1 / z T u M 6 6 5 X L H w 3 s 3 6 y v b Q 6 i v 1 J O 6 d Q f D + s p 0 s H / / 0 4 c P 9 h 7 u b R q 5 x 9 X v 8 5 r H 3 O a 1 W + q v 2 z T 3 W N s i t b P 3 8 P 6 D T 2 + 7 5 P E + r 3 m 8 f h v k f C 2 m 7 W + n x W 4 F P M I n t 9 V i t 2 o f m e / b a r F b t X / P m f a 1 2 M 3 E j E z w b b X Y b d r 7 W u x W 7 d 9 z c n 0 t d q v 2 7 z u 5 r v m D U I t 9 j U W P h / s 3 a z L b S 6 j J 9 t + z g 2 F N Z j q g N + 7 t 3 H s 4 N u s p N 6 k y 7 7 1 P 7 + / u j i F W g + 9 5 L G 7 e 2 7 6 3 / 2 B 3 v H d w O 5 V m 3 r q l S r P I 3 T v Y P d i j P O Q m 5 D y W f 6 / 3 P N a / D X q + U t P 2 t 1 N q 7 0 E x X 7 e Z 1 2 7 x V o Q d b v F W h B l u q + f e o 5 f 3 Z A J f 2 9 1 M 5 c j U 3 1 b b 3 a a 9 r + 1 u 1 T 4 y 6 7 f V d r d q H 5 n o W 2 q 7 A 0 / b P d h 5 / 7 W N B / A P b l J 2 t h N f 2 T 0 w n s W t O x h W d q a D 3 Q c P d x 8 + u H 9 w 2 z V e 9 9 7 + w X 1 a 5 x 2 b 0 P c m b W d e 3 N v Z w 5 L I e H d T h x 6 r 2 w 7 v H z z c 2 3 s w B m c M v u e x v O 2 P i P L w 4 N 6 9 M f I J g y 9 6 7 G 8 7 f E h L G + T N j R 9 + e j v V 9 1 6 Y + j r Q v r i z s 3 t / f / x g Y 1 Y + w o n 7 9 + 4 d P H g 4 f n h b f W j e 2 7 7 V i x G m 2 S g p E W a 5 V T 8 R X t n Y T 4 R H b t V P h E d u R f g Y i + w f 0 M r X 3 n h / Y 4 c R F t m + 1 Z u + 0 r w N S X y l + V 4 o + t r z V h 3 F F M l t O v I Q f B i q 0 f d Z 2 6 C l 2 J s 1 q I U f a l C V y V t 3 M K x B T Q e f U v h 6 s L v 7 c P z p p p F 7 U h G + e G 9 / 8 4 u e W J g X N 0 2 N J x W m O S R r s L 0 n D a b 9 P i 3 t 3 K O V 6 / E m t D x p C N / b P d j 4 n i c M t 8 L P 1 5 P 6 A t r d r B w N 9 O 3 N 4 C M c s / m F C A d s f i E y 8 x v 1 W m T C N 3 c Q m f K N H f S n f A N F I / O 8 G Z v I B G + e A l / L 3 Q Z / X 8 v d C i V f u 9 2 q g / e e Y t v + / k 6 o 1 d 4 v o f d g 5 + a E n u s h 1 G u 3 S u h 5 H Q z q N d v B v f 2 H n z 5 8 u D G Y d a z 9 P m 8 5 B r d v 3 U 6 j 3 a q 5 4 2 7 b f O 9 g Z 2 9 / 5 5 b Z v P d 5 y / H 6 r V D z d J l p f y t d d j v g E R 7 Z 2 D 4 y 5 R v b R y b 7 l n r s d u 3 f c 5 4 9 N X Y L Y k b m d y P w 9 5 x Z T 4 f d r v 1 7 T q 6 n w m 7 X / n 0 n 1 z X f D T X Y + y f z H u z s 3 6 z F b C + h F t t / z w 6 G t Z j p Y O / + 3 t 7 4 l j r M v r O / d / + 2 W T z 7 0 i b y e q x t m m 8 / f D D e O b i d H j P v P K T w Z g w 5 G X z J Y 3 P 7 0 v 6 9 + + M 9 J e x N W u z W 2 P m q T F + 6 n S q z a N 3 U Q Y R Z b s Y q w g C 3 1 W m 3 R u w 9 5 9 7 X a 7 f u o z / 5 t 9 N t t 6 d U Z N J v e s d X c r d + J z L 1 t 1 V 0 t + 7 j f W f d N d / z l d 3 u 1 8 j l Q Q 5 u 0 n W 2 k 0 D X 7 S q K t + 5 g W N e Z D v Z 2 7 n 1 K 0 W R H Q Q x p O / P W g / u f j u / d U t m Z d z 7 9 d G d 3 Z 7 M q 8 t j e v L V P C b X d 8 c G m v j z G t 6 O i q P L + + N 7 u 7 d S e e Y v W L T 5 9 O H 6 w 6 S 1 P B N 4 D Q 1 / z m d f u 7 e 7 e + 3 S 8 t / G 1 C N d R h n H n Y H x v k 2 7 2 1 a B 5 b f s 2 7 0 X Y 4 7 a a 8 H 3 Q i / D G b Z X h + 3 Q T Y Y v b 0 D z G F / f 3 P r 0 / 3 s S 4 v m p 0 J L / x N V 8 7 3 o Y U v m a 8 P X K + f r x V L x E + u L k X D 7 V 7 o Y Z 8 r z Q d e P 4 m 5 W j h h 8 p R 5 f b W H Q w r R 9 P B / t 7 + g / u b c / m e D L z H W 5 4 I m L d u 6 Q v e p r n H + a b 5 p 3 v 3 9 g 9 u 7 Q e 6 t 2 i h Z / N b H u P f B j V f E 5 r 2 9 z d q X F 8 J 3 q q H C K N s b B + Z 9 9 t q v V u 1 f 8 + 5 9 t X d r d p H Z v s G i k Z m e v u G V y L T v P k N X 7 X d 8 o 3 3 n G h f r d 2 y h / e d a t d 8 v 6 P S 3 j / C B d / c p N h s L 6 F i 2 3 / P D o Y V m + m A V q 4 e j A 8 U 7 k 1 6 z b 1 0 b 2 d z V O i x u n n p l m r N N N / e f b D R y n j M b t H a 2 a U l 5 Y 3 e v s f w 3 l s P 7 2 9 e R f F 4 / r b o + e p N 3 0 G 7 m z W b R e s G + B F m u R G n y P z f V s H d F q 3 3 n H h f x 9 2 2 i / 7 M b 6 B s Z M J v J F N k u m 9 4 x d d x t 3 0 l M u e 3 V X K 3 7 e J 9 5 9 s 1 v + 9 r u b 2 v E d q C I j c p O d t J o O T 2 F M V b d z C s 5 E w H B / s P H t z b v L D v s b p 5 a 3 d 3 D F Y Y f M V j d f P K v Z 3 d v f 3 x x u U e j + H N W 9 v 3 9 z + l 3 N y n + 7 d T d + a 1 B w f 7 9 / f 3 x 5 t Q 9 L j f 0 u L B w Y P 7 e 5 s j Y k 8 A 3 g d H X + d Z i j y 8 / + n B + M G D T a 9 F + I 5 m 7 N O 9 8 Y N N Y / M 1 o M X y N u 9 F G O S 2 W v B 9 0 I u w x 2 0 1 4 f t 0 E 2 G M 2 9 A 8 w h n b D / f 3 d h 6 M 9 2 / r / p n 3 b v G a r x / f 5 7 U I Z 9 x W R 7 5 P N + / L E a 7 5 p 6 G e f K 8 A F 6 O 7 S U V a + K G K 1 N H c u o N h F W k 6 O D j Y 2 d m / d + v 0 n 3 n t 4 a f 7 D w 5 2 x g e b V K s n C O a 1 W / q C F r n 9 B / c e b M 7 W e G J g 3 t p 9 + J B i / E / H + 5 t 0 l i c H 7 r 3 d v X s P H m 7 u z 5 O D 9 8 D S 1 5 D 6 G t r d r B d N H 9 u 3 6 S T C P 7 d 5 L c Y V t 3 g t w h U b h S f C D r f p J s I W G 7 v p M 8 Q G S k e 4 4 D Y 4 R Z j g N h P k a 8 P b j M V X g + + B n q 8 N b 9 X N 1 2 Q A 9 9 a D U B u e i j J M 3 7 y 6 n b q 6 d 7 M + t D 2 E + v D e e 3 Y w r A 9 N B 5 s I 5 X H 8 b Z p 7 D H + b 5 h 6 j 3 6 a 5 x + e m + e 7 u w 3 s 7 O 5 t e 8 v j 9 9 i 9 5 3 H 4 b x H x d p + 1 v p + t u B T z C E x v b v + c U + 1 r t V u 3 f c 5 J 9 d X a r 9 v 1 p v p 0 6 u x X w 9 5 x Z X 3 / d q v 1 7 T q 6 v u G 7 V / n 0 n 1 z U / C D X W 1 8 j m I Q 1 2 k 9 a y v Y R a a / 8 9 O x j W W q a D X f J a b q e 4 7 B t 7 4 4 P b 6 S 7 z x i 1 1 l 2 m + T Q 7 Y 7 d S X e e N g l 9 b s 9 z Z h 5 f G 3 f Y m W r 2 + d x L s l b r 4 G 0 1 d u p 8 E M / B v A R z j k J o w i c 3 5 b N X Z L p D o z f m M P k S m / o Y f + l N 9 O l d 2 W R p G J 3 v y G r 8 9 u + U Z k s j d q q M h U 3 9 D D + 8 6 0 a / 6 w o 9 N e v E k / P 3 5 x / P S 2 Y e n 9 m x W a 7 S J U a J r 3 u n U H w w r N d L D 3 c H x / U + j u 8 b d 9 5 f 5 t N Z p 5 4 5 Y a z T T f v j f e u L j k 8 b f F 6 W D z G o v H 5 e a V e 3 v j + 0 r P m 9 T Z b R H z 9 Z m + c z t 9 Z n G 6 A X 6 E Q 2 7 E K T L p t 9 V o t 0 X r P a f c V 2 m 3 7 a I / 5 7 f T a b c m U 2 S 6 b 3 j F 1 2 q 3 f S U y 5 7 d V a 7 f t 4 n 3 n 2 z b / d M f X a / e + x p r E v Z 0 b N Z v r J N B s 9 x T F W 3 c w q N l s B 7 v 3 d / c P N m o q x + n 2 p X v 7 u / f H C M 4 H X 3 K 8 7 l 7 6 9 G D n / m b 9 4 z j e v r U H T X 3 L F V j 7 0 g N y 3 W 6 l 5 h x y e z s P x w 9 u l 2 l 7 D 9 w 8 V e f e 2 t 0 5 u D + + t z G X E W G 3 3 d 0 H 9 + 5 t X u 3 2 F J 9 9 b f s 2 7 0 X 4 4 p b K 7 7 3 Q i z D F L R X g e 3 U T Y Y j b 0 D z G F Q 8 P b g g B P I X o S H 7 z a 5 5 S v B U p P I 3 4 H s h 5 e v F 2 v U T 4 4 O Z e P N R 2 Q 9 X 4 X s s Q W A m 8 S S t a + K F W V E V / 6 w 6 G t a L p 4 N 7 9 e w 9 2 N 0 q 2 J w L 2 p b 3 d h w c b X / I E w L y 0 a T 4 8 / j f N t + + R A N x O G Z p X 9 v f u 7 W z E y m N 8 8 8 6 D f Y S x t 9 O G t 0 X N 1 4 X 6 D t r d r A E t f W + A H 2 G U G 3 G K z P 1 t N d 9 t 0 X r P S f e 1 3 m 2 7 6 M / 6 B s p G p v t G M k W m + 4 Z X f A 1 3 2 1 c i c 7 5 R X U U m / K Y u 3 n e + X f O 9 j m 5 7 / x T d v f 2 b N Z z t J d R w + + / Z w b C G M x 0 c P L g 3 f n i 7 J F 3 w z u 6 m d z x W N + / c U r + Z 5 t s 7 G 3 1 R j 9 H N G 5 / u 7 + 3 f d m 3 V f + n + Z i / C 4 / h b 4 u b r N 3 3 l d v r N k m o z + A i X 3 I R R Z N 5 v q 9 1 u i d R 7 z r i v 3 G 7 Z Q 3 / K b 6 f b b k u j y E R v f s P X b L d 8 I z b Z t 1 R s t + z h f W f a N b / n 6 7 X 9 r x H O 7 u / c r N Z s J 4 F a 2 1 c U b 9 3 B s F o z H d y / R 4 7 L x n V i j 8 f N S / t 7 e 5 u V g c f l t q P 9 e / v 7 4 0 8 3 p c Y 8 X r c 9 P d z / l B y r T c G p x + + 2 r 9 2 H O 5 + O P 3 1 4 O x 1 n 3 r r 3 4 D 5 8 2 F s q u f f A 0 F d 0 t r P 7 u 3 v k + 2 4 i v K / y b G 8 H B z v j h 7 d V e + a t 7 V u 8 F u G N 2 6 q + 9 0 A u w h i 3 V X / v 0 U u E J W 5 D 7 w h P 7 O 7 f u 3 d / v L O J a 3 2 F a A l + i / d 8 t X g b W v h K 8 T 3 Q 8 3 X j r b q J M M I t u v G Q 2 w 8 V 5 H s F t f u 7 N + t G C z / U j b v v 2 c G w b j Q d 7 O 7 e + 3 R v s 6 v k S Y F 7 a 3 9 / b 7 O i 8 6 T A v L W N j M v O e J M a 8 W T B f 2 t n Z 7 y / S d N 5 w m B R v L d P D t 1 4 Z 5 M 0 e M J g X 7 t / c H D v 0 8 0 L O 5 4 w v A + S v o o 0 7 9 3 b f b i J 9 L 5 6 t F 0 R C f c 2 o e d r R / P S j e 9 E W O P G d y K M s V H R R V j i x j 4 i D L G x j w g n 3 E T j C B d s 7 + 3 T S z d M Z 4 Q N b v G a r x L f 5 7 U I J 9 z W X X y f b i J 8 c E u f 8 X 6 o E k 9 F I 6 Z v X t 1 O Z 9 2 7 W S n a H l Q p u j f f q 4 N h p a g d Y K Q 3 q s I b 2 3 r c f m N b j 8 v N I D d R 3 W N y 0 5 z W U X Y 2 v e I x + W 1 f 8 f j 7 N k j 5 6 u 3 G A f u K 7 V b A I 2 y w s X 1 / V m / t 6 t 2 q f X 9 2 b + 3 k 3 a p 9 f 4 o 3 E D M y u R u B v + f M + i r r V u 3 f c 3 J 9 X X W r 9 u 8 7 u a 7 5 p 6 G S + h o J O 7 h K N y k q 2 0 u o q P b f s 4 N h R W U 6 O K B w c / 9 g w 9 A 9 t r 7 1 O x 5 r m 3 e 2 N 6 9 7 e M x 9 y z c 8 9 j Z v 0 P r s v f H B J s Q 8 N v d e u r 9 5 N B 6 v 3 x I 3 X 5 H p K 7 d T Z A b + b R X Z r d p H Z v 2 2 i u x W 7 S O z f V t F d q v 2 / Z m + n S K 7 7 W R F 5 n f z G 7 4 2 u + U b 7 z n H v j 6 7 Z Q / v O 8 u u + Q N f o 9 3 / G q m 6 + z s 3 K z T b S a D Q 7 i u K t + 5 g W K G Z D u 7 v 7 z 3 Y O 9 j f n M T w W N y + R 8 H 7 w 9 3 d W 2 f s z H u f 7 t C q 9 u 6 t U 3 a 2 u 9 2 D v b 2 D 8 d 4 t c 3 b m t X s H n z 7 Y f 0 B Z h k 1 Y e j J g 3 7 t 3 8 P D e z o P x w a b 3 P E F 4 H z R 9 b W f e 2 9 / Z + X R 3 v L P x t Q g L P t y 9 R 4 t B 9 z Z p Y 1 / 9 m d e 2 b / N e h F d u q w b f B 7 0 I i 9 x W G 7 5 P N x H e u A 3 N I 6 y x / + B g 9 9 M H 4 4 0 5 v w h n b N / i P V 9 R 3 o Y Y v p p 8 D / R 8 b X m r b i K s c I t u P O Q O Q p X 5 X s k 7 J I Z u 0 p Y W f q g t N c 9 x 6 w 6 G t a X p Y G / n 3 s P 7 n + 4 c j O 9 v 0 l + e K L g X 9 / f u 7 d / f G x 9 8 e j t 9 a V 7 c 3 j 3 Y P X h w M N 7 f x K e e U L j 3 7 u / v 3 N s f 7 2 7 q z 5 M K 8 9 7 u L m X C 9 x + Q Q d i U J f L k w r 5 I t N m / T 6 R 5 s A l T T z L e C 1 N f a e q L a H e z q r S 9 7 D 2 A H 3 7 v t n k 8 O 3 G 3 e C 3 G K L d 4 L c I m G 1 V f h D t u 0 0 2 E O T Z 2 0 2 e K D Z S O M M L t 5 j P C C L d 5 z 1 e R 7 / V e h C U 2 6 r w I K 9 y q n w g v b K S 2 a / 4 w V J L v m c 6 7 f 4 t 0 n u 0 h V J O 3 S + e 5 D o b V p O l g d + f T v Y c 7 e 5 s I 5 T H / e 7 z l i Y B 5 a x N 1 P d a / T X O P 8 0 3 z T z / d u 3 f r P N / t X / K 4 / z a I + d p P 2 9 9 O + 9 0 K e I R D N r a P T P j G 9 p G p v q 2 e u 1 X 7 9 5 x l X 8 H d T M z I 9 G 4 E / p 4 z 6 + u z W 7 V / z 8 n 1 9 d i t 2 r / v 5 N r m D 3 Z C / f U 1 M n 3 3 9 2 / U Y a 6 X U I f t v 2 c H g z r M d r B 7 s P N g 5 7 a 5 v v d 5 y 7 G 3 f e t 2 O u x W z R 1 z 2 + Z 7 D / f v k w e 5 y W N 1 X P 4 + b z l e v x V q n h Y z 7 W + l x W 4 H P M I j G 9 t H p n x j + 8 h k b 2 z / n t P s a b H b t e 9 P 9 K 2 0 2 O 2 A v + f M e l r s d u 3 f c 3 I 9 L X a 7 9 u 8 7 u a 7 5 r q / F P v 0 a 2 b 1 P d 2 5 W Y r a T Q I l 9 q i j e u o N h J W Y 6 e L C 3 8 3 B s l O N N O s y + t H / r t J 5 9 Z 3 / v 4 d 7 9 8 U N 1 J W 9 S Z O a t e 5 + S j h l / u u k t j 8 3 N W 7 t 7 n 1 L q 4 f 7 B 7 f S Z H d W n + x S b f n o 7 d f Y e C P p a z b 6 2 u 3 / v Y H y w u + m 1 C M 9 9 u v / p w X h j X x E e 2 r 7 5 r Q h j 3 F b V h a j d U t / d q p M I O 9 w 8 k g g 3 3 I b W E X a 4 v 7 N L b 9 0 y i + e I f f N r v i 6 8 D S F 8 X X h 7 5 H y N e K t e I j x w c y 8 e a n u h X n y v F B 5 S S T e p R A s / V I k 6 r b f u Y F g l m g 5 2 P 9 3 d 2 R n f u 6 V O t G / d P 9 i / v / k t T w D M W 5 t m x O N / 0 3 x 7 b 2 N a 0 W N + 8 8 b e g 0 8 P 7 m 1 e T P F 4 3 7 3 1 k E R m 4 1 s e 7 9 8 S O 1 8 P 6 i t o d 7 P 2 s 1 h t B h / h l Z s w i s z + b f X e L Z F 6 z z n 3 l d 4 t e + h P + g a q R u b 6 J h p F J n r z G 7 5 + u + U b k c m + r b d 3 y x 7 e d 6 Z d 8 3 s d v f b + U e u n + z d r N 9 t L q N 1 U n d y 6 g 2 H t Z j q 4 t / N w Z / N q p 8 f k 7 q W D v c 2 u k c f n 5 q V b 6 j b T f J s W i z Z 5 b B 6 f m 1 d o e Z n i z 0 3 2 y e N 3 9 9 L e / f G m j j y G v y 1 u v m r T d 2 6 n 2 k w H N 8 G P c M q N O E U m / 7 b K 7 b Z o v e e s + 9 r t t l 3 0 p / 1 2 6 u 3 W Z I p M 9 w 2 v + A r u t q 9 E 5 v y 2 G u 6 2 X b z v f L v m + 7 6 K e / A 1 Q l r E 0 D d p O N t J o O E e K I q 3 7 m B Y w 5 k O d u 8 9 v E d L 9 + O H m 6 j l M b t 7 7 / 7 O v Z 2 9 8 b 1 N C s X j e P v e P j l Z D 8 c 7 m 1 7 z G N + 8 9 p D W y s n N 3 K R U P d 4 3 b x E 1 C M / d z a u 9 n h j Y 9 3 Y e E l 1 2 N w f F n i i 8 B 5 a + 8 j O v 3 a M g Y m c z k r 4 a N K / t k 3 U i v 3 N j b x G W 2 r 7 N e x F O u a 0 6 f B / 0 I g x y W 5 X 4 P t 1 E W O M 2 N I 9 w x v 2 H D + 8 / H B 8 8 v K W O t D S / x X u + o r w N M X w t + R 7 o + c r y V t 1 E W O E W 3 X j I 3 Q 8 V 5 n v F u o i u b 9 K V F n 6 o K 2 8 X 6 7 o O h n W l 6 W D / Y O d g 9 9 P 7 4 x 0 F f Z O u t O + R R r 7 3 c G / z e 5 4 o m P c 2 T Y s n C a b 5 9 r 0 H D 2 D M B t / x x M C 8 Q 0 p 8 9 + H u p 5 t X 4 T 0 5 c O 9 9 S i v y D z e / 5 w n C r X H 0 9 a O + h H Y 3 a 0 X T w 4 0 d R D j n Z q w i 3 H B b f X h r x N 6 T A 3 x l e O s + + i y w g b q R e b + Z U p F J v + k d X / P d + p 3 I 1 N / W R 7 x 1 H + 8 7 6 6 7 5 p 6 H O O x W V l 7 5 5 d T u l d O 9 m r W d 7 C L W e j u f W H Q x r P d P B 3 q c P D + 4 9 2 O S v e c x + + 5 c 8 b j c v 3 V L f 3 a a 5 x + c W p Y f 7 D 3 Z 2 N r 3 k 8 f v t X / L 4 / T a I + f p N 2 9 9 O v 9 0 K e I Q / N r a P T P d t 1 d q t 2 r / n J P s q 7 V b t + 9 N 8 O 3 V 2 K + D v O b O + F r t V + / e c X F + D 3 a r 9 + 0 6 u a / 4 g 1 F 5 f I 4 s H V / E m D W Z 7 C T X Y / n t 2 M K z B T A d 7 e 3 u 0 6 n h w O w 1 m X z q g w H F j u s x j b v P S L T W Y a f 7 p 3 r 3 x g Y 7 3 J j V m 3 q H x E 2 L 3 N v n e H q P b t 3 Y + J R p s z P p 6 7 H 5 r / H x t p i / d T p u Z H r Z v 7 i L C M T e / F O G C m 1 + K c M F t t d v t O 4 m w w W 1 V 3 M 0 U j s z 8 z R h F J v 7 m a f G 1 3 W 3 G 4 W u 7 W 6 P m q 7 x b d f K 1 p t 2 9 c + D r v Y O v k d o 7 2 L l Z 7 d l O P v f V 3 o G O 6 9 Y d D K s 9 0 w H 5 Y J / u 7 + 1 t X p n 0 e N 6 + d / / h / f 2 D / c 0 a 0 + N 9 8 9 7 u / s 7 + g 4 O x C b x v U o L m t X v U 2 8 7 Y q P 2 b 1 K D t b I c G 9 4 D U + i Y H 3 h M H 9 x 4 t b + 8 T l p s 0 u y c R 7 4 G l r w x t d w / 3 d n f H B x s j p g g D 0 p r 6 w 3 s P x g 8 3 p q c i P L V 9 q x c j v L J R B U V 4 5 F b 9 R H h k Y z 8 R 5 r h V P z H 2 u A X d I 9 y x t 3 N v 7 2 D 8 c B M H + + r S k v 0 W 7 / k K 8 z b U 8 B X m e 6 D n q 8 x b d R N T H D d 3 4 y H 3 M F S a 7 5 X e O 7 h F e s / C D 9 z E A 8 X u 1 h 0 M 6 0 v T w e 4 O e V Z Q m L d d 8 P V f / H R v 7 + H m F z 1 p M C 9 u m h h P G E x z y j 9 u k g N P D M w b e w e k y A / I A G 5 S 5 Z 4 c e O / d + / T B p 5 v f 8 w T h l h j 6 G l J f Q b u b 9 a K B v 3 1 T B x G + u e m V C C f c 9 E q E B z Y q t s j U 3 9 R F Z P o 3 d t G f / A 2 U j c z 4 T f h E J v u m y f A 1 3 m 3 G 4 G u 8 W 6 L l a 7 t b d f E 1 J t u + A d / L 1 3 T v m d S D M b p B 1 7 k e Q l 1 3 u 6 S e 6 2 B Q 1 9 k O 7 u 8 e H O w + 3 E Q q x + P v 8 Z J j d P v S 7 X T c r Z o 7 H r f N d z / 9 d O + 2 S b 3 3 e M l x + 6 0 Q 8 / S a a X 8 r v X Y 7 4 B H + 2 N g + M t 0 b 2 0 d m + p b a 7 H b t 3 3 O W P V V 2 C 2 J G p n c j 8 P e c W U + H 3 a 7 9 e 0 6 u p 8 B u 1 / 5 9 J 9 c 1 3 w 2 1 1 9 d I 6 i G M v k m D 2 V 5 C D b b / n h 0 M a z D T w f 2 d + 7 u 3 U 1 / u j f 1 7 4 7 2 D 2 6 k v 8 9 I m 4 n q M b Z p v P 9 g c W X q 8 b V 5 5 c H / n Y L z p H Y / F 3 T u 7 9 8 c P b x f C 3 h o 3 X 4 v p O 7 f T Y h a r G + B H 2 O R G n C I z f 1 t l d l u 0 3 n P W f X 1 2 2 y 7 6 0 3 4 7 l X Z r M k W m + 4 Z X f M 1 2 2 1 c i c 3 5 b 5 X b b L t 5 3 v l 3 z P V + / P f w a y T t 4 N j e p N 9 t J o N 6 M T 3 T r D o b V m + l g / / 7 e v X v j + 5 u 0 l c f q 5 q 3 7 l L r b r B c 8 Z j c v P d h 5 Q D n S v U 1 v e S x v 3 r q 3 u 3 N w f 3 z / 0 9 s p O / P W 7 s 7 9 / Q f j g 0 0 Z S Y / 9 z V u f H t z 7 d L y z i R Y e / 7 8 H g r 7 G M 6 / t P b j 3 4 N 4 Y 0 c H w a x G u u / f w U 8 p T f b q x t w g f b d / m v Q h 7 3 F Y H v g 9 6 E d a 4 r R 5 8 n 2 4 i X H E b m k f Y 4 t 4 D y v E 9 2 B i 8 R f h i + + b X f N 1 4 G 1 L 4 i v H 2 y P n q 8 V a 9 R P j g 5 l 4 8 1 O 6 F G v K 9 M n X I B t 6 k H C 3 8 U D n u v m c H w 8 r R d E C r m Z / u 3 R / v b e I z T w j 8 1 / b 3 N r O n J w T m t V u 6 g L a X B + P 9 2 y l F 8 w a C 0 d 3 N y z Q e 9 9 t + H j 6 k R Z q 9 2 y 3 p 3 h Y 7 X y P q K 2 h 3 s x 4 0 8 L d v 6 i D C L z e 9 E u O A G 1 6 J z P 5 G X R a Z 9 p u 6 i E z 9 x i 7 6 E 7 + B s r H 5 v g G f y G T f N B m + n r v N G H w 9 d 0 u 0 f C V 3 q y 6 + x m S 7 N / Y 7 G u 7 9 Y 9 y H + z f r O d t L q O c U x 1 t 3 M K z n T A e 0 y H m f / L l b q j n 7 1 u 7 e z i 1 d Q P P K L V W c a b 6 3 / + n m t Q 6 P 1 8 0 7 t C K / v z n 6 9 n j e v n R / j 2 L j T T 1 5 X H 9 r 7 H w l p y / d T s m Z H r Z v 7 i L C L r 2 X N i m 6 2 7 8 U 4 Y D b q r r b d x J h g t s q u 5 s p H J n 4 m z G K T P z N 0 + I r v N u M w 1 d 4 t 0 b N V 3 m 3 6 u R r T b t 7 5 7 6 n 9 A 5 2 3 j / w P U A q / C a d Z z v x d R 6 / + V 4 d D O s 8 0 8 H e 7 j 3 K 0 9 1 O 4 5 l 3 d m m R c / f h 5 s y C x / b m t Y M H + w / 3 x v d v G f i a t + 4 / 3 P v 0 4 W a l 5 H G / Q 5 E I Q Q u x m 1 7 z 5 M C + t v 9 w 9 9 N N 7 r 0 n B u + B o K 8 B L e E / f X h v b 7 O h j T D d 3 s H e 3 g 1 Z V V 8 X m t e 2 b / N e h D t u G / e + D 3 o R z t j Y T Y Q n b t N N h C l u Q f I I T 9 y j z N C n m z n J 1 4 6 W 5 L d 4 z 9 e P t 6 G F r x / f A z 1 f Q 9 6 q m w g n 3 K I b D 7 l P Q x 3 5 P q H v w c 4 t Q l 8 L P 1 S P t w p 9 v Q 6 G 1 a P p 4 M G D e / f v K d i b 1 O O t 3 / E k w L y z T c j t b l I 8 n h T c + h 1 P B M w 7 n + 7 e 3 / v 0 Y H x L v 9 C + t f f p v Y P 7 G 9 / y J O D W + P l q U V 9 C u 5 u 1 o e l h o 9 6 I s M v G 9 p H Z v 6 3 6 u 1 X 7 y K z f V u / d q n 1 / t j c Q M z L J N 0 9 X Z I 5 v e s f X c L d + 5 z 1 n 2 l d v t + 7 j f W f b N X 8 Q 6 r Z T U W 3 p m 1 e 3 U z 7 3 b t Z u t o d Q u 6 m X d u s O h r W b 6 Y D 0 1 A M M f 3 D Y H o / f + h 2 P z 8 0 7 m y j r s f l t m n t c b p r v k c N r P O O b N N q t 3 / F 4 / T Z o + a p M 2 9 9 O l d 0 K e I Q 3 b q v K b t U + M s 2 3 V W W 3 a v + e c + y r s p u J G Z n d j c D f c 2 Z 9 D X a r 9 u 8 5 u b 7 2 u l X 7 9 5 1 c 1 / w g 1 F z v n 6 4 7 Q I x 8 k / a y v Y T a a / 8 9 O x j W X q a D 3 U 8 / v T f e V 7 g 3 q a / b v + Q x t 3 n p l v r r N s 0 9 1 j b N D + 7 v P R h D R g Z f 8 l j 8 9 i 9 5 f H 4 b x H w N p u 1 v p 8 F u B T z C H 7 f V Y L d q H 5 n p j e 3 f c 5 J 9 D X a r 9 v 1 p v p 0 G u x X w 9 5 x Z X 4 P d q v 1 7 T q 6 v w W 7 V / n 0 n 1 z V / 6 G m w h / f T 1 + + Z e n t 4 f + d m / W X 7 8 P U X v / l e H Q z r L 9 P B p j F 7 / H y b 5 h 4 7 3 6 a 5 x 8 2 3 a e 4 x 8 2 2 a e + x s m 4 + h A Q b f 8 B j 6 N h 3 4 q u q W P f g K 6 1 Z d R B h i Y / v 3 n F 9 f Y d 2 q / X v O s K + w b t U + N s c 3 k D Q y z 9 s 3 v R O b 6 c 2 v + N r r t q + 8 5 2 T 7 C u y 2 X b z v f N v m D 3 d C H f b + X t j D + / s 3 a j H X S 6 j F 9 t + z g 0 E t Z j o Y N m u O w 2 9 u 6 7 j 7 5 r a O s + 0 g b 6 e 8 X P P N 2 X r H 1 7 d 9 w 3 H 1 r V D y 9 N f N w / U 0 1 + 2 A R 5 j g l p r r d u 3 7 8 3 p b z X W 7 9 u 8 5 v 5 7 m u g U x Y 3 N 7 O 3 1 1 q / a e s r p d + / e c X E 9 T 3 a 7 9 + 0 6 u a 7 7 r q 6 l P 3 9 / V + n T n Z i V l + w i U 1 K e K 4 a 0 7 G F Z S p g O G e L O e u k 1 z j 5 1 v 0 9 z j 5 t s 0 9 5 j Z N N 9 9 s H v v 4 G B 3 f 3 y w e z u l 5 V 7 c 3 6 O 1 3 Y f j h 5 v W d z 0 O v w 2 C v u 4 y 7 f c O d j / d u 3 9 r B + x 2 / U T Y Z G P 7 9 5 x 1 X 4 3 d q v 1 7 z r u v x m 7 V P j L z t 6 J r Z O K 3 b / V i Z O J v 8 5 6 v 4 t 7 r v f d k A F / V v V c / 7 8 s I r v l e q P L e Z 9 X y 4 a e 7 N 6 s 7 C z 9 U d y r W t + 5 g W N 2 Z D m 6 p 7 m 7 T 3 G P 7 2 z T 3 u P 4 2 z T 2 m N 8 3 v 7 e 8 9 + P T e v f t j f D L 4 o s f 1 7 / e i x / W 3 Q d B X d 9 o e 7 W 7 W c b c C H u G N 2 + q 4 W 7 V / z 7 n 2 d d y t 2 r / n b P s 6 7 m Z i R q Z 4 I / D 3 n F l f j 9 2 q / X t O r q + / b t X + f S f X N b 8 X 6 i 2 z I n n y 7 d O f + O r 0 d s p l 7 2 b t Z X s J t Z c K 2 6 0 7 G N Z e 2 s E w S 3 j s f G N b j 5 V v b O u x s R n k L Z W W a X 7 / 0 / 2 H t 1 y C t O / s H e z t m 6 z i T a r q N m j 5 q s q 0 3 7 6 x E 1 9 n 3 a q X C E f c V m f d q n 1 / k m + t s 2 7 V / j 0 n 2 9 d Z 7 0 H V r z P f v g a 7 f V e + H r v N g H w 9 d m v U f G V 2 q 0 4 i s 3 5 j J x 5 i + 3 G N 9 u b V 7 Z T N v Z u 1 m e 0 h 1 G b 3 3 r O D Y W 2 m H d x K m 9 3 Y 1 m P y G 9 t 6 D G 4 G e U t t Z p r D k 7 q / c 9 s c 2 X u 8 5 T H 4 b V D z N d q N w / Y V 2 a 2 A R 5 j h t o r s V u 3 7 8 3 t r R X a r 9 u 8 5 z 7 4 i u 5 m Y k f m 9 r e q 6 T X t f a d 2 q / X t O r q + v b t X + f S f X N b 8 f q q q v k c 7 / d P 9 m d W V 7 C d X V / n t 2 M K y u t I N b q a s b 2 3 q s f G N b j 4 3 N I G + p r k z z h / f v j w 8 + v Z 2 y u v U 7 H k P f B i 1 f V d 0 4 Z F 9 V 3 Q p 4 h B F u q 6 p u 1 b 4 / t 7 d W V b d q / 5 5 z 7 K u q m 4 k Z m d 3 b q q r b t P d V 1 a 3 a v + f k + q r q V u 3 f d 3 J d 8 0 8 7 q u r F m / T z 4 x f H T 2 + b 4 r p / s 5 6 y X Y R 6 6 v 5 7 d j C s p 0 w H m 4 b s s f N t m n v c f J v m H j P f p r n H y 6 b 5 7 r 2 d 3 f H O w e 0 0 1 u 1 f 8 h j 7 N o j 5 K k v b 3 0 5 l 3 Q p 4 h C d u q 7 J u 1 f 4 9 5 9 h X W b d q / 5 6 z 7 K u s m 4 k Z m d 7 b q q z b t P d V 1 q 3 a v + f k + i r r V u 3 f d 3 J d 8 w e + y n r w / q u Q D 3 Z u 1 l m 2 j 0 B n P V A M b 9 3 B s M 4 y H e y P P / 3 0 d m r L v H F L t W U 7 o F 8 f b P Z r P L 7 2 3 7 o 3 1 j z e T T r M v L S 3 u 3 v / w c N P x w 8 3 d e b x u e 3 s Y O f e P e o O P D 3 4 n s f v t 0 f S 1 2 c W y w f 3 H t z f f z j e 1 7 j + R t 1 2 y 6 n y 1 Z t 5 Z f u m d y I c c V s V d 1 u 0 I j x x W y 1 3 2 y 5 i v H A r K k e Y Y X v v 0 4 M H 9 x 9 8 O t 7 b + G a E H W 7 1 o q 8 H H z y + + x 4 v R j j i t g r x / T B 8 X 5 5 w z Q 9 C z f g 1 k v 4 P b p H 0 t 7 2 E u v F 2 S X / X w b B u 1 A 6 G j a U n B T e 2 9 d j / x r Y e 6 5 t B b q K 8 x / a m + f 7 e v Z 3 9 e / f H + w e 3 U 4 H m P a j O v d 0 H 4 w f 7 t 1 O B t 0 H P V 3 6 m / f a t O v K 1 3 6 1 6 i n D H x v b 9 y b 6 1 2 r t V + / 6 k 3 1 r n 3 a p 9 Z O Z v S d m v O / e + w n u / L n 2 N d 5 v B + Y r u v V D 0 N d 6 t O o p w w a 0 6 8 h B 8 G N d 4 t 1 w U e H C L R Q H b Q 6 j t b r c o 4 D o Y 1 n b a w a 2 0 3 Y 1 t P c a / s a 3 H 9 G a Q t 9 R 2 p v m 9 v f v 7 9 3 b J O 7 i d s n u f 1 z x 2 v w 1 y v q 6 7 c e C + e r s V 8 A g 7 3 F a 9 3 a p 9 f 4 Z v r d 5 u 1 f 4 9 Z 9 p X b z c T M z L B G 4 G / 5 8 z 6 6 u t W 7 d 9 z c n 2 t d a v 2 7 z u 5 2 n x v Z 2 c n V F Z f Y 1 k A a n G j w v J 7 C R W W K t R b d z C g s F w H N y u s 2 7 Q 1 r H y b t o a N v U H e R m F 5 z R / s f b p 7 K 2 3 1 P u 8 Y h r 4 l W l Z V 3 W b I V l X d F n i E E W 6 l q m 7 b v j + 3 t 1 N V t 2 3 / n n N s V d W t i B m Z 3 Y 3 A 3 3 N m r a q 6 b f v 3 n F y r q m 7 b / n 0 n 1 z X f 7 a i q 9 1 w W e H D T s o D f R a i n b r c s 4 D o Y 1 l O m g 4 f j e 5 t y R B 5 H 3 / I N j 6 f N G 5 v I 6 r H 0 b Z p 7 H G 2 a 7 z 7 Y H Z v 4 + i a 1 d e t 3 P O a + D V q + 2 t L 2 t 1 N b t w I e 4 Y v b q q 1 b t Y 9 M 8 m 3 V 1 q 3 a v + c c + 2 r r Z m J G Z v e 2 a u s 2 7 X 2 1 d a v 2 7 z m 5 v t q 6 V f v 3 n V z X f M 9 X W w f v v z R w s H O z 3 r J 9 B H r r Q D G 8 d Q f D e s t 0 c G / v w d 7 u + O C W u s u 8 9 f D + z v 7 O g 4 f j h 7 u 3 0 2 D m v V t q M N v N / o P d e / c P x j s P b 6 f K z H v 3 P 9 1 9 e D D e 3 7 + d M j N v 7 e 8 / e P D g / r 3 x p w e 3 U 2 j v h a W v 2 c y L u / c O H u 4 9 3 L 0 3 v n e r V Q L v z e 3 b 9 R l h q N u 9 G G G U 2 7 0 Y 4 Z X b q s D 3 6 y j C L b f V h e 9 J / g i n b O / v k 6 D d v z / e 2 8 R i v o p 0 P H a L F 3 1 d + X 4 v R l j l t k r z / T q K M M g t t e e 9 U H t + j e U D K K u b 9 K f t J d S f q u Z u 3 c G w / j Q d P D i 4 v 3 d w f 3 x / E 7 U 8 o X i f 1 z z Z M K / d U n / e p r k n E K Y 5 Z R L 3 D x 7 u b L Y G n j i Y 9 / Y P P n 2 w v 0 / r E Z u s g S c M t 0 H P 1 5 e m / f a t O v L 1 5 a 1 6 i r D N b d 3 C W 7 W P T P 9 t d e K t 2 r / n x P u q 8 D 0 p + 3 X n 3 t e E 7 9 e l r w p v M z h f A 7 4 X i r 4 q v F V H E S 6 4 V U c e g v t x V X j L d Y W D e z e r Q d t D q A b V 3 t 2 6 g 2 E 1 a D r Y O 9 i / T 2 P f G 2 O q B 8 f u S c L 7 v e i J h H n x l q p Q m 6 P Z j X r w x r Y e / 9 / Y 1 m P 5 G 9 v 6 y u 7 m x h E O u q 1 + u 1 X 7 y P T e V r / d q v 1 7 T q a v 3 2 7 V / n 1 m 1 F d p N z d + n z n 1 N d f N j f t z u q F x f 0 I 3 N O 7 P 5 o Y B u r b 3 Q 9 3 0 N Z Y R D v Z v 1 k + 2 l 1 A / 7 b 9 n B 8 P 6 S T s Y H r L H v D e 2 9 R j 3 x r Y e 0 5 p B 3 t I b M 8 3 v P 9 z Z G + 8 c 3 M 4 V u / 1 L H g / f B j F f N d 0 4 a F 8 1 3 Q p 4 h B V u q 5 p u 1 b 4 / u 7 d W T b d q / 5 6 z 7 K u m m 4 k Z m d 6 N w N 9 z Z n 0 F d a v 2 7 z m 5 v p q 6 V f v 3 n V z X / N O O s n r P h Y S D + z d r K t t F q K n u v 2 c H w 5 r K d P D p / f 1 7 D z a 7 k B 5 X v 8 d b H m + b t 2 7 p Q 9 2 m u c f Z p j k N / u D e p + O H n 9 5 O h b 3 P a x 6 r 3 w Y 5 X 4 l p + 9 s p s V s B j 3 D J b Z X Y r d p H p v u 2 S u x W 7 d 9 z p n 0 l d j M x I x N 8 W y V 2 m / a + E r t V + / e c X F + J 3 a r 9 + 0 6 u a / 7 A K b H d n Z 3 3 X V b Y 5 d X X m 7 S Y 7 c P T Y v L m e 3 U w r M V M B 3 u f P r h H 0 f A Y R B g c v M f Y 9 r 2 D h 5 8 e 7 N w f 7 2 5 6 z 2 N w 8 9 7 + p / f u 3 9 8 / e D B + s O l F j 9 P d i / c f H O z v 3 R 8 f b H r R Y 3 n z 4 u 7 B / Z 0 H D x 4 e j C E P g y 9 6 7 G 9 e P H h I b + 0 c U I 8 a h t + k 4 d 4 P V V / X W V x 3 H x x 8 e k B p 9 f H 9 T a k 9 X / O Z V 7 f 3 9 v Y e 3 q N R 3 l I D 2 o m 8 x W s x v r n F a x G 2 u a 0 + f J 9 u I s x y W 7 X 4 v n S P c M n 2 g 9 0 9 8 u W J o z / d O N s R P r n d m 7 7 m f M 8 3 I 2 x y W x 3 6 n j 1 F O O S W 2 v Q g 1 K Z n L y S 5 d j t F t 3 u z J r X w Q 0 2 q H H X r D o Y 1 q e l g 9 9 M H O 5 / S M 9 5 E K E 8 k 3 u s 9 T z T M e 5 v o 6 4 n E b Z p 7 E m G a H + z t 7 N 1 7 u L 8 7 f n D L N Y b 3 e 9 G T h t s g 6 O t K b Y 9 2 N 2 v H W w G P c M v G 9 p H J 3 9 g + M u m 3 1 Y O 3 a v + e s + 0 r w J u J G Z n i j c D f c 2 Z 9 7 X a r 9 u 8 5 u b 5 O u 1 X 7 9 5 1 c 1 / x h q M n e e 8 F 0 l 5 d o b 9 J n t p d Q n 9 1 m w d T v Y F i f m Q 7 2 H t y 7 9 + D g Y P z g 4 H b 6 7 L 3 e 8 1 j c v L e J y h 6 H 3 6 a 5 x + C m + e 7 D 3 X v 7 O 3 v 3 d 8 Y P N z k T H r f b N + 8 9 3 P m U v I P d 8 e 4 t N d p t U P Q 1 m m m / f X 9 v 7 8 H u / U 8 f j h 8 8 3 P R q h O c 2 d h X h n t v q t 1 u 1 j z D B b f X b r d q / 5 + z 7 + u 1 9 S R u Z / 1 u + G Z n / W 3 b q q 8 D b j M 9 X g e + H p K 8 M b 9 V T h B N u 1 5 N D E Y w e U 4 u 3 W j z d 5 T X b G 1 S i 6 y F U i b d Z P P U 7 G F S J t o N d W v / c 2 b 1 / b / z p p l D S i c N 7 v u j k w r 5 4 O 6 V 4 q + Z O K m z z g x 3 S i Z T E H S O P O / i i k 4 n 3 f N G J x K 0 Q 9 F S i a Y 9 2 N y r B 2 w G P 8 M s t l e D t 2 k d m / Z Z K 8 H b t 3 3 O 2 P S V 4 C 2 J G p n g j 8 P e c W U / D 3 a 7 9 e 0 6 u p 9 d u 1 3 5 g c m + h z X Z D b f b e y 6 2 7 v L p 7 k 0 a z v Y Q a b f 8 9 O x j W a N r B M E t 4 7 H x j W 4 + V b 2 z r s b E Z 5 K a Z 8 r j Y N P 9 0 5 2 D n t l H p e 7 z k s f R t E P O V 1 Y 2 D 9 p X V r Y B H W O G 2 y u p W 7 f u z e 2 t l d a v 2 7 z n L v r K 6 m Z i R 6 b 2 t s r p N e 1 9 Z 3 a r 9 e 0 6 u r 6 x u 1 f 5 9 J 9 c 1 3 + s o q / d a b t 3 l 1 d 2 b N J X t I t R U t 1 l u 9 T s Y 1 l S m g 9 2 H D / b J 5 x g f b B i 6 x 9 b v 8 5 r H 3 e a 1 T Q T 2 m P s 2 z T 3 e t k j t 7 u 0 / v L 8 / 3 r S u 4 H H 5 + 7 z m M f t t k P P V m L a / n R q 7 F f A I n 9 x W j d 2 q f W S + b 6 v G b t X + P W f a V 2 M 3 E z M y w b d V Y 7 d p 7 6 u x W 7 V / z 8 n 1 1 d i t 2 r / v 5 L r m 9 3 w 1 t v v + C 6 5 g 8 p v 0 m O 0 j 0 G O 7 i u G t O x j W Y 6 a D v f v 3 7 o 0 x m Y M j 9 7 j a v E T x 9 t 6 9 e z v j T d G W x 9 z m t d 2 d + + P 7 n 9 5 O l b m u D h 7 S i s / 4 Y F O k 6 j G 6 e e 8 B O V j 7 m 4 b l 8 b s 3 r P u 7 u / s b h + W x / X u h 6 G s 2 S 4 / d e 7 Q u e + / T 8 c E m c + C r O f P m N v p 8 8 P D B + N 7 u L R W e j + z N L 0 Y Y 5 X Y v R p j l t i r w / T q K s M p t d e F 7 k j / C K E T + h / v 3 7 u 2 P z b r d j S r S Y 7 G b X / R 1 5 f u 9 G G G V 2 y r N 9 + s o w i C 3 1 J 7 7 o f Z 8 r w V W i M J N m t P C D z W n j u b W H Q x r T t P B f c o 4 3 U 5 t 3 v I N T x b M G 5 u a e x K g z Y e t u 8 f 9 N 7 b 1 + P 3 G t h 6 H 3 9 j W 1 4 A 3 N 4 5 w z G 1 9 u 1 u 1 j 0 z o b X 2 7 W 7 V / z 8 n 0 9 d m t 2 r / P j P o q 7 O b G 7 z O n v q a 6 u X F / T j c 0 7 k / o h s b 9 2 d w w Q N f 2 f q i L 3 n M t A D x 0 k z a y P Y T a 6 N 5 7 d j C s j U w H b M w + / X S T 0 v Z Y + D 3 e 8 h j Z v H V L r X S b 5 h 4 b W 5 z 2 C K n 7 B / c 2 u m E e R 7 / X e x 5 z 3 w Y 9 X 2 d p + 9 v p r F s B j / D J b X X W r d p H J v y 2 O u t W 7 d 9 z r n 2 d d T M x I z O 8 E f h 7 z q y v u W 7 V / j 0 n 1 9 d f t 2 r / v p P r m n 8 a a r G v s Q Y A T r l J k 9 l e Q k 2 2 / 5 4 d D G s y 7 W C Y J T x 2 v r G t x 8 o 3 t v X Y 2 A z y l i r L N L 9 P M c v t l N U t 3 / C Y + T Y o + W r q x u H 6 a u p W w C N M c F s 1 d a v 2 / X m 9 t Z q 6 V f v 3 n F 9 f T d 1 M z M j c 3 l Z N 3 a a 9 r 6 Z u 1 f 4 9 J 9 d X U 7 d q / 7 6 T 6 5 o / 6 K i p 9 8 z + Y 9 p v 0 l G 2 i 1 B H q U N w 6 w 6 G d Z T p 4 N N P x / c 2 y a / H 0 r d 9 x e N q 8 8 o m w n p M f Z v m H k + b 5 r v 3 P 9 0 Z P 7 y l 3 r r 9 S x 6 D 3 w Y x X 3 V p + 9 u p r l s B j / D G b V X X r d p H 5 v m 2 q u s W 7 Q P V d a v 2 / W m + n e q 6 F f D 3 n F l f d d 2 q / X t O r q + 6 b t X + f S f X N T / w V d f e + 2 f 8 Q Y q b d J f t I 9 B d e 4 r h r T s Y 1 l 2 m g 7 0 H 9 0 i K 7 9 / f G 9 9 7 c D s V 5 t 7 c O 9 i j F c y 9 8 Y O H t 9 N k 5 s 3 7 B 3 s P K E O O K R h 8 z e N 1 2 + H + w e 7 e 3 v j T T R G d x / L 2 t Y e 7 D 3 c P P q U c 8 q e b R u j x v / f m g 4 c 7 n + 4 S q p t G 6 E n C + 6 D q 6 z r z 3 u 7 e z s 6 9 B + O 9 T Y j 6 a s + 8 R y n a + w 8 e j u 9 v U s W + + j P v b d / q x Q j b 3 F Y P v h e C E V b Z 2 E + E R 2 7 V T 4 R J b k X 4 C I v s 7 h 3 s H N z f b M t 9 V W k J f 5 s X f Z 1 5 G 4 L 4 O v N 9 E P R 1 5 6 3 6 i T D E b f r x 0 H s Y 6 t D 3 y v t j m D f p T w s / 1 J + a 2 r p 1 B 8 P 6 0 3 R w c G 9 v j 5 J m 9 w / G O 5 u G 7 o l E / 8 3 9 T W 9 6 Q m H e 3 K b F z N u p T v P G p t n 0 p M E 0 v 3 8 f q c C D g w f j + 5 s 6 8 u T h P d / 0 J O I 2 K P q q U t u j 3 c 3 6 8 Z Y U 8 1 W j x W f z G x F W u O G N C A t s H H N k 4 m / o 4 T 0 n 3 t e D N 1 M 1 M t k b g b / n F P u 6 7 l b t I 7 O 8 s X 1 s i m + p 4 2 7 T 3 q G D k f i 6 7 T 3 X E d D x D d r N 9 R B q t 9 u t I 7 g O B r W b 7 e D g 0 0 8 P P j 3 Y e X g w f r D J W X O s H b z 5 4 P 5 D J O A 3 O U G O y e 2 b 2 w 8 O D v b H B 3 u 3 0 n D 2 r d t p O N v 8 U / J c d x 4 8 e L A / f n A 7 D f e + b z r 2 v x W K n o Y z 7 W + l 4 d 6 H a p 6 W s 6 / d 4 q 0 I W 9 z i r Q h L 3 F L b v U 8 v 7 8 k I n s a 7 B Z U j k 3 9 L j X e r 9 p 7 G u 1 3 7 y K x v b B + Z 7 o 3 t I x O 9 c b y u + W 6 o 8 b 7 G m s P e / s 1 a z / Y S a j 2 V w l t 3 M K z 1 T A c P 7 j / Y 3 9 s f 3 9 v E e h 5 / v 8 9 r H p u b 1 z b R 2 O P v 2 z T 3 2 N s i 9 X D 3 3 u 6 D 8 e 4 m p D x G f 5 / X P H 6 / D X K + i t P 2 t 1 N x t w I e 4 Z O N 7 S P T v r F 9 Z L 5 v q 8 9 u 1 f 4 9 Z 9 r X Z D c T M z L B t 9 V k t 2 n v a 7 J b t X / P y f U 1 2 a 3 a v + / k u u Z 7 H U 3 2 n s s S e z c v S 7 g u Q j V 2 u 2 U J 1 8 G w G j M d P N g Z f 6 r K 8 S Y V d t t X P K 4 2 r 9 x S f d 2 m u c f T p v m 9 v d 2 d + 3 s P P h 3 f v 6 U C e 7 8 X P U a / D Y K + C t P 2 t 1 N h t w I e 4 Z H b q r B b t Y / M 9 2 1 V 2 K 3 a v + d s + y r s Z m J G p v i 2 K u w 2 7 X 0 V d q v 2 7 z m 5 v g q 7 V f v 3 n V z X / J 6 v w u 6 9 / / L E v Z 2 b d Z j t I 9 B h 9 x T D W 3 c w r M O 0 g 2 G G 8 J j 5 x r Y e I 9 / Y 1 m N i M 8 h b q i z T / N P 7 D x 9 8 e r C 3 9 3 C 8 s y n y 9 R j 6 P d / 0 W P s 2 K P p K 6 8 b h + 0 r r V s A j T H F b p X W r 9 v 1 5 v r X S u l X 7 9 5 x v X 2 n d T M z I H N 9 W a d 2 m v a + 0 b t X + P S f X V 1 q 3 a v + + k + u a 7 4 d K 6 7 3 W A + 7 t 3 q y w L P x Q Y e 2 + Z w f D C s t 0 s G m 8 H i / f p r n H y m h + U 3 O P k 2 / T 3 G N k 0 1 z 0 D 6 W 3 x v v 7 t 9 N c 7 / m m x 9 + 3 Q d H X X N r + d p r r V s A j 3 H F b z X W r 9 u 8 5 2 7 7 m u l X 7 9 5 x v X 3 P d T M z I H N 9 W c 9 2 m v a + 5 b t X + P S f X 1 1 y 3 a v + + k + u a 3 + 9 q r v e L G O / d I m K 0 X Y T K 6 3 Y R o + t g W H l p B 8 P 8 4 P H y j W 0 9 P r 6 x r c f D Z p C 3 1 F m m + S 6 t M G x c t f c 4 + d b v e N x 8 G 7 R 8 P X X j k H 0 9 d S v g E U a 4 r Z 6 6 V f v + 3 N 5 a T 9 2 q / X v O s a + n b i Z m Z H Z v q 6 d u 0 9 7 X U 7 d q / 5 6 T 6 + u p W 7 V / 3 8 l 1 z T / 1 9 d T + + 4 e F + z s 3 K y r b R 6 C o 9 h X D W 3 c w r K h M B 5 v G 7 P H z b Z p 7 7 H y b 5 h 4 3 3 6 a 5 x 8 y 3 a e 6 x s 2 l + b 3 z v 3 u 1 U 1 W 0 6 8 F X V L X v w F d a t u o g w x G 0 V 1 q 3 a v + c E + w r r V u 3 f c 4 p 9 h X V b k k b m e f u m d y I z f c M r v v a 6 7 S v v O d m + A r t t F + 8 7 3 6 7 5 g 1 C H f Y 1 1 R o Q n N 2 k x 2 0 u o x f b f s 4 N h L a Y d D J s 1 j 8 N v b O t x 9 4 1 t P c 4 2 g 7 y l 8 j L N P x 1 / + u n t 9 N c t 3 / C 4 + j Y o + f r r x u H 6 m u t W w C N M c F v N d a v 2 / X m 9 t e a 6 V f v 3 n F 9 f c 9 1 M z M j c b g T + n j P r K 6 t b t X / P y f U 1 1 a 3 a v + / k u u Y H v p q 6 / / 6 u 1 v 2 d m 5 W U 7 S N Q U v c V w 1 t 3 M K y k T A e b x u z x 8 2 2 a e + x 8 m + Y e N 9 + m u c f M t 2 n u s b N p f m 9 3 v H / L s P A 2 P f i 6 6 r Z d + C r r V n 1 E W G J j + / e c Y V 9 l 3 a r 9 e 8 6 x r 7 J u 1 T 4 y y z f S N D L V 2 z e + F J n s m 9 7 x V d i t 3 3 n P C f f V 2 K 3 7 e N 9 J d 8 0 f h q r s a 3 h c 9 / d v V m a 2 l 1 C Z 7 b 9 n B 8 P K T D s Y t m 4 e m 9 / Y 1 m P x G 9 t 6 7 G 0 G e U s d Z p p / u j d + q I S 4 S Y / d 9 h W P t W + D l K / H b h y w r 8 B u B T z C B r d V Y L d q 3 5 / Z W y u w W 7 V / z x n 2 F d j N x I x M 7 k b g 7 z m z v s K 6 V f v 3 n F x f W d 2 q / f t O r m 1 + b 8 d X V J + + v 8 / 1 6 c 6 N a s r 1 E a i p T x X D W 3 c w q K Z s B 5 v G 7 P j 5 V s 0 d O 7 v m 4 5 1 N 2 s E x 9 G 3 f c C x t 3 9 g b 7 + z d S m n Z N w 7 u k d q C d A + + 5 J j 7 t o h 5 m s v v Z 2 c M K R 9 + K 8 J W t 1 R h t 2 v / n j P u q b D b t Y / N + e 1 U 2 O 3 a R + b 7 F l S N z P m 2 v L Z 7 O 5 X W 6 W z T W 5 5 i e 5 + 3 3 n P i P f X 2 P r 2 8 7 / R r c 2 q + G y q 5 s x e f v z p 9 f c u F x k 9 3 b 1 Z w F n 6 o 4 H Q 0 t + 5 g W M G Z D j a N 1 + P 2 2 z T 3 m P 0 2 z T 1 e v 0 1 z j 9 V N c 3 K 2 b 6 n a b v m G x + G 3 Q c l X a t o e 7 W 7 W Z b c C H u G G 2 + q y W 7 V / z 9 n 1 d d m t 2 r / n / P q 6 7 G Z i R u Z 2 I / D 3 n F l f a 9 2 q / X t O r q + v b t X + f S f X N d 8 L N d W p K K r 0 z a v b q Z J 7 N + s q 2 0 O o q 9 S B u H U H w 7 r K d H B L X X W b 5 h 4 z 3 6 a 5 x 8 u 3 a e 6 x s m l O 4 7 2 / v 9 m r 8 n j 6 P d 7 y O P s 2 q P k 6 S 9 v f T m f d C n i E K 2 6 r s 2 7 V / j 1 n 2 d d Z t 2 r / n v P s 6 6 y b i R m Z 3 9 v q r N u 0 9 3 X W r d q / 5 + T 6 O u t W 7 d 9 3 c l 3 z e 6 H O + h q 5 r k / 3 b 9 Z b t p d Q b + 2 / Z w f D e k s 7 G G Y J j 5 1 v b O u x 8 o 1 t P T Y 2 g 7 y l u j L N 7 9 / / 9 O B 2 q u q W b 3 j M f B u U f D V 1 4 3 B 9 N X U r 4 B E m u K 2 a u l X 7 / r z e W k 3 d q v 1 7 z q + v p m 4 m Z m R u b 6 u m b t P e V 1 O 3 a v + e k + u r q V u 1 f 9 / J d c 3 3 O 2 r q x Z v 0 8 + M X x 0 9 v G w f e v 1 l H 2 S 5 C H a X h / a 0 7 G N Z R p o N N Q / b Y + T b N P W 6 + T X O P m W / T 3 O N l 0 3 x 3 v H c 7 X X W 7 F z y G v g 1 C v q r S 9 r d T V b c C H u G F 2 6 q q W 7 V / z 7 n 1 V d W t 2 r / n 7 P q q 6 m Z i R q b 2 t q r q N u 1 9 V X W r 9 u 8 5 u b 6 q u l X 7 9 5 1 c 1 / y + r 6 o e v H 9 S / s H O z b r K 9 h H o q g e K 4 a 0 7 G N Z V p o N b 6 q r b N P f Y + T b N P W 6 + T X O P m W 3 z 8 c 6 m B W K P o 8 0 b e 5 8 + v D f e f 3 g 7 h X U b r H y F F X a y S S v 6 m u t W v U Q 4 4 7 a a 6 1 b t 3 3 O m f c 1 1 q / b v O d e + 5 n o P q k Y m f P s W r 0 W m / O a 3 f H 3 2 H m + 9 5 8 T 7 W u 0 9 e n n f 6 X f N P w 1 1 2 3 v l 4 h / s 3 q z X L P x Q r + 2 + Z w f D e s 1 0 c E u 9 d p v m H r P f p r n H 6 7 d p 7 r G 6 a b 5 7 s D + + d 3 A 7 z X b r d z w u v w 1 a v m L T 9 m h 3 s z 6 7 F f A I R 9 x W n 9 2 q / X v O s K / P b t X + P e f Y 1 2 c 3 E z M y u x u B v + f M + p r r V u 3 f c 3 J 9 n X W r 9 u 8 7 u a 7 5 g 4 6 2 e v / c 1 o P 9 m 3 W W 7 S X U W f v v 2 c G w z t I O h l n C Y + c b 2 3 q s f G N b j 4 3 N I G + p q k z z + / c O P h 0 / v K W u u v 1 L H k v f B j F f W d 0 4 a F 9 Z 3 Q p 4 h B V u q 6 x u 1 b 4 / u 7 d W V r d q / 5 6 z 7 C u r m 4 k Z m d 7 b K i t u / x 7 K 6 l b t 3 3 N y f W V 1 q / b v O 7 m u + U F H W b 1 n h u u B T U A N a y r b R a i p 7 r 9 n B 8 O a y n S w a c g e O 9 + m u c f N t 2 n u M f N t m n u 8 b J r D U 7 q v D u d N G u v W 7 3 h s f R u 0 f I W l 7 W + n s G 4 F P M I R G 9 u / 5 w T 7 C u t W 7 d 9 z i n 2 F d a v 2 / U m + n c K 6 F f D 3 n F l f Y d 2 q / X t O r q + w b t X + f S f X N X / o K a z d n f f O c + 3 u 7 N y s s W w f v s b i N 9 + r g 2 G N Z T r Y 3 d / f v 7 + 3 t z l G 8 h j b e + / + 3 o O H Y + P u 3 a T D 7 H v 3 H u x 9 O j a L C z e p M q 8 3 0 j Q 7 m z S N x + z 2 r Y P d B 5 / e e z D e 3 T Q 2 j + / d e z u f 3 r u / P 3 5 4 O 8 X 2 H k j 6 + s 2 8 d m 9 v Z 3 f 8 4 N 6 m t y L M t / 3 g / o M x 4 o L h t y L s d P N L E R a 5 + a U I f 9 x W 8 d 2 + k w h b 3 F b 7 v Q e p Y + y w u 3 e w N 9 7 b x E S + N r Q z d I v 3 f K 1 4 m 0 H 5 W v E 9 0 P O V 4 6 2 6 i S m K m 7 t x y O 3 v h D r y f f J l u 5 C g G / S j g x / q R 5 W 9 W 3 c w q B 9 t B 7 v 3 P t 1 / u L 8 3 3 r + d f n y / 9 5 w c 2 P c 2 T Y u T g F s 1 d w L g s P r 0 4 N P 7 O w f j / Q e 3 0 o j u v Y O d 3 Y O D + 5 t l x 8 n A r d D z d K H r Z / f + v Q c P x n s b F U G E z T b 2 E 2 G b j e 0 j X L C x f W T 2 N 7 Z / z 1 n 3 F N / t 2 s f m / T Z 0 j c z 7 9 q 1 e j E z 8 b d 7 z l N / 7 v f e e D O B p v / f r 5 3 0 Z w T X f D d X f q W i / 9 O T b p z / x 1 e n t d N T e z U r Q 9 h I q Q V 0 C u X U H w 0 r Q d L B p 1 B 7 3 3 6 a 5 x / y 3 a e 7 x / m 2 a e 6 x v m u / v 3 j s 4 u K 0 L + D 5 v e V x / G 9 R 8 d a f t 0 e 5 m H X c r 4 B G u u K 2 O u 1 X 7 9 5 x l X 8 f d q v 1 7 z r O v 4 2 4 m Z m R + N w J / z 5 n 1 9 d i t 2 r / n 5 P r 6 6 1 b t 3 3 d y X f O 9 u N 5 6 8 + p 2 K u X e z T r L 9 h D q L P U r b t 3 B s M 4 y H e z e 3 9 v d f b g z v r 9 / O + X 1 X u 9 5 7 G 3 e u 6 U W u 0 1 z j 7 k t V p / u k k p 6 M D a E u k m P 2 f f 2 H x 4 8 u E 9 h + i a H z + P 3 2 6 D n a z L T / n a O Q o T T b q v V b t U + w g a 3 1 W q 3 a v + e 0 + 5 r t V u 1 j 0 z 8 7 Q g b m / n b v B e Z + V t 1 6 K u 8 2 4 z M V 3 n v g 6 C v + m 7 V T 0 w R 3 K I f D 7 1 7 o Q p 8 / 7 X T 3 Z 3 9 m 9 W g 7 S V U g 6 p z b t 3 B s B o 0 H e w + f E D p t l v q w N u / 5 E m C e e m W C v A 2 z T 0 5 M M 0 P H l K y U T 3 b m 5 T f r d / x 2 P 8 2 a P m K T 9 u j 3 c 3 K 7 l b A I 9 x x W 2 V 3 q / a R e b 6 t s r t V + / e c Y 1 / Z 3 U z M y O x u B P 6 e M + v r s 1 u 1 f 8 / J 9 f X Y r d q / 7 + S 6 5 v s d / f V + y 6 m 7 O z c v p 7 o u Q u V 1 q + V U r 4 N h 5 W U 6 I C V 0 c D v N d c s 3 P J 4 2 b 9 x S b d 2 m u c f R p v m 9 3 f s 7 e x s X E j z O 9 l / a / J L H 3 r d B z F d c 2 v 5 2 i u t W w C O c c V v F d a v 2 k W m + r e K 6 V f v 3 n G V f c d 1 M z M j 0 3 l Z x 3 a a 9 r 7 h u 1 f 4 9 J 9 d X X L d q / 7 6 T 6 5 r f 9 x X X 7 v s v q 4 L J b 9 J c t o 9 A c + 0 q h r f u Y F h z m Q 7 2 H u 7 t 7 + 3 t j P d v p 7 7 M a 7 v 3 7 t 3 f G d 9 S g 5 m X P t 1 / c I / S V R v 7 8 n j c v H b v / q d 7 e 5 8 e b O z N Y 3 U 7 s n s 7 9 x / s 3 l K j 2 b 5 2 a d H 3 l p 7 Y + + D n K z Z L w 7 3 7 D z 9 9 8 O m m t y J c t / d w d + f g 0 4 f j j e 9 F O G n 7 V i 9 G O O S 2 K u + 9 E I x w x 2 1 V 3 3 v 1 E + G L W 5 A 9 w h j E T f T e 3 u Z J j j D H 9 m 1 e 9 J X j b c j h K 8 f 3 Q d B X k r f q J 6 Y w b t G P h 9 6 n o b J 8 r / V V s P 9 N i t L C D x X l 7 n t 2 M K w o T Q e f 7 n y 6 S 3 x z O z V 5 + 5 c 8 Q T A v b Z o R T w 5 u 0 9 x j f 9 N 8 / + D e w Y O D W 6 r F 2 7 / k s f 5 t E P P 1 o b Z H u 5 v V 4 K 2 A R / h j Y / v I d N 9 W 6 9 2 q / X t O s q / t b t W + P 8 0 b i B m Z 3 o 3 A 3 3 N m f V 1 2 q / b v O b m + D r t V + / e d X N f 8 Q U d 3 v X + G D Z x y k w a z v Y Q a b P 8 9 O x j W Y K a D g 5 3 N r o 3 H 1 b d 9 x W N s 8 8 o t t d d t m n t s b Z p / + u D e v Y 2 m x + P u W 7 / j c f h t 0 P J 1 l 7 a / n e 6 6 F f A I Z 9 x W d 9 2 q f W S W b 6 u 7 b t X + P e f Y 1 1 0 3 E z M y u 7 f V X b d p 7 + u u W 7 V / z 8 n 1 d d e t 2 r / v 5 L r m B 7 7 u 2 n v / I B W k u E l z 2 T 4 C z b W n G N 6 6 g 2 H N Z T q 4 v 0 M B 6 i Y J 9 p j a v n P / 4 c G n D 8 a f 3 r + d + r K v 7 e 0 9 e E j u 7 b 1 N z o 7 H 4 / a 9 B w c P 7 t H 6 5 f 1 P b 6 f Q z H s P H 1 L m f 5 O D 6 L G 8 f Y f W S j 9 9 e G 9 8 f 9 P Y P N Z / L x x 9 7 W Z e p K X m g / s 7 9 0 m L 7 m 9 6 M 8 J + 2 z Q N 9 2 g a d j c N 0 d d 5 3 v T d / F 6 M V W 7 z X o R d b q s D 3 6 u f C J / c V h e + J + k j X L J N b P L g 0 4 f 7 4 7 1 N k u O r S I + / b n 7 R 1 5 X v 9 2 K E T T Z R x V e a 7 9 d R h D 0 2 k t 8 1 f x h q z 1 M J W t O T b 5 / + x F e n t 1 N v e z f r T 9 t L q D / V 4 b p 1 B 8 P 6 0 3 R A 7 z x 8 s H N / D M Y f H L 4 n F O / 1 n i c c 5 r 1 N V P Z k 4 j b N P Z G w W O 0 c P H h I a U S z j n O T 2 j T v H V D G a G 9 v / O k t 0 3 u 3 w c 5 X l q b 9 9 t 7 9 g 4 P d + 2 O s h w 2 / G G G 2 j R 1 F 2 G Z j + w g X b G w f m f 3 b q s R b t X / P a f d V 4 f s R N j L x t 3 o v M v O 3 6 t D X g 7 c Z m a / + 3 g d B X w 3 e q p 8 I B 9 y m H 4 f e / Z 2 4 F n z z 6 n Y K 6 t 6 N G t D 1 E G p A x e / W H Q x q Q N M B R n q T 1 r u 5 r e P 5 m 9 s 6 f r e D v J 2 a s 8 1 3 D / Y / v f f p P k 3 X p 7 f S c + / 5 o u P 3 W y H o a b q b B + 9 p t 9 s B j 7 D E L b X b 7 d r 3 Z / m 2 2 u 1 2 7 d 9 z t j 3 t d g t i R q Z 4 I / D 3 n F l P g d 2 u f T i 5 N 7 d / z 8 n 1 F N e t 2 n v o 7 I Y K 6 2 s k 7 P b 2 b 1 Z a t p d Q a e 2 / Z w f D S s t 0 c G 9 n D M 4 a H L n H 1 b d 9 x W N s 8 8 o m 2 n p 8 f Z v m H l u b 5 v c / v f / p Z p Q 8 9 r 7 9 S x 6 P 3 w Y x X 3 t p + 9 t p r 1 s B j / D G b b X X r d p H 5 v m 2 2 u t W 7 d 9 z l n 3 t d T M x I 9 N 7 W + 1 1 m / a + 9 r p V + / e c X F 9 7 3 a r 9 + 0 6 u a 7 7 X 0 V 4 v 3 q S f H 7 8 4 f n r L 1 d K 9 + z e r L t t F q L o 0 k L p 1 B 8 O q y 3 S w u 0 M p u 4 e 3 V F 6 3 f 8 n j b P P S L d X X b Z p 7 f G 1 R e v j w Y H x / / 3 b q 6 / Y v e U x + G 8 R 8 9 a X t b 6 e + b g U 8 w h + 3 V V + 3 a h + Z 6 d u q r 1 u 1 f 8 9 Z 9 t X X z c S M T O 9 t 1 d d t 2 v v q 6 1 b t 3 3 N y f f V 1 q / b v O 7 m u + T 1 f f d 1 7 / x W H e z s 3 6 y / b R 6 C / 7 i m G t + 5 g W H + Z D j a N 2 e P n 2 z T 3 2 P k 2 z T 1 u v k 1 z j 5 l v 0 9 x j Z 9 P 8 3 v j T 3 d u p q t t 0 4 K u q W / b g K 6 x b d R F h i N s q r F u 1 f 8 8 J 9 h X W r d q / 5 x T 7 C u u 2 J I 3 M 8 / Z N 7 0 R m + o Z X f O 1 1 2 1 f e c 7 J 9 B X b b L t 5 3 v l 3 z / V C H v W f G 6 9 6 9 m z W Y 7 S H U Y P f e s 4 N h D a Y d D J s 0 j 7 t v b O t x 9 o 1 t P a 4 2 g 7 y l 4 j L N H 4 z N 2 s d N u u u W b 3 g c f R u U f N 1 1 4 3 B 9 r X U r 4 B E m u K 3 W u l X 7 / r z e W m v d q v 1 7 z q + v t W 4 m Z m R u N w J / z 5 n 1 F d W t 2 r / n 5 P p a 6 l b t 3 3 d y X f P 7 o Y p 6 3 y j x 3 i 2 i R N t F q K N u F y W 6 D o Z 1 l O l g 0 5 A 9 d r 5 N c 4 + b b 9 P c Y + b b N P d 4 2 T T f + / T e + M G n t 1 N X t 3 7 H Y + v b o O U r L G 1 / O 4 V 1 K + A R j r i t w r p V + / e c Y V 9 h 3 a r 9 e 8 6 x r 7 B u J m Z k d m + r s G 7 T 3 l d Y t 2 r / n p P r K 6 x b t X / f y X X N P / U V 1 v 7 7 x 4 X 7 O z d r L N t H o L H 2 F c N b d z C s s U w H t 9 R Y t 2 n u s f N t m n v c f J v m H j P f p r n H z q b 5 / s H 4 w S 0 D w 9 v 0 4 O u q 2 3 b h q 6 x b 9 R F h i d u q r F u 1 f 8 8 p 9 l X W r d q / 5 y T 7 K u v W N I 1 M 9 f a N L 0 U m + 6 Z 3 f B V 2 6 3 f e c 8 J 9 N X b r P t 5 3 0 l 3 z B 6 E q e 8 / w c P 8 W 4 a H t I V R k t w s P X Q f D i k w 7 G L Z s H o v f 2 N Z j 7 x v b e q x t B n l L / W W a P 3 w w 3 r 9 l f H j b V z y 2 v g 1 S v g 6 7 c c C + 8 r o V 8 A g b 3 F Z 5 3 a p 9 f 2 Z v r b w 2 t I 8 q r 1 u 1 7 0 / x B m J G J n c j 8 P e c W V 9 Z 3 a r 9 e 0 6 u r 6 h u 1 f 5 9 J 9 c 1 P / C V 1 P 3 3 9 7 f u 7 9 y s p m w f g Z q 6 r x j e u o N h N W U 6 2 D R m j 5 9 v 0 9 x j 5 9 s 0 9 7 j 5 N s 0 9 Z r 5 N c 4 + d T f P 9 3 f G 9 T 2 + n q 2 7 T g 6 + r b t u F r 7 J u 1 U e E J T a 2 f 8 8 Z 9 l X W r d q / 5 x z 7 K u t W 7 S O z f C N N I 1 O 9 f e N L k c m + 6 R 1 f h d 3 6 n f e c c F + N 3 b q P 9 5 1 0 1 / x h q M q M v 3 X y 7 d O f + O r 0 d r p m 7 2 Z l Z n s J l Z n 6 D b f u Y F i Z a Q f D 1 s 1 j 8 x v b e i x + Y 1 u P v c 0 g b 6 n D T P N P b 6 n E T H u z F H u T B r s N O r 4 G M + 2 3 N 3 b g 6 6 9 b 9 R D h g t v q r 1 u 1 7 0 / s r f X X r d q / 5 w T 7 + u u W F H 3 f O f Y 1 1 + 2 6 8 P X W b Q b h 6 6 x b o e Q r r V t 1 E J n l z W O 2 7 S E u v s Y 6 + 8 n j 9 P d J T 7 7 8 4 u z 1 2 Z c v b q d Q 9 m / U W K 6 X U G P t v 2 c H g x r L d H A b j X V z W 8 f U N 7 d 1 D G 0 H e T u N Z Z v v 7 Y 0 f 3 C 5 K v P U r j q V v h Z S n t 2 4 e s K e y b g c 8 w g a 3 V F m 3 a 9 + f 2 d u q r N u 1 f 8 8 Z 9 l T W L Y g Z m d y N w N 9 z Z j 1 V d b v 2 7 z m 5 n q a 6 X f v 3 n V z X f N d X V J + + f 5 S I / m 5 S U 7 a P Q E 1 9 q h j e u o N h N W U 6 2 D R m j 5 9 v 0 9 x j 5 9 s 0 9 7 j 5 N s 0 9 Z j b N 9 x 6 M 9 x 7 c T l + Z V x 4 c H O w 9 3 L 8 / h u 4 Y f M 9 j 7 d t g 5 i u t o J / d B + O D / U 0 v R p h q Y 0 c R B t n Y / j 3 n 2 1 d g t 2 r / n j P u K 7 B b t Y / M + e 0 I G 5 n 5 7 d u 9 G Z n 7 W 7 3 o 6 7 f 3 e / E 9 m c B X d O / X 0 f t y g 2 u + F 2 q 8 r x F M A s R N O s / 2 E u q 8 2 w W T r o N h n a c d D B t B j / 9 v b O v x / o 1 t P b 4 3 g 7 y l q j P N d + 8 / + P T + w b 3 7 4 0 8 P b q f w z I u 3 Y g 2 P 6 W + D n 6 / w T P t b i l e E q W 6 r 8 W 7 V v j / b t 9 Z 4 t 2 r f n / V b a 7 x b t Y 9 M / S 0 p + 3 X n 3 t d 4 7 9 e l r / J u M z h f 0 7 0 X i r 7 K u 1 V H E S 6 4 V U c e g v d C l f c 1 o t F P 9 2 9 W e b a X U O U p j r f u Y F j l a Q e 3 U n k 3 t v W Y / 8 a 2 H u O b Q d 5 S 5 Z n m 9 / f H J i y / S d n d 9 h W P 1 W + D l K / n b h y w r 9 p u B T z C B r d V b b d q 3 5 / Z W 6 u 2 W 7 V / z x n 2 V d v N x I x M 7 k b g 7 z m z v u q 6 V f v 3 n F x f Y 9 2 q / f t O r m u + 3 1 F U L 9 6 k n x + / O H 7 6 5 e v b K Z H 7 N 2 s p 2 0 W o p e 6 / Z w f D W s p 0 s G n I H j v f p r n H z b d p 7 j H z b Z p 7 v G y a P 3 h A U e X + 7 f S V v n P z O x 5 b 3 w Y t X 2 F p + 9 s p r F s B j 3 D E b R X W r d q / 5 w z 7 C u t W 7 d 9 z j n 2 F d T M x I 7 N 7 W 4 V 1 m / a + w r p V + / e c X F 9 h 3 a r 9 + 0 6 u a 3 7 f U 1 h 7 u + + d P t s D k 9 + k s W w f v s b i N 9 + r g 2 G N Z T q 4 p c a 6 T X O P n W / T 3 O P m 2 z T 3 m N k 0 p 9 y 9 8 T R v U l j m l f 2 d n Z 2 b X v M 4 + z a I + T r L 7 2 Z n 4 0 s R f r q t 7 r p V + / e c a l 9 3 3 a r 9 e 0 6 2 r 7 t u 1 T 4 y 3 T c T N T L h 2 z e / F Z n v G 1 / y 1 d n t X 3 r P S f d 1 2 u 0 7 e d + Z d 8 0 / D R X b 2 Q t J k 9 1 O 5 + z e r N Q s / F C p 7 b 5 n B 8 N K z X R w S 6 V 2 m + Y e n 9 + m u c f m t 2 n u c b l p v r s z v r d 3 O 6 V 2 2 1 c 8 B r 8 N U r 5 C 0 / Z o d 7 M i u x X w C D / c V p H d q v 1 7 z q + v y G 7 V / j 1 n 2 F d k N x M z M r m 3 V V 2 3 a e 9 r r V u 1 f 8 / J 9 R X W r d q / 7 + S 6 5 g 9 C X W U y + m 9 e 3 U 6 Z 3 L t Z W 9 k e Q m 1 1 7 z 0 7 G N Z W 2 s E w O 3 i s f G N b j 4 1 v b O u x s B n k L Z W U a X 5 A N u j e p + O H n 9 5 O U b 3 P a x 5 L 3 w Y 5 X 1 n d O H B f W d 0 K e I Q d b q u s b t W + P 8 O 3 V l a 3 a v + e M + 0 r q 5 u J G Z n g 2 y q r 2 7 T 3 l d W t 2 r / n 5 P r K 6 l b t 3 3 d y X f O D U F m 9 f y 5 + D 5 x y k 8 K y v Y Q K a / 8 9 O x h W W N r B r R T W j W 0 9 V r 6 x r c f G Z p C 3 V F i m + f 7 4 4 O B 2 u u q W b 3 j M f B u U f D V 1 4 3 B 9 N X U r 4 B E m u K 2 a u l X 7 / r z e W k 3 d q v 1 7 z q + v p m 4 m Z m R u N w J / z 5 n 1 1 d S t 2 r / n 5 P p q 6 l b t 3 3 d y X f O H H T X 1 f p n 4 P U z 7 T T r K d h H q q P v v 2 c G w j j I d b B q y x 8 6 3 a e 5 x 8 2 2 a e 8 x 8 m + Y e L 5 v m 9 w 7 G + 7 d T V r d 8 w 2 P p 2 6 D k K y t t f z t l d S v g E W 6 4 r b K 6 V f v 3 n F 1 f W d 2 q / X v O r 6 + s b i Z m Z G 5 v q 6 x u 0 9 5 X V r d q / 5 6 T 6 y u r W 7 V / 3 8 m 1 z R / s + M p q 7 / 2 z 8 C D F D d r K 9 R F o q z 3 F 8 N Y d D G o r 2 w G 9 s j f e e 3 A r n W V f u p 3 O c n 0 Q j X c O d h 6 O P 9 2 U K 3 L c 7 b 9 4 / + G n B w / G 9 1 R N 3 6 D H 3 I s P d w 7 G m O L B l x y 7 u 5 f u 3 X 9 4 f + / T v f H O 7 V J a 7 4 m m p 9 v s m 3 v 3 P 7 1 / b 2 d / d / N S p q f o 3 m P e P H V n 3 9 q + x W s R J r m l 1 n s f 5 C J s c k v d 9 z 6 9 R F j j l i S P 8 M c 2 G O T e v f v 3 x g 8 e 3 k 4 z B q x 1 8 5 u e j n z f N y M c s o m c n r Z 8 3 5 7 e l z 1 c 8 9 1 Q b 5 r E 2 c m 3 T 3 / i q 9 P b K b Y 9 o 9 i G N a f t J d S c K t K 3 7 m B Y c 5 o O N o 3 a k 4 n b N P e E 4 T b N P V m 4 T X N P C E z z 3 Y c P 7 p O T v j 9 + s E k I P B l w L 9 5 / s P d w 5 / 7 4 4 S b l 6 k n A b R D 0 N a N p v 7 3 7 g J 6 D 8 c H u L R X j r T q K 8 M n G 9 u 8 5 7 b 4 u v F X 7 9 5 x 4 X w v e q n 1 k 6 m 9 H 2 N j U 3 + a 9 y M z f q k N f 9 d 1 m Z L 7 C e x 8 E f c V 3 q 3 4 i H H C b f j z 0 9 u J q 7 5 b r B U D g J m f R 9 h C q v N u t F 7 g O h l W e d o C R 3 q j v b m z r 8 f y N b T 1 + N 4 O 8 p a Y z z R 8 8 e L j / 6 a e 7 4 3 u 3 V H T v 9 Z 7 H 7 b d B z 9 d z N w 7 d 1 2 2 3 A h 5 h i N v q t l u 1 7 8 / x r X X b r d q / 5 1 z 7 u u 1 m Y k Z m e C P w 9 5 x Z X 3 3 d q v 1 7 T q 6 v t m 7 V / n 0 n 1 z W / F 6 q r r 7 F i s L d / s 8 q y v Y Q q S 4 X t 1 h 0 M q y z t 4 F Y q 6 8 a 2 H i v f 2 N Z j Y z P I W 6 o s 0 3 z v w f j g l t r q t q 9 4 7 H w b p H x F d e O A f U V 1 K + A R N r i t o r p V + / 7 M 3 l p R 3 a r 9 e 8 6 w r 6 h u J m Z k c m + r q G 7 T 3 l d U t 2 r / n p P r K 6 p b t X / f y X X N 9 z u K 6 j 3 X D P Z u X j N w X Y R a 6 n Z r B q 6 D Y S 1 l O i C V t j + + v 0 m C P a a + / U s e Z 5 u X N h H X Y + z b N P f 4 2 q L 0 4 D 6 t X m 7 K g n n 8 f f u X P C a / D W K + + t L 2 t 1 N f t w I e 4 Y / b q q 9 b t Y / M 9 G 3 V 1 6 3 a v + c s + + r r Z m J G p v e 2 6 u s 2 7 X 3 1 d a v 2 7 z m 5 v v q 6 V f v 3 n V z X / L 6 v v u 6 9 / y r C v Z 2 b 9 Z f t I 9 B f 9 x T D W 3 c w r L 9 M B 5 v G 7 P H z b Z p 7 7 H y b 5 h 4 3 3 6 a 5 x 8 y m + f 7 9 e w / G O 5 u C e Y + p z U s P 7 2 O d Y N N L H m f f B j F f Z 5 n 2 9 3 e M q b l R c 9 2 q i w h n 3 F Z z 3 a r 9 e 8 6 0 r 7 l u 1 f 4 9 5 9 r X X L c l a W S q t 2 9 6 J z L T N 7 z i q 7 H b v v K e k + 1 r s t t 2 8 b 7 z 7 Z p / G i q z r 5 H a v 7 d 3 s z q z v Y T q b O 8 9 O x h W Z 9 r B s H 3 z O P z G t h 5 3 3 9 j W 4 2 w z y F t q M d N 8 d 4 e e 2 + k w 8 8 r 9 z W 9 4 b H 0 b n H w F Z t p v 3 9 C F r 8 F u 1 U e E G W 6 r w W 7 V v j + / t 9 Z g t 2 r / n v P s a 7 B b 0 / T 9 Z 9 r X Y L f t x l d h t x m K r 7 9 u i Z a v w m 7 V R W S 2 b x q 5 e + N B q M K + R t 4 L q e K b V J j t J V R h + + / Z w b A K 0 w 5 u p c J u b O u x 9 4 1 t P d Y 2 g 7 y l C j P N 9 + 6 P b + m F 3 f I N j 6 1 v g 5 K v w W 4 c r q + 6 b g U 8 w g S 3 V V 2 3 a t + f 1 1 u r r l u 1 f 8 / 5 9 V X X z c S M z O 1 m h f V + 7 X 1 l d a v 2 7 z m 5 v q a 6 V f v 3 n V z X / K C j p t 4 z 6 3 X v / s 0 6 y n Y R 6 i h 1 H W / d w b C O M h 1 s G r L H z r d p 7 n H z b Z p 7 z H y b 5 h 4 v 2 + a 3 1 V W 3 e 8 F T V b d B y F d V 2 v 5 2 q u p W w C O 8 s L H 9 e 0 6 t r 6 p u 1 f 4 9 J 9 d X V b d q 3 5 / e 2 6 m q W w F / z 5 n 1 V d W t 2 r / n 5 P q q 6 l b t 3 3 d y X f O H v q r a f / 8 M 1 / 7 O z b r K 9 h H o q n 3 F 8 N Y d D O s q 0 8 H e / r 3 d 8 f 4 m E f a 4 2 r x 0 c L D 7 g F w U D V B v U l z m L U a P M v s H t 1 N g 9 r W H n z 6 8 f z D e e 3 g 7 R W Y H t v P p w Y P 7 n z 7 c + 3 Q M W z T 4 q s f 3 / q v 3 7 z 9 8 + O n B e H 8 T s p 4 I v A + y v p L T 9 2 6 n 5 E w n 2 w f 3 H + z f G z / Y N G u + s r P T d o v X I i x y m 9 c i T H J b 1 f c + 3 U T Y 4 7 Y a 8 G Z K R z j h V t M Z Y Y P t 2 7 z o q 8 T b j M Z X i e + D o K 8 a b 9 V P h A d u 0 4 9 D 7 2 A n V J F n L y R x d j v t t X u j e n T w Q / W o v H P r D g b V o + 1 g 7 9 7 D B / c O 7 t 9 S Q b 7 X a 0 4 E 7 G u b Z s W x / q 2 a O 8 6 3 z f f 3 H h w 8 3 H / w 4 M H O + O G n t 9 K I 7 / 2 q E 4 V b I e l p Q t P + V p r w d s A j / L K x f W T 6 N 7 a P z P s t d d 7 t 2 r / n j H v K 7 h b E j E z y R u D v O b O e b r t d + / e c X E + n 3 a 7 9 + 0 6 u a 7 4 b 6 j K z B v D m 1 e 2 U z b 2 b t Z n t I d R m 9 9 6 z g 2 F t Z j r Y f f D p v f s 7 4 7 3 9 2 2 m z 9 3 n N Y 2 7 z 2 i b 6 e r x 9 m + Y e a 5 v m + 7 v 3 H 9 y / t 3 t A 7 u t t t d n 7 v u r x / G 2 Q 9 L W Z t r + d N r s V 8 A i / 3 F a b 3 a p 9 Z N 5 v q 8 1 u 1 f 4 9 Z 9 z X Z j c T M z L J t 9 V m t 2 n v a 7 N b t X / P y f W 1 2 a 3 a v + / k u u Z 7 o T Z 7 3 z z b / s 1 5 N t d F q M 5 u l 2 d z H Q y r M 9 P B / s G n e 2 P 8 N T h w j 6 l v / 5 L H 2 e a l W 6 q y 2 z T 3 + N o 0 v / f w 3 s P d T z c H x h 6 H v 8 9 r H q P f B j l f h W n 7 2 6 m w W w G P 8 M h t V d i t 2 k d m + 7 Y q 7 F b t 3 3 O m f R V 2 M z E j E 3 x b F X a b 9 r 4 K u 1 X 7 9 5 x c X 4 X d q v 3 7 T q 5 r f s 9 X Y Z + + f / 7 t 0 5 2 b d Z j t I 9 B h n y q G t + 5 g W I e Z D j 7 9 9 N 7 O + O D h 7 X S Y e e n e 7 t 7 e v b 2 x W b q 4 S Y u Z 1 w i 7 B + O H m 1 7 y O N z 2 R c m w 3 Y e b U 4 Q e o 9 u + 6 N e D B 5 R 8 2 / i i x / T u R X L N H u 5 s S t l 5 r P 8 + W P r K T d + 7 n X I z n W z f 2 7 n / 6 Q 6 l S z + 9 p Z Z z 2 N 3 i v Q h z 3 O q 9 C H / c V u u 9 V z 8 R 3 r i t 9 r u Z 2 h F G u N W U R l h h + z Y v + u r w N q P x 1 e H 7 I O i r x V v 1 E + W C m / v x 0 N s P 1 e N 7 5 d 4 + 3 b 1 Z N V r 4 o W p U 7 G 7 d w b B q N B 3 Q o u u n 4 0 / 3 b 6 c a b / + S x / / m p V u 6 d 7 d p 7 n G 9 a U 4 D v 7 / 3 Y K N w W f Z / r 7 c 8 5 r 8 N a r 7 + 0 / a 3 0 3 + 3 A h 7 h k N s 6 d 7 d q H 5 n r 2 6 q 5 W 7 V / z 3 n 2 1 d v N x I z M 7 2 2 d u 9 u 0 9 7 X Z r d q / 5 + T 6 W u x W 7 d 9 3 c l 3 z + 6 H 2 e s 9 s 2 6 f 3 b t Z f t o d Q f 9 1 7 z w 6 G 9 Z f p 4 O G 9 T z 9 9 + G C 8 s 8 n h 8 r j 6 f V 7 z m N u 8 d k s d d p v m H m u b 5 n u 7 O 5 / e O 4 A Q D r 7 l 8 f h 7 v O V x + m 1 Q 8 3 W Y t r + d D r s V 8 A i X 3 F a H 3 a p 9 Z L Z v q 8 N u 1 f 4 9 5 9 n X Y T c T M z K / t 9 V h t 2 n v 6 7 B b t X / P y f V 1 2 K 3 a v + / k u u a f h j r s f X N s n 9 6 / W Y n Z L k I l p j r j 1 h 0 M K z H T w e 4 9 8 t n G D w 5 u p 8 P e 4 y 2 P t 8 1 b t 1 R h t 2 n u c b b F a W / / w c 6 n Y x i k w d c 8 H n + f 1 z x W v w 1 y v h L T 9 r d T Y r c C H u G S 2 y q x W 7 W P T P d t l d i t 2 r / n T P t K 7 G Z i R i b 4 t k r s N u 1 9 J X a r 9 u 8 5 u b 4 S u 1 X 7 9 5 1 c 1 / y B U 2 L p 7 t 6 D 9 P X x + + b Z H u z c r M d s L 4 E e e 6 A 4 3 r q D Y T 1 m O t j b G z + 8 p R I z r z z c p Q z W + N 4 m w f d 4 2 7 y 1 M 7 7 / 6 e 3 0 m N f P p / v j h 3 u 3 U 2 f m r d 0 d e i h A p M W M W 2 b Y b H 8 P H + 7 u 3 n v w Y H P a 0 e P 8 9 0 D U V 2 3 6 2 u 1 U m + l j W z q 5 t 4 m G v o o L c d v 8 W o Q t b v N a h D V u q / D e p 5 s I Z 9 x W 7 9 1 M 6 R g b 3 G I 2 I 0 y g E 7 T x P V 8 N 3 m Y s v h p 8 D / R 8 b X i r b g Y Z Y D M V 3 F s H H a X 4 X s m 1 B 7 d I r t k O Q n 1 4 u + S a 6 2 B Y H 5 o O N t H J Y / j b N P f 4 / T b N P T 6 / T X O P z U 3 z P a i + n f 2 H 9 8 a f b p I o j + f f 8 0 2 P 7 W + D o q / 0 t P 3 t l N 6 t g E e 4 Y 2 P 7 9 5 x s X 7 3 d q v 1 7 T r e v 1 2 7 V v j / h t 9 N r t w L + n j P r K 7 J b t X / P y f U 1 2 K 3 a v + / k u u Y P O 6 r r P T N r D 2 6 R W b N d h M r r d p k 1 1 8 G w 8 j I d 7 B 7 s P X i w P / 7 0 4 H Z K 7 H 1 e 8 7 j b v L a J w B 5 z 3 6 a 5 x 9 u m + d 7 B A 1 5 9 u z d + e E t l 9 p 5 v e i x / G x R 9 Z a b t b 6 f M b g U 8 w i 2 3 V W a 3 a h + Z 9 d s q s 1 u 1 f 8 / 5 9 p X Z z c S M z P F t l d l t 2 v v K 7 F b t 3 3 N y f W V 2 q / b v O 7 m 2 + c O d j j I 7 + 8 n j 9 P d J T 7 7 8 4 u y W r t j + j d r M 9 R F q s / 3 3 7 G B Q m 9 k O N k a Y j q F v 1 9 4 x t G 1 / O / 1 1 q + a O n W 3 z v b 1 7 u 7 v j W 6 5 u v s 9 b j r t v h Z q n t 0 z 7 W + m t 2 w G P 8 M U t 9 d b t 2 k e m e W P 7 9 5 x m T 2 / d r n 1 / o m + l t 2 4 H / D 1 n 1 t N b t 2 v / n p P r 6 a 3 b t X / f y X X N d 7 t 6 q 7 s 0 c J N a u X l p w P U R 6 q 3 b L Q 2 4 D o b 1 l u m A B H i j 4 + H x 9 G 1 f 8 d j a v L K J s h 5 X 3 6 a 5 x 9 S m + f 7 9 / Q f j + 5 u i f 4 + 5 b / + S x + G 3 Q c z X X d r + d r r r V s A j v H F b 3 X W r 9 p F 5 v q 3 u u l X 7 9 5 x l X 3 f d T M z I 9 N 5 W d 9 2 m v a + 7 b t X + P S f X 1 1 2 3 a v + + k + u a 7 z n d t b v 3 M H 3 9 v s s B 0 J U 3 6 S 7 b R 6 C 7 H i q G t + 5 g W H e Z D j a N 2 e N n 0 / w A K 4 C 3 0 1 u 3 6 c H j 6 N v 2 4 D G 1 e e X h w f 7 u 7 q c P d 8 Y P N q l U j 8 H 9 F y l / c O u 4 8 d Z I + n p M 3 7 m d H j M d b N / Y Q 4 R Z b n w n M v 8 3 v h N h g t s q t V v 3 E W G D 2 y q 2 m 6 k b m f c b E Y p M + Y 0 z 4 m u 4 2 4 z C 1 3 C 3 R c z X c r f q 4 + v M u H v l X q j p 3 i v J D 6 1 6 k 5 a z 8 E M t t / u e H Q x r O d P B L b X c b Z p 7 / H 2 b 5 h 5 r 3 6 a 5 x 9 m m + e 7 D B + S N 3 v v 0 Y G x c 1 5 v U 2 3 u + 6 T H 7 b V D 0 d Z u 2 v 5 1 u u x X w C H d s b P + e k + 2 r s 1 u 1 f 8 / p 9 l X Z r d r 3 J / x 2 q u x W w N 9 z Z n 0 N d q v 2 7 z m 5 v v a 6 V f v 3 n V z X f D / U X O + Z 4 0 d v N + k u 2 0 O o u + 6 9 Z w f D u s t 0 s P s p J b Y / v Z 0 C u / U 7 H l u b d 2 6 p x W 7 T 3 G N q i 9 H D T w / 2 d h 9 8 + m D z E r P H 4 e / 5 p s f r t 0 H R 1 2 L a / n Z a 7 F b A I 3 x y W y 1 2 q / a R K b + t F r t V + / e c b 1 + L 3 U z M y B z f V o v d p r 2 v x W 7 V / j 0 n 1 9 d i t 2 r / v p P r m t 8 P t d j 7 J s n w / k 1 q z H Y R q r H b J c l c B 8 N q z H S w a c g e O 9 + m u c f N t 2 n u M f N t m n u 8 b J r v f n p w M N 5 7 c D u 9 d f u X P M a + D W K + y t L 2 t 1 N Z t w I e 4 Y n b q q x b t X / P O f Z V 1 q 3 a v + c s + y r r Z m J G p v e 2 K u s 2 7 X 2 V d a v 2 7 z m 5 v s q 6 V f v 3 n V z X / F N P Z d 3 b e e / k 2 L 2 d n Z t 1 l u 3 D 1 1 n 8 5 n t 1 M K y z T A f 7 e / t 7 O 5 / u 7 o / v a U h 6 k / a y L + 7 v f X p v 5 8 H e + M H B 7 f S Y e X H 3 / r 3 x 7 i a d 4 b G 5 f e e A e q M F h U / 3 b 6 f V z H v 3 D h 5 S b P j p w / v j v U 1 v e r z v 3 n x w f + / T n Y P N P q Y n B O + F q q / n 9 M X b 6 T n T y z a 6 2 b 9 / M N 7 f R E l f 4 / n 4 3 f x i h F N u 9 2 K E U 2 6 r A 9 + v o w i X 3 F Y Z 3 k z x C E P c b l 4 j D L F 9 q z d 9 / X i b 8 f j 6 8 b 1 Q 9 B X l r T o a Y I U b O / I Q f B B q z P d J s t 3 b u U W S z c I P t e W t k m x e B 8 P a 0 n S w e / 8 + Z R n p t f G n m 7 S e J w T v + a Y n D u b N T Z P j C c F t m n s y Y J o / e P D w 4 f 7 u w a c 7 t 1 4 Z f c 8 3 P Y m 4 D Y q + Z t T 2 t 9 O M t w I e 4 Z m N 7 S M s s L F 9 Z O K H 2 4 f a 7 1 b t 3 3 O + f a V 3 M z E j c 7 w R + H v O r K / h b t X + P S f X V 2 y 3 a v + + k + u a H 4 T 6 7 P 1 S b / d 2 b p F 6 s z 2 E G u 1 W q T e v g 2 G N Z j o 4 O C A 3 Z 3 f / / v j + p 7 d T a O / 3 o s f g 5 s V b 6 r P b N P f Y 2 6 K 1 s / u Q U m k P P x 3 v 7 N 9 O n 7 3 n m x 7 X 3 w Z F X 5 9 p + 9 v p s 1 s B j 3 D M b f X Z r d p H 5 n 1 j + / e c b l + f 3 a p 9 f 8 J v p 8 9 u B f w 9 Z 9 b X Z 7 d q / 5 6 T 6 + u z W 7 V / 3 8 l 1 z R + G + u w 9 k 3 D 3 d m y O b F i h 2 S 5 C h X a r J J z X w b B C M x 3 s P X w w B t 8 O j t v j 6 V u / 4 / G 1 e W c T a T 2 2 v k 1 z j 6 t N 8 3 s 7 n z 4 c 7 x / c T o P d / i W P x W + D m K + 8 t P 3 t l N e t g E e 4 4 7 b K 6 1 b t I x N 9 W + V 1 q / b v O c u + 8 r q Z m J H p v a 3 y u k 1 7 X 3 n d q v 1 7 T q 6 v v G 7 V / n 0 n 1 z T f R b L L K a / d 9 0 / H g c k 3 a y + v j 0 B 7 7 S q G t + 5 g S H u 5 D v Z 3 x v u q E z c r L / f K 7 s 7 + z s 7 e 3 s 5 4 U x R m e d u 9 d y s F 1 u m G 3 K P x g 0 3 4 W R 5 3 L 9 7 f f 3 D v A b 2 9 + U X L 7 x 4 t 9 u / d + / T h 3 q a 3 L N e / L 5 5 O s 9 k 3 b 6 P Z X D f b t + w n w k S 3 f D P C H b d 8 M 8 I k t 1 N 8 7 9 1 T h E 9 u p w J v Q / U I S 9 w S r Q h b 3 H K + n F 6 8 3 Y i c X n x f J J 2 G v G V P X 5 8 f 3 I u 7 o a 5 8 r 0 Q c p O A m P W n h h 3 p y 9 z 0 7 G N a T p o N N l P L Y / z b N P e 6 / T X O P 5 W / T 3 O N 4 0 3 y X F s k f 0 P r C 3 v h T J c x N G v E 9 3 / T Y / z Y o + r p Q 2 9 9 O F 9 4 K e I Q 7 N r Z / z 8 n 2 l d 2 t 2 r / n d P s q 7 l b t + x N + O x V 3 K + D v O b O + N r t V + / e c X F + H 3 a r 9 + 0 6 u a 7 4 X a q 7 3 T L m B q 2 7 S X b a H U H f d L u X m O h j W X a a D e 7 t 7 O 7 T k + m C 8 9 + n t t N j 7 v e g x u H n x l v r s N s 0 9 9 j b N D w 4 + J a V 0 f 9 N b H p + / x 1 s e t 9 8 G N V + P a f v b 6 b F b A Y 9 w y m 3 1 2 K 3 a R + b 7 t n r s V u 3 f c 5 5 9 P X Y z M S P z e 1 s 9 d p v 2 v h 6 7 V f v 3 n F x f j 9 2 q / f t O r m t + L 9 R j 7 5 t q w 7 T f p M h s F 6 E i u 1 2 q z X U w r M h M B w c 7 4 4 e 3 0 2 C 3 f M P j a f P G L V X X b Z p 7 H G 2 a U 4 A 5 P t i E k c f Y t 3 7 H Y + 7 b o O W r L W 1 / O 7 V 1 K + A R v r i t 2 r p V + 8 g k 3 1 Z t 3 a r 9 e 8 6 x r 7 Z u J m Z k d m + r t m 7 T 3 l d b t 2 r / n p P r q 6 1 b t X / f y X X N 9 3 2 1 t f f + S T a Q 4 i a 9 Z f s I 9 N a e Y n j r D o b 1 l u l g 0 5 g 9 f r 5 N c 4 + d b 9 P c 4 + b 9 x z c 3 9 5 j Z Q N / d 3 9 k 7 u L 9 L I f + n t 1 N b 7 / e i x + G 3 G Y + v u 7 T 9 7 X T X r Y B H e O O 2 u u t W 7 d 9 z r n 3 d d a v 2 7 z n b v u 6 6 m Z i R K b 6 t 7 r p N e 1 9 3 3 a r 9 e 0 6 u r 7 t u 1 f 5 9 J 9 c 1 v x / q r v d K e m F Y N + k t C z / U W 7 v v 2 c G w 3 j I d 3 F J v 3 a a 5 x 8 q 3 a e 5 x 8 m 2 a e 4 x s m u 8 d 7 N z / 9 O H + L Z X W e 7 z l 8 f V t U P M 1 l r a / n c a 6 F f A I V 9 x W Y 9 2 q / X v O s q + x b t X + P e f Z 1 1 g 3 E z M y v 7 f V W L d p 7 2 u s W 7 V / z 8 n 1 N d a t 2 r / v 5 L r m n 4 Y a 6 z 2 T X e j 4 J p 1 l e w h 1 1 r 3 3 7 G B Y Z 5 k O b q m z b t P c Y + b b N P d 4 + T b N P V Y 2 z W + h f T y e f o + 3 P M 6 + D W q + z t L 2 t 9 N Z t w I e 4 Y r b 6 q x b t X / P W f Z 1 1 q 3 a v + c 8 + z r r Z m J G 5 v e 2 O u s 2 7 X 2 d d a v 2 7 z m 5 v s 6 6 V f v 3 n V z X / E G o s 8 5 + 8 j j 9 f d K T L 7 8 4 e 3 3 2 5 Y v b q Z X 9 m / W W 7 S X U W / v v 2 c G w 3 j I d 3 F J v 3 a a 5 x 9 C 3 a e 7 x 8 2 2 a e + x s m j + 8 N 7 6 / d z u l d d t X P L 6 + D V K + x t L 2 t 9 N Y t w I e 4 Y f b a q x b t X / P + f U 1 1 q 3 a v + c M + x r r Z m J G J v e 2 G u s 2 7 X 2 N d a v 2 7 z m 5 v s a 6 V f v 3 n V z X / K C j s d 4 z F b 9 3 / 2 Z 1 Z b s I 1 d X 9 9 + x g W F 2 Z D n b G G m 7 e p L B u 9 4 L H 0 f a F 2 6 m s 2 z T 3 + N k 0 f w + V d d t X P M a + D V K + y t L 2 t 1 N Z t w I e 4 Y n b q q x b t Y / N 8 C 1 V 1 q 3 a v + c M + y r r Z m J G J n c j 8 P e c W V 9 l 3 a r 9 e 0 6 u r 7 J u 1 f 5 9 J 9 c 1 f + i r r H v v n 4 a / t 3 O z z r J 9 B D r r n m J 4 6 w 6 G d Z b p Y G e 8 s 0 l + P Z Y 2 b + z u f U p r b 5 / e T n H Z b m 6 n u M I + 9 m + n v u x L O / f v P 9 j b v / d w v P / g d l o s e H N 3 9 8 H e + F M N v m 9 S Z r d H 1 F d p + t b t V J r p Y v s W f U Q 4 5 x Z v R d j h F m 9 F W O K 2 W u 4 9 e o k w x W 1 1 3 c 1 U j r H A z S h F p v 8 W c + M r v t u M x F d 8 t 0 f O V 3 + 3 6 u X r z b 1 9 C V z t K 8 H 3 y u f f 2 7 1 R A T r 4 o Q L c f c 8 O B h W g 7 W A T l R y r 3 6 q 5 4 / R b N X c s f q v m j s N t 8 9 0 H 9 x / e 3 7 l / c G + 8 S W 0 5 b n / P F x 3 D 3 w p B T 9 O Z 9 r f S d L c D H u G N j e 3 f c 6 o 9 t X a 7 9 u 8 5 2 Z 5 C u 1 3 7 / n T f S q H d D v h 7 z q y n w 2 7 X / j 0 n 1 9 N e t 2 v / v p P r m u + G e u v 0 / b L 6 9 2 7 O 6 r s e Q s 1 1 u 6 y + 6 2 B Y c 5 k O 9 u 7 f u z d + c D v v 7 T 1 e 8 h j b v L S J t h 5 f 3 6 a 5 x 9 a m + e 7 + z o N P d / Z 3 y R W 9 p R p 7 z z c 9 b r 8 N i r 4 e 0 / a 3 0 2 O 3 A h 7 h l N v q s V u 1 j 8 z 5 b f X Y r d q / 5 3 z 7 e u x m Y k b m + L Z 6 7 D b t f T 1 2 q / b v O b m + H r t V + / e d X N d 8 L 9 R j X y P T f 2 / / Z l 1 m e w l 1 2 f 5 7 d j C s y 7 S D Y Z b w 2 P n G t h 4 r 3 9 j W Y 2 M z y F u q L d P 8 0 / 2 9 8 c E t F d a t 3 / E Y + j Z o + a r q x i H 7 q u p W w C O M c F t V d a v 2 / b m 9 t a q 6 V f v 3 n G N f V d 1 M z M j s 3 l Z V 3 a a 9 r 6 p u 1 f 4 9 J 9 d X V b d q / 7 6 T 6 5 r f 6 6 i q 9 0 z x 3 7 s 5 x e + 6 C P X U 7 V L 8 r o N h P W U 6 I E 9 D l d 9 N 2 u q W b 3 g 8 b d / Y 0 N x j 6 d s 0 9 z j a N N 8 9 2 N v b H O V 7 n H 3 7 l z z 2 v g 1 i v u L S 9 r d T X L c C H u G M 2 y q u W 7 W P T f M t F d e t 2 r / n L P u K 6 2 Z i R q b 3 t o r r N u 1 9 x X W r 9 u 8 5 u b 7 i u l X 7 9 5 1 c 1 3 z f V 1 z 7 7 5 / o 3 9 + 5 W X P Z P g L N t a 8 Y 3 r q D Y c 1 l O t g 0 Z o + f T f P 7 u + P 7 D 2 + n t 2 7 T g 8 f R t + 3 B Y 2 r z y u 7 D h w / 2 H u y P D z a 9 5 / F 3 8 N 7 e r Z N d t 8 X Q V 2 L 6 z u 2 U m O l g + 8 Y e I p x y 4 z u R y b / x n Q g H 3 F a j 3 b q P C A / c V q v d T N 3 I r N + I U G T K b 5 w R X 7 3 d Z h S + e r s t Y r 6 K u 1 U f X 2 f G 3 S v 3 Q z X 3 X q n 8 / d 2 b V Z y F H 6 q 4 3 f f s Y F j F m Q 5 u q e J u 0 9 z j 7 9 s 0 9 1 j 7 N s 0 9 z j b N 7 z 1 8 u L 9 / b 3 9 8 7 5 a q 7 b 3 e 8 x j 9 N u j 5 e k 3 b 3 0 6 v 3 Q p 4 h D M 2 t n / P i f Z V 2 a 3 a v + d U + 2 r s V u 3 7 k 3 0 7 N X Y r 4 O 8 5 s 7 7 2 u l X 7 9 5 x c X 3 P d q v 3 7 T q 5 r / m m o t U 7 f L 5 G / f + 9 m v W V 7 C P W W O h G 3 7 m B Y b 5 k O d n f u j T H z g 8 P 2 W P r W 7 3 h s b d 6 5 p Q a 7 T X O P q U 1 z 1 k Q 7 m 1 7 y m P v 2 L 3 k c f h v E f N 2 l 7 W + n u 2 4 F P M I d t 9 V d t 2 o f m e j b 6 q 5 b t X / P W f Z 1 1 8 3 E j E z v b X X X b d r 7 u u t W 7 d 9 z c n 3 d d a v 2 7 z u 5 r v m D U H d 9 j e T 9 / v 7 N + s v 2 E u q v / f f s Y F h / a Q f D L O G x 8 4 1 t P V a + s a 3 H x m a Q t 1 R W p v m n 9 8 Z 7 S o i b V N V t X / H Y + T Z I + Y r q x g H 7 i u p W w C N s c F t F d a v 2 / Z m 9 t a K 6 V f v 3 n G F f U d 1 M T H 9 y b w P 8 P W f W V 1 S 3 a v + e k + s r q l u 1 f 9 / J d c 0 P O o r q P V P 3 + / d v 1 l K 2 i 1 B L 3 X / P D o a 1 l O l g 0 5 A 9 d r 5 N c 4 + b b 9 P c Y + b b N P d 4 2 T S n A O + h U u Q m d X X b V z y m v g 1 S v r r S 9 r d T V 7 c C H u G H j e 3 f c 3 p 9 d X W r 9 u 8 5 w b 6 6 u l X 7 / h T f T l 3 d C v h 7 z q y v r m 7 V / j 0 n 1 1 d X t 2 r / v p P r m j / 0 1 d X 9 9 0 / Y 3 9 + 5 W V / Z P g J 9 d V 8 x v H U H w / p K O x h m C I + Z b 2 z r M f K N b T 0 m N o P c R H e P h 0 1 z G u b D B / f 2 9 s d 7 t 1 R W 7 / e i x 9 i 3 Q d B X W T c O 3 l d Z t w I e Y Y n b q q x b t e / P 8 q 1 V 1 q 3 a v + d s + y r r Z m J G p v i 2 K u s 2 7 X 2 V d a v 2 7 z m 5 v s q 6 V f v 3 n V z b H C P x V d Z 7 J d / v 7 9 6 o r h z 8 U F 3 t v m c H g + r K d r B p v I 6 X b 9 X c s f K t m j t O v l V z x 8 i 2 O a 0 N P t z f e b D p L c f R 7 / O W 4 + t b o e Z p L N P + V h r r d s A j X L G x / X t O s q e x b t f + P a f Z 0 1 i 3 a 9 + f 6 F t p r N s B f 8 + Z 9 T T W 7 d q / 5 + R 6 G u t 2 7 d 9 3 c l 3 z 3 V B j v W f i / f 7 N i X f X Q 6 i z b p d 4 d x 0 M 6 y z t Y J g d P F a + s a 3 H x j e 2 9 V j Y D H I T 1 T 0 O N s 1 Z 6 e x / u j s + O L i d t n q / F z 2 2 v g 2 C v s K 6 c f C + w r o V 8 A h L 3 F Z h 3 a p 9 f 5 Z v r b B u 1 f 4 9 Z 9 t X W D c T M z L F t 1 V Y t 2 n v K 6 x b t X / P y f U V 1 q 3 a v + / k u u Z 7 o c L 6 G t n 2 + / s 3 K y 3 b S 6 i 0 9 t + z g 2 G l p R 3 c S m n d 2 N Z j 5 R v b e m x s B n l L p W W a 7 x 5 8 O v 5 0 7 3 b 6 6 t b v e A x 9 G 7 R 8 V X X j k H 1 V d S v g E U a 4 r a q 6 V f v + 3 N 5 a V d 2 q / X v O s a + q b i Z m Z H Z v q 6 p u 0 9 5 X V b d q / 5 6 T 6 6 u q W 7 V / 3 8 l 1 z e 9 1 V N V 7 5 t v v 3 5 x v d 1 2 E e u p 2 + X b X w b C e M h 1 s G r L H z r d p 7 n H z b Z p 7 z H y b 5 h 4 v m + b 3 d n f H O 7 d U W L d + x 2 P r 2 6 D l K y x t f z u F d S v g E Y 6 4 r c K 6 V f v 3 n G F f Y d 2 q / X v O s a + w b i Z m Z H Z v q 7 B u 0 9 5 X W L d q / 5 6 T 6 y u s W 7 V / 3 8 l 1 z f d 9 h f X p + 2 f c P 9 2 5 W W P Z P g K N 9 a l i e O s O h j W W 6 e C W G s s 0 3 9 3 Z G z 9 4 e D u 1 d Z s u P J a + d R c e W 7 t 3 6 L n x R Y / F g x f p u Z 0 K u z W K v h 7 T l 2 6 n x 0 w P 2 z d 3 E e G W m 1 9 i D n j f l y J 8 c F u 9 d v t O I p x w W + V 2 M 4 W j M 3 8 T R p G J v 3 l a f D 1 3 m 3 H 4 e u 7 W q P n K 7 l a d f K 1 p d + / c D z X e e y X s P 9 2 9 W d t Z + K G 2 2 3 3 P D o a 1 n e n g l t r u N s 0 9 J r 9 N c 4 + 9 b 9 P c 4 2 7 T f E 9 V 1 X h H 6 X K T j n u / F z 1 u v w 2 C v o b T 9 r f T c L c C H u G N j e 3 f c 6 p 9 j X a r 9 u 8 5 2 b 4 y u 1 X 7 / n T f T p n d C v h 7 z q y v w W 7 V / j 0 n 1 1 d e t 2 r / v p P r m n 8 a 6 q 3 T 9 0 v b f 3 r v Z s 1 l e w g 1 1 7 3 3 7 G B Y c 5 k O 9 n b u j + 8 f 3 E 5 9 3 f o d j 6 3 N O 7 f U Y b d p 7 j G 1 x U h 1 0 e 0 U 2 H u 8 5 f H 4 b V D z t Z e 2 v 5 3 2 u h X w C H / c V n v d q n 1 k q m + r v W 7 V / j 3 n 2 d d e N x M z M r + 3 1 V 6 3 a e 9 r r 1 u 1 f 8 / J 9 b X X r d q / 7 + S 6 5 g 9 C 7 f W + i b F P b d 5 q W H 3 Z L k L 1 d f 8 9 O x h W X 6 a D T U P 2 2 P k 2 z T 1 u v k 1 z j 5 l v 0 9 z j Z d N 8 7 / 7 t 4 8 p b v + O x 9 W 3 Q 8 h W W t r + d w r o V 8 A h H 3 F Z h 3 a r 9 e 8 6 w r 7 B u 1 f 4 9 5 9 h X W D c T M z K 7 t 1 V Y t 2 n v K 6 x b t X / P y f U V 1 q 3 a v + / k u u Y H v s J 6 8 P 6 J s Q c 7 N 2 s s 2 0 e g s R 4 o h r f u Y F h j m Q 5 u q b F M 8 4 e f j v H 7 4 C s e S 9 + m B 4 + j b 9 u D x 9 T m l d 2 d e / d 3 d m 5 6 0 W P w 8 M X b e l y 3 x d B X Y v r O 7 Z S Y 6 W D 7 x h 4 i n H L j O 5 H J v / G d C A d s F J L I 9 N / Y R 4 Q H N v b R Z 4 D b a b V b I x S Z 8 h t n x F d v t x m F r 9 5 u i 5 i v 4 m 7 V x 9 e Z c f f K w 1 D N v V c 2 7 M E t s m E W f q j i b p c N c x 0 M q z j T w S Y a e Q x + m + Y e f 9 + m u c f a t 2 n u c b Z p v r f z Q J N a t 1 y y f L 8 X P V a / D Y K + Z t P 2 t 9 N s t w I e 4 Y 2 N 7 d 9 z q n 1 l d q v 2 7 z n Z v i K 7 V f v + d N 9 O k d 0 K + H v O r K + / b t X + P S f X 1 1 2 3 a v + + k 2 u b 3 9 s J 9 d b p + 2 X D H t y c D X M 9 h J r r d t k w 1 8 G g 5 r I d 7 D 7 c G 9 / / 9 F b q 6 / b v O L a 2 7 9 x O h 9 2 q u W N q 2 3 x v T 1 T R r R T Y + 7 z l e P x W q H n a y 7 S / l f a 6 H f A I f 2 x s H 5 n u j e 0 j U 7 2 x / X t O s 6 e 9 b t e + P 9 G 3 0 l 6 3 A / 6 e M + t p r 9 u 1 f 8 / J 9 b T X 7 d q / 7 + S 6 5 r u h 9 n r f b N i D m 7 N h r o t Q f d 0 u G + Y 6 G F Z f p o N N Q / b Y + T b N P W 6 + T X N m 5 t s 3 9 3 j Z N N / b u T f + 9 O B 2 K u v W 7 3 h s f R u 0 f I W l 7 W + n s G 4 F P M I R G 9 u / 5 w T 7 C u t W 7 d 9 z i n 2 F d a v 2 / U m + n c K 6 F f D 3 n F l f Y d 2 q / X t O r q + w b t X + f S f X N d / z F d b B + 2 f D D n Z u 1 l i 2 j 0 B j H S i G t + 5 g W G O Z D v Y + 3 f n 0 / o P d s Y l C b 1 J d 5 r 2 H D x 8 + e H C w u z / + 9 M H t l J h 5 c f f B g / s P H 3 5 6 f / z w 0 9 u p M / s i h r a 7 t 3 M w f r g p w P O Y 3 o 3 x 0 3 s P 9 / b v P 9 w Z 3 1 O d f 5 O C s 6 / e 3 z 9 4 8 P D e v Y P d 8 b 5 6 u z f p u f f E 1 1 d 5 + u r t V J 7 p Z / v h A 0 o O 7 O 3 v b a a o r / 3 s J N 7 u z Q j b 3 P L N C O P c V i O + Z 0 8 R h r m t b r y Z 6 h H G u O 3 s R h h j + 5 b v + i r z N m P y V e Z 7 o u l r z 1 t 1 F W G J W 3 b l I X k v V K T v l W 8 7 2 L 1 Z i V r 4 o R J V T X f r D o a V q O l g E 6 k 8 E b h N c 0 8 C b t P c Y / v b N P e 4 3 j S / f 2 / n / q c P D u 5 9 u j v e J G C e C L z n m 5 4 E 3 A Z F X x 9 q + 9 v p w 1 s B j 3 D H b V 3 A W 7 V / z 9 n 2 F d 6 t 2 r / n f P t q 7 m Z i R u b 4 t i 7 g b d r 7 + u x W 7 d 9 z c n 0 l d q v 2 7 z u 5 r v l + q L l M x u 3 k 2 6 c / 8 d X p 7 d T L 3 s 3 6 y / Y S 6 i / V r r f u Y F h / m Q 7 2 P 7 3 3 Y O / + w / v j g 4 P b a T L z 4 t 6 9 3 Y c H n 9 5 / O L 5 / 7 3 Y 6 z b y 4 v b s H v X H / 4 e 1 0 m 3 2 N O j z 4 d O / h g / H D / d u p O f P m 7 s 6 n u z v 7 D 3 b 2 b x 3 j 2 j f 3 H u 4 9 3 N 3 Z 2 R t / u s m u e c L w n t j 6 G k 9 f v Z 3 G 8 2 b h w b 2 H 9 z 7 d 7 N 3 6 u s / H 8 D a v R n j m t m r w P Z G M 8 M p t F e J 7 9 t R n k t u p x v e d 3 Q h j 3 O 5 N X 1 + + 5 5 s R J r m t 5 n z P n t 6 X M 1 z z + 3 E d e s t V i 4 N 7 N + t P 2 0 O o P 1 V V 3 b q D Y f 1 p O t i 9 f 2 9 / n + L o 3 f H B J o X m S c V 7 v u l J h X n z l l 7 h b Z p 7 k m C a 3 9 + 5 v 3 P v / s H e 3 t 7 m A N + T i / d 9 1 Z O L 2 y D p a 0 l t f z s t e S v g E a 6 5 r V 9 4 q / a R q b + t X 3 i r 9 u 8 5 4 7 7 y u 5 m Y k U m + r V 9 4 m / a + n r t V + / e c X F + 7 3 a r 9 + 0 6 u a / 5 p q N P O f v I 4 / X 3 S k y + / O H t 9 9 u W L 2 6 m d / Z v 1 m u 0 l 1 G v 7 7 9 n B s F 4 z H e z e e z j e 5 P N 4 X H 3 b V z z G N q / c U p P d p r n H 1 q b 5 v X v 3 H + 6 P D z 6 9 n R J 7 j 7 c 8 L r 8 N a r 7 + 0 v a 3 0 1 + 3 A h 7 h j t v q r 1 u 1 j 8 z 0 b f X X r d q / 5 z z 7 + u t m Y k b m 9 7 b 6 6 z b t f f 1 1 q / b v O b m + / r p V + / e d X N f 8 Q U d / v e d a 7 M H 9 m 5 W X 7 S J U X u q q 3 7 q D Y e V l O t h D S L t / f 7 x / c D s N 9 l 7 v e f x t 3 r u l G r t N c 4 + 7 T f P 9 + z v 7 u 5 / u j / f 2 b 6 f I 3 u s 9 j + F v g 5 6 v y r T 9 7 V T Z r Y B H e O W 2 q u x W 7 S N T f l t V d q v 2 7 z n X v i q 7 m Z i R G f a A b 1 R l t 2 n v q 7 J b t X / P y f V V 2 a 3 a v + / k u u Y H v i p 7 + P 6 r t A 9 3 b t Z l t o 9 A l z 1 U D G / d w b A u M x 3 c f 0 j x 6 O Z I 3 G N r 8 9 b + L o V h D y j j 9 e n t N J l 5 7 5 a a z H a z 8 / D g g N Z W H 2 z y + z w u N + 8 9 e E C h 7 / 6 9 v f G 9 T a G v x / H 2 x X v 3 a G j 7 u 7 e O L 9 8 L U 1 + 7 6 Y u 3 0 2 6 m l + 3 b d R P h o 9 u 9 G O G P 2 7 0 Y Y Z H b a r 7 3 6 y j C J L d V g T d T P M I Q t 8 M q w h C 3 m y p f K 9 5 m P L 5 W f C 8 U f f V 4 q 4 6 + N i u 4 9 x 6 G e v K 9 F m E f 7 t 6 s I y 3 8 U E f u v m c H w z r S d L C 3 t 7 O / i V g e 9 9 / 2 F U 8 A z C u 3 1 I 2 3 a e 5 x v W l O W u 3 e / s 7 B v X v j X S X Q T T r x P d / 0 Z O A 2 K P q 6 U N v f T h f e C n i E S z a 2 j 0 z 6 x v a R G b + t v r t V + / e c b 1 / N 3 U z M y B x v B P 6 e M + v r t F u 1 f 8 / J 9 V X Z r d q / 7 + T a 5 p B g X 4 O 9 5 0 L C w 5 s X E l w P o Q 6 7 3 U K C 6 2 B Q h 9 k O D u 7 t f n p / / + H 4 3 u 2 y b u / 3 n m N v + 9 7 t t N m t m j v m t s 1 3 9 2 l N m X I Q D 8 Y 7 m / B y n P 6 + b z q e v x W K n j Y z 7 W + l z W 4 H P M I v t 9 R m t 2 s f m f a N 7 d 9 z u j 1 t d r v 2 / Q m / l T a 7 H f D 3 n F l P m 9 2 u / X t O r q f N b t f + f S f X N d 8 N t d n X W E J 4 u H + z R r O 9 h B p t / z 0 7 G N Z o 2 s E w S 3 j s f G N b j 5 V v b O u x s R n k J s p 7 X G y a 7 z 5 4 8 P A B x G H w J Y + b b / + S x 9 K 3 Q c x X V j c O 2 l d W t w I e Y Y X b K q t b t e / P 7 q 2 V 1 a 3 a v + c s + 8 r q Z m J G p v e 2 y u o 2 7 X 1 l d a v 2 7 z m 5 v r K 6 V f v 3 n V z X f K + j r N 5 z v e D h z e s F r o t Q U 9 1 u v c B 1 M K y p T A c P P 3 2 w 9 2 B 8 c L B h 5 B 5 X v 8 d b H m + b t z a R 1 2 P t 2 z T 3 O N s 0 v 7 + / s 3 P v h u y Y x + P v 8 5 r H 6 r d B z l d i 2 v 5 2 S u x W w C N c c l s l d q v 2 k e m + r R K 7 V f v 3 n G l f i d 1 M z M g E 3 1 a J 3 a a 9 r 8 R u 1 f 4 9 J 9 d X Y r d q / 7 6 T 6 5 r f 8 5 T Y / s 5 7 r x S Q 1 N y s x W w f v h b j N 9 + r g 2 E t Z j r Y e / h w Z + / + g / G n e 7 f T Y / 5 7 + / v 0 3 i 0 1 m X 3 v Y H x f 4 + C b t J l 9 Z Z f e e X g 7 l W b e 2 f 3 0 0 4 P 7 9 / f 3 x r f U a c F 7 9 / b 2 b 5 s V u z 2 S v m r T l 2 6 n 2 k w P 2 7 u U p d 3 5 9 J Y K z g 7 o x p c i T H H z S x G O u K 2 q u 3 0 n E V 6 4 r b 6 7 m c K R y b 9 5 D i M T v 3 3 j W 7 7 q u 8 0 4 f N V 3 a 9 R 8 / X e r T m K 6 4 M b x u 3 f 2 Q y X 4 P s s A + z u 7 N y t A C z 9 U g C q V t + 5 g W A G a D u 4 / P N j Z f 3 B D 4 s h j 9 / d 6 z 2 N 7 8 9 4 t X b n b N P f 4 3 T S / d + / e g 5 1 P d z 4 d 3 9 8 k W Y b 3 3 / t F j / 9 v g 6 C v 8 7 T 9 7 X T e r Y B H u O W 2 7 t y t 2 k c m / b Y 6 7 l b t 3 3 O 2 f f V 2 M z E j U 3 x b d + 4 2 7 X 2 d d q v 2 7 z m 5 v j q 7 V f v 3 n V z X / H 6 o y d 5 v O W B / 5 9 7 N u s z 2 E O o y d Y N u 3 c G w L j M d Q C c d P L w / v r d J h j 2 2 f q / 3 P P Y 2 7 9 1 S l 9 2 m u c f c p v n t V J L H 6 O / 3 o s f x t 0 H Q 1 2 X a / n a 6 7 F b A I 9 x y W 1 1 2 q / a R S b + t L r t V + / e c b V + X 3 U z M y B T f V p f d p r 2 v y 2 7 V / j 0 n 1 9 d l t 2 r / v p P r m n 8 a 6 r L 3 X w z Y 3 9 m / W Z / Z X k J 9 t v + e H Q z r M + 1 g m C U 8 d r 6 x r c f K N 7 b 1 2 N g M 8 p Z K y z Q / u L d 5 U d X j 5 d u + 4 r H z b Z D y F d W N A / Y V 1 a 2 A R 9 j g t o r q V u 3 7 M 3 t r R X W r 9 u 8 5 w 7 6 i u p m Y k c m 9 r a K 6 T X t f U d 2 q / X t O r q + o b t X + f S f X N X / Q U V T v t x C w v 3 P / Z i 1 l u w i 1 1 P 3 3 7 G B Y S 5 k O 7 h 2 M 9 z b J r 8 f S t 3 3 F 4 2 r z y i b C e k x 9 m + Y e T 1 u E H l I k u 3 8 7 v X X r d z z 2 v g 1 a v u L S 9 r d T X L c C H u G M 2 y q u W 7 W P z P J t F d e t 2 r / n H P u K 6 2 Z i R m b 3 t o r r N u 1 9 x X W r 9 u 8 5 u b 7 i u l X 7 9 5 1 c 1 / z A V 1 x 7 7 5 / 8 B y l u 0 l y 2 j 0 B z 7 S m G t + 5 g W H N p B 8 M M 4 T H z j W 0 9 R r 6 x r c f E Z p C 3 V F S m + d 7 B w 4 c P 7 l N e / 8 H t l N V 7 v e e x 9 W 3 Q 8 x X W j U P 3 F d a t g E c Y Y m P 7 / v z e W m H d q n 1 / n m + t s G 7 V v j / Z t 1 N Y t w L + n j P r K 6 x b t X / P y f U V 1 q 3 a v + / k u u Y P Q 4 X 1 X o l 6 D O s m Z W X h h 8 r q d o l 6 1 8 G w s j I d b B q v x 8 u 3 a e 6 x 8 m 2 a e 5 x 8 m + Y e I 5 v m + w 8 e P t z / 9 N 7 4 4 O B 2 W u u 9 3 v N 4 + z b o + V p L 2 9 9 O a 9 0 K e I Q z N r Z / z 4 n 2 t d a t 2 r / n V P t a 6 1 b t + 5 N 9 O 6 1 1 K + D v O b O + 1 r p V + / e c X F 9 r 3 a r 9 + 0 6 u b X 5 / J 9 R a 7 5 m U R 8 c 3 6 C 3 X Q 6 i 3 b p e U d x 0 M 6 i 3 T w T A 7 O F a + u a 1 j 4 5 v b O h a 2 g 7 y d u r L N 7 9 1 G 7 T h m f r / 3 H F P f C j 1 P X d 0 8 d E 9 d 3 Q 5 4 h C F u q a 5 u 1 7 4 / x 7 d V V 7 d r / 5 5 z 7 a m r W x A z M s M b g b / n z H r q 6 n b t 3 3 N y P X V 1 u / b v O 7 m u + W 6 o r r 5 G 3 n 1 v / 2 a V Z X s J V d b + e 3 b g V B Z 3 4 I 1 a O 7 i V y r q x r c f K N 7 b 1 2 N g M c h P l P S 4 2 z f d 3 x 5 9 + e j t t d d t X P H a + D V K + o r p x w L 6 i u h X w C B v c V l H d q n 1 / Z m + t q G 7 V / j 1 n 2 F d U N x M z M r m 3 V V S 3 a e 8 r q l u 1 f 8 / J 9 R X V r d q / 7 + S 6 5 n s d R f W e e f e 9 m / P u r o t Q S 9 0 u 7 + 4 6 G N Z S p o N N Q / b Y + T b N P W 6 + T X O P m W / T 3 O N l 0 / w 9 1 N V t X / G Y + j Z I + e p K 2 9 9 O X d 0 K e I Q f b q u u b t X + P e f X V 1 e 3 a v + e M + y r q 5 u J G Z n c 2 6 q r 2 7 T 3 1 d W t 2 r / n 5 P r q 6 l b t 3 3 d y X f N 7 v r q 6 9 / 7 Z 9 n s 7 N + s r 2 0 e g r + 4 p h r f u Y F h f m Q 7 o l U 8 f f H o w / n T / d o r L v P f g 3 k P q b u d g v L N 7 O x V m X t z / 9 M H D + 3 s U j t 1 O l d n + H l A M d 0 B h H L h 6 8 E W P 4 8 2 L e 3 u f 7 u 9 T b P x w r F H 0 T a r N U m b / 4 O H B z r 0 H n 4 5 3 N 7 3 p y c H 7 4 e r r O n 3 z d r r O d L P 9 Y O / B w f 4 9 j G x j P x G 2 u u W b E X 6 5 5 Z s R j r m t K n z P n i K 8 c l u l e D P V I 2 x x y 8 m N s M X 2 7 V 7 1 N e V t R u R r y v d D 0 t e Z t + o p x g + 3 6 s l D c T / U n u + V + r + 3 e 7 P m t P B D z a l a 6 t Y d D G t O 0 8 G 9 n U 8 P 9 v f G D z + 9 n e J 8 n 9 c 8 a T C v 3 d L z u 0 1 z T w J M 8 / 3 7 e 3 s P S J s / G O 9 v w s s T h / d 8 0 x O H 2 6 D o 6 0 Z t f z v d e C v g E W 6 5 r R 9 4 q / a R W b + t 8 r t V + / e c b 1 / l 3 U z M y B z f 1 g + 8 T X t f u 9 2 q / X t O r q / T b t X + f S f X N b 8 f a j K z H H D y 7 d O f + O r 0 d u p m 7 2 Z 9 Z n s J 9 d n e e 3 Y w r M 9 M B / f 3 9 + / v 7 t 4 f 7 9 x S o Z n 3 P r 1 3 / / 7 e g / 3 x 3 i a P z m N x 8 9 7 2 w 9 2 d 3 f s P x 3 s 6 l J t U m 7 4 3 z L o e m 9 / Y 1 u P y G 9 t 6 H H 5 j W 1 9 x 3 d w 4 w k y 3 o o q v w c y L t 3 o v M u 2 3 e i 8 y 7 b f V a O / V T 3 + 6 b 6 3 Z b q b 2 + 8 y 5 r 9 Z u b O z r t J s b 9 y d 9 Q + P + R G 9 o 3 J / d D Q N 0 b T + N 6 7 F b L m v e u 3 e z D r M 9 h D p M w 6 p b d z C s w 0 w H 1 P r T / Q d 7 + w / H D + 7 f T o u 9 5 5 s e Y 5 s 3 b + m Z 3 a a 5 x 8 6 m + f 7 u 7 o P 7 n x J y 4 / 1 N + t X j 7 f d 8 0 2 P 0 2 6 D o K z h t f z s F d y v g E Z 6 5 r W d 2 q / a R i b + t H r t V + / e c b 1 9 / 3 U z M y B z f 1 j O 7 T X t f i 9 2 q / X t O r q / L b t X + f S f X N X 8 Q a r S v s f J 5 b / 9 m r W Z 7 C b X a / n t 2 M K z V T A f 7 n x 7 s 7 j w Y g 7 s G R + 9 x 9 v u 8 5 j G 4 e e 2 W + u w 2 z T 3 2 N s 1 3 9 3 f 2 P r 0 / f n B L Z f Y + r 3 n 8 f h v k f E 2 m 7 W + n y W 4 F P M I n t 9 V k t 2 o f m e / b a r J b t X / P m f Y 1 2 c 3 E j E y w A 7 5 Z k 9 2 m v a / J b t X + P S f X 1 2 S 3 a v + + k + u a H 3 Q 0 2 X s u j d 6 7 f 7 M a s 1 2 E a k y 9 o F t 3 M K z G T A d 7 O w f 3 d v b 2 N 2 b + P b Z + n 9 c 8 7 j a v 3 V K N 3 a a 5 x 9 u m + a e 7 W A A Z Q w w H X / O 4 / H 1 e 8 5 j 9 N s j 5 a k z b 3 0 6 N 3 Q p 4 h E 8 2 t o 9 M + 8 b 2 k f n e 2 P 4 9 J 9 p X Y 7 d q 3 5 / q 2 6 m x W w F / z 5 n 1 1 d i t 2 r / n 5 P p q 7 F b t 3 3 d y X f O H v h q 7 / / 5 L p v d 3 b t Z j t o 9 A j 9 1 X D G / d w b A e M x 3 Q 4 s e 9 8 f 4 m E f a 4 2 r 5 E 6 6 y 7 + w 9 3 x j s P b q f H z I v 3 P 6 U F 6 g c H 4 0 2 v e V x u + / v 0 4 A E t s 9 4 f m y j 7 J s 1 m X t z b 2 T 3 Y v X f / 4 N P b a T b b 3 8 H + w 3 s H 9 + 7 v j D / d h K k n A u + H q a / m 9 M 3 b q T n T z T b N w P 2 H D + 9 / O v 5 0 Y z 8 R j r r l m z F W u d 2 b E X 6 5 r R Z 8 z 5 4 i n H J b f X g z 1 W N s c b v J j b D F 9 u 1 e 9 Z X k b U b k K 8 n 3 Q 9 J X l 7 f q K c Y P t + r J o f j p T q g 4 3 2 u 1 9 P 7 u j U r T w Q + V 5 u 5 7 d j C o N G 0 H m y j l 2 P 9 W z R 3 3 3 6 q 5 Y / l b N X c c b 5 v v 7 9 z 7 d O / + v d 1 b r 4 6 + 7 5 u O / W + F o q c L T f t b 6 c L b A Y 9 w x 8 b 2 7 z n Z n r K 7 X f v 3 n G 5 P x d 2 u f X / C b 6 X i b g f 8 P W f W 0 2 a 3 a / + e k + v p s N u 1 f 9 / J d c 1 3 Q 8 3 1 n q s K 9 + / d r L t s D 6 H u U s 1 6 6 w 6 G d Z f p Y G / v / h 7 5 N 5 R + 2 i T E H l + / 3 4 s e g 5 s X N 9 H Y 4 + / b N P f Y 2 z S / 9 + n D g w f 7 B / u f b o y p P V Z / v x c 9 n r 8 N g r 4 2 0 / a 3 0 2 a 3 A h 7 h l 9 t q s 1 u 1 j 8 z 6 b b X Z r d q / 5 2 z 7 2 u x m Y k a m + L b a 7 D b t f W 1 2 q / b v O b m + N r t V + / e d X N d 8 L 9 R m X 2 N F 4 f 7 + z R r N 9 h J q t P 3 3 7 G B Y o 5 k O d h 9 + + m B z M t 3 j 6 9 u / 5 D G 3 e e m W m u w 2 z T 3 W t i g d 3 N 8 f G / r c p M V u / 5 L H 5 7 d B z N d g 2 v 5 2 G u x W w C P 8 c V s N d q v 2 k Z m + r Q a 7 V f v 3 n G V f g 9 1 M z M j 0 3 l a D 3 a a 9 r 8 F u 1 f 4 9 J 9 f X Y L d q / 7 6 T 6 5 r f 6 2 i w 9 1 x J u H / z S o L r I l R f t 1 t J c B 0 M q y / T w d 4 e M n C 3 V F + 3 f 8 n j b P P S L d X X b Z p 7 f G 2 a 3 6 y J P P 6 + / U s e k 9 8 G M V 9 9 a f v b q a 9 b A Y / w x 2 3 V 1 6 3 a R 2 b 6 t u r r V u 3 f c 5 Z 9 9 X U z M S P T e 1 v 1 d Z v 2 v v q 6 V f v 3 n F x f f d 2 q / f t O r m u + 7 6 u v h + + / g v B w 5 2 b 9 Z f s I 9 N d D x f D W H Q z r L 9 P B 3 n 3 y p R 7 e 3 3 3 w c H z w 8 H Z a L H z 1 3 o O 9 n f G e K t a b d J l 5 l X T s w z H + G n z J 4 3 V 9 a Z h 3 P T 6 / s a 3 H 5 j e 2 f f g e b X 3 N d X P j C D f d T B J f f 5 m 3 t m / x W m T W b 6 v G 3 g O 5 y C z f V p m 9 R y / v M 9 W + S r u 5 s a f P b m z s K 7 O b G / c n e 0 P j / h x v a N y f 2 Q 0 D d G 3 v h w r s v T L 5 D 3 d v V l 4 W f q i 8 d t + z g 2 H l Z T r Y / / T e 7 v 6 n e / d o T R L L w I N s 4 3 H 0 + 7 7 q s b V 5 9 Z a O m D a / l d q 6 s a 3 H y j e 2 9 T j 5 x r a + 2 r q 5 c Y S H b u t w 3 a p 9 Z I p v q 6 l u 1 f 4 9 J 9 P X U b d q / z 4 z 6 m u n m x u / z 5 z 6 2 u n m x v 0 5 3 d C 4 P 6 E b G v d n c 8 M A X d t P Q + 3 0 n t n 6 h / d u 1 k + 2 h 1 A / 3 X v P D o b 1 k + l g / 9 O D T w / u H x x Q t L e z f z v 9 9 L 6 v e i x t X r 2 l f t L m w 3 P i c f O N b T 1 m v r G t x 8 s 3 t v X 1 0 8 2 N I 1 x 0 W / 1 0 q / a R K b 6 t f r p V + / e c T F 8 / 3 a r 9 + 8 y o r 5 9 u b v w + c + r r p 5 s b 9 + d 0 Q + P + h G 5 o 3 J / N D Q N 0 b R + E + u l r 5 N 8 f 7 t + s o 2 w v o Y 5 S V X D r D o Z 1 l O n g / v 3 d 8 c E t l d O t 3 / E Y 2 b x z S 6 2 k z Y d n w u P h G 9 t 6 L H x j W 4 + D b 2 z r a 6 W b G 0 d 4 5 7 Z a 6 V b t I 5 N 6 W 6 1 0 q / b v O Z m + V r p V + / e Z U V 8 r 3 d z 4 f e b U 1 0 o 3 N + 7 P 6 Y b G / Q n d 0 L g / m x s G 6 N o e d L T S e + b U H 9 6 / W S X Z L k K V d P 8 9 O x h W S a a D v b 2 D B 7 s U 0 u 6 N D / Z u p 5 j e 8 0 2 P o 8 2 b t 1 R P 2 n x 4 S j x m v r G t x 8 s 3 t v V Y + c a 2 v n q 6 u X G E i W 6 r n m 7 V P j L B t 1 V P t 2 r / n p P p q 6 d b t X + f G f X V 0 8 2 N 3 2 d O f f V 0 c + P + n G 5 o 3 J / Q D Y 3 7 s 7 l h g K 7 t Q 0 8 9 3 d 9 J 3 z d n f n 9 n 5 2 b 9 Z P v w 9 R O / + V 4 d D O s n 0 8 H u / f 3 d + / j / e P + W K f P w z X s H 9 8 b 3 P r 2 d f j J v 3 t s b Q 5 I G X / G 4 W l 8 Z n h e P o 2 9 s 6 z H 0 j W 0 9 f r 6 x r a + j b m 4 c 4 a S b C O L r K f P O 9 o 0 v R W b 7 t s r q 1 o h F Z v e 2 C u v W f b z P F P t K 6 + b G 7 z P J v t K 6 u X F / k j c 0 7 s / u h s b 9 W d 0 w Q N v 2 w U 6 o t N 4 n T 3 5 / Z / d G h e X g h w p r 9 z 0 7 G F R Y t o N 7 O w f 3 d n f u P 9 i / l b Z 6 r 9 c c M 9 v X N j G z 4 2 X T f H g m H A / f 3 N a x 8 M 1 t H Q f f 3 N Z T U 7 d o H O G d j Z I d 4 Y W N 7 S N T e 0 v t d L v 2 7 z m Z n m a 6 X f v 3 m V F P K 9 2 i 8 f v M q a e V b t G 4 P 6 c b G v c n d E P j / m x u G K B r u x t q p f f L j 9 / f u T k / 7 n o I 9 d K t 8 u N e B 8 N 6 y X R w 7 9 7 + z s 6 9 X Z B t k G k 8 H n 6 f 1 z x W N q / d U i 9 p c z S 7 U S / d 2 N Z j 4 h v b e j x 8 Y 1 t f L 9 3 c O M I 9 t 9 V L t 2 o f m d r b 6 q V b t X / P y f T 1 0 q 3 a v 8 + M + n r p 5 s b v M 6 e + X r q 5 c X 9 O N z T u T + i G x v 3 Z 3 D B A 1 3 Y v 1 E v v n x e / j 4 W u m 3 S T 7 S X U T f v v 2 c G w b j I d 7 F E S 6 c H t 9 N J t X / H Y 2 L x y S 5 2 k z Y f n w e P g G 9 t 6 D H x j W 4 9 / b 2 z r 6 6 S b G 0 c 4 5 7 Y 6 6 V b t I 1 N 6 W 5 1 0 q / b v O Z m + T r p V + / e Z U V 8 n 3 d z 4 f e b U 1 0 k 3 N + 7 P 6 Y b G / Q n d 0 L g / m x s G 6 N r e 6 + i k 9 8 u K 3 9 + 5 O S v u u g g V 0 q 2 y 4 l 4 H w w r J d L C 3 c 0 t 1 d L s X P P 4 1 L 9 x S G W n z 4 Q n w W P f G t h 7 n 3 t j W Y 9 w b 2 / r K 6 O b G E Z a 5 r T K 6 V f v I d N 5 W G d 2 q / X t O p q + M b t X + f W b U V 0 Y 3 N 3 6 f O f W V 0 c 2 N + 3 O 6 o X F / Q j c 0 7 s / m h g G 6 t v u + M t p 9 / x w 4 W P o m b W T 7 C L T R r k 7 u r T s Y 1 k a m g 9 2 d 3 X v 3 d j 6 9 P z a u V 3 T 0 H h + / 3 4 s e Q 5 s X b 6 m d t P n w j H i 8 f G N b j 5 V v b O t x 8 o 1 t f e 1 0 c + M I D 9 1 W O 9 2 q f W R 6 b 6 u d b t X + P S f T 1 0 6 3 a v 8 + M + p r p 5 s b v 8 + c + t r p 5 s b 9 O d 3 Q u D + h G x r 3 Z 3 P D A F 3 b + 6 F 2 e q 9 k N z j 0 J s 1 k 4 Y e a a f c 9 O x j W T K a D v Z 2 9 T 2 l 1 7 m B 8 8 O n t N N P 7 v e g x s 3 n x l p p J m w / P h s f H N 7 b 1 2 P j G t h 4 X 3 9 j W 1 0 w 3 N 4 7 w z 2 0 1 0 6 3 a R 6 b 3 t p r p V u 3 f c z J 9 z X S r 9 u 8 z o 7 5 m u r n x + 8 y p r 5 l u b t y f 0 w 2 N + x O 6 o X F / N j c M 0 L X 9 N N R M 7 5 n w B g / d p J t s D 6 F u u v e e H Q z r J t P B 3 o O d + w 9 3 9 z 8 d f 7 p 3 O 9 3 0 f i 9 6 7 G x e v K V u 0 u b D 8 + F x 8 o 1 t P U a + s a 3 H x z e 2 9 X X T z Y 0 j H H R b 3 X S r 9 p H p v a 1 u u l X 7 9 5 x M X z f d q v 3 7 z K i v m 2 5 u / D 5 z 6 u u m m x v 3 5 3 R D 4 / 6 E b m j c n 8 0 N A 3 R t H 4 S 6 6 W s k v c E X N + k n 2 0 u o n / b f s 4 N h / W Q 6 2 D 3 4 d H x f w U a H 7 j H x r d / x G N m 8 c 0 u t p M 2 H Z 8 L j 4 R v b e i x 8 Y 1 u P g 2 9 s 6 2 u l m x t H e O e 2 W u l W 7 S O T e l u t d K v 2 7 z m Z v l a 6 V f v 3 m V F f K 9 3 c + H 3 m 1 N d K N z f u z + m G x v 0 J 3 d C 4 P 5 s b B u j a H n S 0 0 n u m v T H J N 6 k k 2 0 W o k u 6 / Z w f D K s l 0 c P / e 3 n j / 0 9 u p p F u / 4 3 G x e S f G l a a 5 x 8 T a / F Y q 6 c a 2 H v / e 2 N Z j 3 x v b + i r p 5 s Y R x r m t S r p V + 8 i k 3 l Y l 3 a r 9 e 0 6 m r 5 J u 1 f 5 9 Z t R X S T c 3 f p 8 5 9 V X S z Y 3 7 c 3 o 7 l X R z 4 / 5 s 3 k o l P f R V 0 t 7 7 J 7 8 x / J t 0 k u 0 j 0 E l 4 8 7 0 6 G N Z J p o P 7 9 x 7 u P t z b 3 R n v H d x O M Q U v 7 t z f H 2 t o e Z N y M u / t 3 r 8 / f r i p L 4 + n 9 Z 3 h W f H 4 + c a 2 H j v f 2 N b j 5 h v b + h r q 5 s Y R P r q R I r 6 a M i 9 t 3 / x W Z L Z v q 6 x u j 1 p k h m + r s W 7 f y f t M s 6 + 2 b m 7 8 P h P t q 6 2 b G / c n e k P j / g R v a N y f 1 w 0 D t G 0 P d k K 1 9 V 5 Z c Y z m B p X l 4 I c q a / c 9 O x h U W b a D 3 Z 0 H B / c e H D w 4 G N 8 u 8 / S e L z q O t i 9 u 4 m j H 0 K b 5 8 G w 4 P r 6 5 r W P j m 9 s 6 L r 6 5 r a e u b t E 4 w j 8 b x T v C D x v b R 6 b 3 l j r q d u 3 f c z I 9 9 X S 7 9 u 8 z o 5 5 m u k X j 9 5 l T T z P d o n F / T j c 0 7 k / o h s b 9 2 d w w Q N d 2 N 9 R M 7 5 k V R 6 8 3 6 S b b Q 6 i b b p c V d x 0 M 6 y b T w S 7 p m J 2 D n f t 7 4 0 9 v p 5 v e 7 0 W P n c 2 L t 9 R N 2 n x 4 P j x O v r G t x 8 g 3 t v X 4 + M a 2 v m 6 6 u X G E g 2 6 r m 2 7 V P j K 9 t 9 V N t 2 r / n p P p 6 6 Z b t X + f G f V 1 0 8 2 N 3 2 d O f d 1 0 c + P + n G 5 o 3 J / Q D Y 3 7 s 7 l h g K 7 t X q i b 3 j f / t H d z / s l 1 E S q n 2 + W f X A f D y s l 0 c H 9 / b 3 z v l n r p 1 u 9 4 X G z e u a V K 0 u b D 0 + A x 8 I 1 t P f 6 9 s a 3 H v j e 2 9 V X S z Y 0 j j H N b l X S r 9 p F J v a 1 K u l X 7 9 5 x M X y X d q v 3 7 z K i v k m 5 u / D 5 z 6 q u k m x v 3 5 3 R D 4 / 6 E b m j c n 8 0 N A 3 R t 7 / k q 6 d 7 7 5 5 / u 7 d y s k 2 w f g U 6 6 p 5 N 7 6 w 6 G d Z L p 4 O D + w w c 7 D + 7 f 1 l 1 6 n 9 c 8 Z j a v 3 V I z a f P h 2 f D 4 + M a 2 H h v f 2 N b j 4 h v b + p r p 5 s Y R / r m t Z r p V + 8 j U 3 l Y z 3 a r 9 e 0 6 m r 5 l u 1 f 5 9 Z t T X T D c 3 f p 8 5 9 T X T z Y 3 7 c 7 q h c X 9 C N z T u z + a G A b q 2 + 6 F m e q 8 U 0 7 3 d m 7 W S h R 9 q p d 3 3 7 G B Y K 5 k O d h / s P t y n g O x 2 S u k 9 3 v L Y 2 L x 1 S 5 2 k z Y f n w e P g G 9 t 6 D H x j W 4 9 / b 2 z r 6 6 S b G 0 c 4 5 7 Y 6 6 V b t I x N 7 W 5 1 0 q / b v O Z m + T r p V + / e Z U V 8 n 3 d z 4 f e b U 1 0 k 3 N + 7 P 6 Y b G / Q n d 0 L g / m x s G 6 N r e D 3 X S e y a X 7 t 2 7 W S v Z H k K t d O 8 9 O x j W S q a D v f s P H l K e S A P D 6 M A 9 F g 7 f 2 v i W x 8 j m r V t q J W 0 + P B M e D 9 / Y 1 m P h G 9 t 6 H H x j W 1 8 r 3 d w 4 w j u 3 1 U q 3 a h + Z 2 N t q p V u 1 f 8 / J 9 L X S r d q / z 4 z 6 W u n m x u 8 z p 7 5 W u r l x f 0 4 3 N O 5 P 6 I b G / d n c M E D X 9 t N Q K 5 3 9 5 H H 6 + 6 Q n X 3 5 x 9 v r s y x e 3 U x z 7 N 2 s m 2 0 u o m f b f s 4 N h z W Q 6 O N i 9 7 V r c L d / w m N i 8 c U u N p M 2 H Z 8 H j 3 x v b e u x 7 Y 1 u P e 2 9 s 6 2 u k m x t H + O a 2 G u l W 7 S M T e l u N d K v 2 7 z m Z v k a 6 V f v 3 m V F f I 9 3 c + H 3 m 1 N d I N z f u z + m G x v 0 J 3 d C 4 P 5 s b B u j a P u h o p P d M d N + 7 f 7 M 6 s l 2 E 6 k g 9 k 1 t 3 M K y O T A e 3 V 0 e 3 f M P j Y P P G L d W R N h + e A o 9 5 b 2 z r 8 e 6 N b T 3 W v b G t r 4 5 u b h x h m t u q o 1 u 1 j 0 z o b d X R r d q / 5 2 T 6 6 u h W 7 d 9 n R n 1 1 d H P j 9 5 l T X x 3 d 3 L g / p x s a 9 y d 0 Q + P + b G 4 Y o G t 7 4 K u j / f d P c u / v 3 K y P b B + B P t r X y b 1 1 B 8 P 6 y H R w f 3 d / 5 9 7 B v Z 3 x w e 2 0 k n l v / + H e v Q f 3 P 9 0 d P 3 h w O + V k X t z b / f T T v U 8 f j n c 0 C I 2 + 5 / G 1 v j c 8 M x 5 P 3 9 j W Y + k b 2 3 o c f W N b X 0 v d 3 D j C S 7 e i i q + u z I v b t 3 s z M v O 3 V V z v h 2 J k x m + r w d 6 v o / e Z d l + V 3 d z 4 f S b e V 2 U 3 N + 5 P / I b G / c n e 0 L g / v x s G 6 N o + D F X Z e 2 X F 9 2 + R F b f w Q z V 2 u 6 y 4 6 2 B Y j Z k O d n f 2 D n Y e 7 O 7 s j v d v 6 V 6 9 5 5 s e X 5 s 3 N / G 1 x 9 b a f H g + P E 6 + s a 3 H y D e 2 9 f j 4 x r a + A r u 5 c Y S D N g p 5 h C M 2 t o 9 M 8 G 2 1 1 a 3 a v + d k + k r q V u 3 f Z 0 Z 9 3 X R z 4 / e Z U 1 8 3 3 d y 4 P 6 c b G v c n d E P j / m x u G K B t + 3 A n 1 E 3 v m R 3 f v z k 7 7 n o I t d P t s u O u g 0 H t Z D t 4 e L D / 4 P 7 u 7 s P x w e 2 U 0 3 u + 6 N j Z v n g 7 3 W S a D 8 + H 4 + S b 2 z p G v r m t 4 + O b 2 3 q 6 6 R a N I x x 0 S 9 1 0 u / a R 6 b 2 l b r p d + / e c T E 8 3 3 a 7 9 + 8 y o p 5 t u 0 f h 9 5 t T T T b d o 3 J / T D Y 3 7 E 7 q h c X 8 2 N w z Q t d 0 N d d P X y J H v 7 9 + s n 2 w v o X 7 a f 8 8 O h v W T 6 e D e + M E t F d M t 3 / C Y 2 L x x S 4 2 k z Y d n w e P f G 9 t 6 7 H t j W 4 9 7 b 2 z r a 6 S b G 0 f 4 5 r Y a 6 V b t I x N 6 W 4 1 0 q / b v O Z m + R r p V + / e Z U V 8 j 3 d z 4 f e b U 1 0 g 3 N + 7 P 6 Y b G / Q n d 0 L g / m x s G 6 N r u d T T S e + b I 9 2 / O k b s u Q n V 0 u x y 5 6 6 C n j n o d 3 P 9 0 Z 4 y J H m Q Z j 4 N v / Y 7 H x e a d W 6 o k b T 4 8 D R 4 D 3 9 j W 4 9 8 b 2 3 r s e 2 N b X y X d 3 D j C O L d V S b d q 7 z H x r d p H J v S 2 K u l W 7 f u z e W u V d D M x 3 2 d K f Z V 0 Y 2 N f J d 3 c u D + n G x r 3 J 3 R D 4 / 5 s b h i g a 3 v P V 0 n 3 3 z 9 P f n / n Z p 1 k + w h 0 0 n 2 d 3 F t 3 M K y T T A c P 9 n d 2 d z 4 d 3 7 + l W n q f 1 z x m N q / d U j N p 8 + H Z 8 P j 4 x r Y e G 9 / Y 1 u P i G 9 v 6 m u n m x h H + u a 1 m u l X 7 y N T e V j P d q v 1 7 T q a v m W 7 V / n 1 m 1 N d M N z d + n z n 1 N d P N j f t z u q F x f 0 I 3 N O 7 P 5 o Y B u r b 7 o W Z 6 r 7 T 3 / d 2 b t Z K F H 2 q l 3 f f s Y F g r m Q 5 2 9 w 9 2 y E 8 c 7 + z d T i 2 9 1 3 s e K 5 v 3 b q m X t P n w X H h c f G N b j 4 l v b O v x 8 I 1 t f b 1 0 c + M I 9 9 x W L 9 2 q f W R y b 6 u X b t X + P S f T 1 0 u 3 a v 8 + M + r r p Z s b v 8 + c + n r p 5 s b 9 O d 3 Q u D + h G x r 3 Z 3 P D A F 3 b + 6 F e e s + U 9 / 1 7 N 2 s m 2 0 O o m e 6 9 Z w f D m s l 0 s L e z / + n O z r 3 x v f 3 b a a b 3 e s 9 j Z v P e L T W T N h + e D Y + P b 2 z r s f G N b T 0 u v r G t r 5 l u b h z h n 9 t q p l u 1 j 0 z u b T X T r d q / 5 2 T 6 m u l W 7 d 9 n R n 3 N d H P j 9 5 l T X z P d 3 L g / p x s a 9 y d 0 Q + P + b G 4 Y o G v 7 a a i Z 3 j e 9 d N 9 m f 4 Z V k + 0 i V E 3 3 3 7 O D Y d V k O t j b G 4 N J B z n G Y + D b v u L x s H n l l g p J m w 9 P g s e + N 7 b 1 u P f G t h 7 z 3 t j W V 0 g 3 N 4 6 w z W 0 V 0 q 3 a R 6 b 0 t g r p V u 3 f c z J 9 h X S r 9 u 8 z o 7 5 C u r n x + 8 y p r 5 B u b t y f 0 w 2 N + x O 6 o X F / N j c M 0 L V 9 4 C u k T 9 8 / u f T p z s 0 a y f Y R a K R P d X J v 3 c G w R j I d 3 N u 5 f 3 B / Z + f h z n j v w e 0 U U + T N T 2 + n n 8 y b O + M d j U e j b 3 h M r W 8 M T 4 v H 0 D e 2 9 f j 5 x r Y e O 9 / Y 1 l d R N z e O M N I N 9 P C 1 l H l l + 6 Z 3 I l N 9 W 0 1 1 W 7 R i M 3 t L Z X X b L t 5 n e n 1 9 d X P j 9 5 l g X 1 / d 3 L g / w R s a 9 6 d 2 Q + P + n G 4 Y o G t 7 E O q r 9 0 o 5 f X q L l J O F H + q q 2 6 W c X A f D u s p 0 8 O n u 7 q c P D 3 b 2 7 m / W O B 4 r v + e b H k e b N 2 / p S 2 n z 4 f n w O P n G t h 4 j 3 9 j W 4 + M b 2 / q K 6 u b G E Q 6 6 r S 9 1 q / a R C b 6 t h r p V + / e c T F 8 9 3 a r 9 + 8 y o r 5 t u b v w + c + r r p p s b 9 + d 0 Q + P + h G 5 o 3 J / N D Q N 0 b R + G u u k 9 0 0 6 f 3 i L t Z H s I t Z O k n W 7 f w b B 2 M h 2 w j n n 4 Y O d g v L N / O + 3 0 n m 9 6 D G 3 e v K V 2 0 u b D M + L x 8 o 1 t P V a + s a 3 H y T e 2 9 b X T z Y 0 j P H R b 7 X S r 9 p E J v q 1 2 u l X 7 9 5 x M X z v d q v 3 7 z K i v n W 5 u / D 5 z 6 m u n m x v 3 5 3 R D 4 / 6 E b m j c n 8 0 N A z R t 9 3 Z 2 Q u 1 0 9 p P H 6 e + T n n z 5 x d n r s y 9 f 3 E 6 B 7 N + k o b x e Q g 2 l q u D W H Q x p K N f B / o O 9 8 f 7 B b X T T e 7 x j G d m 9 c y u t Z J s P z 4 T l 4 V u 0 t S x 8 i 7 a W g 2 / R 1 m m l 2 z S O 8 M 7 t t N I t 2 0 c m 9 X Z a 6 Z b t 3 3 M y n V a 6 Z f v 3 m V G n l W 7 T + H 3 m 1 G m l 2 z T u z + m G x v 0 J 3 d C 4 P 5 s b B u j a 7 n a 0 0 n s m x D + 9 M S H u d R G q p N s l x F 0 H w y r J d E A v U E y 2 S b 9 4 L H z 7 l z w + N i / d U i l p 8 + G J 8 F j 4 x r Y e B 9 / Y 1 m P g G 9 v 6 S u n m x h H W u a 1 S u l X 7 y L T e V i n d q v 1 7 T q a v l G 7 V / n 1 m 1 F d K N z d + n z n 1 l d L N j f t z u q F x f 0 I 3 N O 7 P 5 o Y B u r Z 7 v l J 6 8 P 5 J 8 Q c 7 N 2 s l 2 0 e g l R 7 o 5 N 6 6 g 2 G t Z D r Y 2 9 v f 3 b 1 / b / z p p 7 d T T O F 7 e 2 M Q c f A 9 j 5 3 N e 7 v j / U 1 v e A y t b w x P i c f M N 7 b 1 e P n G t h 4 r 3 9 j W V 0 8 3 N 4 4 w 0 Q 3 0 8 D W U e W X 7 p n c i 0 3 x b L X V b t C I z e 1 t F d d s u 3 m d 6 f V 1 1 c + P 3 m W B f V 9 3 c u D / B G x r 3 p 3 Z D 4 / 6 c b h i g a 3 s v 1 F X v l R B / s H u z n r L w Q z 2 1 + 5 4 d D O s p 0 8 H + w 3 s 7 9 P / x w d 7 t 9 N R 7 v e d x s 3 n v l j 6 U N h + e C 4 + L b 2 z r M f G N b T 0 e v r G t r 6 R u b h z h n t v 6 U L d q H 5 n c 2 2 q n W 7 V / z 8 n 0 V d O t 2 r / P j P p 6 6 e b G 7 z O n v l 6 6 u X F / T j c 0 7 k / o h s b 9 2 d w w Q N d 2 P 9 R L 7 5 k M f 3 D v Z s 1 k e w g 1 k 5 q c W 3 c w r J l M B / f 3 d g 7 u H T w c 3 9 8 U p X l M / F 7 v e c x s 3 r u l Z t L m w 7 P h 8 f G N b T 0 2 v r G t x 8 U 3 t v U 1 0 8 2 N I / x z W 8 1 0 q / a R y b 2 t Z r p V + / e c T F 8 z 3 a r 9 + 8 y o r 5 l u b v w + c + p r p p s b 9 + d 0 Q + P + h G 5 o 3 J / N D Q N 0 b e + H m u l r J M I f 7 N + s n W w v o X b a f 8 8 O h r W T 6 e D B r d P g t 3 z D Y 2 L z x i 0 1 k j Y f n g W P f 2 9 s 6 7 H v j W 0 9 7 r 2 x r a + R b m 4 c 4 Z v b a q R b t Y 9 M 6 G 0 1 0 q 3 a v + d k + h r p V u 3 f Z 0 Z 9 j X R z 4 / e Z U 1 8 j 3 d y 4 P 6 c b G v c n d E P j / m x u G K B r + 2 l H I 7 1 n E v z B f d Y W G 9 W R 7 S J U R / f f s 4 N h d W Q 6 u P f p r f X R b V / x e N i 8 c k u F p M 2 H J 8 F j 3 x v b e t x 7 Y 1 u P e W 9 s 6 y u k m x t H 2 O a 2 C u l W 7 S N T e l u F d K v 2 7 z m Z v k K 6 V f v 3 m V F f I d 3 c + H 3 m 1 F d I N z f u z + m G x v 0 J 3 d C 4 P 5 s b B u j a P v A V 0 s H 7 J 8 A P d m 7 W S L a P Q C M d 6 O T e u o N h j W Q 6 e P B g 5 9 O H D x 4 e j O 8 / v J 1 e s i 9 + u v / p P f r f G E I 3 + K L H 0 O b F T 3 c + v X f v / m a l 5 v G 1 v j Y 8 M x 5 P 3 9 j W Y + k b 2 3 o c f W N b X 0 v d 3 D j C S 7 c h i q + t z H v b t 3 o x M u + 3 V V v v h W B k t m + r v t 6 r n / e Z c l + N 3 d z 4 f S b d V 2 M 3 N + 5 P + o b G / Z n e 0 L g / u x s G 6 N o e h G r s v X L j B 7 f I j V v 4 o Q q 7 X W 7 c d T C s w k w H + 6 T B 7 n 3 6 K a 3 i 7 a j H F h 2 6 x 9 T v + a b H 1 u b N W 7 p Y 2 n x 4 P j x O v r G t x 8 g 3 t v X 4 + M a 2 v v K 6 u X G E g z b K e I Q j N r a P T P B t d d W t 2 r / n Z P o 6 6 l b t 3 2 d G f d 1 0 c + P 3 m V N f N 9 3 c u D + n G x r 3 J 3 R D 4 / 5 s b h i g a / s w 1 E 3 v m R 8 / u E V + 3 P Y Q a q f b 5 c d d B 8 P a y X S w e 3 / v 4 O H O z v 3 9 8 S 2 V 0 / u 9 6 L G z e f G W u k m b D 8 + H x 8 k 3 t v U Y + c a 2 H h / f 2 N b X T T c 3 j n D Q b X X T r d p H p v e 2 u u l W 7 d 9 z M n 3 d d K v 2 7 z O j v m 6 6 u f H 7 z K m v m 2 5 u 3 J / T D Y 3 7 E 7 q h c X 8 2 N w z Q t g V H + r r p a 2 T I D / Z v 1 E + u l 1 A / 7 b 9 n B 4 P 6 y X b w 4 N 6 D / X v j f Q U c H b x j 4 / d 5 y z G z f e t 2 m s k 0 H 5 4 N x 8 c 3 t 3 V s f H N b x 8 U 3 t / U 0 0 y 0 a R / j n l p r p d u 0 j E 3 t L z X S 7 9 u 8 5 m Z 5 m u l 3 7 9 5 l R T z P d o v H 7 z K m n m W 7 R u D + n G x r 3 J 3 R D 4 / 5 s b h i g a 7 v b 0 U z v m S k / u D l T 7 r o I 1 d L t M u W u g 2 G 1 Z D r Y 3 3 l I 4 e z e 7 q 0 1 0 / u 9 6 P G z e f G W y k m b D 0 + I x 8 o 3 t v U 4 + c a 2 H i P f 2 N Z X T j c 3 j r D Q b Z X T r d p H p v e 2 y u l W 7 d 9 z M n 3 l d K v 2 7 z O j v n K 6 u f H 7 z K m v n G 5 u 3 J / T D Y 3 7 E 7 q h c X 8 2 N w z Q t d 3 z l d P D 9 8 + a P 9 y 5 W T v Z P g L t 9 F A n 9 9 Y d D G s n 0 8 H 9 T / f u 7 + 7 s j M H a g 3 z j s b F 9 b 4 d e p P c e H N x O N / n 9 P X w 4 v r c p E v S 4 W l 8 b n h e P o 2 9 s 6 z H 0 j W 0 9 f r 6 x r a + j b m 4 c 4 a T b E M X X V e a 9 7 V u 9 G J n 1 2 y q t 9 0 I w M t u 3 V V 7 v 1 c / 7 T L m v x G 5 u / D 6 T 7 i u x m x v 3 J 3 1 D 4 / 5 M + 4 2 H l d i N j T 0 s 7 o V K 7 L 1 y 5 g 9 3 b 1 Z g F n 6 o w H b f s 4 N h B W Y 6 o F d I D + 1 s 4 j S P o d / j L Y + d z V u 3 d K y 0 + a 2 U 1 o 1 t P Q a + s a 3 H v z e 2 9 Z X W z Y 0 j n H N b x + p W 7 S M T e 1 s d d a v 2 7 z m Z v m 6 6 V f v 3 m V F f J 9 3 c + H 3 m 1 N d J N z f u z + n t d N L N j f u z u W G A r u 1 + q J N M r v z k 2 6 c / 8 d X p 7 R T H 3 s 2 a y f Y S a q a 9 9 + x g W D O Z D m 6 p k k z z + + x Q 3 U 4 h m X e 2 b 3 z J Y 2 R 9 a X g q P C a + s a 3 H w z e 2 9 V j 4 x r a + W r q 5 c Y R 5 b i a J r 5 x u T X x f Q 9 3 + p c g 0 3 1 Z N 3 b 6 T / h T f W l f d T O H 3 m W d f V 9 3 Y 2 N d V N z f u T / S G x v 3 5 3 d C 4 P 6 8 b B u j a 3 o / r q l u u 6 z 2 8 d 7 O e s j 2 E e u r e e 3 Y w r K d M B 7 s 7 4 g x t j u U 8 V n 6 / F z 2 e N i / e U m F p 8 + H 5 8 D j 5 x r Y e I 9 / Y 1 u P j G 9 v 6 C u v m x h E O u q 2 q u l X 7 y P T e V k H d q v 1 7 T q a v m 2 7 V / n 1 m 1 N d N N z d + n z n 1 d d P N j f t z u q F x f 0 I 3 N O 7 P 5 o Y B u r a f h r r p a 6 z r P d y / W T / Z X k L 9 t P + e H Q z r J 9 P B / n j v l o r p l m 9 4 T G z e u K V G 0 u b D s + D x 7 4 1 t P f a 9 s a 3 H v T e 2 9 T X S z Y 0 j f H N b j X S r 9 p E J v a 1 G u l X 7 9 5 x M X y P d q v 3 7 z K i v k W 5 u / D 5 z 6 m u k m x v 3 5 3 R D 4 / 6 E b m j c n 8 0 N A 3 R t H 3 Q 0 0 n u u 5 z 2 8 f 7 M 6 s l 2 E 6 u j + e 3 Y w r I 5 M B 7 s P P x 0 / + P R 2 C u n W 7 3 h c b N 6 5 p U r S 5 s P T 4 D H w j W 0 9 / r 2 x r c e + N 7 b 1 V d L N j S O M c 1 u V d K v 2 k U m 9 r U q 6 V f v 3 n E x f J d 2 q / f v M q K + S b m 7 8 P n P q q 6 S b G / f n d E P j / o R u a N y f z Q 0 D d G 0 P P J X 0 6 c 5 7 r + J 9 i p j 8 J p 1 k + / B 1 0 q c m m r 9 1 B 8 M 6 y X R w Q F H Y v X v 3 x / c 1 O o w O 3 m N j 8 9 7 e z q f 3 9 3 f u j T H x g + 9 5 7 G z e o / h y / + G 9 v f G 9 / d s p K X 1 v e G I 8 l r 6 x r c f R N 7 b 1 G P r G t r 6 S u r l x h J V u R R V f W 5 k X t 2 / 3 Z m T i b 6 u 3 3 g / F y I z f V o G 9 X 0 f v M + 2 + J r u 5 8 f t M v K / J b m 7 c n / g N j f u T v a F x f 3 4 3 D N C 1 f R h q s v d Z y v t 0 Z / d m L W b h h 1 p s 9 z 0 7 G N Z i p g P o v J 2 d T w / G B 5 v U k c f V 7 / e i x 9 X m x U 1 c 7 T G 1 N h + e D Y + P b 2 z r s f G N b T 0 u v r G t r 7 5 u b h z h n 4 0 i H u G H j e 0 j 0 3 t b X X W r 9 u 8 5 m b 6 K u l X 7 9 5 l R X z P d 3 P h 9 5 t T X T K b x c O P + n N 5 O M 9 3 c u D + b t 9 F M w N 7 X T O + / o P f p z s 0 L e q 6 X U D / d a k H P 6 2 B Q P 9 k O N j G M 4 1 / b / O D T B w c 7 e 7 f 1 r e x r 2 7 d 5 z 7 G z e e 8 2 y u n m t o 6 T b 2 7 r G P n m t p 5 y u k X j C A v d i i q e l n q v W f C 0 1 f u 9 F 5 n 1 W 2 q t 9 + u n P 9 2 3 1 V 6 3 o P b 7 z L m n v W 5 u 7 G m v W z T u T / q G x v 2 J 3 t C 4 P 7 s b B u j a 7 s a 1 1 + 2 W + D 7 d u X m J z / U Q a q 5 b L f F 5 H Q x r L t P B / u 6 9 n Q f 3 H o z 3 N 3 G Z x 8 z v 9 Z 7 H 1 O a 9 T c z p 8 b I 2 H 5 4 N j 4 9 v b O u x 8 Y 1 t P S 6 + s a 2 v u m 5 u H O G f j Z I a 4 Y a N 7 S O T u 7 F 9 Z F J v q 6 F u 1 b 4 / m 7 f W T D c T 8 3 2 m 1 N d M N z b 2 N d P N j f t z u q F x f 0 I 3 N O 7 P 5 o Y B u r Z 7 o W Z 6 z 3 T 6 p z s 3 p 9 N d F 6 F q u l U 6 3 e t g W D W Z D u 7 f u 3 f b 9 b 3 b v + N x s X n n l i p J m w 9 P g 8 f A N 7 b 1 + P f G t h 7 7 3 t j W V 0 k 3 N 4 4 w z m 1 V 0 q 3 a R y b 1 t i r p V u 3 f c z J 9 l X S r 9 u 8 z o 7 5 K u r n x + 8 y p r 5 J u b t y f 0 w 2 N + x O 6 o X F / N j c M 0 L W 9 5 6 u k v f d P p 2 P 4 N + k k 2 0 e g k / Z 0 c m / d w b B O M h 3 c P 9 j f 2 d 3 Z G e O D Q b 7 x 2 P i 9 3 v P Y 2 b x 3 S 9 2 k z Y f n w + P k G 9 t 6 j H x j W 4 + P b 2 z r 6 6 a b G 0 c 4 6 L a 6 6 V b t I 5 N 7 W 9 1 0 q / b v O Z m + b r p V + / e Z U V 8 3 3 d z 4 f e b U 1 0 0 3 N + 7 P 6 Y b G / Q n d 0 L g / m x s G 6 N r u h 7 r p v R L k G M 1 N e s n C D / X S 7 n t 2 M K y X T A e 7 u 5 / S S t + 9 + 2 O T 3 I q O 3 O P h 9 3 v R Y 2 b z 4 i 0 1 k z Y f n g 2 P j 2 9 s 6 7 H x j W 0 9 L r 6 x r a + Z b m 4 c 4 Z / b a q Z b t Y 9 M 7 2 0 1 0 6 3 a v + d k + p r p V u 3 f Z 0 Z 9 z X R z 4 / e Z U 1 8 z 3 d y 4 P 6 c b G v c n d E P j / m x u G K B r e z / U T O + Z Y k K v N + k m 2 0 O o m 9 R B u X U H w 7 r J d I B U O j k / n 4 7 v H d x O N 7 3 f i x 4 7 m x d v q Z u 0 + f B 8 e J x 8 Y 1 u P k W 9 s 6 / H x j W 1 9 3 X R z 4 w g H 3 V Y 3 3 a p 9 Z H p v q 5 t u 1 f 4 9 J 9 P X T b d q / z 4 z 6 u u m m x u / z 5 z 6 u u n m x v 0 5 3 d C 4 P 6 E b G v d n c 8 M A X d t P Q 9 1 0 9 p P H 6 e + T n n z 5 x d n r s y 9 f 3 E 5 9 7 N + s n 2 w v o X 7 a f 8 8 O h v W T 6 W B 3 7 9 P x / V u 6 T b d + x 2 N k 8 8 4 t t Z I 2 H 5 4 J j 4 d v b O u x 8 I 1 t P Q 6 + s a 2 v l W 5 u H O G d 2 2 q l W 7 W P T O p t t d K t 2 r / n Z P p a 6 V b t 3 2 d G f a 3 U a b x Z K 9 3 Y 2 N d K N z f u z + n t t N L N j f u z e S u t 9 M D X S v f f O / U N D X i T S r J d h C r p / n t 2 M K y S T A f 3 7 o 8 / v a W z d N t X P B 4 2 r 9 x S I W n z W y m k G 9 t 6 3 H t j W 4 9 5 b 2 z r K 6 S b G 0 f Y 5 r Y K 6 V b t I 1 N 6 W 4 V 0 q / b v O Z m + Q r p V + / e Z U V 8 h 3 d z 4 f e b U V 0 g 3 N + 7 P 6 Y b G / Q n d 0 L g / m x s G 6 N o e + A r p 3 v s n v u / t 3 K y R b B + B R r q n k 3 v r D o Y 1 k u n g / j 5 F Y 7 v j n V t q J e + 1 + w / 3 x / s P b q e Z z G u f j j / V H F n 0 D Y + d 9 Y 3 h C f F Y + c a 2 H i f f 2 N Z j 5 B v b + s r p 5 s Y R F r q B H r 5 + M q 9 s 3 / R O Z J J v q 6 N u i 1 Z k Z m + r p m 7 b x f t M r 6 + p b m 7 8 P h P s a 6 q b G / c n e E P j / t R u a N y f 0 w 0 D d G 0 f h p r q v d L g 9 2 y W e l h L W f i h l t K J v X U H w 1 r K d L C 7 c 3 B v 9 8 H 9 8 Y N b h n P v 9 Z 7 H z e a 9 T d z s M b M 2 H 5 4 L j 4 t v b O s x 8 Y 1 t P R 6 + s a 2 v p G 5 u H O G e j a I d 4 Y a N 7 S O T e 1 v t d K v 2 7 z m Z v m q 6 V f v 3 m V F f L 9 3 c + H 3 m 1 N d L N z f u z + m G x v 0 J 3 d C 4 P 5 s b B m j b w j / x 9 d J 7 J s H v 3 Z w E d z 2 E m u l 2 S X D X w a B m s h 3 c S s M 4 J n 6 / 9 x w z 2 / d u p 5 l M 8 + H Z c H x 8 c 1 v H x j e 3 d V x 8 c 1 t P M 9 2 i c Y R / b q m Z b t c + M r m 3 1 E y 3 a / + e k + l p p t u 1 f 5 8 Z 9 T T T L R q / z 5 x 6 m u k W j f t z u q F x f 0 I 3 N O 7 P 5 o Y B u r a 7 o W b 6 G i n w e / s 3 a y f b S 6 i d 9 t + z g 2 H t Z D r Y 2 x 8 b q N G R e z x 8 2 1 c 8 N j a v 3 F I n a f P h e f A 4 + M a 2 H g P f 2 N b j 3 x v b + j r p 5 s Y R z r m t T r p V + 8 i U 3 l Y n 3 a r 9 e 0 6 m r 5 N u 1 f 5 9 Z t T X S T c 3 f p 8 5 9 X X S z Y 3 7 c 7 q h c X 9 C N z T u z + a G A b q 2 e x 2 d 9 J 4 J 8 H s 3 J 8 B d F 6 F C u l 0 C 3 H U w r J B M B 7 v 3 x q D Z I M d 4 D H z b V z w e N q / c U i F p 8 + F J 8 N j 3 x r Y e 9 9 7 Y 1 m P e G 9 v 6 C u n m x h G 2 u a 1 C u l X 7 y J T e V i H d q v 1 7 T q a v k G 7 V / n 1 m 1 F d I N z d + n z n 1 F d L N j f t z u q F x f 0 I 3 N O 7 P 5 o Y B u r b 3 f I W 0 / / 4 J 8 P 2 d m z W S 7 S P Q S P s 6 u b f u Y F g j m Q 5 2 d + j Z 2 x n f / / R 2 a i l 4 b 3 d n j I T c 4 H s e O 7 v 3 N r / i c b S + M j w n H j f f 2 N Z j 5 h v b e r x 8 Y 1 t f P 9 3 c O M J F N x H E 1 1 H m n e 0 b X 4 r M 9 G 0 V 1 a 0 R i 8 z u b Z X V r f v A F N + a u u 8 z x 7 7 C u r G x r 7 B u b t y f 5 A 2 N + 7 O 7 o X F / V j c M 0 L X d D x X W e + X B 9 3 d v V l Y W f q i s d t + z g 2 F l Z T r Y 2 + H n d p r q 9 i 9 5 j G x e u q U L p c 2 H Z 8 H j 3 x v b e u x 7 Y 1 u P e 2 9 s 6 6 u o m x t H + O a 2 L t S t 2 k e m 9 b a a 6 V b t 3 3 M y f a 1 0 q / b v M 6 O + R r q 5 8 f v M q a + R b m 7 c n 9 M N j f s T u q F x f z Y 3 D N C 1 v R 9 q p P f M g O / f u 1 k n 2 R 5 C n X T v P T s Y 1 k m m g 3 s 3 q h e P g 2 / / k s f G 5 q V b 6 i R t P j w P H g f f 2 N Z j 4 B v b e v x 7 Y 1 t f J 9 3 c O M I 5 t 9 V J t 2 o f m d b b 6 q R b t X / P y f R 1 0 q 3 a v 8 + M + j r p 5 s b v M 6 e + T r q 5 c X 9 O N z T u T + i G x v 3 Z 3 D B A 1 / b T U C d 9 j d z 3 / v 7 N e s n 2 E u q l / f f s Y F g v m Q 7 2 d 8 e Q g 0 G m 8 X j 4 t q 9 4 b G x e u a V O 0 u b D 8 + B x 8 I 1 t P Q a + s a 3 H v z e 2 9 X X S z Y 0 j n H N b n X S r 9 p E p v a 1 O u l X 7 9 5 x M X y f d q v 3 7 z K i v k 2 5 u / D 5 z 6 u u k m x v 3 5 3 R D 4 / 6 E b m j c n 8 0 N A 3 R t H 3 R 0 0 n v m v v f v 3 6 y Q b B e h Q r r / n h 0 M K y T T w X s k m W 7 7 i s f D 5 p V b K i R t P j w J H v v e 2 N b j 3 h v b e s x 7 Y 1 t f I d 3 c O M I 2 t 1 V I t 2 o f m d L b K q R b t X / P y f Q V 0 q 3 a v 8 + M + g r p 5 s b v M 6 e + Q r q 5 c X 9 O N z T u T + i G x v 3 Z 3 D B A 1 / b A V 0 j 3 3 z / 3 f X / n Z o 1 k + w g 0 0 n 2 d 3 F t 3 M K y R T A d 7 B / d 3 d n f 3 x 7 u q 7 K K D 9 9 j 4 v d 7 z 2 N m 8 d 0 v d p M 2 H 5 8 P j 5 B v b e o x 8 Y 1 u P j 2 9 s 6 + u m m x t H O O i 2 u u l W 7 S O T e 1 v d d K v 2 7 z m Z v m 6 6 V f v 3 m V F f N 9 3 c + H 3 m 1 N d N N z f u z + m G x v 0 J 3 d C 4 P 5 s b B u j a P g x 1 0 3 u l u e / f I s 1 t 4 Y d 6 6 X Z p b t f B s F 4 y H d x / 8 B 4 p p d u / 5 D G x e e m W G k m b D 8 + C x 7 8 3 t v X Y 9 8 a 2 H v f e 2 N b X S D c 3 j v D N b T X S r d p H p v W 2 G u l W 7 d 9 z M n 2 N d K v 2 7 z O j v k a 6 u f H 7 z K m v k W 5 u 3 J / T D Y 3 7 E 7 q h c X 8 2 N w z Q t s U 6 v K + R 3 j P N f f / m N L f r I d R J t 0 t z u w 4 G d Z L t 4 M H e A 7 w x f v D w V m r p / d 5 z z G z f u 5 1 m M s 2 H Z 8 P x 8 c 1 t H R v f 3 N Z x 8 c 1 t P c 1 0 i 8 Y R / r m l Z r p d + 8 j k 3 l I z 3 a 7 9 e 0 6 m p 5 k G 2 g 9 q p l s Q 8 3 2 m 1 N N M N z f 2 N N M t G v f n 9 F a a 6 R a N + 7 N 5 K 8 2 0 G 2 q m r 5 H s v r 9 / s 3 a y v Y T a a f 8 9 O x j W T q a D B 3 v j n d 3 b K a b b v u K x s X n l l j p J m 9 9 K J 9 3 Y 1 m P g G 9 t 6 / H t j W 1 8 n 3 d w 4 w j m 3 1 U m 3 a h + Z 0 t v q p F u 1 f 8 / J 9 H X S r d q / z 4 z 6 O u n m x u 8 z p 7 5 O u r l x f 0 4 3 N O 5 P 6 I b G / d n c M E D X d q + j k 9 4 z 2 X 3 / 5 m S 3 6 y J U S L d L d r s O h h W S 6 W D 3 w e 5 Y n b D o s D 0 G v u 0 r H g + b V 2 6 p k L T 5 8 C R 4 7 H t j W 4 9 7 b 2 z r M e + N b X 2 F d H P j C N v c V i H d q n 1 k S m + r k G 7 V / j 0 n 0 1 d I t 2 r / P j P q K 6 S b G 7 / P n P o K 6 e b G / T n d 0 L g / o R s a 9 2 d z w w B d 2 3 u + Q v r 0 / Z P d n + 7 c r J F s H 4 F G + l Q n 9 9 Y d D G s k 0 8 H u p 7 u f 7 t w f Y / 4 G 2 c b j Y u + 1 + w 8 f j u 8 f 3 E 4 z m d f u j z / d 5 F x 5 7 K x v D E + I x 8 o 3 t v U 4 + c a 2 H i P f 2 N Z X T j c 3 j r D Q D f T w 9 Z N 5 Z f u m d y K T f F s d d V u 0 I j N 7 W z V 1 2 y 7 e Z 3 p 9 T X V z 4 / e Z Y F 9 T 3 d y 4 P 8 E b G v e n d k P j / p x u G K B r u x 9 q q v d K f W N 6 b t J S F n 6 o p X R i b 9 3 B s J Y y H d z b u 7 f 7 c B O L e U x 8 6 3 c 8 L j b v 3 N J z 0 u b D c + B x 7 4 1 t P e a 9 s a 3 H u z e 2 9 Z X T z Y 0 j X H N b z + l W 7 S O T e l u t d K v 2 7 z m Z v k q 6 V f v 3 m V F f H 9 3 c + H 3 m 1 N d H N z f u z + m G x v 0 J 3 d C 4 P 5 s b B u j a 3 g / 1 0 X s m v j + 9 d 7 N G s j 2 E G u n e e 3 Y w r J F M B / s H + w 8 O N i 3 0 e w x 8 6 3 c 8 J j b v 3 F I j a f P h W f D 4 9 8 a 2 H v v e 2 N b j 3 h v b + h r p 5 s Y R v r m t R r p V + 8 i k 3 l Y j 3 a r 9 e 0 6 m r 5 F u 1 f 5 9 Z t T X S D c 3 f p 8 5 9 T X S z Y 3 7 c 7 q h c X 9 C N z T u z + a G A b q 2 n 4 Y a 6 W s k v D / d v 1 k r 2 V 5 C r b T / n h 0 M a y X T w S 6 5 1 X u 3 U 0 q 3 f c V j Y / P K L X W S N h + e B 4 + D b 2 z r M f C N b T 3 + v b G t r 5 N u b h z h n N v q p F u 1 j 0 z p b X X S r d q / 5 2 T 6 O u l W 7 d 9 n R n 2 d d H P j 9 5 l T X y f d 3 L g / p x s a 9 y d 0 Q + P + b G 4 Y o G v 7 o K O T 3 j P h / e n 9 m x W S 7 S J U S O q b 3 L q D Y Y V k O t j d H e / d U i H d 9 h W P h 8 0 r t 1 R I 2 n x 4 E j z 2 v b G t x 7 0 3 t v W Y 9 8 a 2 v k K 6 u X G E b W 6 r k G 7 V P j K l t 1 V I t 2 r / n p P p K 6 R b t X + f G f U V 0 s 2 N 3 2 d O f Y V 0 c + P + n G 5 o 3 J / Q D Y 3 7 s 7 l h g K 7 t g a + Q H r x / w v v B z s 0 a y f Y R a K Q H O r m 3 7 m B Y I 5 k O D g 4 + 3 b 9 3 / + H 4 3 s P b q a X 3 e s 9 j Z / P e L X W T N h + e D 4 + T b 2 z r M f K N b T 0 + v r G t r 5 t u b h z h o N v q p l u 1 j 0 z u b X X T r d q / 5 2 T 6 u u l W 7 d 9 n R n 3 d d H P j 9 5 l T X z f d 3 L g / p x s a 9 y d 0 Q + P + b G 4 Y o G v 7 M N R N 7 5 X i f n C L F L e F H + q l 2 6 W 4 X Q f D e s l 0 s H t v 7 + G n 9 3 f 2 b 6 e V 3 u M t j 4 3 N W 7 f U S d p 8 e B 4 8 D r 6 x r c f A N 7 b 1 + P f G t r 5 O u r l x h H N u q 5 N u 1 T 4 y s b f V S b d q / 5 6 T 6 e u k W 7 V / n x n 1 d d L N j d 9 n T n 2 d d H P j / p x u a N y f 0 A 2 N + 7 O 5 Y Y C 2 7 f 2 d U C e 9 Z 5 r 7 w c 1 p b t d D q J V u l + Z 2 H Q x q J d s B e z 3 3 P r 2 V U n q P l x w b 2 5 d u p 5 N M 8 + F 5 c B x 8 c 1 v H w D e 3 d f x 7 c 1 t P J 9 2 i c Y R z b q m T b t c + M q 2 3 1 E m 3 a / + e k + n p p N u 1 f 5 8 Z 9 X T S L R q / z 5 x 6 O u k W j f t z u q F x f 0 I 3 N O 7 P 5 o Y B u r a 7 o U 7 6 G o n u B / s 3 6 y X b S 6 i X 9 t + z g 2 G 9 Z D r Y / 3 T 8 4 O B 2 W u m 2 r 3 h s b F 6 5 p U 7 S 5 s P z 4 H H w j W 0 9 B r 6 x r c e / N 7 b 1 d d L N j S O c c 1 u d d K v 2 k S m 9 r U 6 6 V f v 3 n E x f J 9 2 q / f v M q K + T b m 7 8 P n P q 6 6 S b G / f n d E P j / o R u a N y f z Q 0 D d G 3 3 O j r p P R P d D 2 5 O d L s u Q o V 0 u 0 S 3 6 2 B Y I Z k O 3 k M h 3 f Y V j 4 f N K 7 d U S N p 8 e B I 8 9 r 2 x r c e 9 N 7 b 1 m P f G t r 5 C u r l x h G 1 u q 5 B u 1 T 4 y p b d V S L d q / 5 6 T 6 S u k W 7 V / n x n 1 F d L N j d 9 n T n 2 F d H P j / p x u a N y f 0 A 2 N + 7 O 5 Y Y C u 7 T 1 f I T 1 8 / 0 T 3 w 5 2 b N Z L t I 9 B I D 3 V y b 9 3 B s E Y y H e w + e H B w f + d g b L y v 6 O A 9 N v b f 2 3 / w c H y w e z v d Z N 7 b O x g / 1 A A 0 + o r H 0 f r K 8 J x 4 3 H x j W 4 + Z b 2 z r 8 f K N b X 3 9 d H P j C B f d R B B f R 5 l 3 t m 9 8 K T L T t 1 V U t 0 Y s M r u 3 V V a 3 7 u N 9 p t h X W D c 3 f p 9 J 9 h X W z Y 3 7 k 7 y h c X 9 2 N z T u z + q G A b q 2 + 6 H C e q / s 9 8 P d m 5 W V h R 8 q K 9 U M t + 5 g W F m Z D u 7 d v / / p w / 1 N T O b x 8 e 1 f 8 h j Z v H R L F 0 q b D 8 + C x 7 8 3 t v X Y 9 8 a 2 H v f e 2 N Z X U T c 3 j v D N b V 2 o W 7 W P T O t t N d O t 2 n c m 8 8 b 2 / d m 8 t Q t 1 M z H f Z 0 p 9 j X R j Y 1 8 j 3 d y 4 P 6 c b G v c n d E P j / m x u G K B r e z / U S O + Z + 4 b J u E k n 2 R 5 C n a T G 5 t Y d D O s k 0 8 H + / Y c H n + 6 Q I 3 Q 7 r f Q + r 3 m s b F 6 7 p V 7 S 5 s N z 4 X H x j W 0 9 J r 6 x r c f D N 7 b 1 9 d L N j S P c c 1 u 9 d K v 2 k a m 9 r V 6 6 V f v 3 n E x f L 9 2 q / f v M q K + X b m 7 8 P n P q 6 6 W b G / f n d E P j / o R u a N y f z Q 0 D d G 0 / D f X S 1 8 h / P 9 y / W T f Z X k L d t P + e H Q z r J t P B 3 s P x / q e 3 0 0 u 3 f c V j Y / P K L X W S N h + e B 4 + D b 2 z r M f C N b T 3 + v b G t r 5 N u b h z h n N v q p F u 1 j 0 z p b X X S r d q / 5 2 T 6 O u l W 7 d 9 n R n 2 d d H P j 9 5 l T X y f d 3 L g / p x s a 9 y d 0 Q + P + b G 4 Y o G v 7 o K O T 3 j P / / f D + z Q r J d h E q p P v v 2 c G w Q j I d 3 H 8 w P l A 1 F x 2 2 x 8 C 3 f c X j Y f P K L R W S N h + e B I 9 9 b 2 z r c e + N b T 3 m v b G t r 5 B u b h x h m 9 s q p F u 1 j 0 z p b R X S r d q / 5 2 T 6 C u l W 7 d 9 n R n 2 F d H P j 9 5 l T X y H d 3 L g / p x s a 9 y d 0 Q + P + b G 4 Y o G t 7 4 C m k B z v v n f 9 + s L N z s 0 a y f f g a i d 9 8 r w 6 G N Z L p Y J 9 a 7 3 x 6 f 3 z / 4 e 3 U U v D e z q f j / b 3 b 6 S b z 3 v 2 H Y 3 D h 4 C s e R + s r w 3 P i c f O N b T 1 m v r G t x 8 s 3 t v X 1 0 8 2 N I 1 x 0 E 0 F 8 H W X e 2 b 7 x p c h M 3 1 Z R 3 R q x y O z e V l n d u o / 3 m W J f Y d 3 c + H 0 m 2 V d Y N z f u T / K G x v 3 Z 3 d C 4 P 6 s b B u j a P g w V 1 v v k v x / s 3 C L / b e G H y u p W + W + v g 2 F l Z T o g x x F a Z 2 c M X h p k G o + X 3 + 9 F j 6 H N i 5 s Y 2 u N n b T 4 8 G x 4 f 3 9 j W Y + M b 2 3 p c f G N b X 1 X d 3 D j C P x u l O 8 I P G 9 t H p v e 2 G u p W 7 d 9 z M n 3 t d K v 2 7 z O j v m a 6 u f H 7 z K m v m W 5 u 3 J / T D Y 3 7 E 7 q h c X 8 2 N w z Q t v 1 0 J 9 R M 7 5 c H f 7 B z c x 7 c 9 R D q p l v l w b 0 O B n W T 7 Y C W 2 P D c S i + 9 x 0 u O j e 1 L t 9 N J p v n w P D g O v r m t Y + C b 2 z r + v b m t p 5 N u 0 T j C O b f U S b d r H 5 n W W + q k 2 7 V / z 8 n 0 d N L t 2 r / P j H o 6 6 R a N 3 2 d O P Z 1 0 i 8 b 9 O d 3 Q u D + h G x r 3 Z 3 P D A F 3 b 3 V A n v X 8 O / M H O / s 1 6 y f Y S 6 q X 9 9 + x g W C + Z D n b 3 b p t y u v U r H h u b V 2 6 p k 7 T 5 8 D x 4 H H x j W 4 + B b 2 z r 8 e + N b X 2 d d H P j C O f c V i f d q n 1 k S m + r k 9 D + x v b v O Z m + T r p V + / e Z U V 8 n 3 d z 4 f e b U 1 0 k 3 N + 7 P 6 Y b G / Q n d 0 L g / m x s G 6 N r u d X T S + + X A H + z c n A N 3 X Y Q K 6 V Y 5 c K + D Y Y V k O t j d P R h j o g d Z x u P g W 7 / j c b F 5 5 5 Y q S Z s P T 4 P H w D e 2 9 f j 3 x r Y e + 9 7 Y 1 l d J N z e O M M 5 t V d K t 2 k c m 9 b Y q 6 V b t 3 3 M y f Z V 0 q / b v M 6 O + S r q 5 8 f v M q a + S b m 7 c n 9 M N j f s T u q F x f z Y 3 D N C 1 v e e r p L 3 3 z 4 J j + D f p J N t H o J P 2 d H J v 3 c G w T j I d 3 N v f e X j w 8 P 7 O e O + W i s m + u H d v 9 9 6 N L 3 o M b V 7 c f X B w f 3 P k 5 3 G 1 v j Q 8 L x 5 H 3 9 j W Y + g b 2 3 r 8 f G N b X 0 f d 3 D j C S T e T x N d U 5 q 3 t W 7 w W m f H b K q z 3 Q C 4 y y 7 d V W + / R y / t M t a + 8 b m 7 8 P p P t K 6 + b G / c n e 0 P j / h x v a N y f 2 Q 0 D d G 3 3 Q + X 1 X h l x j O Y m x W X h h 4 p r 9 z 0 7 G F Z c p o N P P 9 3 f 3 X v w 8 G C 8 / + n t F N f 7 v e i x t H n x l i p L m w / P h s f H N 7 b 1 2 P j G t h 4 X 3 9 j W V 1 k 3 N 4 7 w z 2 2 V 1 a 3 a R 6 b 3 t l r q V u 3 f c z J 9 / X S r 9 u 8 z o 7 5 m u r n x + 8 y p r 5 l u b t y f 0 w 2 N + x O 6 o X F / N j c M 0 L W 9 H 2 q m 9 8 y I o 9 e b d J P t I d R N 9 9 6 z g 2 H d Z D o 4 2 N / Z / X T 3 3 i 0 9 K v v W / Y O d 3 c 1 v e Y x s 3 r q F F + C x s 7 4 1 P C E e K 9 / Y 1 u P k G 9 t 6 j H x j W 1 8 5 3 d w 4 w k K 3 o I m v o 8 x r t 3 g r M t m 3 e C s y 2 b f V V + / R S 3 + a b 6 2 1 b q b y + 8 y 1 r 7 V u b O x r r Z s b 9 y d 7 Q + P + F G 9 o 3 J / Z D Q N 0 b T 8 N t d b X y J n v 7 d + s u W w v o e b a f 8 8 O h j W X 6 W B 3 Z 2 + s v l p 0 5 B 4 n 3 / Y V j 5 n N K 7 d U V t p 8 e B 4 8 D r 6 x r c f A N 7 b 1 + P f G t r 6 y u r l x h H N u q 6 V u 1 T 4 y p b f V T L d q / 5 6 T 6 e u k W 7 V / n x n 1 d d L N j d 9 n T n 2 d d H P j / p x u a N y f 0 A 2 N + 7 O 5 Y Y C u 7 Y O O T n r P n P n e / Z s V k u 0 i V E j 3 3 7 O D Y Y V k O n g P h X T b V z w e N q / c U i F p 8 + F J 8 N j 3 x r Y e 9 9 7 Y 1 m P e G 9 v 6 C u n m x h G 2 u a 1 C u l X 7 y J T e V i H d q v 1 7 T q a v k G 7 V / n 1 m 1 F d I N z d + n z n 1 F d L N j f t z u q F x f 0 I 3 N O 7 P 5 o Y B u r Y H v k K 6 9 7 6 h 3 b 1 b h H a 2 h 0 A f 4 c 3 3 6 m B Y H 5 k O 9 v b v 7 + z d f 3 i w O / 7 0 l m r p P d / 0 G N q 8 e U v t p M 2 H Z 8 T j 5 R v b e q x 8 Y 1 u P k 2 9 s 6 2 u n m x t H e O i 2 2 u n g N u 0 j E 3 x b 7 X S r 9 u 8 5 m b 5 2 u l X 7 9 5 l R X z v d 3 P h 9 5 t T X T j c 3 7 s / p 7 b T T z Y 3 7 s 3 k r 7 f T Q 1 0 7 7 7 6 u d 9 m + h n W w P g X b a v 5 1 2 c h 0 M a y f T w c O H 9 x 7 u 7 u 3 t j g 8 e 3 k 4 5 v d + L H j u b F 2 + p m 7 T 5 r X T T j W 0 9 R r 6 x r c f H N 7 b 1 d d P N j S M c d F v d d K v 2 k e m 9 r W 6 6 V f v 3 n E x f N 9 2 q / f v M q K + b b m 7 8 P n P q 6 6 a b G / f n d E P j / o R u a N y f z Q 0 D t G 0 f 7 P i 6 6 X 7 6 + v n T L 9 O T N 8 f p k + M X t 1 I e 9 3 d u 1 E 6 u j 0 A 7 3 d f J v X U H g 9 r J d r B 7 f 3 / v / q f j / V u p J v v W J i Z z P P w + n T h O N m 8 N z 4 X j 4 p v b O i a + u a 3 j 4 Z v b e n r p F o 0 j 3 H M L m n j q y b 6 2 f Z v 3 I v N 8 S z X 1 X u h F Z v q W 2 u q 9 u n m f 6 f a U 1 i 0 a v 8 + E e 0 r r F o 3 7 E 7 6 h c X + a N z T u z + 2 G A b q 2 u 6 H S O n s h H t X t 9 M n u z Q r L w g 8 V 1 u 5 7 d j C s s E w H m z j M 4 2 P T / B Y M 5 r G x e e s 2 U u Z x s 7 4 2 P B E e C 9 / Y 1 u P g G 9 t 6 D H x j W 1 9 j 3 d w 4 w j q 3 I Y q v s t 5 j C n y N 9 T 6 v R S Z 8 o w a K T P V t u u l P 9 W 3 d r F t Q + n 3 m 2 9 d Y N z b 2 N d b N j f s T v q F x f 5 Y 3 N O 7 P 7 Y Y B u r Z 7 v s b 6 9 P 3 d r E 9 3 b t Z a t o 9 A a 3 2 q k 3 v r D o a 1 l u l g / 8 E + M d r 4 4 e 2 U l 3 l r E 5 N 5 r P w e n X i c r G 8 N z 4 X H x T e 2 9 Z j 4 x r Y e D 9 / Y 1 l d a N z e O c M 8 t a O L r L P P a 9 m 3 e i 8 z z b d 2 s 9 0 E v M t O 3 d b P e p 5 v 3 m W 5 f a d 3 c + H 0 m 3 F d a N z f u T / i G x v 1 p 3 t C 4 P 7 c b B u j a 3 g u V 1 n u 5 W U h B 3 6 S w L P x Q Y e 2 + Z w f D C s t 0 c E s 3 y z S / B Y N 5 b G z e u o 2 U e d y s r w 1 P h M f C N 7 b 1 O P j G t h 4 D 3 9 j W 1 1 g 3 N 4 6 w z m 2 I 4 q u s 9 5 g C X 2 O 9 z 2 u R C b + t m / U + 3 f S n + t Z u 1 s 2 U f p / 5 9 j X W j Y 1 9 j X V z 4 / 6 E b 2 j c n + U N j f t z u 2 G A r u 2 + 1 V g n 6 c 5 u + v r 4 v f y s T 3 d 2 w P A 3 q S 3 b i V N b + u Z 7 d T C s t k w H e w 8 O D u 7 d e / D p + O D e 7 R S Y e / H h w w c 7 e / f G 9 + / f T o f Z F + 8 d 7 N 4 f w 0 g M v u X x t X l r 9 9 6 D / U / 3 x v v 7 G 1 7 z 2 N t 2 d n B v Z / / g / v 7 D 8 a e b J M n j d e / N v f s H B z s 7 4 5 1 N l P E Y / 3 1 Q 9 Z W e e e / e / o M H u 3 v j B w e b 3 o s w 4 v b u 7 r 1 P 9 z / d T F J f A V p E b / N e h G d u 9 V 6 E Z W 6 r A t + r n w i v 3 F Y H v h f h I y y y v b d L i + E 7 4 3 s b Z z r C I b d 5 z 9 e S 7 / V e h E M 2 E c T X m e / V T 4 Q x N h L e N b 8 f a t D b + 3 z Q b b f w + S z 8 U H n e w u c L O h h W n q a D + / f u P 7 i 3 Q 8 m Q e 5 t Y x 5 O E 9 3 v x / u O 7 3 R c 3 U d i T h N s 0 9 w T B o v X p p z u k 1 B 8 + 3 I y X J w r v + a Y n C 7 d B 0 d e S 2 n 6 D i Y 5 w 2 E b g E Y 7 Z 2 D 7 C A B v b R + b 9 t h r w V u 3 f c 7 5 9 z X c z M S N z v B H 4 e 8 6 s r 9 1 u 1 f 4 9 J 9 f X a r d q / 7 6 T 6 5 p / G m q z U 1 F m 6 c m 3 T 3 / i q 9 P b q Z y 9 m 3 W a 7 S X U a W o a b 9 3 B s E 4 z H d z f + X T 3 0 4 O D + + N 7 n 9 5 O p 7 3 f i x 6 T m x d v q d N u 0 9 x j c d P 8 w Y O d + w 8 O 7 m 3 2 I j x u f 6 / 3 P K 6 / D X q + P t P 2 t 9 N n t w I e 4 Z b b 6 r N b t Y / M + W 3 1 2 a 3 a v + d c + / r s Z m J G Z v i 2 + u w 2 7 X 1 9 d q v 2 7 z m 5 v j 6 7 V f v 3 n V z X / E F c n 7 1 5 d T t V c + 9 m X W Z 7 C H W Z h l m 3 7 m B Y l 5 k O 7 i O E 2 3 0 w P t g k w x 5 b v 9 d 7 H n u b 9 2 6 p y W 7 T 3 G N u i 9 X 9 e / f u H 3 y 6 v z / e e X A 7 X f a e b 3 o 8 f x s U f W 2 m 7 W + n z W 4 F P M I v t 9 V m t 2 o f m f b b a r N b t X / P + f a 1 2 c 3 E j M z x b b X Z b d r 7 2 u x W 7 d 9 z c n 1 t d q v 2 7 z u 5 r v l B q M 3 O f v I 4 / X 3 S k y + / O H t 9 9 u W L 2 y m c / Z s 1 m u 0 l 1 G j 7 7 9 n B s E Y z H d y / t 3 t / k w h 7 X H 3 b V z z G N q / c U o / d p r n H 1 h Y h W l d 5 u D k 9 5 v H 3 e 7 z l c f l t U P P 1 l 7 a / n f 6 6 F f A I d 9 x W f 9 2 q f W S m N 7 Z / z 2 n 2 9 d e t 2 v c n + n b 6 6 1 b A 3 3 N m f f 1 1 q / b v O b m + / r p V + / e d X N f 8 o a + / 9 r 7 G a g N o c Z P 6 s p 0 E 6 m t P U b x 1 B 8 P q y 3 S w v / v w 3 v 7 B z s H 4 4 S 0 9 M v f i w Y O H n x 4 8 H O 9 o F u 8 m V W Z e 3 D s g J O + P 9 z Z p Q I / V 7 W t 7 D 3 b 2 b w h l P Y 4 3 r + 3 e P 9 h / S O s p 9 8 e 7 m 9 7 0 2 L / 7 5 v 7 4 w a Y 3 P U F 4 H 1 R 9 V R e 8 R w u M G 9 + L c O L 9 + 7 u k i B 9 u m g d f + Z n X t m / z X o R l b q s E 3 w e 9 C J / c V h e + T z c R B r k V 0 S P s s T P e v 6 V + t P T e / I q v I m 9 D A 1 9 F 3 g 4 p X 0 n e q o f Y 5 G 8 e t n 3 h Y C d U k + + 1 p I C h 3 a A h H f x Q Q + r 0 3 7 q D Q Q 1 p O z i 4 d 3 C w 9 / D h J k I 5 p n + f t x z P 2 7 c 2 N X c s f 6 v m j t V t c 5 r F n f 0 9 G v 7 m M N o x + / u + 6 Z j + V i h 6 O t C 0 R 7 s b F d / t g E d 4 Z W P 7 y N T f U t P d r v 1 7 T r e n 4 m 7 X v j / h G 4 g Z m e O N w N 9 z Z j 1 d d r v 2 7 z m 5 n i a 7 X f v 3 n V z X f D f U Y + + Z f E P H N 2 k y 2 0 O o y W 6 X f H M d D G s y 0 8 F D i t U f H j z 8 d H z w 6 e 2 U 2 f u 9 6 D G 4 e X E T j T 3 + v k 1 z j 7 1 N 8 3 u 7 l E D b 2 a F 1 c f D n 4 J s e r 7 / n m x 7 X 3 w Z F X 5 9 p + 9 v p s 1 s B j 3 D M b f X Z r d p H 5 v 2 2 + u x W 7 d 9 z v n 1 9 d j M x I 3 N 8 W 3 1 2 m / a e P r t d + / e c X F + f 3 a r 9 + 0 6 u a 7 4 X 6 r O v k X 7 b 2 7 9 Z p 9 l e Q p 2 2 / 5 4 d D O s 0 0 8 H e P q 2 l 7 t 2 j a E t h 3 6 T T 3 u 9 F j 8 n N i 7 f U a b d p 7 r G 4 a b 6 / d / / h / Y P x z s H t F N r 7 v O b x / G 2 Q 8 7 W Z t r + d N r s V 8 A i v 3 F a b 3 a p 9 Z M Z v q 8 1 u 1 f 4 9 Z 9 r X Z j c T M z L B t 9 V m t 2 n v a 7 N b t X / P y f W 1 2 a 3 a v + / k u u b 3 f G 1 2 7 2 s k 4 + 7 t 3 K z M b C e B M r u n K N 6 6 g 2 F l Z j r Y 3 X 8 w 3 v n 0 d n r M v L O J U B 5 T u y 7 2 H x z s j e 9 v U n o e b 3 u v f U q 6 c n + T f v F Y 3 L 3 2 6 f j + 7 T T Z b c b j 8 f n 7 I O Z r M u + 9 / Q P K e m 5 8 L 8 J o N 0 6 R r 9 n M S 9 s 3 v x X h h t v q t 9 u j F u G H 2 y q 5 2 3 c S Z Y N b E D v C C z e x j 6 / 4 P F p v f s n X f r e h g q / 9 b o u Y r w F v 1 U d U G d w w e P f K f q g F z 1 6 8 S T 8 / f n H 8 9 J b p t n v 3 b 9 a B t o t Q B y q C t + 5 g W A e a D v Y e 7 o 8 h Q 4 P j 9 j j / 1 u 9 4 j G / e 2 T Q d H t / f p r n H 8 a b 5 v d 0 H 4 4 N N 7 O 5 x + 6 3 f 8 b j 9 N m j 5 a k / b o 9 3 N u u 5 W w C O 8 s b F 9 Z K p v q + B u 1 f 4 9 p 9 j X b b d q 3 5 / k D c S M z O 5 G 4 O 8 5 s 7 4 K u 1 X 7 9 5 x c X 3 3 d q v 3 7 T q 5 r f t 9 X X f t f w 4 H b 3 7 l Z e d l O A u W 1 r y j e u o N h 5 W U 6 2 D R o j 6 F v 0 9 z j Z 9 N 8 9 z 4 h 8 2 C 8 9 / B 2 q u t 9 X v O 4 + z b I e f x 9 m + Y e e 7 8 P U r 4 C e 6 / 3 I v x 1 W 1 1 2 q / b v O f O + L r t V + 8 j c 3 1 a X 3 a p 9 Z L Z v R d f 3 n H Z f r d 2 m v a / W b t X + P e f Z V 2 u 3 a v + + 8 + y a f + q r t f t f Q 6 3 d v 4 V a s 5 0 E a u 2 + o n j r D o b V m u l g l 1 J L Y L L B k X s M b t 6 5 p W 5 z X d x / s L c z 3 t m / n W 7 z X r v / 6 e 5 m t 8 n j d v f a g / H 9 B 7 d T c L c Z k M f o 7 4 O Z r + C 8 9 / Z 3 9 s f 3 d m + p 4 G 4 9 R 7 6 W M y 9 t 3 / x W h B 1 u q + t u j 1 q E I W 6 r 8 G 7 f S Z Q P b k H s C C / c y D + + 6 v O I f c N b v g K 8 D R 1 8 B X h r 1 H w t e K t O o g r h p v G 7 d x 6 E q v D s h a y g 3 k 5 J 7 d 6 s B S 3 8 U A v q l N 6 6 g 2 E t a D r Y R C S P 6 2 / T 3 O P 3 2 z T 3 2 P 0 2 z T 1 G N 8 1 3 7 4 3 v b d J E H o / f 9 h W P w 2 + D l K / r t D 3 a 3 a z g b g U 8 w g 8 b 2 7 / n 9 P p a 7 V b t 3 3 O C f Y V 2 q / b 9 K d 5 A z M j k b g T + n j P r a 6 1 b t X / P y f U V 1 q 3 a v + / k u u Y H X V 3 1 f o m 0 + z b P N a y u b B e h u r r / n h 0 M q y v T w b 3 d T 8 f 3 b p l I u / U 7 H l + b d 2 6 p u G 7 T 3 O N q i 9 H O 7 v j B p 7 f T X L d + x 2 P w 2 6 D l q 6 6 D G 6 U t w k 6 3 V V 2 3 a h + Z 6 t u q r l u 1 f 8 8 p 9 l X X r d r 3 J / l 2 q u t W w N 9 z Z n 3 V d a v 2 7 z m 5 v u q 6 V f v 3 n V z X / K G v u j 7 9 G h H n p z s 3 K y / b S a C 8 P l U U b 9 3 B s P I y H W w a t M f Q p v n e g / u k u D Y 5 p B 5 X 3 6 Y P j 6 l v 3 4 f H 2 b f p w + P t 2 z T 3 W P v 2 K P m q 6 z 3 e i v D V 9 i 1 e i 3 D K L d 6 K T P 8 t 3 o p w w W 3 V 2 n v 0 E u G D 2 y q 3 9 + j l P T n B 1 3 K 3 a e 9 r u V u 1 j 0 z / b b X c r d q / p 8 A 7 d B 7 u h F r u V G L J 9 M 2 r 2 2 m g e z e q O N d D q O L u v W c H g y r O d n D / / u 7 e + M H + r R T d e 7 z k + N y + d D t F Z 5 o P W 2 P H 3 D e 3 d S x 9 c 1 v H z j e 3 9 R T a L R p H O G c j o 0 X 4 Y G P 7 y L R u b B + Z 0 V s q r d u 1 7 8 / m b d X V L Y j 5 P l P q q a i b G 3 v 6 6 R a N + 3 O 6 o X F / Q j c 0 7 s / m h g G 6 t r u + T n r w N T y v B z s 3 q y X b S a C W 8 O Z 7 d T C s l k w H D 3 b 2 K C t 2 / 2 B / f K A 6 L z p + j 5 P d m / d 3 d n Y e 7 m z i O I + h z W u 7 9 / Y f 7 j w c 3 9 u k 1 D y + N q / d 2 z n Y 3 9 v b H 5 t E 3 0 0 a y 7 y 3 d / / g 4 M G 9 v f H + p j D X Y 3 X z 3 q Z R e c z + X u j 5 y s y 8 u P / w / v 7 D v f H O w 0 3 v R b h v e + / h / s N 7 u / f H u x t d j Q h L 3 e 7 F C K v c 7 s U I p 9 x W 5 7 1 f R x E m u a 3 y e y / i R 5 j j V k z l 6 0 Q 3 a 7 d 5 0 1 e Q t x m a r y P f C 0 V f X 9 6 q o x h X 3 K Y j D 8 G 9 U H 2 + 1 / r A g 9 2 b N a e F H 2 p O l c t b d z C s O U 0 H u / v 0 x v 3 9 T x 8 + H D / c x E C e Q L z v q 5 5 s m F c 3 T Y 8 n E b d p 7 g m E a X 7 / w Y O D T + / f G + 9 v w s o T i P d 6 z 5 O H 2 6 D n a 0 t t v 8 E + R z h s I / A I x 2 x s H 2 G A j e 0 j s 3 5 b N X i r 9 u 8 5 1 7 7 2 u 5 m Y k R n e C P w 9 Z 9 b X b 7 d q / 5 6 T 6 6 u 1 W 7 V / 3 8 l 1 z e + F 2 u w 9 A 9 Q H t w h Q b Q + h P r t d g O o 6 G N Z n p g N S S u T M 4 b m d M n u v 9 z z 2 N u / d U p N p 8 2 F u 9 T j 7 x r Y e Y 9 / Y 1 m P q G 9 v 6 u u r m x h H + u a 2 u u l X 7 y O T e V l f d q v 1 7 T q a v q 2 7 V / n 1 m 1 N d V N z d + n z n 1 t d T N j f t z u q F x f 0 I 3 N O 7 P 5 o Y B u r b 7 o W Y 6 + 8 n j 9 P d J T 7 7 8 4 u z 1 2 Z c v b q c 8 9 m / W T r a X U D v t v 2 c H w 9 r J d P D p j S r G 4 + L b v + S x s n n p l n p J m w / P h c f F N 7 b 1 m P j G t h 4 P 3 9 j W 1 0 s 3 N 4 5 w z 2 3 1 0 q 3 a R 6 b 1 t n r p V u 3 f c z J 9 v X S r 9 u 8 z o 7 5 e u r n x + 8 y p r 5 d u b t y f 0 w 2 N + x O 6 o X F / N j c M 0 L W 9 3 9 F L L 9 6 k n x + / O H 5 6 2 x D w / s 1 K y X Y R K q X 7 7 9 k B K 6 W o U j I d P K T U 2 c P d h + N P N y U q P C 5 + r / c 8 b j b v 3 V I 1 3 a a 5 x 8 u m + d 7 D g 4 f j / Q 3 v e C x 9 6 3 c 8 z r 4 N W r 7 C 0 v a 3 U 1 i 3 A h 7 h k d s q r F u 1 j 0 z 1 b R X W r d q / 5 x z 7 C u t m Y k Z m d y P w 9 5 x Z X 2 3 d q v 1 7 T q 6 v v G 7 V / n 0 n 1 z X / 1 F d h B 1 9 j B e B g 5 2 Y l Z j s J l N i B o n j r D o a V m O n g 3 o M H Y / w x O H K P q 8 0 7 m w j l M b X r Y m 9 n 7 + F 4 Z 1 M v H m + 7 1 3 Y / v b 8 7 1 t T d T W r M v f X p + L 7 q + p v U 2 G 3 G 4 / H 5 e y D m K z L v t b 0 H + 5 u R 8 3 X a r W f I V 2 z m p e 2 b 3 4 o w w 2 3 V 2 + 1 R i 7 D D b X X c 7 T u J s s E t i B 1 h h R v Z x 1 d 8 H r F v e M t X f 7 e h g 6 / + b o 2 a r w N v 1 U l U H d w 0 f v f O g 1 A R v q 8 v d 3 D / Z j V o u w j V o C J 4 6 w 6 G 1 a D p 4 M H 9 + 2 N k / w b H 7 X H / r d / x m N + 8 c 0 s f 7 j b N P a 4 3 z Q 8 O d s Y P D 2 6 n / G 7 9 j s f w t 0 H L V 3 3 a H u 1 u 1 n e 3 A h 7 h j Y 3 t I 1 N 9 W y V 3 q / b v O c W + f r t V + / 4 k b y B m Z H Y 3 A n / P m f W V 2 K 3 a v + f k + v r r V u 3 f d 3 J d 8 w N P d e 3 u v r 8 P t w s u v 0 l 5 2 U 5 8 5 c V v v l c H w 8 r L d H D / 4 P 7 O w c H B v f H O J j n 2 W N t / 8 f Y p M v P W / n 3 C b 2 9 / f L B / O 2 X m 3 r t P r + 2 O H 3 x 6 O 6 1 m 3 t u 9 / + D + 7 j 7 0 1 K a A 2 W N + / 8 V 7 + 3 s 7 B + P 7 m 1 D 1 x O C 9 U P U 1 n X v x w c 7 9 T y m 2 3 / R e h B F v n j 5 f 9 Z m 3 t m / x W o R f N g p J h E 1 u 0 U u E T T b 2 E m G P W / Q S Y Y 5 b E T z C G 9 u 7 D + / t P d j M w 7 6 C t D x 1 8 2 u + n n y f 1 y J s s Y m G v r p 8 n 2 7 e l y F c 8 4 e h 1 j x 7 I e u d t 9 N n u z c r T A s / V J g a a N 2 6 g 2 G F a T r Y 3 X 2 w s 7 N / / 7 Y L C u / z m i c I 5 r V N z T 0 5 u E 1 z T w B M 8 3 u 7 9 3 d 2 P 9 3 f v z e + f 0 v 1 + J 5 v e k J w G x R 9 r a j t 0 e 5 m V X g r 4 B F u 2 d g + M v m 3 1 X 6 3 a v + e 0 + 3 r v V u 1 7 0 / 4 B m J G 5 n g j 8 P e c W V + v 3 a r 9 e 0 6 u r 9 B u 1 f 5 9 J 9 c 0 v w c J 9 j X Z q S i y 9 O T b p z / x 1 e n t 1 M 3 e T f r M 6 y X U Z x o y 3 r q D I X 1 m O x h m C c v O t 2 h r W f k W b S 0 b u 0 H e S m 2 5 5 p 8 e 7 O 8 + 2 G z u L T u 7 t 9 7 H m 7 s d a k 5 d u f b b t + j G a a 5 b 9 h P h i 9 t p r l u 2 7 0 / 1 L T X X L d u / 5 5 Q 7 z f W e d P 1 6 s + 5 0 2 f t 1 5 3 T a 7 Y b l d N p 7 o e d U 2 y 2 7 i c z + L b r x k N u N a 7 g 3 r 2 6 n f O 7 d r N 1 s D 6 F 2 u / e e H Q x r N 9 M B u 1 0 3 h K k e 9 7 / P a 5 4 Q m N c 2 N f d k 4 D b N P R E w z T G J N y H l S c D 7 v O Z J w G 2 Q 8 x W f t h / W 9 7 6 2 u x X w C J / c V t v d q n 1 k v m + r 7 W 7 V X m f 6 1 u 3 7 U 7 2 B m J E J 3 g j 8 P W f W 1 2 m 3 a v + e k + s r s 1 u 1 f 9 / J d c 3 3 Q i 3 2 n k s M u 5 j 2 m 9 S Y 7 S J U Y 7 d a Y v A 6 G F Z j p o P d e 3 u f f j o G Z w 2 O 3 O P q 9 3 j L 4 2 3 z 1 i 2 V 2 G 2 a e 5 z t c L p H v t u B a v q b d N h 7 v O U x + m 1 Q 8 1 W Y t r + d C r s V 8 A i P 3 F a F 3 a p 9 Z L J v q 8 J u 1 f 4 9 5 9 l X Y T c T M z K / t 1 V h t 2 n v q 7 B b t X / P y f V V 2 K 3 a v + / k u u b 3 f B W 2 9 z W W G k C L m 5 S Y 7 S R Q Y n u K 4 q 0 7 G F Z i p o P d X U r S 3 t 8 k w x 5 b m 5 c 2 U c r j a t f H p / s H t L 6 w c d H f 4 2 7 v v X u f U t J + f x N 6 H p e 7 9 x 4 8 H O / e T p n d Z k g e r 7 8 X a r 4 6 8 1 7 c 2 / 9 0 b 3 x v 4 4 s R d r t 5 o n w F Z 9 7 a v s V r E a 6 4 r Z 5 7 D + Q i f H F b b f c e v U S 5 4 T Y U j 7 D E j W z k K 0 G P 4 D e 8 5 a v C 2 1 D C V 4 W 3 R s 3 X h 7 f q J K o a b h q / e 2 c / V I r v 6 9 f t 3 c K v s 1 2 E K v F 2 f p 3 r 4 P c a V I m m g 7 1 7 n 1 I i a 5 O u 8 i T g 9 i 9 5 A m B e u q V X d 5 v m H u N b l B 7 c P 9 i 4 j O b x / K 3 f 8 V j + N m j 5 K l D b o 9 3 N a u 9 W w C P c c V u P 7 l b t I / N 8 W 4 / u V u 3 f c 4 5 9 7 X Y z M S O z e 1 u P 7 j b t f T V 2 q / b v O b m + B r t V + / e d X N f 8 v q + 8 7 n 0 N j + 7 e L T w 6 2 0 m g v u 4 p i r f u Y F h 9 m Q 4 2 D d p j 6 N s 0 9 / j Z N N 9 9 Q F 7 P g 7 3 b K a 7 b v + R x 9 m 0 Q 8 3 j 7 N s 0 9 1 r 4 9 S r 7 q e o + 3 I n x 1 W x 1 2 q / b v O e O + D r t V + 8 i c 3 1 a H 3 a p 9 Z K Z v Q d X 3 n H B f m d 2 m v a / M b t X + P W f Z V 2 a 3 a v + + s + y a f + o r s / 3 0 7 C e P 0 9 8 n P f n y i 7 P X Z 1 / e T p v t 7 9 + s z W w v g T b D m + / V w b A 2 M x 3 s f j r e U 6 g 3 a b T b v u J x u H l l E 2 0 9 B t f m w 0 b X Y + 4 b 2 3 o s f W N b j 5 1 v b O v r r Z s b R z j n t u r q V u 0 j U 3 p b d X W r 9 u 8 5 m b 6 6 u l X 7 9 5 l R X 0 v d 3 P h 9 5 t T X T z c 3 7 s / p h s b 9 C d 3 Q u D + b G w b o 2 j 7 w d d L 9 r + F g 3 b f + z 7 B K s p 0 E K u m + z u 6 t O x h W S a a D T f z i s e 9 t m n v c e 5 v m H v P e p r n H u 6 b 5 v Z 3 x Q 4 2 Y b 1 J K 5 p V P K X / y Y H O i y 2 P l 2 + D l a y j X y / 2 H n 4 7 3 D z a 9 F u G o 2 + q q W 7 V / z 7 n 2 d d W t 2 r / n b P u 6 6 l b t I / N 9 G 7 J G 5 n z 7 N u 9 F Z v 0 W r / m q 7 H 1 e e 8 / J 9 / X a + 3 T z v j z g m h + E S u 7 0 8 1 e n r 7 9 8 n b 5 5 d T s F d O 9 m D W d 7 C D W c S u a t O x j W c N r B s E 7 3 O P 7 G t h 6 3 3 9 j W 4 3 Q z y F s q N t N 8 d + / e 3 v 3 9 8 c G n m 5 X b 1 3 n N 4 / P b I O d r t x s H 7 u u 0 W w G P s M N t d d q t 2 v d n + N Y 6 7 V b t 3 3 O m f Z 1 2 M z E P 3 h P 4 e 8 6 s r 7 p u 1 f 4 9 J 9 f X W b d q / 7 6 T 6 5 o / D J X V + + b r 7 9 + / W V v Z L k J t p d 7 H r T s Y 1 l a m g 0 1 D 9 t j 5 N s 0 9 b r 5 N c 4 + Z b 9 P c 4 2 X T f H f / 0 z F k Y v A d j 6 V v / Y 7 H 1 r d B y 1 d Y 2 v 5 2 C u t W w C M c c V u F d a v 2 7 z n D v s K 6 V f v 3 n G N f Y d 1 M z M j s 3 l Z h 3 a a 9 r 7 B u 1 f 4 9 J 9 d X W L d q / 7 6 T a 5 u D R 5 3 C + v R r h J C f 7 t y o s l w n g c r 6 V F G 8 d Q e D K s t 2 c P / + 7 u a F b M f V 9 p 3 b 6 S 3 X x f 7 e A X q 5 l f r y 3 9 p 7 + H D 8 8 M G t 1 J j 3 2 s P x / u 3 U 2 K 3 G 4 / j 8 v T D z N J n 3 3 u 6 D + z v j + 7 u b 3 o s w 2 o 1 T 5 G k 2 + 9 L 2 z W 9 F u O G W + u 0 9 U I v w w 8 Z O Y p x w Y y d R P r g F s S O 8 c C P / e J r P I / Z N b 3 n 6 7 1 Z 0 8 P T f 7 V H z l O D t O o n p g x v H 7 9 7 Z D T X h + 7 p u n 9 7 s u r k u Q j 1 4 O 9 f N d T C s B 0 0 H u 7 s 7 9 8 Y 7 m w b u s f / t X / L Y 3 7 y 0 a U Y 8 7 r 9 N c 4 / v H U q U W N u 4 g u U x / e 1 f 8 p j + N o j 5 6 k / b o 9 3 N O u 9 W w C P 8 s b F 9 Z L p v q + h u 1 f 4 9 J 9 n X c b d q 3 5 / m D c S M T O 9 G 4 O 8 5 s 7 4 i u 1 X 7 9 5 x c X 4 f d q v 3 7 T q 5 r v u e r r 4 O v 4 c g d 7 N y s w G w n g Q I 7 U B R v 3 c G w A j M d P D w 4 2 H + w t 0 N p R Z B 8 c P w e b 9 s 3 H + 4 9 2 N n Z v 7 e J b B 6 L m 9 c e 7 O 0 / u L / Z V n i M b t 6 i b n Y O d h 6 O 9 z a 5 g x 7 D m / d 2 9 + / t 3 7 9 3 c G 9 3 v G l 0 H v O 7 F x / s H 9 z b o X V 9 y P X g m 5 4 Y v B e q v q Y z L x 7 c o z d 3 6 c W H m 1 6 M c O I 2 e Z b 0 8 r 3 x g 4 1 v R t j r d i 9 G 2 O Z 2 L 0 a 4 5 r Y a 8 f 0 6 i n D M b V X j + 1 E / w i n b + z t 7 D / d 2 d 8 Y 7 m x j F V 5 h 2 b L d 5 0 d e c 7 / d i h F N u q 0 L f r 6 M I f 9 x S l 9 4 L d e n Z C 1 l z u J 2 W 2 7 1 Z j V r 4 o R p V X X D r D o b V q O l g 9 + H B 3 s 6 D T w 8 e H o z v 3 V K P v u + r n n C Y V 2 / p E 9 6 m u S c R p v n e w c H B z q c 7 n + 7 f V n e + 3 4 u e Q N w G Q V 9 j a n u 0 u 1 l L 3 g p 4 h G d u 6 x v e q n 1 k 3 m + r C W / V / j 1 n 2 1 e A N x M z M s W 3 9 Q 1 v 0 9 7 X c L d q / 5 6 T 6 y u 2 W 7 V / 3 8 l 1 z f d D f f a e S 6 g H 9 2 7 W a L a H U K P d e 8 8 O h j W a 6 W D 3 I T l 4 O 3 h u p 8 7 e 6 z 2 P v c 1 7 t 9 R l t 2 n u M b d p f m / n 3 o N 7 B 5 / u 7 4 3 v 7 d 1 O m b 3 n m x 7 P 3 w Z F X 5 t p + 9 t p s 1 s B j / D L b b X Z r d p H p v 2 2 2 u x W 7 d 9 z v n 1 t d j M x I 3 N 8 W 2 1 2 m / a + N r t V + / e b 3 E C b 3 Q r + + 0 6 u a 3 4 / 1 G Z n P 3 m c / j 7 p y Z d f n L 0 + + / L F 7 R T O / s 0 a z f Y S a r T 9 9 + x g W K N p B 8 M s 4 b H z j W 0 9 V r 6 x r c f G Z p C 3 V F u m O b l Q D z + 9 n b 6 6 7 S s e O 9 8 G K V 9 R 3 T h g X 1 H d C n i E D W 6 r q G 7 V v j + z t 1 Z U t 2 r / n j P s K 6 q b i R m Z 3 N s q q t u 0 9 x X V r d q / 5 + T 6 i u p W 7 d 9 3 c l 3 z T z u K 6 j 1 X F A 7 u 3 6 y l b B e h l t I c z 6 0 7 G N Z S p o M H 9 + / t U V b 9 Y M P I P a 5 + j 7 c 8 3 j Z v b S K v x 9 q 3 a e 5 x t m l O e c h 7 D 8 e f b l J G H o u / x 1 s e o 9 8 G N V + F a f v b q b B b A Y / w y G 1 V 2 K 3 a R y b 7 t i r s V u 3 f c 5 5 9 F X Y z M S P z e 1 s V d p v 2 v g q 7 V f v 3 n F x f h d 2 q / f t O r m v + w F d h D 7 / G q s L D n Z u V m O 0 k U G I P F c V b d z C s x E w H u w / u 3 d t 7 + O m n 4 1 1 V k D f p M f s i E k c 7 u 7 R A s C k N 6 / G 4 f f H + w f 3 7 e / f H B 5 u C N I / X z X v 0 6 9 5 9 W p D A f A 2 + 5 / G 8 e W / / 4 A G l u W 6 / Z m r e + 3 T 3 w Y P d B 7 u b M 6 q e G L w X n r 6 m M y / e + 3 T 3 0 4 N P i a C b b I O v 9 c y L 2 w 9 o f Y e W 9 e 9 t w t R X f + b F W 7 0 X Y Z p b v R f h m d u q w / f q J 8 I q t 1 W L 7 0 f 5 C I 9 s 0 7 r 6 / t 7 D n c 0 Z B 1 9 Z W i m 4 z Y u + 1 n y / F y N c c l v 1 + X 4 d R b j j l n r 0 I N S j 7 7 W i 8 N A m / I d V q I U f q l B N d N + 6 g 2 E V a j r Y 2 7 1 P 6 c d P b 6 k / 3 + M t T y L M W 5 t o 6 w n C b Z p 7 c m C a 7 x 8 c k H b e H 9 / f p N I 9 M X i v 9 z w h u A 1 6 v o b U 9 m h 3 s 1 a 8 F f A I n 2 x s H 5 n 2 j e 0 j E 3 5 b 5 X e r 9 u 8 5 1 7 7 S u 5 m Y k R n e C P w 9 Z 9 b X a r d q / 5 6 T 6 y u z W 7 V / 3 8 l 1 z R + G O s y s I p x 8 + / Q n v j q 9 n a L Z u 1 m T 2 V 5 C T a Z 6 + d Y d D G s y 0 w F W B B 4 + H O / d U p W Z 1 z Y R y 2 P s 2 z T 3 + N o 0 3 7 4 N V h 5 / m / f 2 D s g k 7 e + O D 2 6 n y y w N y F c 8 e L C z 2 R / 2 O P 6 9 0 P S V m n t x 9 z 7 3 u E l 5 + g r u f W b L V 3 T v h 2 m E P W 6 r 8 d 4 L w f d k E F / z v V c / E Q 6 5 H e U j P P I Q r + 2 O N x p v X y v a D m / z o q 8 e b 0 M R X z 2 + D 4 K + m r x V P x G O u E 0 / D j 2 M L K Y u b 7 n o + v D m R V f X Q 6 g q b 7 f o 6 j o Y V J W 2 g 3 v 3 7 x 3 c z H V O K N 7 z R S c V 9 s X b q c 1 b N X e y Y J v f p 5 X g h / c f j h 9 s w s q J w v u 9 5 0 T h V u h 5 W t K 0 R 7 s b N e P t g E e 4 Z W P 7 y O T f U h H e r v 1 7 T r W n A G / X v j / Z G 4 g Z m e G N w N 9 z Z j 3 d d r v 2 7 z m 5 n k 6 7 X f v 3 n V z X f D f U Z V 9 j y f X h / s 3 6 z P Y S 6 r P 9 9 + x g W J + Z D v Y P N i f I P K 6 + 7 S s e Y 5 t X N t H W 4 + v b N P f Y 2 j S / t 7 c 5 g + M x 9 2 1 f 8 f j 7 N k j 5 m k v b 3 0 5 z 3 Q p 4 h C 9 u q 7 l u 1 T 4 y x 7 f V X L d q / 5 4 z 7 G u u m 4 k Z m d z b a q 7 b t P c 1 1 6 3 a v + f k + p r r V u 3 f d 3 J d 8 7 2 O 5 n r P N d i H 9 2 9 W W 7 a L U G 2 p j 3 D r D o b V l u n g / u 7 + p 5 v z w x 5 T 3 / 4 l j 7 P N S 7 d U X b d p 7 v G 1 a b 6 / t / N w D I E d f M n j 7 9 u / 5 D H 5 b R D z 1 Z e 2 v 5 3 6 u h X w C H / c V n 3 d q n 1 k p m + r v m 7 V / j 1 n 2 V d f N x M z M r 2 3 V V + 3 a e + r r 1 u 1 f 8 / J 9 d X X r d q / 7 + S 6 5 v c 8 9 b W 3 8 / 7 r r x S w 3 K z A b C e + A u M 3 3 6 u D Y Q V m O n j w 8 N 7 u 7 k O K o W / r f X k v 7 u C 5 n R Y z b 3 1 K K B 6 Q 1 r j / 6 e 3 U m X t v Z + f g 3 o P x w S a t 6 T G 8 e W + P 3 t u j V Y 7 7 4 w c P b 6 f c 3 J s P 7 x 3 s P d h / M L 5 / y 9 D y v X D 1 V Z 1 5 c f f + / v 2 H D / c e j j c R x 1 d 7 9 s W b Z 9 D X f u a 1 7 d u 8 F + G Z 2 2 r B 9 0 E v w i u 3 V Y b v 0 0 2 E R W 5 H 9 Q i H b D + 8 d / / h z k P q c u O b E Q 6 5 1 Y u + y n y / F y M c c l v d + X 4 d v S 9 v u O b 7 o R J 9 n 8 X X v Z 3 d m / W n h R / q z 9 3 3 7 G B Y f 5 o O a N 3 x 0 x 1 I / O 2 0 5 / u 8 5 o m E e W 1 T c 0 8 i b t P c k w T T n P y 5 n b 3 d / Z 2 d 8 c 4 m I f J E 4 T 3 f 9 E T h N i j 6 O l L b o 9 3 N e v F W w C P c s r F 9 Z P J v q w h v 1 f 4 9 p 9 v X g L d q 3 5 / w D c S M z P F G 4 O 8 5 s 7 5 u u 1 X 7 9 5 x c X 6 X d q v 3 7 T q 5 r f j / U Z O + 3 p r C 3 c + 9 m X W Z 7 C H X Z v f f s Y F i X m Q 5 Y K d 3 g 0 3 l c / T 6 v e c x t X r u l L r t N c 4 + 1 T f P 9 + 5 8 + e P A p + W H j P V X 6 N + m y 9 3 z T 4 / j b o O j r M m 1 / O 1 1 2 K + A R b r m t L r t V + 8 i s 3 1 a X 3 a r 9 e 8 6 3 r 8 t u J m Z k j m + r y 2 7 T 3 t d l t 2 r / n p P r 6 7 J b t X / f y X X N P w 1 1 2 f u v K e z t 7 N + s z 2 w v o T 7 b f 8 8 O h v W Z d j D M E h 4 7 3 9 j W Y + U b 2 3 p s b A Z 5 S 7 V l m h / s j m / p e t 3 y D Y + Z b 4 O S r 6 Z u H K 6 v p m 4 F P M I E t 1 V T t 2 r f n 9 d b q 6 l b t X / P + f X V 1 M 3 E j M z t b d X U b d r 7 a u p W 7 d 9 z c n 0 1 d a v 2 7 z u 5 r v m D j p p 6 v w W E v Z 3 7 N + s o 2 0 W o o z Q T d O s O h n W U 6 W D 3 w c H + v f G + K r + b t N V 7 v O X x t n l r E 3 k 9 1 r 5 N c 4 + z T f O 9 + w 9 3 d z c n 9 j w W f 4 + 3 P E a / D W q + C t P 2 t 1 N h t w I e 4 Z H b q r B b t Y 9 M 9 m 1 V 2 K 3 a v + c 8 + y r s Z m J G 5 v e 2 K u w 2 7 X 0 V d q v 2 7 z m 5 v g q 7 V f v 3 n V z X / M B X Y b t f Y x E B X L 5 Z i X m d B E p s V 1 G 8 d Q f D S s x 0 s L t 7 / + H m V K H H 1 v Y l S i 9 + e n A 7 D e Y 6 2 t + 9 R 8 n 8 3 U 0 u j 8 f i 3 n s 7 9 w 4 e j I 2 T e Z N O M + / R b / d o q f a W L p l 9 i 0 L I 3 X s H t 1 4 a f S 8 s f f V m X q T + 7 n 1 6 c D A + U P t 0 o 6 o z L z 7 8 9 G C 8 s 2 k O f H 1 n X t q + + a 0 I j 2 w U j A h 7 3 N x J h D 8 2 d h L h i 5 s 7 i T D F 7 a g d 4 Y v t e / t 7 9 + 7 t 7 I 4 P N i U W f K 3 o O O o W L / r q 8 f 1 e j H D G J k r 6 e v L 9 O n p f v n D N H 4 Y K 8 7 0 W D M D 5 N + l K C z / U l T q a W 3 c w r C u 1 g 2 H r 6 c n A j W 0 9 1 r + x r c f 2 Z p C b a O 4 x v G l O K x X 3 H 4 z x 5 + B b H r e / x 1 s e p 9 8 G N V / 1 3 T h s X 9 3 d C n i E G T a 2 7 8 / t r X X c r d r 3 5 / j W 6 u 1 W 7 f s T v Y G Y k f n d C P w 9 Z 9 Z X X b d q / 5 6 T 6 2 u s W 7 V / 3 8 m 1 z e / t h I r K r A e c f P v 0 J 7 4 6 v Z 0 2 2 b t R X b l e Q n W l j s q t O x h U V 7 a D T a N 2 H H 2 r 5 o 6 h b 9 X c 8 f O t m j t 2 t s 3 3 a P b u P b y d 2 r I v E Z E + 3 X 3 4 c L z J u D v u v h V q n t 6 y 7 b d v 0 4 + n w 2 7 X U Y R D N r Z / z w n 3 d N j t 2 r / n l H s 6 7 H b t I 5 N + O 8 J + z Y n 3 9 N r 7 d e g p u F u N z F N w 7 4 W g p + h u 1 0 + E A 2 7 T j 4 f e b l z h 3 X I B F C x 4 k 7 K z P Y T K 7 n Y L o K 6 D Y W V n O r h / f 2 d z S O r x / 6 3 f 8 W T A v L N p R j w R u E 1 z T w J M 8 / 2 D T / f u 7 1 N w v X s 7 z f d e 7 3 k C c B v 0 f N W n 7 d H u Z n V 3 K + A R H r m t u r t V + 8 h 0 3 1 b d 3 a r 9 e 8 6 1 r + 5 u J m Z k h j c C f 8 + Z 9 T X a r d q / 5 + T 6 m u x W 7 d 9 3 c l 3 z v V C D f Y 1 l T 3 D K T V r M 9 h J q s f 3 3 7 G B Y i 5 k O d j 8 d 7 y n U m 5 T Y b V / x G N u 8 c k s d d p v m H l u b 5 p / u j x 9 + e j v 1 d d t X P P 6 + D V K + 5 t L 2 t 9 N c t w I e 4 Y v b a q 5 b t Y / M 8 W 0 1 1 6 3 a v + c M + 5 r r Z m J G J v e 2 m u s 2 7 X 3 N d a v 2 7 z m 5 v u a 6 V f v 3 n V z X / F 5 H c 7 3 n S i i m / S a 1 Z b s I 1 d b t V k J d B 8 N q y 3 S w 9 + l D W k S 4 p e K 6 / U s e Z 5 u X b q m 6 b t P c 4 2 v T / P 7 e z q e 3 T Z a 9 x 0 s e k 9 8 G M V 9 9 a f v b q a 9 b A Y / w x 2 3 V 1 6 3 a R 2 b 6 t u r r V u 3 f c 5 Z 9 9 X U z M S P T e 1 v 1 d Z v 2 v v q 6 V f v 3 n F x f f d 2 q / f t O r m u + 7 6 u v v a + x C g p a 3 K T A b C e B A t t T F G / d w b A C M x 3 c 3 3 k w f n j v d v r L v P P p w w d 7 O 3 v 3 x v c e 3 E 6 F m f d 2 H 4 7 v b d I W H o N 7 X e 3 e v 7 c / P t i E o s f o 5 r 1 7 + / v 3 D n Y e 3 n s w 3 o S j x / T 2 x X s P H u 4 f 7 B z s j v H R 4 J s e + 7 8 X q r 6 G s 1 N w 7 + D T B w f j / U 2 Y + s r O v L f N P e 7 e H + 9 v w t R X e w G q N 7 4 Y 4 Z b b v R h h m d s q w v f r K M I w t 9 W I 7 0 X 8 C J 9 8 u k + r g f d p m f 3 T W 2 p J N 2 u 3 e d P X l 7 c Z m q 8 v 3 w t F X 3 H e q q M Y V 9 y m I w / B + 6 E G f a 9 l U Q z 0 J u V p 4 Y f K c / c 9 O x h W n q a D T Y T y h O A 2 z T 1 1 e Z v m H u f f p r n H + K b 5 g 5 2 H u 3 v E + n v j + 5 u m z W P 9 9 3 z T 4 / 3 b o O h r R m 2 P d j e r w 1 s B j 3 D H b X 2 / W 7 V / z 9 n 2 f b 9 b t X / P + f Y 1 3 c 3 E j M z x b X 2 / 2 7 T 3 d d m t 2 r / n 5 P o q 7 F b t 3 3 d y X f N P Q 8 3 1 N d Z J g e x N + s v 2 E u q v v f f s Y F h / a Q f D L O G x 8 4 1 t P V a + s a 3 H x m a Q t 1 R b p v n u z j 1 a 6 N k b 7 y g 1 b l J a 5 j 1 y J g 4 o W t 1 R I 3 C T x r o N d r 7 G M u 2 3 b 9 O P r 7 1 u 1 V G E N 2 6 r v W 7 V v j / d t 9 Z e t 2 r / n t P u a 6 / 3 I + z X n H h f o 7 1 X h 7 5 q u 8 3 I f N X 2 P g j 6 K u 5 W / U Q 4 4 D b 9 e O g 9 i K u 6 W 6 6 Q A o G b 1 J z t I V R z G j 7 d u o N h N W c 6 2 L 3 3 c H 9 / Z 3 d / v P f p h r F 7 Q v B + L 3 r S Y F 7 c N D e e M N y m u S c L p v m D n Z 3 9 + 3 v 3 K U b d 2 R R O e 8 L w n m 9 6 4 n A b F H 1 F q O 2 H T Y C v / G 4 F P M I x t 1 V + t 2 o f m f f b K r 9 b t X / P + f a V 3 8 3 E j M z x R u D v O b O + f r t V + / e c X F + v 3 a r 9 + 0 6 u a 3 4 Q 6 r O v s V 6 K x c a b d J r t J d R p + + / Z w b B O M x 3 c 2 x v v H 9 x O m 9 3 2 F Y + x z S u 3 1 G O 3 a e 6 x t W l O g e T 4 4 S 3 9 u F u / 4 3 H 4 b d D y d Z e 2 v 5 3 u u h X w C G d s b B + Z 6 I 3 t I 7 O 8 s f 1 7 T r G v u 2 7 V v j / J t 9 N d t w L + n j P r 6 6 5 b t X / P y f V 1 1 6 3 a v + / k u u Y P O 7 r r P V d M 9 + 7 f r L h s F 6 H i u v + e H Q w r L t P B 7 s 7 u / f H B p 7 d T X b d / y e N s 8 9 I m 4 n q M f Z v m H l + b 5 v f u U 9 Z z f L B / O / X 1 H m 9 5 b H 4 b 1 H w F p u 1 v p 8 B u B T z C I b d V Y L d q H 5 n r 2 y q w W 7 V / z 3 n 2 F d j N x I z M 7 2 0 V 2 G 3 a + w r s V u 3 f c 3 J 9 B X a r 9 u 8 7 u b b 5 / o 6 v w O 5 9 j T X T e z s 3 q j D X S a D C 7 i m K t + 5 g U I X Z D j 7 9 9 G D v 3 v 0 H e / f H n z 6 4 l R 5 z b z 7 Y e X A P 6 4 t j M M / g m 4 7 L 7 Z s P K A z d u b d 5 n c o x u 3 3 t 3 t 4 O x f 2 0 x L u p O 8 f 0 7 r 3 d B w c H n 9 4 / G G 9 a z H T 8 b 9 / b e 3 j w 6 R 5 l 6 M b 7 a j l u U H H v h 6 i n 6 + y L u 3 u E K X W 4 u w l T T + / Z F 7 f 3 7 u / c e 3 B / f 3 x / 9 3 Y a 0 A 3 y V i 9 G G O d 2 L 0 b 4 Z q O Y R b j l d h 1 F + G V j R x E + u R 3 1 I 4 y y + 3 D v 0 3 v 7 u + O D T X z i a U w 3 b b d 6 0 9 O d t x q b p z v f D 0 V P i d 6 u o w h b 3 K o j D 8 H d U J u + 1 / r p v d 2 b F a m F H y p S 5 a V b d z C s S E 0 H u / d 2 D g 7 u f b q 7 v z d + I A x 0 o y Z 9 3 1 c 9 4 T C v b p o e T y R u 0 9 y T C N P 8 0 3 v 3 P / 1 0 7 / 7 u 5 l j b k 4 j 3 e 9 G T i N s g 6 G t M b Y 9 2 N 2 v J W w G P 8 M z G 9 h E W 2 N g + M u + 3 1 Y S 3 a v + e s + 0 r w J u J G Z n i j c D f c 2 Z 9 D X e r 9 u 8 5 u b 5 i u 1 X 7 9 5 1 c 1 3 w v 1 G f v u d R w 7 + a l B t d D q N F u t 9 T g O h j W a K a D 3 X v 3 9 v Y f P L j / c G 9 8 b 1 O W y u P s 9 3 3 V Y 3 L z 6 i 0 1 2 m 2 a e y x u m t 9 / + G B v / / 6 n 5 J v t 3 0 6 j v d + L H t / f B k F f o 2 n 7 2 2 m 0 W w G P 8 M x t N d q t 2 k f m / b Y a 7 V b t 3 3 O 2 f Y 1 2 M z E j U 3 x b j X a b 9 r 5 G u 1 X 7 9 5 x c X 6 P d q v 3 7 T q 5 r f i / U a F 9 j s e H e / s 1 a z f Y S a j U V t l t 3 M K z V T A e 3 X 2 y 4 9 S s e Y 5 t X b q n F b t P c Y 2 v T / N P 9 8 c N P b 6 e / b v u K x 9 + 3 Q c r X X N r + d p r r V s A j f H F b z X W r 9 p E 5 v q 3 m u l X 7 9 5 x h X 3 P d T M z I 5 N 5 W c 9 2 m v a + 5 b t X + P S f X 1 1 y 3 a v + + k + u a 7 3 c 0 1 3 s u N d y 7 e a n B d R G q r d s t N b g O h t W W 6 e D e p / t 7 + 2 M s t g y O 3 O P q 9 3 j L 4 2 3 z 1 i 2 V 1 2 2 a e 5 x t m u / u 3 t + h b O P t 1 N f t X / L Y / D a I + Q p M 2 9 9 O g d 0 K e I R D b q v A b t U + M t W 3 V W C 3 a v + e s + w r s J u J G Z n e 2 y q w 2 7 T 3 F d i t 2 r / n 5 P o K 7 F b t 3 3 d y X f P 7 v g L b / x p L D U j L 3 a T C b C e B C t t X F G / d w b A K M x 1 s G r T H 0 K b 5 7 i 6 t L G y S e I + p b 9 O F x 9 O 3 7 s L j 6 9 t 0 4 X H 2 b Z p 7 j H 1 r j H y 9 d f u X I j y 1 f f N b E S a 5 + a X I x N / 8 U m T 6 b 6 v P b t 9 J h A F u q 9 R u 3 8 l 7 s o C v 3 G 7 T 3 l d u t 2 o f m f n b K r d b t X 9 P O f f Q + T R U b u + Z K Y M v e J N m s z 2 E m u 3 e e 3 Y w r N l M B z e y h c f f t 3 7 H 4 3 H z z i 3 V m z Y f N s E e Z 9 / Y 1 m P o G 9 t 6 z H x j W 1 + R 3 d w 4 w j c b 2 S z C B R v b R y Z 1 Y / v I h N 5 W Y d 2 q f X 8 2 b 6 2 r b i b m + 0 y p r 6 B u b O x r p 5 s b 9 + d 0 Q + P + h G 5 o 3 J / N D Q N 0 b R + E G u l r Z L r g 4 N 2 k l W w v o V b a f 8 8 O h r W S 6 e B G D e M x 8 a 3 f 8 R j Z v H N L r a T N h 2 f C 4 + E b 2 3 o s f G N b j 4 N v b O t r p Z s b R 3 j n t l r p V u 0 j k 3 p b r X S r 9 u 8 5 m b 5 W u l X 7 9 5 l R X y v d 3 P h 9 5 t T X S j c 3 7 s / p h s b 9 C f U a b 9 B K N z b 2 s D j w t d K n X y M I / H T n Z q V k O w m U 0 q c 6 u 7 f u Y F g p m Q 4 2 8 Y v H v r d p 7 n H v b Z p 7 z H u b 5 h 7 v m u a 0 + n f v w Y Z X P A 4 2 r + x 9 + p B W D s d 7 m 1 7 z e P k 2 i P k q y u 9 m 7 + H 4 4 a b X I i x 1 W 2 V 1 q / b v O d m + s r p V + / e c b l 9 Z 3 a p 9 Z M J v Q 9 b I p G / f 5 r 3 I r N / i N V + X v c 9 r 7 z n 5 v m J 7 n 2 7 e l w d c 8 4 e h l n v P a P D T W 0 S D t o d Q x d 0 u G n Q d D K s 4 7 W B Y q X s c f 2 N b j 9 t v b O t x u h n k L T W b a X 7 / 3 s P d h / v j / d s p t / d 4 y + P y 2 6 D m 6 7 Y b h + 1 r t F s B j z D D b T X a r d r 3 5 / f W G u 1 W 7 d 9 z n n 2 N d j M x I / O 7 E f h 7 z q y v u G 7 V / j 0 n 1 9 d Y t 2 r / v p N r m 9 / f C V X V + y 4 r f n r / R l 3 l u g h 1 1 f 3 3 7 G B Q V 9 k O N g 3 Z s f O t m j t u v l V z x 8 y 3 a u 5 4 2 T b f e 3 B v / P D T W 6 m s 2 7 / j 2 P p W a H k K y 7 S / l c K 6 H f A I R 2 x s / 5 4 T 7 C m s 2 7 V / z y n 2 F N b t 2 v c n + V Y K 6 3 b A 3 3 N m P Y V 1 u / b v O b m e w r p d + / e d X N d 8 1 1 d Y D 7 5 G B P l g 5 2 a V Z T s J V N Y D R f H W H Q y r L N P B p k F 7 D G 2 a 7 9 7 f L P A e T 9 + m B 4 + l b 9 u D x 9 W 3 6 c H j 6 9 s 0 9 9 j 6 t g j 5 S u v W 7 0 T 4 a f v G l y L 8 c e M 7 k S m / 8 Z 3 I v N 9 W k d 2 6 j 8 j M 3 1 a Z 3 b q P 9 5 x 7 X 6 f d p r 2 v 0 2 7 V P j L p t 9 V p t 2 r / n u L t o b M X 6 r T 3 j B c f 3 B w v u h 5 C h X a 7 e N F 1 M K z Q T A c 3 c Y X H 3 L d 9 x e N v 8 8 o t l Z o 2 H 7 a 7 H l v f 2 N Z j 5 x v b e q x 8 Y 1 t f g d 3 c O M I 1 G 5 k s w g M b 2 0 e m d G P 7 y H z e V l n d q n 1 / N m + t q G 4 m 5 v t M q a + e b m z s 6 6 a b G / f n d E P j / o R u a N y f z Q 0 D d G 3 v h f r o a 6 w d P t i / W S f Z X k K d t P + e H Q z r J N P B e + i k 2 7 7 i s b F 5 5 Z Y 6 S Z s P z 4 P H w T e 2 9 R j 4 x r Y e / 9 7 Y 1 t d J N z e O c M 5 t d d K t 2 k e m 9 L Y 6 6 V b t 3 3 M y f Z 1 0 q / b v M 6 O + T r q 5 8 f v M q a + T b m 7 c n 9 M N j f s T u q F x f z Y 3 D N C 1 3 f d 1 0 s H X i P s O d m 5 W S b a T Q C U d 6 O z e u o N h l W Q 6 e P j g 4 P 6 D e w / u f T p G w m 6 Q d T x O t m 8 e 3 N 9 9 s L / 3 c G / 8 6 a Z 1 O I + n z Z v 0 z r 1 P d 3 f G k I / B 9 z z e t j 3 e 3 9 v f / f T T 8 b 2 9 D e 9 5 P G 7 e u 7 + 7 v 7 v / Y G / / 3 v j + J l X q M b x 9 c 2 f / w f 7 O / b 1 P x 3 u b 3 v S 4 / 7 1 w 9 b W b e X G X i L r / c L y z 8 b 0 I O 2 5 / + u n O z v 3 7 n 4 4 h u M N v R n j s d i 9 G e O d 2 L 0 Z Y 5 7 Z K M N b R 8 I s R j r m t N n w v 4 k f 4 5 O H + z q c P d m k h e 9 N 7 E S 7 Z v s 2 L v r 6 8 z c B 8 l f k + C P r a 8 1 b 9 x N T J L f r x 0 L s f 6 t K z F x J w 3 k 7 L 7 d 6 s R i 3 8 U I 3 u v m c H w 2 r U d L B L 2 v D + g 7 2 H 9 w 7 G B 7 f U o + / 7 q i c X 5 t V b e n q 3 a e 4 J g 0 W M S L B 3 b + c B a f g H m x D z 5 O F 9 X / V E 4 j Z I + v p S 2 2 8 w 2 R E + u 6 0 3 e K v 2 E T a 4 r T d 4 q / b v O e G + / r t V + / 6 U b y B m Z J I 3 A n / P m f V 1 3 K 3 a v + f k + r r t V u 3 f d 3 J d 8 0 9 D n f a e O b S D e z d r N d t D q N V U 5 9 6 6 g 2 G t Z j r Y f f j w 4 G D / A b 0 1 P v j 0 d l r t f V / 1 m N y 8 e k u t d p v m H o t b x H Z 2 H h 7 s 7 T 8 4 e D C + v 8 n M e w z / v q 9 6 v H 8 b J H 2 t p u 1 v p 9 V u B T z C N 7 f V a r d q H 5 n 7 2 2 q 1 W 7 V / z x n 3 t d r N x I x M 8 m 2 1 2 m 3 a + 1 r t V u 3 f c 3 J 9 r X a r 9 u 8 7 u a 7 5 g 1 C r f Y 1 M 3 M H + z Z r N 9 h J q t v 3 3 7 G B Y s 5 k O 7 u 2 N 9 w 9 u p 9 F u + 4 r H 2 O a V W 2 q y 2 z T 3 2 N o 0 f 3 D / / h j i M f i O x 9 2 3 f s f j 8 N u g 5 e s u b X 8 7 3 X U r 4 B H O u K 3 u u l X 7 y C z f V n f d q v 1 7 z r G v u 2 4 m Z m R 2 b 6 u 7 b t P e 1 1 2 3 a v + e k + v r r l u 1 f 9 / J d c 0 P O r r r x Z v 0 8 + M X x 0 9 v G 2 j e v 1 l x 2 S 5 C x X X / P T s Y V l y m g w e f P t y h B M U t Y 8 z 3 e M v j b f P W L d X X b Z p 7 n G 1 x 2 q O 0 3 P j e L R X Y e 7 z l M f p t U P N V m L a / n Q q 7 F f A I j 9 x W h d 2 q f W S y N 7 Z / z 2 n 2 V d i t 2 v c n + n Y q 7 F b A 3 3 N m f R V 2 q / b v O b m + C r t V + / e d X N f 8 o a / C H n 6 N R Y e H O z c r M d t J o M Q e K o q 3 7 m B Y i Z k O P v 3 0 w f j h p h S h x 9 X m n U 2 E 8 p j a d k G r G g / v j R 8 + u J 0 O c 6 9 9 + o C y / T v 7 t 9 N l 5 r X 7 O 7 s P 7 + 3 v 7 4 3 B Q o M v e u x u X 9 y 9 T 7 x A a y E b F 3 k 9 v n 8 f R H 3 N Z t 6 j u J x M w f 7 m t J y v 5 W 4 9 Z 7 6 q M y 9 t 3 / x W h D 1 u q / B u j 1 q E Q W 6 r 9 W 7 f S Y Q v b k f t C F 9 s 7 9 7 b p 0 W y g / E D d S F u V I i 2 y 9 u 8 6 G v G 9 3 s x w h m 3 V Z H v 1 9 H 7 8 o V t / u l O q C v f a 1 H h 4 e 6 N a t L B D 9 W k S v 6 t O x h U k 6 a D Y c P p Z O D m t o 7 1 b 2 7 r 2 N 4 O c h P N H c P b 5 p Q i o 4 T p w c 6 m 1 x y 7 v 9 d r j t d v h Z y n / G 4 e u K f w b g c 8 w g 4 b 2 / d n 9 7 Z a 7 n b t + 7 N 8 W w V 3 u / b 9 q d 5 A z M g E b w T + n j P r K a / b t X / P y f V 0 1 u 3 a v + / k u u a 7 o a p 6 z 7 U C m K O b l J X t I V R W t 1 s r c B 0 M K y v t 4 F b K 6 s a 2 H h s P t Y 0 p K z P I T V T 3 O N g 0 3 9 2 h J c r d + / s 7 4 w e 3 W w l 4 3 z c 9 x r 4 N i r 7 K u n H 4 v s q 6 F f A I U 9 x W Z d 2 q f X + e b 6 2 y b t X + P e f b V 1 k 3 E z M y x 7 d V W b d p 7 6 u s W 7 V / z 8 n 1 V d a t 2 r / v 5 L r m e 6 H K + h o L A Q / 3 b 1 Z b t p d Q b e 2 / Z w f D a k s 7 u J X a u r G t x 8 o 3 t v X Y 2 A z y l m r L N D / Y H d 9 S X d 3 y D Y + Z b 4 O S r 6 Z u H K 6 v p m 4 F P M I E t 1 V T t 2 r f n 9 d b q 6 l b t X / P + f X V 1 M 3 E j M z t b d X U b d r 7 a u p W 7 d 9 z c n 0 1 d a v 2 7 z u 5 r v m 9 j p p 6 z 5 z / w 5 t z / q 6 L U E f d L u f v O h j W U a a D 3 X v 3 7 o 8 P P t 0 w c I + p b / + S x 9 n m p U 3 E 9 R j 7 N s 0 9 v j b N 7 + 0 + e L A 3 f n h w O + X 1 H m 9 5 b H 4 b 1 H w F p u 1 v p 8 B u B T z C I b d V Y L d q H 5 n r 2 y q w W 7 V / z 3 n 2 F d j N x I z M 7 2 0 V 2 G 3 a + w r s V u 3 f c 3 J 9 B X a r 9 u 8 7 u a 7 5 v q f A 7 u 2 8 f 8 b / H p I p N 6 k w 2 4 m v w u 6 Z N M y t O x h W Y a a D v b 2 H n 1 K K f O / e z h h L H 4 M E 8 J j b v n p v d + f + v X s P 7 x + M P 9 3 0 q s f n 5 t W H n z 6 4 v 0 u J x k 1 a 0 G N 3 8 x r l 5 H c O 9 v Y / 3 a w + P b 6 3 / e 0 + O C B 0 9 w j T h 7 d T c v b N / f u U J z 7 Y v 7 8 5 x + y J w / s h 6 6 s 8 8 + b + 3 v 0 H D x 9 + u j / e 3 f R i h C W 3 d / f v 7 e 8 8 o G F u f D P C Z 7 d 7 M c I / t 3 s x w j 2 3 V Y 3 v 1 1 G E a W 6 r I 9 + P + h F W 2 d 5 7 s P d g l / 4 b 7 + 3 f U n V a U b r V m 7 4 S f c 8 3 I 8 x y W 3 X 6 n j 1 F e O S W i v V + q F j f Z 3 n g 3 s 7 u z T r V w g 9 1 q k 7 z r T s Y 1 q m m g 7 1 7 x D 8 P 6 c W 9 8 c E m p e F J x f u + 6 g m I e X U T l T 2 x u E 1 z T y p M 8 9 1 P H + 4 / P N g n a z H e 3 4 S Y J x f v + 6 o n F 7 d B 0 t e c 2 h 7 t b t a W t w I e 4 Z v b O o u 3 a h + Z + 9 t q x F u 1 f 8 8 Z 9 x X h z c S M T P J t n c X b t P f 1 3 K 3 a v + f k + t r t V u 3 f d 3 J d 8 0 9 D n W b W E U 6 + f f o T X 5 3 e T v H s 3 a z Z b C + h Z t P U 0 q 0 7 G N Z s p g O y j H u Y / c G h e 2 x t 3 r m 3 u 3 v w Y H d z P t 7 j b v P a 9 t 7 e 3 q d 7 m 1 / z m N y 9 d v D w 0 5 1 N T p 7 H 6 e a l T Z P p 8 b p p f m M X H r / f H i 9 f n + l b t 9 N n F q 1 P H 9 w j d 3 N v 0 / z 4 e s 2 h d p s X I 9 x w W w X 3 X g h G W O G 2 i u 6 9 + u m z w e 0 U 3 n t M a I Q N b n z J 1 3 2 3 f y n C D b d V g L f v 5 H 0 5 w D V / E N e C t 1 t N v b d z 7 2 Y N a H s I N a C 6 G 7 f u Y F g D m g 7 2 9 z / d O 9 i / d / / h z m Y / 2 G P / 9 3 3 V k w D z 6 i Y 6 e w J w m + Y e 3 5 v m u w f 3 P 9 1 / s P 9 w 5 / b r r e / 7 q i c K t 0 H S 1 4 X a / n a 6 8 F b A I 3 y z s X 2 E D W 6 r + m 7 V / j 0 n 3 F d 5 t 2 r f n / L b q b p b A b c z e 7 v 2 v n 6 7 V f v 3 n F x f t d 2 q / f t O r m t + E G q 1 9 1 9 w v b e z f 7 N m s 7 2 E m k 0 V y K 0 7 G N Z s p o N P 7 3 / 6 8 I Z k l c f Y 7 / G W x 9 7 m r V v q s 9 s 0 9 5 j b N N / f 2 Y S O x + C 3 e 8 H j 8 N s g 5 O s u b X 8 7 3 X U r 4 B H O u K 3 u u l X 7 y B R v b P + e k + v r r l u 1 7 0 / v 7 X T X r Y C / 5 8 z 6 u u t W 7 d 9 z c n 3 d d a v 2 7 z u 5 r v n D j u 5 6 v 1 X Y e z v 3 b 1 Z c t o t Q c d 1 / z w 6 G F Z f p Y P f T + w 8 f H G z O z 3 t s / T 6 v e d x t X t t E Y I + 5 b 9 P c 4 2 3 T / I D W G / b G + 5 v 8 c I / J 3 + M t j 9 V v g 5 q v x L T 9 7 Z T Y r Y B H u O S 2 S u x W 7 S O z f V s l d q v 2 7 z n P v h K 7 m Z i R + b 2 t E r t N e 1 + J 3 a r 9 e 0 6 u r 8 R u 1 f 5 9 J 9 c 2 f 7 D j K b H 9 B + + 1 Y L D / Y P d G D e b g + x q M 3 3 y v D g Y 1 m O 1 g 0 3 g d L 9 + q u W N l 2 / z + w e 1 0 1 i 1 f c M x 8 K 4 Q c O 9 + q u e P m W 6 L j a a r b v h F h o Y 3 t I y y x s f 1 7 z r C n r m 7 X P j L H G 9 t H p n h j + 8 g M 3 0 D R 9 5 x k T 2 f d q r 2 n s 2 7 X / j 1 n 2 N N Z t 2 v / v j P s m u / 6 O u s g f X 3 8 / O m X 6 c m b 4 / T J 8 Y t b 6 R V M x E 2 K y 3 Y S K C 4 z h b f u Y F h x m Q 4 2 D d r j 6 t s 0 9 5 j 6 N s 0 9 n r 5 N c 4 + l T f N 7 l I m 7 P / 5 U t f l N u s u 9 9 e k O x b s P b 6 f C b o O a r 8 B M + 9 3 d G 7 L X E Y 7 a 2 E e E O T a 2 f 8 + 5 9 l X Y r d q / 5 2 z 7 K u x W 7 S P z f S N N I 7 O 9 f e N L k c m + 6 R 1 f m 9 3 6 n f e c c F + j 3 b q P 9 5 1 0 1 3 w v 1 G r v 5 Y k d 7 N 6 s 0 C z 8 U K G p 7 N 6 6 g 2 G F p h 1 g n D d q s x v b e s x 9 Y 1 u P s c 0 g b 6 n H T P P b Z e x v 1 d x j 5 t s g 4 2 u u G w f q q 6 x b A Y 9 M / 2 1 V 1 q 3 a 9 2 f 0 1 i r r V u 3 f c 2 Z 9 l X U z M S M T u x H 4 e 8 6 s r 6 J u 1 f 4 9 J 9 d X T 7 d q / 7 6 T 6 5 r f C 1 X T + 6 0 9 7 h / Y p c F h 5 W R 7 C J W T 5 p V u 3 c G w c t I O b q W c b m z r s f G N b T 0 W N o O 8 p X I y z f f 2 x / c / v Z 2 C u u 0 r H i v f B i l f S d 0 4 Y F 9 J 3 Q p 4 h A 1 u q 6 R u 1 b 4 / s 7 d W U r d q / 5 4 z 7 C u p m 4 k Z m d z b K q n b t P e V 1 K 3 a v + f k + k r q V u 3 f d 3 J d 8 / 1 Q S b 1 n O n 7 / 4 O Z 0 v O s i 1 F K 3 S s d 7 H Q x r K d P B p i F 7 7 H y b 5 h 4 3 3 6 a 5 x 8 y 3 a e 7 x s m m + u 7 P z 4 O H 4 w e 0 U 1 u 1 f 8 h j 7 N o j 5 K k v b 3 0 5 l 3 Q p 4 h C d u q 7 I 2 t o + o r F u 1 f 8 9 J 9 l X W r d r 3 p / l 2 K u t W w N 9 z Z n 2 V d a v 2 7 z m 5 v s q 6 V f v 3 n V z X / L 6 v s h 5 + j U T W w 5 2 b l Z b t J F B a D x X F W 3 c w r L R M B 7 s 7 D 8 b 3 D m 6 n u c w 7 9 x 8 i W T Z + 8 P B 2 G s y 8 d j C G C z v 4 h s f e X k f 3 D v b G k M T B 1 z w u t 6 / t P f h 0 9 9 M D U t 7 j 3 V u q N O / V + / c f H O z u 3 B v v 7 N 9 O s b 0 P s r 6 C 0 / d u p + B M J 9 v o 5 c G 9 8 b 5 m A G 7 U d D 5 2 N 7 4 X 4 Y 9 b v R f h k d t q v v f q J 8 I i t 9 W A N 1 M 7 x g 2 3 m d I I K 2 z f 5 k V f J d 5 m N L 5 K f B 8 E f d V 4 q 3 4 G u O B G Q r j X P g 1 V 5 H t l x R 7 e I i t m 4 Y f a 8 X Z Z M d f B s H Y 0 H d z S p b t N c 4 / n b 9 P c Y / X b N P c 4 3 T T f 3 f n 0 4 a c P 7 + 8 d P K B k / 6 a J 8 x j / v d / 1 m P 8 2 a P r 6 T 9 v f T v / d C n i E Q 2 7 r 4 N 2 q / X v O u K / m b t X + P e f c V 2 8 3 E z M y y x u B v + f M + t r s V u 3 f c 3 J 9 L X a r 9 u 8 7 u a 7 5 g 1 B 7 v W f i 7 O G 9 m / W X 7 S H U X y p o t + 5 g W H + Z D n Z 3 D 3 Y e 7 u 6 N D z 6 9 n S J 7 r / c 8 9 j b v 3 V K j 3 a a 5 x 9 w W q 5 3 7 D + 4 d P N z 7 9 N 6 m F z 1 G f 7 8 X P Y 6 / D Y K + L t P 2 t 9 N l t w I e 4 Z b b 6 r J b t Y 9 M + m 1 1 2 a 3 a v + d s + 7 r s Z m J G p v i 2 u u w 2 7 X 1 d d q v 2 7 z m 5 v i 6 7 V f v 3 n V z X / C D U Z W c / e Z z + P u n J l 1 + c v T 7 7 8 s X t 1 M 3 + z f r M 9 h L q s / 3 3 7 G B Y n 5 k O 9 m + I I T 2 u v u 0 r H m O b V 2 6 p x W 7 T 3 G N r h 9 D B v f s H l O z f O b i d F n u / F z 1 e v w 2 C v h b T 9 r f T Y r c C H u G R j e 0 j U 7 6 x f W S + N 7 Z / z 8 n 2 t d i t 2 v e n + 3 Z a 7 F b A 3 3 N m f S 1 2 q / b v O b m + F r t V + / e d X N f 8 Y U e L v e c q w c P 7 N 6 s w 2 0 W o w u 6 / Z w f D K s x 0 s L e 7 P 4 Z H O j h u j 6 d v / Y 7 H 1 + a d T a T 1 2 P o 2 z T 2 u N s 1 3 H x 7 c f 0 B I b U r X e P z 9 P q 9 5 b H 4 b 5 H w F p u 1 v p 8 B u B T z C I b d V Y L d q H 5 n s 2 y q w W 7 V / z 5 n 2 F d j N x I x M 8 G 0 V 2 G 3 a + w r s V u 3 f c 3 J 9 B X a r 9 u 8 7 u b b 5 w Y 6 n w O 7 v v P + a w f 2 d n R t V m O v E V 2 H 8 5 n t 1 M K j C b A c H 4 9 3 b O W H 2 j f s P d u 9 R M l 6 1 6 Q 0 q z L 5 1 O x X m d 7 L 3 Y L y z K V 3 l 2 N u + t b t 3 c H C w 8 + m D / Q e 3 z Z I F r z 7 Y f / j p 3 s 5 4 k 3 J 2 b P 8 + q H p 6 z b x 2 K 7 1 m + 9 i + T S c R 9 r n N a x G m u M 1 r E c 6 4 p b Z 7 r 2 4 i v H F L p X c L S k f 4 4 D Y 4 R Z j g N h P k 6 c B b j c X T g e + D n q c K b 9 f N 1 2 Q A 9 9 Z u q B H f Z 4 n g / s 7 u z c r Q w g + V o T o e t + 5 g W B m a D n Y / H e / t 3 0 4 b 3 v Y V j + 3 N K 7 d U h b d p 7 n G 7 a b 7 3 6 c 6 D + w 8 f P D x 4 u N n N 9 H j / f V / 1 + P 8 2 S P r a T 9 v f T v v d C n i E T z a 2 j 0 z 7 x v a R O b + t n r t V + / e c c V / B 3 U z M y C R v B P 6 e M + t r t F u 1 f 8 / J 9 V X Z r d q / 7 + S 6 5 n u h D n u / h Y L 7 0 J Q 3 a T H b Q 6 j F V M f e u o N h L W Y 6 2 C U H 7 W B 3 v P P w d p r s f V 7 z m N u 8 d k t t d p v m H m u b 5 n s P 7 t 2 7 t 3 P w 6 f 7 B 7 V T Z e 7 3 n c f t t 0 P P 1 m L a / n R 6 7 F f A I p 9 x W j 9 2 q f W T G b 6 v H b t X + P e f a 1 2 M 3 E z M y w 7 f V Y 7 d p 7 + u x W 7 V / z 8 n 1 9 d i t 2 r / v 5 L r m 9 0 I 9 9 v 6 L B P d 3 9 m / W Z b a X U J f t v 2 c H w 7 r M d H C T e + V x 9 W 1 f 8 R j b v H J L H X a b 5 h 5 b m + a k V P d u p 7 1 u + Y b H 3 b d B y d d b 2 v 5 2 e u t W w C N c c V u 9 d a v 2 k R m + r d 6 6 V f v 3 n F 9 f b 9 1 M z M j c 3 l Z v 3 a a 9 r 7 d u 1 f 4 9 J 9 f X W 7 d q / 7 6 T 6 5 r v d / T W + y 0 L 3 N + 5 e V n A d R E q r V s t C 3 g d D C s t 0 8 G m I X v s f J v m H j f f p r n H z L d p 7 v G y a b 5 7 n 4 Y 6 3 p T c 8 3 j 6 9 i 9 5 j H 0 b x H y V p e 1 v p 7 J u B T z C E 7 d V W b d q / 5 5 z 7 K u s W 7 V / z 1 n 2 V d b N x I x M 7 2 1 V 1 m 3 a + y r r V u 3 f c 3 J 9 l X W r 9 u 8 7 u a 7 5 f V 9 l 7 X 6 N h Q B w + U 1 K y 3 Y S K K 1 d R f H W H Q w r L d P B L Z X W b Z p 7 / H y b 5 h 4 7 3 6 a 5 x 8 2 3 a e 7 x s 2 m + + + n + + O H + 7 b T V b b r w t d W t + / C 1 1 q 0 6 i T D F b b X W r d q / 5 y T 7 W u t W 7 d 9 z m n 2 t d X u i R m Z 7 + + a 3 I v N 9 4 0 u + I r v 9 S + 8 5 6 b 4 2 u 3 0 n 7 z v z r v m n o U p 7 z y w Y W O 4 m f W Z 7 C P X Z v f f s Y F i f a Q f D F s 7 j 8 x v b e j x + Y 1 u P v 8 0 g b 6 n G T P O D v f H + g 9 u p s t u + 4 n H 2 b Z D y N d m N A / Y 1 2 K 2 A R 9 j g t h r s V u 3 7 M 3 t r D X a r 9 u 8 5 w 7 4 G u 5 m Y k c n d C P w 9 Z 9 Z X V 7 d q / 5 6 T 6 2 u q W 7 V / 3 8 l 1 z R + E S u p r p L j A K T c p K t t L q K h U 8 d 6 6 g 2 F F p R 3 c S l H d 2 N Z j 5 R v b e m x s B n l L R W W a v 4 e i u u 0 r H j v f B i l f U d 0 4 Y F 9 R 3 Q p 4 h A 1 u q 6 h u 1 b 4 / s 7 d W V L d q / 5 4 z 7 C u q m 4 k Z m d z b K q r b t P c V 1 a 3 a v + f k + o q q 3 3 6 z o r p N e w + d A 1 9 R 7 X 2 N A B G 0 u E l P 2 U 4 C P b W n K N 6 6 g 2 E 9 Z T o 4 2 N l / e O / T T w / G u x t G 7 3 G 2 e e / B g 4 N 7 D 3 f u 3 R u D f I M v e i x u X t z 7 9 P 7 + p / f 2 x 5 i B w f c 8 V t f 3 h l n X Y / M b 2 3 p c f m N b j 8 N v b O s r r p s b R 5 j p V l T x N Z h 5 c f t 2 b 0 Z m / r a 6 7 P 1 Q j M z 4 b Z X a + 3 X 0 P t P u a 7 e b G 7 / P x P t 6 7 e b G / Y n f 0 L g / 2 R s a 9 + d 3 w w B d 2 4 e h L j t 7 I a H h 7 b T M 7 s 1 q z M I P 1 Z j q m l t 3 M K z G T A e 7 n z 5 8 e L B 7 b 3 d / 4 x K b x 9 X v 9 6 L H 1 e b F T V z t M b U 2 H 5 4 N j 4 9 v b O u x 8 Y 1 t P S 6 + s a 2 v v m 5 u H O G f j S I e 4 Y e N 7 S P T e 1 t d d a v 2 7 z m Z v o q 6 V f v 3 m V F f M 9 3 c + H 3 m 1 N d M N z f u z + m G x v 0 J 3 d C 4 P 5 s b B m j b P t w J N d N 7 5 q z Q 6 w 2 6 y f U Q 6 q b b 5 a x c B 4 O 6 y X a w + + D T e z u 7 p G X G + 7 f S T e / 5 o m N n + + L t d J N p P j w f j p N v b u s Y + e a 2 j o 9 v b u v p p l s 0 j n D Q L X X T 7 d p H p v e W u u l 2 7 d 9 z M j 3 d d L v 2 7 z O j n m 6 6 R e P 3 m V N P N 9 2 i c X 9 O N z T u T + i G x v 3 Z 3 D B A 1 3 Y 3 1 E 1 f I 1 W 1 t 3 + z f r K 9 h P p J V c G t O x j W T 6 a D v f 1 7 4 0 9 v p 5 l u + 4 r H x u a V W + o k b T 4 8 D x 4 H 3 9 j W Y + A b 2 3 r 8 e 2 N b X y f d 3 D j C O b f V S b d q H 5 n S 2 + q k W 7 V / z 8 n 0 d d K t 2 r / P j P o 6 6 e b G 7 z O n v k 6 6 u X F / T j c 0 7 k / o h s b 9 2 d w w Q N d 2 z 2 i L n / y 9 0 5 3 d 9 8 1 K P d j Z A U / f p J J s J 0 4 l 6 Z v v 1 c G w S j I d 7 O 4 c 7 N C C 6 C 2 1 k n l r E 5 d 5 T G y a 7 3 1 6 8 O D e g / 3 x / U 2 R n 8 f M 9 r 3 7 D x 7 e 2 3 k 4 f r j p P Y + p z X v 3 d v b v P d i j U d 0 u y e 7 6 e / h g 9 9 7 + w X j n Y M N 7 H q u / F 5 6 + K n M v 7 n z 6 k F J 7 9 z Y m Y C L M d 4 t p 8 7 W b e W 3 7 N u 9 F u O S 2 W u 5 9 0 I v w y W 2 V 3 f t 0 E 2 G P 2 1 E 9 w h 8 P 9 u 4 9 + H R 8 / + G m 1 y L s s X 2 L 9 3 y l e B t y + H r x P d D z N e S t u o k w w y 2 6 8 Z C 7 F 6 r L 2 y e + o M h 2 b 9 a U F n 6 o K X f f s 4 N h T W k 6 + H T / 3 s O D 8 c H + 7 T T l e 7 z l C Y J 5 6 5 Y u 3 G 2 a e / x v m t 9 / u L / 3 6 c N N O s 7 j / d u / 5 H H + b R D z 9 a G 2 3 2 B / I x x 1 W 9 f u V u 0 j E 3 5 b p X e r 9 u 8 5 y b 6 2 u 1 X 7 / j R v I G Z k e j c C f 8 + Z 9 X X Z r d q / 5 + T 6 S u x W 7 d 9 3 c l 3 z / V B 7 v U 9 y D O r l 3 s 3 6 y / Y Q 6 i 8 1 T b f u Y F h / a Q f D 7 O C x 8 o 1 t P T a + s a 3 H w m a Q t 1 R U p r n o n E / H k I b B 9 z x m f q / 3 P K a + D X q + u r p x 6 L 6 6 u h X w C E P c V l 3 d q n 1 / j m + t r m 7 V 3 s z 1 b d v 3 J / t 2 6 u p W w N 9 z Z n 1 1 d a v 2 7 z m 5 v r q 6 V f v 3 n V z X / H 6 o r s 5 e v E k / P 3 5 x / P S 2 / t b 9 m / W V 7 S L U V / f f s 4 N h f W U 6 2 N v 7 d G f n 0 / H B J h n 2 2 P p 9 X v O 4 2 7 y 2 i c A e c 9 + m u c f b p v n u / v 6 D + 7 v j e / u 3 0 2 P v 8 5 r H 7 L d B z l d j 2 v 5 2 a u x W w C N 8 c l s 1 d q v 2 k f m + r R q 7 V f v 3 n G l f j d 1 M z M g E 3 1 a N 3 a a 9 r 8 Z u 1 f 4 9 J 9 d X Y 7 d q / 7 6 T 6 5 p / a n T M F z 8 J N Z a m r 9 8 r x 3 Z w u x y b 7 c V p M n 3 z v T o Y 1 m S m g 5 3 x j q r H m 5 S Y e Y O S G g 8 0 g r 1 J g d l O b q f A v B 4 + / f R 2 S s y 8 c r C v T u l N 6 s u 8 c H / 3 0 / 2 D v f G n m 0 b i M f l t U f N V m O v q / o O d / f H e p o S f r 8 3 M e 9 s 3 d h Z h m B v f i f D A j e 9 E u O C 2 q u 3 W f U T 4 4 L b q 7 b 0 I H e G F b X r x 0 3 s P N z O D r / K 8 D m 9 8 z 1 d 9 7 / V e h C N u q w L f q 5 + Y U r i d K n z Q V Y W 3 T 6 B B S 9 0 i g W Z 7 C N X g L R J o Q Q f D a t B 0 s G n E H v f f p r n H / L d p 7 v H 9 b Z p 7 b G + a 7 z 3 c 2 X l 4 / 9 7 e D u n y T U l + j / P f 9 1 W P 9 2 + D p K 8 F t T 3 a 3 a z 6 b g U 8 w h 8 b 2 7 / n d P v a 7 l b t 3 3 P C f U 1 3 q / b 9 K d 9 A z M g k b w T + n j P r a 7 N b t X / P y f W 1 2 K 3 a v + / k u u Y H X e 3 1 P g k 0 q J d b J N B s H 6 H + u k U C L e h g W H + Z D n b 3 H o 7 3 b 6 f D b v u K x 9 b m l V v q s d s 0 9 5 j a I r R z b + / h p / f H e 7 d U Y u / 1 n s f n t 0 H P 1 2 D a / n Y a 7 F b A I x x y W w 1 2 q / a R 2 d 7 Y / j 2 n 2 t d g t 2 r f n + z b a b B b A X / P m f U 1 2 K 3 a v + f k + h r s V u 3 f d 3 J d 8 4 d d D X b 2 k 8 f p 7 5 O e f P n F 2 e u z 2 6 m Y / Z t 1 m O 0 l 1 G G q O m 7 d w b A O M x 3 c 4 I N 4 T H 3 L N z y 2 t m / c T o N p 8 2 E u 9 T j 6 x r Y e Q 9 / Y 1 m P m G 9 v 6 O u r m x h G + u a 2 O u l X 7 2 I T e U k f d q v 1 7 T q a v o 2 7 V / n 1 m 1 N d R N z d + n z n 1 t d P N j f t z u q F x f 0 I 3 N O 7 P 5 o Y B m r b 7 O z s 9 j f Q + W X 7 o i / s 3 K S S v k 1 A h a R r r 1 h 0 M K S T X w c 5 4 9 z b 6 6 L Y v W A 7 2 X r i N O r p d c 8 u / r v n u p w f 3 x z A q g y 9 Z P n 6 f l y w / 3 w 4 x p 6 Z s + 9 u o q V s C j / D F 7 d T U L d v H Z v l W a u q W 7 d 9 z l p 2 a u g 0 x I 9 O 7 E f h 7 z q x T V r d s / 5 6 T 6 1 T W L d u / 7 + S 6 5 r u + 4 t r 7 O l l 9 E O M m z W V 7 C T T X n u J 4 6 w 6 G N Z f p Y N O o P Y 6 + T X O P o W / T 3 O P n 2 z T 3 2 N k 0 v 7 f / 8 N 7 O g w c H 9 + 6 N P 7 2 d 6 r r l m + Z N j 8 t v g 6 K v v 7 T 9 7 f T X r Y B H u G N j + / e c b F 9 / 3 a r 9 e 0 6 3 r 7 9 u 1 b 4 / 4 b f T X 7 c C / p 4 z 6 + u v W 7 V / z 8 n 1 9 d e t 2 r / v 5 L r m e 1 3 9 9 V 6 p e A z s J t 1 l e w h 1 1 + 5 7 d j C s u 0 w H t 9 R d t 2 n u M f N t m n u 8 f J v m H i u b 5 r Q M + e m n 9 / b 2 P n 0 w v l U S 6 7 3 f 9 D j 8 N i j 6 u k v b 3 0 5 3 3 Q p 4 h D t u q 7 t u 1 f 4 9 Z 9 v X X b d q / 5 7 z 7 e u u m 4 k Z m e P b 6 q 7 b t P d 1 1 6 3 a v + f k + r r r V u 3 f d 3 J d 8 3 t d 3 f W e i X h 0 f Z P 2 s n 2 E 2 u t 2 i X j X w b D 2 M h 3 c U n v d p r n H z r d p 7 n H z b Z p 7 z G y a P 3 x w f 3 / / w c 4 O 5 d I f P L y d + n r f V z 0 u v w 2 S v v 7 S 9 r f T X 7 c C H u G P 2 + q v W 7 V / z / n 2 9 d e t 2 r / n j P v 6 6 2 Z i R i b 5 t v r r N u 1 9 / X W r 9 u 8 5 u b 7 + u l X 7 9 5 1 c 1 3 y / q 7 / e O w 2 / t 3 + z B r O 9 h B p s / z 0 7 G N Z g 2 s E w S 3 j s f G N b j 5 V v b O u x s R n k L R W X a b 7 3 6 f 1 P d / c f 3 H L l 8 D 3 f 8 x j 7 N u j 5 K u v G o f s q 6 1 b A I w x x W 5 V 1 q / b 9 O b 6 1 y r p V + / e c a 1 9 l 3 U z M y A z f V m X d p r 2 v s m 7 V / j 0 n 1 1 d Z t 2 r / v p P r m t 8 3 y o S y W y d f p q + P n 9 8 q Q f + Q 8 u c 7 N 6 s q C 9 2 p K n 3 z v T o Y V l W m g 0 2 j 9 T j 5 N s 0 9 R r 5 N c 4 + P b 9 P c Y 2 P T / P 7 D 3 Y c H D z 7 d H 3 9 6 c D u l Z V 7 c e 7 h / Q F H i g 0 9 v p 7 N u g 5 6 v s 0 z 7 7 f s H D 3 f u H T z 8 d P x w k 3 b 0 N d i t u o r w y W 0 1 2 K 3 a v + e 8 + x r s V u 3 f c + Z 9 D f a + p I 1 M / i 3 f j M z / L T v 1 l d x t x u c r u f d D 0 l d 3 t + o p w g m 3 6 8 l D 8 V O j m l 4 f 7 + 7 d f 7 8 s / / 3 7 9 P 9 b q D / b h 1 V / 5 s 3 3 6 m B Y / Z k O b q n + T P P d B w / H 9 + 7 d T g f e p g t P E m 7 d h S c N 9 p 3 7 B / d o 5 P d 3 N r / p C U P w 5 v 7 D B 5 q D v E k T 3 h p J X x 3 q S 2 h 3 s w I 0 P W z f 3 E W E X 2 5 + K c I D N 7 8 U 4 Y T b K s T b d x L h h d t q x Z s p H J v 6 G z G K T P z N 0 + J r v 9 u M w 9 d + t 0 b N V 3 y 3 6 u R r T b t 7 5 0 G o 8 2 6 9 M s D q 6 B Y r A x Z + q O 9 u X h k I O x j W d 6 a D W + q 7 2 z T 3 m P w 2 z T 3 2 v k 1 z j 7 t N 8 3 v 7 u z s P 9 v b 2 b + n s v c 9 r H q f f B j l f u 2 n 7 2 2 m 3 W w G P 8 M V t 3 b t b t X / P e f a 1 2 a 3 a v + d M + 4 r s Z m J G J n g j 8 P e c W V 9 7 3 a r 9 e 0 6 u r 7 h u 1 f 5 9 J 9 c 1 P w h 1 l l k R O P n 2 6 U 9 8 d X o 7 x b L X 1 V x 9 z W V 7 C T W X + p K 3 7 m B Y c 5 k O b q m 5 b t P c Y + j b N P f 4 + T b N P X Y 2 z X f f Y z n g 1 u 9 4 n H 0 b t H y d p e 1 v p 7 N u B T z C E R v b v + c E + z r r V u 3 f c 4 p 9 n X W r 9 v 1 J v p 3 O u h X w 9 5 x Z X 2 f d q v 1 7 T q 6 v s 2 7 V / n 0 n 1 z V / G N d Z t 1 j F Z H V y 7 2 Z 9 Z X s I 9 Z X 6 g b f u Y F h f m Q 7 u 3 T 8 Y f / r p 7 Z T W r d / x 2 N q 8 s 4 m y H l f f p r n H 1 B a j v Y O D h 7 s 7 D 2 8 Z V r 7 P a x 6 X 3 w Y 5 X 3 9 p + 9 v p r 1 s B j 3 D I b f X X r d p H J v u 2 + u t W 7 d 9 z p n 3 9 d T M x I x N 8 W / 1 1 m / a + / r p V + / e c X F 9 / 3 a r 9 + 0 6 u b Q 4 e 9 f X X 2 Y s 3 6 e f H L 4 5 v s z L A + u X + j Q r M d R E q s P v v 2 c G g A r M d b B q y Y + d b N X f c f K v m j p l v 1 d z x s m 1 + 7 4 C c p / 1 b 6 a z b v + P Y + l Z o e Q r L t L + V w r o d 8 A h H b G z / n h P s K a z b t X / P K f Y U 1 u 3 a 9 y f 5 V g r r d s D f c 2 Y 9 h X W 7 9 u 8 5 u Z 7 C u l 3 7 9 5 1 c 1 3 z X a J M X X 3 6 R / u T Z q z d f H T 8 3 b t e N G u U h 1 h p v j h F d J 1 Z l m T f f q 4 N h l W U 6 I I / j 4 c O D g 7 2 H t C Y I o g 9 S w O P u 9 3 7 X 4 3 T z 7 v b e H r 2 9 P w b j D b 7 n c f x 7 v e d x v s P 1 0 4 e 7 e 3 s P y M k a b 0 z d e 4 I Q v L u / f 3 B w c G 9 8 8 P B 2 6 u 6 9 8 P X 1 n r 5 4 O 7 1 n e r m t 3 r t V + w i X 3 F b v 3 a p 9 h B t u q / d u 1 b 4 / + 7 f T e + 8 3 Z Z G 5 v s 1 7 v i J 8 r / f e c 9 Z 9 h f h e / b z v 7 L v m e 0 Z n H b / 8 8 t U b q x p f 3 1 I r 3 h y J u h 5 C r X h z J B p 2 M K w V T Q c P 6 K V 9 i i w f 7 t 9 O I 7 7 X e x 7 / m / c 2 U d h j f 2 0 + z M 4 e 6 9 / Y 1 u P 8 G 9 t 6 z H 5 j W 1 + Z 3 d w 4 w j + 3 V W a 3 a h + Z 3 N s q s 1 u 1 f 8 / J 9 J X Z r d q / z 4 z 6 y u z m x u 8 z p 7 7 W u r l x f 0 4 3 N O 5 P 6 I b G / d n c M E D X 9 p 7 R G 7 Q K + b V c N m B 5 k 3 K y n Q T K C W + + V w f D y s l 0 8 O D e 7 s N 7 e 5 / u P n h w f 7 y / K V 3 k 8 f J 7 v + v x t X n 3 Y O + A / K D x v U 2 6 z W P v 9 3 n N 4 3 L z 2 u 7 + p 5 / e 2 3 v w 4 N 7 + z n j T q x 7 P + 6 / u k b / 2 6 f 7 D M d a u B 9 / 1 R O B 9 s P U 1 n L 5 3 O w 1 n O r m t h r t V + w i H 3 F b D 3 a p 9 h B N u q + F u 1 b 4 / 9 7 f T c O 8 1 Y 5 G Z 3 r 7 N i 7 7 i u 8 1 o f N 3 3 P g j 6 a v B W / U R m / T b 9 e O j t G 3 3 1 5 P j F y Z f p y f P j V 2 f P z k 6 O T 8 6 + f H E r n X V v 9 2 a l a D s J l C L e f K 8 O h p W i 6 e D B w 7 2 9 g / s P H o 4 f b h J 4 j / f N i w e 7 O / s P b q 0 L z V v b 9 + 7 v 7 D 2 4 N 9 7 R k d y k D O 1 7 D x 7 u P 3 x w s H N / f H / T N H k y Y d 7 c 3 T 0 4 u L 9 / s P t g v L t p h J 6 A 2 D c f H t y 7 v / f p 3 t 7 4 w e 1 0 4 X s i 6 6 t D f f V 2 6 t D N 3 e 7 + g / v 3 9 s Z m T e l G x e h h e K t X I w x z W x 3 5 n k j 2 e O X 2 2 v I 9 e + r z y O 3 0 5 v v O b o Q x b v e m r z v f 8 8 0 I k 9 w 2 2 H 3 P n t 6 X M 1 z z + 0 a 1 v T o 9 s U 4 l O Z i 3 9 y r v 3 c K r t L 2 E C v R 2 X q X r Y F i B m g 7 2 P 7 3 / Y H d n 7 / 7 + 2 C y M 3 K R B 3 / N N T z L M m 7 c M e 2 / T 3 J M G 0 3 y P L M L e 7 v 3 d + 2 P j h N + k M d / z T U 8 y b o O i r y e 1 / e 3 0 5 K 2 A R 3 j m t m 7 j r d p H J v 6 2 b u O t 2 r / n f P v q 7 2 Z i R u Z 4 I / D 3 n F l f 0 9 2 q / X t O r q / f b t X + f S f X N f / U 6 B v y B 6 1 W e 3 o q 0 f L t l M 6 9 m 7 W a 7 S X U a m r v b t 3 B s F Y z H W w a t c f R p v m 9 h w 8 / v b c 7 3 t m / n R 4 z r 2 1 / + u m D n X u f b n 7 P Y 3 D 7 3 t 6 n D / Z 3 N i l N j 8 t v M y S P z 0 3 z G 7 v w e P 3 2 e P m 6 T N + 6 n S 6 z X d y G 1 L 5 S e 5 8 p 8 p X b e 7 0 X Y Y n b K r n 3 6 i f C C 7 d V d j d T O 8 I E t 5 j Q C B v c + J K v 9 2 7 / U o Q b b q v 8 b t / J e + o C D 6 c H R j e d L S / z u i m q Z d 6 k b / L F q q q z 8 i Y F t X + z 7 r P w 3 S u 3 h D m s 7 g z M P f L D d n Y / v X e w t 7 c 7 f v D p 7 Z S f / / L e A 6 L X 7 t 7 B + N 7 B 7 V S g f X n v 3 s 4 + J R b v j f c 3 v e k x v n 2 T F l b 3 d u 7 v 7 Y w 3 x d K e B J g X D x 5 + + u n u A U X h p H k / 3 c Q M n k B 4 7 1 I E v / M Q A c J G h D 2 x e D + E f Q 3 p i L R H q V 5 a M h 8 / 3 B j a R b h x e + / + g w c P H u 7 Q U D e 5 p L 7 G t L 3 e 7 s 0 Y O 9 3 u z Q g v 3 V Z r v m d P E f a 5 r d 5 8 3 z m I M M 3 e p 5 R + u U / K H Z 8 M v x l h m e 3 b v e r r 0 9 u M z 1 e l 7 4 e k r 1 R v 1 V O M O 2 7 V k 4 f i g d W s L 3 7 y 9 N V r y j O e v k 7 f n H 5 B y 8 X H z 2 / U g r s 7 9 N w i 5 W h 7 M b 6 l f f O 9 O h h W t q a D r 6 V s / Z f f W 9 n a l 9 9 b 2 d o 3 b 6 W 7 P L E x L 3 4 d Z e u 9 + 9 7 K 9 v 0 Q 9 p W t I 9 L t B D 3 C o F 9 D 2 d p e b / d m j J 1 u 9 2 a E l 2 6 r b N + z p w j 7 3 F b Z v u 8 c R J j m l t o l w j J f Q 9 n e Z n y + s n 0 / J H 1 l e 6 u e Y t x x q 5 4 8 F B 8 a N f i s W s 6 q J p 1 W y / T 4 P J + 2 2 b T 4 R / / W m 5 T h / Z v 1 r O 3 A v X J L m M O q 1 c C 8 v 7 + z c / / T g 4 c P x / d u q V f N m 6 R Q D 3 Y P d m g d 7 O H D 2 y l V 2 + f 9 T / c / 3 b / 3 6 c P N b 3 p S Y f t 8 Q C a A X t / b L F C e f N g 3 9 / Z J M X 6 6 v 7 d 5 2 c o T D / f m f Z K t g / 1 N f O T J x n u i 6 u t T 7 9 W H + / c f 3 H 8 4 / n Q T r r 4 + N a / e o 1 7 v H R z s P B j f 2 8 i 9 E e 7 a v u 2 7 E S 7 a q K 0 i v H P b r i L M s 7 G r C M v c t q s Y z 9 x y H i J M s / 2 A H J a H D 2 5 I T k T Y 5 j b v + f r 0 v d 6 L M M x G 7 R j h k l v 1 8 7 4 c Y p t j Z K p L n 3 6 Z U h 7 0 9 N V P H q f P z l 4 c v 7 h R 5 9 3 S a 3 V d G K / V v v l e H Q y q V t v B e 6 t W + + Z 7 q 1 b X 5 / u q V t f n 7 f S V E x P 3 5 v u q V u / N 9 1 G t 7 4 u q p 1 r 9 V 2 8 l 0 h G W v K 0 i i b D a 1 1 C t 9 t 1 b q t b 3 R j P C P L d U r e / d V Y x n b j k P E a Y Z V K 3 B i x G 2 u Z X q i v D M r d 6 L M M w t V e v 7 9 f O + H O K a 7 x q 9 9 z R f / a N / a 1 O 0 5 K r O 8 l S c 1 p u U 3 6 c 3 6 1 U L 3 7 1 y S 5 j D q t T A 3 H 1 I O Y N 7 e 5 / u 3 d / Z H M J 7 A u G 9 S y H 8 P n W 4 u z k m 9 i T C v E v c f e / T + / c p + t + k a D z R s C / u P b h P e Q 5 a q L + l M r X Y 3 r / 3 4 N O D e w / v U 6 Z j Z 9 O 7 n m R 4 7 9 6 n d M X D n Q d E p U 1 c 5 A n H + y H s q 1 T z J u U c d i j t M D 7 Y 1 K O v U M 2 L n + 4 c 3 N + 9 R w H r L b W p e W / 7 V i 9 G u O i 2 q v S 9 E I x w z W 3 1 6 H v 1 E + G V 2 1 E + w i h 7 9 y g p Q U Z 7 / O k m e f B 1 q K X 9 7 V 7 1 1 e h t q O K r z / d D 0 l e k t + o p w h e 3 6 8 l D c c + o u i c n 6 c O H 6 e v j 5 + S t n r w 5 T p / c 7 K d + u n N v h 9 b W b 9 a n t h P j p 9 o 3 3 6 u D Y e V q O r j 3 6 Y P d / Y P d v f H 9 T Z k j T z 7 M i / s P 7 n 9 6 n x z V 8 d 6 m F z 0 B M S 8 + I E d 6 / 9 5 m H e X J i X m N f H B y w v c f b j a R n q C 4 E e 5 8 + n B v f 2 f 8 Y N O L n q C Y F 8 m z J U + c / P B N / o 0 n J u + H q a 9 N 9 U 2 0 u 1 m D m m 6 2 d 6 E 5 K M r Y i J + v Q y 2 C t 3 o x w i y 3 e z H C L B u V Y o R H b t d R h E s 2 d t R n j g 0 U j z D E L S c 2 w h L b t 3 v V 1 5 y 3 G Z G v O d 8 P S V 9 z 3 q q n G D f c q i c P x X u h 5 j x 7 8 T k F + V + + v p 1 O 2 7 1 Z a V r 4 o d L c f c 8 O h p W m 6 Y B U 3 6 c P 7 5 H u O 7 i l O / p + L 3 o C Y V 7 c N D e e G N y m u S c F p v n u H n k h 9 3 Z 2 d 8 b 3 N 7 k h n k i 8 5 5 u e S N w G R V 8 3 a v v b 6 c Z b A Y 9 w z M b 2 E Q a 4 r T N 5 q / b v O d 2 + 2 r t V + / 6 E 3 0 7 t 3 Q r 4 e 8 6 s r + F u 1 f 4 9 J 9 f X a 7 d q / 7 6 T 6 5 r v h 9 r s V J R Z e v L t 0 5 / 4 6 v R 2 K m f v Z p 1 m e w l 1 2 t 5 7 d j C s 0 0 w H e / e Q k d k b 7 9 1 S p Z n 3 d i m b 8 + D h p 2 O w / e B 7 H o u b 9 2 6 p 0 U z z 7 V v 1 4 7 G 6 e f H e / q c 7 l D 2 4 d T x t 3 t v / l O L / v Y O x S W X c p N f e D 1 F f w + m b t 9 N w 7 0 V 2 X 9 W 9 J 3 4 R D r m t 0 n s / F N + T N X z t 9 3 4 d 9 X n j d m r w P Q k X Y Y l b v e h r x v d 7 M c I d t 1 W R 7 9 f R + / K E a 3 4 / r i v f v L q d G r t 3 s 5 6 0 P Y R 6 8 t 5 7 d j C s J 0 0 H D / f 2 H u 4 9 p I Q N e G R w 7 J 4 4 v N + L n j i Y F 2 + p K W / T 3 J M B 0 3 z / / v 0 H 9 + 7 v P h h / u m n u P X l 4 v x c 9 c b g N g r 5 e 1 P a 3 0 4 u 3 A h 7 h l 9 t 6 f r d q H 5 n 1 2 3 p + t 2 r / n r P t q 7 y b i R m Z 4 t t 6 f r d p 7 + u 3 W 7 V / z 8 n 1 1 d q t 2 r / v 5 L r m n 4 b a 7 I x W q X + f 9 O T L L 8 5 e n 3 3 5 4 n Y K Z / 9 m j W Z 7 C T W a C t u t O x j W a N r B M E t 4 7 H x j W 4 + V b 2 z r s b E Z 5 C 2 V l m m + d 3 D v 3 q 3 z e b d / y W P p 2 y D m K 6 s b B + 0 r q 1 s B j 7 D C b Z X V r d r 3 Z / f W y u p W 7 d 9 z l n 1 l d T M x I 9 N 7 W 2 V 1 m / a + s r p V + / e c X F 9 Z 3 a r 9 + 0 6 u a / 6 g o 6 x e v E k / P 3 5 x / P S 2 e b f 7 N 2 s q 2 0 W o q e 6 / Z w f D m s p 0 s L u 7 R + n G q P 9 k 3 v K 4 + j 3 e 8 n j b v L W J v B 5 r 3 6 a 5 x 9 k O J y R P D 8 b 7 n 9 5 O h 7 3 X e x 6 z 3 w Y 9 X 4 1 p + 9 u p s V s B j / D J b d X Y r d p H J v y 2 a u x W 7 d 9 z r n 0 1 d j M x I z N 8 W z V 2 m / a + G r t V + / e c X F + N 3 a r 9 + 0 6 u a 3 7 g 1 N j u z v 3 0 9 f s t u t I r O z f r M d u H p 8 f k z f f q Y F i P a Q f D D O E x 8 4 1 t P U a + s a 3 H x G a Q t 1 R Y p v n u g 3 v j g 1 s u D t z 6 H Y + d b 4 O W r 6 h u H L K v q G 4 F P M I I G 9 v 3 5 / X W i u p W 7 f v z e 2 t F d a v 2 / U m + n a K 6 F f D 3 n F l f U d 2 q / X t O r q + o b t X + f S f X N X 8 Y K q r 3 S n X R C 7 d I d d k e Q j V 1 m 1 S X 3 8 G w m t I O b q W m b m z r s f G N b T 0 W N o P c R H W P g 0 3 z e / s P x g 8 O b q e m b v 2 O x 8 y 3 Q c t X U z c O 2 V d T t w I e Y Y T b q q l b t e / P 7 a 3 V 1 K 3 a v + c c + 2 r q Z m J G Z v e 2 a u o 2 7 X 0 1 d a v 2 7 z m 5 v p q 6 V f v 3 n V z b / N 5 O q K b e L y y k N 2 4 O C 1 0 X o Z 6 6 T V j o d z C o p 0 w H t 9 F T N 7 d 1 f H x z W 8 f D d p C 3 0 1 O 2 + Y 0 6 x 3 H y 7 d 9 x 3 H w r t D w 9 d f O Q P T 1 1 O + A R R r i l n r p d + / 7 c 3 l Z P 3 a 7 9 e 8 6 x p 6 d u Q c z I 7 G 4 E / p 4 z 6 + m p 2 7 V / z 8 n 1 9 N T t 2 r / v 5 L r m u 7 6 e + v T 9 4 7 5 P d 2 5 W V L a P Q F F 9 q h j e u o N h R W U 6 2 N t 5 + O n O z q a R e 1 x 9 + 5 c 8 1 j Y v b W r u c b Y 2 H + Z U j 6 t v b O s x 9 Y 1 t P Y a + s a 2 v p 2 5 u H O G d j a w W 4 Y O N 7 S P T e l s 9 d a v 2 7 z m Z v p 6 6 V f v 3 m V F f T 9 3 c + H 3 m 1 N d Q N z f u z + m G x v 0 J 3 d C 4 P 5 s b B u j a 7 o V a 6 e y F R H m 3 U x i 7 N 2 s k C z / U S L v v 2 c G w R j I d 7 O 8 + 3 L u 1 R r r 9 S x 4 T m 5 d u q Z G 0 + f A s e P x 7 Y 1 u P f W 9 s 6 3 H v j W 1 9 j X R z 4 w j f 3 F Y j 3 a p 9 Z F p v q 5 F u 1 f 4 9 J 9 P X S L d q / z 4 z 6 m u k m x u / z 5 z 6 G u n m x v 0 5 3 d C 4 P 6 E b G v d n c 8 M A X d t 7 o U Z 6 z 7 T T p z e n n V w P o U 6 6 X d r J d T C s k 0 w H D w 7 g 7 9 x S J 9 3 + J Y + N z U u 3 1 E n a f H g e P A 6 + s a 3 H w D e 2 9 f j 3 x r a + T r q 5 c Y R z b q u T b t U + M q 2 3 1 U m 3 a v + e k + n r p F u 1 f 5 8 Z 9 X X S z Y 3 f Z 0 5 9 n X R z 4 / 6 c b m j c n 9 A N j f u z u W G A r u 2 + r 5 M e v H / s 9 m D n Z q 1 k + g i 1 0 g O d 3 F t 3 M K y V T A d 7 D + 7 d 3 z + 4 p V a 6 / U s e I 5 u X b q m V t P n w T H g 8 f G N b j 4 V v b O t x 8 I 1 t f a 1 0 c + M I 7 9 x W K 9 2 q f W R a b 6 u V b t X + P S f T 1 0 q 3 a v 8 + M + p r p Z s b v 8 + c + l r p 5 s b 9 O d 3 Q u D + h G x r 3 Z 3 P D A F 3 b + 6 F W e k 9 P 6 Y F 1 Z N 4 M 6 i T b Q 6 i T b u c p u Q 6 G d Z L p 4 G b 1 4 n H w 7 V / y 2 N i 8 d E u d p M 2 H 5 8 H j 4 B v b e g x 8 Y 1 u P f 2 9 s 6 + u k m x t H O O e 2 O u l W 7 S P T e l u d d K v 2 7 z m Z v k 6 6 V f v 3 m V F f J 9 3 c + H 3 m 1 N d J N z f u z + m G x v 0 J 3 d C 4 P 5 s b B u j a f u r r p I P 3 9 5 Q g z j d p J d t H o J W M I r h 1 B 8 N a y X R w / 8 G 9 v Z 1 7 D z 6 9 P z 4 4 u J 1 q C t 7 c v f 9 w d 7 x / O / V k X t x / 8 O m 9 8 Y O 9 2 y k p 8 9 L e / Y O H 4 7 1 N P X m 8 b V H c O d j f 3 b v / 8 P 7 4 4 c M N b 3 q M H r x J I e q n 4 w f 3 N 7 z p c f 3 t E f V V m r 5 1 O 5 V m u 9 h 9 s D / e 3 z R d v m I z b 2 3 f 4 r U I g 9 x W v 7 0 H c h G e u K 2 W e 4 9 e + v x w O 1 3 3 H h M Z m f 7 t m 1 / z 1 d 9 t x u 9 r w N s j 5 6 v C W / U S m f u b e / F Q e x C q x f d K s x / c I s 1 u 4 Y c q 8 X Z p d t f B s E o 0 H e z u 7 n + 6 v 3 N / 5 8 H e + O E m L e U x / / u + 6 k m A e f W W T t t t m n u c b x H b + f T g / n 3 K C D w c H 2 x S a J 4 c v O + r n j D c B k l f C 2 r 7 2 2 n B W w G P 8 M 1 t H b t b t Y / M / W 0 d u 1 u 1 f 8 8 Z 9 5 X d z c S M T P J G 4 O 8 5 s 7 5 + u 1 X 7 9 5 x c X 7 P d q v 3 7 T q 5 r f h D q t P c M P w 9 u E X 7 a H k K t d r v w 0 3 U w r N V M B 7 t 7 p J X u f / r p / Q f j g 0 0 a 3 e P s 9 3 3 V Y 3 L z 6 i 2 1 2 m 2 a e y x u m j / 8 d P f h / d 3 d B 7 d 0 7 t 7 n N Y / n b 4 O c r 8 2 0 / e 2 0 2 a 2 A R / j l t t r s V u 0 j c 7 6 x / X t O t K / N b t W + P 9 W 3 0 2 a 3 A v 6 e M + t r s 1 u 1 f 8 / J 9 b X Z r d q / 7 + S 6 5 g 9 D b X b 2 k 8 f p 7 5 O e f P n F 2 e u z L 1 / c T u H s 3 6 z R b C + h R l P F c e s O h j W a 6 W D 3 Y G f 8 8 N P b q b J b v + O x t n l n E 3 U 9 z r 5 N c 4 + x T f O 9 g 3 s U D S t 1 b t J g t 3 / J 4 / L b I O b r L 2 1 / O / 1 1 K + A R 7 r i t / r p V + 8 h E 3 1 Z / 3 a r 9 e 8 6 y r 7 9 u J m Z k e m + r v 2 7 T 3 t d f t 2 r / n p P r 6 6 9 b t X / f y b X N 9 3 c 6 + u v F m / T z 4 x f H T 2 8 b Z N 6 / U X m 5 L k L l p X H P r T s Y V F 6 2 g 3 v 3 D u 6 P Q b v B g T u m f o + X H G f b l 2 6 n v m 7 V 3 P G 1 Q + n + 3 s 5 4 7 3 Y h 5 X u 8 5 J j 8 V o h 5 6 s u 0 v 5 X 6 u h 3 w C H / c U n 3 d r n 1 k p j e 2 f 8 9 J 9 t T X 7 d r 3 p / l W 6 u t 2 w D G z 7 9 H e U 1 + 3 a / + e k + u p r 9 u 1 f 9 / J d c 1 3 P f W 1 e + + 9 1 w 1 2 7 + 3 c r L 9 s H 7 7 + 4 j f f q 4 N h / a U d D D O E x 8 w 3 t v U Y + c a 2 H h O b Q W 6 i u 8 f D p v k e 5 f N 3 9 j a 9 5 P H y 7 V / y G P o 2 i P m q 6 s Z B + 6 r q V s A j r L C x f X 9 m b 6 2 q b t W + P 8 O 3 V l W 3 a t + f 5 t u p q l s B f 8 + Z 9 V X V r d q / 5 + T 6 q u p W 7 d 9 3 c l 3 z v V B V v U 8 u f / f e 7 s 1 q y s I P 1 d T u e 3 Y w r K Z M B 5 v G 6 / H y b Z p 7 r H y b 5 h 4 n 3 6 a 5 x 8 i m + f 4 O P 7 f T V 7 d / y e P q 2 y D m 6 y t t f z t 9 d S v g E Z 6 4 r b 6 6 V f v 3 n G N f X 9 2 q / X v O s q + v b i Z m Z H p v q 6 9 u 0 9 7 X V 7 d q / 5 6 T 6 + u r W 7 V / 3 8 l 1 z e + F + u r 9 8 v S 7 9 2 7 O 0 7 s e Q o 1 1 q z y 9 1 8 G w x t I O h t n B Y + U b 2 3 p s f G N b j 4 X N I G + p q E z z 3 b 3 7 D 3 d 3 H t 5 S U 7 3 H W x 5 D 3 w Y 1 X 1 X d O G x f V d 0 K e I Q Z b q u q b t W + P 7 + 3 V l W 3 a v + e 8 + y r q p u J G Z n f 2 6 q q 2 7 T 3 V d W t 2 r / n 5 P q q 6 l b t 3 3 d y X f P 9 U F W 9 Z x J r 9 9 4 t k l i 2 i 1 B X 3 S q J 5 X U w r K t M B 5 u G 7 L H z b Z p 7 3 H y b 5 h 4 z 3 6 a 5 x 8 u m + f 6 m 9 h 4 7 3 6 q 9 x 8 6 3 Q c d X V N r + d o r q V s A j n H B b R X W r 9 u 8 5 s 7 6 i u l X 7 9 5 x b X 1 H d T M z I z N 5 W U d 2 m v a + o b t X + P S f X V 1 S 3 a v + + k + u a 3 / c U 1 f 7 9 9 0 5 X 7 d / f u V l T 2 T 5 8 T c V v v l c H w 5 r K d L D 7 6 Y N P D w 5 2 P x 1 r i H m T y g r e e w A W G 3 z L Y 2 / z 1 s O H G / v x G F z f G G Z Y j 7 l v b O v x 9 o 1 t P b 6 + s a 2 v r m 5 u H G G h G + j h a y z z y v Z N 7 0 Q m + b Z a 6 7 Z o R W b 2 t o r r t l 2 8 z / T 6 u u v m x u 8 z w b 7 W u r l x f 4 I 3 N O 5 P 7 Y b G / T n d M E D X 9 t N Q U 7 1 P t m r / / i 2 y V R Z + q K V u l a 3 y O h j W U q a D e / f u 3 3 t w / 9 7 + b b X U e 7 3 n c b N 5 7 5 Y e l j Y f n g u P i 2 9 s 6 z H x j W 0 9 H r 6 x r a + k b m 4 c 4 Z 7 b + l S 3 a h + Z 3 N t q p 1 u 1 f 8 / J 9 F X T r d q / z 4 z 6 e u n m x u 8 z p 7 5 e u r l x f 0 4 3 N O 5 P 6 I b G / d n c M E D X 9 k G o l 9 4 v K 7 V / / 9 7 N m s n 2 E G q m e + / Z w b B m M h 3 c u / / p v X v 7 9 / Z v p 5 f e 4 y 2 P k c 1 b t 9 R K 2 n x 4 J j w e v r G t x 8 I 3 t v U 4 + M a 2 v l a 6 u X G E d 2 6 r l W 7 V P j K x t 9 V K t 2 p / 2 8 m M a K V b w X + f G f W 1 0 s 2 N 3 2 d O f a 1 0 c + P + n N 5 O K 9 3 c u D + b t 9 J K B 6 F W e s 8 E 1 P 5 9 m x 8 a V k u 2 i 1 A t 3 X / P D o b V k u n g 4 c F t X a V b v u F x s H n j l u p I m 9 9 K H d 3 Y 1 u P d G 9 t 6 r H t j W 1 8 d 3 d w 4 w j S 3 V U e 3 a h + Z 0 N u q o 1 u 1 f 8 / J 9 N X R r d q / z 4 z 6 6 u j m x u 8 z p 7 4 6 u r l x f 0 4 3 N O 5 P 6 I b G / d n c M E D X 9 q G v j j 5 9 / z T T p z s 3 6 y P b R 6 C P 8 O Z 7 d T C s j 0 w H B / c f 3 t t / e H B v j F W B Q c b x + D h 4 8 d P 9 e + M H B 7 f T T u b F e / c e j j 9 V x R p 9 x 2 N q f W d 4 W j y G v r G t x 8 8 3 t v X Y + c a 2 v o q 6 u X G E k W 6 k i K + n z E v b N 7 8 V m e 7 b a q v b o x a Z 4 d u q r N t 3 8 j 7 T 7 O u t m x u / z 0 T 7 e u v m x v 2 J 3 t C 4 P 8 E b G v f n d c M A b V s k n 3 2 9 9 V 5 J p 0 9 3 b 9 R Z D n 6 o s 3 b f s 4 N B n W U 7 2 D 3 4 l D T 2 w 5 2 9 8 d 4 m r n H s / L 5 v O p 6 2 b 2 7 i a c f S p v n w f D h O v r m t Y + S b 2 z o + v r m t p 7 B u 0 T j C Q R s F P M I R G 9 t H J v i W W u p 2 7 d 9 z M j 0 F d b v 2 7 z O j n m 6 6 R e P 3 m V N P N 9 2 i c X 9 O N z T u T + i G x v 3 Z 3 D B A 1 3 Y 3 1 E 3 v m X j 6 9 O b E k + s h 1 E 6 3 S z y 5 D o a 1 k + l g 9 + G 9 B / c e H E A 1 D z K N x 8 P v 8 5 r H y u a 1 W + o l b T 4 8 F x 4 X 3 9 j W Y + I b 2 3 o 8 f G N b X y / d 3 D j C P b f V S 7 d q H 5 n a 2 + q l W 7 V / z 8 n 0 9 d K t 2 r / P j P p 6 6 e b G 7 z O n v l 6 6 u X F / T j c 0 7 k / o h s b 9 2 d w w Q N d 2 L 9 R L 7 5 t 6 g l d 7 k 2 K y X Y S K 6 X a p J 9 f B s G I y H d y 7 d 7 D Z z f Y 4 + N b v e F x s 3 r m l S t L m w 9 P g M f C N b T 3 + v b G t x 7 4 3 t v V V 0 s 2 N I 4 x z W 5 V 0 q / a R S b 2 t S r p V + / e c T F 8 l 3 a r 9 + 8 y o r 5 J u b v w + c + q r p J s b 9 + d 0 Q + P + h G 5 o 3 J / N D Q N 0 b e 9 Z l f Q i f X g v f X 3 8 X v m n T 3 c e 3 t u 5 W S n Z T p x S 0 j f f q 4 N h p W Q 6 e P D w Y P x g 7 3 Z K y b y z i c c 8 F j b N 9 z 4 9 e E g Z B j D U 4 G s e J 3 u v 7 e 7 v j L F + O v i a x 9 D 2 t Z 3 7 B w / v P x g / 2 K Q 1 P d 4 2 7 + 0 + e L h z s P t g v L f J A f T Y / H 3 Q 9 L W Y v n c 7 L X b r W f J V m X l p + + a 3 I g x x W 4 V 2 e 9 Q i L H F b r X b 7 T v q c c D v V 9 l 7 T G J n + 7 d u 8 6 G u 8 2 5 D A V 3 r v g 6 C v / 2 7 V T 2 T + b 9 O P h 9 5 + q A 1 v n 9 S C n t q 9 W R F a + K E i 3 H 3 P D o Y V o e n g w Q 7 l 4 D e p K I / 3 b / 2 O x / r m n V t 6 Z 7 d p 7 v G 8 a X 7 v 4 D 7 9 d b B 5 U c B j / / d 6 z 2 P / 2 6 D n a z 1 t f z u t F w G + U e H d q n 1 k y m + r 6 m 7 V / j 2 n 2 t d y t 2 r f n + z b K b h b A X / P m f X 1 2 a 3 a v + f k + n r s V u 3 f d 3 J d 8 / u h / n q f x B c U z L 2 b N Z j t I d R g 9 9 6 z g 2 E N p h 0 M s 4 P H y j e 2 9 d j 4 x r Y e C 5 t B 3 l J d m e b 3 7 u 3 d 2 / 3 0 0 / E t t d X 7 v O a x 9 G 2 Q 8 5 X V j Q P 3 l d W t g E f Y 4 b b K 6 l b t + z N 8 a 2 V 1 q / b v O d O + s r q Z m J E J v q 2 y u k 1 7 X 1 n d q v 1 7 T q 6 v r G 7 V / n 0 n 1 z X / N F R W Z z 9 5 n P 4 + 6 c m X X 5 y 9 P v v y x e 3 0 y f 7 N C s v 2 E i q s / f f s Y F h h a Q e 3 U l g 3 t v V Y + c a 2 H h u b Q d 5 S Y Z n m n + 7 t j v d u q a 1 u / Y 7 H 0 L d B y 1 d V N w 7 Z V 1 W 3 A h 5 h h N u q q l u 1 7 8 / t r V X V r d q / 5 x z 7 q u p m Y k Z m 9 7 a q 6 j b t f V V 1 q / b v O b m + q r p V + / e d X N f 8 Q U d V v U / i H m r k / s 1 6 y n Y R 6 i n N + 9 y 6 g 2 E 9 Z T q g 9 N X 4 4 a c b x u 3 x 9 K 3 f 8 f j a v L O J t B 5 b 3 6 a 5 x 9 W m + Y N P d 3 f G 4 I D B l z z u v v 1 L H o v f B j F f e W n 7 2 y m v W w G P c M d t l d e t 2 k c m + r b K 6 1 b t 3 3 O W f e V 1 M z E j 0 3 t b 5 X W b 9 r 7 y u l X 7 9 5 x c X 3 n d q v 3 7 T q 5 r f m A 0 y 7 d f p / s 7 a Z q + f p 8 c / + 7 u z v 7 O z s 3 6 y / Z i 9 Z d 5 8 7 0 6 G N Z f p o P 9 3 Y f 3 d x 5 8 u n 9 v j C z f I A E 8 5 v b e v L f / c G 9 / d w w S D r 7 p s b l 5 c / f + w f 7 O 7 m Y V 6 H G 7 v j b M v R 6 n 3 9 j W Y / Q b 2 3 p M f m N b X 3 f d 3 D j C T 7 c h i q / D z H v b t 3 o x M v O 3 V W b v h W B k t m + r 1 N 6 r n / e Z c l + 5 3 d z 4 f S b d V 2 s 3 N + 5 P + o b G / Z n e 0 L g / u x s G 6 N o + 7 K q y W 2 f o W c v c I k N v e w j V 2 M 0 Z + r C D Y T V m O n h w / 2 D 3 U 1 J 8 + + O D T c r I Y + v 3 f N N j b P P m J s b 2 + F q b D 8 + I x 8 s 3 t v V Y + c a 2 H i f f 2 N Z X X z c 3 j v D Q R i m P c M T G 9 p E J v q 2 2 u l X 7 9 5 x M X 0 v d q v 3 7 z K i v n W 5 u / D 5 z 6 m u n m x v 3 5 3 R D 4 / 6 E b m j c n 8 0 N A 7 R t P 9 3 p a q f 3 y L + z + r g 5 / + 7 6 C P X T z f n 3 s I N B / W Q 7 2 N 3 Z 2 9 n Z 2 f v 0 4 d 5 4 V 6 F H x + 8 4 + b 1 f d U x t X 7 2 d h j L N h 2 f F 8 f P N b R 0 7 3 9 z W c f P N b T 0 N d Y v G E T 6 6 p Y a 6 X f v I F N 9 S Q 9 2 u / X t O p q e h b t f + f W b U 0 1 C 3 a P w + c + p p q F s 0 7 s / p h s b 9 C d 3 Q u D + b G w b o 2 u 5 2 N Z S f d L + d C t m / W U f Z X k I d t f + e H Q z r K N P B w w e U l r q d b r r t K x 4 b m 1 d u q Z O 0 + f A 8 O A 6 + u a 3 H w D e 2 9 f j 3 x r a + T r q 5 c Y R z b q u T b t U + M q W 3 1 U m 3 a v + e k + n r p F u 1 f 5 8 Z 9 X X S z Y 3 f Z 0 5 9 n X R z 4 / 6 c b m j c n 9 A N j f u z u W G A r u 1 e T y e 9 R 3 a d N c b N 2 X X X S a i S b s 6 u h x 0 M q y T T A e U C 7 h 0 8 G D / c v Z 1 a e p / X P G 4 2 r 9 1 S N W n z 4 e n w G P n G t h 4 f 3 9 j W Y + M b 2 / q q 6 e b G E Q a 6 r W q 6 V f v I 1 N 5 W N d 2 q / X t O p q + a b t X + f W b U V 0 0 3 N 3 6 f O f V V 0 8 2 N + 3 O 6 o X F / Q j c 0 7 s / m h g G 6 t v d 8 1 b T 7 d T L n Y O q b d J P t J d B N u z q 9 t + 5 g W D e Z D n b v 3 X / w c P / e w f j h 7 T J O w Y s 7 e w / 2 x / f 2 b 6 e f z I s P K V E 1 x l + D L 3 l 8 r S 8 N z 4 z H 0 z e 2 9 V j 6 x r Y e R 9 / Y 1 t d S N z e O 8 N L N J P F 1 l X l r + x a v R W b 8 t i r r P Z C L z P J t F d d 7 9 P I + U + 2 r r 5 s b v 8 9 k + + r r 5 s b 9 y d 7 Q u D / H G x r 3 Z 3 b D A F 3 b / a 7 6 e q 9 s O Z j 3 J t V l e w h V l 3 o x t + 5 g W H W Z D v Y e 7 O 4 / 2 K P Y 7 Z a a 6 7 3 e 8 1 j a v H d L x 0 q b D 8 + G x 8 c 3 t v X Y + M a 2 H h f f 2 N Z X W T c 3 j v D P b R 2 r W 7 W P T O 5 t t d S t 2 r / n Z P r 6 6 V b t 3 2 d G f c 1 0 c + P 3 m V N f M 9 3 c u D + n G x r 3 J 3 R D 4 / 5 s b h i g a 3 u / q 5 n e M 1 M O L r p J N 9 k + Q t 2 k Z u f W H Q z r J t P B v d 2 D X U p 4 f 3 o 7 z f Q e b 3 m s b N 6 6 p V 7 S 5 s N z 4 X H x j W 0 9 J r 6 x r c f D N 7 b 1 9 d L N j S P c c 1 u 9 d K v 2 k Y m 9 r V 6 6 V f v 3 n E x f L 9 2 q / f v M q K + X b m 7 8 P n P q 6 6 W b G / f n d E P j / o R u a N y f z Q 0 D d G 0 / 7 e q l 9 8 6 P g y 9 u 0 k y 2 l 1 A z 7 b 9 n B 8 O a y X R w b / / B z v j T g 9 s p p t u / 5 L G y e e m W e k m b D 8 + F x 8 U 3 t v W Y + M a 2 H g / f 2 N b X S z c 3 j n D P b f X S r d p H p v W 2 e u l W 7 d 9 z M n 2 9 d K v 2 7 z O j v l 6 6 u f H 7 z K m v l 2 5 u 3 J / T D Y 3 7 E 7 q h c X 8 2 N w z Q t X 3 Q 0 0 v v m S P H N N + k l m w n o V q 6 / 5 4 d D K s l 0 8 H D v U / v 3 z a Q u / U 7 H h + b d 2 6 p l L T 5 8 E R 4 L H x j W 4 + D b 2 z r M f C N b X 2 l d H P j C O v c V i n d q n 1 k U m + r l G 7 V / j 0 n 0 1 d K t 2 r / P j P q K 6 W b G 7 / P n P p K 6 e b G / T n d 0 L g / o R s a 9 2 d z w w B d 2 w O j L 8 5 e p H v v n x 2 / t 7 N 3 m + y 4 7 c V p J X 3 z v T o Y 1 k q m g / 2 d h + Q s 3 t + 5 N 7 6 v + a s o A T x W N m / S y t 3 + / b 3 9 / Z 0 x 6 D 7 4 p m N q + + b e 3 g 6 h + e m 9 8 d 7 D 2 + k q f X F 4 f j z O v r G t x 9 g 3 t v X 4 + s a 2 v q 6 6 u X G E o 2 5 H F l 9 r m T e 3 b / l q Z P 5 v q 8 D e E 8 n I r N 9 W l b 1 n T + 8 z 9 b 5 S u 7 n x + 0 y + r 9 R u b t y f / A 2 N + / O 9 o X F / h j c M 0 L V 9 2 F V q t 8 + Z Q 9 / s 3 q z Q b A + h Q l O d c + s O h h W a 6 e B g 9 + D g 3 t 6 9 h w / G O 5 r 0 i g 7 e Y + 3 3 f N N j b f P m J t b 2 O F u b D 8 + I x 8 s 3 t v V Y + c a 2 H i f f 2 N Z X Y z c 3 j v D Q R j m P c M T G 9 p E J v q 3 G u l X 7 9 5 x M X 0 / d q v 3 7 z K i v n W 5 u / D 5 z 6 m u n m x v 3 5 3 R D 4 / 6 E b m j c n 8 0 N A 7 R t H + x 0 t d P 7 5 M 2 h P m 7 O m 7 s + Q v 1 0 i 7 x 5 0 M G g f r I d P H h A L t O n 9 + 7 d G 9 / 7 9 F b 6 y b 3 5 8 N N 7 e / c f P t w f P 1 C 1 G X 3 T s b R 9 c 3 t v 9 + H u w 0 8 / 3 R 3 f 0 7 g 2 + q Z j b v P m 8 P Q 4 x r 6 5 r e P r m 9 s 6 t r 6 5 r a e q b t E 4 w l C 3 p I u n t e y r t 3 w z w g C 3 f D P C A L f U Z O / b U 3 / a b 6 v T b k H 1 9 5 l 7 T 6 f d 3 N j T a b d o 3 J / 8 D Y 3 7 0 7 2 h c X + G N w z Q t d 3 t 6 r T 3 y m 1 B 5 9 y c 2 3 K d h E r t F r m t o I N h p W Y 6 e H j w 6 c 7 D 8 c O H t 1 N o 7 / G W x 9 X m r U 2 8 6 b G y N h + e D I + N b 2 z r c f G N b T 0 m v r G t r 8 F u b h x h n 4 2 C G u G E j e 0 j E 7 u x f W R K b 6 u i b t W + P 5 u 3 V k w 3 E / N 9 p t R X T D c 2 9 h X T z Y 3 7 c 7 q h c X 9 C N z T u z + a G A b q 2 e 0 Z n v D 5 O d 3 b T 1 8 f v l d 6 6 v 7 N z i / S W 6 8 Q p J n 3 z v T o Y V k y m g w N K 7 j 3 Y O R i D V w c Z x + N j 8 9 7 u / r 2 H + 7 s H u + M H B 7 f T T u b F + 3 s H O / t 7 9 z c v J X q M b T v c 3 d v 5 9 O D h w / G 9 T c k 0 j 8 P N i w 8 e 3 D / Y 3 y c b v 0 m N e s x u 3 t v b 3 3 3 w 6 S a q e D z / f k j 6 S s 2 8 e e / T h z t 7 e 7 v j h 5 s i a 1 / B m R e 3 7 9 M a y P 6 D e + O N u P q q z s 7 E r V 6 M 8 M z t X o w w z W 2 V 3 / t 1 F G G W 2 2 r B 9 6 N + h E k e 3 N / 9 l A R o M 3 P 5 2 t F O 2 6 3 e 9 F X l b c b m a 8 v 3 Q t H X n L f q K M I W t + r I Q / B e q E h v n 1 G D i t u 9 W Y d a + K E O 3 X 3 P D o Z 1 q O l g 9 / 6 D T 3 f 2 H t w f 7 3 1 6 O y X 6 f i 9 6 g m F e v K W L d 5 v m n j Q 4 t J B R v H c w f r h J R 3 v S 8 H 4 v e t J w G w R 9 b a n t N 9 j p C H / d 1 g W 8 V f v I 9 N / W B b x V + / e c b F / 5 3 a p 9 f 7 o 3 E D M y x R u B v + f M + t r t V u 3 f c 3 J 9 p X a r 9 u 8 7 u a 7 5 f q j L 3 i f / B m V z 7 2 Z t Z n s I t Z k a r F t 3 M K z N T A d 7 D / Y o z U / L S v d v q c 3 e 7 0 W P w c 2 L t 9 R m t 2 n u s b d p v v + A 8 o K b 3 v G 4 / N b v e J x + G 7 R 8 H a b t b 6 f D b g U 8 w i W 3 1 W G 3 a h + Z 6 9 v q s F u 1 f 8 8 5 9 n X Y z c S M z O 5 t d d h t 2 v s 6 7 F b t N 0 x u t P 1 7 T q 6 v w 2 7 T 3 k P n f q j D z n 7 y O P 1 9 0 p M v v z h 7 f f b l i 9 u p m f 2 b 9 Z j t J d R j + + / Z w b A e 0 w 6 G W c J j 5 x v b e q x 8 Y 1 u P j c 0 g b 6 m q T P N P 9 x 9 u U p 0 e K 9 / y D Y + Z b 4 O S r 6 Z u H K 6 v p m 4 F P M I E t 1 V T t 2 r f n 9 d b q 6 l b t X / P + f X V 1 M 3 E j M z t b d X U b d r 7 a u p W 7 d 9 z c n 0 1 d a v 2 7 z u 5 r v m n H T X 1 P s s C U C H 3 b 9 Z R t o t Q R 9 1 / z w 6 G d Z T p Y H / n 4 G B 3 f 7 y / S Y Y 9 t n 6 f 1 z z u N q 9 t I r D H 3 L d p 7 v G 2 a U 5 p r w f j / d u p r 1 u / 4 7 H 5 b d D y F Z i 2 v 5 0 C u x X w C I f c V o H d q n 1 k p m + r w G 7 V / j 3 n 2 F d g N x M z M r u 3 V W C 3 a e 8 r s F u 1 f 8 / J 9 R X Y r d q / 7 + S 6 5 g 8 8 B X b v 0 / d f Q L j 3 6 c 7 N K s x 2 4 q s w f v O 9 O h h W Y a a D g 7 1 7 n 1 L a b 3 8 M M g w O 3 2 N t 8 y I t b d 7 b O d j b G Y N 1 B l / 0 e N y 8 e G + H V h 7 2 d i j R e D t 9 Z t 5 7 e H / n / r 3 7 e 2 M k L A f f 8 3 j e v L d 3 7 + H B g 4 c P d 8 Y P H 9 x O u 5 k X d x 8 + o D E + o B G q 5 b h J x b 0 X p r 6 u M y / e 3 9 v 7 9 M E 9 y m N v e i / C i n u 0 n H P / 4 P 7 + + P 6 m u f A V o H l z + 5 a v R j j n t r r w P Z G M c M x t t e J 7 9 h T h l V t N Q I R V 9 v c e H H x K s n C w c c Y j r L J 9 q z d 9 7 X k b o v j a 8 7 1 Q 9 N X o r T q K 8 M W t O v I Q P A j 1 6 f u s I 9 z 7 9 B b r C B Z + q E p v t Y 7 g d T C s S k 0 H u / f 2 H u 7 d f / C A B P 9 2 q t R / c f f g Y G d 3 v L d / O 1 1 q 3 v z 0 4 Y P d z X 6 k J x 7 m p U 0 T 6 s m E a X 7 / Y I d E Y o / y g p v U o C c U 7 / e i J x S 3 Q d B X m 9 o e 7 W 7 W l b c n m a 8 n z V v b t 3 g t w h K 3 1 Z H v g V y E C 2 6 r H 9 + j l z 4 f b K B y Z O 4 3 o v S e U + 5 r v 1 u 1 j 8 z 6 x v a R + d 7 Y / n 0 n 2 j V / G O q 6 9 1 t n o N z 8 z d r O 9 h B q u 1 u t M 3 g d D G s 7 0 8 E B e X E P H u 5 s E m 2 P w Y O 3 P j 3 Y u / W S q X l x d + c B Y s 1 b q j r 3 1 n 2 4 t r f 0 G M 1 b + z v 3 H z 5 4 c P / T 8 T 0 1 E j d p v P d 7 0 W P / 9 8 D T V 3 z v 8 1 q E + / b 2 y E T t 3 1 I D m p e 2 b 3 4 r w i W 3 V Y C 3 R y 3 C G 7 f V f 7 f v J M I U t 6 F 1 h C V u q w h v 0 9 5 X h L d q H 5 n 7 2 y r C W 7 V / 3 w m 3 z Q 9 2 Q k X 4 / o s V 9 z 7 d v 1 E Z u l 5 C Z a h T f + s O B p W h 7 e A e B X z j 3 U 2 8 4 X j 9 P V 5 y v G 5 f 2 k R f x + q 3 a u 6 Y 3 D a / f / / T g 1 u p v N u + 4 T j 8 V i h 5 S s 6 0 R 7 s b V d v t g E c 4 Y 2 P 7 y E T f U p / d r v 1 7 T q + n y m 7 X v j / B G 4 g Z m d u N w N 9 z Z j 3 d d b v 2 7 z m 5 n u 6 6 X f v 3 n V z X f L e j u 9 5 v B e P e p z e v Y L g u Q s V 1 q x U M r 4 N h x W U 6 O K C H A l a w 1 u D Q P b Z + n 9 c 8 7 j a v b S K w x 9 y 3 a e 7 x t m m + e 3 9 3 9 8 G m 0 N t j 8 V u / 4 7 H 5 T W h 1 F Z i 2 v 5 0 C u x X w C I f c V o H d q n 1 k p m + r w G 7 V / j 3 n 2 F d g N x M z M r u 3 V W C 3 a e 8 r s F u 1 f 8 / J 9 R X Y r d q / 7 + S 6 5 n u e A t v f f / 8 V j P 3 9 n Z t V m O 3 E V 2 H 8 5 n t 1 M K z C T A d 7 u w 8 O 9 g 4 e 0 I L q x j y T x 9 v u z Y d 7 u / c e U K I Y n D / 4 p s f l 5 s 3 7 n 9 4 f 3 9 + k N j x O N + / s 3 j u 4 / + n O / c 1 K 0 + N 4 i + X 9 e / c e P t z d / / T e + O B 2 G T j / 1 b 1 P 7 z 3 c e 3 h v / P D g d k r u v b D 1 t Z 1 5 8 d 4 9 S r 6 P 9 x 5 u e i 3 C i 9 v o c O f e w / H 9 j W 9 G G O x 2 L 0 Y Y 5 3 Y v R v j m t j r x / T q K s M x t l e P 7 0 D 7 C J r u 0 W L X 7 6 c P x w S a O 9 v W l N 2 m 3 e N P X n L c Z m a 8 5 3 w t F X 4 X e q q M o U 9 y i I w / B e 6 E u f Z / V i / 3 9 3 Z v V q I U f q t H d 9 + x g W I 2 a D o h z 7 t + / R y s 3 m 1 f N P H F 4 z z c 9 w T B v 3 t I f v E 1 z T x p M 8 / v I N O 7 v 7 B 3 s j + 9 t Q s y T i P d 9 1 Z O J 2 y D p 6 0 t t j 3 Y 3 a 8 l b A Y 9 w z c b 2 E S b Y 2 D 4 y 9 b f V h L d q / 5 4 z 7 i v A m 4 k Z m e S N w N 9 z Z n 0 d d 6 v 2 7 z m 5 v m q 7 V f v 3 n V z X f D / U a O + 3 R r G / f + 9 m n W Z 7 C H X a v f f s Y F i n m Q 7 u f / p w 5 9 P 9 X d j E W + q 0 9 3 z T Y 3 H z 5 i 1 1 2 m 2 a e w x u m u 8 / o D U G M f P 3 P 7 2 d T n v f V z 3 O v w 2 S v k 7 T 9 r f T a b c C H u G a 2 + q 0 W 7 W P T P 1 t d d q t 2 r / n j P s 6 7 W Z i R i b 5 t j r t N u 1 9 n X a r 9 u 8 5 u b 5 O u 1 X 7 9 5 1 c 1 / x + q N P e f 7 l h f 3 / / Z r 1 m e w n 1 2 v 5 7 d j C s 1 7 S D Y Z b w 2 P n G t h 4 r 3 9 j W Y 2 M z y F s q L t P 8 9 i s L t 3 z D Y + b b o O S r q R u H 6 6 u p W w G P M M F t 1 d S t 2 v f n 9 d Z q 6 l b t 3 3 N + f T V 1 M z E j c 3 t b N X W b 9 r 6 a u l X 7 9 5 x c X 0 3 d q v 3 7 T q 5 r / m l H T b 3 f y s L + / v 2 b d Z T t I t R R m l i 6 d Q f D O s p 0 s L t z 7 / 6 n n 4 7 v 7 2 0 Y u s f W 7 / O a x 9 3 m t U 0 E 9 p j 7 N s 0 9 3 j b N 7 + 1 + + i m l 3 + 6 p h 3 q T B n u f 1 z x m v w 1 y v h r T 9 r d T Y 7 c C H u G T 2 6 q x W 7 W P z P d t 1 d i t 2 r / n T P t q 7 G Z i R i b 4 t m r s N u 1 9 N X a r 9 u 8 5 u b 4 a u 1 X 7 9 5 1 c 1 / y B U 2 O 7 u w / f L 4 K k F 2 4 R Q d o e P C 0 m b 7 5 X B 8 N a z H T w Y J / W C H Z 2 N g 3 c Y + r 3 e M t j b f P W L X W Y N h / m V I + r b 2 z r M f W N b T 2 G v r G t r 6 d u b h z h n d v q q V u 1 j 0 z s b f X U r d q / 5 2 T 6 e u p W 7 d 9 n R n 0 9 d X P j 9 5 l T X 0 P d 3 L g / p x s a 9 y d 0 Q + P + b G 4 Y o G t 7 4 G m l / Q f p 6 / d b 9 K R X d m 7 Q S 3 4 f v l 7 i N 9 + r g 2 G 9 Z D r Y P f j 0 4 G D / 4 O G n O + O D 2 + m m 8 M 0 H u w c H 4 3 u 3 d L L s q w 8 e 7 I 3 3 N / X n M b a + N D w 1 H l P f 2 N b j 6 R v b e i x 9 Y 1 t f T d 3 c O M J M N 5 P E V 1 b m r e 1 b v B a Z 9 N v q r P d A L j L L t 9 V c 7 9 H L + 0 y 1 r 7 9 u b v w + k + 3 r r 5 s b 9 y d 7 Q + P + H G 9 o 3 J / Z D Q N 0 b R + G + u s 9 V h q p u V 0 I f N N B J g I / 1 F 2 7 7 9 n B s O 4 y H d z b + X T 3 3 s 7 D / f u 7 4 5 3 9 2 y m v 9 3 3 V Y 2 v z 6 i a 2 9 r h a m w / P i M f L N 7 b 1 W P n G t h 4 n 3 9 j W V 1 s 3 N 4 7 w 0 E Y Z j / D E x v a R K b 6 t p r p V + / e c T F 9 H 3 a r 9 + 8 y o r 5 1 u b v w + c + p r p 5 s b 9 + d 0 Q + P + h G 5 o 3 J / N D Q O 0 b R / u h N r p / W K + / Q c 3 x 3 y u h 1 A / 3 S r m 8 z o Y 1 E + 2 g 7 2 H u 5 8 + J G / s 4 N P x v U 9 v p Z / e + 1 X H 0 v b V 2 + k n 0 3 x 4 T h w 3 3 9 z W M f P N b R 0 v 3 9 z W 0 0 + 3 a B z h o l v q p 9 u 1 j 0 z x L f X T 7 d q / 5 2 R 6 + u l 2 7 d 9 n R j 3 9 d I v G 7 z O n n n 6 6 R e P + n G 5 o 3 J / Q D Y 3 7 s 7 l h g K 7 t b q i f 3 n s F k F 7 a v 1 l H 2 V 5 C H b X / n h 0 M 6 y j T w b 2 9 h / v j h 7 d T T r d + x 2 N k 8 8 4 t t Z I 2 H 5 4 J j 4 d v b O u x 8 I 1 t P Q 6 + s a 2 v l W 5 u H O G d 2 2 q l W 7 W P T O p t t d K t 2 r / n Z P p a 6 V b t 3 2 d G f a 1 0 c + P 3 m V N f K 9 3 c u D + n G x r 3 J 3 R D 4 / 5 s b h i g a 7 v X 0 U r v t e B H b 9 y 8 4 O e 6 C F X S b R b 8 / A 6 G V Z L p Y G / v 0 9 3 x g 0 9 v p 5 N u / 5 L H x + a l W y o l b T 4 8 E R 4 L 3 9 j W 4 + A b 2 3 o M f G N b X y n d 3 D j C O r d V S r d q H 5 n W 2 y q l W 7 V / z 8 n 0 l d K t 2 r / P j P p K 6 e b G 7 z O n v l K 6 u X F / T j c 0 7 k / o h s b 9 2 d w w Q N f 2 n q + U D t 4 / U X 6 w c 7 N W s n 0 E W u l A J / f W H Q x r J d P B v Q e 7 O 3 t 7 + 7 s 3 L M N 7 j B y 8 u X u w t z f e v Z 1 6 M i / e f 7 g 7 3 t v U m c f V + s 7 w v H g c f W N b j 6 F v b O v x 8 4 1 t f R 1 1 c + M I J 9 1 I E V 9 R m Z e 2 b 3 4 r M t + 3 V V e 3 R y 0 y w 7 f V W b f v 5 H 2 m 2 V d c N z d + n 4 n 2 F d f N j f s T v a F x f 4 I 3 N O 7 P 6 4 Y B u r b 7 o e J 6 r w z 5 w e 7 N S s v C D 5 W W q o d b d z C s t E w H D / b 3 d v b 3 d w 8 o X N u k e z x 2 f s 8 3 P Z 4 2 b 9 7 S q d L m w / P h c f K N b T 1 G v r G t x 8 c 3 t v U V 1 s 2 N I x x 0 W 6 f q V u 0 j E 3 x b L X W r 9 u 8 5 m b 6 C u l X 7 9 5 l R X z f d 3 P h 9 5 t T X T T c 3 7 s / p h s b 9 C d 3 Q u D + b p v F G 3 X Q / 1 E 3 v m R 8 / u H e z d r I 9 h N p J z c 6 t O x j W T q a D B w c 7 D 3 b x 0 u 1 U 0 / u 8 5 r G y e e 2 W e k m b 3 0 o v 3 d j W Y + I b 2 3 o 8 f G N b X y / d 3 D j C P b f V S 7 d q H 5 n a 2 + q l W 7 V / z 8 n 0 9 d K t 2 r / P j P p 6 6 e b G 7 z O n v l 6 6 u X F / T m + n l 2 5 u 3 J / N W + m l T 0 O 9 9 D X y 4 g f 7 N + s m 2 0 u o m 1 Q V 3 L q D Y d 1 k O t i 9 t z P e u 5 1 e u u 0 r H h u b V 2 6 p k 7 T 5 8 D x 4 H H x j W 4 + B b 2 z r 8 e + N b X 2 d d H P j C O f c V i f d q n 1 k S m + r k 2 7 V / j 0 n 0 9 d J t 2 r / P j P q 6 6 S b G 7 / P n P o 6 6 e b G / T n d 0 L g / o R s a 9 2 d z w w B d 2 w c d n f S e W f G D + z c r J N t F q J D u v 2 c H w w r J d P D p p w e 3 D u J u / Y 7 H x e a d W 6 o k b T 4 8 D R 4 D 3 9 j W 4 9 8 b 2 3 r s e 2 N b X y X d 3 D j C O L d V S b d q H 5 n U 2 6 q k W 7 V / z 8 n 0 V d K t 2 r / P j P o q 6 e b G 7 z O n v k q 6 u X F / T j c 0 7 k / o h s b 9 2 d w w Q N f 2 w F N J n + 6 + d 0 7 8 U 7 D 0 T T r J 9 u H r J H 7 z v T o Y 1 k m m g 0 9 3 d g 9 2 D v b G 9 2 7 p K b 3 X e x 4 7 m / d u q Z u 0 + f B 8 e J x 8 Y 1 u P k W 9 s 6 / H x j W 1 9 3 X R z 4 w g H 3 V Y 3 3 a p 9 Z H J v q 5 t u 1 f 4 9 J 9 P X T b d q / z 4 z 6 u u m m x u / z 5 z 6 u u n m x v 0 5 3 d C 4 P 6 E b G v d n c 8 M A X d u H o W 5 6 n 7 T 3 p + D Q m / S S h R / q J X V Q b t 3 B s F 4 y H e z u 7 d z 7 d H d v d / z g w e 0 U 0 / u 9 6 D G z e f G W m k m b D 8 + G x 8 c 3 t v X Y + M a 2 H h f f 2 N b X T D c 3 j v D P b T X T r d p H p v e 2 m u l W 7 d 9 z M n 3 N d K v 2 7 z O j v m a 6 u f H 7 z K m v m W 5 u 3 J / T D Y 3 7 E 7 q h c X 8 2 N w z Q t L 2 / s x N q p v d L e n 8 K H t q s m 7 w e Q t 1 0 q 6 S 3 1 8 G Q b n I d 7 O 7 d P 7 i 3 t 3 8 w 3 n l 4 G 9 3 0 v i 9 a d n Y v 3 k o 3 2 e b D 8 2 E 5 + R Z t L S P f o q 3 l 4 1 u 0 d b r p N o 0 j H H Q 7 3 X T L 9 p H p v Z 1 u u m X 7 9 5 x M p 5 t u 2 f 5 9 Z t T p p t s 0 f p 8 5 d b r p N o 3 7 c 7 q h c X 9 C N z T u z + a G A b q 2 u 6 F u e v / E 9 6 f g i 5 v 0 k + 0 l 1 E / 7 7 9 n B s H 4 y H e w d j P d u 5 T X d / h W P j c 0 r t 9 R J 2 n x 4 H j w O v r G t x 8 A 3 t v X 4 9 8 a 2 v k 6 6 u X G E c 2 6 r k 2 7 V P j K l t 9 V J t 2 r / n p P p 6 6 R b t X + f G f V 1 0 s 2 N 3 2 d O f Z 1 0 c + P + n G 5 o 3 J / Q b u O 4 T r q x s Y f F X k c n v V / i + 1 N M 8 k 0 K y X Y R K q R b J b 6 9 D o Y V k u l g 9 + E t w 7 j b v + L x s H n l l g p J m 9 9 K I d 3 Y 1 u P e G 9 t 6 z H t j W 1 8 h 3 d w 4 w j a 3 V U i 3 a h + Z 0 t s q p F u 1 f 8 / J 9 B X S r d q / z 4 z 6 C u n m x u 8 z p 7 5 C u r l x f 0 5 v p 5 B u b t y f z Q 0 D d G 3 v e Q r p w f 3 3 T n s / u L 9 z s 0 a y f f g a i d 9 8 r w 6 G N Z L p 4 M H D h / t 7 + + O d / d t p J f P a p w / H n 9 5 O K X k d 3 b u / P 9 7 f 1 J H H z v r a 8 I R 4 r H x j W 4 + T b 2 z r M f K N b X 3 l d H P j C A v d h i i + k j L v b d / q x c h 0 3 1 Z b v R e C k d m + r d Z 6 r 3 7 e Z 8 p 9 7 X V z 4 / e Z d F 9 7 3 d y 4 P + k b G v d n e k P j / u x u G K B r u x 9 q r / d J j D + 4 v 3 u z 5 r L w Q 8 2 1 + 5 4 d D G s u 0 8 H u w 4 O 9 3 X s 7 Y 4 x + k G c 8 l v b f u 3 d / 7 9 Z e l X l v e 2 + P X t r E o B 5 f 6 0 v D M + L x 8 o 1 t P V a + s a 3 H y T e 2 9 d X X z Y 0 j P H Q z S X z l Z d 6 6 + a X I b N / 8 U m S q b + t r 3 b 6 T / h T f 2 u G 6 m c L v M 8 + + y r q x s a + y b m 7 c n + g N j f v z u 6 F x f 1 4 3 D N C 1 v d 9 R W e + d l X p w f / 9 m x W V 7 C R W X s s O t O x h W X K a D 3 X s P x 3 u 3 0 1 m 3 f c X j Z f P K L Y N A b T 4 8 D x 4 H 3 9 j W Y + A b 2 3 r 8 e 2 N b X 1 H d 3 D j C O b c N A m / V P j K l t 3 W r b t X + P S f T 1 0 m 3 a v 8 + M + r r p J s b v 8 + c + j r p 5 s b 9 O d 3 Q u D + h G x r 3 Z 3 P D A F 3 b T 3 2 d 9 O n 7 B 4 G f 3 i I I t H 0 E G u l T n d x b d z C s k U w H D + 4 / u L f / 6 R h / D 7 K N x 8 X m t d 2 H n z 6 4 t z t + o L 5 d 9 D W P m c 1 r 9 z / d o S z + + N 7 9 2 2 k o f W 1 4 V j x + v r G t x 8 4 3 t v W 4 + c a 2 v o a 6 u X G E j 2 5 D F F 9 T m f e 2 b / V i Z M 5 v q 7 L e C 8 H I b N 9 W d b 1 X P + 8 z 5 b 4 K u 7 n x + 0 y 6 r 8 J u b t y f 9 A 2 N + z O 9 o X F / d j c M 0 L V 9 E K q w 9 4 o E P 7 1 F J G j h h + r r d p G g 6 2 B Y f Z k O d g 9 2 d / Y e f D o G W w z y j M f S / n s P 7 9 8 b b 2 I 1 j 6 P N a 9 u f P n g w v r c p 6 v T Y W l 8 a n h C P l W 9 s 6 3 H y j W 0 9 R r 6 x r a + 9 b m 4 c Y a G b S e L r L v P W z S 9 F J v v m l y I z f V t / 6 / a d 9 K f 4 1 k 7 X z R R + n 3 n 2 N d a N j X 2 N d X P j / k R v a N y f 3 w 2 N + / O 6 Y Y C u 7 U G o s U 5 F Y a V v X t 1 O p d y 7 W W f Z H k K d p a x w 6 w 6 G d Z b p 4 N 7 D e 7 s 7 u x t V j 8 f H 7 / G W x 8 3 m r V u G g t p 8 e C Y 8 H r 6 x r c f C N 7 b 1 O P j G t r 6 q u r l x h H c 2 S m m E E z a 2 j 0 z s b f 2 q W 7 V / z 8 n 0 t d K t 2 r / P j P p a 6 e b G Z k 5 v 0 9 j X S j c 3 7 s / p h s b 9 C d 3 Q u D + b G w b o 2 j 4 M t d L X S E 9 9 u n + z Z r K 9 h J p p / z 0 7 G N Z M p o N 7 n + 6 O H 9 4 y P 3 X r d z x G N u / c U i t p 8 + G Z 8 H j 4 x r Y e C 9 / Y 1 u P g G 9 v 6 W u n m x h H e u a 1 W u l X 7 y K T e V i v d q v 1 7 T q a v l W 7 V / n 1 m 1 N d K N z d + n z n 1 t d L N j f t z u q F x f 0 I 3 N O 7 P 5 o Y B 2 r b g S N E X X 7 Z 1 1 a S n 5 / m 0 L S 7 p t + v 0 9 B f d p D Q e 3 q i P H H z 3 y i 1 h D q o g C / P e / s O H e w c U m z 0 c f 3 o 7 D + m 9 X 3 U 8 b F + 9 n U K 6 V X P H w R 5 i n 9 7 7 9 N 4 + 5 e X G B 5 s i C 8 f P 7 t X 7 9 O z c u 3 + w O z 7 Y 3 f C q 4 + 5 b I e k p L d v + 4 e 7 B p w c H e z v j h w e b 3 o z w 2 S 0 1 2 O 3 a R 3 j i l h r s d u 3 f c / Y 9 D X a 7 9 p H 5 v y V l I 9 O / f c t X I 9 N / u z c 9 T f e + b 7 4 n I 3 i a 7 3 1 7 e l + W c M 1 3 r S Z 8 8 4 q i x d N n p y d v z n 6 S f v t 9 0 t O f u F F r 7 e 7 Q s 3 u z P r S 9 G P / M v v l e H Q w r R + 1 g W P l 7 Q n B j W 0 8 A b m z r M b 8 Z 5 C b K e 7 x / m + Y e w 5 v m t + M I j 9 1 v 0 4 + v 7 d 6 v I 1 / b 3 a q n C F d s b N + f 5 F t r u 1 u 1 7 0 / 2 r b X d r d p H Z v y W l I 1 M / t f Q d u / X q a / t 3 v P N 9 2 Q E X 9 u 9 Z 0 / v y x K u + V 6 o 7 S i r / z p 9 8 W X 6 8 u W b 4 + e 3 0 0 V 7 N y s 7 2 0 m o 7 D Q C v H U H w 8 r O d H B b d 8 4 T i f d 9 1 Z M O 8 + o m U n v C c Z v m n m w 4 x N 7 b E 3 z f V z 3 h u A 2 S v m 7 U 9 s P m w F e H t w I e 4 Z v b q s N b t Y / M / W 3 V 4 a 3 a v + e M + + r w Z m J G J n k j 8 P e c W V / Z 3 a r 9 e 0 6 u r + J u 1 f 5 9 J 9 c 1 v 2 d 0 z t O 8 z q d z i m S z 9 F U + L S Z F n Z 7 e o H h u o d I s e P v G 7 S A O 6 z A D 8 e D + w c P 7 D / Y e 3 t 8 7 G N / f v 5 0 S c + / e + / T B / q c P H 9 w / G B 8 o T j d p M f M u W Z q H n + 4 9 2 N s 5 G O / v 3 k 6 j 2 V f v 7 e + i 4 3 s H 4 0 8 f 3 k 6 7 m V c / 3 d / Z v b f z 8 M H e v f u b F / E 9 z r f v 3 n u w 8 + D B w Q M s v + 1 v o p Q n B e + L s q / r 7 L s 7 9 z 7 d u f / g 4 G B n / G C j 0 x F h R 5 r V v f s P H 3 z 6 c P x g 0 / z 4 W t C 8 u n 3 b d y N M d V u N + L 5 o R v j o t s r x f b u K M M + t J y L C P P d 2 7 h P f 3 b / / Y P x w E 7 f 7 G t R O x C 3 f 9 b X p b a j j a 9 P 3 R N N X r L f q K s I j t + z K Q 3 L f K M G T d b 5 s s y Z d V X V 6 U k 3 q r E 6 z m z T i L Z S s h e 9 e u S X M Y T V r Y H 6 6 9 + m n D + 7 d e / j g 4 N P x v U 2 M 5 0 n H e 7 / r i Y d 5 9 5 b O 4 m 2 a e x J h m u 9 / + u D h z t 7 + w f 1 P 7 2 8 2 H p 5 E v P e 7 n k j c B k 1 f h d 6 q f Y T D b u s x 3 q p 9 h B t u q x 9 v 1 f 4 9 Z 9 1 X i r d q H 5 n 3 j e 0 j c 3 1 b p / E 2 7 X 0 1 d 6 v 2 7 z m / v m 6 7 V f v 3 n V / X / L 5 R O D / 5 5 j h 9 c n b 6 4 h R p v 9 e n r 3 7 y 9 Y 2 q B 7 H q g 3 s 3 K z X b h w b D 7 s 3 3 6 m B Y w 5 k O 7 i N 4 v p 1 i u + 0 r H m e b V 2 6 p z 7 Q 5 m m 1 S Z r d r 6 z H 0 j W 0 9 Z r 6 x r a + p b m 4 c 4 Z v b q q l b t Y 9 M 6 W 3 V 1 K 3 a v + d k + m r q V u 0 9 N X U z M d 9 n S n 0 F d W N j X z v d 3 L g / p x s a 9 y d 0 Q + P + b G 4 Y o G v 7 q d E W x y + / f P X m + O T s y x f p 6 6 d f 3 q g s 7 p E g H + z c r I 0 s f K u N z J v v 1 c G w N t I O h g f r s e 2 N b T 2 W v b G t x 6 5 m k J v Y 1 e P W 2 z T 3 + P U 2 z T 2 O v U 1 z X x H d q n 2 E Y 2 6 r i 2 7 V v j + h t 9 Z F t 2 r f n 9 h b 6 6 J b t X / P 2 f X V 0 a 3 a v + f 8 + k r p V u 3 f c 3 5 9 1 X S r 9 u 8 7 v 6 7 5 A 6 N A X h 6 / e n N 2 c v a S d d T p z f 4 S K 5 D d m z W U 7 S D U U B q i 3 r q D Y Q 1 l O t j b O 7 i / f + / h 7 u 7 + g / G m A N j j 7 f d 9 1 W N z 8 + o m M n t c f p v m H p O b 5 r u f 7 u 7 d + 3 T v Y H f v 4 f j e g 9 v p s / d + 1 2 P + 2 6 D p K z d t P 6 z F f c 1 2 K + A R z r m t Z r t V + 8 j s 3 1 a z 3 a r 9 e 8 6 5 r 9 l u J m Z k l m + r 1 m 7 T 3 l d r t 2 r / n p P r q 7 V b t X / f y X X N D 4 z W c X 7 X b X X a L R J b F n q o 0 2 7 O b 4 U d D O s 0 0 8 H e / v 7 e z v 4 u L w H e 0 x D z J q X 2 3 u 9 6 L G 7 e v a V W u 0 1 z j 8 F N 8 9 3 7 e / c o 9 7 u 7 v 7 M / v v f p 7 b T a e 7 / r 8 f 5 t 0 P S 1 m r a / n V a 7 F f A I 7 9 x W q 9 2 q f W T 6 N 7 Z / z y n 3 t d q t 2 v c n / X Z a 7 V b A 3 3 N m f a 1 2 q / b v O b m + V r t V + / e d X N f 8 o d E 7 J 1 + + + M n T F 2 d f 3 l K l 3 S K t Z U G H K u 3 m t F b Y w b B K M x 3 c u / f p / s O 9 h y T E 4 0 1 O i c f R 7 / m m x 9 v m z U 3 k 9 V j 7 N s 0 9 z j b N d / d 2 9 z 6 l 1 d e D / f H D T a s J H p + / 7 6 s e y 9 8 G S V + Z a f v b K b N b A Y 9 w z W 2 V 2 a 3 a R 6 b + t s r s V u 3 f c 8 Z 9 Z X Y z M S O T f F t l d p v 2 v j K 7 V f v 3 n F x f m d 2 q / f t O r m 2 O k Y j G e f P q + M X r 9 O z F G 8 r V H 7 8 + + z x 9 n b 6 8 l d r B O u c N e s 3 1 E u g 1 s 0 J 6 6 w 4 G 9 Z r t 4 O D + P U j y 7 o N P x z u 3 U 2 z v / a p j d P v q 7 T T b r Z o 7 N r f N P 7 3 H i 4 r 3 H t 4 b 7 9 9 O s 7 3 3 q 4 7 / b 4 W k p 9 l M + 1 t p t t s B j / D N L T X b 7 d p H 5 n 5 j + / e c c E + z 3 a 5 9 f 8 p v p d l u B / w 9 Z 9 b T b L d r / 5 6 T 6 2 m 2 2 7 V / 3 8 l 1 z X e N z n n 9 1 Z P X Z 0 / J T c M q 5 F d P y G U 7 u Z 3 e u d l h c 5 2 E i u 1 2 D p v r Y F i x m Q 7 u 7 e / u f E o q 6 u H e e H e T J H v M / b 6 v e n x u X t 1 E a o / N b 9 P c 4 3 L T / M H B g 0 9 3 d 3 c / v U / a 6 X Z p t f d + 1 W P / 2 y D p K z Z t f z v F d i v g E b 6 5 r W K 7 V f v I 3 N 9 W s d 2 q / X v O u K / Y b i Z m Z J J v q 9 h u 0 9 5 X b L d q / 5 6 T 6 y u 2 W 7 V / 3 8 l 1 z f e M z o H L 9 i x 9 d v b 0 9 O w k / e L 4 x d P j N 1 8 C x M 2 K 5 9 O b N Z v t J d R s n 7 5 n B 8 O a z X R w s C P P 7 Z T a e 7 z l s b d 5 6 5 b 6 T J s P c 6 v H 2 T e 2 9 R j 7 x r Y e U 9 / Y 1 t d V N z e O 8 M 9 t d d W t 2 k c m 9 r a 6 6 l b t 3 3 M y f V 1 1 q / b v M 6 O + r r q 5 8 f v M q a + l b m 7 c n 9 M N j f s T u q F x f z Y 3 D N C 1 v W d 0 x t N 8 P a v q v E m f F p d 5 3 V R N u q p u U h y 3 8 L Y s f P f K L W E O q y E D k z T X 3 s H + w / 3 7 D / b G e / u 3 U 0 b 2 3 d 1 P K R l + f 2 9 / 7 8 H 4 0 1 v G j u Z d C j g f P t h / S O k 0 V a 3 R F z 1 2 N i / u P d z 7 9 N 7 e g 0 8 p X F U 6 3 K S q z J s P K O F 1 7 2 D / 3 q e 7 m y N d j 8 3 N q 5 Q k + 3 T / / r 0 H D w 7 G B 7 d z u 9 4 T X V + r W f L e f / B g Z 2 / 3 4 N 7 4 w S Y a + T r O 4 r t 3 / 9 7 + 3 u 7 + / v j + p p H 6 6 s 6 8 u n 3 b d y P M d F v V 9 7 5 o R v j n t l r w f b u K 8 M 1 t 5 y H C N 7 v 3 9 h / e 2 7 l / Q L K 1 s d c I 4 2 z f 8 l 1 f d 9 6 G O L 7 6 f E 8 0 f W V 6 q 6 5 i + u Z 2 X X l I 7 l v t e v r V 0 y 9 f p U / P f v J 1 + n u n J 1 8 + e X X 8 6 k Z N u A t v a f d m H W t 7 M X 6 f f f O 9 O h h W u K Y D K C G s I B 7 s U 1 y 6 S S V 4 8 m L f 3 b 1 / / / 7 + z q d 7 D / b H + / d v p 3 D N u w e 7 D 3 b v 7 Z E U j A 8 2 v e m J j n l z j / J o D x 9 Q k n C 8 u 2 n K P M k x b z 6 g W H X v g C z E w a 0 j X f P q p w c P d g 8 O 7 o F K m 4 j k C c 5 7 o u t r X H 1 1 g 7 G P 8 C N p h Q f 3 9 u 9 / S r Z v k 0 3 w d a x 5 d f u 2 7 0 b 4 5 7 Y 6 9 n 3 R j L D M b X X s + 3 b V 5 5 Q N l I / w x m 1 n O M I c 2 7 d 8 1 9 e q t y G H r 1 X f E 0 1 f q 9 6 q q w h T 3 L I r D 8 n 7 R t 8 9 O 3 7 + 5 v j F m 9 P X 6 d P T 9 O T 4 O 6 e v b l 7 Y F a W 3 d 7 N W t b 2 E W n X v P T s Y 1 q q m A 1 I W p B M f b N J s n m y 8 x 1 u e W J i 3 b h l N 3 6 a 5 J w m m + Q F p + P 3 x v U 0 C 5 I n E e 7 z l S c N t U P P 1 o 7 a / n X 6 8 F f A I j 2 x s H 5 n y 2 y r C W 7 V / z 2 n 2 t d + t 2 v c n + n Y q 7 1 b A 3 3 N m f d 1 2 q / b v O b m + Q r t V + / e d X N f 8 U 6 N f 1 D c 8 + T Z p s Z / 8 6 v T 5 m 9 s q s X s 3 K z H b S a j E 1 C 2 5 d Q f D S s x 0 s L u 7 f / D w 0 / s 7 m 5 W 4 x 9 r m x Y f 7 D x 7 e p / j k 4 S 0 1 m X l v 7 / 7 9 g 4 O 9 + + P 7 D 2 + n 0 s x 7 9 / c P H t x / O L 5 3 S 3 f Q d n d v 7 + D h v Y P x / U 1 o e s x v 6 f L g Y I f S B W M I x u B 7 n h C 8 D 5 q + m t P 3 b q f m 7 K B 2 a J o p v N 9 T o 3 a j v j M v b t / u z Q i f 3 F b z v R + K E f 6 4 r Q p 8 v 4 7 6 n H E 7 X f h e 0 x p h h + 3 b v O g r x 9 u Q w V e O 7 4 O g r y R v 1 U + E D 2 7 T j 4 f e g 4 6 y 5 E D 6 9 f H z p 1 / e T p N 9 e r O q t F 2 E q v L T 9 + x g W F W a D v Y e 7 u 9 / u n / r N W H z 2 i Y K e / x v m t / f J f 1 4 s P f w 1 g r S v U g I 3 v v 0 / u a w 1 x M E 8 y K 9 d + / B 3 s F m C + D J h H 1 v h 3 J U u / f 3 P x 3 v K 7 F v U p L v h 6 q v J m 2 f t 8 y L R V j w N t P n 6 0 z z 3 v a t X o z w y 2 1 V 5 n s h G O G Y 2 2 r M 9 + o n x i e 3 p H 2 E V b Z 3 d z 7 d 3 3 l w s H s w 3 t v E 1 r 4 K d W x 2 q 1 d 9 J f q + r 0 a 4 5 b b O 5 v t 2 9 b 5 8 4 p o f x F T p T 5 6 9 O T 2 9 p d v 5 4 G Z d a v s I d a l K 6 a 0 7 G N a l p o M H l E 7 c u 7 e / e + t 0 p H m R F o 4 + 3 T n Y o e T e J j J 7 U m J e 3 N 9 H V v D e 3 v j T / d v p V X 1 x 2 E + A i N y 2 r S c T N 7 b 1 Z O D G t r 6 O v L l x h J t u R x Z f L 5 o 3 t 2 / 5 a m T 2 b 6 s Z 3 x P J y K z f V j e + Z 0 / v M / W + P r y 5 8 f t M v q / y b m 7 c n / w N j f v z v a F x f 4 Y 3 D N C 1 f W i U z Z t X v z B b r A 6 / S E 1 e U H O C N 2 q d v V s u t N i e r F o z b 7 5 X B 8 N q z X R A L t H 9 + / c e P h w / 3 M Q + H o e b F x 8 + u H f v 4 O C G B V u P v 8 1 7 e / u 0 u P X p w f j h p v c 8 P r e I 3 n u 4 + / D + / b F J i 9 6 k 4 M x 7 n 9 5 7 u P / p 3 u 7 4 l t G 0 e e 0 + J V Y / p S B t / 2 D D e x 7 r v x e a v g 7 U F 2 + n A 9 2 s 7 e 3 e 3 6 V U h j L E j S r Q v L h 9 u z c j j H J b D f h + K E Y Y 5 L Y K 8 P 0 6 6 n P G 7 f T f + 8 1 r h C G 2 b / W m r x h v Q w h f N 7 4 X i r 6 e v F V H M Z 1 x m 4 4 c g v d 2 j D I 7 W 1 7 U e V M 1 6 a q q 0 1 f 5 d L 3 K 6 5 s 0 2 v 6 N y t L B d 6 / c E u a g f r Q w P 3 2 4 d 3 9 n 9 + D + v d 3 x 7 a J o / 8 1 9 W s X e 3 X l 4 W 8 / P v r q 7 + / D h w / 0 9 e n N H x 3 K D l v T f p A X h B w c P x v c 2 6 V c n D f b N B / c O 7 j / 8 9 G B n / / 7 4 0 0 9 v p S u 9 V x 8 c 3 P u U 0 i y 0 s L Z J C J 1 0 v C + + n s L 0 X q W 8 w / 1 P d x + M H 2 z S 0 Z 7 6 t K 8 e 7 N y n q R k / u K X 2 t O 9 t 3 + r F C B f d U n m + H 4 I R x r m l 7 n y / f i L M c l v a x 5 j l 0 5 1 7 u 5 8 + 3 J z e 9 h S p I / 6 t 3 v Q U 6 a 2 o 4 i n S 9 0 P R U 6 S 3 6 y j C F r f q y E N w 1 y r S L 1 6 + + T J 9 / e W T V 6 f p 2 Y v P X 5 2 + v n k l Z x 8 R L 6 T h J n V q e z G + p 3 3 z v T o Y 1 q 2 m A + I i S s g 9 O K D Y 5 X a q 9 f 1 e 9 O T D v L h p g j z x u E 1 z T y p M 8 0 8 f f v o p L c 7 t 3 n Z d + j 1 f 9 G T i N g j 6 O l P b o 9 3 N W v J W w C P 8 s r F 9 Z P p v q x R v 1 f 4 9 J 9 t X h r d q 3 5 / u D c S M T P F G 4 O 8 5 s 7 6 O u 1 X 7 9 5 x c X 7 X d q v 3 7 T q 5 r v h d q t J e v v n z 6 1 c l J e v L l i 9 d f f X E 7 h W O X j o c 1 m u 0 l 1 G j q c d y 6 g 2 G N Z j r Y f b i / c 7 C 7 g 8 V p V Z c 3 q b T 3 f N N j c / P m L X X a b Z p 7 T G 7 x u s / L 8 / s 7 m 5 0 E j + P f 8 0 2 P 9 2 + D o q / V t P 3 t t N q t g E d 4 5 r Z a 7 V b t I x N / W 6 1 2 q / b v O d + + V r u Z m J E 5 v q 1 W u 0 1 7 X 6 v d q v 1 7 T q 6 v 1 W 7 V / n 0 n 1 z W / F 2 q 1 F 1 9 + c f b i O D 1 + f f b F 2 f P j 2 y m d + z d r N d t L q N X U l 7 x 1 B 8 N a z X T A 4 e i n B 7 u 7 + + M H + 7 d T a + / 7 q s f o 5 t V b 6 r X b N P f Y 3 C G 2 e 0 D 5 v Y O 9 g / H B 3 u 0 U 2 / u + 6 v H / b Z D 0 N Z u 2 v 5 1 m u x X w C N / c V r P d q n 1 k 7 m + r 2 W 7 V / j 1 n 3 N d s N x M z M s m 3 1 W y 3 a e 9 r t l u 1 f 8 / J 9 T X b r d q / 7 + S 6 5 v t G 5 5 B m o a D z 1 d l t 4 8 6 b l 3 I d 7 F C f 3 b i U 2 + l g W J + Z D u 4 9 / P T h Q 1 q 8 G N 9 T 2 D d p M / f i g 5 1 P H + 7 c 2 / y i x 9 r m x e 1 P D + 7 d u y E 7 5 n G 4 e 2 3 n g N I z G 1 / z G N 2 8 9 u D + w T 1 a E 3 w w 3 r + l Z v N e f H j w 8 M H B + P 6 9 2 + m 1 9 0 H U 1 2 / 6 3 u 3 0 m + 3 k w X 1 j 3 G 7 U c W 5 E m 1 + J c M d N r 0 T 4 4 r a a 7 r Z d R F j h t s r u R s r 6 y u 6 9 p i 8 y 7 b d 4 z d d 9 7 / N a Z P 5 v q w L f p 5 v I / N 9 S E 9 4 3 2 u r L N 6 + + f J 2 S p / f V 6 e s 3 t 1 W H B z e r Q 9 t B q A 4 P 3 r O D Y X V o O q B k 2 t 7 B g w c 7 9 y j 2 V O g 3 K c T 3 f d W T A f P q L d 2 7 2 z T 3 2 N 8 i t r O 7 f 2 / n 0 z 1 a k r h t 3 P q + r 3 r y c B s k f f W n 7 W + n / m 4 F P M I 3 t 3 X v b t U + M v e 3 V X q 3 a v + e M + 5 r v J u J G Z n k 2 7 p 3 t 2 n v q 7 h b t X / P y f V 1 2 6 3 a v + / k u u a f G p 1 j A l f K x H 3 x 8 l V 6 + u z 4 5 e 3 0 z s O b F Z v t J F R s D 9 + z g 2 H F Z j r Y p 9 W t + 5 u F 2 O P r 9 3 j L 4 2 7 z 1 i 3 V 2 W 2 a e 7 x t m u 8 e P M D / H m x e c v f 4 / P 1 e 9 B j + N g j 6 q k z b 3 0 6 V 3 Q p 4 h F N u q 8 p u 1 T 4 y 5 b d V Z b d q / 5 6 z 7 a u y m 4 k Z m e L b q r L b t P d V 2 a 3 a v + f k + q r s V u 3 f d 3 J d 8 w d W l Z H + e n r 6 K n 1 y d v o i f f r l F + n L r 5 7 c S t X s 7 9 6 s y 2 w v g S 7 b V + V x 6 w 6 G d Z n p Y O / e w 4 f 7 + 7 v j v Y P b a b P 3 e s 9 j c f P e L f X Z b Z p 7 D G 6 a 7 z 7 4 9 J 5 d f 7 l J l 9 3 + J Y / b b 4 O Y r 8 e 0 / e 3 0 2 K 2 A R 7 j k t n r s V u 0 j k 3 1 b P X a r 9 u 8 5 y 7 4 e u 5 m Y k e m 9 r R 6 7 T X t f j 9 2 q / X t O r q / H b t X + f S f X N T / o 6 r G X r 0 5 f p 6 9 P X / 3 k 7 X T M v Z u V m O 0 i V G I q a b f u Y F i J m Q 5 2 P 6 W 1 A A o W 7 z 0 Y f 3 p L r + x 9 X / W 4 3 L x 6 S 1 V 2 m + Y e j z v E 7 u 3 u f / r p z q f 3 x r f 0 z d 7 z T Y / 1 b 4 O i r 9 S 0 / e 2 U 2 q 2 A R 7 j m t k r t V u 0 j M 7 + x / X t O t 6 / U b t W + P + G 3 U 2 q 3 A v 6 e M + s r t V u 1 f 8 / J 9 Z X a r d q / 7 + S 6 5 g 9 9 p f a e S w n 7 9 2 / W a B Z + q N H u v 2 c H w x r N d H D / 0 7 3 9 B 3 s P 7 4 0 / 3 e S X e F z 9 f i 9 6 7 G 1 e 3 E R h j 7 t v 0 9 x j b t N 8 / 8 G B + I v 3 N i l Z j 9 H f 7 0 W P 4 2 + D o K / L t P 3 t d N m t g E f 4 5 b a 6 7 F b t I 7 N + W 1 1 2 q / b v O d u + L r u Z m J E p v q 0 u u 0 1 7 X 5 f d q v 1 7 T q 6 v y 2 7 V / n 0 n 1 z b f 3 / F 1 G T l o p y f f p v U A T Z 3 d T u E 8 v F G j u V 5 C j f b w P T s Y 1 G i 2 g 4 O 9 g / 0 D V Z Q 3 K L P b v + N Y 2 7 5 z O z 1 2 q + a O s W 3 z X f K q 7 n 3 6 6 f j h 7 d T Y + 7 3 n e P 1 W 6 H l a z L S / l R a 7 H f A I j 9 x S i 9 2 u f W S 6 N 7 Z / z 6 n 2 t N j t 2 v c n + 1 Z a 7 H b A 3 3 N m P S 1 2 u / b v O b m e F r t d + / e d X N d 8 1 9 d i L 1 9 9 + f S r E 1 r M T N + c 3 E r B 3 N + 9 W Y P Z H g I N h j f f q 4 N h D W Y 6 e H h / n 2 T 4 / s H 4 d i 7 Z + 7 3 n s b d 5 b x O F P e 6 + T X O P u U 3 z g 5 2 D 3 X s P d v f G s E u D L 3 q M f s O L w 7 r s N g j 6 u k z b 3 0 6 X 3 Q p 4 h F t u q 8 t u 1 T 4 y 6 b f V Z b d q / 5 6 z 7 e u y m 4 k Z m e L b 6 r L b t P d 1 2 a 3 a v + f k + r r s V u 3 f d 3 J d 8 7 2 4 L k t P j l + e v b m d u t m 7 W Z / Z X k J 9 p q m c W 3 c w r M 9 M B / c f 3 r + / s 7 c / f v j p 7 f T Z e 7 3 n s b h 5 7 5 b 6 7 D b N P Q Y 3 z f f 3 H u 7 s P X y w N / 5 0 / 3 b 6 7 P 1 e 9 L j + N g j 6 + k z b 3 0 6 f 3 Q p 4 h F t u q 8 9 u 1 T 4 y 6 b f V Z 7 d q / 5 6 z 7 e u z m 4 k Z m e L b 6 r P b t P f 1 2 a 3 a v + f k + v r s V u 3 f d 3 J d 8 3 u + P j s m h f a T F G M e f 0 H r m W + + v J W 2 Q c b 8 J n V m O w n U m c m 1 3 7 q D Y X V m O t j b 2 7 9 3 f + / + Q 2 T y b 6 f Q 3 v N N j 8 v N m 7 d U a b d p 7 v G 4 x W v / / s H 9 + w e f 3 t 8 f g y s G X / U 4 / n 1 f 9 Z j / N k j 6 a k 3 b 3 0 6 t 3 Q p 4 h G t u q 9 Z u 1 T 4 y 9 b d V a 7 d q / 5 4 z 7 q u 1 m 4 k Z m e T b q r X b t P f V 2 q 3 a v + f k + m r t V u 3 f d 3 J d 8 / 2 e W j N Z s 1 e 3 U z o P b 9 Z q t o 9 Q q z 1 8 z w 6 G t Z r p Y H d 3 9 + E + v T O + b e 7 s / V 7 0 W N y 8 e E u d d p v m H o N b t O 7 t P r x P a 6 5 j S O P g i x 6 z v 9 + L H t f f B k F f n 2 n 7 2 + m z W w G P 8 M t t 9 d m t 2 k d m / b b 6 7 F b t 3 3 O 2 f X 1 2 M z E j U 3 x b f X a b 9 r 4 + u 1 X 7 9 5 x c X 5 / d q v 3 7 T q 5 r f t / o m p M v X / x k e v I y P f v i 5 Z s v 0 9 d 3 z 1 5 8 f r N G 2 y M d A D a / S a P Z X q x G M 2 + + V w f D G s 1 0 s G n U H k f f p r n H 0 L d p 7 v H z b Z p 7 7 G y a 7 x 7 c I 4 X 6 4 H a a y 7 6 0 u 3 v / 4 M H + / s H 4 0 0 2 q 2 G P w 2 2 D n q 6 6 g p / u f 7 j 4 Y P z j Y 9 G q E u W 6 r y G 7 V / j 1 n 3 V d k t 2 r / n v P u K 7 J b t Y / N / C 1 J G 5 n / 7 d u + G + G A W 7 7 q a 7 v 3 f f U 9 m c F X f O / b 1 f v y h W v + 6 Y f r w F v E q r a X U A f e H K u G H Q z r Q N P B g w c P 7 t 8 f w 7 E d H L w n E + a t e 5 / u 7 N / b H d / f 9 J o n G u a 1 3 Y O d P Z q a j b 1 5 E m J e 2 / 9 0 7 + D h v c 2 9 e Y J i X 3 t 4 7 4 D 4 4 d Z p O P v e / o P 7 e 7 s H Y 0 P t m 3 T k + 6 D p 6 0 p 9 D + 1 u 1 o 6 m k + 2 9 g 7 1 P H 5 D v e U s t a d 6 7 z W s R 9 r j N a x H + u K 3 O f J 9 u I o x x W 9 V 5 M 6 V j b H C b 6 Y y w w f Z t X v T V 5 G 1 G 4 + v G 9 0 H Q 1 5 G 3 6 i f C A 7 f p x 0 P v w Z C C x D r F 7 f T X v Z s V p O 0 l V J C K 4 6 0 7 G F a Q p o O D T 3 f v 7 3 z 6 6 e 7 m 1 U l P B u y L 9 3 b u 7 X 3 6 6 f 5 t M 3 n m v X s 7 + w c P P n 1 w M H 6 4 q U N P G s y L e w / u U V R 6 s D f e l G b z p M K + d 4 C I d u c h a b x N X q E n I v b N + / c e 7 j / c 3 7 0 / f n h L f / K 9 c P W V p b 5 4 O 2 V p S b m 7 + + A h B e o P N l H S 1 5 b m x e 3 b v R l h l 9 t 6 l + + H Y o R N b u t m v l 9 H f f a 4 n d J 8 v 3 m N M M T 2 r d 7 0 1 e Y g I Q b U 5 n u h 6 O v N W 3 U U Y Y V b d e Q h e D C k O F 9 8 + c X t 1 N r 9 m / W m 7 S T U m y q + t + 5 g W G + a D v b u 7 T 2 8 v / t w d / x g k / 7 z J M K 8 u P v w 3 v 1 P 9 3 Z 3 x v d u q T j t i 7 s P 9 v Z 2 i N 6 b P H 9 P M s x 7 D x 4 c 3 N v d 2 R 3 v 3 0 5 t m t f u 7 + x + e u / B 3 q c b u / N E x L y 3 v 3 f v Y O f T v f s b + / M k 5 H 3 Q 9 D W m v n c 7 j W k 6 u U c + 8 8 O D G z q J s N P 2 r V 6 M s M l t 9 e V 7 I R h h j t u q y / f q p 8 8 V t 9 O W 7 z W l E V b Y v s 2 L v q 6 8 D R V 8 X f k + C P q q 8 l b 9 R L j g N v 1 4 6 D 3 s a k p S W a e v v 3 x 1 9 u X r 2 + m x B z c r S t t H q C g 1 4 3 b r D o Y V p X Y w z D E e 9 9 / Y 1 u P 4 G 9 t 6 3 G 4 G u W m + P C Y 3 z e 9 9 S j m W 2 2 m 9 2 7 7 i c f l t k P I V 3 Y 0 D 9 h X d r Y B H 2 G B j + / 6 s 3 l q v 3 a p 9 f 3 Z v r c 9 u 1 b 4 / x b f T Y 7 c C / p 4 z 6 6 u t W 7 V / z 8 n 1 1 d W t 2 r / v 5 N r m 9 3 e 6 a k o c u h d 3 s Q J 8 O z 3 y 8 E Z F 5 X o J F d X D 9 + x g U F H Z D h 5 8 e n / 3 0 w f 3 N 0 c Q j r X t e / f v 7 e / t 3 7 s h R n Q s b t / b v n + P T M K m l x y f u 5 f 2 7 u 3 u 3 9 + n c H 3 / V j r N v v j p z s 7 B f U p z 7 G 1 6 z / G + f e / g H v V 4 b 3 9 8 / + B W 2 u 0 9 E f X 0 n H n z V n r O d r N 3 b + f h 3 r 2 H 4 4 O N v U T Y a f t 2 b 0 b 4 5 J a q 7 z 1 R j D D I L X X g e 3 b U 5 4 1 b K c P 3 n d g I S 9 z q R U 8 / v u e L E e 6 4 p a J 8 z 4 7 e l y d c 8 9 2 u x n x 6 + i p 9 + e r 0 d f r 6 9 H a L K 1 h b u E l j 2 l 4 C j W l W J W 7 d w b D G N B 0 c P N z d / / S W 8 a / 3 0 v 2 d h 6 S I 1 N O 8 S V u a 1 + 7 d v 0 e J y l t q S / c S J R r 3 9 j b 2 5 c m D e W 3 v U 4 p g K U u 5 W Z I 8 2 b A v k r I 8 + P T T + + P d T S 9 6 o v E + i P q 6 U t + 7 n a 4 0 n W z f + / Q e V g 5 v q S k t b j e / F e G N W 7 w V Y Y 6 N c h T j i p t 7 i b D F x l 7 6 / H A 7 / f h e U x l h g e 3 b v O h r x 9 u M x l e K 7 4 O g r x x v 1 U + M A 2 7 R j 4 f e X l c 3 H t O C y k + m b 0 5 u p b Y + 3 b 1 Z L 9 o e A r 2 I N 9 + r g 2 G 9 a D q 4 d 3 D v 4 c H e / b 3 x v U 1 O k 8 f + 5 s X 9 T 3 c O d r A Y 9 V C R u k k 7 m h f J b 9 1 9 u L f z c G w C + J s 0 p H m R l o J 3 d g / u 7 9 x W R Z r 3 9 h 4 Q o r R 0 R H p 8 U / r X k w / 7 5 s 7 e w c E + L R 6 N d z a 9 6 U n I e + H q a 0 l 9 8 X Z a 0 v S y / Y B y 2 p / u 3 7 D 6 7 y t K i 9 + t X o z w y + 1 e j P D L b d X l + 3 U U Y Z P b a s y b K R 7 h i N v N a 4 Q h t m / 1 p q 8 z b z M e X 2 e + F 4 q + 0 r x V R z F W u E 1 H H o L 3 4 l r z P W L w T x / e r D l t L 6 H m f P i e H Q x r T t P B v Y c P 7 + 8 9 G M O G D I 7 e k w P z G q 3 E 7 D 6 4 t z G W 9 q T B v P X p p 3 s P o M H 2 P r 2 d z j T v P d h 9 c E B r j e O 9 T f 1 5 Q m H e 2 9 3 d f 0 h J l p 3 N s b Q n I O b F / X u 7 n 3 5 K S 0 3 3 N o m t J x / v h a i v M P X F 2 y l M 0 8 s 2 m f x P 9 + 9 v X s / 3 9 a V 5 8 V b v R Z j k V u 9 F u O S 2 2 v K 9 + o n w x 2 2 V 5 c 3 U j v D C 7 e Y 0 w g z b t 3 r T V 5 a 3 G Y + v L N 8 L R V 9 Z 3 q q j C C P c q i M P w X 2 j x s 5 e v k r P X v w k B d 9 v T r + g v C X 0 F g B s 0 G T 3 d p B O v F l V 2 j 6 s q j R v v l c H w 6 p y / y a u 8 T h f k R l u 6 3 H 9 j W 0 9 T j e D 3 D R h H q O b 5 n t 7 9 + / t 7 e x v z p R 6 P P 9 e 7 3 k s f x v 0 f L V 3 4 9 B 9 t X c r 4 B G G 2 N j e Y + 5 b t e / P 8 a 2 1 2 6 3 a v + d c + 1 r t Z m J G Z n g j 8 P e c W V + F 3 a r 9 e 0 6 u r 7 l u 1 f 5 9 J 9 c 1 v 2 + U y d N 8 P a v q v E l X V Z 0 e L 9 t i W q x u 0 i j 3 b 1 Z W F r 5 7 5 Z Y w h / W T g b m / c + / h 7 u 7 B g / 2 d 8 Z 5 q v 5 v U l X 1 1 9 9 6 n + w 8 f U E A 7 / n S T q + R x t X n 1 Y I 8 8 6 P s H Z L b 3 P 9 3 w p s f f 5 s 2 H e + S a 3 d / Z I 4 O / y c 3 y O N 2 8 u f c p e Z K f 7 t y 7 v z v + d N O r H t / b V + / v H B B V d + 8 d j A 8 2 e f y e C L w n v r 6 e M 6 8 + + J S y t g 8 P d u 9 t T h f 4 W s + 8 u v 3 w w b 0 H D 3 c P d s b 7 t 8 0 j W o R v 9 2 a E l W 7 5 Z o S T b q s U 3 7 O n C P v c V j 2 + 7 x x E m G b 3 P r 1 2 f 2 + X U m u b e N z X m 3 b 6 b v m u r 0 N v M 0 J f h 7 4 n m r 4 6 v V V X E Q a 5 Z V c e k p 8 a z f f s 6 Z f p q y / f H L / 5 8 t X Z l + n r 5 0 + / v F E H 7 t 7 S F b R 9 G F f Q v v l e H Q y r W t P B J n J 5 Q n G b 5 p 5 M m O b b n 9 7 / d H y w K V f n i c P t X / J k w r x 0 8 O D e p + P 9 T c b C k w b z E p a g d n c 2 9 + V J w u 0 R 9 D W n 7 e z e A y w 4 3 N 8 Y E k b Y 7 L b O 4 q 3 a v y c H + H r x V u 0 j P H B b Z / F W 7 S M z f y u 6 R i Z / m 1 5 8 + G B / M 9 P 4 i t D r 8 M b 3 f C X 4 X u + 9 J w P 4 G v C 9 + n l f R n D N H x j V d P z i T f r F 2 Y u z 1 2 9 e H Z + c f f k i f X Z b B b h 3 s w K 0 v Y Q K U I X u 1 h 0 M K 0 D T w e 7 O w 3 1 a u 3 + w u z 9 + s M l h 9 C T B v X r / 4 a f 3 a J 1 q b 7 x x d d k T C v P q / v 3 9 T 2 k t + / 7 B e H 8 T 3 3 r i Y d + k v O j 9 B / T 2 Z n v l C Y p F d x / r 4 A f 3 H h x s X i P y Z M W N 9 N 4 9 I u x D u B y b R u p J y 3 v i 6 2 t M f R X t b l a T p p 9 7 + / c f 3 t t / S G Z 8 o 0 s b Y b H t W 7 4 a Y Z 7 b 6 s 7 3 R D L C M L f V o u / Z U 5 9 N N l A 9 w h i 3 n d 0 I Y 2 z f 8 l 1 f l d 6 G G r 4 K f U 8 0 f W 1 6 q 6 4 i L H H L r j w k D 3 y F + v L 4 1 Z v 0 9 D U 5 l c f P T 1 / f T t v t 3 6 x O b R + h O t 1 / z w 6 G 1 a n p Y O 8 h L U I / / J T e G 9 / f N H 5 P O M y r 9 3 b 2 K a b d e / j w Y H z v l u r U v n q P Q v d 7 B w / 3 x 7 u b 2 N 2 T E / P m P j m A t K B 8 s D t + e E u P 0 7 x J Z m N 3 7 1 N K I o 9 v q U z 9 L h 8 i S T G G R A 2 + 6 Y n M e y L r 6 1 J 9 9 X a 6 1 P R D r t G 9 + z u f 7 h 8 8 G D / Y 6 F Z F O O y 2 r 0 Z 4 5 7 a v R n h n o 3 q M M M x t u 4 p w z M a u + n x y O 3 3 6 v j M c Y Y 7 t W 7 7 r 6 9 P b j M n X p + + J p q 9 P b 9 V V h C l u 2 Z W H 5 E N f n 6 q D C t 8 0 f X 1 b / / T + z Q r V d h I q V N V b t + 5 g W K G a D j b R y x O E 2 z T 3 5 M A 0 J z E g p 2 7 n w d i k F m 7 S m + / 3 o i c O 5 s W 9 P a j 4 v Z 3 7 4 7 1 N 2 s + T D f P m p + S D P j j 4 9 N P 9 z Y v g n m i 8 H 7 K + 2 j R v 7 u 9 / u v 9 g h x J u 4 3 s b X 4 2 w 3 0 Y 9 E e G k j e 3 f k z F 8 F X m r 9 h H W 2 N g + w h G 3 1 Y v v S 9 o I J 2 z v 7 + 6 R 4 S U X d 7 z R u 4 2 w w u 3 e 9 H X k e 7 7 5 n p z g q 8 j 3 7 O l 9 e c I 2 / 3 T H 1 5 C + x 3 l 7 F f n p j S r S 9 R K q y E / f s 4 N B F W k 7 u J 2 K t M 3 3 9 j 6 9 v 3 c w N o j c o C p v 1 Y s T h / f q x U m F f W 2 X M v u f 3 v v 0 Y H O c 7 W T C v k g u 8 K c U 3 n 9 K T D P c p a 8 d 3 w t T T z e 6 H v d 2 d j / d f b D 3 c L z 3 4 H a 6 0 b 6 6 f a s + I 7 x 0 q / c i L H K r 9 y K 8 c k u l + X 7 9 R L j l l s r z v W k f Y Z T t e 7 s P H 9 K K x 8 7 u 5 s V V T 3 u 6 b m / 3 q q c + 3 / v V C L f c U n + + d 1 f v q U o 8 z H a N a n v z 6 h d m i 9 X h F + m r 0 5 P j r 5 6 m T 0 / T L 1 6 e f X l z 4 L 5 3 u 4 U g 1 5 N V o u b N 9 + p g W I m a D u 7 d P 6 A 1 Y c q C b l x M 9 k T E v k h L 7 j v E i u O 9 T f 6 5 J y v m R V J 1 O / f 2 9 8 a f b t J 0 n q y Y 9 z b N k S c q F r + 9 h + R m H N z b n N 7 1 B O X 9 X v S k 5 D Y I + o p U 2 6 P d z a r z v a j m q 0 7 z 4 v b t 3 o y w x s b x R D j i d h 1 F O G J j R x F O u F 1 H f Z 7 Y Q P E I H 2 z E 6 j 2 n 3 9 e M t 2 o f 4 Y D b q s N b t X / f 6 X b N 9 4 x m + r K t q y Z 9 m t f 5 d E 6 / Z O m r f H q T e n p 4 s + a z 8 N 0 r t 4 Q 5 r O w M z H v 3 H 9 x / c P D w Y H z / l s r O v v j p 3 q e f Q k t + + u n t l J 1 5 k Z T k 3 t 7 + v c 2 x j s f i 9 r 1 P 9 3 c O K B L Y v 5 3 S s 6 8 9 3 E P M u z v e v 6 U b a V + k s I O W i c j / 3 K T N P a 5 / H 0 R 9 5 W f e I 3 q O d 2 7 r P 5 q X t u / v H H y 6 S y 8 q U 9 y o B M 2 L t 3 o v w j C 3 e i / C L x t l K c I m t + o n w i a 3 9 R 9 v T / U Y b 9 A U 0 6 r S + N 4 t g 2 4 3 X b d 6 0 9 e N t x m X r x v f C 0 V f S d 6 q o w h D 3 K o j D 8 F 7 R p u d S s h 9 T B F 3 e v b i 8 / Q n z 1 7 d q N h 2 b + k s 2 k 6 M s 2 j f f K 8 O h v W n 6 W A T t T w p u E 1 z T w h M c 6 M r N 6 o g T w j e 6 z 1 P G N 7 r P U 8 e b j M s T w r e q x t f R e q L a H e z a r w N U r 5 G v F X 7 9 5 x 6 X w P e q n 1 k 8 m / r A 9 6 q f X + y N x A z M s O 3 m 7 L I X G / f 6 k 1 f 4 9 1 m P L 7 G e y 8 U f Y 1 3 q 4 4 i E 3 + r j j w E 9 4 0 y O n l 1 S o H x m y / T 3 y c 9 / k n K M S J A v l E j 3 T Y + t r 1 Y l X e 7 + L j T w b D K M x 2 w y 7 h L Z v P + p v F 7 A m B f J J f x / n 0 y 6 g 8 2 m Q p P E s y L m y b I E w T T n F w H W t P c n P L w 5 M G 8 t k / p 1 n u f U s J x o y X z Z M O + + L 6 e 4 v s g 6 q t B f e 9 2 a t B 0 s n 2 r X i K M d K v 3 I v x x q / c i 7 H F b / f h e / U T Y 4 7 Z 6 8 m Z q R 3 j h V k h F W O F W s + R r y d u M x t e S 7 4 O g r y R v 1 c / X 5 Q L 3 2 n 2 n I 1 k 3 n r 6 + z Q q M 6 K 5 7 N y t H C z 5 U j i r o t + 5 g W D m a D h 7 c 2 x u b t e + b 9 K J 5 5 + H D B + O H t 1 S J 5 p 2 d M b h o 8 A 2 P 7 c 0 b N w Y 6 H u v b X m 6 n C G / T 3 O P 5 W 2 P k 6 7 7 b v x T h q m 0 y P O O D g 1 s q Q N f V T S 9 F G O D m l y I c c F v V d / t O I g x w W 7 1 3 e 0 q / J w v 4 e u 8 2 7 X 1 1 d 6 v 2 k Z n f 2 D 4 y 5 7 d V c 7 d p 7 6 H z q d E / Y X K w m B R 1 + u Q G J X Q L 9 W b B 2 z d u B 3 F Y n x m I W H / f 2 T / 4 9 G B 3 / O D T 2 6 k 1 + + q D / Y M H x K n 3 H m x e m v P 4 2 7 x 6 8 O n 9 A 3 r 7 / u 7 m J V y P y c 2 b D + 7 d v 3 9 / 7 8 H O p 5 t X b z x 2 N 2 / u 3 t + 7 f + 9 g 9 / 6 D n f G n m 1 S r x / T 2 1 b 1 P 9 x / e P / j 0 4 d 7 4 / q Z X P f 5 / T 3 x 9 T W h e 3 X 9 w n w z U w d 7 B + M F t 9 a F F + N 4 O h T C 7 + / v j / U 3 4 + k r R v L p 9 2 3 c j z L R R W C I c d N u u I h y 0 s a t P H 9 / 9 u l 1 F G O e 2 8 x B h n L 1 P d / b 3 S M Q o d L i l 3 r T T c L t X f R V 6 G 9 L 4 K v T 9 k P S V 6 a 1 6 i i m b W / X k o f j A 6 L 3 j Z V t M i 1 V F a v V l X V 2 m v 3 d 6 P L t J C e 7 e r F c t f P f K L W E O a 1 Y D c / f T B 5 + S h n u w c 2 + z v v H k w r 7 6 Y J f W N P b 2 K O t 6 s I l S n l y Y V z / d f 3 B v / w H W Q z Y u U n 8 a e f O A l j U O 7 u + Q T t 6 / n W a 1 6 O 7 T G j z N 7 b 2 H 4 4 N b h t b 2 1 d 2 D h 3 s H 9 y m Y G D + 4 Z X D 9 n v j 6 m t W 8 u r + 3 C y K R J d j b h K + v W c 2 r 2 / c + f Y B 8 + M 4 N 2 a E I k 9 3 y z Q g r 3 f L N C C f d 1 v F 8 z 5 4 i 7 H N b 7 / N 9 5 y D C N H u f 7 g H L e 7 v j 3 U 3 S 4 a t V O 3 2 3 f N f X q 7 c Z o a 9 X 3 x N N X 7 H e q q s I g 9 y y K w / J A 6 t Z s U r z K n 1 y d v q C Y v L f J 3 3 5 + k Y d e N t F G t u H B u X u z f f q Y F j V m g 5 U 1 e 7 v 3 + D a e Q J i X x V V u 3 N v 5 9 a q 1 r z 6 6 X 1 y C h / e 2 z s Y 7 3 9 6 O 1 V r 3 3 y 4 + + n D h w 9 3 a V V + U 5 D n S Y 1 F d 5 / M 5 8 7 D B / f 3 x w e b s h C e 1 J h X H 9 x 7 s L P z 8 O D e p 5 u 9 d U 9 o 3 h N d X 9 P q q 2 h 3 s 2 4 1 / X w N 3 W p e v e W b E d 6 5 5 Z s R 1 r m t b n 3 P n i L 8 c l v d e j P V I 3 x x 2 9 m N M M b 2 L d / 1 t e l t x u R r 0 / d E 0 9 e m t + o q w h K 3 7 M p D 8 m G o T b / 8 y d P T p 1 + + u l W O U 7 X d 3 s 3 q 1 H Y S q l N l p l t 3 M K x O T Q d 7 W A k b H L Y n C b d 7 w R M F 8 8 L 2 g 0 9 3 d / d 3 K X G w f z v N + X 4 v e i J h U b x 3 b / f T v Y P 9 8 c N N U + q J h 3 m R f N u 9 B 2 R p 9 8 b 7 m x S u J x 3 v h 6 u v N W 2 f t / S N I h y 4 U V V E m G l j + w h v b G w f Y Y 3 b K s l b t Y 8 w x G 1 V 4 / u S N s I J 2 2 R 7 Y f A P H o z 3 N y Y C I r x w y 1 d 9 R f m + r 7 4 n M / i K 8 n 2 7 e l + + s M 0 f 7 F h F 6 Q L 6 k 2 r Z 1 l l b N D c p s v 0 b d a S D 7 1 6 5 J c x B t W h h 7 l K Q u / v g 4 N N 7 9 8 b 3 N 5 H H S Y F 7 d e f e f e p r b / / e Z l / R C Y R 9 d W / 3 4 N 7 D h / u U n 3 3 4 8 F a 6 0 r 5 J P V J g / X B 3 8 0 q C k x H 7 4 o N 7 S F r C I 9 6 E q 5 M Q + + K n n 3 5 K 7 P P g 3 u Z l B S c e 7 4 m q p y r t m / v 7 l E p + e G 9 / v L O J O p 6 m d H P y 6 Y O d / f 1 7 8 M d 2 b 6 c 0 7 a v b t 3 0 3 w k W 3 V K D v j W a E d W 6 p S 9 + 7 q w j L 3 H I a o j z z 8 F N K y o 8 f b H w x w j P b t 3 r T 0 6 i 3 o o u n R t 8 P R U + f 3 q 6 j C G / c q i M P w V 2 r T c n t P P n y x Z t X x 2 / O X r 8 5 v j G E 3 7 9 l C O 9 6 M D 6 n f f O 9 O h h W r q a D r 6 F c 7 a v v r 1 z N q + + v X M 2 b t 9 N Y n q S Y F z 8 9 e E / l a o d J 4 f v O / r 2 D z R 6 s J y j v h 6 q v X P V N t L t Z n 1 r 8 b q k 9 I t z 1 d f S p e f e 2 + v R 9 0 Y x w y 2 3 1 6 f t 2 1 e e S D Z S P c M Y t J z j C G t u 3 e 9 V X o r c h h q 9 E 3 w 9 J X 4 v e q q c I R 9 y u J w / F v S E 1 e p v w f f + W 4 b v r J V S l N 4 b v n Q 6 G V a n p Y B O 9 P I G 4 T X N P C G 7 T 3 J O B 2 z T 3 + N 4 0 v 7 / D z + 0 0 o 3 l p / + F t n A + P / W + D n K 8 P b U e 3 8 3 I i r L W x p w i T b G z / n n P u a 8 F b t X / P W f d V 3 6 3 a R + b 9 l p S N T P 5 2 / N V N 2 u / 9 O v W V 3 3 u + + Z 6 M 4 C u / 9 + z p f V n C N b 9 n 1 N K X b V 0 1 6 d O 8 n s 4 p K H + V T 4 t J c Z N u e n i z 2 r P w 3 S u 3 h D m s 6 Q x M 8 t 7 2 9 8 e b 0 n I e 6 5 u X b q n v b B + 0 s n b / Y L y 7 q R d P A O x r Z I B 2 a e V / 0 2 u e H N w G O Y / 5 T f O H O 7 v 3 D n b J l 7 y d 3 n s f 5 H z 9 Z 7 v b 3 d t 7 u L e / O R P q q 7 / b T 5 S v B M 1 b 2 7 d 4 L c I V t 9 W F 7 4 F c h C 9 u q x H f o 5 c I P 9 y O 4 h H O 2 L 4 N a / h K 8 X 1 Y y l e J 7 / V e h D V u q x D f q 5 / 3 5 Q r X f N + o K / i C T 0 9 f p p 8 f v 6 J f z 4 7 T k 5 c 3 a q 7 b R t W 2 E + M K 2 j f f q 4 N h B W k 6 u J n p P H k w L 9 1 S Q d 6 + D 0 8 a 9 C U 0 u 1 E n 3 t j W Y / s b 2 3 q c f m N b X / X d 3 D j C P D e T x F d 3 5 q 3 3 V H e 3 m S 5 f 3 b 0 H c p F Z v q 2 6 e 4 9 e 3 m e q f R V 3 c + P 3 m W x f l 9 3 c u D / Z G x r 3 5 3 h D 4 / 7 M b h i g a 3 s / q q / S 1 8 9 v j l w f 3 j Z y t X 2 E 6 m r v P T s Y V l e m g 0 1 M 5 n H y b Z p 7 L G y a 3 8 b r 8 T j 5 f V 7 z W P k 2 y H n M b J r f x q x 5 b P 0 + y P n q z H Z 3 K 7 8 i w m c b 9 U C E Z z a 2 f 0 8 W 8 L X Z r d p H m O C 2 e u x W 7 S P T f j v C R h j g v R 2 2 9 + E c X 8 m 9 1 3 v v y Q G + y n u v f t 6 X E 1 z z T 6 0 C L B f Z N F / m z Q 1 q 6 f 7 N C s / C t G / c D u K w h j M Q d / c f 7 n 8 6 / v R 2 e u 7 2 L 3 m M b l 7 a R D 6 P z 2 / T 3 G N z 0 / z T h + S H 7 m 2 e V I / J 3 + c 1 j 8 V v g 5 y v 3 b T 9 B s M Z Y Z z b a r R b t Y 9 M + W 0 1 2 q 3 a v + d E + x r t V u 3 7 U 7 2 B m J E J 3 g j 8 P W f W V 1 q 3 a v + e k + s r q 1 u 1 f 9 / J d c 0 f B E r q H / 2 r l + k s T 7 / I 2 r w u s j K / S b 3 c I q K 0 H b h X b g l z W G c Z m D e r H 4 + L b / + S x 8 r m p V v q r N s 0 9 x j Z N L + N 8 v F Y + n 1 e 8 z j 7 N s j 5 O k v b 3 0 5 n 3 Q p 4 h C 1 u q 7 N u 1 T 4 y 2 7 f V W b d q / 5 4 z 7 e u s m 4 k Z m e D b 6 q z b t P d 1 1 q 3 a v + f k + j r r V u 3 f d 3 J d 8 w O j U r 5 4 8 / x 1 e v z 0 i y 9 f p K d f n K V P T 9 5 8 + f p G 9 Y L Q b + 8 W i s v 2 o r G l e / O 9 O h j W Y q a D m x W S x 9 e 3 f 8 l j b v P S L b X Y b Z p 7 r G 2 a 3 0 Y d e U z + P q 9 5 v H 4 b 5 H w t p u 1 v p 8 V u B T z C I x v b R 6 Z 8 Y / v I b G 9 s / 5 4 T 7 W u x W 7 X v T / X t t N i t g L / n z P p a 7 F b t 3 3 N y f S 1 2 q / b v O 7 m u + U O j X 2 R 5 8 3 j a F p f 0 8 6 S o p + v y B i X z 8 G b 1 Z c H b N 2 4 H c V h f G Y i 7 B / t 7 D x 7 c 3 y y x H h O b 9 z b R x e N h 0 / z e g / v 7 p E g f j P c f 3 E 5 t W f w o 8 b S 3 9 4 C 0 4 6 Y X P a 4 2 L + 4 d U I 7 k 4 c 7 + e E + p d Z M K s z 3 u 3 v v 0 Y I f W Y g 8 2 K W R l 9 f d H 1 V d n 9 s 3 7 n z 7 Y v 7 c 7 3 t v f 9 G K E 3 W 4 1 e 7 6 O M y 9 u 3 + 7 N C M P c V t u 9 H 4 o R l r m t 2 n u / j i K c c j v q x z i F m H r / Y P / + e P / e L b W i I / + t X v U V 5 G 3 I 4 i v I 9 0 P S V 5 W 3 6 i m m S m 7 V k 0 P x Y M d o t S c F E m r p U 4 p T L 7 M Z 6 c 3 T x e Q m F X f v R q 3 p 4 L t X b g l z U G 9 a m L f i N i c O 9 r 3 b 6 U 3 b / H 3 1 p s P v V s r I S Y N 9 8 X 3 1 p u v x P f X m e 6 L q 6 U 3 3 5 q 0 k N 8 J x t 5 o 9 T 2 / a F 9 9 b b 9 5 q 4 j 2 9 + Z 4 o R l j m l n r z P T u K c M r t q B / j l N s p i g i r v L / e v B V Z P L 3 5 n k h 6 e v N 2 P c V U y a 1 6 8 l D c t X r z 7 P Q F r c a + O v t J C p m f p K 9 v X I x 9 e O + W i 7 G u D w 2 Y 3 Z v v 1 c G w I j U d 3 I r 9 P P k w 7 2 2 i s i c V p v l 7 K 1 K L 3 6 2 0 k y c e 5 s X 3 V q S 2 x / d V p O + H q q 9 I 7 Z u 3 E u U I C 9 5 q 9 n x F a l 5 8 f 0 V 6 m 4 n 3 F e n 7 o R h h m d s q 0 v f r K M I p t 6 N + j F N u p z k i r P I 1 F O l t y O I r 0 v d D 0 l e k t + o p p k p u 1 Z O H 4 p 5 R c h K v p y + + 1 I g 9 W 7 Y 3 L J f c Q o V a 6 O a F W 8 E b 1 p g G 3 r 0 H B / f u 3 9 u / 9 + m 9 8 b 1 b K k 3 z 6 u 6 n O w 9 3 7 n 2 6 9 + n 9 8 a e b a O R J g + 3 1 / s H 9 + w 9 3 P r 2 / c 3 + 8 u 6 l b T z L s u 6 T Q d v d 3 D v Z 3 H m y e G 0 8 4 L M r 3 7 + 3 u f X r v 4 O D + / n h n k 1 7 z 5 M P 1 e 3 9 n 5 + H B / Y c P D s Y P d Q J u U q b v j b O v T 8 3 L 9 3 c P P n 3 4 4 P 7 9 + / f 2 x n s b 1 U G E G / d 2 H + z v P z z Y e f h g / O D + L d W q e X f 7 1 i 9 H G O u 2 m v W 9 E Y 2 w 0 2 2 V 6 3 v 3 F W G h 2 8 9 G h I f I U O 0 e H N z b f 7 C 7 t z 8 + 2 N h 1 h I t u / b K v a d / / 5 Q g X b V S e E c 6 5 f W f v y z m u + T 2 j E c + W l 3 n d F B W i / m f F M l t O i 5 v 0 7 e 7 N C t e C t 2 / c D u K w y j U Q 9 6 E z H 3 7 6 c H f 8 6 S 0 1 r n n z 3 q f 7 5 M 6 R W z x + s E k B e R J i 3 t w l T U 1 u w c H e + J 6 O 5 C Z 1 a 9 / c P d j b 3 / 1 0 j 9 7 c N J G e p J g 3 H + z t k 2 3 Y 2 T S d n o i Y t z Y 1 9 2 T i P d H z 9 a q d B z L 2 9 3 d v f D P C c g / 2 d u / t P b j / c P z w 0 1 u q V P P m 9 i 1 f j b D N b R X q e y I Z Y Z b b q t P 3 7 C n C I r e c g g i b 3 I K 5 f B X q 0 f / G 9 3 z t e R u S + A r z P d D z 9 e a t u o n w x C 2 6 8 Z D b N y r t W T H L i 2 m 1 K J q q G a V f Z M t Z 1 t 6 k 3 + 7 d r D I t f P f K L W E O K 0 0 D c 3 9 v l x y v T z + l C F j B 3 q Q 0 z Z v 3 9 h / u 3 n u w Q 6 r v t k r T v L m 7 f 3 + P g u e D 3 f H 9 W y p N 8 + Y t 5 s W T h v d 4 y 5 M E 8 9 Y t F e Z 7 d O I r S 3 0 N 7 W 7 W j 6 6 P g / 3 d + z f R z d e P 5 s 3 t W 7 4 a 4 Z D b 6 s f 3 R D L C F 7 f V j + / Z U 5 8 j N l A 9 w g i 3 m d k I Q 7 y v S r w N F X y V + B 7 o + S r x V t 1 E 2 O A W 3 X j I 3 Q 9 V I i l D U o W 0 Z n S d n l R L A b F B f d 3 C j b Q d e O / c F u q w V j R Q 3 1 8 r m j f f X y u a N 9 9 f K 5 o 3 b z E 1 n g y 8 x 1 u e M J i 3 b q k V 3 6 M T X y v q a 7 f T i q 6 P G 9 S A v B l h n q + h F W 9 D B 1 8 r v i e S E b 6 4 r V Z 8 z 5 7 6 H H E 7 r f g + M x t h i P f V i r e h g q 8 V 3 w M 9 X y v e q p s I G 9 y i G w + 5 T 4 3 S O n v x k + m z s 6 f p y / T 0 O 6 c n X 7 0 5 + 8 k b F o W g v n Z 2 H m B K b 9 K M t h N Z F P L e f K 8 O h p W k 6 e D 9 l a R 5 8 / 2 V p H n z / Z W k e f M W M + W J x H u 8 5 c m G e e u W S v I 9 O v G V p L 5 2 O y X p + r i V V o j w 0 d d Q k r e h g 6 8 k 3 x P J C F / c V k m + Z 0 9 9 j r i d k n y f m Y 0 w x P s q y d t Q w V e S 7 4 G e r y R v 1 U 2 E D W 7 R j Y f c A 6 O / X m Z 1 W 0 y L V T a V H O R 1 e r y 6 S Y n t 3 6 w f L X z 3 y i 1 h D q t E A 3 N 3 f + / h L i 9 g b 8 q 7 e J z v X n z 4 8 O H B / s P b a U P z 1 v 7 9 3 Z 1 P 7 + 1 s X s z 0 u N + 9 d 5 v 0 k M f 8 5 s V b 6 s H b N P f Y / v 3 Q 8 l X h e 7 4 Z 4 b J t M k M H e 6 Q H N r 4 Y Y Z 9 b v R d h k V u 9 F + G Q j d I T 4 Y 1 b 9 R P h j Y 3 9 R F j i l q R / T + 7 w t e J t 2 v v a 8 F b t I 6 x w W z V 4 q / a R m b + l / j v w 9 R 8 r v Y p + z v L 0 J F s V N + q q W z i I t g P v n d t C H V a B B u p 7 q 0 D 3 4 v u o Q P P W + 6 p A 9 9 5 t 2 N b j d / P i L V X g b Z p 7 P P 5 + a P k q 8 D 3 f j D D a e 6 t A 8 + K t 3 o u w y K 3 e i 3 D I b V X g e / U T 4 Y 3 b q s D 3 J P 1 7 c o e v A m / T 3 l e B t 2 o f Y Y W N 7 S M c s L F 9 Z O Y 3 j t c 1 f 2 g 0 1 P H L k / T l 8 a v j 0 9 d v 0 h d f p q d f v H x 1 s 6 6 i M P Y 2 C 9 G 2 E x M n 2 z f f q 4 N h j W g 6 e G + N 6 F 5 8 H 4 1 o 3 n p f j e j e u w 0 X e + x v X r y l R r x N c 4 / l 3 w 8 t X y O + 5 5 s R v n t v j W h e v N V 7 E R a 5 1 X s R D r m t R n y v f i K 8 c V u N + J 6 k f 0 / u 8 D X i b d r 7 G v F W 7 S O s c F u N e K v 2 k Z m / n U Z 8 u G O U 1 d O 8 z q d z W k n J 0 l f 5 t J g U d X p 6 g 8 b a u 1 E X O v D 2 j d t B H F R + F u K m 8 T m G v l V z x 8 + 2 + f 4 O q e P 9 8 b 1 N K t K x 8 3 u 9 5 r j 6 V s g 5 V r 5 V c 8 f J 7 4 W U p + b e 7 7 0 I K 2 3 k v A h v b G z / n j P v 6 b L b t Y / M / c b 2 k U n f 2 D 4 y 2 7 e i 6 3 t O u 6 f B b t X e 0 2 C 3 a / + e 8 + x p s N u 1 f 9 9 5 d s 1 3 j Y r 5 s q 1 J f Y k e E y 1 2 s w Z 7 e L M K s / D d K 7 e E O a z E D M x N Q / Q 4 + T b N P U Y 2 z W / D a B 4 / v 8 9 r H l v f B j m P m 2 / T 3 G P m 9 0 H K V 2 L v 9 V 6 E m 2 6 r x G 7 V / j 1 n 3 l d i t 2 o f m f v b K r F b t Y / M 9 q 3 o + p 7 T 7 i u x 2 7 T 3 l d i t 2 r / n P P t K L N p + g x K 7 T X s P n T 2 j Z I 5 f v E m f n r 5 M P 6 f g 9 E X 6 + v n T L 2 9 U N x Q 2 7 u z c w h e z f W h c 6 t 5 8 r w 6 G t Z r p 4 J Z a 7 T b N P c 4 2 z W / D e R 6 D v 8 9 r H p / f B j m P v W / T 3 O P u 9 0 H K 1 2 r v 9 V 6 E v W 6 r 1 W 7 V / j 1 n 3 t d q t 2 o f m f v b a r V b t Y / M 9 q 3 o + p 7 T 7 m u 1 2 7 T 3 t d q t 2 r / n P P t a 7 V b t 3 3 e e X f N 7 R u M 8 K X I s t J 4 t F + t 8 U u b N i H 6 9 Q e 3 c u 1 m h W f D 2 j d t B H N Z g B u K 9 n Y f 7 e z u 7 B 5 R b 2 9 m 9 n T Y z r z 6 4 v 0 N B + P 3 d e + O H m 9 7 0 m N t 2 u v 9 w / + D g / s H 9 T z 8 d 7 z y 4 n X a z 7 + 5 9 u n N / b / / T v f t 7 4 4 e b 3 v W Y 3 r x L L P 9 g 9 + D e p 5 / u H I z B 3 I P v e o z v 9 b v / 8 O D B p / s P i F K b 3 v W E 4 L 1 x 9 j W g e Z l y k Q f 3 9 g 4 + p b z p + G D j y x F + 3 L u 3 f 4 / e v E e T t G m O f I 1 o X t 2 + 7 b s R r r q t d n x f N C O 8 d F t F + b 5 d R d j n 9 j M R 4 Z / t 3 Y P 9 B w c 7 9 x 4 e f H o w 3 q h 1 I w x 0 2 3 d 9 j f r e 7 0 b Y 5 7 b a 9 b 3 7 e l + e c c 3 3 j S p 8 k 9 d 1 v q y a m 3 T h 7 s 3 q 1 c J 0 r 9 w S 5 r C C N T A f Q E P u P r y 3 O Y / r y Y R 5 8 d 7 9 v Q c P 7 u + T h t z 0 o i c R 7 s V P 9 w 5 I M d + 7 P 9 7 Z v 5 1 y d a / u H n x 6 / 9 7 B w Y P x g 0 2 v e s J h X t 2 9 v 7 / / 6 f 4 u / b i d X j X v 7 c M M H B z c V q W + L 6 a + R j X v 7 u 3 f 2 0 N 2 f X / 3 h n c j b L e / v 0 f 0 3 X 8 w V h t 8 o z o 1 L 2 7 f 7 s 0 I B 9 1 W m b 4 f i h H G u a 0 q f b + O I r x y 6 w m I 8 A v p 4 E 9 p 8 f D e / q e 3 1 K F 2 A m 7 1 p q 9 B b 0 M X X 2 u + F 4 q + + r x V R x H O u F V H H o L 3 r e 4 8 f f X q 9 M W X r 9 P X x z f H 3 f d I q A 8 o M r 5 Z j 1 r 4 G n e 7 N 9 + r g 2 G l a j o g I / x w 5 + G D 3 c 2 6 0 Z M N + + K n 9 + 4 / u I l l P d E w 7 2 2 a G U 8 y T H P y n e j Z u z d + c L u F 4 F v 1 4 w n D b Z p 7 I v B + a P k q 8 z 3 f j P D a 7 V 6 M M N E t u 4 x w x 2 0 V 5 v u h + J 5 c 4 S v M 9 + s o w h a 3 p M V 7 c o i v J W / T 3 t e N t 2 o f Y Y f b e p S 3 a v + + c + + a f 9 r V h L d T U b f w J S 3 k U A f e 7 F K G H Q z r Q N P B / Z 2 D P T w b V Z n H 7 e a 9 g 4 e 7 D w 8 e H m x m J Y / Z z X t f w 6 1 0 r + 7 t U O y 8 t 7 s 7 3 t 8 U F n i c b 1 5 9 X 7 f S v P e e b u X 7 Y u r r S P M u e T X 7 D 3 f 3 y S 2 9 4 d 0 I H + 7 v P t z Z g 4 D f v 6 2 a N G 9 u 3 / L V C A f d V k + + J 5 I R 3 r m t o n z P n i L 8 c u t J i P D M 7 d y p C N e 8 v 2 t 5 G 8 L 4 6 v O 9 U P T 1 6 K 0 6 i v D G r T r y E H x g 1 N 5 P F p e U A p 1 l N 8 b l e z f r U g v U v X J L m M P q 0 8 D c 2 y V t 9 u D h w S a 9 4 s m A e W 1 3 5 9 P 9 / X s P H y o q N y l P 8 9 r + z o P 7 9 x / c I x 0 / 3 t u k k j x Z M K / e e / j p w 1 1 a m q J c 6 c Z X P W E w r 9 7 S m 7 Q k 2 X l 4 7 4 A k 7 2 D T 4 D z 2 f 1 8 M f a V p 3 v 1 0 5 9 M 9 S g b v 7 d 9 A G F 9 p v s 9 c + C r T v L d 9 q x c j P H N b h f l e C E a 4 5 b b q 8 r 3 6 i f D H r Y k f Y Z b t W 3 G L r y 3 f i 8 1 8 Z f l + L 0 Y Y 5 b Z O 5 / t 1 9 L 4 M 4 p o f W G V 5 9 p N n p y + e H t 8 y E N 8 j / b F 3 m 0 D c d m C c U P v m e 3 X g t C h 3 4 A 3 Y d P C e W t S 8 d h u G 9 e T C v L a J v J 5 Y m O a 3 k n N P L G 7 T j S c J t 2 n u s f 9 7 Y e W r y v d 7 M c J m t 3 o v w j 2 3 6 z D C F b f V k + + F 4 H v y g 6 8 n 3 6 u f C E P c j h D v y R q + a r x N e 1 8 j 3 q p 9 h B M 2 t o 9 w w M b 2 7 z v x r v n D n v 6 7 n W K 6 R f h t Q Y e a 7 8 b w u 9 P B s O Y z H W w a q s f i t 2 n u c b Z p / j X 8 x f d 9 1 e P z 2 y D p c b d p f i s z 6 X H 5 + 2 L o K 0 H z 7 q e 7 n z 6 8 9 3 B v b 3 / n 9 v 7 i b Y b n 6 7 9 b t X 9 P l v D V 3 q 3 a R 5 j i t u r u V u 0 j 0 3 9 r 2 k Z 4 4 f 3 d w f f i I l / 5 v d + L 7 8 k H v h Z 8 v 4 7 e l y F M 8 0 / h b 4 n O O p 0 V 5 8 W 0 q J p 0 W a X f z i Z F m 0 1 v U l z 3 b t K J H n z 3 y i 1 h D q l B B / P T B 7 T c / y k l X c a b M j W W + d 2 L 9 2 g F 9 + H B 3 u 6 D 8 d 6 t E p H u z f s P 9 p D d u 7 e z O 9 7 d 9 K q V C O / V e w c 0 l Q 9 2 D u 6 N H 9 5 G N b o 3 K R 9 y c P / + L q m t 2 + h I 9 9 6 D + 5 T J e r C / i R O s T L w 3 n k 5 B u l f 3 7 z 3 4 9 M G 9 g 7 3 7 O 5 t f j f D f L a f E q U r 3 6 v Z t 3 4 2 w 0 O 3 U 5 v u j G W G d 2 2 n Q 9 + 8 q w j C 3 n Y c I z 9 A y w N 6 n + w c H R l B v U K X e L N z q T a d L b 0 c Y p 0 L f E 0 W n S 2 / Z U Y Q 5 b t W R h + C u 1 a V P z 5 6 l L 7 5 M v 3 3 8 5 O z N 8 U n 6 + h b x N V y S e z f H 1 1 4 v x s u 0 b 7 5 X B 8 P q 1 X T w 3 u r V v H h L z v V k x L y 5 a Y Y 8 E T H N b y v 5 n o j c p i d P L G 7 T 3 B O G 9 0 X M V 6 L v / W 6 E 8 2 7 7 a o S d b t 1 t h F N u q 0 X f F 8 3 3 5 B B f i 7 5 v V x E W u T V F 3 p N f f O 1 5 m / a + z r x V + w h j b G w f 4 Y b b q s r b t P f Q 2 f M 1 5 N m J p y P P v n x x O w W 2 e 7 O G t L 2 E G n L 3 P T s Y 1 p C m g 0 2 j 9 t j + N s 0 9 V j f N v 4 a v + b 6 v e l x v X n 1 f Z 9 O 8 9 3 7 O 5 v s i 6 i t K 8 + 7 + g 9 3 d h / c + 3 f / 0 4 I Z 3 I w y 4 k V 8 j r L S x / X t y h q 8 R b 9 U + w h u 3 V Y O 3 a h / h g l v T N s I J t 3 O b I s z w / i 7 k b Y b n q 8 P 3 Q t H X i 7 f q K M I H t + r I Q / C e U V 1 n y / M 6 y 5 u 2 X k / X b Z 3 d p L r 2 b 9 a K F r R 7 5 Z Y w h x W h g X l L R X i b 5 h 6 z m + b 3 D v Y f f H q f 1 P P u + N O H t 1 O E 7 / u q J w L m 1 d 0 d m j e K o u 5 T q v D + g 9 s p Q / P u 3 s H + 7 h 7 p t f u 0 u v n w 0 9 u p x P d F 2 V e J t t / d B w 9 2 7 + / s 3 N v Z G + 8 c 3 F I n 3 m Z W f J 1 4 q / b v y S S + T r x V + w i b 3 F Y n 3 q p 9 h C F u T 9 w I R 2 z v P n i 4 R 1 P 7 6 c O H O + N 7 G + c 1 w h O 3 f t l X j u / / 8 n s y h a 8 g 3 7 + z 9 + U Q 1 3 z f K s k X z 1 4 d p y f H r 1 6 d v j m l 3 2 4 T Z + / v 7 u C 5 W V / a X o w X a d 9 8 r w 6 G l a f p 4 J b K 8 z b N P a k w z W k y d n f J w 9 r b G z / c v 5 3 y f N 9 X P V k x r 3 4 d 5 W n e 7 S r P w X c 9 Q X l f l H 3 l a f v d J b 2 7 c 2 / v 3 u 6 9 8 W Z 7 H e H F 2 y r P W 7 V / T y b x l e e t 2 k f Y 5 L b K 8 1 b t I w x x e + J G O O L r K U / L i 7 d 9 2 V e e 7 / / y e z K F r z z f v 7 P 3 5 R D X / H 6 o P E + f n 5 6 8 e X V 2 c n y j W n s A r X a L 6 N t 2 Y P W m e f O 9 O h j W m 6 a D W + r N 2 z T 3 B M I 0 p 9 j n w c O D g / G D W 4 b e 7 / W e J y C 3 Q c 8 T i d s 0 9 2 T g v b D y l e L 7 v R j h r 9 s q x F u 1 f 8 / Z 9 x X i r d p H 5 v + 2 C v F W 7 S P z f T v C v u f M + + r v N u 1 9 j X e r 9 u 8 5 0 b 6 S u 1 X 7 9 5 1 o 1 / x T o 3 Z O q i W H z b S W v c y b N F + m L + u b d M / 9 m 9 W a h e 9 e u S X M Y U 1 m Y H 5 6 b 2 9 / 7 1 N K t 4 z 3 N 5 l G j 6 v N m 7 u 7 e w 9 2 K N D c 2 2 x U P f 4 2 b 9 4 j F A 9 2 H 3 5 6 j 0 z N w e 1 U n H k V R m f n 4 U N y t M Z 7 m 1 7 1 u N 6 8 + u D T g 4 c 7 + / d p Y R K s O v i m x / Z 2 p P f 3 9 w 8 o R / v w 3 m a H 0 p O A 9 8 X X 1 3 + W T P c O y C g 9 e P g p R e O f 3 l I F m n d p 9 e D B 3 s 7 9 3 b 2 x G r 8 b l a F 5 c / u W r 0 Z 4 6 b Z 6 8 T 2 R j H D Q b T X k e / Y U 4 Z p b T 0 K E b 7 Y f U G Z 6 9 + B g / 9 5 m P v d V p + X W 2 7 3 q a 9 H 3 f T X C N r d V q O / b 1 f s y i 2 v + w O g + X t j m F Z v 0 5 a s v a W H 7 5 n j 7 / u 6 n u 7 u 3 i b d t J 8 Z v t G + + V w f D 2 t Z 0 s G n Q n o D c p r k n F a Y 5 r Y E 8 3 H / 4 Y H e 8 S U l 5 0 v F e 7 3 m y c R v 0 P H G 4 T X N P A t 4 L K 1 9 v v t + L E R 7 b y J I R d t n Y / j 1 n 3 9 e P t 2 o f m f / b a s V b t Y / M 9 + 0 I + 5 4 z 7 y u / 2 7 T 3 N d 6 t 2 r / n R P t q 7 l b t 3 3 e i X f M D q 9 u + / T J 9 d f r F l 0 / T 3 y f 9 4 v Q 7 X 7 4 6 / u J 2 q u c W M b H t J N R t N 8 b E n Q 6 G d Z v p 4 O D h 7 r 2 d B 5 S f 3 r + d k j P v f U r Z u v 1 N 7 3 i c b t 7 Z 3 d u 7 9 + B g 5 8 F 4 f 5 M 9 9 1 j e v L i / s 0 v R / s P x v V u q O v P e L V X d b Z p 7 / P 5 e W P m q 7 v 1 e j L D c w d 7 e / r 2 9 g 8 2 T 5 e s 8 8 + L 2 7 d 6 M 8 M d t t d / 7 o R h h j t u q w f f r K M I U t 6 P + e 7 K H r w 9 v 0 9 7 X h 7 d q H + G G j e 0 j T L C x / f t O v W v + 0 N e H J 1 + + e P 2 G 9 O H x F y + f n x 2 f 3 E 5 d 7 d 2 s D 2 0 n o T 7 c e 8 8 O h v W h 6 W D 3 / o N P P 9 3 9 9 M H 4 / q Z w 0 2 N 8 8 + L B p w f k V 2 9 m R 4 / t 7 W s P P n 1 A Q e r B + N N b u n / m x Q d 7 D 2 D Y P x 3 v K h F u U o r 2 x f 1 9 6 n B / Z w y n f v B F j / / N i x R K 7 y L 6 P 9 j 0 n i c H 7 4 e p r y j t Z D w g E b / 3 6 f j h x h c j v L i 7 f / D w w b 2 H e + P 7 G 5 N l E Q b b v u W r E d a 5 r a p 8 T y Q j T H N b X f m e P U W Y 5 X Y z E G G W B 7 s 7 9 3 Y f 7 D w c b 3 w x w i 3 b t 3 r T 1 5 + 3 o Y q v P 9 8 L R V + R 3 q q j C G P c q i O H I C R B N S q i 5 x d f I o C + f f h M A P Z u E T 6 7 X q x K N W + + V w e D K t V 2 s I l c T i x u 1 d z J g m 1 O S m n v 4 M H O 7 h i M P / i i E 4 r 3 f N H J x K 0 Q d J J w q + a O / 9 8 T L U 9 b v u + b E U b b q E 8 i L L O x / X t y g K c Z b 9 c + w g O d 9 k P 6 8 H b t I z N + S 8 q + 5 + R 7 2 u 9 W 7 T 2 d d 7 v 2 7 z n T n q q 7 X f v 3 n W n X f N d q u B f G a X z 1 1 c n J 2 Z c v b q d 9 d m 9 W b 7 a L U L 3 t v m c H w + r N d L C / e 7 D 3 8 B 7 Z y A c H t 1 N 0 5 s W D n X s P y W v c v L D h c b t 5 j x Z D P v 1 0 7 y F 1 u O l F j + 3 N i 3 u 0 9 v P p w d 7 B R j v k s b 9 9 7 9 7 O w w d I E t x T 6 t 2 k + h x p y N P c J U 9 z E 6 K e F L w X o r 4 K 9 D C 9 t / P p / f H D T V P h a 0 D z 4 j 1 K T J C L e r D Z 7 f d 1 o X l z + 5 a v R j j n t m r x P Z G M s M x t F e R 7 9 h T n l V v M Q I R X d u G i P v h 0 b 7 y 3 c d I j 3 L J 9 u 1 d 9 9 X k b u v j q 8 / 2 Q 9 B X p r X q K 8 M b t e v J Q 3 A t U q s b f t 1 a o N 4 f g r o N Q o d 4 c g o c d D C t U 0 8 E m U n l S c Z v m n i i Y 5 v f u H + x 9 + v D + p + O d T e v f n k y 8 3 4 u e S N w G Q U 8 Q b t P c 4 / 7 3 Q 8 t X l u / 5 Z o T H N q q T C M t s b P + e H O A r x l u 1 j / D A b d X h r d p H Z v y W l H 3 P y f d 1 3 2 3 a + w r v V u 3 f c 6 Z 9 N X e r 9 u 8 7 0 6 7 5 v U C 5 v e + i C y u g e z d r O N t L q O F 0 D m / d w b C G M x 3 s 7 u 7 v P 9 w n h + r B p n y M x + j m x Y O 9 3 U / 3 7 + + P 9 z f x l c f w 9 r 2 H + / c f P i C P c Z M x 8 R j f v H f / w e 7 e w / s H 4 / 3 b a T z z 2 o N P 7 + / u 0 m s H m 4 b n c b + l C + F I r u 3 m 4 X l S 8 D 5 o + h r Q v H f v Y P / T 3 d s 7 i / Y 1 8 m p 3 d g / G 9 z Z R 0 9 e D 5 s X t 2 7 0 Z 4 Z j b a s T 3 Q z H C K b d V j e / X U Y R H b k P 7 C I v c / 5 T y 1 x T 7 7 G / s L 8 I j 2 7 d 6 0 9 e Z t y G J r z P f C 0 V f e d 6 q o w h T 3 K o j D 8 H 9 Q I u e 8 k I N p R V / n 9 O T N 1 + + v p 2 S e 3 C z F r W 9 h F p U l z d u 3 c G w F j U d P K Q V l 7 0 H 4 0 9 v p 0 L N W 6 Q / D 3 Y 3 q w p P L G x f u w e f 7 u 3 e O s d o X r v / k F Q T c f m m 1 z z Z s D j e 2 / 9 0 7 9 7 m 1 z z Z M K 9 R k v n e x j U W T y z e B 0 N f d Z r 3 9 h 4 c 7 J t c 8 Y 2 K 0 y K 4 t / f w p j R 4 h J O 2 b / N e h E F u q z T f B 7 0 I b 9 x W Z b 5 P N x G m u J n i Q y x x 0 / R G 2 G L 7 N i / 6 y v I 2 x P C V 5 f s g 6 O v K W / U T 4 Y X b 9 O O h d z 9 Q l S d f f k G q 8 s 1 X r 8 5 e v z k 7 O b 6 d J n t 4 s 6 q 0 v Y S q U n M u t + 5 g W F W a D v Y e 7 j + 8 R z m 1 8 b 1 N 4 / d E w r y 4 i c y e K J j m l A i m 1 c L 7 D 8 c H t 3 Q 0 z Y v 3 d u 9 T 4 u j g 3 n h / E 4 K e V N i R 7 e z x / 8 Y P b + l r 2 h 7 v H V B K c 2 / z K r g n G e + H q a 8 y z Z u 7 + 5 8 + 3 D k 4 2 B / f 3 7 T U 7 + v N 9 5 s + X 3 W a N 7 d v + W q E Z 2 6 r P d 8 T y Q j X 3 F a B v m d P E W 6 5 5 R R E 2 G X 3 0 4 N 7 1 C 3 F N B s z o h G G 2 b 7 d q 7 4 y v Q 1 h f G X 6 f k j 6 6 v R W P U W Y 4 3 Y 9 e S h + G i j U s x f P X h 2 n p z + R v j 5 + / t X T W 6 k 7 S N R N + t R 2 E u j T X R 3 c r T s Y 1 q e m g 3 1 a 8 d n Z p / T 4 J g b 0 Z M S 8 d 0 t 1 + l 7 d e A K i 7 6 H Z j Q r 0 x r a e E N z Y 1 m P 7 G 9 v 6 q v H m x h E W u h V V f G V o X t y + 3 Z u R + b 6 t L n w / F C M z f l t V + H 4 d v c + 0 + 8 r v 5 s b v M / G + h r u 5 c X / i N z Q O J / u G x v 3 5 3 T B A 1 / Z B o M F O v n p O / u B x + v T 0 5 Z e v 3 p z e T s P s 3 q z C b C + h C t t 9 z w 6 G V Z j p Y H f / / v 0 H D w 4 o f t 7 k O H m 8 b V 7 E 0 i z 8 n 4 2 L w R 5 r m / c O P r 2 / 8 / D e p 5 S 8 3 G Q y P B 4 3 L z 7 Y f 7 D 7 8 O G n O + P d T Z h 6 P G 4 x J R v 1 c I + k Y 2 8 T q h 6 / W 9 r s P L x / b 5 / W u z d 5 C R 7 r v x + m v g I 0 b + 4 / 2 N / 9 d I c y u x u p 6 m t D i + s u l m p 3 6 M 3 9 W 6 p D 8 + b 2 L V + N M M 9 t 9 e F 7 I h n h m t s q x P f s K c I t t 5 y C C L v s P a C I 4 O H O / f H B x j 4 j D L N 9 u 1 d 9 z X k b w v j K 8 / 2 Q 9 D X p r X q K M M f t e v J Q P A g 0 6 + n T r 0 7 S 1 1 + 9 P H 1 1 9 u W r 2 6 m 9 B z f r V d t H q F d V w G / d w b B e N R 3 s 3 b / 3 6 a e 7 D 8 e f b u I i T 0 T M e 7 d 0 D U 3 z / X s U w B 7 s b U 5 o e P J h 3 t t 9 8 P D B 3 q e k v W + p S 2 1 / 9 3 f 3 9 n d p x e r g d q r U k u P B 7 v 3 d / Y e 3 X t J 5 L z x 9 T a o v b j D l E Y 6 7 1 W T 5 u t O 8 u H 2 7 N y P 8 c V v V + X 4 o R j j k t p r z / T r q s 8 Y G i k f 4 4 X b z G m G I 7 V u 9 6 W v K 2 x D C 1 5 T v h a K v K G / V U Y Q V b t W R h + D D v p 6 k 5 Z v P a S X n 5 e 3 U 2 M H N e t L 2 E e p J l f p b d z C s J 0 0 H m 4 j l i c F t m n v M b 5 r f 2 9 2 5 / 5 B y 7 P u 3 0 4 7 v 8 5 o n A d 3 X N s 2 j J w t 2 T O O d T b L m C c H 7 4 O c r R X 3 v d k r x N q T 2 d e G t 2 r / n z P s a 8 F b t I 3 N / W 8 V 3 q / b 9 2 b 6 d v n u v G Y v M 9 P Z t X v S 1 3 W 1 G 4 2 u 7 9 0 H Q V 3 a 3 6 i c y 6 7 f p x 6 G H k X m 6 7 u z F 0 7 N X v E y d f v n k 1 f G t l B G Q v k H b u V 4 C b Y c 3 3 6 u D Q W 1 n O 7 i H t e q D z S v 1 j v X t a 7 f T e r b 5 L n m F n 1 J e f B O N n Q C 4 1 3 Y + 3 X + 4 / 2 D 8 U L X 8 D W r P v X f / Y G f v 0 / G D T a 6 d E 4 l b D c p J w v t h 5 y k 9 + + L D n U 8 f 0 p r 9 R q 3 s 6 b / 3 m i t P D 9 r 3 t m / 1 Y o Q 5 b q k Q 3 w / B C H v c U j G + X z 8 R v r g V 4 S O M c R t + 8 n S l I / x t X v R 0 5 a 0 I 4 u n K 9 0 L Q 0 5 W 3 6 y f C E L f p x 0 N v 1 2 i x 4 y f H r 9 + k x 5 9 / d Z y + P H 3 z 6 s v 0 9 d M v b 1 R l 9 z 7 d v b e z c 7 O u t L 1 Y X W n e f K 8 O h n W l 6 W A T t T x p u E 1 z T w h M 8 9 3 7 + 4 T R / c 1 r h 5 4 w v N d 7 n j D c B j 1 P B m 7 T 3 G P 9 9 8 L K V 4 7 v 9 2 K E y T Y q k Q i 7 b G z / n r P v K 8 N b t Y / M / 2 2 V 4 K 3 a R + b 7 d o R 9 z 5 n 3 t d 5 t 2 v v K 7 l b t 3 3 O i f S V 3 q / b v O 9 G u + Z 5 R O 6 + P 0 1 e n 3 z 5 + c v b 8 7 M 3 x y d m X L 2 6 n e H Z v 1 m y 2 i 1 C z 7 b 5 n B 8 O a z X S w f 7 C L H N r D T c s K H o u b 1 2 6 p 4 d 6 n F 4 / R 9 T U 0 u 1 G p 3 d j W 4 + s b 2 3 o 8 f W N b X 4 X d 3 D j C P r c h i q + + z H v b t 3 o x M t e 3 1 W P v h W B k t m + r z 9 6 r n / e Z c l + X 3 d z 4 f S b d 1 2 I 3 N + 5 P + o b G / Z n e 0 L g / u x s G 6 N r e 8 z T X 8 R c v n 5 + 9 h 9 b a u 1 l r W f C h 1 t p 7 z w 6 G t Z b p Y H / 3 H r 2 0 M 7 7 / 6 e 3 U l n n v l m r L N H / w 6 d 4 B r R y N D 2 6 p t 8 x 7 9 / Y f 3 t / b 2 f G W 7 T b r s N u g 5 7 H 0 b Z p 7 T P 1 e W P l a 7 f 1 e j L D Z r a b J V 3 H m x e 3 b v R n h j N v q u P d D M c I b t 1 V y 7 9 d R h C l u R / 3 3 Z A 9 f 6 d 2 m v a / 3 b t U + w g 2 3 9 d 5 u 1 f 5 9 p 9 4 1 3 / d 0 4 M m X L 1 6 / e f X V y e 2 1 4 L 2 b t a D t I N S C 9 9 6 z g 2 E t a D r Y 2 9 3 Z 3 X v w c G N u z W N 5 8 9 o t l e D 7 9 O L x u 7 4 2 b I 4 8 F r + x r c f V N 7 b 1 O P r G t r 6 W u 7 l x h H l u Q x R f s Z n 3 t m / 1 Y m S u b 6 v X 3 g v B y G z f V q 2 9 V z / v M + W + J r u 5 8 f t M u q / D b m 7 c n / Q N j f s z v a F x f 3 Y 3 D N C 1 v W / U y t m L Z 6 + O 0 9 M X p 6 8 + P 6 O f z 2 k R 4 t W t d A s Y + S b l Z X s J l B f e f K 8 O h p W X 6 e D e / Z 3 d B w e 7 4 w P 1 D q P D 9 x j b v L e 7 s 7 N z f + f h e O f h 7 d S Y e W / v P h h 1 b 3 M G 0 2 N w f W 9 4 a j y m v r G t x 9 M 3 t v V Y + s a 2 v h 6 7 u X G E m W 5 F F V + R m R e 3 b / d m Z O J v q 8 n e D 8 X I j N 9 W l b 1 f R + 8 z 7 b 4 u u 7 n x + 0 y 8 r 8 t u b t y f + A 2 N + 5 O 9 o X F / f j c M 0 L X 9 1 G i Z p 2 c / e f a a n K / 0 z e m r V 6 c v a D H 1 9 f M b V c 3 + p 7 v 7 t 1 k e s L 1 Y X W b e f K 8 O h n W Z 6 W A T p 3 k c f Z v m H h / f p r n H x r d p 7 j H v b Z p 7 7 G u a 3 7 / / 4 N N P d 3 Y + 3 R 0 b m 3 C T E r t N R 7 4 e e 8 + e f K 1 2 q 6 4 i D L K x / X v O t 6 / C b t X + P W f c 1 1 y 3 a h + Z 8 9 u S N j L / 2 7 d 9 N 8 I B t 3 z V 1 2 3 v + + p 7 M o O v 7 N 6 3 q / f l C 9 f 8 g d F L p 6 / f f P X 0 j J T e 7 5 O + f P X l 7 0 O O 3 J e v b 6 e c P r 1 Z + 9 l e Q u 3 3 6 X t 2 M K z 9 T A e 3 1 H 6 3 a e 7 J g m n + Y H 9 v / + E O T c b 9 2 6 n B 9 3 r P k w 3 z 3 v 6 D h / d 3 7 z 8 Y 3 9 / k X 3 q C Y d 7 b 2 7 + 3 e 3 B / v M m b 9 U T i v b D 0 t a P t 7 u D B 3 s O 9 g / E D n c 8 b d e N t y O / r x l u 1 f 0 9 u 8 H X j r d p H + O G 2 u v F W 7 S P z f z v C R h h g / / 7 9 3 Y f k P t 7 b x D i + W j Q v b t / q T V 8 r 3 m Z s v i p 8 L x R 9 n X i r j i J M c K u O P A Q P j K 7 6 8 s m r 4 9 f p 0 9 P 0 5 P j J 6 U 8 d 3 0 5 X P b h Z G d o O Q m X 4 4 D 0 7 G F a G p o N b K s P b N P e Y 3 z T f u / 9 g / 9 N P H 4 y N F r 9 J G b 7 X e 5 4 w m P f u 7 e 0 + u L 9 3 f 3 x / k 3 r y Z M G 8 9 + n + 3 s H 9 g / H + p u n 3 J O G 9 0 P S 1 o b 6 I d j d r w N v Q 3 N e A t 2 r / n i z g a 8 B b t Y 8 w w W 0 1 4 K 3 a 9 y d 9 A z E j M 3 2 7 K Y v M 9 f a t 3 v S 1 3 m 3 G 4 2 u 9 9 0 L R 1 3 q 3 6 i g y 8 b f q y E P w o V F K k t H 7 f d L T n 0 i P P / / q O H 3 5 5 Z v b K a a D m z W f 7 S T U f A f v 2 c G w 5 j M d 7 D 7 c u 7 9 3 b 3 d / / G C T s v D 4 3 7 x I q 2 L 3 H 9 y 7 N 9 7 d 5 D t 5 c m D f e 3 B v 9 9 O D B w / G E K r B F z 2 B M C / u 3 7 v 3 Y G f v I a m 1 T Q 6 + J x n 2 R X I M H + z t k X N w S + f Q v E i J z r 3 9 v b F Z A 7 p J H 7 4 f o r 5 C N G + C F e / t H G y e C 1 8 5 2 l m 8 9 3 D / 0 / u U l / 3 0 t h l B 8 + b 2 L V + N s M 5 t N e Z 7 I h n h m d v q z v f s K c I r 4 Q z c Q q P a S d + h C O T h w a c 3 e K A R d t m + 3 a u + T r 0 N X X y d + n 5 I + k r 1 V j 1 F e O N 2 P T k U 7 + 3 E t O r z k + M X b 4 5 v X i Z h p f f w R q 3 q O g m 1 q q q F W 3 c w q F V t B / c p O r y 3 / 3 B 8 o K 7 q D U r V v r e J z E 4 u b H N a R d 9 / e O / h p + P 7 t 9 O l D r 9 P 9 / c P d v Y / H X + 6 C U E n H / b F / b 1 P 7 9 / f p x 7 3 N / X o 5 M O + u L t z f + / g 4 f 4 Y Z n f w P S c d 7 4 m p p 0 x d j / s H + / f 3 9 / d v U M M R H r z V 7 H n K 1 L 6 4 f b s 3 I w x z S 1 3 6 n i h G W O a W q v Q 9 O 4 p w y i 3 J H 2 G V / d 1 P d / b o f 2 P g M / x m h F m 2 b / e q p 0 p v R R d P l b 4 n k p 4 q v V 1 P E d a 4 X U 8 e i r t G y 8 k i 8 9 m z 9 K t X T 4 5 f H N 9 K y 0 G S b l K j t o N A j e 7 q w G 7 d w b A a N R 1 s I p U n F L d p 7 o m C a b 6 3 u 0 t J w / G D T R r J k 4 j 3 e c 2 T h / d 5 z R O G 2 4 z J k 4 D 3 6 c V X l v o e 2 t 2 s H 2 + D k 6 8 W b 9 X + P a f d V 4 a 3 a h + Z + N v q w F u 1 7 0 / 1 B m J G J v h W M x a Z 6 e 3 b v O h r u t u M x t d 0 7 4 O g r + d u 1 U 9 k 1 m / T j 4 f e X k / L v f r q 1 f H z 2 + m g 3 Z u V n I U f K r n d 9 + x g W M m Z D h 7 c 2 9 l 7 s D P e 3 T R u j + n N a 7 d U d q b 5 7 j 7 F w A 8 + 3 R n f 3 x S v e 8 z v X t z h 1 Y 7 x v f 3 b K T z 3 4 s H B 3 t 7 9 h + N N M Z g n E O a 9 g 4 O H D y g d c + 9 2 U f d 7 4 u n r P v P m / s O H D w / G 9 z Y 6 O B H G u 8 2 8 + d r Q v L d 9 q x c j j H J b t f h e C E Z Y 5 b b q 8 b 3 6 i T D I b e g e 4 Q 8 K 7 h / S R O + O H 2 5 8 M 8 I i 2 7 d 7 1 V e a t 6 G J r z T f D 0 l f b d 6 q p w h X 3 K 4 n D 8 V 7 P c X 5 4 s v 0 5 M s X P 3 n 6 4 u R 2 y m 3 v Z u 1 p O w m 1 p + q e W 3 c w r D 1 N B 5 v I 5 c n E b Z p 7 o m C a k w 6 7 v / t g E 2 E 9 e b j 9 S 5 4 w 3 A Y x T w h u 0 9 z j / N u j 5 C v G 9 3 g r w l c b 1 U e E R T a 2 f 8 8 Z 9 9 X g r d p H 5 v y 2 6 u 9 W 7 S M z f Q u q v u e E + 7 r u N u 1 9 B X e r 9 u 8 5 y 7 5 a u 1 X 7 9 5 1 l 1 3 z f 6 J k v T r / z 5 a v j L 9 K z L 4 4 / f 6 9 4 d / 9 m Z W Y 7 C Z X Z / n t 2 M K z M T A e 3 V G a 3 a e 4 x t m m + / + m 9 + 7 s 3 L C 5 4 / P 0 + r 3 l s / j 6 v e X x + m z F 5 b P 4 + v f i q T d 9 D u 5 s 1 2 m 1 w 8 j X a r d q / 5 7 T 7 G u 1 W 7 S M T f 1 u N d q v 2 / a n e Q M z I B N 9 q x i I z v X 2 b F 3 3 N d p v R + J r t f R D 0 N d y t + o n M + m 3 6 8 d C 7 b 5 Q Q u W q v 3 9 A C y a v T b x 8 / S U + O n z 8 / f X 0 7 T X R w s 6 q z v Y S q 7 u A 9 O x h W d a a D X T j / D w 7 G n + 7 f T u e Z 9 2 6 p 8 0 z z B 5 8 e 7 D y 4 / + n u + N 6 n t 9 N 6 9 k V a d a C X 9 8 Y P N s X L n j C Y F 8 m 4 E y n 2 H o z v 3 1 L z W Y r s 3 L t / 7 w E l z A / u 3 U 4 H v h + q v h b U N 2 + n B d 9 r x n x 1 a F 7 c v t 2 b E S a 5 r W J 8 P x Q j b H J b D f l + H f W 5 4 3 a q 8 j 0 n N s I S 2 7 d 7 1 V e X t y G F r y 7 f D 0 l f Y d 6 q p w g 3 3 K 4 n D 8 V P j T J 7 + f z 4 p 4 5 f p y d n P 3 l 2 Q j 9 / n / Q 7 t 1 t U 3 g d t b 1 K Z t p d Q Z T 6 8 n c q 0 H Q y r T N P B 3 s H O v X s P x i a I v k l j m t d u q T F N 8 9 2 9 / T 1 4 r Z v V k C c T 7 k U s 7 j x 4 M H 6 g O d K b N K Y d 1 9 4 u p Z A o N f m p m p m b N K b t c W f n 3 u 5 D Y o i N q Q 9 P P N 4 P V V 9 j 6 p u 3 0 5 j v M 2 G + w j T v b d / q x Q i H 3 F Z f v h e C E R 6 5 r b p 8 r 3 7 6 n H E 7 b f m e k x p h h + 3 b v e p r y 9 t Q w t e W 7 4 e k r y 1 v 1 V O E F 2 7 X k 4 f i A 6 P H f v L s + P n Z 0 + O n p 6 8 1 k L 6 d e w n y 3 K Q r b R + B r t z T s d 2 6 g 2 F d a T q g x Y D 9 + w c P 9 h 9 s X j X 3 Z M K 8 e X B / h 3 T R v Y P x / f 3 b K U 7 b 5 f 0 H 9 + 7 t 0 u r F e G e T 5 + e J h 3 l z 9 9 6 D g w c P d w 9 2 x v u b d K 4 n I O b N h 2 Q O 6 d X 9 8 d 4 m Z D 1 h M S / u 0 U t 7 9 2 i U G 3 v 0 Z O U 9 c f V 1 p 3 n 1 0 w P K V D / Y 2 x 9 / u l E P R F i S t P z + f V p j O L j h 1 Q i n b d / 2 3 Q g T 3 V a d v i + a E e a 5 r U Z 9 3 6 4 i P H P L a Y g w z a c H B w e f 7 t + / P z 6 4 r Y a 1 s 3 C 7 V 3 0 N e x v K + B r 2 / Z D 0 N e y t e o q w x + 1 6 8 l A 8 M N r v 5 f F P a u B O v u g x L b z c T v / t 3 a x g b R e h g t W Z v n U H w w r W d E A a 4 O H + P d K v m 7 S A J y P m v V t 6 o 6 b 5 / Y P d n d 0 H B 7 t 7 4 9 1 b K l X 7 5 q d 7 D / f u 7 X 9 K j u y m N z 0 B M W + S t 3 K w s 7 O L p M E t H V L z J i 1 A 3 7 / / Y P f h + P 4 m j v D k 4 z 2 R 9 b W q e f U e 9 f n g 4 c 4 e e c G b s P X V 6 n v N o a 9 U z Y v b t 3 s z w j a 3 V a n v h 2 K E c W 6 r U N + v o w i 3 3 J b + E X b Z u 3 d w b 5 + e 3 f H B p g D G V 6 h 2 B m 7 5 r q 9 R b 0 M a X 6 O + J 5 q + S r 1 V V x H 2 u G V X H p I P j c I 7 e / H 0 7 B U t a H / 5 O n 1 6 9 p O v 0 z e n r 1 7 d T u v t 3 6 x W b S + h W t 1 / z w 6 G 1 a r p Y H f 3 H q 2 B f T q + f 8 s g 3 7 7 3 6 f 3 7 e w d j T N / g a 5 6 U m N f 2 y I d 4 + P D e Z i f Z k x b b H d T c w e 1 V q 3 m P 7 O X + w / v j h 5 u E z B M U 2 x 0 5 L J Q e 2 M Q S n o y 8 F 5 K + S j U v P t j d f X i f l P j D W + p T 8 9 5 D 8 s f I I 7 u 3 0 R 2 I c N X 2 r V 6 M c M t t t e l 7 I R h h k 9 s q 0 / f q J 8 I e t y J 8 h D 8 O y B f e u z / e 2 8 T F v h a 1 h L / N i 7 4 K v Q 1 B f B X 6 P g j 6 + v N W / U Q Y 4 j b 9 O P T 2 d 4 x a o 5 C f 0 q N f f v H V C 0 q Q n q S v n 3 5 5 o 2 a j R R W K l G 9 U n a 4 P q z r N m + / V w a D q t B 1 s o p W T h V s 1 d y J g m 9 P K D A V N R N 3 N + R Q n D O / 7 p h O H W 6 H o p O B W z R 3 z v y 9 e n o J 8 7 1 c j r L Z R l U T Y Z m P 7 9 + Q C T y X e r n 2 E D z a 2 j 8 z + x v a R O b 8 t a d 9 z / j 3 t d 6 v 2 n t K 7 X f v 3 n G p P 2 d 2 u / f t O t W u + a x Q Q L 5 y / + u r k 5 O z L F 7 f T P v d u V m 8 W e q j e 1 M G 5 d Q f D 6 s 1 0 s G m 0 H l / f p r n H 1 q b 5 / v 3 9 n R 2 j l G / S b L d / y W P w 2 y D m M f V t m n s 8 f X u U f H 3 2 H m 9 F G G p j + w i L b G z / n j P u q 7 J b t Y / M + W 1 V 2 a 3 a R 2 b 6 F l R 9 z w n 3 t d h t 2 v t a 7 F b t 3 3 O W f S 1 2 q / b v O 8 u u + Z 7 R M 6 e v 3 3 z 1 9 O x L Z A 5 f v v r y 9 + G I 9 3 b K 5 v 7 N 2 s z 2 E m o z D a B u 3 c G w N j M d 3 F K b 3 a a 5 x 9 m m + S 4 h Q w i N 9 x / e T q E N v X e T T r s N e h 6 L 3 6 a 5 x + H v h Z W v 1 t 7 v x Q i T 3 V a z 3 a r 9 e 8 6 + r 9 l u 1 T 4 y / 7 f V b L d q H 5 n v 2 x H 2 P W f e V 2 6 3 a e 8 r t 1 u 1 f 8 + J 9 p X b r d q / 7 0 S 7 5 v e M 2 j k 5 f v U q P X 5 + 9 s X p i z f H T 7 9 8 d Y u l Z 9 Y 8 D 2 9 W b b a P U L X p D N 6 6 g 2 H V p h 1 g r D f q t R v b e k x 9 Y 1 u P o c 0 g N 9 H d 4 2 f T f P f + w a e f P v j 0 4 R j K Y P B F j 5 / f 7 0 W P s W + D o K / K b h y 8 r 7 5 u B T z C E r d V X 7 d q 3 5 / l W 6 u v W 7 V / z 9 n 2 1 d f N x I x M 8 W 1 V 1 m 3 a + y r r V u 3 f c 3 J 9 l X W r 9 u 8 7 u a 7 5 v l E n L 7 8 i X c U L u S + P X 9 / S F Q M T 3 q S v b A e B v s K b 7 9 X B s L 4 y H e x j g Z V c 9 f G D g w 1 D 9 9 j a v L i J U h 5 X v 1 8 / H n v r i 8 P s 6 r H 2 j W 0 9 z r 6 x r c f V N 7 b 1 l d X N j S M M d D u y + G r L v L l 9 y 1 c j c 3 5 b D f a e S E Z m / b a 6 7 D 1 7 e p + p 9 7 X a z Y 3 f Z / J 9 f X Z z 4 / 7 k b 2 j c n + 8 N j f s z v G G A r u 1 9 o 2 K + f P O K 8 / / I j 6 W v n z + 9 U c d 8 + u n u p 7 d J / t s e r B I z b 7 5 X B 8 N K z H S w i c 0 8 f r 5 N c 4 + J T f O H B w / u 7 x 7 s f H o w 3 t + 0 B u m x 8 3 u + 6 b H z b V D 0 G N o 0 P 7 j / 8 I D W z u / t j O 9 9 e j t X 7 D 1 R 9 B W d e Z V W V x + Q w O 4 / P B g f 3 N v 0 b o T p N i q G C A t t b P + e H O G r u F u 1 j / D E b R X b r d p H 5 v / W t I 0 w w / Y t u c F X d u / J S L 7 q e 9 9 X 3 5 M b f F 3 4 v l 2 9 L 2 O 4 5 p 8 a 1 X V S L Z u 2 X k + n R b X M m z R f p i / r m / T X p z e r R g v f v X J L m M P a 0 M A E 1 z x 8 Q H a U z O g m 3 v H E w L 7 6 6 c 5 D W k / e + X S 8 t 8 k A e w J h 3 t x 7 8 H D / Y I d U y Y O x W f 6 4 S U s 6 f O 9 / + u D h 7 t 7 + 3 v j + p l 4 9 M b G 9 H u x S j v n B g 7 0 x k g 6 D b 3 p C Y t 6 k F C x F r j v 7 4 / v 3 b 6 c w 3 x d b X 2 P a d / f u P X z 4 6 Q N a 5 b v 9 0 q l 9 9 9 6 9 g 5 3 d e w / 3 9 8 f 7 m 1 D 2 t a d 5 d / v W L 0 f Y 6 b a q 9 L 0 R j X D R b d X q e / c V 4 Z 1 b T 0 a E e / Z 2 P z 3 Y u 3 f w 6 Y P x w U a r G e G f 7 V u + 6 6 v Y 2 5 D H 1 6 v v i a a v Y m / V V Y R L b t m V h + Q D o w K f v E x P n 5 4 9 S 1 9 8 m X 7 7 + M n Z m 9 v 4 o J / u f b q 3 d x s f 1 P Z i f F D 7 5 n t 1 M K x 1 T Q e 3 9 E F v 0 9 w T D N M c g d E 9 c o z 3 x z u 3 9 E H f 8 0 1 P Q G 6 D o i c T t 2 n u y c F 7 4 u W r 0 f d 9 N c J s t / U 7 b 9 X + P b n A V 5 a 3 a h / h g 9 s q y F u 1 j 8 z 5 b U n 7 n v P v K 8 L b t P e V 3 6 3 a v + d U + x r v V u 3 f d 6 p d 8 w N P z U m M / d X J y d m X L 2 6 n g H Z v 1 n C 2 g 1 D D q U m 7 d Q f D G s 5 0 c P D w 0 4 M H D 8 i r P H h 4 O 1 1 n X t z f f / A p g p n x / f 3 b a T 3 z 4 u 4 e O b E P 9 3 b 3 x i b z e Z P W s 7 j e u 0 9 5 p A f 3 x w 9 u q f T M i w 9 3 d x 8 + 2 N n d G X + 6 6 U W P / c 2 L e 7 v 3 P q W 8 x b 0 x c s m D L 3 p y 8 H 6 o + n r Q k u f e g / v 3 d x 4 c j O / f N v x 2 M / J w 7 9 6 D e 5 + O 7 9 3 W l T R v b t / y 1 Q j / 3 F Y 3 v i e S E b 6 5 r Z b c 3 N M m f f m e U x D h l 0 8 f H t z b u f f w w X h v k 1 D 4 i t N O w e 1 e 9 X X o b Q j j 6 9 D 3 Q 9 L X p r f q K c I c t + v J Q / G h p 1 e P v 3 j 5 / O z 4 9 l r 1 F g s w F n y o V W 9 c g O l 0 M K x V T Q e I Q z + 9 v 7 8 5 m P S k w 7 y 3 i c C e S J j m u z s H D / Y o Z T L e 2 6 S 8 P d k w L 3 7 6 6 c P 7 n x 4 c b I 6 R P M k w 7 9 1 / 8 G B 3 j 3 T + 7 i 3 1 q E X 0 w S 4 k a v N 7 n l S 8 F 5 6 + F j U v 7 l H C 4 + H B 7 u 0 j 8 v e a O V + H m h e 3 b / d m h F l u q 0 L f D 8 U I u 9 x W g 7 5 f R x E 2 u R 3 1 I 3 y y v 3 P / / o P N T m q E S 7 Z v f s 3 X m 7 c h h 6 8 3 b 4 + c r z N v 1 U t M d d z Y i 0 P t / o 6 n L 1 + d f v H l U 1 q z f n W K g P v 5 2 Z v b a b V 7 N 6 p N 1 0 u o N t U 4 3 r q D Q b V p O 6 D 8 + K c P 9 n b v j w 8 2 e Y Z O J O y L D x 4 + J G f r 4 f j + J o Z z E m H f 2 y W t v k P J p t 3 x 7 R S o f X G f t O 5 9 e s b 3 N 7 3 o R M N h u r P 7 8 G C f V m Y e b H r R i Y Z 9 c e 9 g b 3 e H X M r x / q Y x O u l 4 T 1 Q 9 J e q o A x / / 3 v 5 4 b 1 O P n h J 1 g / y U s r e U U h 3 f 2 / h m h M W 2 b / l q h H l u q U b f F 8 k I 1 9 x S j 7 5 v T x F u u d 0 M R L h l n 7 j s A Q V Z 4 3 s b d X e E X b Z v 9 6 q n U G 9 F F 0 + h v i e S n l K 9 X U 8 R 3 r h d T x 6 K u 5 5 i P X 3 9 5 q u n Z 1 + S a n 3 5 6 s v f 5 x S K E i B u 0 n s P b l a s t p d Q s a r y v 3 U H w 4 r V d P D p Q 6 w e H e y N d z 6 9 n W I 1 L + 7 v P d z 9 l B L x 9 z b p D k 9 E X I e 0 V k V 4 j j + 9 X Y z v O i R 1 v L e 3 P 3 6 4 K T z 0 J M W 8 R 2 n q n b 1 P H 4 7 3 N r 3 n C Y p 5 b x M n e d L x X u j 5 u t S 8 u E t T 8 J C U 8 E b D H m H A T + 9 T E E U B 6 e b U h a 9 K z Z v b t 3 w 1 w i 6 3 V a X v i W S E T 2 6 r S t + z p w i D 3 G o C I g x y K 8 b y F a m l / 6 3 e 9 P X o b Y j i 6 9 H 3 Q t F X o 7 f q K M I X t + r I Q 3 D P 0 6 J n L 5 6 9 O k 5 P f y J 9 f f z 8 q 6 e 3 0 n C Q o 5 t U q O 0 i U K G 7 O r J b d z C s Q k 0 H u 7 u f f v q A f P M x P P X B w X v C Y V 7 c R G R P I t 6 v H 0 8 0 9 E U 0 u 1 F b 3 t j W E 4 A b 2 3 o 8 f 2 N b X y X e 3 D j C Q r c j i 6 8 H z Z v b t 3 w 1 M u e 3 1 Y P v i W R k 1 m + r B 9 + z p / e Z e l / 5 3 d z 4 f S b f 1 3 E 3 N + 5 P / o b G / f n e 0 L g / w x s G 6 N r e i 2 m x k 6 + e v / n q 1 f H t 1 M z u z X r M d h L q s d 3 3 7 G B Y j 5 k O N n G a x 9 K 3 a e 7 x s W m + R 5 H 4 w c G D 8 S Y D 4 b H z + 7 z m 8 f L 7 v O Z x 9 W 3 G 5 P H 1 + / T i 6 z d 9 7 3 b 6 7 T Y 4 + V r t V u 3 f c 9 p 9 V X a r 9 p G J v 6 0 C u 1 X 7 / l T f T m 2 9 1 4 x F Z n r 7 N i / 6 2 u w 2 o / E V 2 v s g 6 O u 2 W / U T m f X b 9 O O h t + 9 p u t O n X 5 2 Q u j s 7 O T t + T i H w y 9 s p o r 2 b N Z 3 t J N R 0 e + / Z w b C m M x 3 c U t P d p r n H 8 K b 5 p z s 7 n x J 5 x / u f 3 k 7 V v d d 7 n g D c B j 1 P B G 7 T 3 O P 8 9 8 L K V 3 L v 9 2 K E x 2 6 r 8 G 7 V / j 1 n 3 1 d 4 t 2 o f m f / b K r x b t Y / M 9 + 0 I + 5 4 z 7 y u 9 2 7 T 3 d d 2 t 2 r / n R P s 6 7 l b t 3 3 e i X f P 7 0 t z p t p e v T k 9 f n 3 z 5 / P j V 7 T T P v Z t V m + 0 j V G 3 3 3 r O D Y d V m O r i l a r t N c 4 + 1 T f P d 3 Z 1 d C v T v j R / c 0 o 1 7 v x c 9 Z r 8 N g h 6 L 3 6 a 5 x + H v h 5 a v 3 d 7 z z Q i b 3 V a 9 3 a r 9 e 3 K A r 9 5 u 1 T 7 C A 7 d V b 7 d q H 5 n x W 1 L 2 P S f f 1 2 + 3 a e / r t 1 u 1 f 8 + Z 9 v X b r d q / 7 0 y 7 5 p / 2 9 d v Z F 8 e v z m 4 Z o u 7 f r N 1 s D 6 F 2 2 3 / P D o a 1 m + n g l t r t N s 0 9 z j b N 9 + 8 / J K 8 Y i 2 q b U s E e i 7 / f i x 6 v 3 w Z B j 8 F v 0 9 z j 7 / d D y 9 d u 7 / l m h M l u q 9 1 u 1 f 4 9 O c D X b r d q H + G B 2 2 q 3 W 7 W P z P g t K f u e k + 9 r t 9 u 0 9 7 X b r d q / 5 0 z 7 2 u 1 W 7 d 9 3 p l 3 z B 1 3 t 9 v r 0 5 K s X T 2 + v 3 + 7 f r N 9 s H 6 F + U / t 0 6 w 6 G 9 Z v p 4 J b 6 7 T b N P d 4 2 z e / d 2 9 t 7 c G / v / v i e J g 9 v 0 m / v 9 6 L H 7 b d B 0 G P x 2 z T 3 O P z 9 0 P L 1 2 3 u + G W G z 2 + q 3 W 7 V / T w 7 w 9 d u t 2 k d 4 4 L b 6 7 V b t I z N + S 8 q + 5 + T 7 + u 0 2 7 X 3 9 d q v 2 7 z n T v n 6 7 V f v 3 n W n X / K C n 3 7 5 6 e f r q 7 M t b x q Y P b t Z u t o d Q u 6 l 9 u n U H w 9 r N d H B L 7 X a b 5 h 5 n m + b 3 H j z c 3 9 + 7 t z d + e H A 7 7 f Z + L 3 q 8 f h s E P Q a / T X O P v 9 8 P L V + 7 v e e b E S b b y J M R l t n Y / j 0 5 w N d u t 2 o f 4 Y G N 7 S N T v 7 F 9 Z M Z v S d n 3 n H x f u 9 2 m v a / d b t X + P W f a 1 2 6 3 a v + + M + 2 a P + x q t 5 e v v v w c i w q n J 7 f 1 3 w 5 u 1 n C 2 l 1 D D 6 R z e u o N h D W c 6 2 D R q j 7 1 v 0 9 z j b t N 8 d + / B g 4 c H e / s P x / h o 8 E 2 P z 9 / z T Y / j b 4 O i x + a 3 a e 5 x + X v i 5 S u 5 9 3 0 1 w m w b e T P C N h v b v y c X + F r u V u 0 j f H B b L X e r 9 p E 5 v y 1 p 3 3 P + f T V 3 m / a + m r t V + / e c a l / N 3 a r 9 + 0 6 1 b f 7 p j q f m X p F q e / H m S 1 J 3 Z 8 / S l 1 8 9 u Z 0 S e n i j l n O d h F p O p / D W H Q x q O d v B 3 g F l a B / c G y N U H x y 9 4 3 P 7 3 v 5 D e j a b T s f t 9 q 1 P H 9 y 7 / 2 D v / u 7 4 g X q k N y g 9 9 + L + p z v 3 7 z 0 4 G B s S 3 K D z 7 I s P P v 3 0 w a f 3 9 x 6 M D 3 T p + Q b t Z 1 / c 3 d t 5 s L t L c v O p L u z c o A f f E 1 V P D Z o 3 0 e 5 G x e c m 7 s F 9 m b h N U + B p Q P v i 9 u 3 e j P D K L X X h e 6 I Y Y Z N b K s X 3 7 K j P H R s o H u G I W 0 5 s h C W 2 b / e q p y R v R Q p P S b 4 n k p 6 6 v F 1 P E W 6 4 X U 8 e i r u e 4 j x 7 8 f S M l O e b L 1 + n p y + + f S u t B u r c p D Z t F 4 H a 3 N O h 3 b q D Y b V p O r j 3 6 c 7 e w 4 P x z i Y 1 5 k m E e W 0 T j T 0 5 M M 3 v 7 + 6 T D h p j E X z w N U 8 c z G u 7 9 / f 3 d + + N 9 z c h 5 w n D + 7 z m i c V t x u T J w v v 0 4 i t H f e 9 2 y t F 0 c p v p 8 X W j e W / 7 V i 9 G + O G 2 q v G 9 E I x w x G 0 1 4 3 v 1 0 + e F 2 y n G 9 5 r S C C t s 3 + Z F X y n e h g q + U n w f B H 2 V e K t + I l x w m 3 4 8 9 P Y 8 h U i Z w P T k y x d v 0 p P j 5 2 d P j 5 / e T m P t 3 q w S b S e h S t x 9 z w 6 G V a L p Y P f g / t 6 9 h 5 8 e b F 4 N 8 2 T B v f h w f 2 / 3 0 / H B J u v t y Y J 9 j 7 z J n Y O d v f G n t 9 S P 9 s W d 3 R 3 y Q f d 0 z e c m / W h e 2 9 v Z 2 9 3 Z / J Y n H O a t W 6 r H 9 8 H N V 4 / m v Y O d g 3 2 d 0 x u 1 p C P g p 3 s P y X U a 3 3 t 4 S z 1 p 3 t y + 5 a s R N r m t p n x P J C P 8 c V t d + Z 4 9 R T j j R u J H + O I W 3 O T r T E v 5 W 7 z n q 8 z b E M N X m e + B n q 8 x b 9 V N h B t u 0 Y 2 H 3 D 1 P Y Z K y f P 3 m V f q T Z 8 e v 0 9 f P n 3 5 5 o z 6 7 / + n e / Z 1 b + J C 2 E 6 s w z Z v v 1 c G w w j Q d b K K V J w i 3 a e 5 x v 2 l + 7 + G D / Y P 9 T 8 l 9 f L g p g P X k 4 D 3 f 9 O T g N i h 6 I n C b 5 h 7 r v y d e v n Z 8 3 1 c j v L Z R i 0 T Y Z m P 7 9 + Q C X x / e q n 2 E D 2 6 r B W / V P j L n t y X t e 8 6 / r / t u 0 9 7 X e b d q / 5 5 T 7 S u 7 W 7 V / 3 6 l 2 z f c 9 L U c x M u u 5 r 0 5 O z v 7 R P / X F 7 X T Q L b x C 2 0 e o 5 G 7 2 C s M O h p W c 6 W C X f O J P d + / t 3 t 8 Z b 1 L y H q O b N 8 m V v E / 6 9 M H 4 / t 7 t N J / t c u f T 3 Q e f 7 u 3 v P t z s i X v M b 1 7 d 3 9 n Z 3 3 v w 6 X h / k w f g C Y F 5 7 5 a K 7 z b N P b 5 / L 6 x 8 t f d + L 0 Z Y j 3 z Q B w / u H + z u 3 7 Q 6 G m G p 7 V u / H G G X 2 2 r D 9 0 Y 0 w i e 3 1 Y z v 3 V e E Q W 4 3 E + / J K r 6 O v E 1 7 X 0 f e q n 2 E M 2 6 r I 2 / V / n 0 Z w D W / 7 + n I L 7 5 8 m v 4 + 6 f E X L 5 + f H Z + c f X l L J b l 3 s 5 K 0 n Y R K U t X R r T s Y V p K m g 0 2 D 9 p j + N s 0 9 P j f N d 3 f v f f r w 3 v 2 H e 2 N I w e C b H s e / 5 5 s e v 5 s 3 9 w 7 u f U p + w a f j B 5 u c A o / f z Y u f 7 h 1 Q Y n l 8 s K k / j + 3 f E 1 N f S Z p X D + 4 / v L / / 4 P 7 e 5 r y F r y V v M w + + Z r x V + / d k C 1 8 Z 3 q p 9 h D F u q w B v 1 T 7 C B L e k b I Q L a N H 6 3 s H B v Y e b c 0 K + / j N v b t / u V V 8 V 3 m Z 4 v i p 8 P y R 9 p X i r n i K M c L u e P B Q / 9 d S j c y B v q x r v 3 a w a b Q e h a l R h v 3 U H w 6 r R d H B L 1 X i b 5 p 4 E m O Y H D 3 Y e f n p v d w x p G n z P k 4 T 3 e s + T i N u g 5 4 n B b Z p 7 v P 9 e W P k q 8 P 1 e j P D X b T X g r d q / 5 + z 7 G v B W 7 S P z f 1 s N e K v 2 k f m + H W H f c + Z 9 t X e b 9 r 6 u u 1 X 7 9 5 x o X 8 P d q v 3 7 T r R r / q C j 1 0 5 f / e R 7 u H z 7 N + s 1 2 0 G o 1 3 T 6 b t 3 B s F 4 z H d x S r 9 2 m u c f X p v n 9 g 3 1 a w K G l E b P O c 5 N i e 7 8 X P U 6 / D Y I e f 9 + m u c f e 7 4 e W r 9 r e 8 8 0 I j 9 1 W t 9 2 q / X t y g K / b b t U + w g O 3 1 W 2 3 a h + Z 8 V t S 9 j 0 n 3 1 d u t 2 n v K z f X / n b K 7 V b t 3 3 O m f e V 2 m / Y e O g e e c j t 9 / e a r p 2 d f U l z 7 8 t W X v 8 8 p N B Z A 3 K S A 7 t + s 4 W w v o Y b T q O n W H Q x r O N M B h Y D 3 d g / 2 H o 7 v H 9 x O 1 7 k X y W x S r u T g l n k / 9 9 6 n D + / f f / j p r b N + 5 s V 7 N D B i 5 v G D W + o 8 + 9 7 + v f s 0 y v G D T f 1 5 / G / e 2 z 3 Y 3 9 / f G e 9 8 e j s l + F 5 o + j p Q X 0 S 7 m 9 W e p e J 9 Q g 5 B 2 4 N N 6 P k K 0 L y 5 f c t X I 7 x y W 1 3 4 n k h G m O S 2 W v E 9 e + p z x w a q R 1 j i d n M b Y Y r t W 7 3 p a 8 n b U M L X k u + F o q 8 u b 9 V R h B l u 1 Z G H 4 E N P b 5 6 9 e M q O o a w L n 3 z 5 x a 3 U G r j 5 J r 1 p e w n 0 5 q 7 q q F t 3 M K w 3 T Q e b y O W J w m 2 a e / x v m u / t 7 H 9 6 s E P K 5 + H t d O R 7 v e d J w W 3 Q 8 + T g N s 0 9 7 n 8 v r H y V + H 4 v R p h s o / 6 I s M v G 9 u 8 5 + 7 4 m v F X 7 y P z f V v / d q n 1 k v m 9 H 2 P e c e V / x 3 a a 9 r + 5 u 1 f 4 9 J 9 r X c r d q / 7 4 T b Z s / 2 P l w 5 X Z z O s / 1 E i q 3 2 6 X z X A e D y s 1 2 c G 9 / 5 / 7 B 3 o P d 8 c P d W 6 k 5 + + L e H r 1 F 6 w l Y K B p 8 z / G 7 6 3 D 3 4 N 7 u z s H 9 z T l o x / j m x W H z 7 Z j + 5 r a O z 2 9 u 6 3 j 8 5 r a e S r t F 4 w g 7 3 Y 4 s n k K z b 2 7 f 8 t X I 5 N 9 S t 7 0 v k p F Z v 6 W W e 9 + e 3 m f q P R 1 3 i 8 b v M / m e d r t F 4 / 7 k b 2 j c n + 8 N j f s z v G G A r u 2 u p 9 G + f P O K N R l W K N L X z 5 9 + e a P C + f T T v U 9 3 d m 7 W a L Y X q 9 H M m + / V w b B G 0 w 6 G h + w x 9 I 1 t P R a + s a 3 H v m a Q m 9 j d 4 9 n b N P e 4 9 j b N P b 6 9 T X N f b 9 2 q f Y R v N r a P c M D G 9 v 0 J v b W W u l X 7 / s T e W j f d q v 1 7 z q 6 v l G 7 V / j 3 n 1 1 d N t 2 r / n v P r K 6 h b t X / f + X X N 9 z w 1 R V r q S X p 8 c v z k + O m X r 9 P X t 1 B T D z / d e 3 g b N W V 7 s W r K v P l e H Q y r K e 3 g V m r q x r Y e N 9 / Y 1 u N k M 8 h b q q n b N P f 4 + D b N P T a + T X N f T d 2 q f Y R v b q u m b t W + P 6 G 3 V l O 3 a t + f 2 F u r q V u 1 f 8 / Z 9 d X U r d q / 5 / z 6 a u p W 7 d 9 z f n 0 1 d a v 2 7 z u / r v k 9 o 0 C + b O u q S Z 8 U + T J v 0 r P l Y p 1 P y p u 0 y M O b F Z S F 7 1 6 5 J c x h n W R g b h q i x 8 G 3 a e 4 x s G m + u 3 u w + / D + v b 3 9 / b 2 x r m 7 c p K j e 9 1 W P r W + D p M f V t 2 n u M f X 7 I u Y r s P d + N 8 J d t 1 V m t 2 r / n p z g K 7 N b t Y / w w m 2 V 2 a 3 a R 2 b 9 1 r R 9 T x b w F d t t 2 v u K 7 V b t 3 3 O u f c V 2 q / b v O 9 e u + b 5 V b G 9 e k d P 1 h L J f X 3 x 1 + u R W U e L D 3 f s H t 3 K / b C f G / b J v v l c H w 6 r O d H B L V X e b 5 h 5 7 m + a 3 Z T + P 0 9 / 3 V Y / p b 4 O k x + e 3 a e 6 x + f s i 5 q s 6 + + 5 t 3 4 3 w 2 2 1 V 3 a 3 a v y c n + K r u V u 0 j v H B b V X e r 9 p F Z v / W 8 v C c L + K r u N u 1 9 V X e r 9 u 8 5 1 7 6 q u 1 X 7 9 5 1 r 1 / y + 0 U L q v X 0 B 3 y 1 v b l B C + z e r N w v Y v n E 7 i M P 6 z E D c 2 7 2 / Q 4 n / h w / H u 5 u Y w O N n 8 y Y l 1 / b v 7 + w f j B 9 u S r V 6 j G 1 e 3 H 1 4 s P P p g 4 P d B / c 2 L w J 4 P G 5 f P d i 7 T w m A g 7 1 7 4 / 1 P b 6 f k z K v 7 u 1 j O 2 r v / Y H z v 3 u 3 0 n S X R P i 2 F 7 e 9 8 + u n 4 w a Y + P b Z / X 3 R 9 1 W f f / X T / 4 b 1 7 9 z + 9 t z c + U F / 9 R t V n 3 7 1 / f 2 f n 0 3 v 3 d 8 Y Q 3 u F X I x y 2 f d t 3 I 7 x 0 W 4 3 4 v m h G e O i 2 y v F 9 u 4 o w z q 0 n I s I 6 u w 8 + v X f v 0 9 2 H O + P 7 G 9 c j I r y z f c t 3 f f V 5 G + r 4 6 v M 9 0 f Q 1 6 a 2 6 i v D I L b v y k P z U 6 L 4 v q k l R F l l d V O l 1 e v q L 1 s W q u k k P 7 t 6 s W i 1 4 9 8 o t Y Q 4 r V w N z l 5 T G Q / r f v T G y A Y O D 9 U T D v I k F 2 f u 7 D x 5 s 1 h u e Y J g X H 9 7 b 2 9 m 9 9 2 B 3 7 9 a 6 1 b x 5 8 O n u w c H e 7 s N P x / c 2 i Y g n I X a Y D + 8 / v L d D K y 7 j / V u q V v v m / b 2 9 + / B B x p v o 4 0 n H e y L r K 1 b 7 K u n j n Q e 7 9 / c 3 W z x f r 5 p X H x B p d + / v f j r e 2 z Q r v l o 1 b 2 7 f 8 t U I E 9 1 W q 7 4 n k h H e u a 1 S f c + e I h x z 2 z m I s M z + P V I m O + S z 7 m 3 i N V + j 2 j m 4 3 a u + Q r 0 N Z X y F + n 5 I + v r 0 V j 1 F u O N 2 P X k o P r D q l I L w 5 6 e v 0 y + f v T i + T T C + v 0 t z v X u b Y N x 2 o c G 4 e / O 9 O h j W r 6 a D T c T y J O M 2 z T 1 x M M 3 3 D x 7 s f P o Q y n u T i v H k 4 v 1 e 9 M T C v H h v h 9 T + Z i / D k w j z 1 k N S v b s 7 J E v 7 m 2 T J E 4 j 3 w 9 P X o e Z N C h h 2 7 j 2 g 7 M n 4 3 i Y r 4 + v Q 2 0 y C r z l v 1 f 4 9 e c J X l 7 d q H + G K 2 y r J W 7 W P 8 M B t S R t h h G 1 6 k + z w w w f j + 5 / e U j d 6 P H S L N 3 3 V + J 5 v v i c n + K r x P X t 6 X 5 5 w z Q + i q v H 3 S U 9 f v z l + c T v l d Q u H 0 / Y S a s e b / c 6 w g 2 H t a D r Y P X h A 3 u e 9 / f H B J k b y R M K 8 e P / e g w c 7 p B Y 2 a Q V P M m x / 9 / c O H l K 0 R P r k d v r S v n j v 4 f 7 D h 7 s 7 5 L N u m l l P W N w Q H x 7 s P X x A 7 u M m 1 e e J i n n x 0 4 c P y O / c G e 9 v G q M n J + + J q q 8 z 7 a t 7 D / a J P P c P b h / P u 1 7 v P d y 7 v 7 8 7 3 t m o E i J M t n 3 L V y P s c 1 t F + p 5 I R h j n t i r 1 P X u K 8 c s t 5 y D C M b t 7 O z s P 9 s H c m 7 j b 1 6 1 u D m 7 1 q q 9 c b 0 M Z X 6 W + H 5 K + c r 1 V T z H l c q u e P B Q f h s o 1 P f 2 9 j X p 9 f Q v X c + 8 + O r x Z u d p e r H I 1 b 7 5 X B 8 P K 1 X S w i V 6 e c N y m u S c R p j n l R z 7 d 3 9 8 Z H 2 x S T 5 5 k v N d 7 n l z c B j 1 P F m 7 T 3 B O A 9 8 L K V 5 n v 9 2 K E y T Z q l A i 7 b G z / n r P v 6 8 Z b t Y / M / 2 0 1 4 q 3 a R + b 7 d o R 9 z 5 n 3 d d 9 t 2 v s K 7 1 b t 3 3 O i f T V 3 q / b v O 9 G 2 + c H O o H I j 3 / F 2 u m f 3 R u X m e g m V 2 + 5 7 d j C o 3 G w H B / s P 4 O J s y i g 4 J r d v 3 X v w 6 f 7 e / f G 9 T 2 + l 6 + x r e w 8 e f L q 7 S 8 s y D 2 + l 6 9 x 7 9 y j m J R 7 e G P U 6 3 r f v 3 U 7 X 3 a q 5 Y / j 3 w 8 r T d e / 5 Y o T n 9 i m I f / D p + O H + 7 X S e f W / 7 V i 9 G u O O W y u / 9 E I w w B v q 5 h R J 8 v 3 4 i D H E 7 y r 8 n a 3 j K 8 F b t P W V 4 u / Y R T t j Y P s I B G 9 u / 7 8 S 7 5 r t G T Z 3 + R H r y 5 R c v v 3 r z 5 e 3 y i / f u 0 2 L 0 z s 1 6 0 H Z g 9 a B 5 8 7 0 6 G N a D p o N N A / Y Y / T b N P f 4 2 z e / t I z 6 n K H 3 8 U F X 4 T a r v P d / 0 e N 2 8 e f / h + P 7 B 7 R S g e e X T n f t 7 9 + 5 v V s 8 e s 7 8 n j r 4 q d K 8 e 3 K O l h U 9 v W D b z l e F t p s B X g r d q / 5 4 c 4 e u + W 7 W P 8 M R t d d 6 t 2 k f m / 7 a k j f D B N j H C 7 o P 7 Y 3 w w / G K E E 2 7 z n q / + 3 u u 9 9 + Q B X w 2 + V z / v y w u u + V 5 E H f 4 + 6 Z v T k x d f P r + d x t q 9 W S X a T k K V q E O 6 d Q f D K t F 0 c L C z / 4 C s J e W / b u k d m h f 3 H h 4 Q 7 9 H y x o N N d P Z E w r y 4 f / D w / q e f P q B U A w R g 8 E 1 P O O y b 9 w 4 e 3 n v 4 6 f 0 H 4 7 3 9 2 6 l J 8 y Z l + X b v H z z c 3 x w g e U J i X q Q c 7 c G n 9 w 7 u b S a P J y T v i a u v L u 2 r u 3 D X d / f v j x 9 u 0 t G + u j S v 3 t / 5 d O / B z g G 9 u V E b R B h t + 5 a v R l j o t j r 0 P Z G M s M 5 t t e l 7 9 h R h m N v O Q Y R l 9 v b 3 9 h 5 S a n 9 z D t t X r H Y O b v e q r 1 t v Q x l f p 7 4 f k r 5 2 v V V P E e 6 4 X U 8 e i v e M 6 v v y z a s v X 6 d f f P n k d t 4 m d f L w N t 6 m h W 9 V q 3 n z v T o Y V q 2 m g 1 t 6 m 7 d p 7 s m C a b 5 9 7 8 H e g 3 u 7 D x / s j T c p G E 8 q 3 v N N T y p u g 6 I n C a b 5 P c r N 3 7 / / Y P e 2 C 9 n v i 6 G v P N 2 r 9 x 4 c 0 K L V z s 7 4 4 W 0 j 7 9 s M z 9 e Z t 2 r / n g z h K 8 p b t Y + w x G 3 V 4 6 3 a R 6 b / 1 r S N 8 M L 2 7 Z j B V 4 v v x 0 a + V n z P N 9 + T F X y t + J 4 9 v S 9 T u O b 7 R m u R 1 / n 0 N D 1 + + s W X L 2 6 n s W 7 h b V r g o U q 8 2 d s M O x h W i a a D e w 9 3 9 i l V P d 7 b t M j k S Y J 5 j 5 a 9 K c w Z 3 9 9 k i z 2 B M K / t 7 u 9 8 i i X C v c 1 L 5 p 5 o 2 D c p + f l g d / f e w W Y n 1 R M S 8 y Z R h F 7 e O d g c Y H s S Y l 7 c 3 9 v d v b 9 / s H G V 3 p O O 9 8 T U 1 5 X m 1 Y O H D z 8 9 e P j g Y H x / 4 5 p f h A v 3 y J / + d G d / / O k m Z H 2 V a V 7 c v t 2 b E d a 5 r f J 8 P x Q j T H N b L f p + H U U 4 5 Z b k j 7 H K g w c 7 e 7 v I / W x 0 T i P c s n 2 7 V 3 1 l e h u 6 + C r 0 / Z D 0 l e m t e o q w x u 1 6 8 l C 8 b / Q d n E t a 0 / k J W t Y 5 + e r 0 + X H 6 / P j J 7 Z T e 3 s 1 a 1 f Y S a l U N R W 7 d w b B W N R 3 s f U q c t P N g M w d 6 I m L e u 6 X H a Z r T m t P 9 g 4 O D X c o d b u r I E x H 7 5 u 6 D g 4 O H e 4 T i J k 7 3 R M S 8 e H D / / s G D H b i B + 7 d T p r c Z m i c W 7 4 e g r 0 P N m / d o t W G P s i 7 j v Y 3 a N 8 J 8 t 5 o 1 X 4 e a F 7 d v 9 2 a E U W 6 r Q 9 8 P x Q i r 3 F a H v l 9 H E Q a 5 J f k j H H I 7 1 v J 1 q K X / 7 V 7 1 d e h t 6 O L r 0 P d D 0 t e h t + o p w h q 3 6 8 l D 8 V O r Q 6 t J U R Z Z X V T p d X r 6 i 9 b F q r p J w 9 1 C e V r w 7 p V b w h z W l w b m p 5 / e f / i A H K b 7 m 3 j G E w f z 3 s E 9 J B H H n 2 7 S E Z 4 w 2 O 7 u U 3 C w 8 + D h e G d T b O B J h X n x / s N P P 9 1 7 e G / n 1 j 6 o e X H v Y P e A P O 3 N q U d P J s x 7 u w d 7 9 O L B r Z O d 7 4 e o r z 7 t m w e Y j L 3 9 8 f 1 N t P H V p 3 u T R g l 3 e a P N j 3 D U 9 u 3 e j P D N b d X n + 6 E Y 4 Z j b q s / 3 6 y j C K L c k f 4 R V H j 5 8 s L N z f / y p x o g 3 K k 9 9 7 2 j 7 N i / 6 q v M 2 N P F V 5 / s g 6 C v O W / U T Y Y r b 9 O O h 9 8 D o N X I 6 f 5 / 0 + O X x q + M 3 l O W 8 T Y a T X N y 9 3 d t k O G 0 f x v G 0 b 7 5 X B 8 O K 1 H S w i V a e P N y m u S c F p v n u / X v 3 P t 3 7 d L x z S 2 / z v d 7 z h O E 2 6 H k S c J v m H u O / F 1 a + i n y / F y M s t l G L R N h l Y / v 3 n H 1 f H d 6 q f W T + b 6 s F b 9 U + M t + 3 I + x 7 z r y v 8 2 7 T 3 l d 1 t 2 r / n h P t q 7 h b t X / f i X b N D 5 x q e 0 k q z W m 3 2 + m d 3 Z s V m + 0 h V G y q e m / d w b B i M x 3 s P S C j + J D W t j c 5 Q h 6 L m / d 2 y Z r e v z c 2 M f 5 N m s 6 8 d u / g 0 9 0 H u w f j B 5 / e T t P Z 7 v Z o u f / B / c 2 O p c f 5 d n j 7 9 2 h F f P x g / 3 Y a z 4 2 O r M M t 1 d 5 7 o e i r P f s i z d m D g 5 3 x v Y 2 G N c J + e y T T 9 / f v j R 9 s f D H C V d u 3 e z P C L r f V h O + H Y o R R b q s S 3 6 + j C I f c j v o R H j n Y u 5 G z f B V p a X + L 9 3 x V e R u C + K r y P d D z N e a t u o k w x C 2 6 8 Z B 7 a N S a K E x a 3 3 n 5 5 a s 3 Z z / 5 Z f r 6 F l 7 h 3 v 2 9 v d t 4 h b Y X q z z N m + / V w b D y N B 1 s I p Y n D L d p 7 o m A a b 5 3 s L / / 6 W 2 X v G / / k i c D t 0 H M 4 / z b N P c 4 / v Y o + V r x P d 6 K M N Z G t R F h k Y 3 t 3 3 P G f f 1 3 q / a R O b + t 2 r t V + 8 h M 3 4 K q 7 z n h v o 6 7 T X t f t 9 2 q / X v O s q / U b t X + f W f Z N n + 4 E 2 o z 8 g S t P r v Z E 2 R d s 3 u j M n O d h M p s 9 z 0 7 G F R m t o P b K b N b N X e M b Z v f o 4 w i L Q D e T p u 9 z 1 u O y d 1 b O 3 h u p d N u N R z H 4 e + D m K f U 3 G s 3 v x X h r 1 s q t d u 1 f 8 + Z 9 5 T a 7 d p H 5 n 5 j + 8 i s b 2 w f m + + b q R q Z 8 R u 5 x N N s 9 q X t G 9 / y 9 N u t B u T p t 9 u j 5 i m 5 2 3 U S m f U b O / E Q 2 z V K 6 O T 4 C 1 J 1 r 9 N n X 7 7 5 8 v N X S O b d q I f u 3 a e V q 5 2 b F Z 3 t w y o 6 8 + Z 7 d T C s 6 E w H m 8 b s c f t t m n v M b p r v 7 j 3 c O f j 0 3 u Y F P o / p 3 + s 9 j / l v g 5 7 H 9 b a b / Z 0 9 M g 3 j + w 9 v p / D e C z 1 f 5 Z k X 6 d d 7 O 7 S W t P f g l l r v N g P z t d 6 t 2 r 8 n G / h a 7 1 b t I 4 y w s X 2 E A W 6 r 9 d 6 P s B E W 2 L 4 V D / j a 7 7 2 Y x 1 e A 7 / f i e z K B r w T f r 6 P 3 5 Q b X f C 9 U h K w H K f / 3 k 2 d P T 2 + O X 1 l R 7 d 6 s C W 0 n o S b c f c 8 O h j W h 6 e D e P i 2 G 0 / L w w 0 1 C 7 Y m C e Y + W 0 j 6 9 9 + n 4 0 0 2 Z L k 8 i z G v 3 0 d v O 7 v j e p s n x J M O i u X P v / r 2 H t K r 8 6 e 1 U o 3 l v b + / B / f s 7 D 8 e b 0 P T k w 7 5 G a 4 U P K L W 5 f z s N + V 5 Y + h r S v E j 5 2 o P 7 n + 6 N N 7 4 X 4 U F a C X 3 4 c G d v f G 9 T 6 t b X l O b F 7 d u 9 G W G Y 2 + r M 9 0 M x w i q 3 V Z 7 v 1 1 G E R 2 5 F / B i T 7 O x + e k A y s L / x x Q i b b N / q T V + J 3 o Y m v u 5 8 L x R 9 J X q r j i J c c a u O P A T v G f 3 2 5 Z t X X 6 Z f f P m E N C g t E t 9 q Z f j h f X J E b u F N 2 j 6 s D j V v v l c H w z r U d D B E r I 7 q v E 1 z T w 5 M 8 3 u 7 n 5 K m 3 X 0 4 f r h J G 3 k C 8 X 4 v e g J x G w Q 9 O b h N c 4 / 7 3 w 8 t X 0 u + 5 5 s R N r u t I 3 m r 9 u / J A b 5 S v F X 7 C A / c V h f e q n 1 k x m 9 J 2 f e c f F / 3 3 a a 9 r / F u 1 f 4 9 Z 9 p X d L d q / 7 4 z 7 Z r v x / X b 6 d O v T m 6 n f m 7 h I 9 o + Q v 1 2 s 4 8 Y d j C s 3 0 w H 9 w 5 2 H 5 B h P d j k R H l M b l 6 7 p Z 4 z z f d 2 H u 7 d p 5 X o 2 y Y I 3 X v 3 9 y n V u T u + f 7 u F 4 V v h 5 3 H 6 b Z p 7 j P 5 + a P l q 7 j 3 f j H D b b S b K V 3 f m v e 1 b v R j h j N v q v f d C M M I b t 9 V / 7 9 V P h C V u S f r 3 5 A 5 f D 9 6 m v a 8 H b 9 U + w g q 3 1 Y O 3 a v + + M + + a 3 z c 6 6 v Q X r Y t V l e b p 2 b J p 6 / U i X 7 b Z T Y r q 3 s 0 6 0 M J 3 r 9 w S 5 r D a M z D 3 H 1 I 0 f Z 9 C Y 9 W o N + k 9 8 9 7 e v Y P 7 F I u M 7 x / c T g G a 9 + 7 t 7 R 8 8 v P + A A p F b B s e 2 w 4 c P 7 + 8 e 3 L s 3 v v f p 7 T S g e X H 3 4 A H h e m 9 n / H D T i x 6 3 m x c P D v b 2 H + z t 3 T p A f j 9 M f a V o 3 9 z Z u X e w A + u w q U t f K d o 3 7 9 9 7 8 O D e w 9 v H y O b F 7 d u 9 G e G c 2 6 r F 9 0 M x w j K 3 1 Y v v 1 1 G E U 2 5 J / g i r P H y 4 S 2 + S F O 3 d U k N a 8 t / q T V 9 X 3 o Y q v q 5 8 L x R 9 p X m r j i J 8 c a u O P A Q / t d r z J 9 I v T p + e n S D R + P z 4 y a 3 i Z F o S u 7 d 7 m z j Z 9 m L 8 S P v m e 3 U w r F B N B 5 v I 5 U n F b Z p 7 s m C a 7 + 5 / u r 9 z b 3 9 n s 2 7 x h O L 9 X v S E 4 j Y I e p J w m + Y e / 7 8 f W r 6 u f M 8 3 I 4 y 2 U Z 9 E W G Z j + / f k A F 8 x 3 q p 9 h A d u q w 9 v 1 T 4 y 4 7 e k 7 H t O v q / 9 b t P e 1 3 m 3 a v + e M + 2 r u l u 1 f 9 + Z d s 0 f D G i 4 L 1 8 d v 7 m d / r l F o G w 7 C R X c j Y F y p 4 N h B W c 6 e F + P 0 b z 3 v h 6 j e W / 3 0 w c H + + S L j e 9 v Y k e P 7 + 2 L + + S / 7 e 7 f G + 9 t c g Q 8 A b A v v q / H a F 5 8 X 4 / x / T D 1 t a C d j H t 4 9 s f 3 N k 2 G r w T t b N z K S Y r w 1 / s 7 j O b N 2 + r F 9 0 M x w j G 3 V Z D v 1 1 G E U W 5 H / Q i j 3 M 5 H i n D K 9 q 3 e 9 H X n b Y j i 6 8 7 3 Q t F X o r f q K M I W t + r I Q / D A K L q z F 6 / f v D I K 9 V b O I k 3 0 3 m 2 c R d u F 1 a X m z f f q Y F i X m g 4 2 0 c q T i N s 0 9 + T A N P / 0 0 1 0 s V z 3 c p I 0 8 c X i f 1 z x h u A 1 y n g j c p r n H + O + D l K 8 g 3 + u 9 C H d t 1 C E R V t n Y / j 1 n 3 l e G t 2 o f m f u N 7 S O T v r F 9 Z L Z v R d f 3 n H Z f 4 d 2 m v a / m b t X + P e f Z 1 2 6 3 a v + + 8 + y a P 4 w q N f Y S b 6 d 0 b u E h 2 j 5 C r X a z h x h 2 M K z V T A e b x u y x 9 m 2 a e 5 x t m u / v 7 N 3 f p b T 3 J m P t M f j 7 v O b x + W 2 Q 8 9 j 7 N s 0 9 7 n 4 f p H y t 9 l 7 v R d j r t l r t V u 1 l 5 m / f / j 2 n 3 t d q t 2 o f m f T b a r X 3 o u t 7 T r u v 1 W 7 T 3 t d q t 2 r / n v P s a 7 V b t X / f e T b N H 8 A T E o 3 z k / n 8 H / 3 r p + u y a t L r V F d J Z j f p n f 2 b V J r X g X v l l j C H t J i D u f / g w f 7 + / s H u + N O D 2 + g z 9 y I F 1 K Q z K Z 5 4 c B v F 5 t 6 7 v / O A F k f u f f p g j C k a f N O y u Y / q / g E F k H v 3 x 3 t K g c 3 q z c P 1 4 O G 9 B w e E 8 X h / U 5 + W 5 d 2 b D / Y f 3 t v d e 7 i 7 O U t k e f + 9 k X V q z 7 1 6 7 9 O d / Z 2 d v U / v j S G E w 6 9 G W J D W n X Z o / n f H D z e + G e G t 7 V u + G m G h 2 6 n D 9 0 Y y w j s b e 4 p w z C 1 7 i n D M b e c g w j K 7 u y R Q n x 5 8 S g m S T T z j F K Y 3 C b d 8 1 y n P 2 9 H G K c / 3 R t P p 0 V t 2 F W G Q W 3 b l I b l r N N 7 x V 2 / g I F J K 8 c 3 p q 1 f p 6 5 v D 3 / 3 d + / u 3 W C v x + j C O o n 3 z v T o Y V r G m g 0 3 k 8 s T j N s 0 9 m T D N d + 9 T X u f T + w 9 3 x p 9 u I q 4 n H e / 5 p i c d t 0 H R k w j T f P / h w f 7 9 + 5 + O d z c 5 H J 4 4 v C e C v g 6 1 r 3 6 6 c + 9 T 4 r t P x w 8 e 3 l K H 3 m Z w v u a 8 V f v 3 Z A d f X d 6 q f Y Q h b q s k b 9 U + M v m 3 J W 2 E E b Z v x Q m + Z n w v F v L V 4 v u 9 + J 5 s 4 C v F 9 + v o f f n B N d + L q 8 R T C q R P b 6 e y d m / W i b a T U C f u v m c H w z r R d L D / 4 N 6 n 9 + / v 7 4 3 B k Y P D 9 6 T B v P i + b q d 5 b + / B / i 6 W Z g 7 G O 7 c K q b 0 3 9 / d 2 d z / d O 7 g / v r + p T 0 9 S L K 4 H 1 O H O p w / u j R 9 s G q U n K O Z N y q z c O 6 A F q M 1 L J Z 6 c v C e y v s q 0 2 O 7 d u 0 c r Q v s P N i / s + C r T v E q J k 7 2 9 e z t 7 4 / 2 N e j r C a N u 3 f D X C Q r f V o + + J Z I R 3 b q t R 3 7 O n G M f c c g 4 i L L N L 6 3 m 0 w H b v Y H z / t s r V T s I t 3 / X 1 6 2 1 o 4 6 v V 9 0 T T 1 7 C 3 6 i r C I L f s y k P y n l F / J 8 e v X n 1 5 Q l r 2 1 e k X X z 6 / 1 b L L / h 6 p s 9 v 4 n b Y T q 2 P N m + / V w b C O N R 3 c 0 u + 8 T X N P K E z z A 4 p t d 0 l D q W 2 4 S Z u + z 2 u e Y N w G O U 8 Y T P P d n Y P 7 h q I 3 q c 7 3 w c z X m / Y 9 k t l P b 3 o v w m S 3 9 T N v 1 f 4 9 p 9 / X j 7 d q H 2 G A 2 2 r F W 7 W P T P m t 6 B q Z + + 0 b J 9 / X g b f m G F / 5 3 f 6 l 9 5 x 3 X + 3 d v p P 3 n X z X f D + u 8 H 7 i q 9 P X t 1 N H t / A p b R + h v r v Z p w w 7 G N Z 3 p g N K 8 T 0 k x / D + 3 u 3 0 n n n t l n r P N N / d v / d w d + f + + O D T 2 y k + + 9 7 O p z u 7 n 3 4 6 v r d / O 8 1 n 3 t v b u / + A u t s Y A X t S c J t R e e z / X t j 5 2 s + 8 e H C P U j s 7 m 7 P H v v Z 7 n 8 n y t a B 5 b / t W L 0 a 4 4 7 b q 8 L 0 Q j P D H b d X i e / U T 4 Y t b E T 7 C G L f h J 1 9 B W s L f 5 k V f S d 6 G I L 5 + f B 8 E f T 1 5 q 3 4 i D H G b f j z 0 7 h s 1 d v o T X 5 2 9 / D I 9 P n 3 1 5 e n r l 8 c n Z 8 f P b 1 R l 9 + 7 v 3 7 u N b 2 g 7 s b r S v P l e H Q z r S t P B J m J 5 w n C b 5 p 4 M m O a f k j L Z + / T B 7 n j v / u 2 U 5 P u 9 6 E n D b R D 0 h O A 2 z T 3 e f z + 0 f P X 4 n m 9 G + G y j H o m w z M b 2 7 8 k B v j 6 8 V f s I D 9 x W D 9 6 q f W T G b 0 n Z 9 5 x 8 X / P 5 7 W + j 8 G 7 V / j 1 n 2 l d 0 t 2 r / v j P t m n 9 q F d w X T 4 5 f n Z B i + / L F L d x A y u L d v 4 0 b a M F b 1 W b e f K 8 O h l W b 6 e C W q u 0 2 z T 2 2 N s 3 3 k E P c l F r z W P v W 7 3 j s f e t 3 P M a + z V A 8 v r 5 1 F 7 5 C 0 5 f Q 7 m Y d d h u E f B 1 2 q / b v O d W + D r t V + 8 h k 3 1 a H 3 a p 9 f 5 I 3 E D M y u z d P V 2 S O t 2 9 8 y 9 d g t x m H r 8 F u j Z q v x m 7 V S W S y b + z E Q + y B U T Z f v n n 1 5 W t e K 3 l 1 / O L 1 y y 9 f v T m 9 U e E 8 v L / / 8 D Y a z X Z i N Z p 5 8 7 0 6 G N Z o p o N b a r T b N P e Y 3 D S n L O n O v Y O H 4 3 u b I h C P 2 d / r P Y / p z X s 3 z q P H + 7 c Z k s f 1 7 4 W a r 9 3 s i / d p E Y 8 S 9 5 t f j D D a b T X d r d q / J w v 4 m u 5 W 7 S N M c F t N d 6 v 2 k U m / H W E j M 3 8 j t / h a z 7 z 0 f l r v N m P y t d 6 t U f O 1 3 q 0 6 i U z 8 j Z 1 4 i B 0 Y h X T 6 i 9 b F q k p n e f o 0 P 8 + X T Z Z e 3 6 S U 7 t + s 7 y x 4 9 8 o t Y Q 6 r O A N z f 4 e a 7 + + O d z f x h 8 f n 5 r 1 b 6 j r T n B a H 7 t M 6 N a V b b q f r z H u f f r q 3 9 + n + g 4 P x v Y P b K T v z 4 t 6 n 9 w 5 2 D 8 a b 3 v K Y 3 q J 5 f / + W G u / 9 E P R V n n 3 z / s M H R B E i y c Y 3 I 2 x 2 q z n z l Z 9 5 c f t 2 b 0 b Y 5 L Z q 8 P 1 Q j D D K b f X h + 3 U U Y Z B b k j / C J H v 3 P 9 1 7 s J m 1 f N 1 o i X + L 9 3 z t e B u K + N r x P d D z 9 e O t u o l w x C 2 6 8 Z B 7 a D X k T 6 R P T 5 + d v n h 9 T G s e r 0 8 / x x L v j e p s 9 z 4 p j 5 2 b F a X t x T i G 9 s 3 3 6 m B Y a 5 o O N h H L k 4 b b N P d k w D T / 9 P 7 B / o O H N 7 G m J w z v 9 6 I n D L d B 0 J O A 2 z T 3 O P / 9 0 P J 1 5 H u + G W G 0 j X o k w j I b 2 7 8 n B / g K 8 V b t I z y w s X 1 k 6 j e 2 j 8 z 4 L S n 7 n p P v 6 7 3 b t P f 1 3 a 3 a v + d M + 4 r u V u 3 f d 6 Z t c 3 B v X M N 9 9 e r s l h p u 9 0 Y N 5 3 o J N d z u e 3 Y w q O F s B 7 e y q 4 7 P 7 X u 3 U 3 W u m / 2 d e 3 A L H 9 4 u B r b v 0 e L d / g 3 W x z G 9 f e u 9 n E L 7 1 q 2 d w v f B z t N 2 9 r X d v b 0 9 Y 6 x u U n T v N 1 G e x r M v v r c z e K s 5 9 n T f e 6 I Y 4 Y 6 N H U W 4 4 n Y d R R j j Z s p H + O I 2 H l C E O d 7 T D 7 w V M T y 9 + D 7 o e e r x d t 1 E m O E W 3 X j I 7 R r 9 9 U V G o f I y q 4 t s l H 7 Z 1 l W T n v 6 i m 5 T Y p z f r R w v f v X J L m M M q 0 c C k P M r O 3 r 2 D + + N d h X q T T r Q v P t x 9 S A w 2 v r / p P Y / 9 z X v 3 H t z b v X d v d / f B + P 7 + 7 d S j f f P e v Z 3 9 h 5 T u H D / c 9 K Y n C e b N h 5 / S Q v 3 B v f H + p g n 1 h M G 8 t / f p 3 r 2 9 h z v j + / d u p y r f E 1 N f X d p X 9 z 6 l C X n w 6 e 7 4 4 c N b K k 0 7 I z s 7 B / d 2 P 9 0 b b 5 o R X 2 m a F 7 d v 9 2 a E e 2 6 r N N 8 P x Q j X 3 F Z p v l 9 H E V a 5 L f 0 j 3 E I 8 9 o B k Y v x w 4 x J y h F 2 2 b / W m r z 5 v Q x Z f f b 4 X i r 4 C v V V H E c a 4 V U c e g n t W h R 7 / B H m Y 5 G 4 e f / 7 q S 8 T R X 9 6 o 7 H b v f 3 q b Q N r 1 Y d x M + + Z 7 d T C s U 0 0 H m 4 j F Q n H 7 5 p 4 o m O Z 7 n z 7 c O / h 0 5 5 b K 8 z 3 e 8 q T h N q h 5 E n C b 5 h 7 f v w d O v o p 8 n 9 c i r L V R h U T Y Z G P 7 9 5 x 1 X x f e q n 1 k 3 m + r A m / V P j L X t y H r e 8 6 5 r + x u 0 9 5 X c b d q / 5 7 T 7 G u 2 W 7 V / 3 2 l 2 z e / 1 F N r Z i 6 d f v X 5 z O 5 U G / / M 2 K s 3 2 Y l W a e f O 9 O h h W a a a D W 6 q 0 2 z T 3 W N s 0 3 9 5 9 u P P p 3 v 4 N z q T H 4 + / 3 o s f s t 0 H Q Y / L b N P d 4 / P 3 Q 8 n X b e 7 4 Z Y b T b q r d b t X 9 P D v D V 2 6 3 a R 3 j g t u r t V u 0 j M 3 5 L y r 7 n 5 P s a 7 j b t f Q 1 3 q / b v O d O + h r t V + / e d a d d 8 f 0 D D v T o 7 f n 4 7 / b N 7 s 4 K z n Y Q K b v c 9 O x h W c K a D W y q 4 2 z T 3 m N s 0 3 9 3 b 2 f / 0 / v 3 x w 1 v q t / d 6 z 2 N 2 + 9 4 B x Z + 7 Y 3 D n 4 G s e p 5 v X D v a R P N 8 Y + H j 8 / l 5 I + s r O v r i 7 8 3 D 3 0 / 3 x g 9 v q u t t Q 3 9 d 1 t 2 r / n s y A R u / V P s I O t 9 V 1 t 2 o f m / 5 b E T b C A J S y I L b Z u 6 X C M 2 9 t 3 / y a r / d u M y p f 7 9 0 e O V / 7 3 a q X y N z f 3 I u H 2 v 2 e D j z 5 8 s X r 2 / l 4 9 + 5 / e u 8 2 P p 7 t w 6 p A 8 + Z 7 d T C s A k 0 H t 1 S B t 2 n u 8 b x p v k 0 J O M r 8 P R z v b 1 I v H v O / 3 4 u e F N w G Q Y / 3 b 9 P c Y / r 3 Q 8 t X e + / 5 Z o T N b q v 3 b t X + P T n A 1 3 u 3 a h / h g d v q v V u 1 j 8 z 4 L S n 7 n p P v q 7 z b t P d 1 3 a 3 a v + d M + 1 r u V u 3 f d 6 Z d 8 0 + j + u 3 N q 6 9 O T m 6 n f m 7 h 4 t k + Q v 1 2 s 4 s X d j C s 3 0 w H 9 y i L N 7 7 3 6 e 2 0 n H n p / s Y V N I / H z Q v 7 l E f Z / 3 Q M J h t 8 z W N 1 9 9 q 9 g 3 v 3 x w e b D I / H 8 e a 1 v f v 3 H n z 6 c L y z 6 T W P 3 c 1 r t 9 R 1 7 4 O c r + n M e 7 s P d n Y + / X T z M l q E 2 2 h 1 6 I a J 8 p W d e W v 7 F q 9 F u O K 2 O u 8 9 k I t w x W 0 1 3 3 v 0 E u G G 2 9 A 7 w g 2 3 Y S J f C V q K 3 + Z F X x v e h h q + N n w f B H 2 t e K t + I r x w m 3 4 8 9 B 4 Y z f X 6 j B J 7 x y f p y f H z 0 2 e 3 8 / 7 2 7 3 + 6 f x v v z / Z h t a N 5 8 7 0 6 G N a O p o N N t P L E 4 D b N P f 4 3 z W l Z 7 d O H O / f H O 5 t Y 2 p O D 9 3 r P k 4 T b o O d J g G n + Y G d 3 b 6 P P 7 3 H / e 6 H m a 0 X 3 4 o N 7 D 2 n 9 e 2 / j i x E + 2 6 h E I j y z s f 1 7 s o C v C m / V P s I E t 1 W C t 2 o f m f T b E T Y y / d s 3 z r + v / m 7 N N L 7 q u / 1 L 7 z n x v t 6 7 f S f v O / u u + U F c 6 Z 0 c v 7 y d S r q F R 2 i 7 C H X e z R 5 h 2 M G w z j M d 7 H 3 6 Y P / e w X 2 y m P u 3 0 3 7 m x f 3 9 e 5 8 e g M a b O M 2 T A N v h w 4 e f 7 h / c v z f W s d y k B s 1 7 D z 6 9 / + B g 5 2 B 8 / 5 b u o X l v 9 + B g / 8 H B p + O 9 + 7 f T h + a 9 T + 9 T b 7 v j T a P z B O K 9 s P Q 1 o u 1 u H / 7 O v f H B g 1 t q R E v P v X s 7 D 3 b 2 9 8 f 3 D 2 6 p G 8 2 b 2 7 d 8 N c I 1 t 1 W T w 0 h G 3 4 y w y 2 0 V 5 n v 2 F G G U 2 8 1 A h F N 2 9 0 i I d v b H n 2 7 i M F 9 7 2 g m 4 1 Z u + C r 0 N V X z t + V 4 o + m r 0 V h 1 F G O N W H X k I P j R 6 j u P q L 7 5 6 c X Z y f H L 2 5 Q v y I G 9 U d f f v f 3 r / N v 6 j 7 c P q U v P m e 3 U w r E t N B 5 u I 5 Q n F b Z p 7 k m C a 7 + 2 Q Y / 5 w f 2 / v t p r z / V 7 0 J M K + i D T w w a a X P G k w L z 3 c v 7 9 H c d u m + f d E 4 f 1 w 9 B W n 9 + a D h 7 v 7 9 3 f G n + 7 f U n X e Z g J 8 h X m r 9 u / J D 7 6 W v F X 7 C E f c V j f e q n 1 s / m 9 J 2 g g X b D / c 2 9 k j M 7 j x v Q g f 3 O I 1 X x + + z 2 v v y Q C + N n y f b t 6 X D 2 x z j C u q C 2 + n p 3 Z v V I S u g 1 A R q s T d u o N B R W g 7 o H f u 3 9 9 7 + G C z 8 n A S Y F 9 8 + P D g 4 f j T T S 8 5 M b A v 3 d t / 8 G D n 0 7 3 d 8 c 4 m p e P k w b 5 I v g K l O 8 i H P d j 0 o h M M + y J F v e R n U 5 R 1 u 5 y j o 8 u D + 5 / u 7 u 5 v X p R 2 U v G e i H r a 0 e v x 3 s G n B / c f 3 p C 4 j H A h z e H + / X v k y m 5 8 M c J d 2 7 d 7 M 8 I 2 t 9 S X 7 4 l i h G N u q T j f s 6 M I o 9 y S / B F W 2 X 9 4 7 4 D 6 H O / c u 5 0 G d e S / 1 Z u e E r 0 V V T z t + X 4 o e m r 0 d h 1 F + O J W H X k I 7 n q K 9 P P T F 6 e v x K W 8 X V b y 0 / u f f n o L r 9 J 1 Y p W p e f O 9 O h h W p q a D T d T y h O I 2 z T 1 R M M 3 v 7 T w k n b T / Y H P G 1 5 O J 9 3 v R k 4 n b I O g J g m m + t w N / 8 t P b K c z 3 Q 8 5 X m N 6 b D z 7 9 l H T 7 p 7 d V m L c Z l 6 8 n b 9 X + P f n A 1 4 6 3 a h / h h N s q x V u 1 j 8 z 7 L S k b Y Y H t m 3 n A 1 4 S 3 5 x x f C 7 7 H W + 8 5 + b 4 K f I 9 e 3 p c F X P O 9 u P 4 7 f X 5 6 8 u b V 7 f T T 7 s 0 K 0 P Y S K s D d 9 + x g W A G a D i g G f 3 i f M n g P N / G N J w D m v X v k p h G 3 H d x O I Z q 3 a G Z 2 7 u 0 e 7 N x a I Z o X d + + T i 7 D 3 c G f 8 Y F O P n m D Y 8 d 2 n K O u W W t F h u X / b 3 O R 7 I u g r R f v m / s M H + w j O 7 2 1 8 M 8 K C 9 O L e A f n 0 e / u 3 1 I 7 m x e 3 b v R l h l 9 v q y f d D M c I p t 1 W Y 7 9 d R h E F u S f 4 I m 9 y / T 4 J z M N 7 Y Y Y R T t m / x n q 8 7 b 0 M R X 2 u + B 3 q + 8 r x V N z E F c n M 3 H n L 3 j F 7 7 9 u m r V 8 d f n J 2 + e H P 8 + n a + I 4 V 3 D 2 7 j O 9 o u r O o 0 b 7 5 X B 8 O q 0 3 R w S 9 / x N s 0 9 A T D N 9 / c f f L o x W + 4 J w a 3 f 8 f j / N m h 5 T H + b 5 h 6 z 3 x o j X y P e / q U I R 2 1 U G B H 2 2 N j + P W f b 1 3 y 3 a h + Z 7 9 s q v F u 1 j 8 z z z U R 9 z 9 n 2 d d t t 2 v s 6 7 V b t 3 3 O S f W V 2 q / b v O 8 m u + X 5 M i 9 1 O v 9 z C 9 7 P Q Q w V 2 s + 8 X d j C s w E w H e / c / v X e w O f D 3 G N u 8 d U s 9 Z p o f U N a R 4 p I H m 3 r x 2 N u + 9 u D e v b 2 H 4 1 s q M / P W 7 s G 9 h w / H D x / e T q f d Z k Q e k 7 8 H a r 5 W s 6 / d 3 3 + I 1 3 Q e b 1 R s 7 z F L v n 4 z r 2 3 f 5 r 0 I U 9 x W z 7 0 P e h G 2 u K 2 6 e 5 9 u I g x x K 6 J H W O I W j O T r P 0 v 0 W 7 z n 6 8 H b U M P X g 7 d E r 6 s O b 9 V N h B d u M R o P u f t G b 7 0 6 f U Y K K v 1 9 U v r 3 9 H X 6 x f H v 8 + W r 2 y m v v Z u 1 o + 0 l 1 I 4 a T 9 6 6 g 2 H t a D r Y / X R / b / N i g i c N 5 q V b K k f T / I C i 4 Z 3 N n X i y Y N 5 6 c P D p x s D b k w P 3 y s 7 G V z w R u M 1 Q P N a / L V K + S j T v 2 I z u j c r w 9 p P i 6 0 L z 1 v Y t X o t w w G 1 V 4 X s g F + G B 2 2 r C 9 + g l w g A 3 k D o y / z e x j K / / L K F v e s l X f r c h g K / 8 b o u Y r / l u 1 U d k 6 m 8 c v H v l U 6 O Q v n z z 6 s v X 6 e l P f H X 2 8 k u O a W 9 U S Z R H f 3 i b k N Z 2 Y X W e e f O 9 O h j W e a a D T W T y G P 4 2 z T 1 O N 8 0 p / n j w Y P d g / P D T 2 + m 7 9 3 r P 4 / n b o O c x / G 2 a e 7 z + X l j 5 W u / 9 X o x w 2 E Y J j r D L x v b v O f u + v r t V + 8 j 8 3 1 b T 3 a p 9 Z L 5 v R 9 j 3 n H l f z d 2 m v a / h b t X + P S f a 1 2 6 3 a v + + E + 2 a P 4 h q t t s p n V v E u R Z 8 q N V u j n P D D o a 1 m u n g 3 v 4 e r Y m M D e S b t J t 5 b f / e / b 2 9 e 5 t f 8 7 j c v L Z 7 n 7 p D g L i n P u l N a s 6 9 e H / 3 4 O H 9 3 c 0 v e n x v X r y l n r t N c 4 / Z 3 w 8 t X 9 G 9 5 5 s R j t t + u P f p 5 p c i f H T j O x H W u P G d C F / c V u 3 d u o 8 I L 9 x W 9 b 0 n q d + T G 3 z d d 5 v 2 v u 6 7 V f v I 1 N 9 W 9 9 2 q f W T G b 6 n 7 D k L d 9 4 R y f A h l v z p 9 8 v z 0 l i r w 3 s 0 q 0 P Y S q k D N c t y 6 g 2 E V a D r Y 3 9 v Z v b + J N T w + N + 9 s o p T H 5 r f u w m N z f Q f N b t R y N 7 b 1 m P r G t h 5 D 3 9 j W V 2 k 3 N 4 7 w z o 0 U 8 b W Y e W n 7 5 r c i 8 7 u R q y N z e 3 M n k R n e 2 E l / d m / R y f t M s 6 + 8 b m 7 8 P h P t q 6 2 b G / c n e k P j / g R v a N y f 1 w 0 D d G 0 f G i V y U p X 5 d F p U y 7 w Z p V 9 O 6 q x J Z z d p k g c 3 K y k L 3 7 1 y S 5 j D e s n A 3 M R S H t v e p r n H s K b 5 P V r Z v 3 8 7 j X T b V z y O v Q 1 S H s / e p r n H t b d F y N d S t 3 4 n w j 0 b h T v C D R v b v + d M + x r q V u 0 j c 3 1 b 5 X S r 9 p F Z v p G m 7 z n V v o a 6 T X t f S d 2 q / X v O s a + q b t X + f e f Y N r + 3 Y x S K e l X H r 9 6 c v X 5 z h p T Z l z f q l t 3 7 u / d u k T N z n R j X y r 7 5 X h 0 M q j D b w e 1 U 2 K 2 a O 7 a 2 z X c p d h j f T o f d / h 3 H 3 r d C y 3 H 2 r Z o 7 x r 4 9 R p 4 W e 4 + X I j y 1 k Q U j 7 L G x / X v O t q f G b t c + M t 8 b 2 0 f m e m P 7 y D z f T N T 3 n G 1 P j 9 2 q v a f H b t f + P S f Z 0 2 O 3 a / + + k + y a 7 8 b 1 2 M n N O T J R M r s 3 a z H b R a j F d t + z g 2 E t Z j r Y N G S P r W / T 3 O N q 0 / z e / Y P b q 7 H b v + T x 9 2 0 Q 8 z j 7 N s 0 9 x r 4 9 S r 4 i e 4 + 3 I l x 1 W 0 0 W a b 9 R k 9 2 q / X t O u a / J b t U + M t 2 3 1 W T v Q d X 3 n H B f l d 2 m v a / K b t X + P W f Z V 2 W 3 a v + + s + y a 7 x k 9 c z x t i 8 u q S Z 8 U V f m P / q 0 X x b R q b t I 1 B z e r M Q v e v X J L m M O a y 8 C 8 p e a 6 T X O P i 0 3 z 3 X s H n 2 5 6 x W P k 2 7 7 i 8 f J t k P K Y + D b N P R 6 + L U K + z r r 1 O x H m u a 3 G u l X 7 9 5 x p X 2 P d q n 1 k r m + r s W 7 V P j L L N 9 L 0 P a f a 1 1 e 3 a e / r q 1 u 1 f 8 8 5 9 v X V r d q / 7 x y 7 5 v e M Q p H 0 / P H J G 0 r R f / n 8 y 8 / T 1 z f H k L R Q 8 u D h b W J I 2 4 v x v u y b 7 9 X B s A 4 z H d x S h 9 2 m u c f X p v m n D + 9 t e s P j 7 F u + 4 f H 2 b V D y 2 P o 2 z T 2 u v i U + v g K 7 7 S s R Z r q t / r p V + / e c Z V 9 / 3 a p 9 Z J 5 v q 7 9 u 1 T 4 y x z e R 9 D 3 n 2 V d f t 2 n v q 6 9 b t X / P K f b V 1 6 3 a v + 8 U u + b 7 P f V 1 9 p O 8 y g g V d j v t s n u z + r K 9 h O p r 9 z 0 7 G F Z f p o N b q q / b N P f Y 2 j S / v f q 6 5 R s e a 9 8 G J Y + t b 9 P c 4 + p b 4 u O r r 9 u + E m G m 2 6 q v W 7 V / z 1 n 2 1 d e t 2 k f m + b b q 6 1 b t I 3 P 8 H u r r V l 1 E J v q 2 6 u t W 7 d 9 z i n 3 1 d a v 2 7 z v F r v l 9 o 1 h M t H i 2 b L P l R T E p 8 + Y G 5 X L / Z r V l o d s 3 b g d x W E 8 Z i P f u 3 d / 5 d O / h p + P 7 D 2 + n s c y L u 3 s 7 n z 7 c f 3 B / f L A p 3 + D x t H n x / t 7 B / f s 7 u 5 8 e j D / V Z d O b d J h 9 c + f B 7 u 6 9 e / s P x g / v 3 U 6 X m T f 3 H + 7 t 7 T 4 A t n u f 3 k 6 t 2 T f 3 H j 5 8 + O n D 8 f 7 t 1 N t 7 o u q r O U v Y h 7 s P 7 x / s 7 4 1 3 N p H H 1 3 b m z b 3 d / X u f H u z t j B 9 s w t b X e + b N 7 V u + G m G g 2 6 r A 9 0 Q y w j i 3 V Y b v 2 V O E X W 4 5 B T F 2 O X j w c P f B / R 0 S i 0 2 M 5 i t K O w e 3 f N d X m r c h j a 8 0 3 x N N X 3 / e q q s I f 9 y y K w / J T 4 2 y e 1 2 d t 1 d Z n d + k 7 W 7 h 9 1 m Y 7 p V b w h x W o Q b m 7 v 7 u 7 s E + c c u D T Q P 0 R M G 8 e E u n z z S n 5 Y v d T 3 c e 7 t 7 f q I w 8 Q T A v 7 j 9 8 u L N P C y B 7 4 0 8 3 v e k J g n 3 z Y J 8 M x P 3 9 e + M 9 p d h N e v M 2 Y / O Y / z 1 R 9 P W l I / 8 D s k R 7 p K I 3 a t o I g 9 1 u 4 n x 9 a d 7 c v u W r E W 6 5 r b 5 8 T y Q j / H J b f f m e P U X Y 5 J Z T E G G T W z K Y r y / t H N z y X V 9 f 3 o Y 0 v r 5 8 T z R 9 f X m r r i L 8 c c u u P C Q f W H 3 5 5 b M 3 3 z 1 + d Z q + f n 5 j x u / + 7 u 7 9 h 7 u 3 y f h Z 8 B o y u z f f q 4 N h P W o 6 2 E Q p T z B u 0 9 y T B t N 8 d / / T h 2 S G 7 o 2 N 7 r 9 J e 7 7 f i 5 5 U 3 A Z B T x R u 0 9 x j / / d D y 1 e Y 7 / l m h M M 2 a p Q I y 2 x s / 5 4 c 4 O v G W 7 W P 8 M B t N e K t 2 k d m / J a U f c / J 9 5 X f b d r 7 C u 9 W 7 d 9 z p n 0 t d 6 v 2 7 z v T r v l B V 7 X d T u l E H E L B J A I 5 1 G o 3 + 4 V h B 8 N a z X R w O 6 v q M b d 5 8 Z b 6 z T T f f 3 i w / + k 9 6 m x 8 s C m S 9 7 j c v k k W Z 3 8 f Q e 7 u J v P t 8 b v / 5 i 1 s l c f v t x m c x + 7 v i a K v 7 c y r D / f 3 7 o 8 f 7 t 1 S 0 7 3 f r P k 6 z 7 z 5 N V z D 2 x D F V 3 / v i W S E W W 6 r C N + z p w i L 3 I L 8 E f a 4 J W P 5 m t H S / 5 b v + l r y N m T x t e R 7 o u k r z F t 1 F e G N W 3 b l I f n Q a L j n x T R f T o v s x j z k / s 3 O o A X q X r k l z G F N a W D u P r x 3 8 O D g / r 3 x w S Y Z 9 + T A v v i + q U j 7 4 v 1 7 B w / 3 q M e 9 T X k e T x 7 M i w c 7 D 3 Y O k E 3 c p G o 9 a T D v P T g 4 o F F S X m k T o p 4 8 m P f e M w v 5 X m j 6 S t P 2 t 3 9 w 8 H D 3 p m A 8 w m w P 7 u 0 e 3 H t A W c + D W 6 p N 8 + L 2 7 d 6 M s M 1 t t e b 7 o R j h l t s q z f f r K M I l t 6 N + h E 3 u 3 S f 2 + p R e 3 M R e v t K 0 1 L / V m 7 7 K v A 1 R f J X 5 X i j 6 C v N W H U X Y 4 l Y d O Q T 3 d 3 r q k p Z w z q t 6 8 Y / + x W 0 x v V H N 7 d 6 o O 1 0 P 3 j u 3 h T q o P S 3 U 9 9 W e 7 s X 3 1 J 7 u x f f U n v b F W 6 k l J x f 2 v f f U n v a 9 9 9 O e 7 4 e m p z 1 d f 7 e S 3 w j v 3 U 5 j R F j q v b W n f f O W 2 v M 9 U Y x w y y 2 1 5 3 t 2 F O G S 2 1 E / w i a 3 0 x g R R n l v 7 X k r o n j a 8 / 1 Q 9 L T n 7 T q K s M W t O v I Q 3 L X a 8 + z k 9 M X J 2 f H r 9 O z F s y 9 v l Y n c p 5 D 6 w S 0 y k a 4 T E 7 P b N 9 + r g 2 F d a j r Y R C 1 P J m 7 T 3 J M E 0 / x W D O p J x H u 9 5 w n E b d D z x O A 2 z T 3 m f y + s f C 3 5 f i 9 G e G y j J o m w y 8 b 2 7 z n 7 v k q 8 V f v I / N 9 W E 9 6 q f W S + b 0 f Y 9 5 x 5 X + / d p r 2 v 7 W 7 V / j 0 n 2 l d y t 2 r / v h P t m u 9 5 u o 2 1 2 q s v 6 M e b 0 + d Q V Q B w k + b Z v V m 1 2 T 5 C 1 b b 7 n h 0 M q z b T w X u 7 i f b F 9 3 U T 7 Y s 7 D 3 d 2 7 u 3 v j D / d 1 K P H 9 + b F W 9 k g j / / N e + / r J p r 3 3 t N N f C 8 0 f Q W o L 6 L d z U r P D u p W 7 l C E o 9 7 f N T R v 3 l Y P v h + K E Q 6 5 r U J 8 v 4 7 6 n L G B 4 h F 2 u N 2 8 R h j i / d 3 B 2 x D C V 5 D v h a K v K W / V U Y Q V b t W R h + A 9 o 8 6 e 5 q s 6 p 2 B 6 W v y j f + t y l D 7 N 2 7 w u b l B q n 9 6 s L i 1 8 + 8 b t I A 7 r R w N x / / 7 O / d 3 9 g / H D T S P 1 m N + + t 7 e 3 + / D + 3 s P 7 4 9 1 N X O l x v 3 l z e / f g g F T y z r 2 9 v T E I P v i u J w n u 3 f 0 H 0 K + 7 D z 4 d g x U H 3 / W E w b x L l o O m d W f 3 3 n i T X v Y E w 7 z 4 6 Q 6 t M 9 3 f / / T + + N N N Q / U k 4 7 3 R 9 d W l e 3 l n b 5 / + / 2 C P j J c a x h v V p 3 1 5 n / q k j v c / H e 9 t G q 6 v Q e 3 U 3 v L V G D f d 8 t U I Q 9 3 W q 3 z f r i J c d F s H 8 / 1 n I s I 9 2 / u 0 S H 7 w Y P / + 3 v j e J v b x N a s d 4 + 1 e 9 V X r + 7 4 a 4 Z 3 b u q H v 2 1 W E X 2 7 p k e 5 H 1 W t 6 P F 0 v 1 m V 2 k z K 8 h T t q O 3 C v 3 B L m s I Y 1 M D e N 0 Z M D 0 x x c d m / n 4 Q N S U 5 u U o y c R 5 s 3 t g 3 s 7 + y Q U n + 6 O H 9 y / n V 6 1 r 9 4 n g 7 d / / + H B w R h z M / i q J x z m 1 U 8 P 7 n + 6 + / D B / h h C P f i i J x j m R d K p 9 + / t k H c + v r f p T U 8 s 3 h d b X 6 v a d / c O d n c f P L i P P O f G d y P s t 3 3 L u f G V 6 n t O q 6 9 U 3 / f V C D P d V q m + b 1 c R F r q t U n 3 v i Y i w D k 0 E s f n B P t n y j W h G e O d 2 b / o a 9 T 3 f j P D N b R X q e / b 0 n r r G Q + y + 1 a e n L 1 + k T 8 5 O X 5 w i f / n F V 6 d P n p / e q P p 2 d + i 5 h V K 1 v W i M 7 9 5 8 r w 6 G N a z p 4 J Y a 1 j S / J Z N 7 4 m H e / B o a 1 r 5 6 S 5 3 l S Y p 5 9 b 0 1 r H n x / T X s + 2 L r a 1 j 7 7 m 0 F O 8 K Q X 0 f D v u e 0 + h r 2 f V + N M N N t N e z 7 d h V h o d t q 2 P e e i A j r f A 0 N 6 0 Z 4 m z d 9 D f u e b 0 b 4 5 r Y a 9 j 1 7 e k 9 d 4 y H 2 a a B h n 5 6 + O X 1 1 9 u W r L 9 P j L 7 5 8 9 e Z G B b h 3 S w 1 r e 7 E a 1 r z 5 X h 0 M a 1 j t A K O 9 U b 3 e 2 N a T h h v b e u x v B r m J 8 h 7 3 3 6 a 5 x / C 3 a e 4 x + W 2 a + 0 r x V u 0 j f L O x f Y Q D N r b v T + i t c 5 2 3 a t + f 2 F u n O G / V / j 1 n 1 9 d n t 2 r / n v P r q 6 5 b t X / P + f U V 1 q 3 a v + / 8 u u Y P r J r 6 O o H 1 3 s 0 a y n b g X r k l z G G l Z G D e 0 u 0 z z f f u H z z Y f T i + v 8 l x 8 z j Z v L a 9 d 2 / / 3 s N 9 y v w c b H j R Y 2 n 3 4 s 7 B / b 2 9 / f G 9 W / p 7 t x m X x 9 r v M y 6 P w 9 8 P P V + X 2 T d 3 D / Y + v b + z P 3 6 w i S K + V n N 9 3 g J X X 7 2 9 z x h 9 N f d e 7 0 V 4 5 b b q 7 r 3 6 i f D I b d X e e 5 I + w i W 3 I 3 2 E T 2 7 z n q 8 R 3 + u 9 C I / c V j O + V z / v q T 0 8 t A 6 s h o Q j R 6 v h r 4 5 P X 7 9 5 9 d X J m 6 9 e H d + o z G 4 b K t t e j C N n 3 3 y v D o Z 1 p u n g l j r T N L 8 N c T 1 x M K + 9 t 8 5 0 L 9 5 G K X m C c Z t x e d L w P u P y Z O H 9 0 P N 1 p n 3 z d o I b Y b z b C W 6 E l 2 7 1 X o R F b v V e h F d u q z P f q 5 8 I j 9 x W Z 7 4 n 6 S N c c j v S R / j k N u / 5 O v O 9 3 o v w y C a S + D r z v f p 5 T + 3 h o f X Q 6 s y v 4 1 X e u 1 l d 2 g 7 c K 7 e E O a w h D U x a z b q 3 c / / + e O f h 7 V S l e Q + a e O / e / f t E 1 g e 3 0 5 b m T V p e 3 P l 0 7 9 7 B / s 7 D 8 c 7 + 7 R S m f f f h 7 s 6 n D x 4 8 J P a + / + n t V K Z 5 9 e H O g / u 7 u 5 8 S v p t G 6 o m F e X H v 0 5 1 7 9 y i B Q k v / t 1 O f 7 4 u s r 0 D t u w 9 o B f b h 7 r 0 H R K O N 4 h j h w + 2 H 9 + 9 / u g M V A E 4 e f j X C Y b d 8 M 8 J H t 3 w z w k m 3 V a T v 2 V O E e 2 6 r S t 9 7 E i J c s 0 2 s d v / g 0 / t 7 9 8 f 3 N / G N r 0 + t b N 3 u V V + l v u + r E b a 5 r V Z 9 3 6 4 i z H I 7 x X p / x y p W b 9 1 G V m 1 e 3 6 g C b + m L u k 6 M L 2 r f f K 8 O B j W t 7 e A 9 N a 1 9 7 7 0 1 r X 3 z a 2 h a 9 + 4 t l Z c T G / v q + 2 p a + + L 7 a l o P 2 d s h 6 2 l a 9 + 5 t h T z C m O + v a R 2 R b v d m h I 9 u + W a E k 2 6 p a d + 3 p w j 3 3 F L T v v 8 k R L j m a 2 h a J 1 u 3 e 9 X T t O / 9 a o R t b q l p 3 7 u r C L N s n A j X f N d q 2 r z N 6 6 K q K + O + z q q b F O H + z T r W g n e v 3 B L m s F o 1 M D e N 0 J O B 2 z T 3 R M A 0 3 / 7 0 4 b 1 N r 3 i 8 f 9 t X P P a / D V I e x 9 + m u c f k t 0 X I 1 4 q 3 f i f C P B v b R 7 h h Y / v 3 n G l f 3 d 2 q f W S u N 7 a P T P R t l d y t a f q e U + 0 r t N u 0 9 7 X Y r d q / 5 x z 7 q u t W 7 d 9 3 j l 3 z P a u v s N S c H p + 8 O f v J L 1 + T i / j l 8 y 8 / v 1 G 5 3 N Y 1 t L 0 Y 1 9 C + + V 4 d D O s w 0 8 E t d d h t m n t 8 b Z q / h w 6 7 7 S s e d 9 8 G K Y + x b 9 P c 4 + v b I u T r s F u / E 2 G o 2 + q w W 7 V / z 5 n 2 d d i t 2 k f m + r Y 6 7 F b t I 7 N 8 I 0 3 f c 6 p 9 H X a b 9 r 4 O u 1 X 7 9 5 x j X 4 f d q v 3 7 z r F r f s 9 o l + N F V b f F D 9 4 v b X j / Z v V l O 3 C v 3 B L m s M Y y M P f 3 d h 7 S e s e n t 1 N c 9 i 3 y Y / d 2 9 v f G D / Z v p 8 L M i 9 v 7 D x / s 7 u 8 8 e D B + s C k 8 8 B j c v r l L o c X e w f h g U + z s M b p F d f / g 0 x s i b o / V z V t 7 u w e f f n p v / O n D 2 2 m 3 9 0 L S V 3 H 2 x X v 3 9 j e T x F d y H j X v 3 3 v 4 c P 9 g 8 4 K V r + + 8 G b z N m z G O u d 2 b E a 6 5 r Q 5 8 z 5 4 i z H J b b f g e 5 I 8 w C c 0 2 B b r 7 Y 9 B 3 + M U I m 9 z m P V 9 B v t d 7 E T 6 5 r a J 8 r 3 4 i r H F L h b l v F e Y X X 7 5 6 Q 4 v T b 4 5 f f H 5 2 m 2 T g / d t 6 f L Y L 4 / H Z N 9 + r g 2 H 9 a T p 4 P / 1 p 3 3 p f / W l e f H / 9 a d + 8 j W r y R M O i + l 7 6 0 7 z 1 n v r z v Z D 0 9 a d 9 8 W Y B j j D g 1 9 C f 3 g z e 5 s 0 Y x 9 z u z Q j X 3 F Z / v m d P E W a 5 r f 5 8 D / J H m O S 9 9 a d 5 8 T b v + f r z v d 6 L 8 M l t 9 e d 7 9 R N h j V v q z / t W f 0 7 b 4 r J q 0 q f F O S X 7 Z l V z g 3 p 7 c L P i t L D t G 7 e D O K w p D c R N g / O Y / T b N P V 4 3 z f f 3 H j 4 8 2 N n 0 k s f m t 3 / J 4 / X b I O Y x + W 2 a e 6 x 9 e 5 R 8 9 f c e b 0 X 4 Z 2 P 7 C E 9 s b P + e M + 7 r t 1 u 1 j 8 z 5 x v a R 6 b 6 t V n s P q r 7 n h P v K 7 D b t f S V 2 q / b v O c u + 8 r p V + / e d Z d f 8 U 6 N Y T p t 2 P S u q Z p Q + q 2 p E y A i X b 1 I z t 3 D 5 b A f u l V v C H N Z d B u Y t d d d t m n t 8 b J r f z G c e M 9 / + J Y + j b 4 O Y x 8 q 3 a e 5 x 8 u 1 R 8 n X X e 7 w V Y a P b 6 q 5 b t X / P G f d 1 1 6 3 a R + b 8 t r r r V u 0 j M 3 0 L q r 7 n h P u 6 6 z b t f d 1 1 q / Y 8 y + / R / j 1 n 2 d d d t 2 n v o f P A 6 q 7 X b 9 L f J 3 3 5 6 s v f 5 / T k z Z f p 6 6 d f 3 q h k d j + 9 t 4 N 5 u E l 9 2 T 4 0 Y n V v v l c H w 7 r M d H B L X X a b 5 h 5 f m + Y 3 8 5 3 H 3 L d / y e P w 2 y D m s f Z t m n u c f X u U f F 3 2 H m 9 F 2 O q 2 u u x W 7 d 9 z x n 1 d d q v 2 k T m / r S 6 7 V f v I T N + C q u 8 5 4 b 4 u u 0 1 7 X 5 f d q v 1 7 z r K v y 2 7 V / n 1 n 2 T U / M H r m y 7 a m 0 N G E k M s q P S n q G 5 T N w 5 v V m A V v 3 7 g d x G G 9 Z S D e U m / d p r n H w 6 b 5 w 9 3 7 e / v 3 9 v b G W P 0 Z f N F j 5 v d 7 0 e P q 2 y D o s f N t m n v c / H 5 o + T r s P d + M s N R t 9 d i t 2 r 8 n B / h 6 7 F b t I z y w s X 1 k 6 j e 2 j 8 z 4 L S n 7 n p P v 6 7 L b t P d 1 2 a 3 a v + d M + 7 r s V u 3 f d 6 Z d 8 4 d G 2 T w p 8 m X e p P k y P a k W 1 S x r q 5 v 0 z r 2 b V Z m F 7 l 6 5 J c x h Z W Z g b h q g x 8 m 3 a e 4 x s m l + O 0 b z O P r 9 X v R Y + z Y I e v x 8 m + Y e O 7 8 f W r 4 y e 8 8 3 I z x 1 W 2 V 2 q / b v y Q G + M r t V + w g P 3 F a Z 3 a p 9 Z M Z v S d n 3 n H x f m d 2 m v a / M b t X + P W f a V 2 a 3 a v + + M 2 2 b f 7 p j l d n Z 6 Y v T 1 + n p i / T k y y + + f H r 8 5 q Y g 8 + G 9 W y 6 L u j 4 0 y H R v v l c H g / r N d n A 7 / X a r 5 o 6 3 b f P b 8 Z 5 j 8 v d 8 0 X H 7 r R B 0 L H 6 r 5 o 7 D 3 x M t T 7 + 9 7 5 s R N r u l f r t d + / f k A E + / 3 a 5 9 h A c 2 t o 9 M / c b 2 k R m / J W X f c / I 9 / X a r 9 p 5 + u 1 3 7 9 5 x p T 7 / d r v 3 7 z r R r v t v R b 0 a 5 p a + f 3 5 h G e 3 h v 7 5 Y a z v Z i N Z x 5 8 7 0 6 G N Z w 2 g F G e 6 N 6 u 7 G t x 9 c 3 t v V 4 2 g x y E + U 9 l r 5 N c 4 + P b 9 P c Y + P b N P d V 1 6 3 a R / h m Y / s I B 9 x W Y d 2 q f X 9 S b 6 2 w b t X + P S f X V 1 i 3 a v + e 0 + u r q d u 0 9 9 X U r d q / 5 / z 6 a u p W 7 d 9 3 f l 3 z P a N A X m Y N Z c b S 6 / Q k W x V t V m 7 U I H v b N w e U D r R 9 4 3 Y Q h 5 W R g b i 7 f + / B / Z 1 7 + / T f g / G + K r u b t J N 9 m d 6 8 / + n O v Y e U S x z v b L J 2 H l e b l 7 f 3 9 3 c e H O y Q / n y w O w Z b D r 7 s s b h 9 + d 7 B 3 v 7 B w 4 O D e / s H 4 9 1 N P X v 8 7 t B + s H v w 8 N P 7 e 5 8 e P N j c s 8 f 8 j m A 7 9 + 7 t U 1 Z 5 d 2 d 3 f K A z c Z O m e 3 + 0 f b 1 n 3 7 5 / f 3 f n 3 q e f E s 3 u j f c / v a U W d G 8 f 7 D 3 c 3 d l / u H d v v H P / l i r R v H z r d y M s d u t 3 I x x 2 W 1 X 5 3 n 1 F e O q 2 a v N r T E e M j z 4 9 u L / / 6 Y O 9 + w f 3 x / f 2 b 6 l R b d e 3 f t v X r 7 c Z q K 9 f 3 x t V X 9 n e q r O Y Q r p t Z x 6 i 9 0 L N u 1 k 7 3 q x t L T h t f x t o w 5 r W Q N u 9 d + / h 3 q e 7 D 2 n N 9 c H 4 w S a t 4 8 m B e / n g 0 7 3 9 n f 0 9 + n c M j h h 8 2 R M K 8 / L 2 3 s G D + / d I 1 e 7 t f j r e 0 w H d p G n d y / s 7 9 + 8 / x H 8 P x w e 3 U 7 Q W 6 9 3 7 + 3 v 7 9 z / d u 7 d 7 c G t F 6 1 5 + + O D g 3 r 2 d 3 U / 3 d s a b Z F n l 4 2 s h 7 a t Z + / L u w 0 8 f P t j b 2 9 l 7 S C Z x E 9 a + m r V v 7 9 P L B / s P P y V a 7 2 / U 8 B G O u / W 7 E f 6 6 9 b s R 9 r q t m n 3 v v i I M d V s 1 + z W m I 8 J F 2 / v 3 7 h 8 8 u E d S t z e + t 8 l a + 2 r W D v O W 7 / p K 9 r 3 f j f D Q b R 3 a 9 + 4 r w j a 3 d G 7 3 Q x W L J d / p u s y W b b 5 Z P + 7 e r G 4 t a P P C r e A N K 1 w D j 2 L z n R 1 S Q J 8 e H B y M H 2 y i i y c R 3 s u 7 D / c e P t z f f 3 h / / O k m F e K J h 3 l 5 + + D + 7 h 6 5 e f f 3 d z d 7 e Z 5 4 u H f v 7 d 0 n t f f w 3 v 5 m l e m J i k V 6 d / / h g 5 2 9 v f v 7 B 7 v j + 5 / e T t + 6 l 6 n n n Y P 3 0 r f v j b S v b + 3 L h P T + g / v 7 D 4 j S e 5 u m y V e 3 9 u V d s m 2 f U k r p 0 / H D 2 z q 1 d s S 3 f D X G W 7 d 8 N c J Z t 9 W 1 7 9 t V h J d u q 2 r f f y Y i / L N 9 7 9 7 9 n f s U N d 8 7 G D / c v 6 W m N S / f 9 l 1 f 0 7 7 3 u x H 2 u a 2 m f e + + I j x z S 0 1 7 3 6 j D k 3 W + b L M m X V V 1 + j K 7 y O o 0 u 0 E 3 3 k L Z W u j 2 j d t B H F a 3 B u L D T y k y P t i h x P f e + G C T 7 v F k w r 5 7 / w F Z 9 0 9 J d + 2 P s Z Q / + K 4 n H + b d 7 f v k Z e 7 S M t P B w / H 9 W 6 Y R 3 L s H e w e 7 + 5 + S g z w + 2 C R d n r B Y n M m 2 7 J K q 3 d t 7 O N 7 f 9 K 4 n K / Z d S h s / 3 H 2 w f 3 + X x r t J 0 D x R e W + c f V 1 r X 6 Y 8 D x m I T 3 f I V d g Y g / i 6 1 r z 8 6 Q O a Y Y p g D s Z 7 G 3 3 q C L t t 3 / b d C G N t l J s I M 9 2 2 q w g v b e w q w j + 3 7 S r C P r e f i Q j / b O 9 R z u 0 h u c Q H 9 8 c 7 G 3 u O M N B t 3 / V 1 7 X u / G 2 G f 2 + r a 9 + 7 r f X n G N f / U a M P X e X 1 Z T I u q S V / m d V M t s z J v b l K N t 9 C 2 F r 5 7 5 Z Y w h / W t g U k e 5 s H O g 3 s 0 5 o f j n f 3 b 6 V v 3 7 k P K 2 x 4 c f L q / N 9 6 / p b 4 1 7 2 4 / e L C 7 c / D p / X v j h 5 v e 9 K T F v r l L e W J S 8 u P 7 m 9 D 1 Z M W 8 + A B Z 0 / s H + 3 u U E v r 0 d p r 2 f V / 1 5 O T 9 0 P W 1 7 H u + G W H E b U r U 3 N 9 5 e E A J x Y 2 v R n j s l m 9 G O O m W b 0 b 4 6 L a + 7 H v 2 F O G d 2 7 q y 7 z k F E Y 7 Z 2 F O E T T a q t Q h z b G w f Y Y n b q s 1 b t Y / M / i 1 V 5 Q O r K k 9 f / e T Z y d m X 6 c v T V 6 S 0 j p + n J y 9 v V G u 7 t 1 y E t 7 3 w I r z / 5 n t 1 M K w 9 T Q c P a f 2 H t N / e p / f H m x j E 4 / n 3 f N P j f v P m J k p 7 L H + b 5 h 7 H m + a U Q v / 0 / g 7 y r Z v 9 C Y / l 3 / d V j / t v g 6 S v G r U 9 2 t 2 s D W 8 F P M I 1 G 9 t H m G B j + 8 j U 3 1 b d 3 a r 9 e 8 6 4 r + R u J m Z k k m + r 1 2 7 T 3 t d r t 2 r / n p P r 6 7 V b t X / f y X X N D 4 z G O X 7 5 5 a s 3 p N R e v E 5 / n / Q 7 X z 1 5 f W u 9 d u 9 m v W Z 7 C f W a h n 6 3 7 m B Y r 5 k O K G 1 J F v Y + J Y P H S D w M U s D j b v f q w 5 3 9 / U / v P X i w 2 d / 2 G N 2 8 e k u 3 x W N 5 8 + Y t l Z x p T q H W P Q q 7 H 1 C o / / B 2 O u 4 9 3 / Q E 4 T Y o + i p O 2 9 9 O x b 0 n 5 X x t Z 1 6 9 5 Z s R J r n l m x E e u a 0 G f M + e 3 p M x f F 1 4 M 9 U j z L A R + H u y g K 8 L b 9 U + w g U b 2 0 e m f m P 7 y I R v H K 9 r / t B o K f h 4 z r 9 7 / f z p l 7 d T V P s 3 a 0 L b R 6 g J l T 1 u 3 c G w J j Q d b B q z x 9 m 3 a e 4 x t m l + u / j C 4 + v 3 e 9 F j 8 N s g 6 L H 4 b Z p 7 H P 5 + a P n q 7 j 3 f j L D Z R q 6 M s M z G 9 v f e s / 1 7 s o C v 3 G 7 V P j L 1 t 1 V p 7 0 n Z 9 5 x 8 X 7 / d p r 2 v 3 2 7 V / j 1 n 2 t d v t 2 r / n r L u 0 H m w Y 3 T P y 7 q 6 z P N Z V e d N + k 4 W V 2 7 S P 3 s 3 q j Y H 3 r 1 y S 5 i D 2 s z C p B W n A 1 q Q p p w f r Q N u i t E c X 7 t 3 a X m E F v b 2 7 z + k b N + n t 9 J z 9 t 1 t W h b e f 3 C A h Y 7 x v U 0 r F Y 7 f 3 b s P 9 z 9 9 e P 8 h r U a P D 2 6 n 7 D y U 7 x 8 8 3 M U M P x j f 2 7 S C 7 p j f v U s L m A 9 2 H + 4 f Y L i 7 t 1 K D 7 4 2 y p w j d u / c P q M t 7 l B h 9 s H F Z J s K Q l M + n R O X u g x 3 K K T y 8 n V a 0 7 9 7 2 1 Q h T 3 f b V C E / d U l e + d 1 c R N r q l 2 n z v e Y i w z v Y B 5 d Q / J e a 5 P 9 7 Z i G a E d W 7 5 q q d O 3 / v V C O f c U r O + d 1 c R b r m l k t 2 1 S v b V l z 9 5 e v r 0 y 1 e n t w m l 9 2 6 Z I n T w j Q N p 3 3 y v D o Z V r u n g Y I d j x r 1 P D 8 Z g y 8 G x e 9 J h X y X 1 8 + D g I U X u m 5 d 3 P U E x r 2 5 / + u n B g 5 2 H e 7 s H m 1 f C P U G x r + 4 / v P f g P u m u e + M 9 J c d N + t a 8 S i s 6 u 7 R w v 7 N 7 7 / 7 m p U x P a O y 7 u / d 2 7 j 9 8 c P 9 T Q n m j c H t C 8 7 4 o + / p W 3 0 W 7 m z W s 7 Y h W 2 y k t 8 o D G d 2 + T + f Q 1 r B 3 g L V + N 8 N B t X 4 3 w 0 G 0 1 7 P t 2 F W G c 2 2 r Y m y k f Y Y 9 b T 3 G E P W 7 5 q q 9 T 3 / f V C K / c V q e + b 1 c R / r i l T t 0 z O u / Z V y 9 o 6 e X F 8 a u z L 2 + v V G / h u t o O Q q V 6 s w c b d j C s V E 0 H 9 3 f u 0 a r 1 7 n 3 S q b f 0 Y t 2 b O 0 T l h / f I r G + i s i c Z 5 s 3 d v X v 3 9 n c p j N q k x T 2 x M O 9 t 7 x 7 s k u t L C 9 2 3 U 6 b m v f 2 d g 3 t 7 n 9 L / x p 9 u w t S T F f v m 7 s 7 u / v 7 u P u G 6 6 U 1 P U t 4 L V 1 + L 6 o u 3 0 6 K m F 1 L 0 Z C b 2 N 0 c R v g q 1 6 N 3 u z Q j D b J S Q C J v c r q M I l 2 z s K M I d t + u o z x 6 3 0 5 7 v N 6 8 R h r j N e 7 7 e f K / 3 I q x x W 6 X 5 X v 2 8 L z + 4 5 v e M Q o M X m j 4 9 / c n T F 5 8 f P / 3 y 1 j r z 5 j U d 1 0 W o M 2 9 c 0 + l 0 M K w z T Q c U u N / b g 9 5 8 u N k l 9 K T B v v r p p z s P 7 l E O / o a s g S c P 5 t X t + / D q P r 3 / 4 N 7 4 3 i 0 d U f v q / r 0 D W k k 6 e H B / / P C W u t O 8 u r e 3 + + n + / s G D A 1 K B m 6 I 3 T 1 T s q 5 + S D X 5 4 n 1 b n N y f M P G F 5 X 4 R 9 B a r v 3 k 6 B 2 o 4 + f X B / 7 y F n N T b 2 E 2 G z W 7 4 Z 4 Z 9 b v h l h n 9 v 6 o O / Z U 4 R l b u u C 3 k z 1 C G f c e n o j r H H L V 3 1 V + r 6 v R v j k t t r 0 f b u K c M c t F e q + r 1 B N W H + b l S F R d / s 3 6 1 P b Q 6 h P V Z R v 3 c G w P j U d k D + I 9 O D m D I g n D f a 9 3 f s P D z 7 d G R / c U p O a 9 / Y e 3 D v 4 d G / v 1 m r U v v f p p 5 / S + u n m 7 I M n G + a 9 T / d 3 P / 1 0 9 9 6 n Y z V F N y l Q 1 9 / O g 7 3 9 G 4 T X E 5 H 3 w t N X n e b F 2 2 b q I m z 4 Y G / n 4 M E Y o j D 8 W o S 3 t m / z X o R l b u u F v g 9 6 E U 6 5 r Q / 6 P t 1 E G O S 2 d I / w y K e 7 9 + n l g 4 P x w 0 0 B i q 9 I b a e 3 e 9 V X p L c h i 6 8 9 3 w 9 J X 4 / e q q c I X 9 y u J w / F + 0 b J n X z 7 9 C e + Q m b 0 + M X J 6 X N y T V / f T s / d v 1 m R 2 j 5 C R a p T f e s O h h W p 6 W A T t T y h u E 1 z T x h M 8 2 1 K R n 7 6 6 Q P y J j Y q a k 8 s 3 v N N T z J u g 6 I n D a b 5 7 f r x h O E 9 M f S V p r 6 K d j e r y d u M x 9 e P t 2 r / n h z g 6 8 V b t Y / w w G 0 V 4 v 3 H d 2 9 u 3 5 / v D c S M z P Z t J y 0 y 3 7 d 7 0 9 d 9 7 / n m e 8 6 9 r / v e s 6 f 3 5 Q L X / F O r + 7 5 8 8 e b V 8 Z u z 1 2 + O N T S / 0 Y u 8 d 9 t M p u 3 E K D / 7 5 n t 1 M K z 8 T A c P P o X P / W B n 7 9 b r 8 e 7 N v X s 7 n + 6 R 5 d 7 o E X r i Y N 6 k m H z n 0 4 c H m y 2 + J x b 2 P U o f P K Q x j g 8 2 m S l P P s y L t C 7 0 4 O G n n 9 7 b v W E 1 y p M W 9 + p D W J P 9 e 3 u 3 d i j f D 1 1 f O e q b t 1 O O F s P 7 N I O 7 9 8 f 3 N 0 p z h L e 2 b / d m h G l u q y / f D 8 U I p 9 x W c b 5 f R 3 0 O u Z 0 G f c + J j b D E r V 7 0 9 e f 7 v R j h j t u q z / f r 6 H 1 5 w j V / Y L V n t W z r r C 2 a N m v S V V W n X 0 7 q G 7 X b z Y r T w n e v 3 B L m s K 4 0 M H c P 7 n 3 6 6 d 7 9 3 U 8 f j n c 3 M Z g n A e b V P Y r W d 2 g p / t 7 O e H 9 T P O v J g H l 1 + 9 4 e L a Y c 7 H x K q / C 3 0 5 f u T d J 6 Z B H 2 x n u f 3 k 5 h 2 p E i 3 b q z f / 9 g b w w B G H z V E w 7 7 6 i 5 p 2 / 1 P K d G 7 e R 3 R k 4 7 3 x N f X m P b V f W R c P x 3 v b S K u r z 3 t i 3 s H n + 7 f 3 3 / 4 6 e 5 4 b / + W C t R O 6 i 1 f j b D S b V + N s N J t n c / 3 7 S r C Q L f 1 Q 9 9 v F i J M Q z N / n x Y M K e d t F h 5 u V K n m 1 d u 9 6 e v U 9 3 w z w j S 3 V a r v 2 V O E T 2 6 p V Q + s V n U + 6 W 1 W 1 s V d 3 L 1 Z r d o O Q n 9 U B f z W H Q z r W N P B 1 9 C x 5 t W v o W P N q + + v Y 9 2 b t 9 J Z n r D Y k V K a 8 u B g 7 2 C H 0 i 6 b O v X E x b 7 K O v Y + G e p b 6 9 j 3 x N f X s f o q 2 t 2 s V 2 0 / t 1 U 7 E S a 7 7 a s R 9 r n t q x H 2 u a 1 e f d + u I k x z W 7 1 6 M + U j z H H b G Y 4 w x + 3 e 9 H X p e 7 4 Z Y Z T b 6 t L 3 7 C n C G 7 f U p Q + j u v Q 2 a 0 S i 7 G 7 h p N o u Q m 1 6 s 6 9 6 2 z V 3 0 8 G m I X s i c J v m n g T c p r n H 9 b d p 7 j G 9 a U 6 + B C 3 v b f Y l P P Y 3 r + 3 u b c p j e E x / G 7 R 8 N W j a 3 8 7 J i T D U x o 4 i 3 L G x / X t O t q / w b t X + P a f b 1 3 K 3 a h + Z 8 N s R N j L l t 3 o v M v O 3 6 t D X d r c Z m a / j 3 g d B X 9 f d q p 8 I B 9 y m H 4 f e w Y 5 R Q y + z u i 2 m x S q b F t U y b 9 L r 9 H h 1 k y 7 a v 1 H N O f j u l V v C H N R s F i Y l H v d 2 9 u 4 f 7 D w c b x R 4 x / f u 1 X s P d h / s U Q 7 y w f j + J s f L i Y B 9 d f v g w e 7 D v Z 1 P a V H 6 d r l L + y b 1 9 4 D 0 9 / j h p 7 f S g v Y 9 c v Q + v U 9 L 7 w / 3 K Q G 5 a a B O L o J 3 9 x 7 Q q j a t h u / v 3 k o r v h + + n n p 0 J N r 7 9 J a K 0 a P q w 0 8 f P t x 9 e D D e O 7 i d j r S v 3 v L N C A P d 8 s 0 I / 9 x S b 7 5 v T x G m u a U G v T X t I z y C e S b m u m G e I w y y f a s 3 P e 1 5 q 1 F 5 2 v P 9 U P T U 5 + 0 6 i r D E r T r y E N y 1 + v P 4 1 Z v 0 9 0 m P X 3 5 J P 2 + O u v d v G X W 7 D o y f a N 9 8 r w 6 G t a n p Y P 8 h h a E U U d 7 b 3 7 x A 4 k m D e / X T P V o / 2 n l 4 b / z g l t r U v L q 3 8 3 C P 4 v 3 7 Y x i w w R c 9 u b A v 3 m a i P P k w 7 y G p S d r w 4 d 7 B + H Z e p f f m 3 s H u / o P 7 9 + 6 N 7 + 3 f T p O + F 7 K + J t U X 0 e 5 m H W p 6 2 a V 1 j / 3 9 / Z 3 x w U Y N E G G u 7 V u + G m G b j f o p w i u 3 7 C n C K h t 7 i n D I L X v q 8 8 g G q k f Y 4 n Z z G 2 G K Q e 0 5 q D 1 v Q w l f e 7 4 X i r 7 2 v F V H E W a 4 V U c e g n t R 7 X m b O F v U 2 8 2 r 6 K 6 L U H / e u I r e 6 W B Y f 5 o O 7 m 9 M R n i S Y F 7 Y b K g 9 A T A v b J o N j / 9 N 8 x s 8 A Y / v b 9 O B x / m 3 a e 7 x + y 3 x 8 d X f b V + J s N I N b 0 Q 4 4 6 Z O I n N 9 W 6 V 3 S 6 T e c 6 5 9 Z X f L H i K T / R 6 O 4 q 2 Q i s z 4 R v U R m e 7 b 6 r V b t Y / M 9 G 3 V 2 W 3 a e + j c M y q G s o U / m T 4 9 p f + 9 P j m F Q s H b N 6 m Y e z f r M N t B q M N 0 + m 7 d w b A O M x 0 8 f L i z + 5 B 0 O G n w T b z h c b h 5 c 3 f n 4 Q G t v D x 8 8 G C 8 s 3 8 7 t W Z e 3 a Y Y l f K a D y m f C 4 E e f N X j e v P q p g n y W N 4 0 v 0 f O 7 a e 7 N M b 9 8 c 4 t 4 + j 3 f d W T g t s g 6 S s 9 b Y 9 2 N 6 u 7 9 y W e r / j c n N 3 u 1 Q i j 3 P b V C K d s J E e E P W 7 b 1 X u y h 6 8 S b 6 Z 8 h C N u q w x v 0 9 5 X h r d q H + G E 2 y r D W 7 W P T P k t l e G + p w z T V 6 d v U n b t T k 5 f 3 d K l 2 7 9 Z H d o u Q n W o a u f W H Q y r Q 9 M B r b U 8 p C V 7 W o F 4 8 O n t 1 O F 7 v u m x u 3 n z l k 6 e N h 9 m W Y + 9 b 2 z r c f e N b T 3 O v r G t r 9 1 u b h x h o o 0 8 F + G I j e 0 j E 3 x b P + 5 W 7 d 9 z M n 2 F d a v 2 7 z O j v s K 6 u f H 7 z K m v q m 5 u 3 J / T D Y 3 7 E 7 q h c X 8 2 N w z Q t b 1 v d M e b O l s 2 5 3 m d L 6 d F 1 q R f t l V 9 c Z M C u X + z b r L w 3 S u 3 h D m s j g z M / b 3 7 9 y n W P t g / u H 9 r / 8 y + u 0 v v 7 n 9 6 / 9 7 e 3 h j + 7 e C 7 H h e b d 7 f J J f y U F j 0 e 7 I z 3 N 6 X 3 P I a 2 r 5 I 7 S Q v 1 9 3 c p a X Z / k y b 0 m N u 8 e + + A s u a f 3 r u 3 f + / W q T o 7 2 p 0 H 9 y n h v k P W a 3 O 3 H u e / N 8 q + d n O k o o W h B w 8 O N m P s q z r z J m w T O Z m 7 n 9 6 7 v S P n U L 7 t y x G u u q 0 O f G 9 E I 5 x 0 W 3 3 4 3 n 1 F 2 O e W U x H h H s q G f k r d P r i 3 f 3 + 8 M a n j K 0 6 L 8 i 3 f 9 f X o e 7 8 b 4 Z / b u n / v 3 d f 7 s o x r / q n V t a + O X 7 x + d v r q 9 M X J 2 f H r W 6 y O 3 L / t 6 o j t w r i C 9 s 3 3 6 m B Y 9 5 o O 7 j 2 g p d C H 9 x / S i v P 4 0 0 2 s 6 E m M f Z e U 5 / 3 7 e / f v H T w c 3 z u 4 n e 4 1 7 2 4 / p O X 8 / Q f k T 4 4 f b I o 7 P e G x r + 4 + 3 N 0 / O N h 9 s L 9 J 3 3 u S 4 / D 9 l M n z K a 3 n Y M 4 H 3 / V k x 7 5 7 c H + P O t 3 b v 3 d / 8 7 u e 6 L w f w r 7 a 1 T c 3 W P 4 I O z 5 8 e L B / b 3 + f F r b 3 N m q G C J t t 3 / b d C A f d V s + + L 5 o R p r m t m n 3 f r v q 8 s o H y E e a 4 5 Q R H W O N W L / o q 9 f 1 e j H D J b f X p + 3 X 0 v n z h m j 8 I l W n 6 + v T V T 6 Y v T 1 / d X p 3 u 3 a x O b S e h O t U h 3 b q D Y X V q O t j f 2 y F 3 9 G D v 0 / v j e 5 / e T p v 6 r x 7 s P c Q y 7 P 4 t l a l 5 d X t / Z 5 + y S T t j 4 5 b f p E r t i 1 D 9 9 / f 3 x i b n e p M q N S / u k e u y u 0 O J h 4 f j + 7 f M O H q v P t j 5 9 N 6 n 9 3 f H m y j k C c v 7 Y e v r U X 3 z d n r U d n O w u / f p w X h 3 E 8 P 7 S t S 8 d 5 v X I i x z m 9 c i 7 H L b k P 1 9 u o l w y G 0 j 9 5 s p H W G F W 0 5 o h B V u 9 a K v N 9 / v x Q h X 3 F Z v v l 9 H E X 6 4 p d 4 8 C P W m d U J f 3 7 z G L F r t 3 s 1 q 0 / Y R q k 0 d 0 a 0 7 M G q z r z Z N B 3 s 7 / N x O Y Z q X N j X 3 B M A 0 3 7 6 3 s 3 t w 7 2 C f N N a m K f F k w L 2 5 d 5 s 3 P W k w b + 7 u 3 b u / d / D p v f 0 x P h p 8 0 x M N 8 + a n 9 3 f 2 9 z 9 9 + O n m + N C T j P d E 1 t e S 9 t X b R Z Y R J r x 5 / n y F a f u 7 x W s R Z t n Y P s I n t + g l w i 4 b 2 0 e Y 5 B a 9 R B j k l i S P M M h 9 S p f d e 0 g p p I 3 h k 6 8 7 b Z + 3 e 9 X X n r c h i q 8 0 3 w 9 J X 3 3 e q q c I U 9 y u J w / F h 6 H + T I 9 f f k n r O W 9 O X 9 1 m S U c U 3 P 7 N G t T 2 E m r Q / f f s Y F i D m g 7 I o d r d 3 b n 3 8 O H 4 4 a e 3 U 6 P v + a Y n I u b N T X P k S Y g 2 H 3 Y N P L m 4 s a 0 n C T e 2 9 X j / x r a + P r y 5 c Y S P b q v 8 b t U + M s G 3 1 X q 3 a v + e k + n r u 1 u 1 f 5 8 Z 9 Z X b z Y 3 f Z 0 5 9 D X Z z 4 / 6 c b m j c n 9 A N j f u z u W G A t u 3 D H a M 7 z p b t K D 2 p F u l 1 W r V 1 + n l b N T f p j 0 9 v V E 0 O v H v l l j A H t Z G F u X v w k K L Z e / T / 8 f 2 H t 1 J H w a s P d i m p + O n 4 w a Z o 1 r G w f X X 7 4 P 4 D + F r 7 t / P v 3 H u 7 D w / u 7 d w b 7 2 0 y H Y 6 l H a r 3 a I Q P 7 3 2 6 9 / C W 6 z j B m 3 s P d x / e 2 9 s c P j t u f z 9 k P W 1 m X r y V N n O 9 f H r / 4 T 3 K m x m u u E m t 2 R d v 9 V 6 E Y 2 7 1 X o R d b q n m 3 q + f C I / c U t 3 d g t o R d r j d n E a Y 4 T b v e V r w / d 6 L s M U m K n g 6 8 f 3 6 i X D D R m q 7 5 r t W Q 7 5 4 k 5 5 8 + c X Z 6 7 M v X 6 S / T / r l m 1 d f v r 5 R n d 1 y L c b 1 Y n w 4 + + Z 7 d T C s N U 0 H l K G 5 / / D B g 3 v 3 7 o 9 3 N v G n J w b v + 6 o n E e b V T b T 2 B O E 2 z T 0 5 s I h h n f P + p 7 R i P b 6 n F L t J S b 7 v q 5 5 c 3 A Z J X z d q + 9 v p x l s B j / D N x v Y R N t j Y P j L 3 t 1 W B t 2 r / n j P u q 7 6 b i R m Z 5 I 3 A 3 3 N m f U 1 3 q / b v O b m + h r t V + / e d X N d 8 r 6 f Z 0 q e n i F F / n 9 s q t p v T e 6 6 T U L H d m N 7 r d D C s 2 E w H n + 6 R F N 8 / e L C z O S f l 8 b b 3 5 g N K o e 3 Q W s H D 2 6 k 1 8 + b 7 O o P 2 v d v Y L I / r z X t 7 D w n T B / f v 7 4 w f b s L U E w H v z Y f 3 7 h / c 3 x / v b V L d n j C 8 F 6 6 + v t M X b 6 f v b C + 3 8 p k i f H W r 9 2 L s c p v 3 I s x y W 0 X 4 X v 1 E W O S 2 C v F m a k e 4 4 X Z z G m G G 2 7 z n a 8 j 3 e i / C F r f V l O / V T 4 Q b b q k x 7 x l l 9 i p v 8 + W 0 q J Z 5 Q w H z S b V s 6 + I m j f b g Z m V p 4 b t X b g l z W D 8 a m J T n p 9 z l / o O D / d t m 7 9 y r D / b v H x z s U W p h v L / J S f L Y 3 7 y 6 T V n G h w 9 o M X b / 0 / H B 7 R a O v X d J 2 R 3 s P r x / n 1 a r b 6 c o z a u U 7 d 5 / 8 H B / B / p u U 6 + e b J h X D 0 j F 7 j y 4 9 + m 9 n c 3 r K Z 5 0 v C / C v r a 0 7 9 J q y n 1 K k D 7 4 9 I b s c o Q d a T F m 5 / 7 e / Z 1 P x / c 3 D d Z X n 7 b b 2 7 4 b 4 a j b + p D v i 2 a E j W 7 r T r 5 v V x H W u f V E R H h n + 4 D E 5 M F D c g r G n 2 5 y C X z V a v n u d q / 6 2 v V 9 X 4 2 w z m 0 V 7 P t 2 9 b 7 s 4 p r v W x 1 7 + i Y 9 e / 0 q / f a X L 7 5 8 d f z q 7 G a n 9 M E u n M b d m / W s 7 c M 4 p f b N 9 + p g W O m a D i h Y v n d w b 7 M O 8 i S l + 9 o m P e 1 J i X l t e 2 d s H O u b d K z / y t 7 t d K t 5 5 d 7 + z q f 3 D h 6 M 7 2 / S j p 5 w d N / b N C h P L m 6 L o a 9 M 9 x / f x T t o d 7 P 2 9 D v Y Z N V 8 t W n e u e m V C C v c 9 E q E D W 7 r a 9 6 2 i 8 j 8 3 9 b N 1 P Y b K B u Z 8 R u n L j L d N 7 z i q 7 / b v h K Z 8 9 u q v d t 2 E Z v v 2 6 m 7 + 1 1 1 d / z q 1 e m L p 8 d f v L l x g V i 0 0 d 7 N 6 s 7 2 E a o 7 H d G t O x h W d 6 a D X Y S Z 9 / c 2 p 9 I 8 R n + v 9 z y G N + 8 R g + 3 d U u H d 9 h W P 5 8 0 r 9 3 c O 9 v Y f H o z 3 b h l z d 9 + 7 v 4 l 1 P B G 4 L Y q + x t N 3 b q f x T A c b W T P C N x v b R 9 j g t o 7 h r d p H p v 2 2 3 u C t 2 v c n / H Z K 7 t a z F Z n h G 1 7 x l d x t X 3 n P a f a V 3 G 2 7 e N + Z d s 0 / 7 S m 5 1 2 d f n D 0 / f v L 8 9 J Z O 3 b 2 b t Z z t J N R y O q R b d z C s 5 b S D Y f b w W P v G t h 5 b 3 9 j W Y 2 k z y E 2 E 9 z j a N K c h 0 r L N p p c 8 z r 7 9 S x 5 r 3 w Y x X 3 H d O G h f c d 0 K e I Q V b q u 4 b t W + P 7 u 3 V l y 3 a v + e s + w r r p u J G Z n e j c D f c 2 Z 9 j X W r 9 u 8 5 u b 6 6 u l X 7 9 5 1 c 1 / y B p 6 t O X 5 x g s f f s J 4 9 v p 0 T 2 b 9 Z S F n y o p f b f s 4 N h L W U 6 + H T 3 4 X h f w d 6 k r W 7 9 j s f T 5 p 1 N Z P V Y + j b N P Y 4 2 z X d 3 9 g 5 2 K e + 4 M R X n M f d 7 v e c x + W 3 Q 8 9 W X t r + d + r o V 8 A i P 3 F Z 9 3 a p 9 Z L p v q 7 5 u 1 f 4 9 5 9 p X X z c T M z L D t 1 V f t 2 n v q 6 9 b t X / P y f X V 1 6 3 a v + / k u u Y H E f X 1 + u W b 2 6 m X + z f r L w s / 1 F / 3 3 7 O D Y f 1 l O t j d + 3 S f w s K 9 e w / H D x T 6 T W r M e 3 X v / o P 7 + 7 u 7 Y 5 B v 8 F W P x c 2 r 2 / v 3 P n 2 4 f 7 B / s D F N 5 f G 6 e 5 H 6 u / 8 p J U b v b V I 5 H t d b b H d 2 a A X 6 4 O H G h K o n A O 6 9 + 7 u f H u z T q s 7 m L j 1 Z e E 9 k f Y W n r 9 5 O 4 V k U H + x R D P x g / G B j L x H u 2 r 7 d m x G 2 u a 0 O f D 8 U I 5 y y s a M I g 9 y u o z 5 / 3 E 4 r v u / M R p j i d m / 6 q v I 9 3 4 w w y C Y i + k r z P X t 6 X 7 5 w z R 9 6 6 p M j 1 d P v n L 4 6 O X t 6 f M s 4 9 d O b N a j t I t S g q m 9 u 3 c G w B j U d f H r v 0 / t 7 + / c 3 L 4 F 5 I m H e u 3 9 w / 9 P d A 1 o 6 2 6 S Q P I k w 7 2 2 T 0 q U l 5 t 3 x / q Z E m S c a 9 s V 7 J B k P H + 6 M 7 2 / K / 3 m i Y V 7 c + / Q h r f R + O t 7 f l G H z p M S O 8 M H B z g P i o o e b R u i J y P s h 6 q t N f f N 2 a t O i t / N w 5 / 7 D G 3 L n E Y 7 a v t W L E U 6 5 r d J 8 L w Q j H H J b n f l e / f T 5 4 n Y q 8 z 0 n N c I O t 3 r R V 5 j v 9 2 K E M 2 6 r L 9 + v o / f l C N P 8 Y G c n U J d f v P z q 9 P W b L 1 + n r 5 8 / / f J 2 6 u z B T f r S 6 y P U l + r Y 3 b q D I X 3 p O t g 0 Z i s E t 2 t u e d 8 1 3 x 0 / u J V a v P U b l u / d G w / I O O 7 S 0 M f 7 m 1 S + l Q H 3 4 r 3 7 B w / 3 d / f 2 x z u b e r Q i c G s c n S p 0 r 2 z f u / / p p w 9 2 D s g w b X L O n W K 8 H c m d Q r x l + / f k A K c H b 9 k + w g O 3 0 3 + 3 b B + Z / 9 u S N s o B / O a D 8 b 1 P b 6 U F + 5 3 e 8 K r T g 7 c b n 1 N / 7 4 V k o A h v 2 V O E E 2 4 3 J g / F 3 Y 4 m f P N l e v b i 6 d m r 0 5 P b L u Q e 3 K w K b S e h K j x 4 z w 6 G V a H p 4 A B 2 9 / 7 4 3 i b D 6 8 m D e W 1 3 Z 3 / n / s H e Z o P t y Y V 5 b 3 t 3 / + F D 8 u M 2 M a 0 n H v r a s J n 3 R O P G t p 4 s 3 N j W 4 / 4 b 2 / q q 7 + b G E U 6 6 D V F 8 p W c n 4 R a v R a b 8 N q 9 F p v y 2 K v B 9 u u l P 9 a 0 1 4 c 2 U f p / 5 9 t X d j Y 1 9 B X d z 4 / 6 E b 2 j c n + U N j f t z u 2 G A r u 1 e o M A o 8 v 3 2 l y + + f H X 8 6 u z L W 4 a + D 2 / W X 7 a P U H 8 9 f M 8 O h v W X 6 W D 3 w T 1 K q O 2 M D x R 0 d P A e N 5 v 3 7 u 3 d 2 z 1 4 S B H H J q 3 v c b V 5 D 7 K 6 9 / D e w X j 3 l i p M X x y e G Y + n b 2 z r s f S N b T 2 O v r G t r 8 J u b h z h p d u R x V d i d g J v 9 W J s 5 m / 1 Y m T q b 6 v I 3 q + j / p T f W p X d T P H 3 m X d f l d 3 Y 2 F d l N z f u T / y G x v 2 5 3 t C 4 P 7 8 b B u j a 3 u u q s u N X r 0 5 f P D 3 + 4 p a u G P j + J l V m + w h U 2 a 5 O 7 q 0 7 G F Z l p o P d g x 1 a k b g 3 f n i r L J 5 7 b + 9 g j 6 K 6 3 c 2 L J x 5 f m / e 2 d 3 d 2 P / 3 0 3 o O x e p X R 9 z y 2 1 v e G J 8 Z j 6 R v b e h x 9 Y 1 u P o W 9 s 6 2 u y m x t H W O l W V P E V m Z 2 + 2 7 w X m / b b v B e Z 9 t u q s f f q p z / d t 9 Z i N 1 P 7 f e b c 1 2 I 3 N v a 1 2 M 2 N + 5 O + o X F / o j c 0 7 s / u h g G 6 t v u e F j M r u T 9 5 f D v 9 s n u z A r P g Q w W 2 + 5 4 d D C s w 0 8 H u 7 u 7 + g 4 e b U 1 I e I 9 v X 9 u 9 / S m p v R x G K v u b x s 3 l t + 9 7 + 7 q f 3 x v c / v Z 3 2 0 t e G J 8 R j 5 R v b e p x 8 Y 1 u P k W 9 s 6 2 u v m x t H W O g 2 R P G V l 3 n v N q 9 F Z v w 2 r 0 V m / L a q 6 3 2 6 6 U / 1 r T X X z Z R + n / n 2 N d e N j X 3 N d X P j / o R v a N y f 5 Q 2 N + 3 O 7 Y Y C u 7 X 1 P c 6 W v z 1 6 / O f 3 i O H 1 9 + n n 6 + s u T G 9 X L P Y R 6 t 9 B f t h O r v 8 y b 7 9 X B s P 4 y H e x C 5 z 0 8 2 N u 9 v z k Z 6 H G 0 f X X n 4 N 6 n 1 O O D n f G 9 W + o x + + r D h / t 7 t J r 6 c L y 3 6 U 2 P v + 2 b n 9 4 / 2 L + 3 8 3 B / v L s J X Y / T z Z u f 7 u 2 S q 3 l w 7 / 7 4 w a Y 3 P b Y 3 b + 7 f p 0 X j 3 Q f 7 u + N N L 3 o i 8 J 7 I + h p Q X 7 2 d B j T 9 3 C N f e O e A F s P x y X A 3 E f 7 a v u W r E c 7 Z q G k i 7 H L L n i L c s r G n C I / c s q c + j 9 x O G 7 7 v 7 E Y Y Y / u W 7 / q q 8 j b U 8 L X l e 6 L p 6 8 5 b d R V T J r f r y k P y U 1 + Z P n v 6 Z f r y 9 M X r 9 P d J v / P V k 9 e 3 0 3 V 7 N y t T 2 0 m o T P f e s 4 N h Z W o 6 o D X G e w 8 f 7 n 2 6 u 9 l u e 8 J h 3 6 S 1 h Q c H + / s P x v c 3 8 a w n H O b N 7 Q c H 9 N f D g / 2 D 8 a e 3 D G r t q + S y 7 9 7 b + f T T v f G n m 1 K J n q C Y V / f v 7 + 5 / e u 9 g 9 9 5 Y q X i T L n U k u r 9 / / y E N 9 P 7 m 9 K U n N O + L r q 9 O 9 d 3 b q V P T 0 d 7 O v b 2 d g 9 3 9 z e 6 5 r 0 4 t i r d 8 N c I 7 t 1 W n 7 4 l k h G N u q 0 7 f s 6 c + l 9 x O n b 7 3 9 E Z Y 4 5 a v + u r 0 f V + N 8 M l G 9 R j h j t t 2 9 b 7 c 4 Z o / M J r u + O W X r 8 Q 7 f T / X 9 N 7 N 2 t T 2 E W r T e + / Z w b A 2 N R 3 s 7 Z B 3 u f 8 p 2 f H 7 m x j P k w 3 z 5 i 4 p 4 l 1 a 5 N 7 Z n L / 2 Z M O 8 S T n 9 3 b 3 d B 7 Q 0 b g Z 0 k z J 1 b 5 I C J 1 X 8 Y G 9 8 b 1 O n n p i Y V z + F C v / 0 0 4 e 7 4 4 N N y v / g 8 d 3 u m w 8 O P i W n l l I J 4 7 1 N e t i T m P d F 1 1 e m + u 7 t l K n p 6 O G 9 B 5 9 S p E D h x f 4 t l a l F 8 Z a v R l j n t s r 0 P Z G M M M x t l e l 7 9 t T n k t s p 0 / e e 3 g h r 3 P J V X 5 m + 7 6 s R P r m t M n 3 f r t 6 X O 1 z z g 1 C Z q n c q z u n t l N 3 + z d r U d h J q U 2 W O W 3 c w r E 1 N B 7 t 7 C L h J z Y z 3 N 3 G e J x z 2 z Z 2 9 T / c e 7 D + k 1 c B b + q b m T X K H D h 7 u H T w c 7 9 5 S m b o X d w / u 3 / / 0 / o P x / i a 9 5 k m J e Z P w 3 L 9 / j x z M 8 a e b h u m J j H 3 z A R l n W l b f 2 7 w + 7 g n M e 2 L r q 1 J 9 9 X a q 1 E 7 E w w e 0 m v H p w X h v o 3 8 U 4 a 7 t W 7 4 a 4 Z v b q t L 3 R D L C L b d V p e / Z U 5 9 J b q d K 3 3 d 2 I 4 x x u z d 9 R f q e b 0 a Y 5 L Z 6 9 D 1 7 e l / O c M 0 f G g 3 3 + v T V T 6 Z f n D 5 l L U o 6 N H 3 9 9 M v b q b n 7 N + t R 2 0 u o R 1 V h 3 b q D Y T 1 q O t i 9 d + / T e z v 3 9 m 9 I e n q S Y d 9 8 Q G q J n P + H m x S T J x f m v e 2 9 / Y O D e 7 Q y t T d + s G m O P B G x r 9 6 j E O L B 3 s O H O 2 N 8 N v i q J y M W 2 x 3 4 K X v 3 d g 5 u 7 Z X a V 3 f 3 H j x 4 e P 8 B J Y Z 3 N / X q S c z 7 I u z r U v f u 7 r 2 H 9 x / e 3 z s Y P 9 i Y + I s w 5 + 6 9 X c o M H z x 4 c I O 7 F O G 4 7 d u + G 2 G m 2 y r X 9 0 U z w k W 3 1 a 7 v 2 1 W E d W 4 9 E R H e 2 f 7 0 U 7 L D + 5 R C 2 + w g R 3 j n d m / 6 2 v Y 9 3 4 z w z W 2 1 7 X v 2 9 L 6 s Y p t D L k Q P I q H 6 4 s s v z l 4 c p 6 d f v H x + e v z 0 y 1 t k V P d u t T z l e n H a V t 9 8 r w 4 G t a 3 t g P K i D 3 Y e P r y / e 3 8 M b h m k g J M V 7 9 W H x L / 3 a O V m b N b 9 b 9 C 4 9 l U y + Q 8 + v X f v g N I A m / j X S Y 1 7 k 1 b T d v c f 3 q d O 7 2 8 S G y c 1 9 t W H u / d 3 H l A S 4 N 5 m N 9 v J j D f S g 0 / 3 9 j 6 l V M l m A + F k 5 r 3 x 9 f S t e R f t b l S w r i P C j t Y G 7 t 0 f P 9 w U C 3 g K 1 r 5 6 y z c j 3 H P L N y P M s 1 H a I h x z y 5 4 i H L O x p z 6 b b K B 6 h D N u P b 0 R 1 r j l q 5 4 + f e 9 X I 3 x y S 4 X 6 3 l 1 F u O O W G n W 3 o 1 H T L 4 4 / x 6 r / q 7 N b e K 9 Q d z e v U L k + Q n 1 6 i x W q o I N h f W o 6 O N j b 2 f 1 0 Z / / e w W 1 z q v b N B w 8 p M X p v l x y z + / u 3 0 6 b m T X I H 6 M 2 9 h / d 2 N q 8 g e M L h X t 0 n 5 b a z S 1 7 I w 0 3 q 3 5 M T 8 + o u a X 7 4 r w / u j R 8 8 v J 0 + t a 8 + o C W 8 T / f A V A 8 2 M Z U n N O + L s K 9 P 9 d 3 b 6 V P T E W V V 9 h / s 0 X r h w 1 v 6 q w 7 F W 7 4 a 4 Z 6 N E h P h m V v 2 F O G Z j T 1 F G O W W P f X 5 5 H b 6 9 L 2 n N 8 I a t 3 z V 1 6 f v + 2 q E T 2 6 r T 9 + 3 q / f l D t d 8 z + i 6 1 8 c v T s 6 + f J G S i 4 q F q l P 6 6 / h 2 C u / m V S r X S 6 h R b 7 F K F X Q w r F F N B 5 Q + e L i 7 e 9 O a n i c c 5 s U H D + / t P 3 z 4 6 X i T w + B J h n l t E 5 U 9 w T D N y Z W 9 T 8 q M u t m E n i c X 5 k X K c V B u b X e 8 v 0 m g P B E x 7 9 3 f P X h 4 Q I J 4 8 O n t N O f 7 I e r r T X 3 z d n r T d H O 7 X i K M d E v 8 I h x y W 6 3 5 f i i + J 2 v 4 S v P 9 O u r z x u 1 0 5 n s S L s I S t 3 r R 1 5 f v 9 2 K E O 2 6 r L d + v o / f l C d f 8 n t F i x 9 / 5 i j T k a y z m f / X q y / Q n z 5 7 e U l X u 3 6 w q b S e h q t x / z w 6 G V a X p Y H f 3 4 c O H C F X H n 2 5 S K p 5 I m D c P 7 u 2 R M 3 e w v z k J 4 I m E e f G W 2 t I 0 3 7 7 3 6 Y P 9 B w / I P d 6 / p b o 0 b z 7 c p / W 1 A y x 1 b d J 7 n n h Y o t C i 0 w O y H w / G n 2 4 K + 0 U 8 v g 6 y v s r U V 2 + n M k 0 / t + w m w l G 3 x T D C K 7 d V m u + J 5 H u y i K 8 1 3 7 O n P o / c T m 2 + L + 0 i j H G 7 N 3 3 F + Z 5 v R p j k t p r z P X t 6 X 8 5 w z f e t 6 n z 5 / O z k m D 3 N Y 1 r G J 3 / t d o r t 5 k U n 1 0 e o O W + x 6 B R 0 M K w 5 T Q e 7 D / c e 7 N y / N 9 7 f 5 C x 6 U m H f o 0 D 2 / v 7 9 8 b 2 9 2 6 l N 8 9 4 t 1 a Z p T k n 7 + 6 S f N + d Z P Y E w 7 + 2 R M d g f b 2 I A T z D M S 5 8 + 3 K c 1 u M 2 p B E 8 o 3 g t H X 1 f q i 7 f T l R a 5 2 3 Q S 4 a D b Y R f h j N v q y f d C 8 D 0 5 w t e S 7 9 V P n y V u p y P f j 2 o R Z r j N e 7 5 + f K / 3 I m x x W + 3 4 X v 2 8 L z e 4 5 v e N 3 n r 6 + u T N l + n L 4 8 + / p C j 8 6 e m T s 9 u s y E N 3 f X q z c r S d h M r x 0 / f s Y F g 5 m g 7 2 7 9 2 / / / D e p 7 d 2 K s 1 7 e 7 Q Y f 3 B w M H 5 4 S + V o 3 r u l c j T N t y k g v k f L W J v X Q j 1 R M C 9 S o p a V v r E n N y l I 8 9 6 9 + 7 T E t r M z 3 u Q q e z L x f n j 6 G l L f v J 2 G t K O 6 V S 8 R P r o l f h E G u a 2 O f D 8 U 3 5 M z f C X 5 f h 3 1 W e N 2 W v I 9 C R d h i V u 9 6 O v J 9 3 s x w h 2 3 V Z T v 1 9 H 7 8 o R r / q l R Y i 9 P X 7 x m F / L 5 2 R e n L 9 6 c 3 T p X + e B m T W k 7 C T W l q r N b d z C s K U 0 H + 3 u f Y j 3 8 / u Y V Z k 8 i 3 u 9 F T y L M i 9 u 7 t O 7 z 8 M G n m / P y n m i 8 3 4 u e a J g X 7 9 H K P c U W B 2 N D v 5 v U p n 0 R r P R g 7 / 7 Y Z D 5 u U p z v h 6 q v O P X N 2 y l O 0 8 1 G j o 1 w 0 8 b 2 E e a 4 r Z a 8 V f s I K 9 x W O d 6 q f X / i b 6 c T 3 3 P O I r N 9 q x d 9 n f h + L 7 7 n x P s 6 8 f 0 6 e l 8 O c M 0 f G H V l F s R P v 3 j 5 P H 3 9 / L a + 4 8 H N G t F 2 E W p E 9 W h u 3 c G w R j Q d b B q y x / O m + f 7 9 H U p b 3 H s 4 3 t + k I z z m N y 9 u k 0 b a u f c p q a V N E b w n B f b F v Y c P a H G T g o G N C y q e P J g 3 7 9 3 / 9 N N P d / d o E X u j Q v O E w 7 z 5 8 M H + 7 q e 0 j r N Z h X q y 8 Z 7 I + q r Q v U r J 0 w d E o d 3 x w S Y S + Z r R v n u 7 a f G V 5 P t N q K 8 u 3 / P N C B P d V n G + Z 0 8 R 5 r m t C n 3 v S Y g w z d 7 9 h 3 v 7 h O b e 7 V W q 6 / Z 2 7 / p a 9 T Z D 9 J X p e 6 L p 6 9 V b d R X h k F t 2 5 S F 5 0 N W s X x x / / h 6 K 9 e H N i t X 2 E C r W h + / Z w b B i N R 3 s 7 + 4 Q M z 0 Y 3 9 8 U X H v C Y d / 7 9 N O H 9 z c p D 0 9 A z D v 3 H + C h i P f T T Z 1 5 8 m F f 3 N / d 3 3 3 w 6 c P x p j y L J y f m v b 3 7 l L n c o f h 8 / G B T j 5 6 U m D c J S 0 p e P q T U z q Y X P R l 5 L 1 R 9 x W p e J E / n 4 M H O / s O H 9 8 Y b w 7 8 I G 9 7 7 9 B 4 l V n Y 3 z 6 G v V W 2 f t 3 s z w j Y b N V a E X W 7 X U Y R n N n Y U Y Z X b d R T h l d v S P 8 I s u w d 7 B / u f P v i U 1 k t v q V F d p 7 d 6 1 V e o t y G M r 1 D f D 0 l f n 9 6 q p w h v 3 K 4 n D 8 W H X X X 6 5 Z t X x 6 9 v r 1 A h T j c p V N t H o F B 3 d W y 3 7 m B Y o Z o O N l H L E 4 z b N P f E 4 T b N P W m 4 T X N P B k z z T w / 2 a M 1 m 5 9 7 4 3 i b t 5 U m A e Z H S O w / 3 D s a f b n r N Y / / b o O f r S N N + + 9 O D n f u 7 9 x 7 s j z c a 6 g h r b e w p w i Y b 2 9 8 8 6 4 P 6 8 F b w 3 3 P e f T V 4 q / a R m b 8 l Z S N T f 7 s X I 5 N / u y 5 9 1 X e b w f m q 7 7 1 Q 9 D X f r T q K c M G t O n I I Y m y i l E 4 o Y 6 n K 7 + z F M Q f q t 1 N M u z d q P t d J q P l U V G / d w a D m s x 3 s U k C 5 t 3 t / d / f + Z q / J i c N 7 v + o k w 7 5 6 O 4 1 o m q P Z T e r w 5 r Z O D G 5 u 6 z j / 5 r a e z r t F 4 w g j 3 V L N 3 a 5 9 Z I o 3 t o / M 6 y 3 V 3 O 3 a 9 2 f z t m r u F s R 8 n y n 1 t N n N j T 0 F d o v G / T n d 0 L g / o R s a 9 2 d z w w B d 2 1 2 j P V 4 f v z j h h R X W T q f H T 7 9 8 f T s N s n e z i r K d h C p K N c G t O x h W U a a D 3 Q c P d 3 c f P h j v b 8 q a e H x s 3 q O V 6 w f 3 y a H d u 6 V y M u 9 t U y h I y x x k E B 7 e T k 3 p i 8 N T 4 z H 1 j W 0 9 n r 6 x r c f S N 7 b 1 1 d T N j S P M d D u y + A r L T e B t X o z O / G 1 e j E z 9 b V X Y + 3 X U n / J b 6 7 K b K f 4 + 8 + 7 r s h s b + 7 r s 5 s b 9 i d / Q u D / X G x r 3 5 3 f D A F 3 b P a N m j l 8 + P z s 5 P j n 7 R / 9 U 0 m e v 3 q S 7 O 0 r 8 m 1 T N v Z t 1 m e 0 k 1 G W q c G 7 d w b A u M x 1 s 4 h e P j 0 3 z 3 U 8 f H D z c v b 8 5 E + b x s 3 l v + 1 Y v e v y s L w 7 P i M f L N 7 b 1 W P n G t h 4 n 3 9 j W V 2 E 3 N 4 7 w 0 O 3 I 4 q u w 9 5 o I X 4 W 9 3 4 u R q b + t C n u / j v p T f m s V d j P F 3 2 f e f R V 2 Y 2 N f h d 3 c u D / x G x r 3 5 3 p D 4 / 7 8 b h i g a 3 v P a J e n p 0 + / O m G H 7 O l p + v L 4 8 1 t m y v Z v V m C 2 i 1 C B 7 b 9 n B 8 M K z H R w S w V m m u / R K s 0 B J d b 3 N x l W j 5 v N e 9 u 3 e t H j Z n 1 x e D 4 8 T r 6 x r c f I N 7 b 1 + P j G t r 4 C u 7 l x h I N u R x Z f g b 3 X R P g K 7 P 1 e j E z 9 b R X Y + 3 X U n / J b K 7 C b K f 4 + 8 + 4 r s B s b + w r s 5 s b 9 i d / Q u D / X G x r 3 5 3 f D A F 3 b f a N d k O 4 6 e 3 F y + u L N 2 U 9 + + T p 9 d v b 6 5 H Y a 5 v 7 N K s x 2 E q o w X d e 5 d Q f D K s x 0 c E s V Z p r f p 7 X I g 5 2 D 8 b 1 b + m D m v e 1 b v e j x s 7 4 4 P C M e L 9 / Y 1 m P l G 9 t 6 n H x j W 1 + F 3 d w 4 w k O 3 I 4 u v w t 5 r I n w V 9 n 4 v R q b + t i r s / T r q T / m t V d j N F H + f e f d V 2 I 2 N f R V 2 c + P + x G 9 o 3 J / r D Y 3 7 8 7 t h g K 7 t f V + F n R y / p E D y z f F 7 K L B P b 1 Z g t o t Q g X 3 6 n h 0 M K z D T w b 3 9 e w / v 7 X 2 6 e c H P Y 2 f z H i 2 W 0 0 r H z v j T T S s d H l u b 9 y j J v 7 / 7 8 P 7 4 0 / 3 b K T J 9 b 3 h e P I 6 + s a 3 H 0 D e 2 9 f j 5 x r a + I r u 5 c Y S T b k U V X 4 + Z F 7 d v 9 2 Z k 4 j e q i c i E 3 6 6 j y I x v 7 K g / 0 7 f s 6 H 2 m 3 V d k N z d + n 4 n 3 F d n N j f s T v 6 F x f 7 I 3 N O 7 P 7 4 Y B u r a f G i 1 D 2 b B T y u 4 f v 0 5 f n 7 1 I P / / y 5 P R 2 i u b B z Z r M 9 h F q M l U b t + 5 g W J O Z D m 7 p i p n m B / c f 7 u + O 7 9 8 y l j R v b d / i N f B 0 + N r w Z H h s f G N b j 4 t v b O s x 8 Y 1 t f e 1 1 c + M I + 9 y G K L 7 y e o 8 p 8 D X X + 7 w W m f D b O m D v 0 0 1 / q m / t f t 1 M 6 f e Z b 1 9 r 3 d j Y 1 1 o 3 N + 5 P + I b G / V n e 0 L g / t x s G 6 N o + M B q F s / j p 8 X e + e v 3 m N H 1 9 + v l X r 2 6 Z B D u 4 W W 3 Z T k K 1 d f C e H Q y r L d P B L d W W a X 7 / 0 5 1 P d w 9 2 d s a 7 m x j T Y 2 f z 4 v b t 3 v Q 4 W t 8 c n h O P m 2 9 s 6 z H z j W 0 9 X r 6 x r a + 8 b m 4 c 4 a J b 0 s X X X + 8 3 F 7 4 K e 8 8 3 I / N / W y 3 2 n j 3 1 p / 3 W i u x m q r / P 3 P u K 7 M b G v i K 7 u X F / 8 j c 0 7 k / 3 h s b 9 G d 4 w Q N f 2 w O i Y 0 9 / 7 z a v j n z z 7 E q n 8 4 1 d f H N 9 O y T y 8 W Y v Z H k I t p q x w 6 w 6 G t Z j p 4 J Z a z D T f J e B m y T X 6 j s f J 5 p 3 t G 1 / y m F h f G p 4 G j 4 F v b O v x 7 4 1 t P f a 9 s a 2 v u 2 5 u H G G c m 0 n i q 6 1 b E 9 / X W L d / K T L N t 1 V W t + + k P 8 W 3 1 l M 3 U / h 9 5 t n X U z c 2 9 v X U z Y 3 7 E 7 2 h c X 9 + N z T u z + u G A b q 2 D 4 0 W o X w X w k R a c 7 y f H j 9 P v z h 7 / v x m X b W / u 0 O 6 5 G Z d Z X u x u s q 8 + V 4 d D O s q 0 w H Z w / 1 7 n 4 4 f H N x O Z 3 V e O 1 C E o q 9 5 P G 1 e 2 9 4 Z 7 9 y 7 n d I y r 2 z i a I + h T f M 9 W u 2 6 d + 9 g v L / h N Y + 1 3 + c 1 j 8 l v g 5 y v 0 L T 9 7 R T a b Y n l q z O L 0 A 2 v R D j g p l c i s 3 9 b V X b b L t 5 z 2 n 1 F d j N l I 7 O 9 E f h 7 T r O v z m 7 V P j L T G 9 v H Z n l T + 9 g U b x q v b X 5 v p 6 / a 9 t 5 T t e 3 d q N p c L 6 F q 0 5 W d W 3 c w q N p s B 7 T o v f f p 3 m 1 V m 3 3 t / s 7 O w 7 0 H 4 1 1 F 6 A b V Z l / b 3 t 3 / 9 N P 9 8 b 1 N G s T x u X 3 t d u r N N i e 1 S 4 m Y v c 3 y 5 D j + / d 5 z n H 8 r 9 D w F Z 9 r f S s G 9 F 8 k 8 J e c G c 4 v X I v x w m 9 c i / H B L Z f d e 3 b w n I 3 g K 7 x a U j k z / R u D v O e 2 e w r t d + 8 j M b 2 w f m f G N 7 S N T v X G 8 r v m u p / D S k y 9 f U O D 5 / M t X Z 7 f U d f s 3 6 z r b Q a j r l D d u 3 c G w r j M d 7 O 5 9 + u n 9 g 0 / H 9 z d p L Y + 5 z X v 4 d W d / f H 8 T t 3 o 8 b l 7 b 3 r 1 H 3 W 2 i s s f h 7 q V d C q Q / 3 R 0 / P L i d 0 j M v 7 n 9 6 7 8 H B f V q W f X A 7 p W f e u / / g / o O H u w f j e / d v p / T e D 1 F f / e m b t 1 N / p p u H B / f 2 D 2 7 q J M J M 2 7 d 6 M c I k G 6 U i w h y 3 6 i f C H R v 7 i T D G r f r p 8 8 X t V O B 7 T m q E H W 7 1 o q 8 V 3 + / F C G f c V j 2 + X 0 f v y x G u + Z 6 n J 7 9 m z H v / Z m V p e w m V p Q r v r T s Y V p a m g 4 c H O / f J M f z 0 d q r y P d 7 y Z M G 8 d U s d q c 2 H W d p j / x v b e t x / Y 1 u P 3 2 9 s 6 2 u 8 m x t H + G c j u 0 U 4 Y W P 7 y M T e V s H d q v 1 7 T q a v 2 G 7 V / n 1 m 1 F d o N z d + n z n 1 9 d b N j f t z u q G x n d D b N O 7 P 5 o Y B u r b 3 + p r p f U P W T 2 / W T L a X U D O p K r h 1 B 8 O a y X S w v / s p / f F g b B J 9 0 e F 7 j P x e 7 3 k M b d 6 7 p X b S 5 s M z 4 v H y j W 0 9 V r 6 x r c f J N 7 b 1 t d P N j S M 8 d F v t d K v 2 k c m 9 r X a 6 V f v 3 n E x f O 9 2 q / f v M q K + d b m 7 8 P n P q a 6 e b G / f n d E P j / o R u a N y f z Q 0 D d G 3 3 + 9 r p 7 O T s 5 G a 1 s X e r V Q I H 3 + k l f f O 9 O h j W S 6 a D 3 f v 3 7 + 3 d G + 8 / v J 1 a c q 8 9 e P B w f 3 P 8 5 T G y e W 1 7 b / / B z v h A 1 W v 0 L Y + d z V u b 2 N n j Z t P 8 3 n 3 6 f X e 8 v 7 / h N Y + v 3 + c 1 j 8 N v g 5 y v u L T 9 7 R T X e 9 D L 1 1 / m t V u 8 F W G F W 7 w V 4 Y T b 6 r L 3 6 O U 9 W c D X a D d T O T L z G 4 G / 5 5 T 7 e u 1 W 7 S O z v r F 9 Z L o 3 t o 9 M 9 M b x u u b 3 P R 2 X f v X i j D R M + v u Y Z N r t F N H e z Z r O 9 h J q u r 3 3 7 G B Y 0 5 k O H u w c U P b 2 4 N 7 t F J 1 9 6 9 4 + Q k N F 5 y Y 9 Z 9 7 a 3 v t 0 9 9 5 t F 0 T d W 7 v 3 x 3 v 7 t 1 N 2 5 p 3 7 O 5 8 + 3 H 2 w O T v o s b z / 2 j 1 a Q d k k h x 7 n 3 x p D X + P p S 7 f T e I 5 y 9 x 8 + G D / Y Z I 5 8 j W d e u 8 V b E Z a 4 x V s R l r i t x n u P X i L M c F u N d z O V I 9 N / 8 z x G J v + m d 3 z V d + t 3 I i x w W / V 3 6 z 4 i M 3 9 L F f i p p w L V z T s 5 P f n y 5 e 2 U 0 7 2 b t Z / t I N R + q j h u 3 c G w 9 j M d P N h 7 s L s z 3 t 8 k 7 x 6 r 2 7 f u 7 9 2 / P 3 5 4 S y / P v E U y / O n B + M E m l e Q x v H v r 3 n h v k 8 b 0 m N 6 8 c 4 8 o s f N w / P C W y w f + a / e o t 9 s p v 1 s j 6 C s / f e l 2 y s 8 j 3 P 7 9 z b 6 4 r / z M a 7 d 4 K 8 I R t 3 g r w h G 3 V X 7 v 0 U u E F 2 6 r / G 6 m c m T 2 b 5 7 H y O T f 9 I 6 v / G 7 9 T o Q F b q v 8 b t 1 H Z O Z v q f w e 9 J X f s 7 P T 2 2 m m / Z t V n w U f q j 7 V 5 L f u Y F j 1 m Q 4 + f b D 3 8 N 5 4 V w H f p P r s W w 8 P P t 0 Z f 7 q J c z 1 2 N 2 / B f d n f b O w 9 d n d v P b i 1 4 2 f e 2 d v Z 3 X n 4 c L z 3 6 e 1 U n / c a r S i P N 2 l 0 j / t v j a C v + v S l 2 6 k + j 3 C f k h u 7 C S 9 f 9 d n h 3 P x W h C N u 8 V a E I 2 6 r + t 6 j l w g v 3 F b 1 3 U z l y O z f P I + R y b / p H V / 1 3 f q d C A v c V v X d u o / I z N 9 S 9 R 1 4 q i 8 9 + + L l m y / T 0 9 d v j t / Q + s P p d 2 6 n o D 6 9 W Q P a X k I N q B J 9 6 w 6 G N a D p Y G / 3 / v 7 B w d 7 4 l r G v e e 3 + / Q e 0 Z k N U v q X / Z 9 7 b 3 j + 4 f 7 D / Y H d 8 c H A 7 P W h f 3 N 2 / d 3 + H 1 N P D W / q B 5 s X d v b 0 H 9 + 4 / 3 J y P 9 O T B E u b T T / f u H X w 6 3 t u E q C c S 7 4 e o r x T 1 z d s p R d v N v f 2 9 e / v 7 + 5 s 9 c F 8 v m j d v 9 2 K E V W 7 3 Y o R Z b q s d 3 6 + j C J P c V k H e T P E I Q 9 x y Y i M s c a s X f V X 5 f i 9 G u O O 2 + v L 9 O o r w x E a K u + Y P o 0 o z f f 3 8 6 Z e 3 0 2 g P b l a Z t o 9 Q Z W r 8 d + s O h l W m 6 W D / I b 1 0 n / I 2 C v o m n W n e 2 0 Q r T w p M 8 2 1 a d d j d f 7 B J B j w R s G 8 d 7 F P 2 D v m 7 T d h 5 s m B e v H + w 9 2 D n / u 7 4 3 i Y W 8 M T C v L d 7 j 9 K F u + N P u 2 r S f 8 2 T i f f D 0 1 e T 9 s 3 d / V 1 a k b u / N 9 7 f F K X 7 S v O 9 Z s 7 X m b b P 2 7 0 Z Y Z a N A h J h k t t 1 F G G X j R 1 F G O V 2 H U U Y 5 b b 0 j / D K / U 8 f U o z x c P z p R s U e 4 5 Z b v e m r 0 N u Q x d e c 7 4 W i r 0 J v 1 V G E M W 7 V k U N w f 8 d T o a c v s O j y k 6 e v X t 9 2 t e X g R v 3 p O g j 1 p 8 r 1 r T s Y 1 J + 2 g 0 2 U c h J x q + Z O D m z z 7 d 2 d + 5 v z H k 4 Y 3 u M l J w i 3 Q s w x v 2 1 + Y x e O 7 9 8 D L 0 9 D m r f Q 7 k a d e K t R e K r w d u 3 f c 7 Y 9 B X i 7 9 p H 5 v q X e u 1 3 7 / i x v I G Z k j m 8 x X 5 F Z v v E l T 7 G 9 x 0 v v O d m e U n u P T t 5 3 x l 3 z 3 U C h c Q 7 x 7 O T s 5 H b q 5 u H N + s z C D / X Z w / f s Y F i f m Q 7 2 y I 3 Z v X 9 v c 0 j r c f p 7 v e d x v H l v E 3 0 9 h t f m w w z s M f u N b T 1 e v 7 G t x + E 3 t v X V 1 8 2 N I 9 x z W / V 1 q / a R y b 2 t + r p V + / e c T F 9 9 3 a r 9 + 8 y o r 7 5 u b v w + c + p r q 5 s b 9 + d 0 Q + P + h G 5 o 3 J / N D Q N 0 b f c 8 v Q Q 3 i 7 R C + v u k J 1 + + e P P q l t 4 W m P o m 7 W R 7 C b T T r k 7 v r T s Y 1 k 6 m g 0 / 3 D h 7 s 7 I 3 N u n F 0 9 B 4 f v 8 9 r H j u b 1 2 6 p m 7 T 5 8 H x 4 n H x j W 4 + R b 2 z r 8 f G N b X 3 d d H P j C A f d V j f d q n 1 k a m + r m 2 7 V / j 0 n 0 9 d N t 2 r / P j P q 6 6 a b G 7 / P n P q 6 6 e b G / T n d 0 L g / o R s a 9 2 d z w w B d 2 3 u e b l K f 6 e T 0 5 M u X t 9 M a u z e r J d t B q J Z 2 3 7 O D Y b V k O v j 0 3 v 1 P 7 z 0 Y H 3 x 6 O 7 X 0 P q 9 5 n G x e u 6 V a 0 u b D U + E x 8 Y 1 t P R 6 + s a 3 H w j e 2 9 d X S z Y 0 j z H N b t X S r 9 p G p v a 1 a u l X 7 9 5 x M X y 3 d q v 3 7 z K i v l m 5 u / D 5 z 6 q u l m x v 3 5 3 R D 4 / 6 E b m j c n 8 0 N A 3 R t 9 / t q 6 d n Z 6 e 1 0 x t 7 N S s m C D 5 X S 3 n t 2 M K y U T A e f k t N D A d m D / d s p p f d 5 z e N j 8 9 o t l Z I 2 H 5 4 I j 4 V v b O t x 8 I 1 t P Q a + s a 2 v l G 5 u H G G d 2 y q l W 7 W P T O 1 t l d K t 2 r / n Z P p K 6 V b t 3 2 d G f a V 0 c + P 3 m V N f K d 3 c u D + n G x r 3 J 3 R D 4 / 5 s b h i g a 3 v f U 0 r p 6 2 N R S 5 / T y u N t 3 a V 7 N 2 s m 2 0 e o m e 6 9 Z w f D m s l 0 s I l d P O 4 1 z X c f P o R G w q Q M v u Y x s X l t + z b v e c y s 7 w 1 P h 8 f I N 7 b 1 + P j G t h 4 b 3 9 j W V 0 0 3 N 4 4 w 0 K 2 o 4 u u o 9 5 k F X 1 e 9 1 3 u R W b + t z n q v f v r T f W v d d T O 1 3 2 f O f d 1 1 Y 2 N f d 9 3 c u D / p G x r 3 J 3 p D 4 / 7 s b h i g a / u p 0 S t P 8 8 u q X E + L a p k 3 6 S x P y y x 9 f p N y O b h Z b 1 n 4 7 p V b w h x W V Q b m / f 2 d 3 f 1 7 e w / G 9 + 7 f T m n Z F + / v P 9 y 7 / + n u + P 6 n t 1 N b 5 s X t B 7 s 7 n + 7 v 7 o 4 f q u K N v u g x s n 3 x / q d 7 B 7 s P a B F c f c m b l J h 5 k R y + h w / 2 H u 6 M N y 2 e e 8 x t 3 3 u 4 9 2 B v n 4 a 4 u + l F j 9 H f D 1 N f 1 b k 3 a Y 1 h Z + f B e G / T d P h 6 z 7 6 5 u / / g Y O / e / u 0 V n 3 n z d i 9 G e O d 2 L 0 Z 4 5 7 a q 7 / 0 6 i r D M b X X f e 5 I / w i v b + w / u 7 z 7 Y G e 9 v Y h V f K Z o X b / O e r x / f 6 7 0 I n 2 w i i a 8 t 3 6 u f C H N s J L 1 r / s D q z t O f T J + f / j 7 p 0 9 P 0 7 M X n r 0 5 f f / n 6 R j W 3 S 0 t / O z a N N a x A b S f G 8 b N v v l c H w 9 r U d L D / Y O 9 g 5 + H u Z m p 5 A m H e u 7 / 3 8 N N P H 5 A u v Z 0 q N a / t 7 t 1 / 8 O n 9 n f H D T d 1 5 Y m H f O 9 j 7 d O / e J m H y Z M O O b W 9 v d 8 / k F m 9 S o e a l v X s P 9 x 8 e b O I F T y R u j 5 6 v O v W t D Z Y 6 w m 6 k o Q / u H + x s X j H x l a W d q d u 8 F + G M W 7 0 X 4 Y z b q s r 3 6 i f C E r f V l D d T O 8 I F t 5 j Q C B t s 3 / y a r x h v M x J f I d 4 e O V 8 t 3 q q X y P z f 3 I u H 2 k F c K a a v n 3 5 5 O 5 V 1 i z S d 7 S P U i T e m 6 T o d D O t E 0 8 E t g + H b N P f 4 3 T S / n c X 2 G P 7 9 X v Q 4 / z Y I e r x / m + Y e 0 7 8 f W r 7 + e 8 8 3 I 2 y 2 U f Y j L L O x / X t y g K / z b t U + w g M b 2 0 e m / r a 6 7 j 0 p + 5 6 T 7 6 u 8 2 7 T 3 d d 2 t 2 r / n T P t a 7 l b t 3 3 e m X f O H H f 0 G 3 f b V i 7 O T 4 / Q n T 3 / q d g r o F u k + 2 0 u o 4 W 5 M 9 3 U 6 G N Z w p o O H u 5 / e H C Z 6 f G 7 e e 3 D / 4 O G 9 3 b 0 x O G H w P Y / f z X v b n z 7 Y Y b f v l g G 0 f W 9 v b / / e g 4 c P x w 9 v 6 f q Z F 4 k k B 3 v 3 9 + + N D z a N 0 O N / 8 + L e z v 7 e p / f o x Q c H t 1 O D 7 4 e q r w b 1 T b S 7 W f P Z g d 1 / c G 9 3 / 2 D 8 c B N 6 v g q 0 + N 3 u z Q i z 3 F Y Z v h + K E S 6 5 r V Z 8 v 4 7 6 3 L G B 4 h G O u O X E R l j i V i / 6 S v L 9 X o x w x 2 2 1 5 f t 1 9 L 4 8 Y Z v f 3 / H V 5 s n z 4 1 d n z 0 h n P j 2 + Z a C 8 f 6 P K d D 2 E K n P / P T s Y V J m 2 A 8 o 6 7 t 1 7 8 G B / / G A T r Z w 4 u B f 3 P i X d R 6 m 1 j a r I i Y N 9 c Z s U 2 A 7 9 t z k n 5 + T C v U g x 9 s 4 N a U 4 n F f a 1 T + 8 9 v H f / 3 v 3 x w S Y l 7 Q T E v b d / f 3 f 3 H u V j N x k F J x 7 v h a a n L 8 1 7 t 9 K X H h H 3 D y j D c W + 8 u 7 G b C E f d 7 s U I p 9 z u x Q i n b B S q C I P c r q M I g 2 z s q M 8 Z t 9 K X 7 z e t E X a 4 x W u e r n y v 1 y J 8 c U t N + V 7 d R H j h l n p y 1 2 i x L 9 s 6 a 9 K T d b 5 s 6 e e q q t O X 2 U 2 q 7 O H N W t L C d 6 / c E u a w Y j Q w S Z H e 3 y f / 7 u D h / m b 6 e B x v 3 n 3 4 c O f B / Q f 3 H 9 4 n l 3 K T k v O Y 3 7 y 6 T f 3 u 7 e 1 8 + v D g w W Z f z e N / 9 + 7 u / s N 7 O 7 v 0 / / H e p n 4 9 W T D v H u z u f 3 r v w e 7 u p w / H n 9 7 O t 7 S v f n r w Y J c W d g 5 2 9 s Y P N x H K E 4 7 3 x t h X m P b l v X 0 y X Q / v U c p 2 s w f u K 1 A 7 v f s P d i g j u r 8 3 3 t + / p Q Z 1 S N / y 3 Q h X b R S c C C f d t q s I J 2 3 s K s I 9 t + 0 q w j y 3 n 4 k I + + z u P d j f f 7 h 7 7 9 N P N / s g v n J 1 U 3 H L l 3 0 V e x s C + b r 1 f R H 1 9 e y t + o p p n 1 v 2 5 a G 5 Z 5 T h q 9 M 3 6 c v j V 2 / S L x D K n 7 0 8 u 3 k B 5 + E + / M b d m z W u 7 c T 4 p f b N 9 + p g W P 2 a D n a h P + F f 3 h t v T N Z 6 M m N f / f T h / X v k n O 5 S 9 v 2 W 2 t e 8 u r 3 7 6 b 2 D / X u k f 8 e b N J k n P f b N f X o O 7 p H 6 P H h 4 O 8 1 r 0 a U O C d + H n 9 4 b f 7 r 3 + F a a 1 7 0 K v X v / 3 r 1 7 4 / u b i O R J z n v i 6 + t d f R X t b t a z j q K k 3 B + i p x s Y O c J k t 3 0 1 x j 6 3 f D X C P r d 1 V 9 + 3 q w j T 3 N Z h v Z n y E e a 4 7 Q x H m O N 2 b / o 6 9 T 3 f j D D K b T 3 X 9 + w p w h u 3 d F 7 v G V V 3 8 u W L k 9 M X b 1 L o 1 S 9 u r 0 3 3 b t a m t o t Q m 6 r S u n U H w 9 r U d L B H W m L v 3 t 5 9 U o n 7 m + y z J w 7 v + 6 o n G e b V T Y T 2 p O E 2 z T 1 h M M 3 J N p L i f H i w N 9 7 k J n u C 8 X 4 v e m J x G w R 9 R a n t b 6 c o b w U 8 w j M b 2 0 d Y 4 L a e 5 6 3 a v + d k + 7 r v V u 3 7 0 3 0 7 3 X c r 4 O 8 5 s 7 6 a u 1 X 7 9 5 x c X 7 n d q v 3 7 T q 5 r v m / 0 z b e / f P 0 y / f z V 8 f P 0 i y 9 P 3 p z + 1 F d f H N 9 O 5 + z f r N R s J 6 F S 2 3 / P D o a V m u n g 3 s H B f U r d j u 9 t E m O P s 9 / r P Y / D z X u 3 V G f a f J h h P e a + s a 3 H 2 z e 2 9 f j 6 x r a + u r q 5 c Y S F b q u u b t U + M r m 3 V V e 3 a v + e k + m r q 1 u 1 f 5 8 Z 9 d X V z Y 3 f Z 0 5 9 R X V z 4 / 6 c b m j c n 9 A N j f u z u W G A r u 1 9 o z e e H L / 4 8 s m r 4 9 f b z 4 7 P X t 9 K a 2 A C b l J L F n y g l s x K 8 a 0 7 G F Z L p g N K G U K R j T e 5 p R 4 D v 8 9 r H h + b 1 2 6 p l L T 5 8 E R 4 L H x j W 4 + D b 2 z r M f C N b X 2 l d H P j C O v c V i n d q n 1 k a m + r l G 7 V / j 0 n 0 1 d K t 2 r / P j P q K 6 W b G 7 / P n P p K 6 e b G / T n d 0 L g / o R s a 9 2 d z w w B d 2 0 + N 1 q A g 8 P j z r 4 7 T Z 1 + + e n N M i b X b q Y 2 D m / W S 7 S H U S + q b 3 L q D Y b 1 k O t j / 9 P 7 u w w e b W M b j 4 N u / 5 L G x e e m W O k m b D 8 + D x 8 E 3 t v U Y + M a 2 H v / e 2 N b X S T c 3 j n D O b X X S r d p H p v W 2 O u l W 7 d 9 z M n 2 d d K v 2 7 z O j v k 6 6 u f H 7 z K m v k 2 5 u 3 J / T D Y 3 7 E 7 q h c X 8 2 N w z Q t X 1 g N I Z L 9 C M r l b 5 + + u W t l A a G f 5 N W s n 0 E W m l P J / f W H Q x r J d P B L f X R b Z p 7 z G u a U / Z 5 Z 3 + P k o R Q + o M v e l z 8 f i 9 6 7 G x e 3 N u h l b B P 7 z 0 c m 4 D 3 J m 1 l X t z d 2 z 3 4 9 G C P F h 4 2 9 e i x + f u h 6 u s x + + b D 3 f v 3 y e 0 c P 9 y E q 6 / U b j M N v l K 7 V f v 3 5 A p f q d 2 q f Y Q v b q v U b t U + w g W 3 p G y E D Q 5 2 8 N 7 e + N 5 t c / a 2 y 1 u 9 6 a u + 2 w z O 1 3 7 v h a K v C W / V U Y Q L b t W R h + C B r x h f f P n F 2 Q v y 1 8 5 e n x w / P / u p G x X X w 5 3 b r Y D a T q x m N G + + V w f D m t F 0 s L u 3 f / D g 4 O H D z T z k C Y N 9 c Z c W B W k B e f x g k 0 L w p M K 8 u G l + P K E w z b c / P X j 4 4 M H e e H f T 9 H j C Y d 6 j p Y Q H O w 8 + H d + 7 p Y a 0 7 z 1 4 + O n B / s E Y W c / B 9 z z J e C 8 8 f f 2 o L 2 4 w x h G m u 1 U n E T 6 6 H X Y R / r i t j n w v B N + T K 3 x d + V 7 9 9 N l i A 7 U j v H A 7 q k W Y 4 T b v + U r y v d 6 L s M V G n R d h h 1 v 1 8 7 7 c 4 J o / N N r r 2 Z c v n n 6 Z v v j q 9 C e / T E l B f f n q + H Y K 7 P 7 N G t L 2 E W p I V U a 3 7 m B Y Q 5 o O d j + 9 f 2 9 / d / d g / O m D 2 2 l I + + L u p z u f 7 t 4 b P z i 4 n Y I 0 7 7 G r h W w g L R 3 q I u 1 N y t K 9 u n f / w Y N 7 n z 4 g t a y 2 4 i Z 9 a b H d 3 7 n 3 K W G 8 u U 9 P S M y L 9 / b I h N w j Z t p E H k 9 G 3 h d X X 2 e 6 d + 9 9 e v / g / s 4 O 6 f d P N 7 0 b Y c r d + / c e 3 L u / s 7 9 5 S d 9 X o q 7 X 2 7 0 a Y a L b q t H 3 R D L C P b d V p O / Z U 4 R j b j 0 J E a b Z J Z d r 9 9 7 e w e Y 4 x F e t r t d b v e p r 1 9 u Q x t e q 7 4 e k r 1 9 v 1 V N M x 9 y q J 4 f i p z t G + x 2 / p F R h e v b 6 9 e s 3 p 6 T g 0 i 9 f f X 4 7 D X h w o 4 p 1 n Y Q q V t X Z r T s Y V L G 2 g / 3 d / X v 7 9 3 Y e 7 o 8 3 6 R 4 n J v b F e / c O H t D / 7 t 8 f 3 9 + k Q p y Y 2 D e 3 P 9 3 d 2 a V o e G + 8 t 0 k 9 O 4 F x b x L b f 0 q B 1 3 1 a R d m k 8 p z E O H Q f 0 u / 3 D z 7 9 d P x w k 8 A 4 e b F v 3 r 9 3 f 2 9 v d 3 / 3 w f j h 7 f z S 9 0 b X U 7 P m X b S 7 U a / a j h 7 c / 3 R n n y Z k / O k t 9 a p D 8 Z a v R j j n l n r 1 f Z G M M M w t 9 e r 7 9 t T n k g 1 U j z D G r a c 3 w h q 3 f N V T p e / 9 a o R P N u r G C H f c t q v 3 5 Q 7 X f D d U p i 9 P X 6 S / T / q d r 5 7 c X p k + v F m Z 2 k 5 C Z a r M c e s O h p W p 6 W D / / v 6 9 h w / I q o / 3 N x k T T z j s m / v 7 n x 5 8 + v D g 4 f j B J p 7 1 h M O 8 u f 3 p z o P 7 O / f 3 q c / b e a z u z Q c 7 + 6 S K H 9 4 f G 7 t y k z I 1 b 9 5 7 u H / / / r 2 H u 7 s b F 7 M 9 k b H D / P T + z i 6 7 L Q 8 3 d e k J z H s i 6 6 t S f f V 2 q t T 0 8 / D B L h P z 0 0 1 W w t e k F s H b v R n h m t s q 0 v d D M c I q t 9 W j 7 9 d R n z 9 u p 0 b f d 2 Y j T H G 7 N 3 0 l + p 5 v R h j k t j r 0 P X t 6 X 7 5 w z f e M d k N S 9 P 2 9 U U j M T Q r U d h E o 0 F 1 F 8 N Y d D C t Q 0 8 H u / q e f 7 l A k v D v e R C x P J u y L u w 9 3 a V n q / r 3 x v d 3 b 6 U / z 5 v Y u x Q I U 9 H 8 6 P t h k 4 z z x s G / u f 7 p D 6 V v y g D f G Y J 5 8 m D f 3 d u / R H / d p S Q c c M / i m J y z 2 z f v U 4 d 7 9 v f 3 x / U 0 U 8 m T l P b H 1 F a i + e j s F a j F 8 s E + 9 U B Z 3 f 5 N t 8 D W o x f C W r 0 b 4 5 r Y q 9 D 2 R j L D L b X X o e / b U Z 5 L b K d H 3 n d 0 I Y 9 z u T V + J v u e b E S a 5 r R J 9 z 5 7 e l z N c 8 3 u + E n 1 / L x S C c J M S t V 2 E S l T V 1 a 0 7 G F a i p g N a n 6 b w + g E 8 w v 3 b a V H 7 5 u 4 B P Q / 3 7 t 3 a C z V v b p P m P q A 0 w v j B p g n y 5 M O 9 + P D T h 6 Q P 7 4 3 3 N y l u T z 4 s s g 9 2 H + y Q H n 2 4 O T v s C Y t 9 8 + H u v Y e f 7 u z c 2 2 y T P V l 5 T 2 x 9 J a q v 3 k 6 J m n 5 2 D / b 2 7 h 3 Q P G x O S k W 4 a / u W r 0 b 4 5 r Z K 9 D 2 R j H D L b Z X o e / b U Z 5 L b K d H 3 n d 0 I Y 9 z u T V + J v u e b E S a 5 r R J 9 z 5 7 e l z N c 8 3 2 j 4 b q Z 0 S + + e n E 7 L b d 3 s x q 1 n Y R q V P 2 o W 3 c w r E Z N B / t 7 D w 8 o P 7 9 L y Y 9 N 9 P I E w 7 7 5 Y J e C + Y P 9 n f H e p j c 9 w T B v b u / f p w h 5 5 y G t g d 9 S j 9 o 3 7 x 3 Q 0 h o 8 y k 0 v e h J i X r x P P T 6 k x C g l g O / d T o 3 a N z / d I T W 6 D 4 b a Z C 0 8 a X k / Z H 0 t q m / e T o s 6 a u 4 e 7 J O 7 / H C 8 a W S + F r U z e K s X Y 0 x z q x c j P L N R x C K c c r u O I o y y s a M + f 9 x O g 7 7 n x E Z Y 4 l Y v + v r z / V 6 M c M d t 1 e f 7 d R T h i b C j Q e 1 5 3 y i 2 M I 6 / t e 7 c v 1 l 3 2 i 5 C 3 b n / n h 0 M 6 0 7 T w e 6 9 + 6 Q 5 d / c + H d 9 u 4 d 5 7 8 e D h 7 s G 9 h z t j k 5 6 9 S X W a N 2 l N + 8 G 9 v R 2 K j G 8 Z x t s X K T z b f / D p 7 u b M g S c Z F l d S f b s P C e H x / U 2 4 e m J i 3 7 w P 9 t h F X v 1 2 i v P 9 c P U V p 7 5 5 O 8 V p u 7 m 3 e / B g 7 1 N K p m z C z 1 e c 5 s 3 b v R j h m N u 9 G O G Y 2 y r O 9 + s o w i e 3 V Z w 3 U z z C E b e c 2 A h L 3 O p F X 3 G + 3 4 s R 7 r i t 4 n y / j i I 8 c U v F + a m v O F 3 s f m v F e f 9 m x W m 7 C B W n R i O 3 7 m B Y c Z o O 7 n 9 K D u c D s j R j V c o 3 K c 7 3 e 9 G T B / P i N j m 5 9 3 d 3 k O b f l I v 0 B O I 9 3 / R E w 7 y 5 R 9 E 3 x S I 7 + 5 u X g T w 5 M W / e e / D w g J T 8 / b 3 x p 7 f T n O + J r K 8 6 9 d X b q U 7 T z 0 a e j X D U x v Y R B r l t k H 6 r 9 h F 2 u G 1 o f q v 2 / a m / n V Z 8 3 0 m L z P f t 3 v T 1 4 n u + + Z 5 z 7 y v G 9 + z p f b n A N X / g a 8 a z L 1 6 + O v 3 J 9 M 3 p q 5 P T V 1 + + v p 3 q + v R m 3 W g 7 C X X j p + / Z w b B u 1 A 6 G W c d j + x v b e i x / Y 1 u P 3 c 0 g N x H e 4 3 b T f H e P c q L 3 7 3 2 6 O e X i c f 7 7 v e j x / W 0 Q 9 J X b j Y P 3 l d u t g E d Y 4 r b K 7 V b t + 7 N 8 a + V 2 q / b v O d u + c r u Z m J E p 3 g j 8 P W f W 1 2 O 3 a v + e k + t r r 1 u 1 f 9 / J d c 0 P j D o 5 e X P 8 O n 3 5 6 s v P X 6 W / d / r y + P P 0 9 d M v b 6 d T H t y s t G w v o d L S 0 P H W H Q w r L d P B 7 k P y f U m Y x / c 3 6 X i P t 8 2 L B / d 3 d z / d x x r F p g y P x + T m x e 0 9 S p b v 7 + 3 u 3 b + 1 R 2 d f 3 b 3 / 6 Y O d X V I 8 Y 7 M u d Z O m c + P 8 l P K B F P R T y K 9 u 8 U 2 6 z r z 6 4 O A + r f p T r u C 2 q z H v i 6 6 v 9 x y V d v b v P d i / t 7 d P i 1 2 b + v X 1 o H 2 Z x r p P b L A 3 v r + x 3 w j D 3 f L N C C f d 8 s 0 I K 9 1 W T b 5 n T x E G u q 3 C f P 9 Z i P A N L V Y + 2 N n f 3 a N k 0 c Y V Q F + Z O t a 5 5 c u + Z r 3 N K H 3 N + r 6 I + l r 2 V n 3 F 9 M 0 t + / L Q f G h 0 4 c v j 1 2 c / + W V 6 / P T 0 G a n e W 6 v b g 5 v V r e 0 i V L c 6 4 7 f u Y F j d m g 4 2 k c u T j N s 0 9 w T D N L 9 3 b + / B w c H 4 4 S 3 V 6 v u 8 5 g n H b Z D z x O E 2 z T 0 J e B + k f M X 5 X u 9 F u G u j a o i w y s b 2 7 z n z v l K 8 V f v I 3 G 9 s H 5 n 0 2 6 r C 9 6 L r e 0 6 7 r / l u 0 9 5 X d r d q / 5 7 z 7 C u 4 W 7 V / 3 3 m 2 z R / s G I 3 T X Y t + + e X T W 2 k d 0 O I G t e Y 6 C d T a n q J 4 6 w 4 G 1 Z r t Y P f T e 3 A i 7 2 1 e F n Z c b l + 8 / 2 D v 4 S 5 l G M A J g + 8 5 b r f v b d + 7 f 7 B D u b b x / U 3 O n G N 7 9 + I u u Z 7 3 K O V 7 W 3 X n x k j r R b v 7 B / f 2 x v c 2 v e l E w L 2 5 d 3 + f / j x 4 M N 7 b v 5 U S f F 9 s P T 1 o X k W 7 G 5 W f w 3 D n U 1 o r u v / p + N 5 G m x x h r e 1 b v h p h m l t q x P d F M s I t t 9 S N 7 9 t T n 0 k 2 U D 3 C F 7 e d 3 Q h j 3 O 5 N T 1 + + 7 5 s R J t m o C S O s c c u e 3 p c z X P P d U I e 6 p Z V b 6 9 D d m 3 W o 7 S T U o b v v 2 c G w D j U d 7 N 5 7 8 G B 3 9 8 H u G K Z k c P i e X J g X P z 0 4 + B R Z 2 p 1 N u t e T C v N e n M o 9 z W m a b 1 M / 9 3 d p / f r T T Q G / J x P m x Y c H 9 x / s f H p w b 3 O 4 5 s m H p c j O / f 3 7 p O c P x l A H g 2 9 6 4 v F + u P p q U 9 + 8 n d r 0 K H + L X i L M d E v 8 I l x y W 6 X 5 f i i + J 3 f 4 O v P 9 O u q z x + 1 U 5 n s S L s I S t 3 r R V 5 j v 9 2 K E O 2 6 r L 9 + v o / f l C d d 8 z 2 g y X m 3 x H c 7 T V 7 f T Z n s 3 q 0 v b S a g u 1 Q L c u o N h d W k 6 u L 9 7 f 2 / n 0 / 3 x v U 0 O o C c Q 5 r 1 N x P L E w D T f 3 r 2 3 8 + n e Z s f N k w b 7 2 v 3 d T 2 k y P x 3 f 3 6 T M P W k w L 5 L j 8 X D v 4 N 6 9 z R 6 x J x n 2 x Y P 7 9 x 8 8 v P 9 w c 5 7 K E 4 z 3 Q 9 X X l f r m 7 X T l e 8 2 X r y s 9 / G 7 z Z o R F b q s r 3 w / F C J P c V l e + X 0 d 9 7 r i d r n z P i Y 2 w x K 1 e 9 H X l + 7 0 Y 4 Y 7 b 6 s r 3 6 + h 9 e c I 1 v + f r y s C x P H 1 1 e j t d d u 9 m Z W l 7 C Z W l 6 v 9 b d z C s L E 0 H u z s 7 l H V 9 c H + 8 v 0 k 5 e C J h X r y l t j T N t 3 c f U G Z + / H D T r H j y 4 F 7 b 2 U F 8 / G C 8 v y n g 8 g T C v E n 5 g 1 1 K z 9 8 b 3 9 u k o D 3 h M C 9 + + u A e m Z u d n f H B 7 u 3 U 5 X v i 6 u t L f f V 2 + v L 9 p s x X m D 6 G t 3 k 1 w i e 3 1 Z j v i W S E U 2 6 r M t + z p z 6 L 3 E 5 n v u / s R h j j d m / 6 W v M 9 3 4 w w y W 3 V 5 n v 2 9 L 6 c 4 Z r v + 3 r z 9 V d P z l 7 Q 8 v j r 5 7 d c q o G X d Z P O t D 2 E O l P F / 9 Y d D O t M 0 8 G 9 + / T C 7 b T l b V / x 5 M C 8 s n 3 v 3 n 2 a l f 3 d 8 b 1 N i s i T i P d 8 0 5 M I 8 + b u 7 v 5 G N D 2 5 M K 9 s a u 7 J w n v i 5 i t J / 1 X S 6 T e + G m G 6 j T w a Y a G N 7 S M c c V v t e K v 2 E V 6 4 r U 6 8 V f v I v N + W t J H 5 v 4 l l f I V o u 7 v p J V 8 X 3 m Z M v g a 8 L W K + F r x V H 5 F 5 v 3 H w 7 p X 7 R j u 9 P n 3 1 k + k X p 0 / h P N 5 + r X r v / s 0 K 0 H Y R K k A N J W 7 d w b A C N B 3 c e 7 h / / + H e 7 t 7 4 Y P 9 2 a t C 8 e E s V a J p v 7 9 3 b f X C w + / D e e J N R 8 v j f v v j p 3 q f 3 y O G k M G A T h p 4 k m D d 3 P / 2 U J v X T / U / H m 1 7 0 5 M C 8 u P f g 0 3 s 7 1 O V m N 8 Q T h v f E 1 d e I j j 4 7 W H q 6 R z O x / + k t V e L 7 z a G v H G 2 v t 3 w 1 w j i 3 1 Z P v i W S E d W 6 r M d + z p w j H 3 H o S I k y z e + + A 1 g 0 f 7 t y / / T q P 7 f a W 7 / q q 9 D b E 8 V X p e 6 L p a 9 R b d R X h k F t 2 5 S H 5 q d F 6 x 0 9 P n x 2 / p k j 8 V f r y + P P j V 7 d T e 5 / e r F d t D 6 F e 1 c m + d Q f D e t V 0 c G / 3 I S 0 w 7 t 3 f G T + 8 d z v F a t 7 8 d J + W 1 A 7 G S P w O v u Z J i X l t 0 + x 4 Q m K a b 9 / b P d j / d G + H V r p N 3 v Y m v W p e J a V K 4 c X u z k N a m N + k I D 0 h s a / u f 0 q 5 z 3 u U b h 3 f U r W + L 7 6 + b t V 3 0 e 5 m Z e o m 7 n b 9 R J j q 1 j h G + O W 2 6 v R 9 0 X x P T v H 1 6 f t 2 1 W e V D Z S P M M e t y R d h j 1 u + 6 m v Q 9 3 0 1 w i u 3 9 U n f t 6 v 3 5 Q / X / I H R b y e 0 6 I P w / M W X X 6 R v T l + d n L 6 6 p X P 6 4 G Y l a j s J l a g 6 d r f u Y F i J m g 5 o p e P h 3 h 7 p j L H R 0 D c p 0 f d 8 0 5 M O 8 + Y t 9 a g 2 H + Z w T x p u b O s J w 4 1 t P e a / s a 2 v D I P G 0 c Y R N t r I d R G O 2 N g + M s G 3 1 X q 3 a v + e k + m r u l u 1 f 5 8 Z 9 f X b z Y 3 f Z 0 5 9 F X Z z 4 / 6 c b m j c n 9 A N j f u z u W G A r u 2 B 0 R 0 d 5 f T 6 d s r j 4 G b t Z H s I t Z P 6 G 7 f u Y F g 7 m Q 7 u P d g 5 o D W + + 6 R j b u n i m T f 3 d / f u 3 9 / Z P / h 0 / H C T G + Q x t H l z e 3 / 3 A e V 3 y H + C m z 3 4 p s f a + u a t F N W N b T 2 u v r G t x 9 Q 3 t v U V 1 c 2 N I + x 0 S 7 r 4 O s t N x q 3 e j D D A L d + M M M B t 9 d h 7 9 t S f 9 l t r t J u p / j 5 z 7 2 u 0 G x v 7 G u 3 m x v 3 J 3 9 C 4 P 9 0 b G v d n e M M A X d u H R t 8 c U 7 h K 6 y G n n 6 e v v z x R v X Y 7 p f P w Z q 1 m e w m 1 2 s P 3 7 G B Y q 5 k O D j 6 l p d a 9 B / c e 3 l q r 2 T c f U u x P S 0 8 P x 5 8 q W t E 3 P f Y 2 b 2 7 f o 5 j 3 Y B c Z t 0 9 v p 9 X 0 z e E J 8 l j 7 x r Y e Z 9 / Y 1 m P s G 9 v 6 W u 3 m x h G W u i V d f K 1 m X r 3 l m x E G u O W b E Q a 4 r V Z 7 z 5 7 6 0 3 5 r r X Y z 1 d 9 n 7 n 2 t d m N j X 6 v d 3 L g / + R s a 9 6 d 7 Q + P + D G 8 Y o G 1 7 s G P 0 D a / x B j r t d o H k v Z 0 b l Z r r J F B q 9 3 R 2 b 9 3 B o F K z H e z v P 9 z b e X D v Y H f 8 c P 9 W S s 2 9 S f m q v X u U 1 R 9 / u o l J H X f b N 7 d 3 9 3 d 3 K Q N 4 f / x g U 7 D v u N u 8 O T w / j r N v b u s Y + + a 2 j q 9 v b u s p t V s 0 j n D U L e n i K T X 7 6 i 3 f j D D A L d + M M M A t l d r 7 9 t S f 9 t s q t V t Q / X 3 m 3 l N q N z f 2 l N o t G v c n f 0 P j / n R v a N y f 4 Q 0 D d G 1 3 j b 4 5 P n l 1 S s u 2 T 8 9 + 8 n X 6 k 2 d v 3 p z e L v z E i v p N O s 3 2 E e q 0 3 f f s Y F i n m Q 4 2 s Y v H x 6 b 5 P m X D d s d 7 i k f 0 L Y + b z V v b t 3 j N Y 2 V 9 b X g y P D a + s a 3 H x T e 2 9 Z j 4 x r a + B r u 5 c Y R 9 b k M U X 3 2 9 x x T 4 u u t 9 X o t M + G 0 V 1 / t 0 0 5 / q W 2 u t m y n 9 P v P t a 6 0 b G / t a 6 + b G / Q n f 0 L g / y x s a 9 + d 2 w w B d 2 z 2 j U V 4 f v z g 5 o 7 z + e 6 X M 7 u 3 d r L N s D 6 H O U g N 2 6 w 6 G d Z b p 4 J Y 6 y z T f 2 / n 0 3 v 6 D B + P 9 h 7 f T W u a 9 7 V u 9 6 D G z v j g 8 H R 4 j 3 9 j W 4 + M b 2 3 p s f G N b X 2 / d 3 D j C Q L c j i 6 + 5 3 m s i f N 3 1 f i 9 G p v 6 2 2 u v 9 O u p P + a 3 1 1 8 0 U f 5 9 5 9 / X X j Y 1 9 / X V z 4 / 7 E b 2 j c n + s N j f v z u 2 G A r u 0 9 o 1 2 O X z 4 / O 0 m P K U m 2 u 7 P D W u x 2 C u b e z R r M 9 h F q M M 1 g 3 b q D Y Q 1 m O r i l B j P N d x / s U V p s v K + q N P q a x 8 3 m t e 3 b v O c x s 7 4 3 P B 0 e I 9 / Y 1 u P j G 9 t 6 b H x j W 1 9 / 3 d w 4 w k C 3 o o q v v t 5 n F n z t 9 V 7 v R W b 9 t s r r v f r p T / e t d d f N 1 H 6 f O f d 1 1 4 2 N f d 1 1 c + P + p G 9 o 3 J / o D Y 3 7 s 7 t h g K 7 t v t E r L 4 8 / / z I 9 e / H 0 P Z 2 v / Z t V l + 0 i V F 3 7 7 9 n B s O o y H X j c s k l 1 m e Z 7 e 7 s P 9 / Y 3 r w J 4 v G x e 2 7 7 N e x 4 v 6 3 u 3 U l 0 3 t v X Y + M a 2 H h f f 2 N Z X X T c 3 j v D P r a j i q 6 7 3 m Q V f d b 3 X e 5 F Z v 6 3 q e q 9 + + t N 9 a 9 V 1 M 7 X f Z 8 5 9 1 X V j Y 1 9 1 3 d y 4 P + m 3 U 1 0 3 N + 7 P 7 q 1 U 1 3 2 j V 8 j p O q X A 8 T h 9 f f f z L 0 9 O 3 8 P x u n + z 9 r K 9 h N p L l 6 l v 3 c G w 9 j I d 3 F J 7 m e a 7 e w 8 e 7 t 4 f 3 9 + 9 n f Y y r 2 3 f 5 j 2 P n f W 9 4 Q n x W P n G t h 4 n 3 9 j W Y + Q b 2 / r a 6 + b G E R a 6 F V V 8 7 f U + s + B r r / d 6 L z L r t 9 V e 7 9 V P f 7 p v r b 1 u p v b 7 z L m v v W 5 s 7 G u v m x v 3 J 3 1 D 4 / 5 E b 2 j c n 9 0 N A 3 R t P z V 6 5 f g 7 X 7 1 + c 8 p L k O / n e n 1 6 s / K y n Y T K 6 9 P 3 7 G B Y e Z k O b q m 8 T P N P H 3 x K 1 L p / b 2 x S c N E X P X 4 2 L 2 7 f 7 k 2 P o / X N 4 T n x u P n G t h 4 z 3 9 j W 4 + U b 2 / o K 7 O b G E S 6 6 J V 1 8 F f Z + c + E r s f d 8 M z L / t 1 V j 7 9 l T f 9 p v r c h u p v r 7 z L 2 v y G 5 s 7 C u y m x v 3 J 3 9 D 4 / 5 0 b 2 j c n + E N A 3 R t H x g d 8 7 S a r h f 5 s q 2 a d F X V 6 c v s I q t v U D R 7 N 6 s w C 9 6 + c T u I w z r L Q N w 9 e L j z c O c B 5 f o + H T / Y v 5 0 C s + 8 + / P T e w c 7 O 3 r 2 9 e 2 N 8 O P i u x 8 z m 3 e 2 9 e / f v P 3 x A b z 8 c 7 9 z S D b P v 0 t L 7 g 5 3 9 T + / f 2 x 0 f H G x 4 1 2 N t i / M 9 G u s D k q J 9 c g g 2 y Z H H 6 f b d / f t 7 B 7 u f f r p 3 s D / + d N N 4 P c Z / b 5 x 9 L W h f p l 8 / B b 3 2 x g 8 2 h m A R j t x G 1 m n v 3 v 7 D B + P d j e 9 G 2 O 2 2 r 0 b 4 6 r a v R t j q t n r x f b u K c N J t F e N 7 T 0 S E e 7 Y f 3 H u 4 v 7 v z 8 N 7 D M U Y x / G 6 E e 2 7 5 q q 9 E 3 / f V C O t s o o 6 v V d + 3 q w i 7 b J w I 1 / w g o m Z P q k V e T 4 u s v E k p 7 t 6 s Z y 1 8 9 8 o t Y Q 5 r W g N z l 3 7 9 l B I p x K q b N Z 4 n E v b d r 6 F p z b t f R 9 P a d 3 c / 3 d k n x G + c U 0 9 W L M 7 3 P n 3 w g L T l z q e f 3 k 7 N 2 h f 3 9 3 c / v f + A M L 6 / u V N P U N 4 b Y V / N 2 p c P P q X F R a L z R m 6 M s O P 2 g / u 7 D w 5 2 d w 4 e j g 8 2 D d b X s e b d 2 7 4 a 4 a j b v h p h q N v q 2 P f t K s J D t 9 W x 7 z c L E b 7 5 O g r W j u 9 2 r / o K 9 n 1 f j f D N b R X s + 3 Y V 4 Z W N x H T N H 1 o F + + V J + n u n t B 6 S n r 5 + c / z m + H l 6 8 v J G Z U g L v j t Q M T e p W d u L R u T u z f f q Y F j n m g 7 u 3 z u 4 t 7 t P i u T g d v r 2 v d 7 z x M S 8 t 4 n K n m j c p r k n G a b 5 / o P d e z s H u 7 v G / 7 9 J o b 7 X e 5 5 Q 3 A Y 9 X 3 9 q e 7 S 7 W W f e C n i E V z a 2 j 0 z 9 x v a R K b + t R r x V + / e c a 1 8 N 3 k z M y A x v B P 6 e M + v r u F u 1 f 8 / J 9 R X b r d q / 7 + T a 5 g 9 3 P l y b 3 R y c u 1 5 C b X Z j k N 7 p Y F C b 2 Q 7 2 H 9 z f 3 9 1 / s E M p o P 1 N T q D j b v v q / f s 7 F L Q c 7 O 7 f O t t o X / X 8 x 1 t p N / f i b X 0 x x / 1 u q D v s O + 4 + 2 B s f b H r V y Y J 7 9 Y C 9 x 9 t q u / d H 1 1 N 9 7 u V b O S 0 R 1 v R d x 4 2 d R h j u p l f 7 2 v G 9 X 4 2 w 0 i 0 V 5 X t 3 F e G g W + r M 9 5 y F C M 9 8 D d f R j e 9 2 r 3 p q 9 b 1 f j f D N R o 0 Z 4 5 V b d h X h l Y 3 E d M 1 3 f W V 7 / M W X r 9 6 k T 0 + / e n p 8 a 1 W 7 f 7 O q t X 2 E q n b / P T s Y V r W m g 4 M H + 6 Q I 9 n f 3 9 s b 3 F f p N q j b 2 6 i Z S e 6 J i X t 3 e u W 2 E b l / Z N D m e h J j m + 5 S D e L h 7 Q A K 5 m Q 8 8 G X n f V z 0 R u Q 2 S v j b V 9 m h 3 s w a 9 L d F 8 z W k R u u G V C E f c 9 E q E E 2 6 r K W / b x X t O v 6 8 h b 6 Z s Z M Y 3 A n / P a f b V 3 6 3 a R 2 b 6 t j r v V u 1 j U 3 w 7 R b d n l N C X b U 3 5 R y 8 V + S 6 9 U d U 9 v F n J W f j u l V v C H N Z r B u b e 3 s H 9 B z e m r z 1 e N i 9 u o o 3 H y r d p 7 r G x a b 5 9 O 7 w 8 h j Z v U l R 7 n / 5 6 8 P C 2 q z n v + 6 b H 5 + + J r a / Z 3 v f V C L v d 8 s 0 I I 9 2 2 0 w i / b B S J C J v c s q f 3 5 B h f 8 7 1 n T x G W u S 0 5 I j x z W 4 1 4 m / a + R r x V + w h P 3 F Y j 3 q r 9 + 0 6 / a 3 7 P a s Q 3 r 7 5 8 n Z I D + I Z + c M B 9 / O p G 7 X X L r K H r x T h / 9 s 3 3 6 m B Y S Z o O b s c f H v e b F 2 + p J G / T 3 O N 4 0 / y W f O t x v H n z l q r O Y / j 3 f N N j / f f E 1 l e S 7 / t q h A N v + W a E q 2 7 b a Y R f b q s k 3 x P J 9 + Q Y X 0 m + Z 0 8 R l r k t O S I 8 c 1 s l e Z v 2 v p K 8 V f s I T 9 x W S d 6 q / f t O v 2 u + b 9 T X y 4 q W q / / R v 3 W Z Z r R 2 X b d V + r L M f n C D E r t 3 s 3 q 0 8 O 0 b t 4 P 4 e w 3 q Q w N x 7 + H B w f 2 H D + / d I 2 b Y v 5 1 G N K / e 2 7 l P a b U H + 3 u k Q G 6 3 b m 1 f 3 d 4 / e L B 7 s P f w 4 c 7 m l K X H 9 u 7 V v f 1 d D s P H + + o 9 3 6 Q q L c K f P n z 4 K W V Y P 9 0 c i 3 l s b 9 6 8 v / t w b / f T f V r d 3 5 g o 9 Q T g f d H 1 d a V 9 d + / B P k X l D x / e H + 9 t Q t h X l v b d T + / t 7 B z s P P x 0 f H B b b W l e v e W b E W a 6 5 Z s R X t o o Z x E G u m V P E f 7 Z 2 F O E a W 4 9 C R G 2 2 d 7 d f 7 h 3 n 4 z s w X j v 4 J a a 0 7 x 7 y 1 d 9 J f q + r 0 b Y 5 r b 6 9 H 2 7 i j D L L V X r / Z h q f Z n O 8 r T M 0 q c 3 K c J b u J 6 2 A / f K L W E O a 1 c D 8 2 t o V / P q 1 9 C u 5 t W v o V 3 d q 7 d T V 5 6 g W I T f W 7 u a N 9 9 f u 7 4 v u r 5 2 t e / e V r A j z P g 1 t K t 5 9 Z Z v R p j p l m 9 G e O m 2 2 v U 9 e 4 r w z 2 2 1 6 3 t P Q o R t v o 5 2 N e / e 8 l V f u 7 7 v q x G 2 u a 1 2 f d + u I s x y S + 3 6 q a 9 d r W Z 9 8 4 / + 9 W 1 6 n f 7 k j Z r w F u r V 9 u C 9 c 1 u o w w r W Q P 0 a C t a 8 + j U U r H n 1 a y h Y 9 + r t N J Y n K x b h 9 1 a w 5 s 3 3 V 7 D v i 6 6 v Y O 2 7 t 5 X t C D 9 + D Q V r X r 3 l m x F m u u W b E V 6 6 r Y J 9 z 5 4 i / G N 6 i r a P M M 2 t J y H C N l 9 H w Z p 3 b / m q r 2 D f 9 9 U I 2 9 x W w b 5 v V x F m u a W C f W A V 7 J e v T q B e Z d 3 8 9 P W b 4 z c 3 K 8 J b Z k 9 t J 5 o 9 d W + + V w f D 6 t Z 0 s P d w Z 2 / / Y I + 0 7 q 3 V r X v 1 P v V 3 b 2 d v 5 9 b q 1 r y 6 v b / z Y P f + g 4 P 3 U L f 2 1 X v 3 P 7 2 / 9 2 D 3 0 4 N b q 1 v z 6 r 2 9 / Y f 7 B 5 / u 3 r B y 6 8 m N e X N / 5 9 P 7 9 z 9 9 c H D v 1 u r 2 f d H 1 1 a 1 9 9 7 a S H u H O 7 f s 7 p J I e 7 O 3 e X t 2 a V 2 / 5 Z o S Z b v l m h J d u q 2 7 f s 6 c I / 9 x W 3 b 7 3 J E T Y Z v u A / J G D 3 Q f 3 b q 9 t z a u 3 e 9 N X t u / 5 Z o R n b q t r 3 7 O n C K P c U t U e x F X t s 9 O n t 9 O D e z c r W t t F q G h V K d 2 6 g 2 F F a z o g v b P 7 Y O f e L X W s e e v h A a m s / Z 1 N m s O T D v P W 9 g G h d p 8 w v J 1 q t a 9 9 + u D T / Q c P 9 u 7 f T q 2 a 1 / b v 7 + y S O / r p 7 V S q e W t 3 d + / T + w 8 / v b 9 J p j y 5 e B 8 c f V 2 q 7 6 H d z c r T d r K 7 d + / B g 3 s P N n Y S Y a L b v B Z h j d u 8 F u G N 2 + r M 9 + k m w h W 3 V Z g 3 U z r C B b e a z g g b 3 O I 1 X z e + z 2 s R f r i t Y n y f b i J 8 c E u t + N B q x a w p L q s m f V q c 5 3 U x o 9 + y G 9 T W / Z s V o o V u 3 7 g d x G E N a C B S v E r B + c H O v f H 9 T Z T x O N 1 7 8 + D g w Y P 9 n f F G L e P x v H m T J H l n 5 9 O 9 + / v 3 x 2 Y o N 2 l D 9 y o p t X 2 K z 8 l z 2 6 S 1 P R E w r 5 J W 2 7 1 / / / 7 O 3 h g 8 P / i m J w / u z Y O D 3 Y c U w 4 w P N v X p S c T 7 o u s r R + / d 3 f s H 9 z / d f T B + s A l h X 1 f a d w 9 2 9 x 5 S B u P B R u c o w m C 3 e i / C R r d 6 L 8 J E t 1 W X 7 9 V P h G 9 u q y / f m / g R d t l + 8 O m n 9 5 C 0 + n S T X P g K 1 L x 5 q x d 9 F f p + L 0 Y Y 5 b Z K 9 P 0 6 i j D I r d T o Q z h H o u i + b G t S n a E y v U n r P b x J k X r w 3 S u 3 h D m k S h 3 M 9 1 W l w Z v v p U r d m + + t S v 1 X b 6 e b r H S 4 V 9 9 X l f p v v p 8 q f X 9 0 n S o N 3 r 2 d N E c 4 8 T 1 V q X v x V u 9 F 2 O h W 7 0 W Y 6 H a q 9 D 3 7 i f D N 7 V T p 1 y B + h F 3 e V 5 W 6 N 2 / 1 o l O l 7 / t i h F F u p 0 r f t 6 M I g 2 y c A N d 8 1 6 i 6 k y 9 f / G T 6 7 O y 1 Z E O P n 1 P M f q P W u 1 1 K 1 O t E I 3 X 3 5 n t 1 M K x c T Q c U p 9 P q 0 w 4 p D v D + 4 P g 9 u b B v 7 n 1 6 b / / B / q e f j u / d K i H q 3 t z e p 3 W g / d 0 D e n P T H H k y Y t + 8 R 1 k F 0 n S E 7 a Z U m C c t 5 s 1 7 p O A Q g N N q 2 a Y c r C c r 7 s 2 H D z 7 F G t 2 t V e t 7 Y u t r V v v q H u W b 7 t 9 7 + G B 8 s F G P R P h y m 3 6 9 f + 8 B L Z b d L h f q 3 r z d i x E m u t 2 L E R 6 6 r W 5 9 v 4 4 i j H N b 5 f q + 9 I / w y z a 5 H P f 2 d / c 3 J / t 9 3 W r e v N W L v m 5 9 v x c j v H J b 3 f p + H U U 4 5 J a 6 d a + n W y n 9 e f r q P X T r j V l Q r 5 N Q t 9 6 U B e 1 2 M K x b T Q f 7 n 9 L y / I P d 3 f H + J h 7 y x M K 8 e O / g / v 7 O H u W a D x 7 e T r O a F 7 f J 1 9 0 5 u H e f 1 r c 2 v e k J i H 2 T l s V 2 d x 7 Q m u 6 9 T c h 6 o m L e x K 9 Y g 9 z b b H E 9 S b F v 0 p L Y / s P 7 J l i 4 S a 2 + J 6 q + W n W v 3 t v f 2 9 k j K / B w k 8 3 y 1 a p 5 9 Y D e 2 7 / 3 Y L P 5 8 L W q h + 5 t 3 o z w z 0 a h i b D N 7 T q K s M 3 G j i L M c r u O I r x i 6 X 8 D / S P M Q g H Z w / 2 9 e 7 f 3 W G 2 f t 3 r T V 6 u 3 I Y u v T d 8 L R V + t 3 q q j C G P c q i M P w X t G 4 z 2 r l s i c X q d P i n y Z N + k s T 9 / c o P Y + v V m h W v D 2 j d t B H N a g B u L u z v 2 d e z s H n 9 K / 4 9 1 N a s K T B u / d B 3 s H n 3 5 6 Q D H 8 v U 0 x v C c Q 5 t 1 t c t v 2 a b n v 4 P 5 m 5 9 a T D f c q O b Z 7 D w 7 2 7 2 1 e Q v W k w 7 z 6 k N T o g / 3 9 g 3 1 S p Z t 6 9 a T D v v r p P u U q 7 u / e 3 x 9 v 4 g l P P N 4 X X 1 + d 2 n f 3 P t 1 7 u P v g / r 3 d 8 e Y 1 3 w g v b p N b T T k d G q t h m B s 1 q n n 1 l m 9 G + O m W b 0 a 4 6 b a e 6 n v 2 F G G g 2 7 q q 7 z 0 J E b b Z v n / / w e 4 O r e + O H 2 7 0 q C N 8 c 7 s 3 f b X 6 n m 9 G e O a 2 7 u p 7 9 h R h l F v 6 q / s d x Z o v 0 8 + z O l u 2 / + h f n 9 2 4 P v X p 7 s 2 q 1 X b g X r k l z G H l a m B u G q M n A b d p 7 g n A b Z p 7 X H + b 5 h 7 T m + b 7 l L f Y u 7 e / 6 S 2 P 3 d / j L Y / T b 4 O a r x W 1 P d r d r A Z v B T z C C B v b v + c k + 3 r u V u 3 f c 5 p 9 7 X a r 9 v 2 J 3 k D M y P x u B P 6 e M + t r r l u 1 f 8 / J 9 f X V r d q / 7 + S 6 5 v e t l j o 7 f v F T x 6 / T 3 y d 9 e v o y / c 5 X T 2 / U J r f N V 9 o u N K Z 2 b 7 5 X B 8 N K y 3 R w S 6 V 1 m + Y e N 9 + m u c f M t 2 n u 8 b J p f g v 1 4 z H 1 e 7 z l s f Z t U P O V l r a / n d K 6 F f A I V 9 x W a d 2 q / X v O s q + 0 b t X + P e f Z V 1 o 3 E z M y v 7 d V W r d p 7 y u t W 7 V / z 8 n 1 l d a t 2 r / v 5 L r m n 1 q l Z V 2 r 4 9 m i W B Z N W 9 / o W e 3 d r L E s f P f K L W E O K y k D c 3 d n 9 9 N 7 O z v 3 D / Y + 3 Z w / 9 n j Z e 5 e c + f s P H u z s j / d v G b a a d 7 d p 0 Z o C g b 2 9 n f H B p l c 9 F n e v 7 n + 6 t 7 N 7 7 z 3 C V v P q w / v 7 B x R q Y 9 n 6 t m G r e 5 W i z / u f 3 t u 9 d d j 6 v v j 6 u s 6 9 + + n t I q Y I O 1 K Y v U 8 r O n u b l 6 5 8 J W h 7 v e W r E X 6 6 r T 5 8 T y Q j H H R b z f i e P U W 4 5 t a T E G G b 3 U 8 f k O t w c D D e 2 Z h F j L H N 7 V 7 1 9 e h t S O P r 0 f d D 0 t e o t + o p p m 5 u 1 Z O H 4 g O r W 7 9 8 8 f T L 1 + Q N p m 9 O X 5 2 c v v r y 9 Y 1 a 8 L a r L L Y P 4 x H a N 9 + r g 2 F l a z r Y p c X r B / c / J R 7 8 d P 9 2 q t a 8 + R A J w h 2 k F j c x r y c l 5 s V b u o m m + f b u v f v 7 D z 7 d f T j e 3 8 T p n p C Y N + m t v U / 3 9 x / u 3 n p t x b 5 J K z K 7 e 7 u U + 9 j d R B V P R N 4 T W 1 + x 6 q t o d 7 M m t f N 2 u 2 4 i L H V b D C P M c l t N + p 5 I v i e P + J r 0 P X v q M 8 k G q k f 4 4 r a 0 i z D G 7 d 7 0 V e d 7 v h l h k t s 6 o + / Z 0 / t y h m t + E K h O L E + n X 7 7 6 / P j F 2 e s v b q s 8 7 9 + s P G 0 v o f J U n + 7 W H Q w r T 9 P B / X s P 9 + / v 3 X 9 A x m O T w + h J h n v z 3 s 7 9 3 T 2 y / 7 d 2 U 8 2 r e 3 D 5 9 h / u j R 9 s W j / 0 Z M S 8 u E 2 z u / / w w f 3 d 8 b 1 N C V 1 P R s y b + 8 g E P / j 0 4 M H D z Y v G n s T Y V z / d + f T + 3 q f k 0 G 8 2 M J 7 E v C e + v i r V V 2 + n S k 0 / n + 6 T J 7 x H M 2 E 4 5 E Z V a j G 8 5 a s R 1 r m t K n 1 P J C P 8 c l t V + p 4 9 9 d n k d q r 0 f W c 3 w h i 3 e 9 N X p e / 5 Z o R J b q t K 3 7 O n 9 + U M a Y 7 m D 0 N V + l N f P j v 9 4 v h N + n u n L 4 8 / v 5 2 i + / R m T W o 7 C T X p p + / Z w b A m N R 3 c e 0 h L f v s U 8 N / b p C Q 8 u X i / F z 2 x M C 9 u 3 9 u 7 v 0 d B 9 0 b 1 6 4 n H e 7 3 n C Y d 5 b 5 8 W 0 0 m w x r u b 3 v P k x L x 3 f / c h e a L 3 b x v h v x e a v u r U F 2 + n O k 0 v G 3 k 1 w k c b 2 0 f Y 4 r Z a 8 l b t I 0 x w W 9 1 4 q / b 9 S b + d R n y / K Y v M 9 W 3 e 8 7 X h e 7 3 3 n r P u 6 8 L 3 6 u d 9 Z 9 8 2 B x O L k j r 5 8 s k r L N G k J 6 / S 0 6 d f n R y / O f v J 2 2 m q B z e q Q t d L q A o 1 Z 3 D r D g Z V o e 3 g 4 A F l P s f 3 N j l 3 j v P f 5 y 3 H / / a t T R R 2 7 G + a D 7 O z Y / 2 b 2 z r O v 7 m t Y / a b 2 3 r K 7 B a N I / x z S 2 V 2 u / a R i b 2 l M r t d + / e c T E + Z 3 a 7 9 + 8 y o p 8 x u 0 f h 9 5 t T T W r d o 3 J / T D Y 3 7 E 7 q h c X 8 2 N w z Q t d 0 1 O u P 4 5 Z e v 3 q Q / + e V z U g / H r 8 6 O b 6 c 0 D m 7 W S r a H U C s d v G c H w 1 r J d H C A V N / e v Q e b o 0 6 P i + 2 L n z 4 4 Q J A 8 v n e 7 O N e + u E 0 L t w f 3 6 B k / u J 2 L 5 r 1 5 Q M s p O / u f j n c 3 I e u x u H n z 0 4 O D v Q f 3 7 t / g T X r s b k f 5 4 N 7 e w 3 0 Y u U 9 v 5 a e 9 L 6 6 + c t N X b 6 f c T D / k Q x 4 8 2 C U L o Q b r R i 3 n E L z V m x G W u a 2 + e z 8 U I 5 x y W 8 X 3 f h 3 1 2 e N 2 G v B 9 Z z b C F L d 7 0 1 e O 7 / l m h E E 2 E d F X l u / Z 0 / v y h W u + Z 1 T b 2 e u X b 9 5 7 k Q U C c 5 P y t D 0 E y n N X 8 b t 1 B 8 P K 0 3 T w K Z b q 9 u 9 B e 2 7 K B n g y 8 Z 5 v e k J h 3 t x E Z U 8 m b t P c k w T T / A G t s 9 + j t O D e + P 7 t 4 t n 3 f d O T i t u g 6 O t H b X 8 7 / X g r 4 B G e 2 d g + w g K 3 V Y a 3 a v + e 0 + 3 r w F u 1 7 0 / 4 7 V T f r Y C / 5 8 z 6 W u 5 W 7 d 9 z c n 3 d d q v 2 7 z u 5 r v k 9 o 2 + + / e W L L 1 + l v 0 9 6 / O r V 6 Y u n 6 b 1 b K 7 W 9 m 5 W a 7 S R U a q q k b 9 3 B s F L T D o Y 5 w u P m G 9 t 6 n H x j W 4 + L z S B v q b V M 8 1 3 K p T 3 8 d H y w e z u V 9 T 6 v e V x 9 G + R 8 f X X j w H 1 9 d S v g E X a 4 r b 6 6 V f v + D N 9 a X 9 2 q / X v O t K + v b i Z m Z I J v q 6 9 u 0 9 7 X V 7 d q / 5 6 T 6 + u r W 7 V / 3 8 l 1 z f e N K n n z 6 h d m i 9 X h F + m r 0 5 O v X q Z f v D z 7 E u u 2 N 6 q U P Q S Z t 9 B Z t i O r s 8 y b 7 9 X B s M 4 y H e x + + v D e / v 7 e P V r c U u A 3 a T D 7 5 s P 9 3 Z 3 d h z v 7 m 1 d A P U 4 3 b 2 7 f 3 / 3 0 w Y N 9 c u F u u d T g 3 t w j 9 + / h g 0 8 f j C E R g 2 9 6 3 G + x v f / w w c 7 B w 0 8 / 3 R z j e K J g 3 6 R l i j 2 K Z u + N 7 9 + 7 n b p 7 T 2 x 9 z a e v 3 k 7 z u X 7 2 H 9 y n b n b G e w 9 v q Q T N q 7 d 8 M 8 I 4 t 3 w z w j i 3 V Y z v 2 V O E X W 6 r I m + m e o Q v b j u 7 E c a 4 3 Z u + 3 n z P N y N M c l s N + p 4 9 R T j j l r r 0 f k + X P q N V 2 1 d f v j l + 8 + W r s y 9 v p + n u 3 a x K b T + h K l V Z v n U H w 6 r U d H D / 4 M G n 4 / 2 D 2 2 l R 8 9 I u K c H b a U / z x v a D B w 8 P H o 4 P N g m D J w v 2 t Y N 7 B / s H 4 4 e b t J 8 n E m 5 Q 9 z / d 3 x l / e k u l a V 7 7 9 N O H + 4 T k p 5 v G 5 g n G + y D p q 0 t 9 L 7 1 7 G 3 X p D e n h 2 C S E b 9 S U F r V b v B Z h i t t 6 j e + B X I Q n b u s 7 v k c v f V 6 4 n X p 8 r 6 m M s M A t X v M V 4 / u 8 F u G F 2 2 r F 9 + n m f b n A N f + 0 p x J / 6 s t n p 1 8 c v 7 m d r t q / W R n a H k J l q G J 6 6 w 6 G l a H p Y H 9 3 j x L K u / f H O 5 / e T i G a F + 9 9 + u n + L u z O / i Z / 1 J M B 8 + L 2 / f 3 9 + w c 7 D z Y v O H j C Y F + k O P 8 B r c f c H 2 / y Y z 1 5 M C / u 3 v v 0 3 o N P 7 4 1 3 N n m x n m j Y 9 3 b 3 7 z 3 c 2 T 0 Y 7 2 5 6 0 Z O N 9 8 P U V 5 D 6 5 g b R j b D f / q e 0 c r P / Y L P 2 9 n W k x e 9 2 b 0 b Y 5 b Z q 8 v 1 Q j H D J b T X l + 3 X U Z 4 7 b K c v 3 n N g I S 9 z q R V 9 h v t + L E e 6 4 r c p 8 v 4 7 e l y d c 8 w c 9 p f n 6 q y e v z 5 6 e 3 S K F y F r t / s 1 q 0 / Y R q k 0 V 3 1 t 3 M K w 2 T Q f 3 d h / s 7 9 5 / 8 P D + 3 k Z y e R L h 3 v z 0 A Q X j D 3 b 3 x w 9 u G Y + b V 3 c / v b / 3 4 I C W a j c q M k 8 4 7 I s 7 e w / 2 y T 8 c f / r p 7 T S n R X a H w o X 7 9 + / d + 3 S 8 t 0 n N e 6 L i X j 3 Y 3 S U 1 / 2 B 3 f H 9 T r 5 6 s v B + 6 v v r U N 2 + n P k 0 3 n + 7 d v 7 d H y Y 1 7 t w 3 G z Y v b t 3 s z w j a 3 V Z / v h 2 K E V W 6 r P t + v o z 6 H 3 E 5 9 v u f E R l h i + 3 a v + g r 0 N q T w 9 e b 7 I e l r 0 F v 1 F O G G 2 / X k o X j Q U 6 H H L 7 9 8 9 S Z 9 8 u U X T 2 6 1 v s x q 7 t O b 9 a j t K N S j i u a t O x j W o 6 a D 3 X s P H u z d J 1 3 4 6 S 3 j c f f i w w f 3 H h z c 8 K I n G e b F 7 V 1 K M e 7 c 2 z R X n n z Y t x 7 e f / D g 0 0 0 v e b J h c d z 5 F K q T L O o t d a d 9 c f f T 3 d 3 d v R t e 9 M T k 9 m j 6 W l P f u p 3 W t F 3 s 0 V r b g 4 1 d R B j p 5 p c i z H H z S x H G 2 N g + w g 8 3 d x J h h 4 3 t + 5 x w O y 3 5 H p M Y m f o b X / J 1 4 + 1 f i n D A x v a R u b + 5 k 8 j c b x y + a / 4 w r h G P T 8 6 + f J E + P X t 2 O 4 X 1 4 G a N a D s K N a I m G G 7 d w b B G N B 0 8 3 N s n l + v T 8 S Y X z 2 N 7 + 9 q 9 e 3 s H u 5 t f 8 7 j f v L Z 9 8 O m 9 e z u b i O 1 x v 3 2 J n L q H + 5 t e 8 k T A v H T / 4 c G D v Y P 7 4 / u 3 1 I X m v U 8 f 3 H + 4 t 3 f D e 5 4 8 3 B 5 J X x X q W 7 d T h b Y L W p f c L K c R B r r x n R h P 3 P R O h C F u q w d v 3 U e E E W 6 r B m + m b m T i b z G B k W m / 8 S V f D d 7 + p c j s 3 1 Y N 3 r 6 T y M z f T g 1 i T D E 1 m J 6 8 + u q n a K n m O 8 e 3 U 1 M H N + p B 1 1 O o B w / e s 4 N B P W g 7 2 N v f I y d o 5 9 P N a 8 + O 8 d 2 L x M f 3 7 t / 0 o p M A + + L 2 / Q c 7 O 7 v 3 b 6 c M 3 V u f 3 i P 7 t v E t J w n 2 L S z n 7 x 0 8 f L g 5 e + q k w h v d 3 s O d T / d v e N E J x v v g 6 S l E 8 9 q t F K L t 4 1 N a / 9 1 o T D y F 6 C F 2 4 1 s R 9 t j Y P s I V N 3 c S 4 Y i N 7 S O 8 c H M n f V a 4 l V J 8 r 1 m M T P 7 N b 3 l q 8 X 3 e i j D B x v a R + b 9 F L + 8 7 / 6 7 5 7 p B i / O p 5 + v u k 3 / n q J 2 + n t x 7 e r B h t T 6 F i f P i e H Q w r R t P B 3 o P 7 9 3 b J 2 x v v 3 V I x u h d 3 D + 7 d 2 9 8 b H + z f T j G a F y n k 2 9 n f 2 x n v 6 1 r 8 T a r R v n d / / 2 B / 5 + H m / j y J M O 9 9 u k P q k V T c p 7 d T j f a 1 + x R u 0 3 r p / q b u P O F 4 L z R 9 3 a g v 3 k 4 3 m l 7 u 7 T 9 4 S C v t + 7 u 3 V I 8 W u 1 u 9 G O G T 2 2 r I 9 0 I w w h 2 3 V Z L c / r b 9 9 L n i d n r y / e Y 0 w g y 3 e c / X l e / 1 X o Q t b q s t 3 6 u f 9 + U G 1 3 y v p y + / / e W L L 1 8 d v z r 7 k v T l l 2 9 e 3 U q d Q V h u 0 p e 2 p 0 B f 7 i q e t + 5 g W F + a D v b 3 D 3 Y f P r y 3 P z 5 Q X X y T v j Q v f v o p r Y t T t n A M L h 5 8 0 Z M I 8 + L 2 / t 7 e / r 3 9 T x + O N / X o i Y Z 9 c W / n Y P + A / M L x p 5 t U r S c c 5 s 3 7 O z R M + n N 8 f x N j e I J i X q T F / 4 c P 9 n Z p G U t T G T d p z f f E 1 d e b + u r t 9 K b r h 1 K 9 9 2 k l a b y 3 C U N f d Z p X b / l m h G d u + W a E a T b K W Y R X b t l T h F l u 6 2 f e T P U I W 9 x 2 d i O M c b s 3 f R 3 6 n m 9 G m O S 2 W v Q 9 e 4 p w x i 3 1 6 L 2 e H n 3 2 9 M v 0 + O k X l J Z 8 + e r L k 6 9 u p + Z 2 b 9 a j t q d Q j 6 p 1 v X U H w 3 r U d E D 5 o b 3 d 2 + p Q 8 9 I D 0 i 6 3 j c P N O 9 t 7 + 5 9 i k g f f 8 Y T B v k O h F 6 2 2 3 E 5 p m p c o 1 f r Q r G n d p C 8 t F e 6 T N d m 4 c O + J x O 2 x 8 9 W k v n U 7 N W m 6 + P T e 3 v 5 G x 9 d X k A 6 v G 9 + K M M J t H c v b o x Z h g t t 6 l b f v p M 8 A t 1 O J 7 z G J k a m / 8 S V f E d 7 + p Q g H 3 F Y H 3 r 6 T 9 5 1 7 1 3 y / p / 6 + O H 3 x + v g 7 p 6 / O j m + n m P Z u 1 n y 2 k 1 D z 7 b 1 n B 8 O a z 3 S w t z E x 7 n G 8 f W H / / s O H m 9 7 x G N 6 8 s / 0 p T c e n n 4 4 3 G S S P 7 + 1 r + 6 T E 7 m 1 + z e N 8 8 9 r u A + p q Z 5 O 8 e B J g X q K M 7 I O d v f G 9 T a 9 5 I v A + K P r 6 T 9 + 7 n f 6 z n R D N H 2 x c 1 f c V o D d R N 7 w U Y 4 c b X 4 q w x G 3 9 w t t 3 E m G G 2 7 q E N 1 M 4 M v u 3 m s b I 9 N / i N V 8 H v s 9 r E T 6 4 r R Z 8 n 2 4 i P H B L P X i / p w c p h P 7 y d X r 2 4 v N X p 6 + / f H 0 7 V X X v Z l 1 o O w p 1 o Q 7 r 1 h 0 M 6 0 L T w Y P d n Y c P P x 1 / q l r 2 J o 1 o X r t / s L N / 7 + H 4 w a e 3 U 4 r m t e 1 7 Z N d 3 7 4 0 f 3 t I d t O / R p D 5 4 s D N + s C m o 8 g T C v L f / c P / g 0 / H B p r c 8 y b C D 2 7 + 3 d / / B + N P 9 2 + n F 9 0 L S V 4 z 6 4 u 0 U o + l l 9 9 7 O / f s 0 p k 2 U 9 1 W j x e 5 W L 0 Y 4 5 L a a 8 b 0 Q j P D G b Z X j e / X T 5 4 n b K c n 3 m 9 M I M 9 z m P V 9 N v t d 7 E b a 4 r Z 5 8 r 3 7 e l x t c 8 0 9 7 i v L 1 6 a u f f J 0 + O X 5 9 d n J b P b l / s 5 6 0 / Y R 6 U i X 3 1 h 0 M 6 0 n T A U W 9 D + 6 D Y J s 0 l y c N 5 r 3 7 l I 0 j L 2 t 8 / + B 2 m t K 8 R w n v 3 b 2 9 + / f G D 2 7 p Q N o X P z 2 g e J Z e 3 C g Y n l y Y F / f I D u z f U l N a q u w + / P R g Z 2 d z X 5 5 0 v B + S v q 7 U N 2 + n K 0 0 3 u 5 R c f 0 j o G b t 5 o 7 K 0 + N 3 u z Q i f 3 F Z b v h + K E Q a 5 r b p 8 v 4 7 6 f H E 7 f f m e E x t h i V u 9 6 G v M 9 3 s x w h 2 3 V Z n v 1 9 H 7 8 o R r / q C n M 0 + + / I K S i 0 + O T 8 6 + f H F 6 S 6 V 5 / 2 a l a T s K l a b m D m 7 d w b D S N B 3 s U 4 r x w X h n k 1 L x R M K + 9 f D g 3 u 5 m p 8 2 T B / M W r S u Q K t r f 3 6 x p P c H w X 6 S F d H J m N 7 3 o C Y Z 5 k R Y + D + 6 P E U I M v u V J i H l r j 1 T m p 3 v 3 x z u b P G 5 P P t 4 P T V 9 l 6 p u 3 U 5 m 2 m 0 / 3 d m h p 7 Z b 6 0 r x 1 8 0 s R 7 r j 5 p Q h z 3 D b u v n 0 n E Z a 4 b d x 9 M 4 U j D H D L i Y y w w K 1 e 9 F X k + 7 0 Y 4 Y Y b V e T X 6 i j C C 7 d U k Q c 9 F f n s + P m b 4 x d v b q s d P 7 1 Z O 9 o + Q u 2 o S v / W H Q x r R 9 P B p j F 7 n G + a 7 x 7 s b f Y + P e 4 3 7 2 z f + J L H / f r S M D d 7 n H 9 j W 4 / x b 2 z r s f q N b X 0 F d 3 P j C O v c T B J f w d 2 a + L 6 C u / 1 L k W m + r Y K 7 f S f 9 K b 6 1 g r u Z w u 8 z z 7 5 O u 7 G x r 8 d u b t y f 6 A 2 N + / O 7 o X F / X j c M 0 L V 9 2 N N U 5 M y d v W Z H L j 3 5 9 u 2 U y Y O b t Z X t J 9 R W 6 j z d u o N h b W U 6 2 K U o 9 q G 6 i N H B e 7 x s 3 n m w s / + A P L K N a 7 I e S 5 v X t j / d P 3 j 4 6 d 7 m 9 z y u t u / t 7 u 7 e 2 x j f e K x t X t o k C h 5 z W z L c 1 I X H 4 7 f H y 9 d q + t b t t J r t 4 v 6 9 B 5 / u P 9 x M M l + x m R d v 9 V 6 E H W 7 1 X o Q l b q v e 3 q u f C C / c V s P d T O 0 I E 9 x i Q i N s c O N L v s q 7 / U s R b t g 0 e F / 7 3 b 6 T C A d s p L B t j j W v j i J 8 d f r m 9 M X 7 h L Q H N 6 p B 1 0 u o B g / e s 4 N B N W g 7 2 H + w c 3 B w Q F k A E y 7 f o A v t i / f 3 7 j 0 8 w F L L / f 1 b a U P 7 4 v a 9 e 7 S 6 v f / g 0 7 F Z C r 9 B H 7 o 3 9 y j F u 3 f v 3 t 7 m J K K T B v v m 7 t 6 9 3 f 0 H u 3 t j 6 J r B F 5 1 k O P L A q C A K P 9 g 0 S i c c 7 4 u r p y j N q 7 d S l K 6 f + / d 2 K f F 7 b 3 z v 4 e 0 0 p Z v A W 7 0 Y Y Z n b v R h h m V v q y v f s K M I o t 1 S W t 6 B 4 h C V u O 7 M R p r j d m 5 7 a f N 8 3 I w x y S 9 3 5 v j 1 F + G I j 1 V 3 z X a P a n j 3 9 M j 1 9 k R 4 / / e L L F + n r p 1 / e T r c 9 v F l 5 2 h 5 C 5 a l c d O s O h p W n 6 e D + P V o N O d g d 3 2 6 x 2 b 5 2 c O / + p 8 T a 4 4 2 r E 5 4 8 m P e 2 H 1 D K + / 7 e L i U T 1 R D c p D n d m / f v 3 / s U o d W n m x S g J x r m z b 0 H + z u f H h w Q t n t K v 5 t U p x 3 l p 5 8 e P N j / d H f z W r w n J e + J r K 8 6 7 a t 7 n + 4 9 3 H 1 A i m O 8 t 4 l E v i Z 1 7 z 6 8 / 3 B n 7 + F 4 b 9 O 0 + J r U 0 u h W L 0 b 4 5 3 Y v R j j o t p r 0 / T q K M M 5 t N e l 7 T 0 C E Y X Y P H t w 7 2 L 2 3 f z D + d C O a M Z a 5 5 b u + a r 3 N E H 2 F + p 5 o + r r 1 V l 1 F + O O W X X l I 7 h n V 5 8 L 0 5 8 e v z p 6 d n f C i y 6 0 0 I I h 0 k 4 q 1 / Q Q q d k 8 H e O s O h l W s 6 W D v w b 2 d v Y N 7 9 z 4 d 3 9 v E T 5 6 M 2 D c p z n p I 2 m t / / O n + 7 f S s e X P 7 A W m 9 W / q m 9 h 1 S k f c + f U D r 2 5 s 6 8 y T G v P j w P q 0 q P b h P K / G 3 1 K / m R e r v P o 1 u j 1 a I b h e / v y e u v n 7 V N 9 H u Z o V q u j n Y u b d D v H x D L x G m 2 r 7 d m x F u 2 a i u I j x y u 4 4 i L L K x o w h 7 3 K 6 j P n t s o H i E J W 4 5 s R G W u N W L v v Z 8 v x c j 3 H F b v / T 9 O n p f n n D N 7 x m N 9 q x a z q p m l D 4 r Z n k x H a V f Z M v Z T W p t / 2 a N a e G 7 V 2 4 J c 1 h J G p j 3 K E w 9 2 P n 0 w e 2 V p H l z n 1 y t n Y e 7 + z v j T d r H E w D z I i z u p / f 3 H 3 5 K 6 u e W q t K + + m B v f + / T + z u b J s a T B P P a p u a e L J j m t + j E k 4 P 3 w c 1 X j P r e 7 R S j o 9 3 u / b 2 9 g / 2 b a O f r R v P u b V + N c M l t X 4 2 w y W 3 9 z f f t K s I d t / U 4 b 6 Z 8 h C l u N b 0 R t r j F a 7 5 y f J / X I v x x W 9 X 4 P t 1 E + O G W i n H f K s a z p + k X x y + e H r / 5 k h Z / X r x 5 l Z 6 8 v F G J 7 e 4 g p r 5 Z P d p e j E N p 3 3 y v D o Z 1 p e l g s 6 6 M 6 U r z 5 n v r S v P i 1 9 C V 9 t V b z K 0 n F O a 1 W + p K 0 / w W n X h C 8 T 6 4 + b p S 3 7 u d r n S 0 u 6 U q i f D S b V + N c M l t X 4 2 w y W 1 1 5 f t 2 F e G O 2 + r K m y k f Y Y p b T W + E L W 7 x m q 8 r 3 + e 1 C H / c V l e + T z c R f r i l r r x v t N i X b V 0 1 6 c u s K S 7 p Z 5 a e V H V 7 g y p 7 e L O S t O D t G 7 e D O K w V D U R y r Q / 2 d x 8 + H H 9 6 y 2 U g + + L 9 A 8 p l U r p 4 Z 9 O L H t u b F 7 c f k P J + s E M h 0 e 0 0 o n 3 v Y O f g / o N P H 4 7 v 3 U 4 l m v f w 6 / 2 d v f u b 8 9 q e H L g X H 3 7 6 8 M G 9 h + P 7 m z D 1 B O G 9 M P U V p C M N r V X t 3 L 8 / 3 v 9 0 0 5 s R v n u 4 t 0 t h w H j j a x F + 2 r 7 N e x G u 2 S g V E W a 5 T T c R V t n Y T Y R F b t N N h E N u S f Y I i 2 x / i t X F e 5 s X C X 1 d a V 6 8 z X u + s n y v 9 y L 8 c V t t + V 7 9 v C 9 j u O a f x t X l S V F P 1 + V N y u 0 W + t L C d 6 / c E u a w x j Q w 3 1 t j 2 h f f V 2 O a F 9 9 X Y 9 r 3 b q O H P H k w 7 7 2 3 x n Q v v q f G f C 9 M f Y 3 p S H M r 0 Y 2 w 3 m 1 0 R Y S j 3 l d j m v d u q z H f B 7 0 I q 9 x W Y 7 5 P N x E O u S X Z I y z y 3 h r T v H i b 9 3 y N + V 7 v R f j j t h r z v f p 5 X 8 Z w z R 8 Y j f b 6 y y e v j l + 8 O U 1 P j r 9 z n L 4 6 P T n + 6 u m N 2 u 2 2 w b j t R Y N x 9 + Z 7 d T C s R E 0 H 7 6 1 E 7 Y v v q 0 T N i + + r R O 1 7 t 1 F N n o i Y 9 9 5 b i b o X 3 1 O J v h e m v h J 1 p L m V N E e 4 8 T b q I 8 J e 7 6 t E z X u 3 V a L v g 1 6 E V W 6 r R N + n m w i H 3 J L s E R Z 5 b y V q X r z N e 7 4 S f a / 3 I v x x W y X 6 X v 2 8 L 2 O 4 5 g d G v Y n D m b 7 4 U l 3 O b N n m m 3 X c 3 s 3 K 0 0 I 3 L 9 w K 3 r C u N P D 2 H + 7 t P P j 0 0 9 3 d h + O d T Y T x B M C 8 + n D / 3 u 7 O / s H u 3 s H 4 v i r x m / S l e X V 7 b 2 d v n 7 K e x N n 3 x 5 v e 9 Q T C v r t 7 n 1 b v P 9 0 7 + P T T + + N P b 6 k 4 7 X B p X f z e p w e 0 8 P / p p m 4 9 s T B v 7 u 5 / u n c f h m g T O 3 h S 8 f 7 o + t r T v b 3 / Y G 9 v / 1 N o + / H e R o m M s O L 2 / v 3 d n b 2 D v Z 2 d h + P 9 T Q r f 1 6 O O V L d 8 N 8 Z V t 3 0 3 w l Y b x S 3 C S 7 f u K 8 J L G / u K s M 9 7 T E e E h b b J k T n Y J Q / j 0 3 v j e x o 1 3 q h d L f / d 8 l 1 f w 7 7 3 u x E e u q 2 W f e + + I m x z S 0 3 7 0 O j C p / l 6 l q U v / 9 G / Z 1 I W 0 4 w S o s 9 f 3 q A Y 7 9 2 s a S 1 0 + 8 b t I A 7 r W g P x a + h a 8 + r D / b 2 H e + + n a 8 2 r 0 L X 3 H u 6 + l 6 6 1 7 9 5 a e X n C Y o f 7 3 r r W v P m + u v b 9 0 f V 1 r X v 7 1 s I d Y U b S t T s H + 7 f R Q x F e u / W 7 M a 6 6 7 b s R t r q t r n 3 v v i K 8 d F t d + z W m I 8 J C X 0 v X W v 6 7 5 b u + r n 3 v d y M 8 d F t d + 9 5 9 R d j m d r p 2 f 8 d o w 5 f 1 P / p X N 2 2 2 o E z q L E 9 V 8 9 6 k G 2 9 W t 6 4 D 9 8 o t Y Q 4 q X A v z / R W u f f X 9 F a 5 9 t a 9 w b 1 S 4 7 t 1 b a z A n M W 6 4 7 6 t w 7 Z v v q X C / B r q e w v X e v r W E R z j y 6 y h c j 1 S 3 f D f G V b d 9 N 8 J W t 1 S 4 7 9 9 X h J d u q X C / z n R E W O j r K F z H f 7 d 8 1 1 O 4 7 / 9 u h I d u q X D f v 6 8 I 2 2 y c D t d 8 1 y r c V 6 e v 3 x x / 8 e X r 9 O n p V 0 / T M + h B A N i g G W + Z i X V 9 S C b W e / O 9 O h h W w K a D r 6 G A z a t f Q w G b V 7 + O A r b v 3 l q j e R J k h / v e C t i 8 + b 4 K + P 3 R 9 R W w e / v W E h / h 0 K + l g B 2 p b v l u j K t u + 2 6 E r W 6 r g N + 7 r w g v 3 V Y B f 4 3 p i L D Q 1 1 L A l v 9 u + a 6 v g N / 7 3 Q g P 3 V Y B v 3 d f E b a 5 p Q L e M 8 r x W b W c k b d 7 n T 4 p 8 m V O b u / H b 2 7 K 4 9 6 / W f d a 8 P a N 2 0 E c V r Y G 4 q b x e Z J g m u 8 e 3 K R v P H E w L 2 3 f / J Y n C P o W m t 2 o Q 2 9 s 6 7 H 8 j W 0 9 D r + x r a 8 Y b 2 4 c Y Z R b 0 M T X g L e n v 6 / 7 3 u O t y F z f V u u 9 R y / 9 a b 6 1 v r u Z y u 8 z 1 7 4 6 u 7 G x r 7 9 u b t y f 7 A 2 N + 1 O 8 o X F / Z j c M 0 L W 9 Z 5 T H l 2 1 N q u k Z 9 B P U U j 1 N 8 + V N m u Q W y s n C d 6 / c E u a w e j I w b 6 m e T P O b W d D j W / P S L U T R 4 1 t 9 a 5 j y H s / e 2 N Z j 2 R v b e h x 7 Y 1 t f P d 3 c O M I r t 6 C J r 5 5 u T 3 9 f P b 3 H W 5 G 5 v q 1 6 e o 9 e + t N 8 a / V 0 M 5 X f Z 6 5 9 9 X R j Y 1 8 9 3 d y 4 P 9 k b G v e n e E P j / s x u G K B r u 2 / V 0 5 t X F L c + e / p l + u b 0 V f r 5 8 a v 0 + O m N q u S 2 0 a v t R a N X 9 + Z 7 d T C s s U w H t 9 R Y p v n N X O m x s n n p F t L p s b K + N T w Z H h v f 2 N b j 4 h v b e k x 8 Y 1 t f Y 9 3 c O M I + t 6 C J r 7 F u T 3 9 f Y 7 3 H W 5 G 5 v q 3 G e o 9 e + t N 8 a 4 1 1 M 5 X f Z 6 5 9 j X V j Y 1 9 j 3 d y 4 P 9 k b G v e n e E P j / s x u G K B r e 9 / o k m 9 n U 4 r y v N X k u y + z d q N G u X e z p r L Q t f 1 t o A 2 r J Q P t 4 c H e / u 7 9 H c q P j T / d v 5 2 K M q / u 7 j 6 4 t / v w 4 Y P d e 3 v j A 0 U o + q 7 H w u Z d S j X d 2 9 v f O 9 j f u b 8 / f q i e Y f R l j 5 P d y / u 7 D + / t 7 B 0 8 2 D 8 Y 3 9 v b 8 L L H 1 u b l / d 0 H n 9 7 f e b h z 7 9 N N I b / H 4 u b F v R 1 S + p 8 + o A T O 7 t g s L N 2 k 3 t 4 f Y 1 / f 2 b f v 3 d / f + X S f / n / v / v j h x m x M h B u 3 d 3 f v 7 Z L B o s z e D U m 9 C L P d + t 0 I a 9 3 6 3 Q h v 3 V Y l v n d f E X a 6 r W L 8 G t M R Y 6 P d v d 1 7 + 7 u 7 B w c P x p 9 u T A L G + O j W b / u q 9 D Y D 9 b X p e 6 P q a 9 d b d R b h l l t 3 5 i H 6 6 Q c o 3 F v 4 h h a 8 e e F W 8 I Z 1 r o G 3 t / d w h 3 T I p 7 d T t + / x l i c Y 5 q 1 b + o K 3 a e 6 J w m 2 a e 7 x v m j 9 8 Q P p z 5 + H 9 h z v j B w e 3 0 6 C 3 6 c n X m e / b l a 8 x b 9 V X h D 9 u 6 y X e q n 1 k 5 s P 2 w 8 r w V u 3 f c 9 J 9 B f j e t I 2 w w P a t X 4 4 w w W 3 f 9 Z X f e 7 / 7 n g z h 6 7 7 3 7 u t 9 m c M 1 f 2 B 0 0 9 N q S c q v 4 j W F P D 3 J V k W b 3 a C p 9 m 5 W f R a 8 f e N 2 E I e V n 4 F 4 C z X m i c B 7 v O U J g n n r l s p P m 6 P Z j Z r v x r Y e z 9 / Y 1 m P x G 9 v 6 S u 7 m x h F O u a 1 W u 1 X 7 y M T e V q v d q v 1 7 T q a v 1 W 7 V / n 1 m 1 F d j N z d + n z n 1 9 d T N j f t z u q F x f 0 I 3 N O 7 P 5 o Y B u r Y H V g d 9 + e L 4 5 O z L F 6 e v 0 6 e n 6 c n x y 5 v U B e c v b p O e s 1 1 w e s 5 / 8 7 0 6 G F Z L p o N b K B i P h 9 / j L Y + T z V u 3 V E v a f H g q P C a + s a 3 H w z e 2 9 V j 4 x r a + W r q 5 c Y R 5 b q u W b t U + M r G 3 V U u 3 a v + e k + m r p V u 1 f 5 8 Z 9 d X S z Y 3 f Z 0 5 9 t X R z 4 / 6 c b m j c n 9 A N j f u z u W G A r u 1 D o z O O p + 0 6 K 4 s f W P + I 4 s Q b F M c t 8 n A W v H 3 j d h C H d Z C B u I k 1 P E 6 9 T X O P U W / T 3 O P T 2 z T 3 2 P Q 2 z T 1 G N c 1 v 6 y F 7 b H u b n n x t 9 L 5 d + c r p V n 1 F e O K 2 y u l W 7 d 9 z y n 3 l d K v 2 7 z n p v n J 6 b 9 p G W O B r R Y L v 2 7 G v y t 7 7 3 f d k C F + 5 v X d f 7 8 s c t v n 9 H a v u T t 6 k 3 y Y / 7 P T F 0 + P 0 5 V d P n p + d H N + k n G 7 r i L l e 1 B F z b 7 5 X B 4 N K 0 H Z w O y V 4 q + Z O I G 7 V 3 M n D r Z o 7 c b h V c y c B t v l t m c P x / 6 1 6 8 p T g e 3 f l K c H b 9 R V h k Y 3 t 3 3 P G P S V 4 u / b v O e e e E r x d + 8 i s 3 5 q 2 E R b 4 O k r w v T v 2 l O D 7 v / u e D O E p w f f v 6 3 2 Z w z X f N e q p t x K Q 3 k 1 f b l Z S N 6 f D H H j z w q 3 g D S s 7 A 4 9 X X / c e 3 N 8 7 G O 9 t o o w n B e Z V W X 1 9 s L 9 3 b 3 e M q H 3 w X U 8 i z L t f Z / X V e / m 2 a 5 m e r J i X 3 3 f 1 1 Q 1 3 5 8 H B v Y N P D w 6 I i e 5 v w t i T k / f H 2 F e d 9 u 3 9 + 7 t E 5 v s 7 e 3 u f j h 9 s o r S v P F 3 f t 1 2 Z j L D b r d + N s N a t 3 4 3 w 1 m 0 1 7 H v 3 F W G n 2 2 r b r z E d E T a 6 t / P w Y H d v b 3 f / w c F 4 f x M b + f r W d n 3 r t 3 2 N e 5 u B + l r 2 v V H 1 V e 6 t O o t w y 6 0 7 8 x D d M 0 r x V d 6 s y z a b V b w E c f r T e T 0 t b l C R t 9 C 5 F r x 9 4 3 Y Q h 7 W u g X h w Q N Z o 7 8 H D 3 U / H + 5 v Y 1 Z M M 8 y r U 0 M G D B / u f 7 j 4 c f 7 p J k 3 h S Y t 7 d / n T n / r 1 7 + 9 T 7 7 u 0 0 r n 1 x / + H e 3 s 7 D e / c f 7 I / v b e J 4 T 1 z M u 3 v 3 D s j C 7 N + 7 R x P 7 6 a Z + P W G x 7 x J / 3 N u 5 R w b m 4 S b j 5 E n K e 2 P s K 1 z 7 M h m m T w / 2 d j 7 9 d G 8 T w r 6 2 t a / e W h N F G O 3 W 7 0 Z Y 6 t b v R n j q t t r 2 v f u K s N J t t e 3 7 z k W M e + 7 d J z E h B t q / C c 8 Y A 9 3 6 b V / V 3 m a U v q p 9 b 1 R 9 V X u r z i K s c u v O P E T v W V V 7 + v q r 5 7 T I 8 j w 9 / c 7 p q 5 M z W n W 5 Q S / u 3 j r E t 5 1 I i O + 9 + V 4 d D O t f 0 8 G 9 B z v 0 0 v 7 B z t 5 m x e L J i n l 1 j / T Z g 4 e k v h 9 u t v 2 e 2 J h X N 8 2 T J y m m + f Z t u / K k 5 j Z d e Z J y m + a e b L w 3 Z r 5 y f f + X I + x 3 6 3 c j X H X 7 j i M c s 1 F t f Q C b + O r 1 V n 1 F G O X W f U U Y 5 f Z E e U + 2 8 X X q b d r 7 W v R W 7 S P c s b F 9 h C N u q z h v 0 9 5 D Z 9 / T l a w l 0 + M X b 0 5 f n X 1 J f 9 + g y m 6 9 L u 0 6 U V 1 5 u 3 X p X g f D u t J 0 s H / / / s 4 O e V E P b 6 c n 7 W u f H u z c P 9 i 7 d 2 / 8 8 J Z q 0 r z 5 c P f B / X v 3 H 3 7 6 6 c P x / i Y H 1 5 M E + + q n 9 w 4 O K N W z R z H E J n w 9 Q T C v 7 u 3 s 3 f / 0 / v 7 B 7 v 7 D 8 b 1 N 8 Y c n B + b d W 6 r P 9 8 X S 1 5 7 m 3 e 3 d n U 8 p g 3 G w c 2 9 v Z 3 z w 6 S 3 V p 3 1 7 / 9 N 7 9 3 c O d u 8 / H O / c V n 2 6 C b 3 d q z E W u u W r E T a 6 r W v 6 v l 1 F m O e 2 n u n X m I o I z 9 y a 3 3 x F a r u + 9 d u + W r 3 N Q H 2 1 + t 6 o + j r 2 V p 1 F e O X W n X m I 3 v c U 7 l e e Y 5 q S t t u / n U K 0 w f u b Q Y 1 r e w k 1 r q q o W 3 c w r H F N B 5 t I 5 o n I b Z p 7 E m K a U y 5 y 7 + H D T y n 5 e j B G 9 m X w X U 9 E 3 v t d T 1 z M u 7 u f 4 l X K e D z Y p N Q 9 S b n N + D z Z e G 8 c f f X q v b z / 6 d 6 n 9 x 7 u 3 B + D O 4 d f j r D f R g U S Y a S N 7 d + T L 3 z d e a v 2 E c 6 4 r d 9 5 q / Y R D r g 9 c S N c c D v 2 8 Z W l 6 / Z W r / q a 8 j Y j 9 D X l + y H p q 8 l b 9 R T h h d v 1 5 K H 4 6 Q Y d q W r 2 J h V 2 7 2 Y d a X s J d a R O 9 q 0 7 G N a R p o N b 6 s j b N P c k w T T f v n / v 4 D 6 l L S n L N b 5 3 S x 3 5 3 u 9 6 E m L e 3 d v Z f / j p / Y e 7 Y 3 w y + K I n H b c Z n y c S 7 4 2 j r y P d y / s 7 n 1 I 6 9 w F x 3 8 F t A / j b I O r r y F u 1 f 0 + + 8 H X k r d p H O O O 2 O v J W 7 S M c c H v i R r j g d u z j 6 0 j b 7 e 1 e 9 X X k b U b o 6 8 j 3 Q 9 L X k b f q K c I L t + v J Q / H B B h 2 p I G 5 S Y f s 3 6 0 j b S 6 g j 9 9 + z g 2 E d a T q 4 p Y 6 8 T X N P E k x z W g B 4 e O / T B 6 R B D m 6 n I N / v R U 8 2 z I s U a d E K 4 Y O d 8 S a 5 8 M T i N g P z Z O H 9 8 P M 1 o 3 m T E h e f 7 u 1 T w m S 8 U a d G O O 6 2 a v F W 7 d + T F X y 1 e K v 2 E W a 4 r V q 8 V f v I 1 N + S s p H J v x X T + C r R v L h 9 q z d 9 j X i b w f k a 8 b 1 Q 9 B X i r T q K c M G t O v I Q P N i g D x X E T e r q / s 3 6 0 P Y S 6 s N b O q W 2 g 2 F 9 a D q 4 p T 6 8 T X N P B E z z 7 d 0 9 y g U 9 e P B w 7 2 D 8 4 J Y q 8 b 3 f 9 U T D v L u 7 u 7 9 z c E B L s Q 8 2 h V S e Z N x m f J 4 8 v D e O v m b 0 X n 7 w c J + S n v f u 3 x C U R 9 j v t s r x V u 3 f k y 9 8 5 X i r 9 h H O 2 N g + w g 0 b 2 0 c 4 4 P b E j X D B 7 d j H V 5 C u 2 1 u 9 6 m v I 2 4 z Q 1 5 D v h 6 S v I m / V U 4 Q X b t e T h + L D D T p S p e Q m F f b p z T r S 9 h L q y E / f s 4 N h H W k 6 2 E Q v I w q 3 b O 5 J g m m + e / / + v Q e 7 9 3 f u b 1 5 r 9 G T i P d / 0 p M O 8 S V T Y 3 d u n Z K D J Q t y k H 2 8 z N k 8 c 3 h N D X z v a V / f u 0 Y r F z u 6 D 8 Y P 9 W + r G 2 y D p 6 8 Z b t X 9 P f v B 1 4 6 3 a R z j i t r r x V u 0 j s 3 9 b 0 k b m / 3 a M 4 2 t G 8 + b 2 7 V 7 1 N e N t x u d r x v d D 0 t e M t + o p w g m 3 6 8 m h + O n O B s 3 4 8 H a K 6 8 G N m t H 1 E m r G W 7 q n t o N B z W g 7 e H B v j + J C W l j 8 V L X u D T r S v n g 7 H W m b b + / v 7 9 0 7 + P T + p w 9 u y J I 7 6 f D f f f i A k n o 7 9 / b H B 0 r j G / S k f f f h 7 u 7 D n X t j C P X g a 0 5 K b j U 6 J x r v j 6 G n J 4 O X K Y b 5 9 O G 9 m 7 g w w o a 3 m z 9 P Z 7 p u b / l q h G l u q T 7 f F 8 k I 2 9 x S k b 5 v T x F G u f 0 s R N j l N l z m q V T X 6 W 1 e 9 B T q r e j i K d T 3 Q t B T p 7 f r J 8 I Z t + n H Q 2 9 3 W J n u a t c 3 6 b q D m 5 W p 7 S V U p g f v 2 c G w M j U d b K K W J x a 3 a e 7 J g m m O J e B P d 3 f v 3 9 v Z G 9 9 S g 7 7 v q 5 5 c m F f 3 9 3 b u 7 x 4 8 u H U g b l + 8 d / D w I X W 3 i R M 8 i X h f T H 1 F 6 r 3 7 6 Q N 6 9 g j b T 2 + r S G 8 z G b 7 6 v F X 7 9 + Q N X 2 f e q n 2 E O 2 6 r K W / V P s I H t y d u h B f 2 d z / 9 d P f h g / 3 x v V s 6 n a 7 b 2 7 3 q 6 8 j b j N D X k e + H p K 8 l b 9 V T h B d u 1 5 O H 4 t 4 G P b l 7 O z X 2 8 G Y 9 a X s J 9 e T D 9 + x g W E + a D v Y + J S E / O L g / 3 t 8 0 f k 8 o z I u 7 + / s P K J c x 3 t + k V T z h M O 9 t H + z t 7 + 3 d u 7 f / Y P y p q v 2 b V K d 7 d f / h H m W Y d w / G n 9 4 u R n f Y 0 l L d w Y P d g 0 / H + 3 u 3 0 5 3 2 z Q c H + + Q t f z q + p 8 S / S X 2 + L 7 a + + r T v P i R F v / 8 p d b w 5 k x 7 h y z 1 y f x 8 + o B T 8 w 0 3 4 + m r U d n r L V y N c d F u N + p 5 I R t j n t r r 1 P X u K s M x t 5 y D G M z s k V v f u 7 e 3 c O r J 3 v d 7 y X V / L 3 o Y 2 v p Z 9 T z R 9 N X u r r i I M c s u u P C T v b d C z K s I 3 q E E I 1 k 1 6 1 v Y S 6 N l b O r y u g 2 E 9 a z q 4 p T 9 6 m + a e V J j m 9 3 f J S b t P Q d P 4 4 H Z p z / d 9 0 5 M P 8 + b u w e 7 9 / Q c P 9 j 8 d 7 2 0 S L U 8 8 7 J v 7 u 2 Q r 9 x + O 9 z 6 9 n U p 9 T 2 R 9 j W p e v U d L u w 8 o o L w 3 P t i / p U a 9 z V z 4 e v R W 7 d + T N X z l e a v 2 E e a 4 r c q 8 V f s I I 9 y W t D F O + P T B / v 6 n 9 x 8 + u L 2 i N K 9 u 3 / J d X 1 H e Z o S + o n x P N H 1 F e a u u I s x w y 6 4 8 J P c 3 K E o F c Z M e 2 7 1 Z U d p e Q k V 5 O 4 / X d T C s K E 0 H e w / I T a O 8 j 0 K + S W G a 1 w 4 + 3 X / w 6 e 5 4 k 3 P n i Y Z 5 i 5 z R e w f k F + 6 S R r l / O 8 X p v 7 r 3 8 C E t y W x O c H k C Y 1 6 9 d 3 D / 4 N 4 O r X O P H 2 w a p S c v j j g H B 3 s H + 5 s 1 r i c s 7 4 u s r z n t u + Q 7 f 3 q P c g + k 6 U 2 i 5 k b d a V + + f / D g / g P K Q t 3 W G T U v 3 u q 9 C P v c 6 r 0 I / 9 x W q b 5 X P x G 2 u a 1 y f X / q R 9 i F d P L O P q X C D z Z H P b 5 6 t f 3 e 8 l 1 f v d 5 m j L 5 6 f U 8 0 f f V 6 q 6 4 i 7 H H L r j w k 7 2 9 Q r / u 3 0 3 5 7 N 6 t X 2 0 u o X m / p 6 N o O h t W r 6 W C P V t g e 7 u 7 f N y 7 u T f r V v L f / g J L J B / c e 7 t 0 b 3 7 + l k j W v U k h z c G 9 / 5 z 7 p u 4 e b b J q T F o c t x Q y 7 e 6 T z d s b 3 N 0 m a J z j 2 V V o + 2 K X l h / s 7 m x e 5 P L F x r x J R a Q 2 J l i 5 0 h m / S s + + L r 6 9 n z b s b N U O E I b f 3 7 u 9 T I v D h / u 4 N U + K r V 4 v o b d + N s d B t 3 4 2 w 0 W 3 V 7 H v 3 F W G e 2 6 r a W 7 W P s c l t J z v C K N u 3 f d n X r 7 d B 1 N e v 7 4 u o r 2 B v 1 V e M O W 7 Z l 4 f m p x s 0 r D p l N y n A e z d r W N t L q G F v 6 S H b D o Y 1 r O l g 7 4 B S H a R 2 H l J O d Z N P 6 U m H e f X e 3 s H D P W h o W u K 5 p Z I 1 r 2 7 v f 7 p H C w L 3 H p I P f M s U g L 6 K Z j d q 1 R v b e v J x Y 1 t P H m 5 s 6 2 v K m x t H u O q 2 h P G 1 p H n 3 t q 9 G u O C 2 r 0 a 4 4 L Y 6 8 n 2 7 6 k / 9 r V X k z Z R / n / n 3 F e K N j X 0 F e H P j P g N s a N y f 8 Q 2 N + 3 O 8 Y Y C u 7 Q O r 3 L L L r P x H / 5 6 q u U H h 3 E K V W Z j 2 j d t B H N Z d B u L D / X u 7 D 2 l x b H d z O O w x 7 X u + 6 b G v e X P 7 4 d 6 D n Y f 3 7 u 9 S O P V w 0 7 s e / 7 7 3 u x 4 v m 3 d 3 K Q C / R w l + W h r f v L b j s b Z 9 l 1 a T D h 5 Q H H / / Y H x / k 9 B 5 n P 7 e O P u q z 7 5 M + a G d T 3 f 2 7 3 2 6 c 3 / 8 4 L Z r Q + b t j e I e Y b C N 7 S P s s 7 F 9 h G l u q + l u 1 T 7 C H r d V b 1 + D u h G m e L B P k 7 p D q 4 U k A 7 c N t 2 3 P t 3 3 Z V 4 e 3 G a a v E d 8 X U V 9 B 3 q q v C E v c t i 8 P z Y O u y k x n e f q k y J d 5 k 5 4 t b 1 J 2 u z f r T 9 u B e + W W M I c 1 q I F 5 S z 3 o C c N 7 v u m J h X n z 1 h r F E 5 H 3 f t c T F / P u 1 9 G g 9 t 2 v o U H f G 2 d f g 9 q X b y / j E Z 6 8 r Q a 9 V f s I + 9 x W g 9 6 q f Y R V b q t B b 9 U + w h L v Q d 0 I U 9 x a W c S Y 4 r Y v + x r 0 N s P 0 N e j 7 I u p r 0 F v 1 F W G J 2 / b l o f n Q a t D T n z x + / t W X 6 d m L L 7 4 6 f f L 8 9 P W N m k 7 C 3 Z t 1 q O 1 C w 2 n 3 5 n t 1 M K x Q T Q e 3 V I u e b L z n m 5 6 U m D d v r W A 8 i X n v d z 3 p M e 9 + H Y V q 3 / 0 a C v W 9 c f Y V q n 3 5 9 i I f Y d H b K t R b t Y + w z 2 0 V 6 q 3 a R 1 j l t g r 1 V u 0 j L P E e 1 I 0 w x a 1 1 R 4 w p b v u y r 1 B v M 0 x f o b 4 v o r 5 C v V V f E Z a 4 b V 8 O z Q c 7 R t u d N m 0 2 Y 4 f 0 V d 6 s S / y x O a D f 3 7 5 / o z J 1 4 O 0 b t 4 M 4 q D 0 t x E 9 p 2 D u k E m j h Z r x 3 O / 3 p 3 j 3 4 d I 8 W j e 9 h O X 5 / k z Z y Y m H f 3 d 3 5 9 M H 9 T + / v 7 d w b P / j 0 V g r U v v r g w a f 3 H + 7 e e / j p + P 6 m N 5 2 s O I R p h e r B / Y e k C G m Z W y 3 R D e r T v n u f D M X O Q 1 K 8 l E b b 2 U Q o J y n v i 7 G n P M 2 r a H e j r r T 9 7 B F 2 p O F 3 H o x v u d x j 3 9 y + 5 a s R D r q l A n 1 f J C M 8 c 0 t V + r 4 9 9 R l l A 9 U j n H H b 2 Y 0 w x v Y t 3 / U 0 6 K 2 o 4 W n Q 9 0 X T U 6 C 3 6 y r C E r f s y k N y 1 y i 4 s + V F n T d V k 1 6 n X 7 Y 1 / X y S L z d r u 5 u 1 p w W u 7 W 8 D b V h z G m g P 9 8 i b 2 i X d 9 2 D z + r E n A u Z V c j l 3 9 0 m V 7 B 7 s j D c R y J M B 8 + r 2 / d 2 D v Q e f P j j Y e 3 h v f G + T u f c E w r 5 M n d J a 6 a e f 0 m r 7 e G + T U H g y Y V 7 e I + 2 3 R x r 7 4 P 5 4 b 5 O y 9 y T E v E p q / l M Q 6 9 O 9 + + P 7 m / S u J y I b c b 5 R f e r b t 1 O f t q v d g / s H e 7 u 7 D + / f G 5 u F x R s 1 q H n 5 1 u 9 G W O n W 7 0 Z 4 a a N S j D D Q r f u K 8 M / G v v o s c z s 1 + j U m O s I m t 3 7 Z V 6 X v / 3 K E a z Y q x w i j 3 L 6 z C K d s n A H X f K + n T s k h / T x v 2 u I f / V t v U K e 7 N + t T C 9 2 8 c C t 4 w x r V w N v 7 l N y z B w / J w Y I r P j h O T w j M m 5 + S B 3 v / / r 0 H O / t j s N b g q 5 4 8 m F e 3 P 9 2 j 2 X h w / 8 H u 3 m Y n 1 p M H + + 7 9 f V r G P 7 j / 4 P 7 O 5 n c 9 2 T D v 0 j t 7 n + 7 t 7 + + O H 2 7 S i J 6 g 2 M H u 7 e z u 7 R / s k s e + f z t d + t 7 4 + q p U X 7 6 d K r U 9 U f T 0 6 Q F x + m 0 d U f P i r d 6 L 8 M 6 t 3 o t w z m 3 V 5 3 v 1 E 2 G V 2 6 r O m 6 k d 4 Y j b z 2 u E K W 7 7 r q 8 4 3 / v d C I v c V m + + d 1 8 R 7 r i l 2 r x n 1 e Z i t S Z t e V P o D s 6 / S V l a m P a N 2 0 E c V p c G 4 s H + 3 r 0 H 9 x 7 e 3 2 x F P J 4 3 L + 7 d / / T T T + n N / U / H D x S f m 7 S l e X W b F M 8 e i c D 9 + 7 u 3 1 p b u 3 d 3 9 + 7 s P H z y 4 t 7 c 5 U e W J g 3 m X F N 7 O Q 8 p f 0 t x v 0 n m e b N j B 7 n 3 6 c I 8 c 1 9 1 7 4 7 1 N g / U k 4 7 0 R 9 t W l v n w 7 d W l 7 u n f v A S V 2 D 3 Y P x g 8 2 T a a v M c 2 7 t 3 0 1 w k G 3 f T X C Q 7 f V m + / b V Y R v b q s 6 b 6 Z 8 h D 1 u P 8 c R B r n t u 7 7 q f O 9 3 I + x y W 9 X 5 3 n 1 F e O S W q n O / p z r T 1 9 W k z t P y Z i V 6 C y 1 q w b t X b g l z W I 8 a m K Q e 7 n + 6 s 2 m c H v + b l 3 Z 3 d i k G p 1 j 8 t g G 8 e Z G W U v Y P P r 1 / w 4 u e G N g X K V V L 4 f f + / f G 9 T S 6 u J x D m T V o d u P / p R l / R E w z 7 E l n P + w 9 2 d s c P N v X m C c V 7 4 u n r T H 3 1 d j r T 9 r O 3 R x N A e u W G Y D H C R b d 8 M 8 I r t 3 w z w j C 3 V Z j v 2 V O E U W 6 r L 2 + m e o Q t b j u 7 E c a 4 3 Z u + r n z P N y N M c l t N + Z 4 9 R T j j l n r y v t W T X 7 x M X 9 8 9 e / H 5 q / T L J + n L V 6 d f n H 1 5 o 1 L b J b V z i 8 V 3 1 w s v v v t v v l c H w 7 r T d P B e u t O 8 9 N 6 6 0 7 z 4 3 r r T v n i 7 e f W E w 7 z 5 X r r T v v S + u v M 9 8 f R 1 p 7 5 6 O 9 1 p + 7 m l d o m w 1 C 3 f j P D K L d + M M M x t d e d 7 9 h R h l N v q z p u p H m G L 2 8 5 u h D F u 9 6 a v O 9 / z z Q i T 3 F Z 3 v m d P E c 6 4 p e 7 8 1 O r O r o + Z p S 9 v U m 3 3 b t a a F r 5 7 5 Z Y w h x W l g b l 7 n 1 Z A 9 n Y 3 q x K P 9 e 1 7 D y h u o m Q f R f m b 3 v S E w L y 5 v f v p 7 v 1 9 W u 4 + G B 9 s e t W T A v c q L f T s P 9 y / v 7 9 5 q d s T C I v v L q V T a W V s v L s p 0 P C E w 7 5 4 7 w H l 1 h 5 Q P n S j 0 H q y 8 b 7 Y + l p T 3 7 2 d 1 r Q d 3 a P c / c H u / v 7 4 w a b U h 6 8 1 z a u 3 f D P C O L d 8 M 8 I 6 t 9 W a 7 9 l T h F 9 u q z V v p n q E M W 4 9 v R H W u O W r v t 5 8 3 1 c j f H J b x f m + X U W 4 4 5 a a 8 4 H V n O R 1 v n l 1 / P p 5 + v T L L 9 I n Z 6 c v 0 i 9 u 1 H K 7 9 2 7 n d d p e j N d p 3 3 y v D o a V q e n g 0 9 0 H e w 8 / v T 9 + u E n H e B J h 3 n u 4 9 + A h r S 8 d j O 9 / e j t d a l 7 c P v i U 1 q 5 3 K H 9 y f 5 N s e K J h 3 3 y w d 3 C P r O K D 8 c E m t e Y J i X l z d 4 f S l v v 7 B + O d T S 9 6 A m N e P L i 3 u / f g 0 4 f 3 N 6 t 9 T 1 r e E 1 d f j + q r t 9 O j t h / o + o e k 7 m / I u E V Y S 9 + 8 6 c 0 I z 9 z y z Q j X 3 F a P v m d P E W a 5 r R 6 9 m e o R t r j t 7 E Y Y 4 3 Z v + l r 0 P d + M M M l t l e h 7 9 h T h j F v q 0 A O r Q z 8 / O X v 5 + j Z K b e 8 2 W t P C 9 b X m 3 u 2 0 p t f B s N Y 0 H d y / d / B w k 9 7 z W N + 8 Q h 7 9 D g X r 4 7 1 b 6 k v z 3 v b D T 3 c + 3 d 3 b 3 f y i J w H 2 x Y P 7 r G o 3 L + N 7 o m B e 3 L 9 / c I / U 8 6 e b D K g n F H a A O / v 7 D + 8 T 0 6 i v f 5 O q f D 8 8 f U 2 p b 9 5 O U 9 p u y C w + 3 H / 4 6 X h n Y z c R b r r d i x E u u d 2 L E V 6 5 r Z p 8 v 4 4 i P H J b L X k z x S M M c c u J j b D E r V 7 0 d e T 7 v R j h j k 2 E 8 F X k + 3 U U 4 Y m N F H f N H 1 o N e f r y d f q d r 0 4 / / / J 1 e n L 3 + O V X p 6 / f 3 E a d 3 b u N v r S 9 + P r y 3 u 3 0 p d f B s L 4 0 H Z D 3 9 Y D e G O 9 v 0 g 2 e I J j 3 7 n E i h L J P + 5 s s k S c R 5 s X t v Q c P d h / e 3 / l 0 / P C W X q Z 9 c / f + v f s H B 5 / u 3 D p e N 2 / u H V D M 9 + n 4 l m r T v E X Z D E r E P q D 3 N r 3 o C c l 7 I u o r T n 3 1 d o r T 9 b N 3 j 0 z Q P p F y / 5 a a 0 4 7 t d m 9 G G O a W b 0 Z Y 5 r a 6 8 z 1 7 i n D K b Z X n z V S P s M V t Z z f C G L d 7 0 1 e f 7 / l m h E l u q z / f s 6 c I Z 9 x O g R 7 s W A X 6 x c s 3 X 2 J R 6 H X 6 + v T V T 6 b f / v L 1 y 9 v o t / 1 b K F D X i 6 9 A 9 2 + n Q L 0 O B h W o 7 Q A 5 + I 1 Z S y c J 9 h 2 K n S j w / f R 2 m t O + t X 2 P 8 p y f P t y Y e H b C 4 F 6 j K e K 0 7 K 1 0 p h v X f V L x m 6 b U i Y Y b 1 8 7 O 3 t 4 + V N X g W 0 4 q 3 g t B T 1 e a 9 2 6 l K 1 0 n t B h H 6 y W 3 D M X t a 7 d 4 K 8 I T t 3 g r w h W 3 1 I / v 0 0 u E H W 6 p G 2 9 B 5 Q g D 3 G o q I y x w i 9 c 8 r f h e r 0 V 4 4 Z Y q 8 b 2 6 i X D B R k q 7 5 r t W H 3 Y W f F 7 8 o 3 / r o r h J X 9 2 / W R X a D t w r t 4 Q 5 r P 0 M z H v 3 P 7 2 / 8 / D g 4 X j n 4 e 1 U o H l x d / f T / b 2 H D + G p b 3 z V 4 3 v z 6 j Y t v x z A N b v 3 6 e 0 0 o X t x Z + 8 + G b d 7 D w 8 2 r q 1 7 U m B e 3 X 9 w j 9 K x e w e b U 6 O e R N h x 7 l A W d + f + p 3 u 0 W L T p V U 8 o 3 h d d X z f q u 7 f T j V 5 H 9 3 Y + 3 d m D N 3 9 L / e i G d 6 s 3 I 5 x z y z c j r H N b P f m e P U U Y 5 r a 6 8 m a q R z j j 1 t M b Y Y 1 b v u r r z P d 9 N c I n t 9 W b 7 9 t V h D t u q T v 3 r O 5 8 / e r N y x v 1 2 u 7 9 W 6 3 x O L D G e b R v v l c H w + r T d P D e 6 t O 8 + D X U p 3 n 1 v d W n e / F 2 8 + k J h n n 1 v d W n H e f 7 q 8 / 3 R d d X n / r u 7 d S n 1 9 G t F E y E w W 7 5 Z o R z b v l m h H V u q z 7 f s 6 c I w 9 x W f d 5 M 9 Q h n 3 H p 6 I 6 x x y 1 d 9 9 f m + r 0 b 4 5 L b q 8 3 2 7 i n D H L d X n P a P n j q f T v K n q g n z P W Z 6 K I 3 q T s n t w s x 6 1 8 N 0 r t 4 Q 5 r D o N z N 3 7 9 x / s 0 O L L x s y 6 x / 7 m P Q q i 7 + / s H N w b 7 2 3 K b 3 h y Y F 7 c v n f / 4 U M S h b 3 x x p j L k w P 7 5 t 7 + / T 1 6 + d P x v U 0 i 5 E m E e f P T / f s P 9 v Y f j v d u p z X t G M m m U F L i / v j + p v 4 8 w X h P T H 2 V q a / e T m X a f n Z 3 9 z 9 9 s P P p / c 1 r U r 7 K t P N + u z d j H H O 7 N y M 8 c 1 u V + Z 4 9 R V j F 7 2 m T y r y Z 6 h G 2 u O 3 s R h j j d m / 6 C v M 9 3 4 w w y W 3 1 5 X v 2 F O G M W 6 r L f a P O X p 2 e H L / C u k 9 K O U y s + 3 z 5 + k b N t v v g d r 6 n 7 c T 4 n v b N 9 + p g W I G a D h 4 + 2 P v 0 / s P x v k K + S X + a 1 / Z 2 y S I 9 3 H k 4 / n T T i 5 5 Q m B e 3 9 3 Z o N W X v / s 5 G b e b J h H 1 x 9 9 O 9 g w c P 8 O K m L j 3 p M G / u H 1 C + 9 O H O Z h f Z E x Q 3 x t 2 D / Q f 7 O + N N 4 u t J y X t i 6 q t P f f V 2 6 t P 2 Q 2 a B l p U f b l 5 C 8 7 W n p c i t X o x w y + 1 e j P D L b X X n + 3 U U Y Z P b q s 6 b K R 7 h i N v O b I Q p b v e m r z r f 8 8 0 I g 9 x W d b 5 n T x G + u K X q v G + 0 2 h d f P X 9 z / D p 9 e v q + q n P v Z t V p O w l V p 6 q b W 3 c w r D p N B x T l 7 z 4 8 G O 9 s 8 g M 9 U T C v 7 e 5 R h o D W o s d g 3 8 E X P Z k w L 5 K 7 R H m C n Y e 7 m z W Z J x T 2 z U / v 7 e 4 / 2 N s Z P 9 y k d D 3 p s L j u f 7 q 3 c 4 + 8 5 F u q T v P e g w c P P n 1 w f 3 8 z I 3 l S 8 n 6 I + p p T 3 7 y d 5 r T d 3 L 9 3 7 / 6 9 B z u b f X h f c 9 o 5 v 9 W L M W a 5 1 Y s R d r m t 5 n y / j i J M c l v N e T P F I w x x y 4 m N s M S t X v T 1 5 v u 9 G O G O 2 6 r N 9 + s o w h O 3 1 J q f W o V G a j I 9 / c 7 p y f t q z X s 3 a 0 3 X S a A 1 1 f W 5 d Q f D W t N 0 c H B v 9 9 N 7 G 1 M Z n h C Y l + 4 h B X K w P 9 7 f F O Z 7 w m D e 2 7 6 3 / + A + 5 u Z g 0 4 u e M N g X d x / u 3 a N A 4 t b O p n m R s i / 0 1 s E m V v D E w 7 y 1 R z m M B / d J s d / S 1 X w / N H 1 9 q W / e T l + 6 b u 7 f 3 9 t 9 e H / 8 6 W 3 1 p X n z d i 9 G 2 O R 2 L 0 Z Y 5 b b 6 8 v 0 6 i r D I b f X l z R S P M M Q t J z b C E r d 6 0 d e X 7 / d i h D t u q y / f r 6 M I T 9 x S X z 4 w q u z L t q Z U p l 1 Q v 0 m V P b x Z S 1 r Q 7 p V b w h x W j A b m 3 t 7 O / q f 3 P 6 U 0 7 6 a U p M f x 5 s X d n Y P 7 B 7 R C Q p H q / U 3 6 w 2 N + 8 y q l z z + 9 9 + D T n U 8 f 7 N 5 a R d p 3 D x 4 e H H x K C 0 g H G 5 c E P E k w b 9 6 n g P w + s g 4 b s 7 a e V J g X H 9 5 / c H C P V r w e b D Y E n l S 8 J 7 K + p t R X b 6 c p H U F p T e 0 h + 8 w b U f R 1 p Z 3 H W 7 4 a 4 Z 3 b v h r h n t v q y / f t K s I x t 9 W Y N 1 M + w h u 3 n e E I c 9 z u T V 9 n v u e b E U a 5 r d J 8 z 5 4 i v H F L r X l g V B v 5 l m + + T F 8 e v z p O v 3 p x R m r s R h 2 3 e 3 C 7 p K b t w v i Y 9 s 3 3 6 m B Y l Z o O H i D E p s W d j d k j T x b M e / f 2 9 / e p L 4 q w P / 3 0 d o r U v L l 9 7 x 6 5 m b R I / W C z I + F J h X 2 V V v B 3 a W b v 7 W 5 e 3 P Y E x L y 6 + / D T 3 T 2 s 8 D z Y p P c 9 Y b E D 3 T 1 4 Q H H I g 0 8 3 B y 2 e r L w v t r 4 m 1 X d v p 0 k d R W n S P w W K t 1 a k d n S 3 e z P C O L d 8 M 8 I 6 t 1 W j 7 9 l T h F 9 u q 0 V v p n q E M W 4 9 v R H W u O W r v h 5 9 3 1 c j f L K J H L 4 i f d + u I t y x k f K u + U O j 5 k 6 + f P H m 1 d m T r 0 7 O v n y R n p y e f P n y N p p u 7 z a q 1 P b h q 9 K 9 2 6 l S r 4 N h V W o 6 I L e S d C k l N z Y p R E 8 e z H v 3 9 j 9 9 + G D n / j 1 6 c 5 M + 9 C T D v E m q l B a l H h K a Y z O e m 1 S p e 3 V n d / / e w d 7 B 3 u Z 1 f U 9 K z K u 7 D x 9 8 e n / / 3 o P x 3 i a F 6 E m M H e j e L n l D D 3 Z p D W 3 T Q D 1 5 e V 9 s f V W q 7 9 5 O l b q O D m C Z a H A P N s 2 i r 0 r t 6 G 7 3 Z o R x b v l m h H V u q 0 r f s 6 c I v 9 x W l d 5 M 9 Q h j 3 H p 6 I 6 z h v b r p V V + V v u + r E T 6 5 r S p 9 3 6 4 i 3 H E 7 V f p w J 1 C l 6 d m L Z + S V n j 7 9 6 u T 4 z d l P 3 k b X 3 b u F M n W 9 + M r 0 3 u 2 U q d f B o D K 1 H Z C L S H x 6 b / z g d h G + f e / e / v 1 7 9 3 f u 0 x r 2 p 5 u 0 k 5 M N + y Y p 0 w O a p L 3 d T 8 c H t / N L 3 a s 0 X X u Y 3 / 3 N y t / J i X 2 V 8 m n k X 5 J z A 8 U w + K K T G T f Q X Q r w 4 e 1 v X u J y E v P e 2 H r K 1 L x 7 K 2 X q U Z S 4 + O E 9 i h E e b r J O n j J 1 o 7 v d m x H G u e W b E d a 5 p T J 9 3 5 4 i / H J L Z X o L q k c Y 4 9 b T G 2 G N W 7 7 q K d P 3 f j X C J 7 d U p u / d V Y Q 7 b q l M d 0 N l e v L q q 5 9 K X 3 3 5 n e P b q L n 9 2 + h R 2 4 G v R / d v p 0 e 9 D o b 1 q O k A Z H r 4 c P z w l m r U v L b / c O d T c n / J x z u 4 n R Y 1 L 2 7 v U + 6 F 1 g k e j O 9 t U m i e U N g 3 9 3 Y 2 z Y 4 n F u a N T c 0 9 w T D N N 8 P 3 p O G W G P n 6 U V + 5 n X 4 M a X X v J l r 5 + t H O z + 3 e j D D E L d + M 8 M R t 9 e N 7 9 h R h h d v q x 5 u p H m G D m 2 Y 1 w g i b 3 / C 1 4 S 3 f i D D D b Z X g L X u I z P w t d d + e U U 1 P 8 z q f z m 9 c D N q / W d t Z k P a N 2 0 E c V m 8 G 4 s M H D 3 f u 7 3 / 6 Y P M K m c f M 5 s X d T z / d 2 z l 4 u E + p z 3 u b d K P H 1 + Z V W u L 9 l H K f p I b J a 9 O x 3 K T k 3 L t 7 n x 4 8 2 N l F J L C / y U H 1 u N y 8 u 7 f 3 k I L n / R 3 K E 2 z q 1 W N 5 O 9 j 9 h 1 j 1 + h S D / f R 2 O v C 9 E f a 1 o b 5 8 O 2 1 o e 9 p 7 e H / / Y O 8 B L Z c 8 2 N h R h L F u + 2 q E g 2 7 7 a o S H b q s Q 3 7 e r C N / c V i P e T P k I e 9 x + j i M M c t t 3 f S 3 5 3 u 9 G 2 O W 2 + v K 9 + 4 r w y C 0 1 5 z 1 P c 6 b v 0 n V T j d L P q 2 k + S o 9 X 9 U 0 6 b / d m N W r h u 1 d u C X N Y k R q Y 9 3 d 2 7 u + O D c i b t K h 5 a + / e / s N 7 B w 8 3 B 8 y e J J j 3 t v f w B 1 b o N q k j T w 7 s i 7 s P P q U 8 w i a H w p M G 8 9 Y t H U X T / O Y + P D l 4 D 8 x 8 F a m v 3 U 5 F 2 j 7 u 3 / v 0 3 t 7 9 z V T z 9 a O d 3 d u 8 F + O K 2 7 w X 4 Y v b a s b 3 6 i f C D r d V i z d T O 8 I G t 5 n R C C P c / J a v C t / j r Q h D 3 F Y J v k c v E S 6 4 p f r b N + q J g u a T 0 9 d Y y T l 7 8 c V X p 0 + e n 7 6 + U V P t 7 9 5 q Y d x 1 o o G z e / O 9 O v i 9 B h W i 6 Y A W q X d v r x D N W 7 t 7 5 G b t 3 1 4 h m v f I B N + j N Z X b K 0 T 7 4 v 6 n n 3 6 6 s + k l T w z M S 7 f U h 6 b 5 j V 1 4 U n B 7 v H x t q G / d T h v a L h 5 8 e n B w b + / 2 2 t C 8 e K v 3 I i x x q / c i T H F b b f h e / U R 4 4 b b a 8 G Z q R 5 j g F h M a Y Y M b X / J 1 4 e 1 f i n D D b V X h 7 T u J c M A t N e F 9 o 6 S O X 7 0 6 f Z E + O T t 1 q v A 2 i u o 2 6 9 q u E 1 8 T 3 r y u 3 e 1 g W B O a D s h n 3 t 8 0 c I / j 7 S s 7 D z 5 9 s P E l j + 3 N S 9 u 7 O 5 / e e 7 g x r e E x v X t r 7 + G n + z u b 9 K 3 H + u a t W 2 p A R 4 K b + v B 4 / z 0 w 8 3 W g v n Y 7 H W j 6 2 C O 3 a X M P E Y 7 Z v v m t C B t s 5 P 0 I D 9 z c S Y Q H N n Y S m f 2 b O + l P / u 3 0 3 v v M Y m T y b 3 7 L 1 3 z v 8 V a E C W 6 r + t 6 j l / e d f 9 f 8 U 6 O W T P o w X V V 1 + r L O m z a b 3 q S b 7 t 2 s 9 i x 8 9 4 q B e Q P M Y U 1 n Y N J a L E W z n x 6 M 7 x 3 c T t + Z F 3 c / J a / 6 3 s 6 n 9 x + M P 9 3 k M X o c b 1 6 l b C J l M B / u f k p h 9 J 4 O 5 i b d 5 9 7 d u / f p g w c H p N E 3 J / Y 8 I T D v 7 u 0 e 3 N 9 9 + G D n 0 8 1 + h i c R d r D 7 t L 7 z 8 G A X C + W b M i m e V L w 3 w r 5 i 1 J d v p x h t T 0 j 3 7 N L q w 8 F m X 9 z X j 5 Y 0 t 3 w 1 w k G 3 f T X C Q 7 f 1 E t + 3 q w j f 3 N Z R v J n y E f a 4 / R x H G O S 2 7 / r K 8 7 3 f j b D L b V X o e / c V 4 Z F b K t I H R t G d / t 7 p 8 7 O T 9 C f f H K d P T p + k F F 2 n x z c q v f 1 7 t / M i b S / G i 7 R v v l c H w 7 r V d L B L 7 9 B a z S Y N 5 w m F e e v + f V p D v L U n a d 7 a 3 t / f I / 9 + o 1 x 4 Y m F f u 7 e 3 / 4 D C / r 3 x / U 3 6 3 x M Q 8 + a 9 3 Y O 9 3 U 8 f 3 N v 8 o i c s 5 s V P 9 0 m T H h z Q Q t I m L v I E 5 T 1 x 9 f W o v n o 7 P W r 7 2 a W c 0 c P 9 B / s 3 r A x E W O q W b 0 Z 5 5 V Z v R v j l t k r 0 P X u K M M t t d e j N V I + w x W 1 n N 8 I Y t 3 v T 1 5 / v + W a E S W 6 r P d + z p w h n 3 F J 3 H h i t 9 u r 0 J 5 3 y F N X 5 / H a q b e 9 m 3 W l 7 C X W n c t K t O x j W n a a D / V 0 K i 3 f H 9 2 6 Z j L S v 7 T z Y 3 7 3 3 Y L y z i c q e U J j 3 t u 9 9 e v / + 7 r 3 7 4 w e 3 V K D 2 R f J l 7 + 0 c k J 4 f P 9 i k 6 D 3 x M K / u P v x 0 9 / 7 9 A 0 q A 3 k 6 B 2 v c + p W W 6 e w 8 f P B z f d s H m f Z H 1 V a i + e z s V a l E k U 3 S f 4 t T 9 M V y A 4 X 4 i n L V 9 2 3 c j T L N R V C L c c t u u I g y z s a s I n 9 y 2 q z 6 f 3 E 6 N v v c U R 9 j j l q / 6 i v R 9 X 4 3 w y m 0 1 6 f t 2 9 b 7 8 4 Z o / N E r u y z e v v n y d P j 1 7 B S / 0 7 O n x 6 9 u p u V u E 9 L a L U I / e H N m H H Q z r U d M B B b w b I 1 Z P K s w r 9 x 7 u P X z w Y J N S 8 u T B v L R 9 7 + D B g w c P N 3 X l S Y V 9 a 5 f U / D 5 4 c f A t T y A s g v f u 7 3 6 6 q S d P L s w 7 u / f 3 S N d u s i a e Q L w H e r 6 q 1 N d u p y p t H w h q 7 2 2 W 1 Q j j 3 O K t C D f c 4 q 0 I Q 2 w U m w g v 3 K K X C C 9 s 7 K X P B b d T i + 8 z k x E G u P k t X x m + x 1 s R R r i t H n y P X i I c c B s V e G 8 H K x K i n 0 6 O X / i h O C n B 2 6 m o / R t 0 o N 9 H q A N V 8 d y 6 g w E d 6 H V w Q H r p w b 2 d z b l G w / f e e 7 s P 9 h 9 + S t m m v f H e p 7 f Q h t 6 b 2 7 u f f r r 7 Y G f n / t 7 Y 6 P S N K t F / 9 d 4 + O X f 3 b 6 E R v Z f 2 C M 2 N C V w j E t 4 7 n + 6 Q w 3 s b B / K 9 k L P 6 0 L 1 1 C 3 0 Y k u 7 + w d 4 D 5 J U 3 k s 4 q R X / C b v l q h E d u + 2 q E T W 6 l H r 9 G V x H m u J W O v B X l I w x x i 8 m N s M S N L 1 k N + V 4 v R T j j V g r y v T q J 8 M E t 9 e O u 0 V 2 v T 1 / 9 5 N n J G b m J 6 e f H L 4 6 f n r 7 6 R / / 4 W 6 n I e z e m K v 1 u f B V 5 7 3 a p S q + D Y R V p O q C V j U 2 B r 8 f 1 5 o 2 D n c 3 J R o / x z S v b D x 7 e 3 9 t E Y I / j 7 T u 7 O w / Z g R 9 8 y W N 7 N 5 p 7 + 7 d T h u 4 N e u c 2 K z v v h Z q v D P W t 2 y l D 0 8 W 9 n f 0 H G z u I 8 M r 2 j S 9 F 5 n 8 j 2 0 d m / 8 Y + I t O / s Y / I 1 N / Y R 3 / m b 6 f w 3 m M C I 9 N + 4 0 u + w r v 9 S 5 H Z v 6 3 C u 3 0 n 7 z v z r v m e p / C Q V H z 9 h h z D 4 1 c n 3 z 7 7 y S 9 v o 4 3 2 b 6 P u b C e + u u M 3 3 6 u D Y X V n O t j d + / T B w 9 v p O / v K v f v k C i o q N 2 k 8 8 9 I 2 K a K d X Z M e v U n n u b f o d w p Y b 6 H 0 v L f 2 K a t / O 6 V n h 7 R D O n z j U r j H / u + B n K / 2 9 L X b q T 3 b x 7 1 7 Z C o 2 c m a E a 2 5 + K c I J N 7 8 U 4 Y W N 7 S N s c H M n E S 7 Y 2 N 5 T f T d T O D L 1 t 5 n F y O T f / J a v / N 7 j r Q g T 3 F b 7 v U c v k f m / p f q 7 Z z T T 8 9 P f J 3 1 6 m h 6 f p G c v n n 3 5 6 o v 0 5 T / 6 5 z y 5 n X 7 a u 1 k B 2 m 5 C B a i D u n U H w w r Q d L B p 2 B 7 D m + a U R N w U q n g s b 9 7 Y v u E V j + H d K z u f b l w T 9 p j e I r Z R f X m M b 1 / Y e b A x d e g x / a 3 x 8 v W d v n Q 7 f W d 6 O P h 0 Y y D u K z u L 1 E 3 v v O e k + 2 r u t m h F p v 2 2 S u 6 2 X f S n / H Z 6 7 v Z z F 5 n w m 9 7 x d d y t 3 4 l M + 2 0 1 3 K 3 7 e N 8 5 d 8 3 3 j e J B P M s r H q T k X n z 5 5 v j V 2 e 1 W P e 7 f x r + z v f j q 7 f 7 t / D u v g 2 H 1 Z j r Y 2 7 + / U f t 4 z G 5 e 2 f 3 0 g B a o N 3 n P H r u b l 5 C s e r C / v y n J 4 D G 9 e + v h H q 2 W b H J A P b 6 3 Y 7 q / + + C W y s 6 O 6 e F 9 y o B s w s 7 j / v f A z l d 4 + t r t F J 4 d y w N K P e 7 f U u V Z x G 5 + K 8 I K t 1 V 6 t 0 c t w g e 3 V X u 3 7 6 T P A L d T f O 8 z i 5 H J v / k t X / m 9 x 1 s R J r i t + n u P X t 5 3 / l 3 z + 6 E C / P L k q y / S 3 + d 9 A t x P b 6 M A b S + + A v z 0 d g r Q 6 2 B Y A Z o O d v d 2 H 9 4 y o W d f o R T g v U 3 U 9 f j e v E P m d f / + / i Z / y m N + 8 9 L + g 9 1 N b 3 i c b 9 7 A e u I m L e b x v 3 2 F 3 O F N F s D j / V v i 5 S s 9 f e V 2 S s 8 j 1 s O 9 + x u l P s I q N 7 8 U m / 4 b X 4 o w w G 2 j 2 t t 3 E p n 8 2 0 a 1 N 1 M 4 M u k 3 z W B k 0 r d v e M d X d 7 c Z g 6 / o b o m W r + t u 1 U V k w m 8 a u X v j 0 1 D R n a Y v v 3 p C C 7 z H J 2 f / 6 J / 6 4 j Z 6 6 M F t F J 3 t x V d 0 D 2 6 n 6 L w O h h W d 6 e A h G d J b B r P m l U 9 3 D j 5 9 s H E d w m N 2 8 9 L 2 / Y d w p j a 9 5 X G 7 e + v T + / f v f b o z 3 q S 9 P K 4 3 7 x E J D K 1 u U n j m l f s P S B g / 3 d 3 Y k 8 f / 7 4 W h r / r 0 x d u p P t s L p U F 3 9 h 5 u 7 i T C P r d 5 L c I U t 3 k t w h i 3 V Y D v 0 0 2 E K W 6 r A m + m d I Q N b j e f E U a 4 z X u + M n y v 9 y I s c V v v 7 7 3 6 i f D C L f 2 / B 1 Y t f v X 6 h D y / n 3 x z n D 7 5 8 v n p m 7 M X p 7 c K g B / c J r 9 n e w n V 4 q 3 y e 1 4 H w 2 r R d L B 3 b 6 P 3 4 z G / f e P + v f 3 7 t 1 z Q N e 9 s U 0 y 6 e a n V Y 3 / 3 0 t 7 9 h 3 u 3 D H 4 t d v v 7 m 0 J z T x D s G 3 s H 9 x 5 s G o 8 n A 7 d H z d e E + t b t N K F H s r 2 d j b I Z Y Z c b 3 4 l x w E 3 v R H j g t g r w 1 n 1 E p v + 2 2 u 9 m 6 k Y m / R Y T G J n 2 G 1 / y 9 d 7 t X 4 r M / m 2 V 3 u 0 7 i c z 8 L T X e g d F F J 1 + + p C R f e n L 6 6 s 3 Z M 1 J 9 X 7 5 5 9 e X t F N K 9 m z W e 7 S X U e K q c b t 3 B s M Y z H d z S C T T N D + 5 / e k s P 0 L y x f c M r H q / b V 2 j p 9 7 b L u O a d e 7 f 0 + 0 x 7 6 m J j q t P j 9 1 u j 5 W s 5 f e l 2 W s 4 i 9 e n D j f A j D L J 9 0 z v v O e e + f r s t W p F Z 3 9 h F Z M p v 6 q I / 4 7 f T c A N z t 1 n B e T x y 6 0 X b W 7 8 T m f b b q r d b 9 / G + c + 6 a P z R 6 5 / T 3 f p m + f H 5 8 A g 1 3 9 u r k K / r 1 N r r n 4 D Z R r u 3 E V 2 4 H t 4 t y v Q 6 G l Z v p 4 F P y Z 3 c e P B h j c g d H 7 z G 8 e Y + C 4 0 9 3 H + w e 3 B 9 v T N R 4 f G / e 3 N 7 d e / D p 7 u 7 u z s F 4 Y + r N E w H 7 6 s H D h w d w 1 8 c H t / T y z J v 3 d u / v 7 z 5 4 s D f e 3 Y S t J x V 2 n F j 5 f 7 C / d z A 2 l u U m X f i e y P o a U V + 9 n U a 0 / d y j d e f 7 + / f 3 x h t X r H 3 N a K l y u z c j b H P L N y O M s 1 H K I u x y y 5 4 i 3 L K x p z 6 P 3 E 5 b v u / s R h j j d m / 6 m v M 9 3 4 w w y W 3 1 5 3 v 2 F O G M 2 2 l R c L 0 o u J P j F 9 8 5 7 e j R 2 2 m 5 m 6 N i 1 0 u o R m 8 V F X s d D K p R 0 8 E w 7 z g J u L m t 4 / 6 b 2 z p + t 4 P c R H n H 7 r Y 5 r c n s H e y P 7 2 2 K Z B 3 j v 9 d r j u l v h Z y n A m 8 e u K c C b w c 8 w g 4 b 2 / d n 9 7 b e 4 O 3 a 9 2 f 5 t q 7 g 7 d r 3 p / p W m u 1 2 w N 9 z Z j 0 l d r v 2 7 z m 5 n u q 6 X f v 3 n V z X f N e o k l e n P 3 n 8 / O w p L W t 8 + U L 1 1 u 3 U y c 0 x r e s k 1 F e 3 i m m 9 D o b 1 l e n g H i 1 5 3 3 v w 8 P 4 Y H D A 4 f I + 1 z Y u f 7 n 2 6 e / D g / t 7 e + P 4 m f 8 h j c v M m r X P s 7 3 1 6 7 8 H e g 9 v 6 f e 7 V / f 3 9 h 9 T n 7 o P x x k S i x / o O 3 3 s H u z T Y 8 Y N P b 6 f n z I v 3 d x 7 c u 3 d v f 3 d n f O 9 2 j t 9 7 Y + u r P X 3 3 d m r P d r S 7 / / D e 7 u 7 9 n Y f j B 5 u m 0 V e B 5 t 3 b v h r h n d u + G u G e 2 y r G 9 + 0 q w j O 3 1 Z E 3 U z 7 C H L e e 4 g h 7 3 P J V X 3 W + 7 6 s R X r m t F n 3 f r i L 8 c U u F u m d 0 H e J o W i c + f X H C y c I v X z z 9 6 p a B 9 P 7 N G t X 2 E m r U / f f s Y F i j m g 5 2 7 x 8 8 2 P / 0 w c P b q V P 7 1 q c P P v 3 0 / q c P F J + b d K l 5 b X v 3 / u 6 D h z u 0 c H w 7 R e q 9 9 + k 9 y o z c 2 9 0 s U J 5 8 m F c p B D s g l b i 7 O Q 7 z Z M W 8 u L e z + + n O / Y e f 3 h v v b R q l J y n v i 6 2 v S P X d 2 y l S N 7 Z 7 + 3 v 3 P r 2 9 F r U Y 3 u 7 N C L t s F J I I o 9 y u o w i r b O w o w i K 3 6 6 j P I L d T o O 8 9 t R G 2 u O W r v g J 9 3 1 c j P H J b B f q + X b 0 v b 7 j m 9 4 x q w 7 L K 6 / T 1 6 a u f T H / y 9 N t n i K B f 3 U 6 / 3 b 9 Z g d p e Q g W q i u f W H Q w r U N P B p / c + 3 b + 3 d 2 u H 1 L 5 G q c Q 9 8 i t v 7 Y + a F 7 c / 3 d l / c P + A J u i 2 7 q h 9 c / + A M p i f H j w Y 7 2 1 6 0 5 M R 8 y a l P g / u 3 3 t 4 e y X q R n l / / 8 H O g 4 P x g 9 3 b 6 d D 3 x N V X o f r q 7 V S o 7 W e X s s E 0 7 f v j T Q j 6 O t T S 5 F Y v R h j m d i 9 G W O a 2 X u j 7 d R R h l N v 6 o D d T P M I S t 5 3 Z C F P c 7 k 1 f g b 7 n m x E G u a 3 + f M + e I n x x S / W 5 b x Q b + Z + n T 9 M v 0 + O n 3 / n q K f z P k 9 v o t o e 3 W M Z x f f j K 8 + H t l n G 8 D o a V p + l g / / 6 D j a v 5 n h T Y V 6 i X g 7 3 b 6 U z z z v a 9 h w 8 e b F S 0 n h T Y l x 4 + o G z L x r c 8 W T B v 7 e 5 Q p n H T O 5 5 I m H c e k o f 6 4 G C T a v W E 4 T 3 Q 8 7 W j v n Y 7 7 W g R u 7 d z j 3 L k t 9 S M D r O b X 4 v w w m 1 d y / d A L s I K t / U r 3 6 O X P h f c T i O + z 0 x G G O D m t 3 x N + B 5 v R R j h t l r w P X p 5 X w 5 w z e 8 b 7 U Q p z f T 4 x V f H z 1 n 7 n b 4 + + 0 f / 1 B e 3 U 1 F 7 N + t A 2 0 u o A 1 X z 3 L q D Y R 1 o O s B K 4 Q O j W 2 / S g u a l 3 b 2 d T + / t I J 2 5 y e / 0 + N + 8 u H 1 A 3 H x v b 3 f z i 5 4 g 2 B c / / Z T 0 L m V B 9 / d v p x H N i / s U I T z Y G W 9 S 2 Z 5 Q m L c e 7 O w / 3 H / 4 Y P z p p t 4 8 q X g / N H 3 N q G / e T j P a b n Y / v b + 3 8 3 B / 8 8 K 8 r x 3 t z N 3 q x Q i f 3 O 7 F C K / c V k W + X 0 c R F r m t l r y Z 4 h G G u O X E R l j i V i / 6 u v L 9 X o x w x 2 3 V 5 f t 1 F O G J W 2 r M T 4 0 u Y 5 / x 7 A S K M k 1 f n r 7 6 4 u z 1 l 6 9 v p 9 H u 3 a w y b T e h y l Q z c O s O h l W m 6 e D e v V 1 a I P n 0 d i r T v L R L q c A H B x v d c k 8 Y z F s U I O 5 R K v 9 g k 5 f q i Y J 9 7 c H + A a 3 g b O r M E w j z 1 s H u z s E m Q + C J h X n l w X 3 i n Y e b S O F J x H t g 5 2 t I f e 1 2 G t L 2 g S W z B x s z x L 5 6 t F N 7 8 1 s x h r j 5 r Q h H 3 F Y x v k c v E V a 4 r V a 8 m c q R 6 b / N T E Y Y 4 O a 3 f H 3 4 H m 9 F G O G 2 y v A 9 e o l w w C 0 1 4 Q O j o r z k 4 / F X b + i v 4 x e 3 V I T 7 N y t C 2 0 u o C J V z b t 3 B s C I 0 H e w + / H T n 3 v 1 N r p X H 9 u Y l W g t H l m I M M g 6 + 5 7 G / e W + b s C M d u r / 5 R U 8 C 7 I v 3 o E T v 7 Y w / v a U + t M P b f U h Z / f H e L X 1 H 8 9 o 9 S l / v P 9 g b H 2 x a A v S k 4 v 3 w 9 D W j v n k 7 z W i 7 w c L + v Y f 3 N r v g v n L 0 6 H G L F 2 N 8 c q s X I 7 x y W x X 5 f h 1 F e O S 2 W v J m i k c Y 4 p Y T G 2 G J W 7 3 o 6 8 r 3 e z H C H b d V l + / X U Y Q n b q k x D 4 w u g 6 4 k 1 5 G 0 5 p e v n p 6 9 O H 5 1 d i v X c X f n N h l H 2 4 u n M e X N 9 + p g W G O a D m h B d + f h v V v m H M 1 L u w f E 1 j s P H m 7 y z T x h M K 9 t 7 z 7 Y 2 z t 4 e L B R Q X u y 4 N 7 7 l J a e P 7 2 / s z v e 2 Y S p J x Y W 0 5 0 H n + 5 / u r M z x j Q P v u i J i H 3 x w a c H 5 O h S l 3 u f 3 k 5 r v i + 2 v t 7 U d 2 + n N 2 1 H 5 P P f u 3 d / Z 7 x x H n y 9 a d 6 8 3 Y s R b r n d i x G O u a 3 e f L + O I r x y W 7 1 5 M 8 U j T H H r q Y 2 w x S 1 f 9 X X n + 7 4 a 4 Z H b a s / 3 7 S r C G 7 f U n w / 7 + v O r V 5 + f v n h z e k v t e Y t c p e 0 j 1 J 6 3 y V X 6 H Q x r T 9 P B H j l k D 2 7 p b t p 3 7 u 9 9 + v D W S z b m r e 2 9 + z s 0 L b u b q O y J g 3 t t 7 9 N P 9 2 h k m y X J E w z z 5 u 7 B v X t 7 B + N 7 + 7 f T m 3 Z 0 e w f 7 9 + F s b k w s e P L x n p j 6 W l N f v Z 3 W d P 3 c O 3 j w 8 N N P b 5 D g C D f d 7 s U Y l 9 z q x Q i r 3 F Z r v l 9 H E T a 5 r d a 8 m e I R l r j t z E a Y 4 n Z v + j r z P d + M M M h t V e Z 7 9 h T h i 9 t p T I z O a c z 0 1 e n n Z 6 8 p W E 9 P z n 7 y 7 P l t N N r u L R x O 1 4 m v M n d v 5 3 B 6 H Q y q T N v B p w 9 3 H u 5 u o p S T A / v O w c 7 e P n k D t 0 t V 2 r e 2 H z y 8 f 3 / v / s N N G s z J g n v t P g 3 r P h n C W + l L + 9 r 9 n Y O H + 5 v e c Z L h 3 t n / l D r b 3 W Q K n F C 8 F 4 K e m j T v 3 U p N u k 7 2 7 u / v P N j f O 7 i d k r T v 3 e a 1 C F f c 5 r U I Y 9 x S Q b 5 X N x G W u K V 6 v A W l I 0 x w q + m M s M E t X v M U 4 3 u 9 F u G H T S T w t O J 7 d R P h g 4 2 U d s 1 3 f Z U I J z I 9 O X 5 z T G r x + F Y a c e 8 2 G t H 2 4 W v E v d t p R K + D Y Y 1 o O t g 9 e L B p 2 B 7 b 2 z f 2 H 2 x e g X G s b 9 / Z p v l 4 s L v p J Y / x 3 U v 3 a T 1 l k 7 b 2 u N + 8 d O / g l m r Q D u f + p z t 7 t 8 t N v g d m v g r U t 2 6 n A k 0 X D x 9 u T L T 6 2 s 9 i d d M 7 k e n f y P K R y b + p i 8 j c b + w i M u 0 3 d d G f 9 N u p v P e Y v M i U 3 / i S r + 5 u / 1 J k 5 m + r 7 G 7 f y f v O u 2 u + 1 1 V 1 r 9 P 0 5 P T p 7 a L l v V s s U 7 s e Q k W n i x q 3 7 m B Y 0 Z k O 7 j 1 8 u E n / e L x u 3 i C 3 j 5 a + 9 s Y P N m k U j + H N e 9 v 0 4 v 7 u / X u b X / Q 4 3 7 6 4 S y 7 Z p 3 v 3 x x v V q 8 f / 5 s V P d + / d v 6 X a M 6 / s I h F w s L u 5 K 0 8 O 3 g 9 H X / 3 p m 7 d T f 7 a b h 5 9 S p v b B 5 l U j X w m a F 2 / 1 X o Q 9 b v V e h E l u 6 w S + V z 8 R 3 r i t F 3 g z t S P M c M t J j b D D r V 7 0 V e P 7 v R j h j N u q x / f r K M I R t 1 S R 9 3 w V m b 5 8 d U o L 2 a / + 0 T / + O H 1 9 / P y r p 7 d T Y / s 3 6 0 n b T a g n 9 9 + z g 2 E 9 a T p 4 S O n B T c z p y Y B 5 5 T 5 p n 7 3 b u o T m p W 2 K j j 8 9 M G n R m 1 S k f e v e w 7 2 H D x / c U j + a t 3 Z 3 D u 4 / u N 0 a j H 1 n f + f e w f 2 N W t U T h / d A z 1 e N + t r t V K P t Y / f e H i 0 P q Y W 8 U T F a G t z 8 V o Q b b v F W h C F u q x T f o 5 c I L 9 x W J d 5 M 5 c j 0 3 2 Y m I w x w 8 1 u + M n y P t y K M c F t N + B 6 9 R D j g l m p w P 6 I G T 0 9 u p 5 3 u 3 6 z + L P h Q / W l S 7 t Y d D K s / 0 w H 5 R f c e 3 j I i N u / c p y W V v Y 2 L I x 7 P m 5 e 2 7 1 O W 4 m B v 0 1 s e z 9 u 3 9 u 8 9 2 N 3 Z 3 6 Q 1 P c 5 3 g 9 r f q G g 9 / j e v k O / 7 6 f 7 + / u 3 U 3 3 t g 5 6 s / f e 1 2 6 s / 2 s b v 7 Y O f B g 4 N b q j 9 L g p v f i n H D z W 9 F + O G 2 6 u 8 9 e o m w w m 3 V 3 8 1 U j k z / b W Y y w g A 3 v + W r v / d 4 K 8 I I t 1 V / 7 9 F L h A N u q f 7 u B + r v 9 S t K C p 5 + 5 / Q k / f z L J 7 d R U f d u k x O 0 f f g 6 8 N 7 t c o J e B 8 M 6 0 H S w / 2 D / d g r Q v H D v 3 v 6 n G 5 c f P K Y 3 7 2 z T S 7 s b l 6 8 9 n n c v 7 V F 2 c 1 N P H u O b l 2 7 r + d n R U B 8 P N z k j H u P f H j F f 8 e l b t 1 N 8 t o v d v d 2 N / q i v 9 s x L N 7 4 T m f 4 b 3 4 l w w G 1 V 3 q 3 7 i E z + b R X e z d S N T P o t J j A y 7 T e + 5 K u 7 2 7 8 U m f 3 b a r v b d x K Z + V s q u 0 + 7 y u 4 4 P f n y x Z v 0 8 1 u u g O z f R t v Z T n x t t 3 8 7 b e d 1 M K z t T A f 3 9 / Y P 9 s Z 7 m / x i j + H N W w / 2 9 z 9 F c l D x u U n r m d e 2 H 9 x 7 e O / T T x + O D z a 9 6 D G / f f F T y h w d P L w 3 3 t n k J 3 h S Y F 7 8 l K L / 3 U / H 9 z f 1 5 8 m D H R + t 8 d z b e T i + v 4 k u n k S 8 H 5 6 + M t Q 3 b 6 c M b T f 7 e / s P H n w 6 f n D b M N i 8 e K v 3 I l x y q / c i f H J b x f h e / U T 4 4 7 b K 8 W Z q R 5 j h l p M a Y Y d b v e g r y f d 7 M c I Z t 1 W U 7 9 d R h C N u q S w f B M r y q x d n T 4 + f U n z 8 5 Z v 0 5 O w n b 6 P M 7 t 9 G W 9 p e f G 1 5 / 3 b a 0 u t g W F u a D u 7 v H t z 7 d N P Q P R k w 7 + z u s O e 9 y Q 3 z J M G 8 t b 2 7 s / t w b + f T T a 9 5 g m B f O / i U F P N t f U Q 7 L N J 3 + 5 p N u E l F m n c e 7 t 1 7 c O / T T X r V E 4 j 3 Q M 9 X j v r a 7 Z S j o 9 z 9 e z v 3 N 2 p 8 X z X a a b r 5 r Q h D b H q r r x b N W 7 d V i + / R S 4 Q X b q s U b 6 Z y Z P p v M 5 M R B r j 5 L V 8 d v s d b E U a 4 r S 5 8 j 1 4 i H H B L R X j g K 0 J Z S + Y 0 4 c v P v 3 N 6 G z X 1 6 W 3 0 o O 3 E 1 4 O f 3 k 4 P e h 0 M 6 0 H T A S 2 5 P 9 y / n R o 0 r z z c u 3 + w d 7 C J u h 7 j m 5 e 2 H 1 I / O w 9 v G S f b t 2 g i 9 z 7 d 3 z Q z H v u b t x 5 8 e u 9 g 0 5 g 8 I b B k + P T g I S d L B l / y R O A 9 s P N 1 o L 5 2 O x 1 o + y B i 7 + 7 f 3 5 j A i v D N L d 6 K M M M t 3 o r w w 2 1 1 4 H v 0 E m G F 2 + r A m 6 k c m f 7 b z G S E A W 5 + y 9 e B 7 / F W h B E 2 t o 9 w w C 1 6 i X D A R g q 4 5 g + N e v r y z a s v s U K i m v A 2 6 u n B b f S f 7 c D X f w 9 u p / + 8 D o b 1 n + m A g u z 9 T T G K x + / m F V p Y u X d w c H A 7 / W d e 2 t 6 7 9 + n e / k b X z G N 6 + x Y t + u z s 3 9 u k a z 3 W t w j e f / j p 3 v j g l m 6 g e W t 3 b + / T e w 8 P N r / n C c F 7 4 O h r Q X 3 t d l r Q 9 b F L 8 f / O w 1 t q Q T u k m 9 + K s M Q t 3 o p w x W 2 1 4 H v 0 E m G I 2 2 r B m 6 k c 4 Y D b z G S E A W 5 + y 9 e C 7 / F W h B F u q w X f o 5 c I B 9 x O C 9 7 b M U r q e D r N m 6 o u q i a d 5 e n T v M 6 n 8 5 s 0 1 f 6 N S t D B d 6 / c E u a g 3 r M w k V X d 3 3 8 w 3 r i Q 5 N j c v n f / g L y 4 / X v 3 x w e 3 C 4 P t i 9 v 3 P 8 X C / c H B + J Z K 0 L 1 J i z 7 3 H x 7 c f z j e u Z 0 i t G / u 7 h x Q G P B w f 7 y / S V s 7 S b A v 7 l P M v n v / / r 3 x f a X 5 D c r w f X H 1 F K J 5 9 V Y K 0 f W z 9 + n e v X u 7 e w / H 9 2 6 p F N 3 M 3 + 7 N G M / c 7 s 0 I 1 9 x S O b 5 v T x F m u a W C v A X V I 2 x x 2 9 m N M M b t 3 v Q U 5 f u + G W G S W y r L 9 + 0 p w h k b q e 6 a 7 x q F 9 u r 0 5 P j V 5 + Q 5 P j 2 l / 9 F f 3 7 7 Z d y T n a W f 3 F r 6 j 6 8 X 4 j v b N 9 + p g W I e a D n b J x z 5 4 + H C 8 q 6 B v 0 q H m P V r B p y W J e z v j j U u H n l i Y F 2 m 1 Y O f T h / T 3 r X W o f X N v 9 9 O D v f t 7 u + P 7 m / S 2 J y D m T Y q L 7 + 1 9 e j D e u J L s y Y p 5 j / J c B / c f P K R B 3 k 6 D v i e m v g b V V 2 + n Q V 0 / O / c O P r 1 P S 0 M b X X l f g 5 p X b / l m h G N u + W a E Z 2 6 r Q d + z p w i r 3 F a D 3 k z 1 C F f c d n Y j j H G 7 N 3 0 N + p 5 v R p j k t h r 0 P X u K c M Y t N e i e 0 W 1 f f P X 8 z f H X 0 J 9 7 N + t P 2 0 e o P 9 V R v H U H w / r T d L B 3 s L e 3 t z / e 3 a Q h P F E w r z 3 Y o / 8 + v b f 5 P U 8 k z H u 0 + v d w 5 / 5 G j 8 I T B / v W P X J 3 K Z U y N u 7 3 T Y r T v L i L L O n B g 8 0 L c p 6 I m P f u 3 9 + j D C 6 5 n p s 8 c 0 8 + 3 g 9 R X 2 / q m 7 f T m 6 6 b n f 0 H + 7 t 7 m 4 2 X r z b N m 7 d 7 M c I n t 3 s x w i m 3 V Z r v 1 1 G E S W 6 r M 2 + m e I Q h b j m x E Z a 4 1 Y u + x n y / F y P c c V u F + X 4 d R X j i l v r y n t V l x 6 / f k L 9 5 + p 3 3 1 J f 3 b t a X r o 9 A X 6 q / d O s O h v W l 6 e D B 3 j 2 o y 0 3 M 6 Q m B f W t / 5 / 6 D / b 3 N 7 3 n C Y N 7 b f n D v 3 r 1 9 M O T g W 5 4 k 2 L f 2 7 9 / b 3 9 v d H e 9 s 0 s 6 e S J g X 7 3 1 K 8 T Y l B z Y Z T k 8 4 z G v 7 5 I A / 2 H 9 4 a 2 3 5 f n j 6 2 l L f v J 2 2 t N 3 s P X i I x f / x w 4 3 d R L j p d i 9 G u O R 2 L 0 Y Y 5 b b a 8 v 0 6 i v D I b b X l z R S P M M Q t J z b C E s M v D m j L 9 3 s x w h 2 3 1 Z b v 1 1 G E J 2 6 p L f e N J n t Z V 7 P 1 t J V 8 5 p t i V a U n 1 Q 3 q 7 P 7 N i t K C t 2 / c D u K w Z j Q Q P 9 1 9 + G D v 4 Y P N Y b H H 8 u a 9 / Y c H n 3 6 6 / + m n 4 0 8 3 e Y U e 7 5 s X t y m p / O l D y i 2 O N y 4 a e 8 x v 3 9 x 9 8 O m D n f v 3 H 4 z 3 b h m J m z d 3 P 7 2 3 e / 8 B x f 6 3 0 5 D 2 N c o 0 7 O 3 u H Y w / 3 d S f J w / v i a m v I / X V 2 + l I 2 w + t V 9 E 8 E F 8 / 3 N h P h J N u + W a E Y 2 7 5 Z o R n b q s m 3 7 O n C K v c V k / e T P U I W 9 x 2 d i O M c b s 3 f U 3 5 n m 9 G m O S 2 q v I 9 e 4 p w x i 1 1 5 X 1 f V 2 L N J 1 0 3 V X q d H q / q d H K T Z t u 9 W V l a + O 6 V W 8 I c V p c G 5 v u q S / P e e 6 t L 8 + L 7 q 0 v 7 5 u 0 m 0 p M G 8 + Z 7 q k v 7 2 v u q y / f E 1 F e X + u r t 1 K X t 5 5 Y K J c J L t 3 w z w j G 3 f D P C M 7 d V l + / Z U 4 R V b q s u b 6 Z 6 h C 1 u O 7 s R x r j d m 7 6 6 f M 8 3 I 0 x y W 3 X 5 n j 1 F O O O W 6 v J T o 8 6 O X 7 1 K n 6 R n L 9 I X X 6 a v 0 1 f p 0 y + / u F G z 3 d + 9 X e b S d q K R u H v z v T o Y V q C m g 7 3 9 v Q P S Z b f T n v Y l S j 7 u U B x + O 9 V p 3 t r e P S D k 9 s a 3 T F v a 1 y i z u n O f U l m b 4 n d P K M x 7 m 6 b T E w s 7 p l v 0 4 o n E e 2 H n a 0 p 9 8 X a a 0 v S y T 7 8 / H H + 6 s Y 8 I 9 2 z f 5 r 0 I U 2 y U h A g / 3 K a b C E N s 7 C b C C b f p p s 8 I t 9 O O 7 z e f E U a 4 z X u + Z n y v 9 y I s c V u 9 + F 7 9 v C 8 v u O Y P j M L 6 6 s 3 Z 8 / T p 2 U + e P U 1 P S T m + O X 1 1 G 5 2 1 d 5 v l c N u H r x T 3 b l w O 7 3 Y w r B R N B 5 / u 0 r r M w 7 3 x 3 i 2 9 S v P e / k M y 9 w / 3 D s b 3 b + l V m h d J U P f v P d y 9 9 + k Y z v v g m 5 5 M 2 D c J 1 f v 7 n + 7 v b P Z k P b E w b 8 K r 3 N u / t V d p X z s 4 O L h / c L A 3 3 t n U n y c g 7 4 m p r y v 1 1 d v p S t v P 3 q e 7 B / v 7 D + + P P 9 0 0 f b 6 + N K / e 8 s 0 I x 9 z y z Q j P 3 N a r f M + e I q x y W 6 / y Z q p H 2 O K 2 s x t h j N u 9 6 e v O 9 3 w z w i S 3 1 Z 7 v 2 V O E M 2 6 p P w + M b v v y z a s 0 f f n q y 6 f p m 7 O X X 6 Y n X 7 6 6 l Q K 9 d x s F a j v x F e i 9 2 y l Q r 4 N h B W o 6 2 L v t 0 o 5 5 Y f / h 3 r 1 N r 3 i C Y F 7 Z 3 n + 4 A 6 Y Y f M c T A f v O 7 s P d g 0 8 3 a T x P D s x L 9 + 5 t 6 s W T B f M C m Y D d h 5 s 6 8 Y T g 9 p j 5 i l H f u p 1 i t G i R q 7 9 5 4 T X C K t s 3 v x W Z / 4 1 M H 5 n + m z u J M M D G T i K T f 3 M n / c m / n R J 8 j 0 m M T P 2 N L / m q 7 / Y v R T j g t l r v 9 p 2 8 7 9 y 7 5 g + N L q I 0 Y 3 W Z T + f Z o s i X s l B z g z 7 6 9 G Z N Z 6 H b N 2 4 H c V i 1 G Y g P 7 t N K 8 g O s 7 9 7 S O T Q v 7 u 0 9 2 D n Y P 9 i j E O b g 4 H a q z r y 6 T f r k / v 7 e Q 1 p l H + / f u 5 3 K s + / u P j x 4 e P B g Z 4 9 Q f r A p z v e Y 3 7 x 7 7 + G 9 A / i I 9 8 f 3 N r 3 p S Y I d 7 L 2 D e 5 8 e 7 H 1 6 f 3 + 8 s 4 m B P H F 4 b 4 R 9 h a g v 3 0 4 h O r J S o u j + w 7 1 P 9 8 Y P 1 A b e q B f t A G / 5 a o S D b v t q h I c 2 y l a E c W 7 b V Y R v N n b V 5 5 X b K c r 3 n + M I g 9 z 2 X V 9 t v v e 7 E X a 5 r f Z 8 7 7 4 i P H I 7 J b q / Y 9 T c 2 X J K y r O 4 J P V J C z j F Z T a r m p j O 8 3 X e 7 o 1 q 1 M F 3 r w C t Y T 1 q Y Q 4 q U g s T 2 Z y d P V q C M c v n N y h S + y J F o J 9 + u n v v 3 r 3 9 8 f 7 D W y l S + y q l I P f v 3 T + 4 t / P p w W 0 j b e / d B / d 2 H z z Y p a h 5 / G C T A n f C 4 a E M O S R d O t 7 d 9 K a T F P f m Q + r 2 3 i 5 p 4 f H D T 2 + l S N 8 f Y U + R m p d v p U i 9 n n Y p t 7 v 7 4 P 7 9 8 f 1 N S H q K 1 A 3 w l q 9 G O O i 2 r 0 Z 4 6 J a K 9 L 2 7 i v D N L R X p L S g f Y Y / b z 3 G E Q W 7 7 r q d I 3 / / d C L t s o o i n S N + / r w i P b K S + a 7 5 r F N 3 x y Z s v X z 8 7 e 3 1 y 9 s X L N 1 8 + O 3 1 6 o 8 b 7 F C s u t 9 C l t g s N v t 2 b 7 9 X B s G I 1 H V C e 9 9 7 9 + 7 s P b 5 u + t C / e 2 6 M k 5 E O K 9 c c P N 9 k r T z z M m 9 t 7 B / c O P q W X d z c v N n v i 4 V 5 9 u P / p 3 v 1 P S S P f M o N p X 7 1 / Q B n T g 3 s P x g 8 3 q X J P a u x A 7 + 8 9 o D 5 3 a P l / k z f t i c z 7 Y u u r V H 3 3 d i r V d L S 7 8 4 B m / s G D s V n z u 1 G h W h R v + W q E c z Y K S 4 R h b t l T h G E 2 9 h T h k l v 2 1 G e S 2 6 n T 9 5 7 e C G v c 8 l V f m b 7 v q x E + u a 0 u f d + u 3 p c 7 X P M 9 o + d e f P l m / P u c f P n k / T T p 3 s 2 a 1 P Y Q a l L l j F t 3 M K x J T Q c U / n 6 6 9 + n t l K h 5 5 w E l S w 8 e b s w z e f J g 3 t p + s H P / Y O f e R u / Q E w v 7 2 v 2 9 h z S k e 7 u 3 U 5 z m t Y P 7 l I n Y u H 7 j y Y Z 5 6 d N d e m V / f x M X e F L x P h j 6 y l L f u 5 2 y t J 3 s P v i U 1 u s O N p k e X 1 W a 9 2 7 z W o Q t b v N a h D N u 6 3 O + T z c R n r i t v 3 k z p S N M c K v p j L D B L V 7 z F e P 7 v B b h h 9 s q x f f p J s I H t 1 S I 9 7 o K c X z 8 4 v T 3 / t L I + k 3 6 6 t 7 N C t H 2 E C p E 9 W 1 u 3 c G w Q j Q d b B q x x / G m + c M D C n k 3 e V g e 1 5 t 3 t m 9 8 y e N 5 + x J l A 3 Y 3 L t N 4 j G 9 e + v T B v Y 2 5 S Y / 9 z S v 7 O / T 7 p n c 8 1 r 8 9 b r 7 + 0 7 d u p / 9 s F 5 R n f f h w E 8 1 8 7 W f H f + N L E Q 6 4 + a U I H 9 x W 8 9 2 + k w g P 3 F b v 3 U z h y M T f Y h I j U 3 / j S 7 7 O u / 1 L E Q 6 4 r c a 7 f S f v K f 0 e T v t G G 5 2 9 f n X 6 4 v g 7 b 0 5 f v S K 1 9 + J 2 2 m j / Z n V n O w j V n c r l r T s Y V n e m A 4 o S d z Z S y e N 1 8 8 6 D B / d p 9 R s 0 H 3 z L 4 3 j z 1 v a D B 3 v 7 S N X f T u / Z 1 z 7 d 3 9 u h z M i m Q N 9 j f f P a 7 t 6 n 9 z a u 0 H s S Y N 7 5 d B 8 Z 1 / u b b K Q n A e + D o K / + 9 L 3 b q T / b y S 6 W H / f v 3 9 b 9 s 2 S 4 x W s R r r j N a x H G u K 0 S f J 9 u I i x x W z V 4 M 6 U j T H C r 6 Y y w w S 1 e 8 1 X h + 7 w W 4 Y f b K s P 3 6 S b C B 7 d U h / e N t u L U 4 h f H b 0 6 + / G J 8 + n u / G d 9 O X d 2 / W R / a H k J 9 q O O 5 d Q f D + t B 0 Q A n C g 0 1 q w + N 6 8 w q p j V 1 a u L 5 1 R t G 8 t 0 3 Z x I O D n Y e b X / T 4 3 7 6 4 u 7 N D a 8 / 7 4 w e b H A h P E M y L l F 7 a p + 4 2 y Z s n E f a t n b 3 7 u 7 v U 2 + 3 0 4 v t h 6 W t G f f N 2 m t F 2 c / / e Q 2 L Y + 2 M I 5 X A 3 E V 6 6 3 Y s R H r n d i x F O u a 1 + f L + O I h x y W w 1 5 M 8 U j / H D L i Y 2 w x K 1 e 9 L X k + 7 0 Y 4 Y 7 b 6 s n 3 6 y j C E 7 f U l J 8 a P c Y Z w / H r u 8 d f v R m / + O r 0 J 7 9 8 f T t V 9 u n N u t L 2 E e p K 1 W q 3 7 m B Y V 5 o O 9 s j B 3 t u / n b K 0 7 3 x 6 j 9 Z R d j F X g 6 9 5 k m B e 2 6 b 3 P t 2 h Z N H N S y + d 9 3 Z 2 9 w 8 e 7 H 2 6 y f J 5 A m H e o w z n / g P I / u B L n m D Y s Z E n v b P 7 c O M C n i c V 7 4 W j r y f 1 x d v p S d v L p 3 u 7 u w / v 3 9 t k a 3 w t a d 6 7 z W s R 3 r j N a x H 2 u K 2 G f J 9 u P n 3 P b v r s c D v 9 + H 7 z G W G E 2 7 z n a 8 f 3 e i / C E r d V j u / V T 4 Q X b q k b H x i 9 R d 7 j q 9 P X T 8 9 e f 3 H 2 + v j F 7 d T W g 5 v 1 o o U f 6 k X V K L f u Y F g v m g 5 u G U 6 b 5 p / u I u r 8 d J P W 8 D j f v L V 9 i 9 c 8 z r e v 3 X / 4 6 d 6 9 e w e b c P Q E 4 D Z D 8 k T A N L 9 F J x 7 / v w 9 u v h 7 U 9 2 6 n B 2 0 n u w 9 2 d 3 c P N p H N V 4 P m t V u 8 F e G E W 7 w V Y Y j b K s H 3 6 C X C C b f V g T d T O c I A t 5 r K C A v c 4 j V f A 7 7 P a x F e u K 0 C f J 9 u 3 l M f e F g d G P 3 0 7 O m X r A J f n p 7 c P X t B u c X b a a i D m 1 W g 7 S J U g c o 6 t + 5 g W A W a D m 6 p A k 3 z / Y P d 3 b 3 N 6 4 A e 3 5 u 3 t m / x m s f 4 9 r X 7 F N D S f 5 / e T g X e Z k i e B J j m t + j E 4 / / 3 w c 1 X g f r e 7 V S g 6 W S P l r n 3 7 t 0 2 X L a o 3 e K 1 9 + Q E X / m 9 B 3 I R V t j Y S 4 Q H b t F L n w V u p w L f a y o j L H C L 1 3 w V + D 6 v R X h h E + F 8 F f g + 3 b w v F 7 j m D 4 1 + O j t 9 + f r z 4 9 d f P v 9 9 n p 6 d v j 5 9 f j s F 9 f B m D W h 7 C D W g c s K t O x j W g K a D + w 8 f U s A 6 / n Q T j 3 n s b 1 4 7 e H B v 7 9 P 9 n Y c 7 4 9 s 6 h O b N b b j m n + 7 v H 9 w b P 9 z U q S c N 7 t W H l O L b e f j g 0 / H 9 W w b K 5 t X d 3 f s P 9 h 8 8 + P T h e H 9 T E O b J h 3 2 T U i 1 7 9 w 8 e U H 5 r Y 1 T v i c j 7 4 u t r S n 3 3 d p r S 4 v j w Y P / T / Y d 7 4 / s b p T j C X 9 u 3 f D X C O b f V m O + J Z I R l b q s 1 3 7 O n P p v c T n O + 9 / R G W O O W r / o a 9 H 1 f j f D J b b X o + 3 b 1 v t x h m 9 / f M X r u J 8 + e H r 8 + e / 6 T p 6 / f v D q 9 l Z a D 1 N y g R h 3 4 Q I 3 u K n K 3 7 m B Q j d o O 7 n 3 6 Y G 8 T i Z w 8 u F f 2 9 h 8 + e L j p J S c K 9 q X t e 3 u 0 G v l g E 3 W d Q L i 3 9 h 4 + 2 L l 3 y + S i f W u P U p n 7 t 1 K W 7 p W H D + 8 9 3 G h L n C y 8 D 3 a e h j S v 3 U p D e n 3 s 7 z 0 w 6 3 A 3 a U c 3 n B t f i r D C z S 9 F m G G j u E T 4 4 O Z O I m y w s Z M + A 9 x K G 7 7 X L E Y m / + a 3 P B 3 4 P m 9 F m G D T + D 3 1 9 z 6 9 R O Z / I 5 V d 8 1 2 j m l 6 e v j 4 5 f n r 6 8 s t X v 8 + r 0 5 P b B d F g 8 Z t 0 n + 0 g 1 H 2 7 7 9 n B s O 4 z H e z e e 7 h J T X j c b t 7 Y / 3 R n b 6 M f 5 n G 8 e W d 7 / / 7 B A R z 1 w Z c 8 j r c v 7 R 7 s b 1 7 o 8 N j e j o d U + a Z X P O Y 3 r + z t 7 J G 2 v J 3 a u z 1 u v t b T t 2 6 n 9 W w X e w / u H W w 0 F r 7 W s 4 O 5 8 a U I E 9 z 8 U o Q P b q v 1 b t 9 J h A d u q / V u p n B k 4 m 8 x i Z G p v / E l X + f d / q U I B 9 x W 5 d 2 + k 8 j c 3 1 L j 7 R m F d P b i 9 c v f 5 y f P v n z y 6 v j 1 y 3 / 0 z 3 l y O 4 2 0 d 7 P K s z 2 E K k 8 1 z a 0 7 G F Z 5 p o N d S s r s H Y w P b q n 3 z G t 7 l M + 5 R 3 2 N b + v 2 m R e 3 9 2 h R 6 + G n B 3 t j o 7 9 v 0 o D 2 z d 0 H 5 M I / e L i / + U 1 P D u w Y C d c H + w f j j X 6 t J x L 2 v Y N P 7 + / f 3 9 8 b 3 1 Y h v i e q v l b U V 2 + n F W 0 / + / d 3 D g 5 u u 7 R i X 7 v F W x F O G X w r q h j N W 7 d V j O / R S 4 Q 3 b q s Z b 6 Z y h A 1 u O 5 s R R r j d m 7 6 O f M 8 3 I 0 x x W 0 X 5 n j 1 F O O K W 2 v K e 0 W V f f P X 8 z f H r 9 N n p 0 3 H 6 4 s v 0 2 d n r k / H t F N q 9 m z W m 7 S X U m P f e s 4 N h j W k 6 o E T C w a c 7 4 3 u b q O U J g n n t 0 4 O H B / f 2 d 8 c P N + k S T y D M e 9 u U Y v y U 1 l 3 G G 9 1 3 T y b s i 7 t 7 l M T Y 3 R 8 r C W 7 S l n Z 8 D + / v U G + 3 U 5 X m J T I j + / u 7 l F i 8 n a J 8 L x x 9 N a k v 3 k 5 N 2 l 7 u A 7 d P H 4 z v 3 T Z s N m / e 7 s U I k 9 z u x Q i b 3 F Z f v l 9 H E f a 4 r c q 8 m e I R d r j d v E Y Y 4 j b v + e r y v d 6 L s M Z t l e V 7 9 R P h h 1 u q y n 2 j x M 5 e n J z S Q v T J l y / G P / X l s 9 M v j t / c T o / t 3 6 w o b R + h o t x / z w 6 G F a X p Y O / B p 5 + O d z Y p E o / / b / + S J w T m p U 3 U 9 V j f N N / e 3 b / / 6 V g H f J N a t I g R Z j u b d L 4 n B u 6 d h z v 3 H 2 z s y Z O B 2 6 P n a 0 R 9 6 3 Y a 0 X R x c w 8 R h r k F X h E u 2 M j 5 E Q a 4 u Z P 3 Z A B f + d 2 + k z 4 H 3 E 4 D v g e x I l N / 4 0 u + 7 r v 9 S x E O u K 3 i u 3 0 n 7 z v 3 r v l 9 T + s d f / X m y 1 e n n 9 N v 5 B 7 e T i X d v 1 n n 2 R 5 C n a c 2 8 9 Y d D O s 8 0 8 G m E X v M b p r v 0 t L z / Z 0 d s O j g a x 6 7 m 9 e 2 b / O e x / b 2 v Y d 7 D / c f 3 t v b F F 5 5 j H + b Q X m s b 5 r f o h O P 9 d 8 H N 1 / v 6 X u 3 0 3 u 2 k 3 v 3 i G y f 3 j p i N u / d 5 r U I N 9 z m t Q h X 3 N Y H f J 9 u I t x w W w / w Z k p H m O B W 0 x l h g 1 u 8 5 u v A 9 3 k t w g + 3 1 Y L v 0 8 1 7 a g U P q 0 + N l v p i X b Z Z c 5 N y 2 r t Z 7 1 m I 7 p V b w h x W d Q b m 3 s 7 B 3 u 6 n + + M D B X q T z j P v E f k + J b f o 0 / H u J j J 6 b G 5 e 3 K b l 4 g M K o 3 c 3 5 + M 8 T r d v 7 n 2 6 d / / T + w / 2 x h t X G j 2 e N 2 / u 7 j w k X f t w b / x w E 7 I e / 9 t R P t i l 1 z 6 9 P 9 7 Z F C p 4 A v C e u P q q U F + 9 n S q 0 / e z f v 7 d z b / f h 5 k S G r w z N m 7 d 7 M c I x t 3 s x w j K 3 V Y j v 1 1 G E U W 6 r E m + m e I Q l b j u z E a a 4 3 Z u + Y n z P N y M M c l v d + J 4 9 R f j i l u r x g V W P k k c 8 f v r F 2 Y t x e v r 6 z f G b 8 Y 2 K j T y 5 P c R v N 6 l M 2 4 t x F e 2 b 7 9 X B s P 4 0 H V A W 8 c H O / o P b K U / z 0 r 3 d f V q u 2 d s f b w x F P Z E w L 2 7 v P a T 5 e f D g w e Y 3 P Z l w b 1 K G 6 d 7 O 7 g 0 r N p 5 0 m D f v H 1 A q c e N C t y c l d o Q 7 9 M o O J V g 3 9 u b J y H v i 6 S t O f f V 2 i t P 2 c 3 / / A e U C 9 j f m O n 2 9 a c l x m / c i j H K r 9 y K 8 c l u t + V 7 9 R B j k t k r z Z m p H 2 O G 2 s x p h i N u 9 6 S v N 9 3 w z w h y 3 V Z r v 2 V O E K 2 6 p N A 9 C p U l r L 6 e v j p + f 3 h h a i z q 7 h Y t p O w j 1 5 c 2 e Z t j B s L 4 0 H e z t 3 t / d f X B r d 9 O 8 t n v v w a d 7 9 4 j A m z S t J w 3 m v e 1 d C v 5 3 k e r d Z M 4 8 c b A v 7 u 3 u 3 L t / / + H 4 4 f 7 t 1 K V 5 k Z Z d S P z 2 b + 1 q m v c e 7 O 4 h L T 1 + u I k y n n y 8 H 6 K + v t Q 3 b 6 c v T T c P 9 / f 2 9 + + P 7 9 9 W X V r 0 b v V i h F E 2 S k a E Q 2 7 V T 4 R D N v Y T Y Y x b 9 d P n i 9 v p y / e c 1 A g 7 3 O p F X 1 u a F 2 / 3 Y o Q z b q s s 3 6 + j 9 + U I 1 / y h U W V n y 1 m + W B Y / y K Z F t c x v D M T v 3 a w l L W j 3 y i 1 h D i t G A / P B p 7 v 3 D w 7 G c K c H R + m x v X l t 9 8 E B l r L H m 7 S N x / X m t W 2 o 7 Y f 3 d s Z 7 m 2 b B Y 3 / 7 4 t 7 + 3 o P 9 v c 1 4 e u x v 8 d x 9 8 I A 8 y d v p R P v S / t 7 O v X u 7 m z v z h O C 9 k P R V o r 5 4 O 5 V o e 3 n w 4 G D 3 4 M H 4 0 0 2 0 9 3 W i n e r b v B d j k d u 8 F + G R j Y I T Y Y 5 b 9 R P h j Y 3 9 9 H n i d i r x / e Y 0 w g y 3 e c 9 X i O / 1 X o Q t b q s P 3 6 u f C D f c T h 1 + u m P V 4 Y u n p 1 + 8 O P u p 4 5 O z L 1 / c 7 D r e I 8 / u 3 i 1 C b d e B c R 3 t m + / V w a C G t B 2 8 n 4 a 0 r 7 2 f h r S v v a + G d C / e Z k K d N D g 8 3 0 N D u p f e T 0 O + H 5 K e h j Q v 3 k p D u l 5 u p U k i v H S r 9 2 I s c p v 3 I j x y S w 3 5 f v 1 E e O O W G v I W 1 I 7 w w u 3 m N M I M t 3 n P 0 5 D v 9 1 6 E L T Z R w d O Q 7 9 d P h B s 2 U t s 1 3 z U K 7 F V e L N v 8 o q 5 u 9 B X 3 b 1 a L F q p 7 5 Z Y w h z W h g b n 7 Y P / e 3 q c H u + O H m 5 Y l P D 4 3 L 3 5 6 f w / P / Y 3 Z I Y / f z X v b + 8 T x D + / v 3 x s / 3 B S A e x x v 3 6 R U 5 0 P S b B S B b + r T 4 3 3 z J g 2 R X q N A 4 c G m Q X p y Y F 6 8 f 4 C 1 n n v 7 Y 2 i W w R c 9 O X h P X H 2 1 q K / e T i 3 a f m h k D x 8 8 + P T h G L H N c D 8 R b r r l m x G e u e W b E a a 5 r X J 8 z 5 4 i z H J b 9 X g z 1 S N s c d v Z j T D G 7 d 7 0 V e R 7 v h l h k t s q y f f s K c I Z t 1 S T e 1 Z N n p 6 9 e H P 6 + a s v b / Q h 9 8 n F 2 7 + N D 2 l h G x / S v v l e H Q x r T t P B e 2 t O 8 + L 7 a k 7 z 3 v t r T v v m 7 W b U E w v z 5 n t r T v P i e 2 v O 9 8 T V 1 5 z 6 6 u 0 0 p + 3 n l r o l w l q 3 f D P C M 7 d 8 M 8 I 0 t 9 W c 7 9 l T h F l u q z l v p n q E L W 4 7 u x H G u N 2 b v u Z 8 z z c j T H J b z f m e P U U 4 4 5 a a 8 5 7 R b s f T a d 5 U d V E 1 6 S x P j 1 d 1 d Z n f p O I O b t a e F r 5 7 5 Z Y w h x W m g X l v 9 8 H 9 v f t E G 9 X F N + l L 8 9 7 u H i 0 B P 7 h H a m / T i 5 4 M m B e 3 H + 5 S f w 8 e j j + 9 n b q 0 7 + 0 + 2 K V X 9 z + 9 7 Q K 3 Q 3 X 3 3 s O H D x / s 7 4 5 3 N o m d J x j 2 z X u 7 u w 9 3 H l I k u L u J d T y 5 e E 9 s f Y W p r 9 5 O Y Z p + a A 3 + / o N P P x 3 f 3 9 h L h J e 2 b / d m h G M 2 C k W E U 2 7 X U Y R T N n Y U 4 Z D b d d R n k N s p y / e d 2 Q h T 3 O 5 N X 1 m + 5 5 s R B r m t s n z P n t 6 X L 1 z z f a P M X p 2 e H L / 6 / M v X 6 a 1 X u w / I G z y 4 j b t p + z D u p n 3 z v T o Y 1 p 6 m g 3 u 7 9 3 d 2 9 k m X 3 b u d 9 j T v P b z 3 6 c 7 O 7 s H 4 3 v 7 t l K d 5 b / t T y l k + / P R g / G D T 7 H i y Y V / c v b 8 P 5 2 9 n / G D T Q r k n H O Z N 0 p 4 H 9 / Z 3 D v b H Y J f B N z 1 J s W / u P b y 3 + y k M 7 0 b X 2 B O U 9 8 T W 1 5 7 6 6 u 2 0 p 5 2 G v Q f 0 3 9 5 4 Z 9 M 0 + N r T I n i 7 N y M c c 1 v t + X 4 o R l j l t t r z / T r q M 8 j t t O f 7 z m y E K W 7 3 p q 8 9 3 / P N C I P c V n u + Z 0 / v y x e u + X 2 r 2 Y 5 f v y H d + f Q 0 P f 3 O 6 c l X W P P Z r N 2 M d t u 7 W X 2 6 T g L 1 q e J / k / q 0 H Q y r T 9 P B 3 v 2 9 n f 3 N W X Z P J O x b D / d 3 H u z e H 9 / f p F U 8 i T D v b e 8 9 3 L 1 / f 3 d n v H E R x h M N + + L u g 5 2 D + / f v j + 9 9 e j v d a V 7 c / f Q + / T c + 2 P S a J y T 2 t Q N K h + / u b V a 4 n o S 8 H 5 6 + 1 t Q 3 b 6 c 1 X T d 7 O 5 8 + p G 7 u b 7 J 6 v t q 0 A 7 v V i x F G u d 2 L E V 6 5 b Y T + f h 1 F e O S 2 A f r N F I 8 w x C 0 n N s I S t 3 r R 1 5 n v 9 2 K E O 2 6 r M t + v o w h P 3 F J j f m q U 2 Z c t L f x o U D 6 d Z 4 s i X 7 Y 3 a b S H N y t L C 9 + 9 c k u Y w / r R w D w g P 5 F W t 2 + t I c 1 7 Z M h p l e z e g 5 2 N Q b b H / u b F 7 b 1 P 7 1 F k f 5 8 i 3 o e b l I 8 n A P b V 3 Y c P a X T 3 y f g d b B I e T x b M q / c O D g 7 u k + S N 7 2 2 y m p 5 c 2 H G S a 7 p D E c v u e H c T h T y 5 e F 9 s f W W p 7 9 5 O W d q O P q V p + J T S D + O d T V b H 1 5 b m 1 V u + G e G b W 7 4 Z 4 Z z b 6 s v 3 7 C n C L 7 d V m D d T P c I Y t 5 7 e C G v c 8 l V f a b 7 v q x E + u a 3 a f N + u I t x x S 8 X 5 w C r O N 7 Q U l B 6 / f P X l T 5 6 e f P v 4 i / G N G o 7 8 w I e 3 i d N t F 8 b R t G + + V w f D i t R 0 8 L 6 K 1 L z 3 3 o r U v P g 1 F K l 9 9 Z Z T 6 8 m I e f W 9 F a k d 5 3 s r 0 v f F 1 l e k + u 7 t F K n t 6 J a q J s J e t 3 w z w j e 3 f D P C O b d V p O / Z U 4 R f b q t I b 6 Z 6 h D F u P b 0 R 1 r j l q 7 4 i f d 9 X I 3 x y W 0 X 6 v l 1 F u O O W i v T A a L m z 5 U V N 6 0 N N u q r q 9 C f J / c z S 2 Q 2 q 7 s H N S t S C t 2 / c D u K w 1 j Q Q N 4 3 P Y 3 n T / P 7 9 e z v 7 u / u b w 1 2 P 9 c 1 7 2 7 d 6 0 e N 8 9 + L B v f s P H 9 w b 7 2 9 6 0 R O B 2 w z M E w I 7 s N t 0 4 w n A + + H n a 0 Z 9 8 3 a a 0 X R z b 4 f i p 4 O N F s r X i h a 7 2 7 z 3 n l z h a 8 L 3 Q S / C F R u 7 i T D D b b r p s 8 L t t O F 7 T m i E F W 7 1 o q 8 J 3 + / F C F f c V g + + X 0 f v y w + u + U N P C 6 b v 0 p + E 8 s v T J 0 X + O q 9 v U l m 3 y F l a 8 O 6 V W 8 I c 1 o M G 5 i 3 1 o G l + K 3 X m c b x 5 7 7 3 1 o H v x N n P n M f 9 t B u a x v x 3 Y b b r x m P / 9 8 P P 1 o L 5 5 O z 1 o u r m N B o h w z P v q w d s Q z 9 e D 7 4 N e h C t u q w f f p 5 s + K 9 x O D 7 7 n h E Z Y 4 V Y v + n r w / V 6 M c M V t 9 e D 7 d f S + / G C b P 9 g x i u q L 4 x e / z 8 k X X z 1 / c / b s 9 z k 5 f n O j v n p A E d o t g m r X g Q b V 7 s 3 3 6 m B Q L d o O b q c W b f N b a T c n A P a 9 9 1 W L 3 o u 3 m U o n C 7 c a m J M G N 7 D b d O N k 4 T 3 x 8 9 S i e f N W a t F 2 c x u F E G G f 9 1 S L t y K e p x b f C 7 0 I V 9 x S L b 5 X N 3 1 W u J V a f N 8 J j b D C r V 7 0 1 O J 7 v h j h i l u q x f f s 6 H 3 5 w T X f N V o L 7 u G y S k + q x a r O l + m z O p v e o L k e 3 q w T L X T 7 x u 0 g D i t B A 3 F 3 9 + H O w 3 u b V 6 8 8 r j e v 3 b u / f 3 / 3 P i U k F Z W b l K F 5 b / v e / t 6 n O / c f j u 9 t S l Z 4 / G 9 f 3 K M E 0 8 O H n 9 4 f H 2 z K D X o i Y E d 4 7 / 7 e L s 3 8 g V q Q m 9 S i e W / v / s 6 n e 7 v 3 H o 4 / 3 U Q b T x j e E 1 V f M e q r t 1 O M F s G d v Y N 7 D 3 c + H d / f l K H 1 d a P D 8 H a v R v j l t u r x P Z G M s M p t N e R 7 9 t T n k N s p y f e d 3 Q h j 3 O 5 N X 0 2 + 5 5 s R J r m t n n z P n t 6 X M 1 z z P a s o F y u j K N P 8 Y + j J 9 P l N e m 3 3 Z l V p 4 b t X b g l z W F k a m L u 0 1 E 8 m Z B N / e S J g 3 t p 7 + O n D v f H e L T W l e W t 7 9 + D g 3 s H 4 Q P O h N + l J 9 9 q D B / u f 7 u w / G H + 6 C U 1 P C s y b n 5 K 2 2 / t 0 f L B / O z V p a X K w v 3 O w + 2 D / 1 u 7 j e 2 L q q 0 l 9 9 X Z q 0 i L 4 4 A G W w Q 7 G D z b K a 4 S F t m / 5 a o R T b q s m 3 x P J C J / c V k 2 + Z 0 9 9 B r m d m n z f 2 Y 0 w x u 3 e 9 N X k e 7 4 Z Y Z L b q s n 3 7 O l 9 O c M 1 v 2 f V 5 B c v 0 x d f p i d f f p E + P 0 t P v 5 M e Q 4 E B x A a V R k 7 d r W J t 2 4 v G 2 u 7 N 9 + p g W H O a D t 5 P c 5 q 3 3 k 9 z m r f e U 3 O 6 1 2 4 1 p 5 5 g m D f f U 3 N a m r y v 5 n x P T H 3 N q a / e T n N a B G + n K i L 8 9 D U 0 p 3 n 1 t p r z P Z G M 8 M l t N e d 7 9 t R n k N t p z v e d 3 Q h j 3 O 5 N X 3 O + 5 5 s R J r m t 5 n z P n t 6 X M 1 z z f a P T T q p l m 3 6 R / / T o a V 6 P X t b V L L 2 + S a / t 3 a w y L X j 3 y i 1 h D m t J A 5 O 0 5 B 4 F n A 8 3 K R J P B M x r 9 y g U J 5 q O N 7 3 m 8 b 9 5 j W J x M k t 7 O 5 v 1 j y c I 9 s X 7 D z + 9 9 3 D 3 Y I x Z G n z R k w P z 4 q c P d 3 b 2 P x 0 / 3 K S Z P Y m w r 3 1 6 / x 5 C k k 0 M 4 0 n D + 6 H p a 0 l 9 8 3 Z a 0 n S z d / / + p 5 8 + f D B + s G l U v p K 0 + N 3 u z Q i f 3 F Z H v h + K E R a 5 r Y p 8 v 4 7 6 n H E 7 D f m e E x t h i V u 9 6 O v H 9 3 s x w h 2 3 V Y / v 1 9 H 7 8 o R r f t + o r 6 e n r 0 5 P v v 3 l a 3 U u X 6 b P T 3 + f G 1 X Z / i 3 9 S t u L 8 S v t m + / V w b D G N B 3 s 7 + x 9 u j 8 2 Q f 5 N C t O 8 d f B g f 3 / / 4 X h 3 0 2 u e N J j X t g / u 7 Z P T t l E P e U J h X 9 u 9 t 7 t / Q I m p B 5 s c W U 8 o z I t E D e p x v L P J 3 f D E w 7 y 2 e / / T / U / 3 d z b 7 o 5 5 w v B + e v r 7 U N 2 + n L + 2 U U R d 7 e + P 7 G z u J 8 N L 2 r V 6 M 8 M h t t e V 7 I R h h j 9 s q y / f q p 8 8 W t 9 O V 7 z m p E X a 4 1 Y u + r n y / F y O c c V t d + X 4 d v S 9 H u O a f G i 1 2 / P L V e 8 f g e 5 / e U l f a X q y u N G + + V w f D u t J 0 8 O m D h w / u j 3 c 2 G R Z P G s x b p F + p l 9 1 b R + H m P f J u a E H + 3 q f j v U 9 v p y 7 t i 6 S 8 K M G w O 9 7 f p L 8 8 u T A v 7 p M x 2 N 0 b G 4 / 8 J n V p X r u / c / D w 3 t 7 + 5 i U w T z 7 e D 0 9 f X e q b t 1 O X l v 7 0 K 3 H u G M I 9 3 E u E n 7 Z v 9 2 a E U W 6 r M N 8 P x Q i P 3 F Z j v l 9 H f d a 4 n c p 8 z 4 m N s M S t X v R V 5 v u 9 G O G O 2 6 r M 9 + v o f X n C N X 9 g l N n L r G 6 L 6 S g 9 v q j X q 1 H 6 p s 6 W z W a N d o v Y 2 0 I 3 L 9 w K 3 r B m N P A e 7 u z d u 3 e w i x j z l t r R v E n L 4 P e I J w 9 2 H u y M 7 2 / y 0 z z u N + 9 u 7 9 + / v 7 u / t / f p 7 g 7 F t p t e 9 k T B v b y / / 4 A 0 7 N 6 n 9 3 b G e 5 t U n i c O 5 u X d e / s H F G S Q 4 t u 8 W O o J h 3 l 1 / / 7 B 3 v 6 n 9 2 n Z 7 + E Y s c f g u 5 5 4 v D / O v t b U t 2 + n N W 1 X u z v 3 D v Y f 3 t u / y e L 5 m t O S 5 7 b v R l j p 1 u 9 G m G m j j E U Y 6 N Z 9 R f h n Y 1 9 9 l r m d B v 0 a E x 1 h k 1 u / 7 G v S 9 3 8 5 w j W 3 1 a b v 3 1 m E U 2 6 p U Q 9 C j V q s s m l R L f M m v U 6 P V z d o w F t 4 n x a 8 f e N 2 E I e V q o F 4 Q J q N w t d 7 n + 5 t t t e e I J h X 9 / f u 7 9 0 7 e P D g / u 6 D W w f p 5 l 3 K a u 4 9 f L C z f 4 9 y o u O H m 8 T C k w r 3 8 s 7 D n X v 3 9 n b v 7 z w c b 0 L a k x D z 7 s O D h w / u 7 e / f f z C + t 0 k v e u J i 3 r y 3 S x 7 o z n 1 K / d B w b 6 l T 3 x t j X 6 X q y 7 d T q a 6 n e w / v P d j b / X S f H L D b q l Q 7 x N u + G 2 G k W 7 8 b 4 a T b q t T 3 7 i v C P L d V q T d T P 8 I j t 5 / n C J P c 9 l 1 f o b 7 3 u x G W 2 U Q R X 5 + + d 1 8 R L t l I f d f 8 4 Y A 6 v U n v 3 U K V W t D u l V v C H F a m B u b e w 4 f 3 H h 6 Q h n m w O R 3 o i Y B 5 d f c h 5 Q k O D j 6 9 t / v p + P 6 D 2 y l T 8 + 7 2 L i U Z H k C x 3 b v B V f T k w b 1 8 n 9 b h 9 / b p x 6 f j e 7 d 0 U e 2 A D 3 Z 3 P r 2 3 s 7 O 7 e b X V k x Q 7 3 k 9 3 d 0 m d k q N 6 M N 7 Z N F 5 P U N 4 f Z V + d 6 t u 3 U 6 e u q 5 1 P K e C 4 / + D + v Y 0 J Z V + b 2 i H e 8 t U I I 9 3 2 1 Q g j 3 V a X v m 9 X E d a 5 r S q 9 m f I R B n m P S Y 6 w y K 1 f 9 p X p + 7 8 c 4 Z j b a t P 3 7 y z C J 7 d T p w c 7 R u c 9 + / L F 0 y 8 / f 3 X 8 / O X x q z d n J 2 c v x z d q P 5 L w 2 y R I X R + S I P X e f K 8 O B p W s 7 W D v w b 2 H 9 z / d 2 z + g J O L t l K x 9 l U z W / Y c U D u z A h d v k O D g 5 s e 9 u 7 + 7 d 2 y X l T h O 1 v 9 l V d p L i v b x 7 f + / g / v 1 7 n z 7 c v a 2 S d Q M m Q 0 v x 4 6 e 3 V r J u v L s P H j y 8 v / 9 g l 4 T 7 l k r 2 a 6 D s K V n z 9 q 2 U r O v q w c P d e 3 t k w P b G B 5 / e T s n a d 2 / 7 a o S R b v t q h J F u q W T f u 6 s I 6 9 x S y d 6 C 8 h E G e Y 9 J j r D I r V / 2 l O z X e D n C M b d U s l + j s w i f 3 F L J 7 g Z K 9 t n Z 6 5 P x 7 0 O L 9 8 d f P b 2 d C t y 7 W c f a L k I d q w O 6 d Q f D O t Z 0 s H d / d / c e J R / v j X d v q W L N m / f u 7 3 x 6 / 8 H + g 4 e f b n 7 V E x L z 6 v a 9 v f v 3 9 + + R R 3 i 7 f I D 3 4 i 6 h S v 7 k v l q b m z S r e X H T z H r S Y s d 2 m 2 4 8 O X k / / H w 1 q m / e T o 3 a b m g N c O / e Q 5 N x v 1 G F m v d u 8 1 q E R 2 7 z W o R B b q s 6 3 6 e b C E / c V m 3 e T O k I I 9 x y Q i O s c K s X f X X 5 f i 9 G u O K 2 q v L 9 O o r w w y 3 V 5 F 6 o J r / 8 Y v z F V y / g i h 4 / v 5 0 a u 3 e z n r R 9 h H p S 1 c q t O x j W k 6 a D e 3 s 7 e 6 T v b q c i 7 U s P 9 u / v 7 3 5 6 s I m l P U E w r 2 3 f e 7 B L A f 6 n u 5 s c O U 8 S 3 H t Y N d s h 1 / V 2 y t G i u U O R 4 f 3 9 W + p I + 9 a n 9 w 4 O d s j a 3 k 5 F v h e S v o b U F 2 + n I T 0 S E m a f 7 j 2 8 p Y Z 0 M 3 b z a z H u u M V r E f 6 4 r Y Z 8 n 2 4 i f H F b D X k z p S N s c L v 5 j D D C b d 7 z 9 e N 7 v R d h i d u q x / f q J 8 I L t 9 S O 9 6 x 2 f P r l 2 R c v T 1 + / f P 3 y 1 Z d P f 5 / X t 1 N d + z f r R t t D q B v 3 3 7 O D Y d 1 o O t g 0 Y o / r T f N 7 Z O d p h W V f E b l J K 5 r X t m / z n s f 9 7 r 1 P 9 0 l 1 f / r p J l / T k 4 L b j M q T A z u q W / T i S c F 7 Y e e r Q 3 3 x d u r Q 9 L K 3 9 5 C W 7 3 Y 3 K o 4 I 5 2 x v e M + + 9 5 4 M 4 e v B 9 0 E v w h E b u 4 l w w m 2 6 6 T P C 7 d T h + 8 1 n h B F u 8 5 6 v D t / r v Q h L 3 F Y d v l c / 7 8 s L r v m + U V b I V 6 Z n r 1 + l + H n v S f r 8 5 N n t F N b 9 m z W i 7 S T U i O r V 3 b q D Y Y 1 o O q A M x O 7 9 W y c t z V u f 7 l E v 5 C 0 + G G 8 0 8 Z 4 k m D e 3 6 d W d P X j z m x e 7 P a G w r 9 K 0 U i R + z / j M N 6 l H 8 9 4 t 1 a N p f p t e P K l 4 L + x 8 9 a g v 3 k 4 9 2 l 5 o T Y 4 4 e 2 f n Y D P 5 f B 1 p 3 r 3 t q x E u u e 2 r E V a 5 r e f 4 v l 1 F G O S 2 3 u P N l I + w x e 3 m N 8 I Y t 3 n P V 5 f v 9 V 6 E R W 6 r L t + r n w h P 3 F J d 3 j e a 7 H h V 1 e 0 t 1 8 z 3 b t a Q F q 5 7 5 Z Y w h 5 W i g b l / Q E n Z B 3 t E l f H + L T W j e X W X 1 o F 2 d z / d 2 d + 5 N 7 6 3 i a Q e 6 5 t 3 t 3 f 3 q V + y / A e 7 D 8 c b v X m P + b 2 X d 2 l V h b J S 9 z / d v L D i S Y J 5 + T 6 t X O 3 f e 3 B v Z 7 w x S P b E w o 5 3 H w H 5 v Q c P s V S 4 i V a e Z L w / y r 7 e 1 L d v p z d t V / f 3 K f 9 7 7 / 6 n 9 8 Z I D g 1 3 F O G w 2 7 4 a Y a T b v h p h p N v q z f f t K s I 6 t 9 W b N 1 M + w i D v M c k R F r n 1 y 7 4 G f f + X I x x z W z X 6 / p 1 F + O S W u v R T o / N e n 7 7 6 S c p P f v n 6 9 O l X J + O n p 6 / H N 2 q / A 7 h s u z f r V d u H 8 T z t m + / V w b C S N R 1 Q V o 7 S F v s P 7 n 2 6 e e n a k 4 3 3 f d U T E / P q J k p 7 o m G a b y O P R a t O D / b 2 x v u 3 0 6 n m 1 Y c 7 D + + N H 2 w y A Z 6 0 m J e 4 O 6 z o 0 8 h u 6 Y C + L 6 q + L t V 3 b 6 d L A x x v 0 U + E q W 6 N Y 4 R f b h u q v y + a 7 8 k k v g J 9 3 6 7 6 X H I 7 X f r e 5 I u w x y 1 f 9 f X o + 7 4 a 4 Z X b a t H 3 7 e p 9 + c M 1 f 2 D 0 G 4 X v x 6 R H x 6 x C T 1 + / G d 9 O w 9 3 C N b V d h C r 0 Z g 8 1 7 G B Y h Z o O K I 7 e e / B w b 2 d 8 f 5 O u 8 G T D v H j v 0 w c P d z 7 d v / 9 w v P / p 7 f S n e Z N y m 7 S W f n D / 3 s H 4 4 a Z O P S m x r + 5 R f o L c l P v 3 x g 8 3 Z Q 0 8 K T G v 7 h 7 Q W w 8 o d T D G R 4 N v e i J j 3 t z f u f 8 p U e j B / v h g 0 0 g 9 g X l f d H 1 9 q u / e T p / a j n b 3 7 u / v 7 V N k N X 6 4 U a o j L H b b V y P M c 9 t X I + x z W 9 / 0 f b u K M M 1 t f d O b K R 9 h j l t P c Y Q 9 b v m q r 0 / f 9 9 U I r 9 x W n 7 5 v V x H + u K U + P T D K 7 t m X L 0 7 T z 9 9 8 m Z 5 8 + e r V 2 e m L N 6 e 3 0 3 f 3 b l a o t o 9 Q o a r + u X U H w w r V d E B J z X v 3 a E V p v L 9 J z X g S Y V / c I 8 u 1 8 + A e R V + 3 0 6 f m x W 1 K F h w c k G p 7 u D l d 4 I m G f X W P g o 0 H + 7 v k B T / Y p N s 8 K T G v 7 u 1 S f m N 3 7 9 O H G 6 2 s J z H m x X 1 a 6 t + n B X h y T 2 + p T t 8 X W 1 + d 6 r u 3 U 6 d u K u 5 / e v D p / Z 0 H 4 / 2 N q b o I f 2 3 f 9 t 0 I 6 9 z W P X 1 f N C M 8 c 1 v 3 9 H 2 7 6 j P K 7 d T p e 0 9 x h D 1 u + a q v T t / 3 1 Q i v 3 F a d v m 9 X 7 8 s f r v n D n j r 9 8 u X p q + O T s 3 / 0 T 3 1 x O 3 W 3 f 7 M + t Z 2 E + l R 1 w a 0 7 G N a n p o N N g / Z k w j Q n 3 / 8 + k p + 7 m 3 N Y n k i Y N 7 d v + a o n H e 7 V B / s 7 u / c e 7 j 8 Y 3 9 u k v D 3 p s P g S Q e 4 9 v L 8 7 v q V T a t 9 7 + O n B v Q c H D x + O d z b 1 6 I n J + y L r a 1 F 9 9 3 Z a 1 H Z E e W z y 2 f Z v r 0 T N m 7 d 7 M c I s t 3 s x w j Y b R e v + 4 6 / Z U Y R V N n b U 5 4 / b a c / 3 n t o I W 9 z y V V 9 7 v u + r E R 6 5 r f Z 8 3 6 7 e U 5 E 4 z B 7 u B N r z 2 V M 4 o 1 + 8 P H 3 x m h T o l 7 f T b v d v V J + u l 1 B 9 6 u r H r T s Y V J + 2 g 9 u p T 9 t 8 9 9 4 B 3 P 1 7 e 7 d d e b J v b t / y V S c T / q v 7 5 E n e u 3 d / / O m t t K d D d 3 e X N P b B / b H J j N y g P t 2 L F M / s 7 J O / P f 5 0 0 5 t O T t 4 X W U 9 7 m l d v p T 1 d P x T s 3 t 9 9 + O n m / K + n P e 2 b t 3 s x w i u 3 e z H C N b f U n u / Z U Y R T b q k 9 b 0 H x C E / c d m Y j T H G 7 N z 3 d + b 5 v R h j k l q r z f X t 6 T x 3 i I b Y b a E 6 s L 6 X k d 5 L e O n 5 + + v p 2 i u 3 T m z W n 7 S X U n D q m W 3 c w r D l N B 7 u 7 t I Z P R N g / G O + q X r 5 J i 5 p X D y i j S u 8 e 0 O r N L R e X 7 K v b D z 7 d p w g B 2 c q x y U 7 c p E f 1 3 W F u 9 y T j x r a e Y N z Y 1 p O E G 9 v 6 C v H m x h G 2 u j V l f J 1 o X r 7 1 u x F G u P W 7 E U 6 4 r W Z 8 7 7 7 6 0 3 9 r 5 X g z 9 d + H B 3 x 1 e G N j X w P e 3 L j P B B s a 9 y d 9 Q + P + L G 8 Y o G u 7 Z z X c 0 y + P X 3 7 5 6 s 0 Y W u 7 1 8 f O v n t 5 G / e z d Y v H c 9 e H r t 7 3 b L Z 5 7 H Q z r N 9 P B / Z 3 d + 7 t 7 C j c 6 c o + f z U t 7 e / f u 7 + 3 f f 7 C z O 7 6 3 y X H y W N u 8 S p n y e z v 0 v / s H O 5 v f 9 V j b v b v z 6 c E D S k H t H o w P N m l U j 8 3 d O D + l p Y O H 4 0 8 f 3 s 5 F t E O l X O z B 3 t 4 e 6 f / 7 m 4 J z j / / f G 1 1 f K e r L t 1 O K t q f d T 3 f 3 H 9 C 6 1 u 5 4 f / + W O t G 8 e 9 t X I 7 x z 2 1 c j H H R b j f i + X U W 4 5 r Y K 8 W b K R 9 j j 9 n M c Y Z D b v u v r y / d + N 8 I u t / U Z 3 7 u v C I / c 0 m u 8 Z 3 X q l y + e f n n 2 4 t n 4 9 Z c n 4 y 9 e H j + / j c a 7 d x u V a r v w V e q 9 2 6 l U r 4 N h l W o 6 2 D R k T x R M c 1 o 8 3 9 1 / u L N 3 M N 7 b p G A 8 o T B v b t / y V U 8 o 3 K t 7 n 9 6 n Z / / W S + g O 3 z 1 o 0 k 8 3 m Q x P U O x b W D x / e E A r Y h v 7 8 6 T k f V H 1 t a i + e z s t a j u 6 t 3 f / 4 b 1 9 W l z e 2 y j J E Z 6 6 5 Z s R Z r n l m x G + u a 0 K f c + e I s x y W w 1 6 M 9 U j j H H r 6 Y 2 w x i 1 f 9 f X n + 7 4 a 4 Z P b q s / 3 7 e o 9 V Y m H 2 b 7 V n q w 7 K d o + O U O 4 / e Z 2 u m 3 v Z u V p e w i V p z p w t + 5 g W H m a D n Y P P t 0 f 3 7 + l P 2 p e + n T / 4 f 7 B P U r E 7 9 5 S g 5 o X t / H m p / s P y C / 8 9 H Y K 1 L 5 5 / y H 9 t 0 9 L o Z t w 9 Y T D v E j r P O O D e 7 d T n u Y d 7 u v T / U / H D z e 9 6 A n I + 2 H p a 0 5 9 8 3 a a 0 3 V z 7 / 7 u z o O 9 8 f 1 N V P Q V p x 3 Z r V 6 M 8 M n t X o z w y m 3 V 5 v t 1 F O G Q 2 2 r N m y k e 4 Y h b T m y E J W 7 1 o q 8 x 3 + / F C H f c V l + + X 0 c R n r i l t r x v t S X F 7 l 9 8 9 f T 0 i z e n r 1 4 9 f X Y b X b Z / G 0 / T d u A r y / 3 b e Z p e B 8 P K 0 n R w S 0 / T N C d f k V K / u + Q H j P c 3 h d 6 e F J h X t 2 / 7 r i c I 3 r u 7 B w f 3 9 k j R j r E O N / i u J x S 3 G a E n F m 6 E t + v J k 4 v 3 x t L X l v r y 7 b S l 7 Y k C 2 Y e U H C Y 7 t 0 m d + + r S v H r L N y O s c s s 3 I 1 x z W 4 X 5 n j 1 F G O W 2 G v N m q k d Y 4 / b z G 2 E O e f f m d 3 2 9 + d 7 v R l j l t q r z v f t 6 T 2 X i o f a p U W 7 H r 8 9 e v 0 G Y T q 7 m e P v p 2 a 3 0 5 / 3 b 6 E / b h a 8 / 7 9 9 O f 3 o d D O t P 0 8 E t 9 a d p v n t / f / f + / X u 0 n r M x K + / J h H l z + 5 a v e k L h X t 3 / d P c B m c P 9 z Q l I T z 7 M q w e U s 9 y / n Q K 1 Q + T O d j + l J a t N 1 t c T k f f F 0 1 e f + u 7 t 1 K f t i N T L 7 r 3 d g / H + p 7 f U n u b N 2 7 0 Y 4 Z P b v R j h m N v q z v f r K M I l t 1 W d N 1 M 8 w h S 3 n t o I W 9 z y V V 9 x v u + r E R 6 5 r d 5 8 3 6 7 e U 4 d 4 m D 0 w O g 3 x + T G F 5 u P T p 1 + d j J / 8 o 3 / w 6 / H t 9 N o t o n T b S a g 4 b x W l e x 0 M K 0 7 T w b 2 d g / v j / U 2 a z B M G 8 9 L D + w e f P r h / s D c + u H 8 7 7 W l e 3 M a b + / s P H 9 z a 9 b R v 7 n 7 6 6 b 2 H O w c U c + 9 s 6 t S T E D v E / V v 6 n u Y F 7 m p 3 9 8 E N X X k y 8 r 5 Y + q p T 3 7 2 d 6 j Q d P d i 5 T 0 7 8 / u 7 4 0 9 s 6 n h b F W 7 4 a 4 Z W N A h J h k 1 v 2 F O G T j T 1 F u O O W P f W Z 4 3 b q 8 7 2 n N 8 I a t 3 z V V 5 / v + 2 q E T 2 6 r P t + 3 q / f l D t f 8 o K s + X 4 n + f P 3 V y 1 u q z 3 s 3 q 0 / b S a g + l T l u 3 c G w + j Q d 3 D v Y p + z G / u 3 U p 3 k J K Z F P D 3 b u j T + 9 n f Y 0 7 2 3 j x T 3 K H 2 7 2 K j z 5 s G 9 + e n B A h p H 0 L t h 6 8 E 1 P P s y b p A b v j R 9 s 4 g V P T s x L 6 I 2 C x 5 1 b Z z n f E 0 9 f f e q r t 1 O f d l T 7 D x 5 Q c L U z f r D J D P n q 0 2 J 4 y 1 c j v H J b 9 f m e S E Y Y 5 b b q 8 z 1 7 6 r P H 7 d T n + 8 5 u h D F u 9 6 a v P N / z z Q i T b K K i r z v f s 6 f 3 5 Q z X / G G o O k l r f n H 6 9 O y Y N O f t 9 N r + z Y r T d h E q T l V w t + 5 g W H G a D u 5 / + u n O R u 3 g C Y R 5 5 8 G 9 T z / d v X d v f G 9 T Q O u J g 3 m P + G 5 n h / K x m 1 / 0 5 M K + u A t T e H + H l m t u p z X N i z t j k + O 4 S W W a N 1 x P t 4 z W 3 w 9 H X 2 P q m 7 f T m K a b / Z 1 7 t L 7 2 6 f j + x l 4 i n L R 9 u z c j L H J b f f l + K E b 4 4 7 b q 8 v 0 6 6 r P F 7 b T l e 0 5 s h C V u 9 a K v K 9 / v x Q h 3 3 F Z V v l 9 H 7 8 s T p v n u z o 6 v K d P T p + m T 4 9 f p y y / f n L 6 g H O f t d N n 9 m 5 S l 1 0 u o L N V Z u n U H Q 8 r S d b B 7 / 8 H e 7 o O 9 T V 6 Y l Q f v r X v 7 n 9 5 7 s H v w c L y n + n u z w n R v b u / S W 5 T o p O T z x l e t b N h X h 1 n c i s M t 2 l p p u E V b y / + 3 a O u 0 4 G 0 a R / j p t o R x i t C b j l u + G p v / W 7 4 a Y Y K N A h O Z + t t 2 1 Z / 6 W 2 Y u b 0 P 5 9 5 l / p w B v 0 d g p v d s 0 7 j P A h s b 9 G d / Q u D / H G w b o 2 u 5 2 1 R q 5 f u + p 1 j 6 9 W a 3 Z X k K 1 9 u l 7 d j C s 1 k w H B w / v 3 9 8 D v w + y j c f Q 5 q V P 9 x 6 S 4 0 y m Y 6 O X 7 X G 2 e X G b F m 3 u 7 9 + n h Z u N b 3 q M r W 8 O T 4 3 H 1 D e 2 9 X j 6 x r Y e S 9 / Y 1 t d p N z e O M N M t 6 e K r N P P q L d + M T P 0 t 3 4 z M / 2 0 V 2 n v 2 1 J / 2 W + u z m 6 n + P n P v 6 7 M b G / v 6 7 O b G / c n f 0 L g / 3 R s a 9 2 d 4 w w B d 2 7 2 u P v v C 6 b T b a Z s H N 6 s z 2 4 m n z u T N 9 + p g W J 2 Z D n Z 3 9 x 7 c M 6 F y d O g e O 5 u X H j z c f b h H i e u D T W r Q Y 2 v z 3 v a n e P P e g 8 0 v e l y t L w 7 P i 8 f R N 7 b 1 G P r G t h 4 / 3 9 j W V 2 Y 3 N 4 5 w 0 u 3 I 4 u s y 8 + b t X o x M + + 1 e j E z 9 b T X Z + 3 X U n / J b K 7 K b K f 4 + 8 + 4 r s h s b + 4 r s 5 s b 9 i d / Q u D / X G x r 3 5 3 f D A F 3 b e 0 b H P P v y x d M v j 1 9 + + e r N 6 9 P P X / 6 j f 8 6 T 2 2 i Z T 6 E 0 b 1 J j t g t f j f G b 7 9 X B s B o z H V A y m J y y 8 f 1 b K j L z 2 r 2 d 3 b 1 7 D x 4 + 3 L u 1 K j N v b t O r O w 9 3 H t B 6 6 9 7 D 2 y k z 9 + r u g 0 9 J 6 R 4 c 3 C 5 D 5 6 F 7 n y R p 0 x A 9 V r f v o L N P P 9 3 7 d L x p h B 7 b v y e a v v b T V 2 + n / e z U f U q L 8 p Q t G X + q b H G j 9 r M Y 3 v L V C L 9 s 1 C 4 R R r l l T x F G 2 d h T h D t u 2 V O f O 2 6 n A d 9 3 d i O M c b s 3 f e X 4 n m 9 G m G Q T F X 1 l + Z 4 9 v S 9 n u O b 7 R r P x O v C b 0 5 M X X z 7 / R / / U z 8 9 O j m + j 2 x 7 c R n n a L n z l + e B 2 y t P r Y F h 5 m g 4 + 3 f m U X M B b q k 7 z 0 h 5 p a N J H n + 6 O Q c X B N z 2 J M G 9 u 7 + 3 u U 2 6 Q p m j z q 5 5 w u F d 3 9 v b v 3 d u D G t y E r y c d 5 t X d B w / u 7 x 8 c U A J 8 U 0 j l S Y o 3 0 N 2 D g 9 2 9 / T G s 6 + C b n q C 8 L 7 a + C t V 3 b 6 d C b U e 7 Z P z I G D 0 c P 9 g o z B H m u u W b E a 6 5 5 Z s R 1 r m t D / m e P U X 4 5 b Z O 5 M 1 U j z D G r a c 3 w h q 3 f N V X o u / 7 a o R P b q t F 3 7 e r C H f c U o 3 e 9 9 X o 8 c n Z P / q n v n h 6 e v z 0 q + d v v n x 9 O z 2 3 d 7 M i t Z 2 E i l S l + d Y d D C t S 0 8 G m Q X t y Y J o T b E o 9 0 F L H / U 2 L J J 5 A m B e 3 b / e m J x D 2 z U / p 1 U / J 2 o 3 v b 1 K 9 n m i Y N / f 2 7 t / b 3 e i T e C J i X v r 0 4 d 6 D h 3 u U l 9 / Y m y c f 7 4 m n r z n 1 1 d t p T t v P v d 2 D / R 2 y C h t 1 u 6 8 4 z Z u 3 e z H C J L d 7 M c I u t 1 W b 7 9 d R h E l u q z V v p n i E J W 4 7 s x G m u N 2 b v s 5 8 z z c j D H J b l f m e P b 2 n 8 v A Q + 9 Q o s 2 d P v 0 w R t K f P 6 P + n L 9 6 k z 0 6 f 3 k a j H d z G 9 7 S 9 + C r z 4 H a + p 9 f B s M o 0 H e z S W u + 9 v U + J X r f T n e a 9 g / u f 7 j 1 4 c L B H T s H + 7 Z S n e X O b V v F 3 H u 7 f / / T T W 6 8 T 2 1 c f P L x 3 g I z B g / H 9 T Z r Q k x H z 6 j 4 p w p 3 9 h 7 v j B 5 / e T o X a g d 7 7 9 N O d v Y N P K c + g 2 d + b d O j 7 Y u s r U X 3 3 d k r U d r R / n + a d n O T x g 4 0 i H e G v W 7 4 Z Y Z x b v h l h n d v q 0 f f s K c I v t 1 W k N 1 M 9 w h i 3 n t 4 I a 9 z y V V + V v u + r E T 6 5 r S 5 9 3 6 4 i 3 H F L Z f r A q L m T a n m Z L 4 u q u U n B 3 b t Z d 1 q g 7 p V b w h x W l w b m v U / v f f p g j z T s + N N N Y a z H 9 f Z N S q g e 3 K M o i q L u T d T 0 B M C 8 u r 3 3 6 c M H u / c p T 3 p / s 1 n z R M C + + 3 D 3 w Q E p 6 0 8 p h r i l y j S v 7 n 6 6 Q 1 r z w d 7 9 8 b 1 b u p 3 2 z Z 0 H B / d 2 7 9 2 j v O 6 D W 8 b s 7 4 u v r z T 1 3 d s p T d s R J S T I O 9 6 7 t 3 c w 3 t 3 o o U V Y 6 9 b v R l j o 1 u 9 G m O i 2 q v O 9 + 4 p w z m 2 V 5 8 3 U j 3 D I r a c 5 w i K 3 f N V X n u / 7 a o R f b q s 8 3 7 e r C I f c U n k e W O X 5 5 Y u f T J + e v k 5 / n / T V 6 f F r + u f k R p V 3 g P W T W z i i t h P j i N o 3 3 6 u D Y c 1 q O n h / z W r f f H / N a l 5 9 L 8 3 a f f e W M + y J i n n 1 / T W r f f P 9 N e v 7 4 u t r V n 3 3 d p r V d n R r r R P h s 1 u / G 2 G h W 7 8 b Y a L b a t b 3 7 s v T r L f q q 8 8 u t 9 O s 7 z 3 N E R a 5 5 a u + Z n 3 f V y P 8 c l v N + r 5 d R T j k l p r 1 o V F 6 b + p s 2 Z z n d b 6 c F l k z S o + b 4 u I G z X e L f K g F b 9 + 4 H c R h J W o g P n j 4 6 f 3 9 B 5 9 S + m M j U 3 r 8 b 9 7 c p V W W e 7 R i d / / + v c 3 J Z k 8 W z L v b u 7 R C Q H m E v Y f 3 d 8 b 3 N n X s C Y N 7 + R 4 t R u 3 v E o y d 8 f 6 m l z 3 J M C / f u / + Q 0 h e f 3 t s b Q x Q G 3 / T E x I 7 3 3 s N 7 u / c f 7 j + 4 v z f + 9 H a K 9 P 0 x 9 l W p v n 0 7 V W q 6 2 r t 3 / / 7 e 3 s H u g 5 3 x R l m O M N f 2 b d + N s N F G M Y k w z 2 2 7 i v D O x q 4 i 7 H L b r v r M c j s 1 + j U m O c I i t 3 7 Z V 6 X v / 3 K E Y 2 6 r T N + / s / f l E 9 s c U u C r 0 / R s 2 e b 1 M m v S a 1 K o N y m / 3 R v 1 q Y P v X r k l z E G N a m H u P j w g l b j z 8 N P x p 5 s i b y c U 9 s 2 D e + Q D k 6 d H 6 6 a 3 V K j 2 1 e 0 D U k 8 P P t 1 7 e L A 3 P t j E 5 k 5 A 3 L u f 3 t v / F H O 6 t 3 t b d e o G u 3 P w 8 G C T N n S C Y t 9 B d 5 8 e 7 O 7 v P N j c n Z O S 9 0 f V 0 6 P m 5 V v p U d f T L u W y d h / u 3 P 9 0 d 3 z v 4 e 0 0 q a P K b d + N s c 9 t 3 4 0 w 0 E b p i n D N r f u K c M 3 G v v q c c i t d + j X m O c I k t 3 3 X 0 6 T v / 2 6 E Z W 6 p S N + / r w i X 3 F K P 7 h o 9 9 + W r z 4 9 f j F / + o 3 / O k z G F / S e n 0 G 8 A s E H j P d y 9 V b z v + t B 4 3 7 3 5 X h 0 M K 1 b T A Q V Q 9 + 8 9 I P V 6 a 8 V q 3 t y j G P h g / / 7 O / r 3 N C 0 i e i J h X t 0 k + d i l V c L C / P 9 6 4 l u 6 J i H v 3 U / I W D w 5 o 1 W u M g G L w X U 9 c 7 G D f Q 7 H a d 6 g 7 y v s + o N X 7 j d 1 5 M v P e q P q K V V + + n W K 1 P e 3 x J O 7 Q Y t 7 m 5 e Q I i 9 3 2 1 Q j z 3 P b V C P f c V q u + b 1 c R j r m t U r 2 Z 8 h H 2 u P 0 c R x j k t u / 6 S v W 9 3 4 2 w y 2 2 V 6 n v 3 F e G R W y r V P a P w n p 0 9 P T 0 7 + f K L s 9 d f v r 6 d t r s 5 1 H f Q Q 3 V 6 Y 8 j f 6 W B Y n Z o O 9 q j 9 f V I y t 1 O l 5 q 3 d T 0 k Z U u i + y W B 5 M m F e 2 9 7 d 3 6 N M w Q H k a / A 9 T y D s e 3 s P 7 u + Q B n 4 w v r f p T U 8 0 z J u b J t M T D k u N W / X j C c Z 7 Y u j r T X 3 1 d n r T U X B 3 / / 7 + p w 8 Q V 2 y y C 7 7 e t J N 2 y 1 c j X H L b V y O s c l u 9 + b 5 d R d j k t n r z Z s p H W O O 2 M x x h j t u 9 6 e v M 9 3 w z w i i 3 1 Z j v 2 V O E N 2 6 p L + 8 Z j X b 8 8 s t X b 4 5 P X p + S y j o 5 O 3 5 + O 5 V 2 7 2 a d a X s I d a Z a 3 1 t 3 M K w z T Q e b R u x J g G n + K W U B 7 j 1 8 e G 9 v f 3 x L f W n e 3 L 7 l q 5 4 s 2 F d J h n b 3 H + x / u r d J i j y h u M 3 g P L E w z W / V j S c T 7 4 e f r y / 1 z d v p S 9 s N W Z z 9 h 3 v 7 n z 4 8 2 E h B X 1 + a d 2 / 7 a o R D b v t q h F t u q y / f t 6 s I j 9 x W X 9 5 M + Q h j 3 H K C I 6 x x q x d 9 b f l + L 0 a 4 5 L b K 8 v 0 6 e k / N 4 e G 1 b z R Z u I 6 U z v I y f X 2 T O t u 7 W V N a + O 6 V W 8 I c V o 4 G 5 i 2 V o 2 l + s C P P 7 R S j e W v 7 F q 9 5 D K + v D T O w x + w 3 t v V 4 / c a 2 z N 2 3 b O v r u p s b R 7 j l N k T x 9 d x 7 T I G v 4 9 7 n t c i E 3 1 a / v U 8 3 / a m + t W 6 7 m d L v M 9 + + O r u x s a / C b m 7 c n / A N j f u z v K F x f 2 4 3 D N C 1 v W + U y M t X X / 5 k e v p 7 v 0 y f n T 5 N X z 9 / d X K j N n n 4 6 e 2 S i r Y L 4 9 H Z N 9 + r g 2 G l Z T q 4 p d I y z W / B k x 4 n m 7 d u I 5 8 e J + t r w 3 P h c f G N b T 0 m v r G t x 8 M 3 t v W V 1 s 2 N I 9 x z G 6 L 4 S u s 9 p s B X W u / z W m T C b 6 u 0 3 q e b / l T f W m n d T O n 3 m W 9 f a d 3 Y 2 F d a N z f u T / i G x v 1 Z 3 t C 4 P 7 c b B u j a f m o 0 y u v 1 p C l m R Y X F Z P r 9 E h 7 W T W r l 3 s 0 a y 8 J 3 r 9 w S 5 r C S M j D v P 3 z w 8 C G t X 3 w 6 3 n 9 4 O 3 1 l 3 r x 3 / + H 9 / d 1 9 c l l v p 7 H M e 9 t 7 D x 8 + 2 N 9 9 + P D T B + P 7 q n W j 7 3 q 8 b N 9 9 s L d 3 / + D e w a c P N y H r M b W H 7 A 7 5 1 v u f j s H F g 2 9 6 H G 7 e p J T v / s P d e / f 2 7 2 9 + 1 e P 3 9 8 P W 1 3 b 6 5 u 2 0 n e m G J v x g f / f g w b 3 d z X P o a z y L 4 q 1 f j v D O b R X e e y M a 4 Z r b a r 3 3 7 q v P L L f T g O 8 5 y R H 2 u N W L v m p 8 v x c j n L K J i L 6 m f L + O 3 p c z X P M H R r E d v 3 z 2 6 h / 9 o z 8 / J a / v D S X w b g x H 7 z 2 8 d z t n z / Z g n D 3 7 5 n t 1 M K x H T Q d 7 t C j 3 6 e 6 n D 3 b G 4 N 7 B w X t S Y d 4 8 o H X 6 e 8 S n D 8 b 7 m 9 7 0 Z M K 8 u f 0 p L f I / u E / L U m M 1 C T f p U f c m L Z f c p 9 f v j / e U F j d p U j t Q W g Z + u P / p A a F 7 S 0 1 q 3 n x 4 f 3 f v / u 6 9 / b 3 x p 5 v 4 y Z O U 9 0 X X V 6 X 6 7 u 1 U q e l o 9 z 7 1 t L P z Y P x w Y z c R B t u + 5 a s R 1 r m t G n 1 P J C M M c 1 s l + p 4 9 9 b n k d i r 0 v a c 3 w h q 3 f N V X o + / 7 a o R P b q t I 3 7 e r 9 + U O 1 / z A q t L n Z 1 + 8 O v 3 y 9 d O z z 1 + e k i 6 9 n a a 7 R X 7 P 9 h C q 0 h v T f J 0 O h l W p 6 W D T i D 1 x M M 1 3 q Y u D v f u b 3 v J E w b y 1 f Y v X P I l w r y E t / m D j a 5 4 4 3 G Z I n k D Y I d 3 c i S c K 7 4 O b r y H 1 v d t p S N P J g 5 2 d g / u 3 D q w t a r d 4 7 T 0 5 w d e M 7 4 F c h B U 2 t o / w w C 1 6 6 b P A 7 T T i e 0 1 l h A V u 8 Z q v C d / n t Q g v b G w f 4 Y L b d P O + X O C a P z T 6 i Z z I z 1 8 d f 3 H 8 + t X p 5 2 d f v j h + f n p L f / I W o b j t J F S C N 0 f k Y Q f D S t B 0 8 O D T + 3 t 7 m + N j T w D M W 7 S m S y b 7 U 6 z s 7 t 9 O H 5 o 3 t + l V W v I j n 3 f 8 4 J b O p H 2 V J / X h / v 7 + + M G n t 9 O L 5 t X 7 D 4 k 0 4 4 N N H X r S Y d 5 C f z T K T w / G 9 2 / p S L 4 v q r 6 a 1 H d v p y Z N R 7 v 7 N N 8 P 7 u 3 f G x v e u F F X W h x v + 2 6 E a 2 6 r M N 8 X z Q j D 3 F Z r v m 9 X f S 6 5 n e p 8 7 y m O s M c t X / V V 6 P u + G u G V 2 6 r R 9 + 3 q f f n D N s f 4 R M s 9 + / L F 0 y 9 f v j r 9 y a e n r 8 c v j t + M b 6 f n 9 m 9 U p K 6 L U J G q 1 r p 1 B 4 O K 1 H a w a c h O I m x z W o M f P 7 x d H G 7 f 2 b 7 x J S c P 7 q V 9 U m J j k 8 u 9 Q W H a t w 4 O x v c 2 T b o T C P v K / g F x y i 0 V 5 f t g 5 + l I 8 9 q t d K R D b G d / d 7 x 3 c D v 1 6 G F 2 8 2 v v y Q a e Z n w f 5 C K c c E u l + D 6 9 9 J m A q X y T P n y v m Y w w w M 1 v e V r w f d 6 K M M I m q n k K 8 H 1 6 e V 8 O c M 1 3 j W J 6 / d W T 1 2 d P x 6 9 P P 3 / 5 j / 4 5 T 7 5 4 e f z 8 d r r p / s 3 K z / Y R K j / V I L f u Y F j 5 m Q 4 2 j d l j e t O c U u Y 7 5 D p q S H + T + j N v b d / i N Y / 3 7 W s H D x + S u 3 m w M 9 6 Y X v b 4 3 7 x 5 f 4 9 y i B u l x p M D 8 x J 6 u 7 9 P 3 u b e g 9 u p w v f E 0 1 e H + u r t 1 K F D 8 O B g 9 8 G D T 8 c P N i H o q 0 Q P w 1 u 9 + p 4 M 4 q v F 9 0 Q y w i W 3 V Y 3 v 2 V O f P W 6 n H t 9 3 d i O M c b s 3 f T X 5 n m 9 G m O S 2 q v I 9 e 3 p f z n D N 9 4 w q e / b l y 9 O n p 1 / c T o V 9 e r O O t I B D H f n p e 3 Y w r C N N B 7 f U k b b 5 Z o b 0 O N + 8 s X 3 D K x 7 z 2 1 e w J E 9 L Q v f G 9 2 7 p I D r 0 j B m 5 S T G a N 1 x X m z S q x / / v i a S v G P X V 2 y n G D o K U D d H J v 1 E x d j G 8 6 d X 3 5 A p f M b 4 n k h H 2 u K 1 i f M + e + r x x O 8 X 4 v r M b Y Y z b v e k r x v d 8 M 8 I k t 1 W M 7 9 n T + 3 K G a 3 7 P K s a n X 7 5 5 d f w C T u T L 0 1 d P z 1 7 f T o M 9 u F l F 2 i 5 C F a m 6 5 t Y d D K t I 0 8 E t V a R p v r u / s / v p / g 7 5 6 J u M j i c K 5 s X t 2 7 3 p C Y X / 5 t 7 B / d 2 H t 0 1 B 3 m p s n l h 4 Y 7 t F P 5 5 Q v C e G v r b U V 2 + n L S 2 C e 7 u 7 9 8 b 7 t / U h H X q 3 e O 8 9 W c P X k + + D X o Q z b q s k 3 6 e b P j P c T k O + 7 4 x G m O F 2 b / o a 8 j 3 f j D D G b T X k e / b 0 v j z h m u 8 b 9 U U L N r / P G B l G s 2 B z O w V 2 c L O G t F 2 E G l I d n V t 3 M K w h T Q e 3 1 J C m + b 2 H l J f Y 3 / t 0 Z 3 z / l r l G 8 + b 2 L V / 1 Z M K + e k C p w N 2 d n X s U P N 9 S S X r 4 j h / c 0 q 8 0 7 0 h v + 7 Q W t b N 7 O 1 X 5 v o j 6 u l L f v Z 2 u N B 3 t 3 3 + w t 3 P / w Q M a 3 C Y U f X 1 p c b z t u + / J L L 7 O f F 8 0 I + x y W 7 3 5 v l 3 1 e e R 2 u v O 9 p z j C H r d 8 1 d e e 7 / t q h F d u q z 7 f t 6 v 3 5 Q / X / L 5 R b s / O n p 4 + O 3 1 6 9 4 u X Z 1 9 u 4 Y 8 v 7 t x O w T 2 8 W Y P a T k I N q u 7 Z r T s Y 1 q C m g 3 s P d y g / d 0 A e + a f 3 b q d M / T c / 3 X 2 w e 3 + 8 t 0 l F e d J h 3 t z + l O Z o / O n e 7 f S o f W v 3 0 4 P d 8 f 6 m t z z x M G / t 0 X I 1 J G H w H U 9 K z D u 7 D / c f j j d x j y c d 7 4 G d r z f 1 t d v p T d v H / V 2 y P x u 7 i L D Q z S 9 F 2 O L m l y I c s V G A I n x w c y c R N t j Y S Z 8 B b q c f 3 2 c W I 5 N / 8 1 u + V n y P t y J M c F u F + B 6 9 R O b / l r r w U 0 8 X p m c v n r 1 K T 1 + k z 7 9 8 n Z 4 + / f L 1 r X Q V + P w m Z W h 7 C Z Q h 3 n y v D o a V o e n g l u 6 k a X 5 v 7 + F 9 y m c 8 H D / c p G A 8 x j c v b t / u T Y / 7 9 c 1 h b v Y 4 / 8 a 2 H u P f 2 N b j 9 h v b + g r u 5 s Y R N r o l X X w t 9 3 5 z 4 a u 6 9 3 w z M v + 3 1 X f v 2 V N / 2 m + t 9 G 6 m + v v M v a / q b m z s a 7 i b G / c n f 0 P j / n R v a N y f 4 Q 0 D d G 0 f G B 1 D 6 8 / P v n z 1 J v 3 i + A X p s P T l l 8 / P T p y i 2 a R o 9 m 7 W Z L a X U J O p d r 5 J k 9 k O h j W Z 6 e C W m s w 0 3 9 t 5 Q J 7 c w T 1 a 9 r u d J j M v b t / u T Y + l 7 Z s P H u z T + j U 5 6 v f U q 7 1 J r 5 k 3 7 x 3 c P 7 i / c 3 B v o 4 v m 8 b l 5 b 5 f c j b 3 7 9 3 f v b 1 6 V 8 5 j + P X H 1 9 Z + + e j v 9 Z / v Z 3 X v 4 4 N 4 u l v X v 3 T Y y t q O 7 5 a s R Z r n t q x H G u a 0 K f N + u I g x z W x 1 4 M + U j v H H b G Y 4 w x + 3 e 9 N X j e 7 4 Z Y Z T b O o H v 2 d N 7 K h I P s Q O j 2 E 6 + f P E m P a V / y R 3 8 y d N X r y m x e D v l d u 9 m 7 W k 7 C b W n x q 2 3 7 m B Y e 5 o O H u w 9 v L f / 6 c b Q x J M F 8 9 b D g w c P 9 h 7 c o y X C T 2 8 Z E J s 3 t x 8 e f P r w 4 c H O 3 q f j / U 2 v e l J h X 9 3 / 9 N P 9 + w / v 3 d + 7 v 3 n 1 x p M Q 8 + 7 9 n U 9 3 7 u 9 9 u j s G i w 2 + 6 E m L e X G f o v 5 d G u 7 B p + N N 6 H r C 8 t 7 o + r p U X 7 6 d L j U 9 3 f v 0 w Y P 7 5 G 8 9 P B g f 7 N 9 S l 1 o s b / 1 y h H k 2 S k y E b W 7 d V 4 R x N v Y V 4 Z Z b 9 9 X n l t v p 0 / e f 5 w i T 3 P Z d X 6 e + 9 7 s R l r m t V n 3 v v t 6 X S 1 z z h 0 b l 0 X I 2 B 9 j H 6 d P T l + S f n v 3 k 8 e 3 U 3 v 7 N e t V 2 E u p V Z Z B b d z C s V 0 0 H m w b t S Y Z p v r v z 6 f 5 4 E 5 t 6 E m H e 2 b 7 x J U 8 s 3 E s I z W j R 5 N 5 4 5 5 b 5 R f P q 3 v 6 9 + 7 v j g 0 9 v p 0 D t y K i / B / t k l c c H B 7 d T o O + L q q 8 / 9 d 3 b 6 U 8 f x X 1 i 7 o P N i V p f f Q Y 4 3 u b d 9 2 Q R X 3 u + L 5 o R V r m t 8 n z f r v p c c j v d + d 5 T H G G P W 7 7 q a 8 7 3 f T X C K 7 d V n O / b 1 f v y h 2 1 + b 8 f q z S 8 p j C e d m Z 5 8 9 f z N V 6 9 u q T T v 3 6 g 0 X Q + h 0 l R / 6 N Y d D C p N 2 8 H t l K Z r v p m m T g 7 s G 9 s 3 v O J E w b 3 y Y O f e A c 3 i z v j e J l X r J M G + u f 9 g f H + T y n P y Y F + R v j 5 9 M H 6 4 C U s n D O + L p a c q z a u 3 U p U d B N H N L T V l D M N b K s p b s Y W n K N 8 X y Q h / 3 F J P v m 9 P f e a 4 l Z p 8 7 9 m N M M b t 3 v S U 5 P u + G W G S W + r I 9 + 3 p f T n D N d 8 1 C u z l q y 8 / V 9 / y 9 O l X J + k X p 0 9 v p 8 Q + v V l L 2 k 5 C L f n p e 3 Y w r C W 1 g 2 H W 8 U T h x r Y e 8 9 / Y 1 m N 8 M 8 j t T + / v 7 + w e 7 G y a M I / r z W u b 5 s v j e 9 P 8 F p 1 4 L P 8 + u P m K 8 M b x + 4 r w P V D z t e B 7 4 d a f 8 1 u r w P d B r 8 8 C t 9 Z / 7 9 N N n w 1 u p / z e i 2 Q R N r j F a 7 7 a e 5 / X I v x w W 5 3 3 P t 2 8 L x + 4 5 n t G F 7 l Y + v Q 1 L f S 8 P H 5 + O 3 X 0 8 G Z 9 Z / s I 9 d 3 D 9 + x g W N + Z D i j N u P N w E 6 E 8 / j f v 7 O 3 e v 3 e f H K m H Y 5 M z v U k L m j e 3 9 3 Y p Z 7 R L 6 y 6 b X / W k Q V 8 d Z m t P B G 5 s 6 0 n A j W 0 9 r r + x r a / x b m 4 c 4 a X b E s Z X e 2 4 6 b v d q Z P Z v + 2 q E C T Y K S 2 T q b 9 t V f + p v u 2 J z C 8 q / z / z 7 a u / G x r 6 y u 7 l x n w E 2 N O 7 P + I b G / T n e M E D X 9 p 6 v 0 o 5 f f v n 7 f J l + c f b 5 q + M X b 0 5 f 3 0 r l Y E g 3 6 T T b S a D T z J r B r T s Y 1 m m m g 0 3 8 4 n G y a U 4 L / A 8 e 7 J A 2 + / T T 2 2 k z 8 + L 2 7 d 7 0 O F r f T O / e Q p n d 2 N Z j 5 h v b e r x 8 Y 1 t f m d 3 c O M J F t 6 S L r 8 v e b y 5 8 V f a e b 0 b m / 7 a a 7 D 1 7 6 k / 7 r R X Z z V R / n 7 n 3 F d m N j X 1 F d n P j / u T f T p H d 3 L g / w 7 d S Z P t W k X G + 7 o u z F 6 e v v r y d g t m 7 W Y N Z 6 K E G 2 3 v P D o Y 1 m O n g l h r M N K f f D h 7 c 2 7 v 3 Y P x g / 3 Y q z L y 5 f c t X P W b W V 4 e n w 2 P k G 9 t 6 f H x j W 4 + N b 2 z r 6 7 C b G 0 c Y 6 L a E 8 Z X Y e 0 6 H r 8 X e 9 9 U I E 9 x W j b 1 v V / 2 p v 7 U e u 5 n y 7 z P / v h 6 7 s b G v x 2 5 u 3 G e A D Y 3 7 M 7 6 h c X + O N w z Q t b 1 v N M 2 X b V 0 1 6 d n y o s 4 b + u U 6 f Z I v N 6 u b e z f r M Q v d v H A r e M N q y 8 C 7 v 0 u K b r y 3 i Z 0 8 x j V v 7 R 4 c 7 B 3 s 7 9 w f H z y 4 n f I y L 2 7 v H j x 4 8 O n + g / v j T 3 U M 0 T c 9 B r Z v 7 u / R s u n D + w / H 9 9 X 9 v E m T m T c P q L t 7 t 1 2 n t W / t 7 x 3 c 2 3 u w e 2 9 8 b 9 M Q P f 5 + T 0 R 9 d a e v 3 k 7 d m X 7 I R D 3 Y 3 T + 4 t 3 k d 2 V d 2 F s N b v h p h l 9 v m 3 d 4 T y Q i n 3 D b 1 9 p 4 9 9 f n j d q r u f W c 3 w h i 3 e 9 P X g u / 5 Z o R J b p u G e 8 + e 3 p c z X P N P P 0 B L 3 i I J Z 8 H b N 2 4 H c V h R G o j v p y j N W + + t K M 2 L 7 6 8 o 7 Z u 3 m 0 N P E M y b 7 6 c o z V v v r S j f E 1 F f U e q r t 1 O U p p 9 b a o Y I F 3 0 N R W l e v a 2 i f E 8 k I 5 x y W 0 X 5 n j 3 1 + e N 2 i v J 9 Z z f C G L d 7 0 1 e U 7 / l m h E l u q y j f s 6 f 3 5 Q z X / I H R Z K / y Z l 2 2 2 a x K V 1 W d v q y a Y l r c p N b u 3 6 w p L X z 3 y i 1 h D u t K h T n M K B 7 j 3 9 j W Y / U b 2 3 p s b s a 1 v b u / / 3 B / f F 9 N w E 0 6 0 L y 2 a X Y 8 L j f N b 9 G J x + D v g 5 u v 9 m 4 c v 6 / 2 3 g M 1 X + e 9 F 2 7 9 O b + 1 w n s f 9 P o s c G t t 9 z 7 d 9 N n g d q r u v U g W Y Y N b v O Y r u f d 5 L c I P t 9 V w 7 9 P N + / K B a 3 5 g 1 d v p 6 6 + e v 0 l f f v k 6 / e L L F 6 d v j l + d H d + o i n Z 3 6 N m 9 W c n Z X i T 7 5 7 3 5 X h 0 M a z z t 4 F Y a 7 8 a 2 H r v f 2 N Z j d T P I 2 7 C h x + r m t V t q P N P 8 F p 1 4 r P 4 + u P k a 7 8 b x + x r v P V D z N d 5 7 4 d a f 8 1 t r v P d B r 8 8 C t 9 Z 4 7 9 N N n w 1 u p / H e i 2 Q R N r j F a 7 7 G e 5 / X I v x w W 4 3 3 P t 2 8 L x + 4 5 g + N L v q q L c p i l s 3 y J n 2 X v s z q 9 h Y O 3 a c 3 6 z o L 3 7 1 y S 5 j D 6 s 3 A 3 D R E j 9 N N 8 9 2 9 h 3 v 3 7 + 3 u j n f V q 7 x J 3 Z k X t 2 / 3 p s f 1 + u Y w + 3 q s f m N b j 9 N v b O t x 9 4 1 t f c 1 2 c + M I z 9 y S L r 5 2 e 7 + 5 8 P X b e 7 4 Z m f + N E h G Z 9 l v 2 1 J / 2 W y 9 r 3 E z 1 G + d + Q L X d C N l X a D c 3 7 k / + h s b 9 6 d 7 Q u D / D G 6 h h 2 + 7 v W L X 1 5 u x 5 + v L 4 F f l q x 2 9 e n X 3 x 5 Y u b H b V P b + m o u V 6 M o 2 b f f K 8 O B j W Z 7 e B 2 m s w 2 v x 1 n O p a 2 L 9 5 S Y h 1 L m z d v o 8 l u b u u 4 + e a 2 j p l v b u t p s l s 0 j r D R L e n i a b L 3 n A t P k 7 3 v m 5 H 5 v 6 U m e 9 + e + t N + W 0 1 2 C 6 q / z 9 x 7 m u z m x p 4 m u 0 X j / u R v a N y f 7 g 2 N + z O 8 Y Y C u 7 a 7 R M V 9 n 6 e H h z T r M w n e v 3 B L m s N o y M N 9 r 9 c G 9 9 X D n 3 g 6 5 t A / 2 b q e 8 z H v b 9 w / u 7 + 5 + u j / e P 7 i d 7 r I v U l r 0 3 r 1 9 e v P h p i 4 9 d j Z v v t f a g 3 2 L 1 h 5 2 D / Z 2 D 8 Y P N i H q 8 f h 7 I u q r O 3 3 1 d u r O 9 H P v U 1 o A u r e z M 9 7 f N H W + t r M Y 3 v L V C L N s V C U R N r l l T x F G 2 d h T h D 9 u 2 V O f P 2 6 n 7 t 5 3 d i O M c b s 3 f U 3 4 n m 9 G m G Q T F X 3 N + J 4 9 v S 9 n u O Z 7 R p O d v n h y 9 u L F l 6 9 f / a N / 9 O d P X 9 6 o z + 7 v 7 e z e x t u z 8 I 2 3 Z 9 9 8 r w 6 G 1 a b p 4 P 3 U p n 1 r 5 + D + / Y c H t 1 a b 5 r 3 t + z v 3 7 n 3 6 6 c G t 1 a Z 9 c X 9 v 9 y E N 7 P Z q 0 7 z 5 f m r T v L W / t / f g / o N P b 6 8 2 3 x N R X 2 3 q q 7 d T m 6 a f e w 9 2 7 z 8 g F r + 9 2 r Q Y 3 v L V C L P c V m 2 + J 5 I R R r m t 2 n z P n v r 8 c T u 1 + b 6 z G 2 G M 2 7 3 p q 8 3 3 f D P C J L d V m + / Z 0 / t y h m t + z 1 e b p y + + + O r 0 y e u v v n P 2 4 i d v o 9 f 2 b q M 4 b Q + + 4 t y 7 n e L 0 O h h W n K a D T S P 2 R M E 0 P 9 h 9 s G 8 S j j d p S / P O 9 o 0 v e Z J g X 7 q / v 7 d / f x N 2 n h D c Z j C e G J j m N 3 b h 8 f / t 8 f J 1 o r 5 1 O 5 1 o u y C d v b O / i V 6 + P j R v 3 f x S Z P Z v f i n C A x s H H 5 n / m z u J z P / G T v p T f z v 9 9 x 6 T G J n 6 G 1 / y t d 7 t X 4 p w w G 0 V 3 u 0 7 e U / J 9 3 D a t 5 o o a 1 o O o i W q f v m P / t X 1 r N i o j + 7 f r O c c d G l / G 2 j D S s 1 A + 3 R n f + f e 3 v 6 n 9 3 f u j 3 c 2 2 Q C P u 8 2 7 x K w H O x R N 7 z w Y H z y 8 n a I z r 9 7 f O y D 9 u 3 9 v / + G D M a R t 8 F 2 P 3 + 2 7 O w / 2 P 9 2 5 / + D B v U 8 3 O 2 s e 7 9 t 3 D / Y O D u 7 t Q f W P 7 2 0 a r i c K b r j k I 3 5 K f d 8 f 3 9 + / n S p 8 b 5 R 9 j a g v 3 0 4 j m p 7 2 d v c f 7 h 6 Q I 7 s z v n f b Z K J 5 d / v W L 0 c Y 6 b a e 4 n s j G u G e 2 / q K 7 9 1 X n 2 N u p y 3 f f 5 4 j T L J 9 6 7 d 9 7 X k b m v i K 8 7 1 R 9 b X o r T q L M M e t O / M Q v d / R p r M 8 f b Z e T o t q m S 1 u U K a 3 8 B o d d H 3 h V v C G 9 a m B R 0 b j A U U m 9 3 b 2 d s c 7 m 0 b q i Y R 5 l 3 5 9 + J C o 9 P D T 8 d 6 D 2 + l T 2 + 0 u h a 9 7 + w / 2 9 v b H B z q a m / S p e f f h v U 9 3 P z 3 4 l H T x e O + W 6 t R 1 i 6 E + f H j v w d 5 4 b 1 O 3 n q z Y d x 8 8 p C Q M E W p v / H C T B f A k 5 X 0 x 9 r W p v n s 7 b W p x P P j 0 / v 1 P d w 4 e k M r f h K O v T c 2 7 2 7 d + O c J G t 9 W m 7 4 1 o h H d u q 0 3 f u 6 8 + w 9 x O m 7 7 3 N E d Y Z P u 2 L / u 6 9 D Y U 8 X X p + y L q q 9 J b 9 R X h j N v 2 5 a H 5 q d F 1 r / P 6 s i A N S i 5 p X j e k S M u 8 u U H z b V a l I X j 7 x u 0 g D i t T A / H h g 4 c 7 5 H H t P b z B 4 / I E w r y 6 + + m n p F 4 O d h 7 u j v c 2 + X m e P J h X D 3 b 3 S K 8 9 3 N v Z 3 + w i e q J h X n 1 w / 9 N 7 D w 4 + f f j p p 7 f T o 7 b L e 3 s 7 9 y g n 8 e D T z Q P 1 h M T r 8 v 7 9 B 5 Q C v r V T + l 7 I + i p U X 7 y d C j W 9 E H L 3 7 u 3 t 3 T v Y T E x f g 5 p X t 2 / 7 b o R 1 b q t A 3 x f N C L / c V n + + b 1 d 9 P r m d + n y / + Y 0 w x v a t 3 v Q V 5 2 1 I 4 S v O 9 0 L R 1 5 q 3 6 i j C D r f q y E P w g d F p r / L F e p n X G f z O v E m z k l T n T Q r u F j r T w n e v 3 B L m s N Y 0 M O / v 7 x 9 Q d p M C 7 F t H 9 O b V 3 Z 3 7 u z u f 7 t L / x / c 3 B U q e F J h X o b 0 e 3 t t / c E B L P Z u c V 0 8 g 7 K t 7 9 2 D R H u w + G O 9 s c i g 8 g b C v P o B 5 + P R g Z 3 c M E R h 8 1 R M P S 6 Z 7 O / v 3 7 u 0 c 7 I 9 3 N w 3 V k 4 / 3 x d f X n f r u 7 X S n n Y 5 P d 3 c e 4 H + 3 X / M x r 2 7 f 9 t 0 I A 9 1 W d 7 4 v m h G u u a 3 u f N + u + q x y O 9 3 5 3 l M c Y Y / t 2 7 7 s a 9 D b E M T X o O + L q K 9 E b 9 V X h C 9 u 2 5 e H 5 o H R c 6 + / O n 3 + 9 M v X N 6 q 5 X Y o I b 6 N A L W B e 9 f H f f K 8 O h r W p 6 W D v A T m S e 5 + S O h 0 / 3 K Q n P L m w r z 7 8 l F I e + / d 2 x w 8 2 m R 1 P L O y b F M n f p 5 z V / Y M x O G z w V U 9 C 3 K s 7 N E m k x + + N H 2 w S E U 9 C v K F S N v f B w e 4 N 2 t + T F / P q v f v 3 9 v c f U D C / O f v g S c v 7 4 u s r U 3 3 3 d s r U d P T p / U 8 P D j 7 d 3 x / v b x q b r 0 v N m 9 u 3 f D X C P b d V p e + J Z I R l b q t J 3 7 O n P p v c T p G + 9 / R G W G P 7 t i / 7 i v Q 2 9 P A V 6 f s i 6 i v S W / U V 0 y m 3 7 M t D 8 6 H R d 0 / P n p 2 + O n 1 x c n b 8 P H 3 5 5 a v 0 p 7 5 8 c X w r p Y d B 3 6 R V b S + B V j W Z v V t 3 M K x V T Q e 7 O w / v 3 7 8 / 3 r j W 6 Y m H e Y 3 W b e 4 9 2 O x f e q J h 3 3 p w n 0 z W w 1 s q U v P W 3 q d I H u x u 8 q A 9 4 X i P t z w p M W 9 t Y i B P M N 6 j E 1 9 d 6 m u 3 U 5 e m D / p 1 7 9 P x w S Z S + 7 r S v L Z 9 m / c i D H F b R f k + 6 E V Y 4 b Z a 8 n 2 6 6 X P B 7 V T k + 8 x m h A m 2 b / G e r x h v Q w J f M b 4 H e r 5 O v F U 3 E Q a 4 R T c O O a z g G 3 X 4 k 6 e v X h / f z r G 8 d 7 M K d J A D F Y g 3 3 6 u D Q R V o O 9 i 9 d 2 / j U p h j e v v K J p o 6 Z r 9 1 D 4 7 f z S v D j O u Y / O a 2 j s d v b u s Y + + a 2 n k 6 7 R e M I t 9 x E E E + h 2 X e 2 b 3 w p M r e 3 1 G a 3 R y w y u 7 d U Z b f v 4 3 2 m 2 N N j t 2 j 8 P p P s q a x b N O 5 P 8 o b G / d n d 0 L g / q x s G 6 N r u G v U B 3 + z 1 V 6 / f p C 9 J P 5 G P 9 v x W C m T / F h r K d h F o K L z 5 X h 0 M a y j T w R 7 l T 3 d p Z X c T 1 3 j M b F 7 7 d G + X 3 L T b L m H b 1 3 b v 7 + 0 / / P T h 5 j V F j 6 8 t l j u f 8 s K J i f 1 v U l / v 9 Z 7 H 5 u a 9 T X L n M f p 7 d e N r N n 3 x d p r N 9 L J 9 / 9 7 D H W R t b 6 v e z I u 3 e i / C G 7 d 6 L 8 I c G 7 V W h C t u 1 U + E K z b 2 0 + e G 2 2 m 6 9 5 v T C D N s 3 + p N X w X e Z j y + F n w v F H 2 N e K u O Y k r i N h 1 5 C O 4 Z 7 f X q 7 P T 1 5 1 + m L 1 9 9 + e z 0 9 d m t N S Q 6 v k l D 2 j 4 C D X l f M b x 1 B 8 M a 0 n S w u / s p 6 a z x J k 3 n y Y B 5 6 9 7 B 7 g G l U G + 3 w G L f e n B w b + f h + N N N b 3 l y Y N 7 6 9 D 7 e e v D w d r r x P d 5 i s Q j f u q V m f I 9 O f L 2 o r 9 1 O L 9 o J 2 n v 4 8 O H 4 4 N N b a k X z 2 v Z t 3 o v w w 0 a t E + G E 2 3 Q T Y Y X b u n 7 v 0 0 2 f C 2 6 n E 9 9 n N i N M s H 2 L 9 3 x 9 e B s S + P r w P d D z t e G t u o k w w C 2 6 8 Z C 7 1 9 G F z 4 + f f P n q l n r w 0 1 v o Q Q s / 0 I N 4 8 7 0 6 G N a D p o P d v X s H + w / u P 9 w 9 G O / d b p H E v k o K 9 y E t 6 O 3 v j P c 3 O X 6 e F J g 3 H 9 7 b u / 8 p Z f Y e j A / 2 b q c U z Z u U e 9 1 9 e H / / 3 v 3 N S U F P J F y f O 3 v 7 9 0 k T j w 0 V b 1 K O 5 s 0 H O z v 3 d + 4 9 3 B 9 / u g l Z T 0 L e E 1 l f V e q r t 1 O V F k F a 3 X v 4 Y H 9 3 f L B p H n x t a d 7 c v u W r E c a 5 r c J 8 T y Q j 3 H J b n f m e P f V 5 5 H Z q 8 3 1 n N 8 I Y 2 7 d 8 1 1 e f t 6 G G r z 7 f E 0 1 f h d 6 q q w h L 3 L I r D 8 n 9 u B p N T 4 5 f 3 k 7 T 7 d 2 s S m 0 f o S p V W b 5 1 B 8 O q V D s Y 5 h 5 P G m 5 s 6 / H / j W 0 9 3 j e D 3 D R l H s O b 5 r S Y s w P e H n z H 4 / t b v + M x / G 3 Q 8 t X f j U P 2 1 d + t g E c Y Y W P 7 / r z e W t P d q n 1 / f m + t 3 2 7 V v j / J t 9 N q t w L + n j P r q 6 9 b t X / P y f V 1 1 q 3 a v + / k u u b 3 j R I 5 / n 2 + e n q c f v v 4 y d m b 4 x O K f W + l R R 7 c w u O z P Q R q C m + + V w f D a s p 0 c J + i / v 2 9 v d 1 P x 5 9 u 0 t I e Y 5 s 3 d x 9 Q T u f T g 4 O 9 8 f 1 P N 7 z p s b h 5 8 9 7 B w f 3 9 + / f u 7 Y 8 h Y I N v e s z u 3 n x 4 c O / h 7 o N 7 4 1 v 6 e + b F / f 0 d W q u / / + D h e O + W C s 4 S a O f + p + T V 3 h / f u 6 W W e z 9 c f X 2 n b 9 5 O 3 5 l u E O L e o 4 7 G D 2 6 5 x O s m 8 F Y v R n j m d i 9 G W O a 2 u v D 9 O o r w y W 2 V 4 s 0 U j 3 D E L S c 2 w h L b t 3 v V 1 5 S 3 G Z G v K d 8 P S V 9 n 3 q q n C D f c r i c P x U 9 D 7 X n 6 4 v T V 5 2 f H t 9 F s u z u 3 U J 0 W v K 8 6 + c 3 3 6 m B Y d Z o O 7 j 1 4 u L f 7 4 F N a 6 j i 4 p e o 0 b 1 K 6 k f K N 9 / b v j / d v u b h i 3 t z 7 l G L l g 3 t 7 + + P 9 W 8 b K 9 s 3 7 D w 8 e 7 l G o P d 6 7 p e 6 0 b z 6 8 9 y l F v H s P x / c 2 Y e t J i q X Q v Q c 0 1 J 3 9 8 c 4 t d e d 7 I u s r T 3 3 1 d s r T k Z O S H Q 8 f b r Z D v u 4 0 L 2 7 f 7 s 0 I 1 9 z W f 3 w / F C O s c l t H 8 v 0 6 6 v P H 7 Z T n + 8 5 s h C m 2 b / m u r z 5 v Q w x f f b 4 n m r 7 + v F V X E Y a 4 Z V c e k g 9 C B f r 6 9 P P 0 9 Z c n Z 7 d L O N J / N + t Q 2 0 O g Q / H m e 3 U w r E N N B / s P 7 1 P C 8 e D h g 8 1 + m S c X 5 k 0 y Q A e U r 3 1 w M I b 3 P v i m J x j m z X v 7 O z v 3 9 j 7 d P R g / 2 P S m J y L 2 z V 1 S + T s H D 3 f H O 7 f U o V 6 f + 5 8 e 7 N 3 f G d + 7 f z s d a t 7 c 2 7 u / / + D e f X J c P 7 2 d D n 1 P Z H 0 d q q / e T o c 6 B G n W H + w 9 2 L y k 5 S t R 8 + b 2 L V + N 8 M 1 t t e h 7 I h n h l t u q 0 f f s q c 8 j t 9 O j 7 z u 7 E c b Y v u W 7 v h 6 9 D T V 8 P f q e a P p 6 9 F Z d R V j i l l 1 5 S B 4 Y L f c q X 6 y X e Z 1 N i 2 q Z N 2 l W p i / z m 1 T d L X K N F r 5 7 5 Z Y w h x W n g X m P d N h 9 W g 6 k R e t N 9 t o T B f M m l j 3 u 0 7 v j v U 0 v e p J g X i R F R K s 0 n + 7 v j z d x t i c S 9 s V 7 e z u U Y S B 3 1 y z d 3 6 Q 2 7 Z v 7 B w 9 2 7 h 9 Q b L F 3 S 9 f T v E k e 9 g H l N R 6 M H 9 x S b b 4 n s r 7 a 1 F d v p z Z t P 3 t k + x 4 + P L g h O x 5 h p + 1 b v h r h m i G Z 6 q r N 9 0 Q y w i y 3 V Z v v 2 V O f R 2 6 n N t 9 3 d i O M s X 3 L d 3 2 1 e R t q + G r z P d H 0 1 e a t u o q w x C 2 7 8 p B 8 a N T a t 7 9 8 Q e s z r 8 6 + f H 2 j Y q P / d i A F N 6 l M C 9 s 4 n v b N 9 + p g W H + a D v Z 2 7 1 E g / Z A c z / 1 N D O f J h H l z 9 y E t A O + R S t r o y X k i 4 V 4 k / X n w g G J 3 i N r g m 5 5 w 2 D c P d m g d j R z I z U 6 g J x y u z 0 8 f H B z s P t g d 7 y k N b 1 K g 9 s 1 P y U Y 8 2 N k b P 9 w 0 T E 9 O 3 h N Z X 4 H q q 7 d T o L a f / R 1 K h N y / P z 4 4 u K U C N W 9 u 3 / L V C N v c V o G + J 5 I R b r m t A n 3 P n v o 8 c j s F + r 6 z G 2 G M 7 V u + 6 y v Q 2 1 D D V 6 D v i a a v Q G / V V Y Q l b t m V Q / L T n b 4 C v c 0 a t + i 4 m / 1 O B z 9 U o j e 7 n 2 E H g 0 r U d n B A P t b 9 T z / d v A D k p M K + R 5 7 6 p / s P d s b 3 b + e B 2 v d o t e l g h 1 z e n d s t G z k 8 K b d 1 Q M n W T S r Q C Y Z 9 7 S E t b m 9 E 0 c m H 6 2 p / 9 9 M H Y z D H 4 F t O N N 4 L Q U 9 h m v d u p T A d 9 X Y + R Y Z 7 / O m m z L G n L + 2 L 2 7 d 7 M 8 I g t 1 S X 7 4 l i h D N u q S 3 f s 6 M + T 9 x K W b 7 f t E b Y Y f s 2 L 3 p q 8 l Z k 8 N T k e y H o 6 c j b 9 R N T F L f o x 0 N v 1 y i w 0 5 8 8 f f H m q 5 s T m 6 S 5 9 m 7 j X z r I n m r c u 5 1 / 6 X c w r B p N B w 8 + f f C Q L M P e Z l 3 l i Y B 5 k U L e 3 Y c P 9 u 6 N D z a x p i c C 5 s X 7 e G 2 H 8 q E b P T 1 P F s y L + w / 3 7 u / d e 7 C / e Y X b k 4 X 3 e 9 G T C / P i J v b x x O H 9 + v H 1 o 7 5 5 O / 1 o K f + A K L h D h L / l Y p B 9 c f t 2 b 0 a 4 5 L b 6 8 f 1 Q j D D H b f X j + 3 X U 5 4 n b 6 c f 3 n N g I S 2 z f 7 l V f R 9 6 G F L 6 O f D 8 k f S 1 5 q 5 4 i 3 H C 7 n j w U 9 7 p 6 8 p Z u 5 N 6 t 3 E g L P d S V t 3 E j / Q 6 G d a V 2 M M w z n g T c 2 N Z j + h v b e g x v B n n / 4 b 0 H B z u b P V m P 3 c 1 r 5 O 7 t 3 q M k 4 y 0 V o H l t D 0 s 6 t O a 1 S c V 7 X P 8 + S P p q 8 E Z C + G r Q d L J 9 q 1 4 i f H K r 9 / r T f 7 v 3 + q y w W a f 1 2 e F 2 / U R Y Y 2 M / f Z 6 4 n Q p 8 L 6 Q i r H C r W f L V 3 2 1 G 4 6 u / 9 0 H Q V 3 6 3 6 u f r c o F 7 7 Z 5 R T q 9 O X 7 4 6 f U 3 q 7 / j F m 9 P b J C L 3 b + U o W v i e 8 t u / n a P o d z C s / E w H u / d 2 H n x 6 b 2 f z c q H H / f Y 9 B M P 7 t w 6 h 7 W u 7 9 w 4 e 7 H 8 6 N m r 8 J v 1 o 3 n u 4 e 2 / v 3 q f j h 7 d T j + / x l i c T 5 q 1 b u o f v 0 Y m v F P W 1 2 y l F 0 w e t w t / f e b h Z Y f s 6 0 b y 3 f a s X I 2 x x W 8 / w v R C M 8 M N t H c P 3 6 q f P C b d T i u 8 z o x F G 2 L 7 F e 7 5 K v A 0 N f J X 4 H u j 5 G v F W 3 U R Y 4 B b d e M j t W 4 U Y L m Y f z 4 p p c Z P W u n e z Q r T w 3 S u 3 h D m s A w 3 M T w 8 + v f f g 0 7 0 H l C H Y x F c e 2 5 s 3 9 3 f 2 D m j R f 2 / 8 Y P 9 2 e t B 2 u f / p z s P 9 3 Y d 7 4 0 8 3 + W 6 e B N g 3 7 3 2 6 d / B w n y L 0 T 2 + p D e 2 b 9 2 l K H 9 6 n H P 2 O 2 p G b N K J 5 c 2 / v 4 P 4 O J a z G 9 2 7 p M b 4 n s r 5 + 1 F d v p x 9 N P w 8 p C f 7 g 0 9 s v Z t s X t 2 / 3 Z o R p b q s h 3 w / F C K v c V k W + X 0 d 9 / r i d j n z f m Y 0 w x X b v 3 Z t 1 5 W 2 I 4 e v K 9 0 T T 1 5 e 3 6 i q m R W 7 X l Y f k f a P T X r 4 6 + + L 4 d f r y y 1 f p 8 T / 6 J 9 + 8 n n 0 P y e P b u J G 2 B + N G 2 j f f q 4 N h F W o 6 2 N 3 Z 2 S G + o 7 W H e w 9 u p 0 L N m 3 u f 0 h 9 7 e 3 v j v U 1 U 8 + T C v P i A d P b + 3 j 5 p s 1 t q U P P i p w 8 P k B y l s P m W C t T 2 u P c p r f 9 Q W u r e L T 1 K O 8 a D H V o D v z / + 9 H b a 8 / 0 Q 9 Z W n v n k 7 5 W m 6 u X d A 2 h 3 p g N s q T / P i 9 u 3 e j L D L b Z X n + 6 E Y Y Z L b K s / 3 6 6 j P G 7 d T n u 8 5 s R G W 2 L 7 d q 7 7 q v A 0 p f N X 5 f k j 6 m v N W P U W 4 4 X Y 9 e S h + G l O c L 2 6 3 j C 2 q b e 9 m 3 W k 7 C X W n e k C 3 7 m B Y d 5 o O 9 k j 9 3 d 9 E M 0 8 g 7 D v 3 d z a 9 4 U m C e + P h g 4 2 9 e N J g 3 t n U 3 J M B 2 8 X + z k a s P E m 4 7 S u e C N w G K V 8 X a v v b 6 c J b U 8 n X g + a l 7 Z v f i k z 7 b X X g 7 V G L z P p t 9 d / t O + n P + + 1 0 3 6 0 w e s / p 9 t X c r d p H Z n x j + 8 h k 3 1 a 5 3 a a 9 h 8 6 D Q K W l P 3 l 8 k v 4 + 6 d M v v z h 7 c X Z y C 4 1 z u + V n 2 4 m n 0 m 6 z / N z p Y F i l m Q 4 + 3 S d n c A d O 3 S 3 T i u b F + 5 + S o 7 Q / 3 j u 4 n X J z / e 2 R 4 7 3 z Y P x w k / f p 8 b t 9 c W / 3 4 c F D i p Y O N v X o 8 b x 7 8 Q H 1 + f D 2 a y 9 2 h P v 3 7 u 8 d b E y r e F L w f n j 6 6 k / f v J 3 6 M 9 3 s 7 e z f u 3 f v 4 X j n t q 6 g e X H 7 d m 9 G W O W 2 a v D 9 U I z w y G 1 V 4 f t 1 1 G e N 2 6 n D 9 5 z Y C E t s 3 + 5 V X 0 f e h h S + j n w / J H 1 t e a u e Y o r j V j 1 5 K B 4 Y l X b 8 + V d n 6 e e v j t + c P U u f n b 2 A P 3 g r t Y b x 3 q Q 3 b S e B 3 s S b 7 9 X B s N 4 0 H V A O k l h u l x Z I 9 m 4 Z R t s 3 9 2 g B a 3 d v M 9 0 8 q X A 9 3 t v Z J 5 1 0 Q 1 D r y Y d 7 8 + H e / v 7 D + / f G m M j B N z 0 B 8 d 4 8 4 E T + e P 9 2 u t O 8 e P / B A / J P x r u b a O N J y n t i 6 m t P f f V 2 2 t P 0 s / 3 p 7 s O H 9 3 c f j g 8 2 j c t X n + b N 2 7 0 Y Y Z j b v R j h l 4 3 a M M I n t + s o w i Y b O + o z x + 2 0 5 / v O b I Q p t m / 5 r q 8 / b z M m X 3 + + J 5 q + A r 1 V V 1 E N c q u u P C Q f G u V 2 8 u U X L y m C f n 7 6 4 u n x q 7 P b a c 9 7 t 9 C e t o N A e + L N 9 + p g W H u a D v b u k y Y 7 w G r M J l X m C Y N 9 c f f B w 0 9 p U X q T s + r J h O u P F s g e 7 n 4 6 R g 5 4 8 E V P J u y L t N 7 0 8 P 7 D / c 3 J U k 8 4 3 I v 7 t I C + s z 8 + 2 D R C T 1 D M i / f 2 9 3 Z 3 x v d v u X z z f n j 6 e l P f v J 3 e N N 1 s 7 + 7 u 7 3 3 6 g H z p j S w b Y a n b v R h h l d u 9 G G G V 2 + r N 9 + s o w i O 3 1 Z s 3 U z z C D r e c 2 A h L b N / u V V 9 r 3 m Z E v t Z 8 P y R 9 p X m r n m K K 4 1 Y 9 O R Q f 7 A Q 6 8 8 X x T 5 4 9 P b 2 l v 7 l / s 8 Z 0 4 A O N i T f f q 4 N B j W k 7 e E D L 0 A f 7 D 8 e 3 c z b t a 7 s H D x F s 7 2 z i a S c L r r c 9 W g T Z p y X v T d 0 5 U b D v H d C q 9 d 4 B r T 7 f S l m 6 1 7 A 6 T 0 7 m R r X u h M O h e R / x x 6 a X n F y 8 F 4 6 e o j T v 3 U p R 2 k 5 I U e 7 d e 3 D v Y P z p L R W l m 7 F b v R j h k N u 9 G O G R W y r K 9 + w o w h 2 3 V J S 3 o H i E F 2 4 1 r R F 2 2 L 7 N i 5 6 S v N V o P C X 5 X g h 6 K v J 2 / U T 4 4 D b 9 e O j t B g p S 4 / H 0 i + P P o y q s q 8 L u 3 0 J H 2 h 4 C H Y k 3 g d 8 N O t J 1 M K w j T Q e 7 e 5 8 + f E C K c n d z b O 2 J g H l z 7 + H D h 8 T R G 3 0 1 T x K 8 D s l j u E / Z 0 4 e b 3 v R E w b 3 5 4 B 4 h u n d v c x 7 U E w r v z f t k B P c f j O 9 v 6 t O T E D v I 3 Q e f U o e f 3 s 6 1 f F 9 U f Z W p r 9 5 O Z Z p + t j / 9 9 O D T n Z 3 x w 0 1 z 5 2 t M 8 + K t 3 o u w y 6 3 e i z D L b f X l e / U T 4 Z H b q s u b q R 1 h h t v O a o Q h t m / 5 r q 8 0 b z M m X 2 m + J 5 q + 3 r x V V 1 H t c a u u P C T 3 A t V 5 / P T s 5 O z L F 8 f P b 6 k 8 9 2 + z E O T 6 8 J T n / u 0 W g v w O h p W n 6 W D / / n 1 a K H m w t z l v 5 I m D e X H v / g E Z n P H e J r X i S Y X r b + / T g / t 7 O 5 v 1 k S c W 5 s V 7 9 2 n B a u f e p 5 t 1 r i c f 5 k X S 0 x Q + 7 N 4 b 7 3 9 6 O 8 V p X i Q e O a B V p E / H + 7 d L Z 7 4 n q r 7 m 1 D d v p z k t f r R + d 7 B / c O / 2 z q Z 5 c / u W r 0 b 4 Z a N 2 i r D J L X u K c M r G n i I M c s u e + h x y O w 3 6 n p M b Y Y v t 2 7 3 q 6 8 / b 0 M L X n + + H p K 8 + b 9 V T h B 9 u 1 5 O H 4 j 2 j 2 U 5 f v z n 7 4 q v n X 7 5 O T 7 5 8 8 e z s + M V P H d 9 K u 9 0 i o + k 6 C d T n r T K a f g f D 6 t N 0 Q N H 8 p / c f 3 B / f v 2 W A b t 4 j e 0 P O w f 3 x g a J 0 k / o 0 7 x 3 s 7 t z / l N I B m 1 S Z J x v m t f 2 H t B L + c H f 8 c F N 3 n m S 4 9 + 7 v U w Z i s 3 H w h M S + R 8 7 P + O E m O f T k 4 7 2 Q 9 L W m v n g 7 r W l 6 2 a Y E 7 U M y C Z u z D r 7 W t P j d 6 s U I k 9 z u x Q i X 3 N b l f L + O I v x x W 5 / z Z o r H m O F W 8 x p h i O 1 b v e n r y 9 u M x 9 e X 7 4 W i r y 5 v 1 V G M F W 7 T k Y f g f q A t n a a k Z a C X t 1 N m e z d r S 9 t J q C 3 V Q b t 1 B 8 P a 0 n S w S 6 H o z i a S e T J g 3 t n U 3 B O B W 3 f h c b 9 5 h 4 R m 4 y u e A N z 2 F U 8 M b j M Q j / l v 2 4 O v C P W d 2 y l C 0 8 E D S r 9 u 7 C D C I d s 3 v h S Z 9 d u 6 j L d G L D L t t 3 U W b 9 1 H f 8 5 v p / R u P X 2 R K d + + 6 S V f 1 d 1 m 5 L 6 q u y 1 i v p a 7 V R + R G b 9 x 8 O 6 V + 0 b 3 v H z 1 5 d O v T t 6 c 0 U r N 8 d N b a Z 7 b L N R Y 8 I F q u 9 V C j d / B s G o z H e w d 3 D u 4 / 3 B z K t H j d f P a g x 1 a K 3 7 4 6 e 1 0 n O 3 r A Y X Q + 5 v 9 K 4 / n 7 W s P 7 + 2 S 6 d k Y s X t s b 1 6 7 t 7 f 7 6 T 4 F w Q e 3 U 3 e O I J R a G O 9 t G p o n A u + D o 6 / 5 9 L 3 b a T 7 T y f b u p / c o Y t n b G L F E m O g 2 r 0 V Y 4 z a v R V j j t i r w f b q J c M V t t e D N l I 4 x w W 2 m M 8 I G 2 7 d 5 0 d e G t x m N r w 3 f B 0 F f I 9 6 q n 5 h 6 u E U / H n q f G r X 1 7 S 9 f f P n q + N X Z l + n p 6 5 e n J 2 f H z 2 + h u R 7 c K s V o + / B U 4 4 P b p R j 9 D o Z V o + n g 3 s E O q Z C D T 8 c H m 5 S B J w H m x Y O D h w c P 7 h + M 9 z Y p O k 8 S z H t 7 D 3 f 3 9 h 7 u 3 b B U 6 c m C f X H v / t 6 9 n Y f 7 m x f O P a F 4 v x c 9 A T E v 3 t I p f L 9 + f A W p b 9 5 O Q Z p u P r 3 / 8 O H B v f 3 x p v n y F a R 5 b / t W L 0 Z Y 5 L Y u 4 n s h G O G M 2 7 q J 7 9 V P n x 9 u p y T f c 1 I j 7 L B 9 u 1 d 9 R X k b S v i K 8 v 2 Q 9 F X l r X q K 8 M L t e v J Q f N B R l l Z V 3 j J I J m 1 2 i y D Z 9 h K q y 9 s E y X 4 H w + p S O x j m H U 8 O b m z r 8 f 6 N b T 2 + N 4 P s z p n f 3 G N 3 0 3 x 3 f 2 9 / f 6 N 2 9 9 j + 9 i 9 5 H H 8 b x H y 1 d + O g f b V 3 K + A R V t j Y v j + z t 9 Z y t 2 r f n + F b a 7 d b t e 9 P 8 + 2 0 2 q 2 A v + f M + g r s V u 3 f c 3 J 9 t X W r 9 u 8 7 u a 7 5 g V E j r / O L d V 3 M s l n 6 u p o W W X m T H t m / W U V Z 2 O 6 V W 8 I c 1 k o G 5 h 4 t i 5 B L 9 Y B W i v c U 7 k 1 K y r x 6 7 1 N a Y / 6 U N O H 4 / q Y 3 P Y Y 2 b + 5 + + u m n + z t 7 n 5 I P + G D D m x 5 r 2 z c J 2 5 3 9 e / f v P 7 h 1 v O t e P b h H N u j B p 7 t j k y e 4 S a W Z V z / d 3 z 3 Y o y W h M R h 8 8 E W P + d 8 X X V / F 6 b u 3 U 3 F 2 L v Y f 3 L v / c H d n d 3 M 8 7 2 s 7 8 + r 2 b d + N c M 9 t N d / 7 o h n h m d s q w f f t q s 8 p t 9 O H 7 z 3 F E f b Y v u 3 L v q K 8 D U F 8 R f m + i P p K 8 1 Z 9 R f j i t n 1 5 a D 4 0 S u 7 4 5 Z e v 3 h y f n H 3 5 4 v R 1 S s 7 e 2 e v X r 2 9 U e P T f r Y J j 2 4 v x 9 u y b 7 9 X B s F 4 1 H e w / f L h 7 s D M 2 S 9 M 3 6 V T z 2 h 6 t z D 7 c G W 9 6 y 5 O N z l t 7 m 1 7 z R E R f G + Z z T y Z u b O u J x I 1 t P R G 4 s a 2 v E m 9 u H G G k 2 x D F 1 4 f m v e 1 b v R i Z 8 t s q w / d C M D L b t 9 W E 7 9 X P + 0 y 5 r w Z v b v w + k + 7 r u Z s b 9 y d 9 Q + P + T G 9 o 3 J / d D Q O 0 b Q 9 2 A h 2 W v j 7 9 / K t X X 6 Z Y + b i V f s G A b l B g r o t A g Z m 5 v X U H g w r M d r B 7 c J + 8 J V r 5 u J U C s 6 8 9 f H C f n L v N j p L j a f v a w Q N K y d w b f 7 q J R x 1 r + 6 / t 7 h + M 7 9 + / l S v o k N y / t 0 c O 7 8 Y 0 o u N x + 9 q n D 3 b 3 K H 2 x i S K O 2 d 8 L R 0 / Z m f d u p e x s J / v 7 9 8 c 7 n 9 5 O 0 9 m X t m 9 + K 8 I Y t 1 R z 7 4 F a h B 9 u q e P e o 5 M + G 9 x K w b 3 f N E a m f / s 2 L 3 p 6 7 1 Y k 8 F T f e y H o a c H b 9 R O Z / 9 v 0 4 6 G 3 2 9 O J 6 a v T N 2 e v v r y V x o L / d J N K t D 0 E K t F 4 X r f u Y F g l m g 7 2 7 t / b e X D w c L M l 9 S T A v H f / Y O f e 5 l V d T w J c Z 2 S 3 D 2 i l d Z O 6 8 S T B v b d z 7 8 G n O + O H m 5 D 0 h M G + 9 y m 9 R e v B J v N 5 k 1 I 0 7 + 0 + 2 N s D m p u 6 8 8 T i v d D 0 1 a K + e D u 1 a H u h B a P 9 8 b 1 N S Q Z f M Z r X t m / z X o R B b q s a 3 w e 9 C G v c V j m + T z d 9 j r i d e n y / + Y w w w v a t 3 v Q V 5 G 3 I 4 C v I 9 0 L R 1 5 C 3 6 i i q J 2 7 R k Y f g n l F g L 1 + d v n 5 z / M W X F P e m J y 9 v p b + Q y r p J Q V r 4 g Y I 0 S b B b d z C s I E 0 H e z s 7 O / f u 7 5 D T u M k 4 e I J g X q Q 1 g x 1 a j j v Y p O s 8 Q b C v P T w g W / R g f / z w d m l E 7 8 W d + / Q n a b t b a k n 3 4 s P d T x / s 3 x s f 7 N 9 O T Z o X D z 7 l b M i D T V b A k 4 7 3 Q 9 T X k / r m 7 f S k x W 7 n Y O / g Y P N C v q 8 o z X v b t 3 o x w i m 3 1 Z T v h W C E Q 2 6 r K t + r n z 5 f 3 E 5 X v u e k R t h h + 3 a v + t r y N p T w t e X 7 I e m r y 1 v 1 F O G F 2 / X k o X j P 6 D P n U p 6 c v j 5 + 8 e b s O D 2 9 l V K 7 f w u t a X s J t O Z 9 x f H W H Q x r T d P B v X u U L d 0 c V n o S Y d 6 i N Z T 7 9 8 Y P N n l r n j x 4 b 3 1 6 f 3 x v E 3 t 7 U q F v D X O 3 J w k 3 t v U E 4 c a 2 H u v f 2 N Z X f j c 3 j r D R L W j i 6 z 7 z 2 v Z t 3 o t M 9 2 1 V 3 / u g F 5 n p W 2 m + 9 + z m f a b b V 3 w 3 N 3 6 f C f e 1 2 8 2 N + x O + o X F / m j c 0 7 s / t h g G 6 t v t G r 3 z 5 5 t X x 6 / T p K S u w 1 1 + e n B 0 / v 5 V u + f Q W y s t 2 E i g v k 1 6 7 d Q f D y s t 0 Q K H F A 8 o u H + x u X g T 2 + N q 8 u b f z Y G / / Y H / z A p H H 2 K 7 H n U 8 P K F v 4 Y H x v 0 5 u e G r N v 7 i L v t 0 P L M h u D a o / L 3 Z s P 7 + / e u 7 d 3 f 7 O L 6 r G 8 e f M + G b Y 9 S k 5 t k i u P + d 8 T V V / 3 6 a u 3 0 3 2 m H / J K a W Q P x j u b J s / X f u b F 7 d u 9 G e G Y 2 + q / 9 0 M x w i i 3 1 Y D v 1 1 G f O 2 6 n A 9 9 3 Z i N M s X 3 L d 3 0 F e R t i + D r y P d H 0 N e a t u o q p k N t 1 5 S F 5 3 2 g 3 c Q D P X j x 7 d X w r z f b g F q r T A g 9 U J 9 5 8 r w 6 G V a f p 4 N 7 D h w / 3 7 3 9 6 M H 5 4 y 2 j Z v L i 3 d + + A M n X 7 9 2 6 n O F 1 / D x 6 Q z t 0 b 3 7 + l 3 r Q v H t D A D i j M / n R T m O 0 J h n l x n / I B B / d 3 P x 0 / 2 P S i J y T m R Q o J d j 7 d 3 9 u 4 D u 4 J y P s h 6 i t N f f N 2 S t N i 9 + m n e w f 7 D z Z n O X y l a V 7 c v t 2 b E V 6 5 r d J 8 P x Q j T H J b p f l + H f V 5 4 3 Z K 8 z 0 n N s I S 2 7 d 7 1 V e Z t y G F r z L f D 0 l f Y 9 6 q p 5 j m u F V P H o q f h g q T 8 o y n v / f Z 6 z e n L 9 6 c v r 6 V X j u w e m 1 Y c d p O A s V 5 o D J 8 6 w 6 G F a f p 4 N M H D / c + p W T a 7 i a e 8 4 T C v E e Z w v t 7 m 9 / y J M L 1 R m / t b H r J E w v 7 0 s 6 9 H f K M b 6 c u 7 U v 7 n + 7 v 7 O + M N / X l C Y c d 1 j 3 i h 3 s b 3 / I E 4 / Y Y + n p S 3 7 q d n j R d P N j d f / h g o 0 m P c M / 2 z W 9 F W O K 2 + v H 2 q E U 4 4 b a 6 8 f a d 9 J n g d n r x P S Y x M v X b N 7 / m 6 8 P b D N / X h 7 d H z t e F t + o l p g x u 7 M V D 7 U G o B 1 + f v v r J 9 I v T p 7 f S U A 9 v o Q I t / E A F m n W g W 3 c w r A J N B 3 s P H 9 6 / / 3 C P w u 5 N / O U x v n l x d 5 + 0 2 b 3 d W 0 f d r s M D Q n P n P m m n T T 1 6 U m D f P L h / c H / v U / I 7 P 7 2 d O j Q v 3 t v Z 3 3 8 A H 3 n 8 6 c P b a U Q 7 S I q 5 H 9 x 7 s D f e 2 f S i J x n v h 6 u v G P X N 2 y l G i 9 / e H q 1 b 7 T 0 Y P 7 y t d j R v b t / y 1 Q j L 3 F Z F v i e S E V 6 5 r Z 5 8 z 5 7 6 L H I 7 Z f m e k x t h i + 3 b v e o r z d v Q w l e a 7 4 e k r z h v 1 V N M h d y q J w / F A 6 P c z D I 1 / M g X T 4 9 f n X 1 5 G / 2 2 u 3 M L B W r 7 8 B U o v / l e H Q w r U N M B L e T u k 9 P 5 Y P M K i i c W 5 s W H 9 w 9 I 6 9 6 7 p R P p u j v Y 3 3 9 4 7 9 P x v U 2 W y p M N 9 y I t j s E p 3 I i n J x r e A H c f 7 E F 5 b g q i P T E x L x 5 Q 4 E 0 r S w e 3 V J 3 v h 6 i v O v X N 2 6 l O 0 8 2 D h 7 s H D y m d e t v Q 2 7 y 3 f a s X I 4 x y W 7 X 5 X g h G O O S 2 S v O 9 + u n z x e 1 U 5 n t O a o Q d t m / 3 q q 8 y b 0 M J X 2 W + H 5 K + y r x V T 1 G l c Z u e P B Q f G n U m / u a z L 3 / y 7 P V r i r t v o c 7 2 d s D + N + l L 2 4 G n L + X N 9 + p g W F + a D v Z o e X D / h u U P T x r M a 7 R o c o 8 s z M N b p i q 7 r 9 0 y 6 t b X h n n b k 4 M b 2 3 p i c G N b j / F v b O u r v p s b R 5 j o N k T x V Z 9 5 b / t W L 0 b m / L a q 7 7 0 Q j M z 2 b V X f e / X z P l P u q 7 6 b G 7 / P p P v 6 7 e b G / U n f 0 L g / 0 x s a 9 2 e X G 8 c H a N s + 3 B n Q X 6 R E b q V h M K I b V J j r I 1 B h e P O 9 O h h U Y b a D 3 Q c H e 7 v 3 D x 4 8 u O 2 C i 3 3 z w a c U / e 6 P 9 / d v p c W 8 D h / s 7 3 + 6 8 y n l 5 n Q 0 0 T c d h 7 s 3 P 3 2 4 Q 0 m 9 h / c 2 e 2 + O x 7 0 + K S t A w 9 w d Q 3 I G 3 3 Q M 7 9 7 c 2 d u / 9 5 D S q v d v l 0 l 8 X 2 Q 9 / W d e v Z X + s / 0 c 7 F P S + 9 O H 4 4 e 3 0 3 / 2 v e 1 b v R h h m F v q v / d D M M I n t 9 R / 7 9 d P n z d u p f / e e 1 Y j D L F 9 y 3 c 9 5 X g r W n j 6 8 X 3 R 9 L T l 7 b q K 6 Y / b d e U h u R u q z 9 d n r 9 P j b 3 / 5 6 t W X 6 a v T N 7 f Q b / d u 4 w O 6 X j w F e u 9 2 P q D f w b A C N R 3 s 7 l I Y + + n 9 z c v 0 n l y Y 9 y h T + f A e p R l u l 3 L s v b Z J j 3 n S o a 8 N c 7 k n E T e 2 9 Q T i x r a e B N z Y 1 l e C N z e O s N J t i O I r Q f P e 9 q 1 e j E z 6 b Z X g e y E Y m e 3 b K s H 3 6 u d 9 p t x X g j c 3 f p 9 J 9 / X c z Y 3 7 k 7 6 h c X + m N z T u z + 6 G A b q 2 e 0 a / v D z + / P h 1 S q o s f X r 6 7 K s X J 2 d f v r i V j r l 3 C y V m O w m U G N 5 8 r w 6 G l Z j p 4 M G 9 h w / 3 d u 7 R E g i W k A Z Z x + N s 8 + a n 9 8 k C k I 8 0 3 t + U w / N Y 2 7 7 4 Y P / B f V r i P h j f e 3 g 7 X W b f 3 H 9 w c O 8 h G Z 3 N O t d j c 9 f n v f s P D 3 b 2 b k h w e j x v 3 t y 7 / + A + 5 Q A / 3 e z u e v z / n s j 6 K l B f v Z 0 K t A h + + n B 3 9 8 H O g 7 E x c T c q Q f P m 9 i 1 f j b D N b d X g e y I Z 4 Z b b K s L 3 7 K n P I 7 d T h e 8 7 u x H G 2 L 7 l u 7 6 e v A 0 1 f F X 5 n m j 6 i v N W X U V Y 4 p Z d e U j e + 2 B N u n + z J r W d h J p U h f n W H Q x r U t P B w Y O 9 / Q c 7 4 4 1 r 7 5 5 k v M 9 r n l i Y 1 z b N j i c V 2 n y Y t z 0 5 u L G t J w Y 3 t v X 4 / s a 2 v g q 8 u X G E g T b q i A g v b G w f m d r b a r t b t X / P y f R 1 3 K 3 a v 8 + M + p r t 5 s b v M 6 e + 8 r q 5 c X 9 O N z T u T + i G x v 3 Z 3 D B A 1 3 b f a I 3 X p 5 9 / R Q E q d B M F q W f 0 6 + n r W 6 i O / V v l + m w v n m 7 a v 1 2 u z + 9 g W D e Z D h 7 s 7 9 3 b 3 f n 0 d p r J v L S J y z w m v n 0 f H i e b l / b I L X v w c J P u 8 9 j Z v r S / t 7 + 7 c + 9 2 f p x 5 6 V N S 5 5 u Q 8 5 j 7 9 s j 5 m k v f u p 3 m M l 3 c p 3 T o v Z 1 N b r C v v 8 x b 2 7 d 4 L c I F t 1 V j 7 4 F c h A 9 u q 8 z e o 5 c + D 9 x O p b 3 H R E a m f / v m 1 3 w t d 5 v x + 4 r u 9 s j 5 G u 9 W v U T m / u Z e P N T u G 7 3 0 5 Z t X 5 J h p u u 7 0 8 / T k y + e 3 0 k 2 3 C X F t J 4 H y u 1 W I 6 3 c w r P x M B 7 t 7 9 z Z R y 2 N 8 8 8 Y t N d 8 t O / B 4 3 r y x 9 / D B 3 n j T u o L H 8 b d + x 2 P 8 2 w z E 4 / h b d + H r O 3 3 p d v r O 9 L C 9 S 2 Z i c x c R F r n 5 p d i 0 3 / j S e 8 6 8 r + x u 3 0 l k 9 m / r v t 1 M 4 c i U 3 z y H k Y n f v v E t X 9 P d Z h y + p r s 1 a r 6 i u 1 U n k W m / s R M P s U 8 9 P f f l 6 1 R 8 v d c U h K Y n x 6 9 u p Y f 2 b 6 H o b C + B o t u / n a J z H Q w r O t P B / Y O H e / T O w Y P x b V 0 9 8 + b e w 7 0 H + 5 9 + e n D / 1 q s S 7 k 3 K j T 0 4 2 N n d n B / z p M C 8 u U v + 2 M N 7 n 2 6 a X 0 8 W 3 u M t T y j M W 7 f U g + / R i a 8 J 9 b X b a U J L u I N 7 9 x 4 e 7 O / f Q D h f H Z p X t 2 / 7 b o R H b u s D v i + a E d a 4 r S P 4 v l 3 1 u e J 2 G v J 9 Z t f T k Z b q t 3 j P 1 5 K 3 I Y O v J d 8 D P V 9 P 3 q q b C C P c o h s P u Q d G h x k d 6 S f r b q X I P r 2 F p r S 9 B J r S L C / f u o N h T W k 6 e L i H / 8 b 3 N 8 W Q n j C Y 1 2 7 p F 7 5 P L 5 4 c e K 9 R C n v 8 c F N I 5 M n A + 7 z m S c N t x u R J w f v 0 4 u t G f e 9 2 u t F 0 s v 3 p 7 s P x / q e 3 V I v m r Z t f i n D C z S + 9 J x / 4 m v D 2 n U T Y 4 L Z e 4 s 0 U j s z 6 r a Y x M v 3 b t 3 n R 1 4 K 3 G Y 2 v B d 8 H Q V 8 N 3 q q f u C a 4 s R 8 P v Q O j o b 5 s 6 6 x J X 9 Z 5 0 2 b T o l r m T X p j X v D + z R r Q w n e v 3 B L m s N I z M H f 3 P r 2 3 9 + n O / s O D 8 S 3 1 n n 3 z 0 / u f P n z w 6 e 6 D 8 f 1 N G Q S P 8 + 2 b O w 8 f 3 P 9 0 7 + B g Z / z g l m r Q v r q 7 c / / e / n 1 a H h n v b 3 r V E w U 3 0 r 0 H 9 D p 5 E + N N 7 q w n F + 7 N 3 Q d w a O + N H 2 w a q S c Z 7 4 u u r x z 1 3 d s p R 9 P R 9 o M H B 3 s H t O 6 + C U F f P 5 o X b / V e h G 9 u 9 V 6 E a 2 6 r J d + r n w i j 3 F Z R 3 k z t G E P c d l o j L L F 9 2 5 d 9 h X m b U f k K 8 3 0 R 9 Z X m r f q K a Z J b 9 u W h + d A o N k 4 m H m O J 9 5 Q y i 8 / T Z 1 + + e H q j k q P / d i A L N 6 l P 2 4 t x I O 2 b 7 9 X B s C 4 1 H e z d v 7 d 3 / 4 B 4 d V O m w Z M J 8 9 4 m S n s i 8 V 7 d e C J h 3 9 v f e 3 i P Z u f e L X 3 I 9 3 r P k 5 L b D M s T j P f q x l e U + u L t F K X p h Q z A 3 v 2 H 4 3 u f 3 l J P m v e 2 b / V i h C k 2 K q I I M 9 y q n w h X b O w n w g 2 3 6 q f P D b d T l O 8 3 p x F m 2 L 7 V m 7 6 K v A 0 d f B X 5 X i j 6 + v F W H c W 0 w 2 0 6 s g j u 7 e w Y t X X 2 4 u n p F y / O f s r T j y 9 v o b v 2 b q E c v V 4 8 5 b h 3 O + X o d z C k H F 0 H l M Z 5 8 P A + O Y u b n C 8 r D + 6 9 W y n H 9 + z G i o P 3 3 q c P d y i v u j f e u 5 V 2 f N 8 X r W z c b m B W I t 6 3 H 6 c f 7 Z u 3 0 Y + u m + 1 7 9 + 7 v 7 O 3 f 3 9 / s 6 z o V 6 Z P + V m 9 G e e N W b 7 4 n d z g t + d 4 9 R R h k Y 0 9 9 v r i N n n z v y Y 2 w x f b t X n W a 8 n Y j c p r y f Z F 0 q v K W P c X 4 4 V Y 9 e S j u G i 3 2 8 v j z L 7 F U 8 / z s J 7 4 6 e y o a 8 1 a q D A O + S V f a X g J d i T f f q 4 N h X W k 6 2 H + 4 Q 4 7 0 z s H 4 0 / 3 b K U v z 4 u 7 B P q 3 2 U H r x 0 0 2 E 8 + T C v H h v 5 / 7 9 e 4 T n + O G t n E r 3 4 o M H O 5 / u 7 d 7 b H d / b 9 K I n H x b V H U r q P 3 x I K 6 W b g g V P V s y L e w / u 3 X 9 w s L u z G V V P V N 4 P V V + D 6 p u 3 0 6 C m m + 3 9 T + / v H H x K t N w 0 e b 4 C t d N + q x d j / H K r F y P 8 c l v 1 + X 4 d R d j k t t r z Z o p H O O K W E x t h i e 3 b v e p r z 9 u M y N e e 7 4 e k r z 1 v 1 V O E G 2 7 X k 4 f i n t V r r 4 7 f n D 0 7 O 2 G 9 y a s 5 3 / n q F s r t 3 q 0 8 T d e L 0 5 7 3 b u d p + h 0 M a 0 / T w b 2 d v Y f 3 7 4 3 3 P r 2 d 7 j S v b S K z J w r v 0 4 s n C O a 1 / R 1 S X p / e 2 7 z + 4 w m E f e / + v Q d 7 9 2 7 w a z 3 Z s O 8 9 e H i P E p c b U 9 m e Y L w X m r 6 q 1 B d v p y p N L 9 v 3 H t z f f 0 i q f O + 2 v q a l / q 1 e j D H H r V 7 0 2 e M W 7 O G r y v f r K M I h t 1 W V N 1 M 8 x g 6 3 m t c I Q 2 z f 6 k 1 f U d 5 m P L 6 i f C 8 U f T 1 5 q 4 4 i r H C r j j w E 7 x k F d v L l F y / T z 4 9 f H b 9 4 Q 1 H 5 0 + N b a L D 9 W z m Y t g d P R e 7 f z s H 0 O x h W k a a D 3 Q c 7 D w 4 O H u 6 O 7 x / c T k m a F / c e f n q P V n w e b F I n n j D Y / j 6 l N P 5 9 L K B s e t E T B v v i 3 u 7 B p / f 3 D j Y 6 i Z 5 Q u P c e 7 p E R f D j + 9 J b 6 0 r z 4 4 N 7 D T 4 k u 9 z a 9 5 o n H e + H p 6 0 t 9 8 X b 6 0 v S y f / 8 h L d W R 9 7 W J i r 6 6 N C 9 u 3 + 7 N C K d s 1 E Y R B r l d R x E W 2 d h R h D N u 1 1 G f N W 6 n L 9 9 v X i M M s X 2 r N 3 1 9 e R t C + P r y v V D 0 9 e W t O o o p j d t 0 5 C G 4 7 + v L 0 x e v x a s 8 f n q G n 7 d S a f d u o T N t L 4 H O x J v v 1 c G w z j Q d 3 N t / c O / T 3 f F D h X y T x j S v U c 6 X 9 O X + 7 f S l 7 e v e w c 6 9 / f H u J t / B k w n 7 2 q e f f v p g f 3 z w 6 e 2 U p X 3 t 4 P 7 + P s X T t 9 O U 5 q 3 d g w e f f j r G n 4 N v e X L x P i j 6 e l L f u 5 2 e N J 1 s 7 x 1 8 S g P a m A T x 1 a R 5 7 z a v R T j j N q 9 F O O O 2 H u X 7 d B N h i t v 6 k z d T O s I E t 5 r O C B t s 3 + Z F X z v e Z j S + d n w f B H 3 l e K t + Y t r h F v 1 4 6 N 0 3 W u v p 2 f H r 9 P T k y x d f f n F 2 8 u X r 9 P e h 7 O W t V N f + L X S j 7 S X Q j X j z v T o Y 1 o 2 m A w r R H 9 y j j M N t F 3 f M e / c P D h 4 c b H 7 L E w T b 2 / 6 D g / 2 N X r s n B v a l X f J 4 S W H t b f J 4 P X F w 7 x 0 8 2 K X A + 9 7 + 7 d S j e e 9 g 7 8 H u e G c T O 3 h i 8 V 5 I + u p R X 7 y d e j S 9 7 D 1 8 e P / g 0 / G D T W T 3 1 a N 5 b / t W L 0 b Y 4 7 Z O 5 H s h G G G M 2 / q Q 7 9 V P n y d u p y L f b 0 4 j z L B 9 q z d 9 J X k b O v h K 8 r 1 Q 9 L X k r T q K 6 Y n b d O Q h + K l R Y P A f 4 T 3 + 5 N m b 4 + f k Q B 6 n x 7 d S Y v d v o S V t J 4 G W x J v v 1 c G w l j Q d 7 O + Q B 7 l z b 3 x L D 9 K 8 d v 9 g 9 + H + v Y 1 e t y c L 5 q 1 7 l H 3 6 9 P 7 D 8 S Z K e y J h X 6 P F l U / v 3 d v s Z n g i 8 V 7 v e d J h 3 t v E Q Z 5 M v F c 3 v o L U F 2 + n I E 0 v u / c o n f L p 2 O S m b 1 S Q 5 r 3 t W 7 0 Y 4 Y z b K s j 3 Q j D C F L d V k O / V T 5 8 b b q c g 3 2 9 O I 8 y w f a s 3 f Q V 5 G z r 4 C v K 9 U P Q V 5 K 0 6 i j D C r T r y E H x g d N f x 6 7 P P X + i 6 z e l T W g X / / O z k V g r s 0 1 t o S N t L o C H x 5 n t 1 M K w h T Q f 3 a U W Y V q 7 u j Q 9 u 6 U i a F + m l h 3 s H + 5 v z m Z 5 A 2 A 5 3 P n 1 A G e G H 4 7 3 9 2 + l J h + m n n + 7 s 7 O 2 M 7 9 9 S U d o X 9 x 8 8 u E 9 u x / j T T a h 6 Y m J e v E f 0 f H j v Y L y z q U N P S t 4 P U 1 9 n 6 p u 3 0 5 m m m + 2 H B w 8 e I n N 6 / 5 Z K 0 7 x 4 q / c i v H K r 9 y K s s l E H R l j k V v 1 E O G R j P 3 3 G u J 3 O f M 9 J j b D D 9 u 1 e 9 b X m b U b k a 8 3 3 Q 9 J X m 7 f q K a o 3 b t O T h + K B 1 Z s v v / x 9 v k y P 0 9 d f v T x 9 9 Z N n r 7 9 8 d f r 6 V m r t w S 3 0 p u 0 l 0 J t 4 8 7 0 6 G N a b p o O 9 h w c H u z s H 4 4 e b m N S T B f P e L u k / W g H 7 9 H Z K 0 / Z 2 c O / B P q X e N 4 q E J x E e l r v 3 S E l v D K U 9 y T D v k U H Y u 0 + j O 9 j k h n h C 4 k a 3 u 7 u 3 P 9 5 / c D u F + V 5 o + v p S X 7 y d v j S 9 b O / u 3 4 M 6 3 7 g y 7 + t L O 6 r b v B f h k V u 9 F + G R 2 + r L 9 + o n w h 2 3 1 Z c 3 U z v C C r e b 0 w g z b O / d 5 k 1 f W 9 5 m P L 6 2 f C 8 U f W V 5 q 4 7 i y u L m j j w E H x o t 9 o S y l O l L W v e m H O V r X t G 5 l S L D i s l N m t L 2 E W h K s 9 Z y 6 w 6 G N a X p 4 O H O D q z 5 w a a x e 0 J g X n t A v 1 P k / v C W m U r z 2 u 6 n B + Q + b H 7 N E w X 7 2 v 4 e n N m N P q k n E e / z m i c b 5 r V N / O N J x P v 0 4 m t H f e 9 2 2 t F 0 s v f p A y L 3 R h f Z 1 4 3 m t e 3 b v B f h i o 2 6 J 8 I O t + k m w g 4 b u 4 n w w W 2 6 6 f P B 7 T T j e 0 1 n h A 2 2 b / O i r x d v Q w R f L 7 4 P g r 5 a v F U / E R 6 4 T T 8 O P X C 4 a K y X F G y n L 7 9 8 l d I i z s n p y z d f 3 n I F Z x d 8 f 4 N e d L 3 4 e n H X 5 G N u 3 c G g X r Q d k A P 9 K a 3 F 7 O + N 9 z + 9 l W q 0 b + 5 / C o P y Y L y n S N 2 g G 7 0 e K S 9 8 s L N 3 f 7 x 3 O z / S e 3 P / 3 s G n B 3 s P x x s X g Z x k u D c f 7 N / f u b e D d e t N T q E T E / f m z i 4 h f O / T 8 f 1 N / O H k 5 H 2 R 9 T S m e f V W G t P 2 s 7 1 3 b + / g Y G f / h t x 6 h L d u 9 2 K E Z 2 7 3 Y o R l N u r B C K v c r q M I p 2 z s q M 8 f t 9 K c 7 z 2 z E a b Y v u W 7 n v 6 8 1 Z g 8 / f m + a H o q 9 H Z d R Z X I r b r y k N w 1 + u 3 k y y / Y o 5 Q M 5 q s v K R Q / u 5 W S w 5 B v 0 q K 2 l 0 C L G o V 1 6 w 6 G t a j p g A i w v / e Q F O L m o N M T C f P m v Y e 7 + / c P 9 s Y H t 1 v m 8 X q k J a j 7 O / u f j j / d p J g 8 2 b B v k v J 9 s A t c d z e 9 6 U m J 6 / P B A X k m D 8 m x 3 Y S t J z L m z Y c P H t 7 f / / R g / O D h 7 Z T o e + L q K 1 F 9 9 X Z K 1 P S z t 7 9 / b 5 9 s 2 S 1 z m P a 9 7 V u 9 G G G Y j Q o q w i a 3 6 i f C J h v 7 i T D H r f r p s 8 b t F O j 7 z m q E I b Z v + a 6 v Q G 9 D C 1 + B v i e a v g K 9 V V c x / X G 7 r j w k 9 4 x q O / 5 9 v n p 6 z H 7 o a y Q y S Y + m v 8 + t 9 N v + L R S o 7 S V Q o H j z v T o Y V q C m g 7 1 9 M i G f f n p D y O w J h n n x 4 Q G l A e 5 v 9 h A 8 u b D 9 U W d 7 D + 7 v 3 V p 7 2 h f 3 a D X m 0 / v 3 x 7 u b V K A n I W 6 E u 5 S K O b h B X 3 v S Y l 7 c f f j p 7 t 6 9 3 f F 9 p f p N u v P 9 M P V V p 7 5 5 O 9 V p 0 Y N j T S Z h I 3 q + 7 j Q v b t / u z Q i z 3 F Z 5 v h + K E S 6 5 r f Z 8 v 4 7 6 z H E 7 9 f m e E x t h i e 3 b v e o r z 9 u Q w l e e 7 4 e k r z t v 1 V N M d d y q J w / F e x 3 V i c S m 0 Z 2 3 U m y Y 3 p s 0 p + 0 k 0 J y G M W 7 d w b D m N B 1 8 S j n d 3 b 0 H 4 w e f 3 k 5 x m v f I 0 u 8 9 u L f Z X / V E w r x 2 / 4 C S / P c p J H t 4 O 7 1 p 3 7 u / S / E B T d I m N D 3 J s M P b o a j 9 I a 2 a 3 9 L j N O / t H x z s 7 9 w w P E 9 C 3 g t N X 2 f q i 7 f T m a a X e w / u 3 7 / / 8 A a G j T D T 9 q 1 e j D D J b T X m e y E Y 4 Y 7 b K s z 3 6 q f P F b f T l + 8 3 p x F m 2 L 7 V m 7 6 2 v A 0 d f G 3 5 X i j 6 y v J W H U U Y 4 V Y d e Q j u W 1 3 J 6 + W s K 7 9 6 c / b 8 9 H V 6 u / X y 3 U 9 v o S x t L 4 G y x J v v 1 c G w s j Q d 7 N 0 n f Q J t s s l A e / J g 3 t t E Z k 8 M 3 q s b T x z s e / s P D u 7 v 0 g r d 7 X S k e W 3 / 4 X 1 e p c I H g + 9 5 g u F 1 d 4 / 0 5 O Z F M U 8 u 3 g d N X 0 f q e 7 f T k a a T A 4 q J q I v b e p X m t e 3 b v B f h j N t q y P d B L 8 I Z t 1 W Q 7 9 N N n y N u p x / f a z o j b L B 9 m x d 9 7 X g b I v j a 8 X 0 Q 9 J X j r f q J a Y e g n x t 1 4 3 2 j t Y I c J l b I T 8 6 e 3 U p 1 H d x C N 9 p e A t 1 4 o B x x 6 w 6 G d a P p Y O / T T 3 f 2 9 8 e f b n L s P E E w r 1 G c T 2 H 0 / i 3 j b 9 v Z 3 v 7 9 h 3 u b 1 4 4 8 c T C v w f k 8 G G O u B 9 / y p O E 9 3 v L E w r y 1 i X s 8 a X i P T n y d q K / d T i e a P n b v k a K / N 3 6 4 a Y p 8 p W j e 2 7 7 V i x G e u K 1 W f C 8 E I + x w W 7 X 4 X v 3 0 O e F 2 e v F 9 Z j T C C N u 3 e M / X i r e h g a 8 V 3 w M 9 X y n e q p s I C 9 y i G w + 5 T 4 2 2 e v L l C y y I p 0 / P j v H j i + O n r 2 6 j s T g l e p N K t J 3 4 K p H f f K 8 O h l W i 6 Y C 8 q k 3 k 8 g T A v H F L R / G W H X i c b 9 7 Y 3 b n 3 Y N M r H t P f 9 h W P 9 W 8 z D I / l b 9 u D r / j 0 n d s p P t P B 9 s E N H U S 4 4 6 Z X I v N 9 0 y v v O e G + p r t t F 5 E p 3 9 i + P 9 + 3 U 3 K 3 n r r I d G / f 9 J K v 3 m 4 z C l + 9 3 R Y x X 7 f d q o / I f N 8 4 e P f K A 6 N z T l + / O f v i q + d f v k 6 P n 6 c v T 1 + R a j m + l e K 5 z Y K 1 7 S X Q b L d b s P Y 6 G N Z s p o N d 0 u o 7 9 5 E A v H / / d h r O v E k L N Z / e 2 x v f 3 2 R 6 P b 7 3 O r y 3 v / P p / s 7 4 4 a e 3 0 3 j 2 z Y O D v b 1 7 t D q 2 u U 9 P E M y b t O S y s 3 9 A i + S b A 3 F P K s y b 9 / c O E A w c j H c 2 2 T 1 P N N 4 T W V 8 h 6 q u 3 U 4 g W w d 3 d T x / u U U i 0 K b / p a 0 X z 4 v b t 3 o y w z G 0 1 4 / u h G G G V 2 + r H 9 + u o z x + 3 U 5 T v O 7 M R p t i + 5 b u + 2 r w N M X y 1 + Z 5 o + t r z V l 3 F d M j t u v K Q P D D q j b 1 D r F k f v z j 7 S d K h x 6 9 u t / S y h 0 z I T U r U 9 h I o U Z N D u X U H w 0 r U d L D 7 k G K Q B 7 f U n + a l T V T 2 h O H 2 f X g S o S 8 N M 7 Y n B D e 2 9 W T g x r Y e 0 9 / Y 1 t d 9 N z e O c M / N J P E V n 3 l r + x a v R e b 4 t l r v P Z C L z P J t V d 5 7 9 P I + U + 3 r u 5 s b v 8 9 k + y r t 5 s b 9 y d 7 Q u D / H G x r 3 Z 3 b D A F 3 b h 0 a V e M s f 5 A B + 9 f T s y 9 u s f t z f u Y 3 T Z z v x 9 J W 8 + V 4 d D O s r 0 8 H u 3 q e 0 U L y / y R f y O N q 8 d U u F 9 R 6 d e A y t b w 1 P h s f G N 7 b 1 u P j G t h 4 T 3 9 j W 1 1 g 3 N 4 6 w z y 1 o 4 q s s 8 9 r 2 b d 6 L z P N t d d b 7 o B e Z 6 d s q r f f p 5 n 2 m 2 9 d a N z d + n w n 3 t d b N j f s T v q F x f 5 o 3 N O 7 P 7 Y Y B 2 r b A X h T K l 2 9 e H b 9 O X 7 4 i l c W L E 7 d a s n 2 4 c 4 s c n O v D U 1 r y 5 n t 1 M K i 0 b A c U v n 2 6 S 0 H n v f H e w 1 s p L v v m 7 t 6 9 + w 8 / 3 b u / O 4 Z w D b 7 p O N u + e e 9 g d 2 f 3 4 B 4 t U I A h B 9 9 0 P O 7 e 3 K U / 9 t D n z i b r 7 N j c e / N g d 2 / n Y O / + + M G m d S 7 H 8 / b N / Y O H B / c f U J B 7 s O E 9 x / 7 v i 6 u n / c y r t 9 J + t p 9 P H z x 4 S F N 4 w z R 4 C t C + u X 3 L V y N s c 0 s d + L 5 I R p j l l m r w f X v q s 8 i t N O F 7 z 2 6 E M b Z v + a 6 n J m 9 F D U 9 T v i + a n t 6 8 X V c R l r h l V x 6 S u 0 b J v T p 9 8 + r s y V e i Q y V w P b m V p r u F / + d 6 C V T p r f w / v 4 N h V W o 6 + B S q 9 + A e 5 f x u p 0 j N e 1 C G 9 3 c O d s b 7 m 1 7 0 R M O 8 e P 8 + Z Q c e 3 L + 3 m e C e j N g X D w 4 + 3 X 1 I M 7 W x R 0 9 E 3 u 9 F T 1 z M i 3 1 m i u r O 9 + v H V 5 3 6 5 u 1 U p + m G J H H / / u 7 D g / H + L T W n e f F W 7 0 V Y 5 F b v R V h k o x K M c M a t + o k w x s Z + + v x w O 5 X 5 n p M a Y Y f t 2 7 3 q K 8 z b j M h X m O + H p K 8 v b 9 V T h B d u 1 5 O H 4 l 5 X X a q m T E + O X 9 5 O m e 3 d r C 1 t J 6 G 2 V F t 6 6 w 6 G t a V 2 M M w 6 H v v f 2 N Z j / R v b e u x u B r l p y j x u N 8 0 f 3 L t H K Y F P b 6 f 5 b v + S x / C 3 Q c z X e j c O 2 t d 6 t w I e Y Y W N 7 f s z e 2 v f 8 F b t + z N 8 a 4 / w V u 3 7 0 3 w 7 p X Y r 4 O 8 5 s 7 7 + u l X 7 9 5 x c X 2 v d q v 3 7 T q 5 r f s + o k Z f Z R Z X O 8 v S 0 a f / R v 3 6 x L q s m z W 7 S J Z / e r K Y s f P f K L W E O a y Y D 8 / 7 D e 7 R A e f / B + G B T p O g x s n n x w f 7 9 g 9 2 D 2 6 7 d u v 4 O P t 1 5 s H P v 4 X h v f 8 O L H m O b F + / R o v Q e R a e b Q x 2 P w 9 2 L B 5 / e v 3 9 A 2 a J N 8 b f H 7 e b F T / f 3 P j 1 4 O L 6 3 y W J 5 T P 9 + i P q K T d + 8 n W I z 3 e z t 3 z v Y v z n 0 i 7 D R 9 i 1 f j X D L b b X d e y I Z 4 Z P b 6 r 3 3 7 K n P H 7 f T g O 8 5 u R G 2 2 L 7 d q 7 5 a v A 0 t f L X 4 f k j 6 C v J W P U X 4 4 X Y 9 e S j u G 1 V G a U R K J n 7 5 N P 1 9 0 t N n Z y d n p y 9 O b t R q u w 9 2 b 5 V P t J 0 Y t 8 6 + + V 4 d D C t P 0 8 H u w Y N 7 n + 6 N 7 y v k m 1 S n f W 2 P K P b p J v 3 n C Y T r 6 9 O d T + + N D 2 6 Z R D S v 0 f z c 2 3 k 4 f r D p N U 8 o 7 G v 3 H t z f p e D + l i r T I n l / j x Y T D 2 6 n M N 8 H R V 9 d 6 n u 3 U 5 e m k 2 2 a q P 3 7 4 0 3 W y t e V 5 r V b v B X h i 1 u 8 F W G L 2 7 q G 7 9 F L h C F u 6 y D e T O X I / N 9 q K i M s s H 2 b F 3 3 V e J v R + K r x f R D 0 F e O t + o l w w G 3 6 8 d C 7 7 6 n F s y + + e v 7 l 6 / T 4 e f r y 9 B U p p u N b q a 3 b J A d t L 4 F e v D k 5 2 O l g W C + a D u 4 9 2 L 1 P V u F g f H D L 7 K B 5 8 c E O + Y c H 4 7 1 N Z P M k w f b 3 6 f 7 9 e 7 T i M b 6 / S f V 4 w m B e J E 2 8 + + D T g 7 3 N 6 y S e V H g v f r o L t / m 2 C y z m x f 3 9 3 Q e 3 d C j f D 0 l f Q + q b t 9 O Q p h t a 4 b p 3 f / / e g 8 2 T 5 i t J 8 + b 2 L V + N c M p t H c r 3 R D L C I 7 d 1 K N + z p z 5 v 3 E 5 j v u f k R t h i + 3 a v + l r z N r T w t e b 7 I e n r z V v 1 F O G H 2 / X k o f h p V H N + c f z 5 2 e s 3 p 7 d S b P d u o T l t L 4 H m v H c 7 z e k 6 G N a c p o O 9 n f s P d / f I 8 9 o 0 f E 8 u z H v 3 9 m h d f / O q r S c T X m + U m H 1 I L 2 5 y 3 z 3 h M C / u P n z w c P f + z v 3 N w b E n G 6 7 H e 5 8 + e L h 3 b / O L n p y Y F + 8 / + H R / d 9 P w P A l 5 P y x 9 x a l v 3 k 5 x m m 4 e f P r g 3 s G n m 4 2 W r z b N e 9 u 3 e j H C J L d V m u + F Y I Q 9 b q s y 3 6 u f P l P c T m G + 5 6 R G 2 G H 7 d q / 6 C v M 2 l P A V 5 v s h 6 S v M W / U U 4 Y X b 9 e S h + M C o s i d f v v i S F 1 V e k t r 6 6 v j 5 2 d P j p 7 f S Z / u 3 U J i 2 l 0 B h 7 t 9 O Y b o O h h W m 6 Y B S P v f 3 H t 4 b 7 2 5 i O k 8 m z H u f 3 r u 3 i d S e N L i e d g 4 e f n p D T 5 5 U 2 P f I p O 3 v 7 G w W C 0 8 q v P c O 9 h 7 u j Q 8 2 6 W Z P Q O z I D u i l + 7 f 0 M d 8 L S V 9 T 6 o u 3 0 5 S 2 F / J 9 K V 9 y 2 y D c v L Z 9 m / c i v H F b P f k + 6 E U Y 4 x Z q 8 r 2 7 6 f P D 7 b T k + 8 1 n h B G 2 b / W m r y N v Q w Z f R 7 4 X i r 6 K v F V H M R V x m 4 4 8 B A + M 7 v o i a / O 6 y M q 8 S a / T 1 + t F s S y a G x T Y 3 s 2 q 0 Y K 3 b 9 w O 4 r A u N B B 3 9 x / u 3 N s j 3 v p 0 v L P J V f J Y 3 7 x K S m N 3 j 7 T N / u Z V E o / 7 z Z s H O x R 4 7 z 3 Y I S d S t f t N i t G 9 u U c a d e c B p Q k + v Z 1 q t A P d 2 X 1 4 c G / 3 H m U Y P r 1 l / G 1 e 3 d t 9 8 G D / 5 t y M J x n v i a 6 v J P X V 2 y l J 0 8 / 2 w c G n 9 x 4 8 G O 9 t N O g R h r r V e x G 2 u d V 7 E Z 7 Z q P d i n H K b f i J 8 s r G f P n f c T l G + 7 6 x G G G L 7 l u / 6 y v I 2 Y / K V 5 X u i 6 a v L W 3 U V Y 4 f b d e U h + T C i M G c f H 8 8 W 1 X J 0 U w x + m 7 y l h e 9 e u S X M Y Z 1 p Y F I I v P / g 3 v 7 9 + 5 s 1 i c f + 9 s 2 H F O 0 8 f H h / s y L x 5 M C 8 S O a f e t y / / 3 A z g T 1 J s F 3 u 7 n 3 6 8 P 7 D + z u b V 8 8 9 m T B v 3 t u 9 v / / p w / 2 D 3 f H D W 7 q T F l t S 7 g 8 o F 3 Z D d s G T j / f E 1 l e Y + u r t F K b p h 5 Z 2 K B l L t m 9 8 b x O G v s q 0 Z L n d m x G + u e W b E b 6 5 r d p 8 z 5 4 i 7 H J b x X k z 1 S N 8 c d v Z j T D G 9 i 3 f 9 R X n b c b k K 8 7 3 R N N X n L f q K q Z K b t e V Q x I R q C r O 4 z f p V 2 / O n q e n P 5 F + c f o i / f L Z j S p u b / d W i + G u D 4 3 E 3 Z v v 1 c G g J r U d U L h 6 8 G D / 0 / 3 x z u 0 U q X 3 x H g X 8 + 5 / u j n c 3 v e c E w 3 X 4 6 c H + p z s 7 m y M p J x b u v X 0 S q Q e k f j d m P Z 1 8 u B f J g d l 5 u H d / f K D U u 0 G H 2 h f 3 9 z 6 l 1 M a n 4 9 1 N m D p B e U 9 M P Q V q 3 r y V A v W 6 e U B L y f f G c A G G e 4 n w 1 P b t 3 o w w y 0 b V F O G R 2 3 U U Y Z K N H U W Z 4 z Y d 9 Z n j V s r z f S c 2 w h L b t 3 v V U 5 2 3 I o W n O t 8 T S U 9 z 3 q 6 n m O q 4 V U 8 e i r s f q j h v j t N d H 6 H i v D F e 7 3 Q w r D h N B w 9 p z Y f S E / c + v Z 3 a N K 9 t I r I n C O / T i y c P + t o w W 3 s i c G N b T w J u b O v x / I 1 t f c 1 3 c + M I / 9 y G K L 7 i M + 9 t 3 + r F y F z f V u + 9 F 4 K R 2 b 6 t 2 n u v f t 5 n y n 2 t d 3 P j 9 5 l 0 X 7 X d 3 L g / 6 R s a 9 2 d 6 Q + P + 7 G 4 Y o G u 7 1 1 N d Z 1 + 8 f J W + O n 3 5 6 h a a Z e 9 W P p / t w 1 N d e 7 f z + f w O h l W X 6 Y B S c H s P k I b b G A N 7 f G 1 e f E C O G + W C N q Y M P b Z 2 / e 3 Q G u M u + Y q 3 V G P m x T 3 y 2 3 Z 2 K O v 3 c N O L H o P b F + / f 3 9 / d v U d O 5 i Z U P W Y 3 L + 5 / S n Z g j 9 6 7 3 U r M e 2 L q a z 5 9 8 3 a a z 3 S z / e D g P o U r l O S 5 p e q z M 3 e b 9 y K s c q v 3 I p y y U Z N F W O R W / U Q 4 Z G M / f c a 4 n e Z 7 z 0 m N s M P 2 7 V 7 1 l e J t R u T r x f d D 0 l e S t + o p w g u 3 6 8 l D 8 d 6 H K k 3 r j g 0 r T d t H q D T 3 3 r O D Y a V p O n h A i f C D 8 c P 9 2 2 l M 8 9 Y t 3 b 3 3 6 M Q T A n 1 r m K k 9 A b i x r c f / N 7 b 1 O P 7 G t r 7 O u 7 l x h H t u Q R N f 4 5 n X t m / z X m S e b + v r v Q 9 6 k Z m + r a v 3 P t 2 8 z 3 T 7 + u 7 m x u 8 z 4 b 5 S u 7 l x f 8 I 3 N O 5 P 8 4 b G / b n d M E D X d t 8 p r T f p 6 e s 3 6 e + T f n 7 6 5 S 3 U y b 1 b O X k W v K e v 7 t 3 O y f M 7 G N Z X p o P 9 h / f H m 5 w Y j 5 X N K 7 d U V r f t w e N i f W V 4 A j z W v b G t x 7 k 3 t v U Y 9 8 a 2 v q a 6 u X G E Z W 4 i i K + m z D v b N 7 4 U m d v b 6 q h b I x a Z 3 d s q q F v 3 8 T 5 T 7 G u n m x u / z y T 7 2 u n m x v 1 J 3 t C 4 P 7 s b G v d n d c M A X d v 7 v n b 6 f c S p e v n q y x P K p N 1 C g + z f S k X Z P j w V t X 8 7 F e V 3 M K y i T A d 7 9 M r B z s 7 u W L 2 1 6 O A 9 d j b v 3 a e O 7 h 9 s T v Z 6 H G 2 7 2 / 1 0 5 9 P 7 + 3 u b F 1 M 9 1 j Y v f r r 3 8 P 7 9 n f 1 b r z y Y 9 2 h 0 9 + 7 v 3 H 8 w 3 t n 0 o s f q t s P 7 9 6 j H v f H + h t c 8 p n 8 v P H 0 t p y / e T s v Z U d G q 8 u 7 O v Y P x v V u q O v P i 9 u 3 e j D D K b f X d + 6 E Y Y Z H b K r 3 3 6 6 j P G r f T f O 8 3 r x G G 2 L 7 V m 7 5 K v A 0 h f K 3 4 X i j 6 G v J W H U V Y 4 V Y d e Q h + + q E K 8 x Y x q O 0 j V J i 3 i U H 9 D o Y V p u n g 0 0 / p h Q d j W I z B s X v i Y F 6 j N d 6 H u 2 O j w G 9 S l 7 a z e 7 v 3 d z 8 d 7 2 1 i b U 8 k 9 L V h z v a k 4 M a 2 n h D c 2 N b j + x v b + s r v 5 s Y R N r o N U X z d Z 9 7 b v t W L k S m / r e p 7 L w Q j s 3 1 b z f d e / b z P l P u K 7 + b G 7 z P p v n 6 7 u X F / 0 j c 0 7 s / 0 h s b 9 2 d 0 w Q N f 2 g a / B z l 4 8 + / L V F 8 c n Z 1 + + u I V 2 u X 8 r f 8 9 2 4 K m v + 7 f z 9 / w O h t W X 6 e D + p / v 7 e w / G Y I t B n v F Y 2 r y G p O P t V J f r a O / G j j y e N q / R a j Z 5 X p u X 0 z y W N q / t 3 q f l h o e 0 m r I p / P G 4 2 7 x H i z A P 9 + + P 7 z 2 8 n Z f 3 P l j 6 e k 7 f u 5 2 e M 5 1 s 7 9 6 7 v 7 f 3 6 X h 3 E 3 K + o r P E u M 1 7 E d 6 4 1 X s R 5 t i o t y K s c a t + I r y x s Z 8 + U 9 x O z 7 3 X l E Z Y Y f s 2 L / r q 7 z a j 8 T X g + y D o K 8 N b 9 R P h g t v 0 4 6 F 3 4 K v G 5 7 S 4 c H b 6 U 8 e 3 U F u f 3 k o v W u i e X v z 0 d n r R 7 2 B Y L 5 o O 7 t E i / r 1 7 O x s X v z z W t 6 8 9 2 N 0 l v 2 5 v / 3 b K 0 b 5 2 f + / h 7 r 2 H 4 / u b i O x J g H l v f + f T n X 0 K Z j + 9 p X o 0 7 z 2 4 T 3 j S Y v P D T d r Y E w q H 5 + 4 O r R q P 7 y n B b 9 K P 7 4 W n r y D 1 x d s p S N P L N k V + 9 3 Y P x p u Q 8 / W j e e 8 2 r 0 V Y 5 D a v R V j k t t r x f b q J s M Z t l e P N l I 7 w w e 3 m M 8 I I 2 7 d 6 0 1 e P t x m P r x 7 f C 0 V f P 9 6 q o w g b 3 K o j D 8 G H v o I 8 f f r V y f G b s 5 / 8 8 v U t N N i D W 6 l I C 9 9 T k Q 9 u p y L 9 D o Z V p O l g b / / e v U 9 3 N q 8 8 e / x v X j v Y v f / p + M G m V I E n B L Y v 0 p C U Y d i o V z 0 h M K / d f / D w U 5 K d j e 6 c J w v v 8 5 o n F e a 1 T Z z j y c L 7 9 O L r R H 3 v d j r R d L J 9 b 3 9 / f 3 d / v L v J E f a V o n n x V u 9 F u O J W 7 0 X Y 4 r Z q 8 b 3 6 i b D E b f X i z d S O c M C t p j T C C t u 3 e d H X i r c Z j a 8 V 3 w d B X y n e q p 8 I F 9 y m H 4 f e / o 6 v E 3 + f 9 P V X X 6 Q v n x + / Y P 1 4 K 7 2 F s d 6 g G F 0 n g W L E m + / V w a B i t B 3 c f / j p w c H u w 0 8 3 r 4 Y 4 G b A v H p C n / W D n 0 9 u 6 j 6 7 D n Y d 7 e / s P d 8 Y 7 t 9 O P 9 s V 7 + / f G 9 2 + n H G / / j p M L + 8 7 t N O N t u u i p R f P S r d R i S L H d / U / H + 7 f U i / b N 7 V u + G u G L j a o n w g 6 3 7 C n C E B t 7 i v D B L X v q c 8 O t 1 O N 7 z G u E G b Z v f M t T j L e i g K c Y b 4 + a p x V v 1 0 m E A W 7 s x E N s 1 2 g r U o Q n x + n p i 8 + / T E + O n 5 + Q e v z 2 l 7 d Q W Q e 3 c R Z d L 5 5 O P L i d s + h 3 M K w T T Q d 7 D 3 c e 0 C L R J v b y J M C 8 d f 9 g / + H D j Q 6 m x / y 2 q 3 t 7 l P z b 2 U R n T w T M W 7 R m u H d / l / K G m 7 W v J w L 2 z Y N P d + 7 v H t z f H T / Y h K k n D + b N B / d p q f 3 T h x T 3 b 3 K H P Z l 4 T 2 R 9 N a m v 3 k 5 N m n 6 2 D 8 j y U Y r 4 3 g 3 9 R D j q l m 9 G W O W W b 0 b Y Z a P a i 3 D K L X u K c M v G n v o 8 c j s 1 + b 6 z G 2 G M 7 V u + 6 6 v M 2 4 z J V 5 n v i a a v O G / V V Y Q l b t m V h + S e U W y n X 5 x R G v I k P f n y B c X a Z 6 9 u p d l u 4 0 7 a H g L V e S t 3 0 u 9 g W H W a D v b 3 8 d b O w 1 u 7 k + b F 3 Z 1 7 B w 9 3 K D W x v 4 l o n l y Y F + / t 7 + 7 d I 5 0 2 P t j 0 o i c W F t X 7 9 8 m N u L 8 5 b e q J h 3 n v / t 6 D e / c e f L q / O S / g i Y p 5 8 Q G R k / J j 4 4 e 3 V K D v h a i v P v X F 2 6 l P 0 w t J 4 7 2 H B / S / z U k S X 3 3 a u b v d m x F 2 u e W b E X 6 5 r f p 8 z 5 4 i f H J b 9 X k z 1 S M 8 c b u 5 j T D F 9 q 3 e 9 F X n b c b j q 8 7 3 Q t F X n L f q K K Y 7 b t O R h + A 9 o 9 S O y 2 K R L 9 u q S a / T r 9 p 8 2 R R l c Z N m 2 7 t Z a V r 4 7 p V b w h z W k w b m 3 g G 5 p P s P 9 + 5 v 9 r E 9 x j d v f n r / 4 c 7 e 3 o O D z d k k T w J s l x Q 1 7 e 5 9 u n + D i v U k w L 7 5 4 C G 5 q J 8 + I G R v q S v N m / f u P d z f I V 1 5 f 3 x L X W l e v P / w 4 C G l Z R 6 O P 7 2 l s n x P X H 1 1 q a / e T l 2 a f i g L d u 8 h u W Q 0 D 5 u o 6 a t L O 7 b b v R n h m l u + G e G a 2 6 r L 9 + w p w i y 3 V Z c 3 U z 3 C F r e d 3 Q h j b N / y X V 9 l 3 m Z M v s p 8 T z R 9 p X m r r m K K 5 H Z d e U j u G 7 X 2 8 t W X T 9 N j W v Z O X 5 6 + e p 2 e v X j 9 5 k Y N R z r k V r G 6 7 c Q 4 n P b N 9 + p g W J G a D i h h c W + H D P v 4 0 1 v q U f P i / Q d 7 n 1 I 8 e + v 8 p X l v 9 + D e z v 6 D B z u b 0 0 + e Y J g X H 3 C a m d a j 7 9 1 O h 5 r 3 H u 7 u P v i U B n j v l i r U I n o P 1 v T B + O E m w n i C 8 l 5 4 + v p T X 7 y d / r T Y 7 d z f O b h / 8 H C 8 u 2 l Y v v o 0 b 2 7 f 8 t U I s 2 z U T R E e u W V P E S 7 Z 2 F O E O W 7 Z U 5 8 9 b q c / 3 2 9 u I 0 y x f a s 3 f d 1 5 G 0 r 4 u v O 9 U P Q 1 5 6 0 6 i j D D r T r y E L x v V J p T m a R B T 1 6 d p s d P b 6 X W b h O o 2 0 4 C v X l z o N 7 p Y F h v m g 7 2 7 j 0 4 + P T + / f 2 D 8 c E m j v O E w r x 5 / / 4 B P M l P N 0 d S n k y Y F 3 c P a F m c 0 s o U q m 9 6 0 5 M O i + z e / s E B h Q f 3 x j u b 3 v S k w 7 5 J m n q f A u 9 7 4 w O l 4 U 3 q 0 w 5 z b / f T v U 8 / 3 R k / 2 K T n P V F 5 T 2 R 9 D a q v 3 k 6 D m n 6 2 9 / c O 9 s m j 3 9 3 o W / s a 1 L x 5 u x c j T H O 7 F y M 8 c 1 v 3 8 / 0 6 i n D K b b 3 P m y k e Y Y n b z m y E K b Z v + a 6 v Q W 8 z J l + D v i e a v g 6 9 V V c x L X K 7 r j w k P z U K 7 u T L L 8 5 e H 7 8 6 O 3 5 z 4 w o R K 7 d 9 q 9 y G t a c F H m j P f Z X 8 W 3 c w r D 1 N B 5 / u P i T N a Q D f p D n N W 5 u o 6 w n B e 3 T i S Y B 5 a 5 d S C / c P b h 2 p 2 9 f u 0 5 o X O Z m b X v N E w r y 2 t / t w Z 3 P C x h O G 9 0 H R V 4 / 6 3 u 3 U o + l k + 9 N P H + 7 u j C H 0 w 5 1 E e O c 2 r 8 U 4 I v L a B s V 4 G 5 b w F e P 7 d B N h i t u q x Z s p H e G B W 0 1 n h A 2 2 b / O i r x B v M x p f I b 4 P g r 4 2 v F U / E R 6 4 T T 8 e e g + M t u o E 4 k 9 P X 5 3 9 5 K 1 U 1 v 1 b 6 E T b S 6 A T 7 6 t W u X U H w z r R d I C k 5 K c H B 5 s t g S c C 5 r 2 D h / s P 7 4 0 f b I p S P U G w v e 0 e P C T 9 O N 7 b J A q e J N j 3 H j 4 8 2 P n 0 / v j e J i w 9 i T D v 3 f v 0 P r 1 2 Q z T t C Y d 5 7 9 P 7 e / c f 7 o 0 / 3 R R k e L L x X m j 6 O l J f v J 2 O N L 1 s H + w c H D z Y H e 9 s G p S v J O 2 c 3 e a 9 C I / c 6 r 0 I j 9 x W T b 5 X P x H u u K 2 e v J n a E V a 4 3 Z x G m G H 7 V m / 6 m v I 2 4 / E 1 5 X u h 6 K v K W 3 U U U x a 3 6 c h D 8 M B o s e O n P 5 E e f / 7 V c f r y y z f H T 5 6 f 3 k q N f X o L P W l 7 C P Q k 3 n y v D o b 1 p O k A Q S X l 1 s f 3 N 6 k E T w b M e / f u 7 9 / / 9 M H 4 0 / 3 b K U r b 3 b 2 d T / d 3 9 s Y H m 2 T B E w X z 3 u 7 B A S 2 Y 3 h / v b P I / P Z G w / e 2 S x i N P 8 r b x t i P L 3 o O 9 / d u 6 k u + F p a 8 n 9 c X b 6 U n T y / 7 u p y D 9 w U b D H u G l 7 V u 9 G O G R j X o o w h u 3 6 i f C H B v 7 i T D F r f r p M 8 X t 9 O T 7 z W m E G b Z v 9 a a v J 2 9 D B 1 9 P v h e K v p 6 8 V U c R R r h V R x 6 C D 4 0 W 6 / i U L 4 9 f v b m V J o P Y 3 q Q q b S e B q j Q C f + s O h l W l 6 W B v 5 / 7 e w / v 3 P t 0 c 8 H j y Y F 6 8 d 7 B / s P / p 7 h i u + e B 7 n j y Y 9 3 Y / / f R g d + f B / v j B J n p 7 g m F e 3 N / d f 3 D / / t 6 n 4 5 1 b r u 7 Y F z 9 9 e I 9 E a m / 8 Y N M Q P S k x L 9 7 f / 3 R n d / / T 8 Y N N 9 s A T k v f D 1 F e Z + u b t V K b p Z p t s / c P 9 / f u U X 7 9 t e t L O + u 3 e j P H L 7 d 6 M M M x G R R h h l F v 2 F O G U j T 3 1 G e R 2 q v M 9 J z f C F t u 3 e 9 V X n r c Z k a 8 8 3 w 9 J X 3 v e q q c I P 9 y u J 4 f i / R 2 j 2 V h z H r 8 4 + + L 4 + e n r W + i 1 v d u s i j v w n u L c u 9 2 q u N / B o O K 0 H e z e 3 7 1 / b 3 + 8 c z u 1 a V + 7 R 8 p v b 7 z 3 8 F Z K 0 3 W 2 y 4 s 6 D z Y 5 B U 4 Q 3 G v 3 7 l E M P 9 7 f 1 J u T h / d 6 z U m G f W 0 T 6 z h x e K 9 e P B 1 p 3 r u V j r S d b O 8 + f E A p h Y 2 2 x l O Q D r l b v B Z j i l u 8 F m G K W 6 r G 9 + o m w g 6 3 1 I u 3 o H R k 9 m 8 1 n R E 2 2 L 7 N i 5 5 O v N V o P J 3 4 X g h 6 G v F 2 / c R 4 4 B b 9 e O j t G o X 1 1 Z v T F 6 / T 1 6 e v f p K d y l N o K A D Y q L P u 3 U o p 2 j 4 8 p X j v d k r R 7 2 B Y K Z o O 9 u / d P 0 B g u n 8 7 p W h e 2 7 u 3 / + m n m 9 0 z T w p s Z 7 t 7 9 y i t u V E D e 1 J g O 9 u R 3 j Z 5 F Z 4 w 2 N d 2 H z 6 8 f 0 O W 0 R M L 8 9 r u p / s H 9 8 c P N 4 m q J x T v g 6 O v G / W 9 2 + l G 1 8 n B Q z L c 9 z Y t v v u 6 0 b y 3 f a s X I 9 y x U f / E 2 O I 2 / U Q Y Y 2 M / U Y 6 4 R T 9 9 l r i d f n y v K Y 2 w w v Z t X v T 1 4 2 2 o 4 O v H 9 0 H Q 1 4 + 3 6 i f C B b f p x 0 N v z + i u L 7 I 2 r 4 u s z J v 0 O j 2 u 2 2 K a z m 5 S Y P s 3 6 0 Y L 3 7 1 y S 5 j D 6 t D A J I X B i 7 e b h u r x v X n t w d 7 D B 5 / u b E 4 n e m x v X j t 4 8 H B v 9 x 4 t M G 9 S N h 7 7 m / f 2 k c j f 3 d u c c v L Y 3 7 z 3 6 a d 7 1 O W n 4 / u b h u d J g n l v 9 w H l u A 7 u b U 6 z e p L w X n j 6 W l F f v J 1 W N L 3 c e 7 h z f 4 e 0 w f 7 G e C b C Q N u 3 e z P C J r f V i + + H Y o R D b q s Y 3 6 + j P m v c T j O + 3 7 x G G G J 7 / + A W b / q 6 8 T a E 8 H X j e 6 H o K 8 d b d R R h h V t 1 5 C F 4 z 2 g v T k Z + c f Y i f f F l + s X p m x u V 2 N 7 + 7 q 1 c R 9 u B c R 3 t m + / V w b C u N B 1 Q X n B n d 2 f 8 6 a e 3 0 5 X m N U r P P d x E K 0 8 K X E / 3 H 3 5 K 6 m f T a 5 4 w 2 N d o X h 5 u D r o 8 S X i P t z y R M G 9 t Y h t P E N 6 j E 1 8 v 6 m u 3 0 4 u 2 j / v 7 B / f u j R 9 u 8 r Z 9 t W j e 2 7 7 V i x G G u K 1 W f C 8 E I + x w W 6 X 4 X v 3 0 O e F 2 O v F 9 Z j T C C N u 3 e M / X h 7 e h g a 8 P 3 w M 9 X x v e q p u Y T r i 5 G w + 5 f a O q T k 4 R P X + Z s k 4 8 + f L F y S 2 U 1 e 2 y i 7 Y L T x v e J r v Y 6 W B Y G 5 o O H u 7 e o z T h / V s q Q / P W 3 g N a 8 x 8 / 3 G S t P Q E w b 3 1 6 7 9 7 O v c 2 B r S c G 9 q 1 d W m B / s C l k 8 m T g 9 i 9 5 s m B e u q U y v H 0 f v i 7 U t 2 6 n C 0 0 X 9 x / s 3 r v J R k e 4 Z v s 2 7 0 W Y 4 b a a 8 H 3 Q i / D B b R X h + 3 T T 5 4 H b 6 c H 3 m M w I C 2 z f / J q v B W 9 D A F 8 L 3 h 4 5 X w n e q p f I 7 N / c i 4 f a f a s D j 5 + n v 8 / p a 1 W C + O 0 W O u p 2 2 U T b h 6 c E b 5 N N 7 H Q w r A R N B 5 8 e 7 D w Y b x q 4 x / v m n U 3 U 9 X j + 1 l 1 4 f G / e 2 X 3 4 6 c P x z q a g 1 + P 6 2 7 / k c f 9 t B u O x / e 3 7 8 D W f v n U 7 z W e 6 I N f n Y L x / W 8 V n 3 t q + x W u R + b + t 3 n s P 5 C I s c F u 1 9 x 6 9 9 O f / d l r v P S Y y M v 3 b N 7 / m a 7 3 b j N / X e r d H z t d 6 t + o l M v c 3 9 + K h 9 q n R S F 8 c k 6 4 T l U e / n r 4 6 v o V O 2 r + V 0 r N d e E p v / 3 Z K z + 9 g W O m Z D u 5 / u v / p g / H B p p F 7 r O / e 2 v v 0 d p r P v r F z s L + 7 u R + P + c 1 b u / c 3 9 u M x / i 3 f 8 L j f v H F L r X f L D n y V p 6 / c T u U Z + P s P 7 + 3 e 3 0 w o X + e Z 1 7 Z v 8 1 5 k / m + r 9 N 4 H v c j 0 3 1 b r v U 8 3 / d m / n d q 7 7 U x G J n / 7 h n d 8 h X e b o f s K 7 5 Z o + d r u V l 1 E J v 2 m k b s 3 H h g 9 9 J N n T 1 + d f W m 0 H f 6 6 h S q 6 f y t d Z / v w d N 3 9 2 + k 6 v 4 N h X W c 6 o O V l Z F I 2 x f c e x 5 u 3 b u n i v U c n H r + b t 2 i 1 d + f + e G 9 T k s d j 9 / d 4 y + P 7 2 w z I 4 / n 3 6 M R X e v r a 7 Z S e J d r + 3 s H m B R p f 5 5 m 3 t m / x W o Q N b q v y 3 g O 5 C B / c V u O 9 R y 9 9 D r i d w n u f m Y w w w P Y t 3 v M V 3 2 0 o 4 C u + 9 0 D P V 3 6 3 6 i Y y / b f o x k P u w C i n L 4 7 f p K f P T 0 / e v C I l e P q c f n 5 5 C w X 1 6 a 0 0 o O 3 E 0 4 C f 3 k 4 D + h 0 M a 0 D T w f 2 D 3 f 3 7 D w 7 G D z Z l 3 z w R s O 9 9 + u n u w 9 3 x g 0 3 s 6 c m A f W 0 P 0 Q s t m T y 8 n T Y 0 7 9 3 b 2 3 n w 4 O H O 5 k V 7 T x r s e w c 7 9 3 f 3 9 8 e f 3 l I j W j w f P r h 3 n 5 T 2 p s j c E 4 z 3 Q t P X j f r i 7 X S j 6 W V v Z 3 + H V p B u 4 N g I N 2 3 f 7 s 0 I m 9 x W Q 7 4 f i h E G u a 2 S f L + O + p x x O z 3 5 f v M a Y Y j t W 7 3 p 6 8 r b E M L X l e + F o q 8 t b 9 V R h B V u 1 Z G H 4 E O j y o 5 f v c H K 8 P H z s 5 M v X 2 N Z 5 P W b W 6 i z B 7 f S l 7 Y T T 1 8 + u J 2 + 9 D s Y 1 p e m g 3 s H t E 7 8 6 f j A K I b Y 4 D 1 5 M K / d 3 y c e v a 2 y t H 0 9 4 N S r G c V N u t K 8 d r B z b + 9 g f O + W m t J 2 d u / + w c O H 4 / 1 N A / M k w 7 x G C R N K w 4 9 3 N 5 k P T y 7 e A 0 d f T e p r t 1 O T F r W H 9 5 F h e L D J 1 P h a 0 r y 3 f a s X I 7 x x W y X 5 X g h G + O K 2 O v K 9 + u m z x O 1 U 5 P v M a I Q R t m / x n q 8 e b 0 M D X z 2 + B 3 q + c r x V N x E W u E U 3 D r l P d 4 z W g i t 5 8 u U X L 5 / z w v E t l N b B b b S i g + 9 p x Y P b a U W / g 0 G t a D v Y / f Q B P Q / H 9 z d Z Y S c B 9 r 3 7 l I E g c t 1 K L X q d 7 d 3 f 2 9 3 d b P K d G N j 3 D v Y f P H x w 6 4 U T 1 9 0 + + R c 7 B + P d T d 0 5 g b D v f b p L i D 4 c 7 9 7 O h X w v L D 3 V a N 6 7 l W q 0 n d B k 7 d H S 6 d 4 m 3 D z V a N / b v t W L E Q a 5 p W p 8 P w Q j v H F L 1 f h + / f S Z 4 l a q 8 f 2 m N M I K 2 7 d 5 0 V O O t 6 K C p x z f C 0 F P O 9 6 u n w g X 3 K Y f D 7 1 d o 7 6 + p N D 6 d Q o l + f u k 5 E W + v o X + e n g r B W l 7 8 B T k w 9 s p S L + D Y Q V p O t i 9 t 7 P / 8 P 7 e + N P b 6 U f z 2 o P d A 3 D n 7 f S j 7 Y v y j b t 7 O + P 9 2 6 l H 1 9 f O v d 3 9 8 c 4 m N e d J g n n t 4 c G D / f 1 7 m 9 c j P Z k w r + 0 9 e L B L 2 n F f S X 2 T d n w f J H 3 t q O / d T j u a T u 7 v 7 R 3 s f D q + t 8 k u + d r R v L d 9 q x c j 3 H F b 7 f h e C E Y 4 4 7 b a 8 b 3 6 6 f P E 7 b T j e 0 1 p h B W 2 b / O i r x 1 v Q w V f O 7 4 P g r 5 2 v F U / E S 6 4 T T 8 e e n t G d 7 2 s q 1 n 6 E + t i U U y r Z p Q + y + p F d p M C u 3 + z b r T w 3 S u 3 h D m s D g 3 M 3 Y e U R D j Y v z + + d 7 s 4 2 r 7 4 c G / 3 w e 7 + w e b V F I / z 7 X u U 4 v 2 U Q v D 9 W y p F 8 9 7 + f V o 8 v / 9 w / G C T e v M k w L z 3 A K v o l O f c 3 d S f J w z m v X s 7 t I S 1 R y K 3 y V B 4 w v B e e P q K U V + 8 n W I 0 v d y n 5 b X 7 9 z 4 d f 7 o J O 1 8 z m h e 3 b / d m h F N u q x r f D 8 U I h 9 x W N 7 5 f R 3 3 W u J 1 y f L 9 5 j T D E 9 q 3 e 9 N X j b Q j h q 8 f 3 Q t H X j 7 f q K M I K t + r I Q / C e V Z C v a I H 6 J 7 4 6 + 4 I T j 0 + O b / Q f K S z d v Z X / a L s w / q N 9 8 7 0 6 G F a Y p o N 7 D 8 k R f D j + 9 O H t 1 K V 5 b R O J P R l 4 n 1 4 8 U T C v H e z S K g s t l t x S R 5 r X 9 g 7 2 P / 3 0 3 o P x / U 0 S 5 M m E f W 9 n 7 + D + w b 3 x / U 3 9 e S L x P m j 6 K l L f u 5 2 K N J 1 s 7 + 8 + f L C 3 P 9 7 b R E N f R Z o X b / V e h D N u 9 d 5 7 s o a v H 9 + r n w h z b O y n z x W 3 U 4 / v N a U R V t i + z Y u + c r z N a H z l + D 4 I + r r x V v 1 E u O A 2 / X j o 7 R u 9 9 e z 0 1 Z u z 5 + n L 0 9 d v z k 4 o u q Z I + z b a c e 9 W 2 t H 2 4 m n H v d t p R 7 + D Y e 1 o O t i / d 2 / n 3 v j g l s r R v L W 7 s / N g 8 3 q H J w a 2 q 7 2 9 9 3 A j z V u U Y 9 r b H d / b 9 J Y n C u 6 t e w 9 u W I P 2 Z M I O C 2 m G T e 6 x J w / v g Z + v G f W 1 2 2 l G i 9 f D n Q f 3 x 5 s Q 8 9 W i e W v 7 F q 9 F O O K 2 b u N 7 I B d h h t v 6 j O / R S 5 8 N b q c R 3 2 c m I w y w f Y v 3 f H 1 4 G w r 4 + v A 9 0 P P V 4 a 2 6 i U z / L b r x k L t v 9 N Q X p 0 / P T s 5 e H J M i Z J / x 2 f E t V N W 9 W + l C 2 4 e n C + / d T h f 6 H Q z r Q t P B A a V Y 7 9 H q / O 1 0 o X n r 3 r 2 9 3 f v j h / d u p w x t X / u f 3 q e M x Y N b L s S Y 1 3 Y f H l D s t L s 5 Z + g J g n m P i H F v f 3 d n f H 8 T m p 5 M m P f u 3 z u 4 R 3 H D z i 1 X Y t 4 L T V 8 t 6 o u 3 U 4 u m l + 3 d 3 X s H C C Q f 3 F Y 1 W v x u 9 W K E R W 7 3 Y o R L b u s z v l 9 H E Q 6 5 r d N 4 M 8 U j 7 H A r 9 v O V p J u q 2 7 z p q 8 n b j M d X k + + F o q 8 o b 9 V R j B V u 0 5 G H 4 K d G j X 3 5 e 5 9 9 f v r i S 9 K U n x + / P n 2 d f n U b t 5 G y W 7 d Q l b a P Q F X u K Q / d u o N h V W k 6 2 N 1 / 8 O B g 4 z K J J w P m p U 0 U 9 k T g 9 n 1 4 7 K 8 v D b O z x / o 3 t v U 4 / 8 a 2 H r P f 2 N b X e D c 3 j v D O z S T x t Z 1 5 a / s W r 0 X m + L a O 4 H s g F 5 n l 2 z q C 7 9 H L + 0 y 1 r + V u b v w + k + 0 r s 5 s b 9 y d 7 Q + P + H G 9 o 3 J / Z D Q N 0 b R 8 Y V Y K 1 Y 1 I a p K 5 e f / V F C j / v y 9 s o r P 1 b + X a 2 F 0 9 h 7 d / O t / M 7 G F Z Y p o O 9 T x 8 + p L X W e 3 u 3 U 1 n m N V p X O h i D h I M v e S z t + j p 4 u H N / v P P w d q r L 9 n X v / v 6 n D 8 j 3 v u U y s n 3 v A W K j e + M H n 9 7 O t z P v 7 d / 7 d O d g b 3 x v E 5 o e w 7 8 X m r 6 m 0 x d v p + l M L 9 u 7 O w f 3 H 3 z 6 6 X h v o 3 m N s N L t X o y w y O 1 e j D D J b X 2 7 9 + s o w i G 3 9 e 1 u p n i E H W 4 3 r x G G 2 L 7 V m 7 4 6 v M 1 4 f I 3 4 X i j 6 2 v F W H c V Y 4 T Y d e Q g e x J X l 8 + M n t 1 B k 9 2 + l K W 0 X n q a 8 f z t N 6 X c w r C l N B / d 3 d n Y f 7 O y M w Y C D Y / e k w L y 3 t 0 8 L x Z s X Q D x Z M G / t P 3 z w 6 Y O d h + P 9 T Z T 2 R M G 8 d 2 / n P v I U B / u 3 0 5 X 2 t b 3 9 3 Y P 7 4 / u b z I A n G + a 1 3 Y O H n 9 4 b 4 8 / B t z z B e B 8 c f U W p 7 9 1 O U V o C f o p V / Q f j T z c Z K V 9 P m h e 3 b / d m h E N u 6 x i + H 4 o R 5 t j Y U Y Q p b t d R n y 1 u p y j f a 1 o j 7 L B 9 m x d 9 N X k b M v h q 8 n 0 Q 9 L X k r f q J 8 M F t + v H Q e 2 g 0 2 L O z J 6 / S 1 2 c v 3 q T f / u o 5 B c A v n 9 9 q X f n T W + l J 2 4 u n J z + 9 n Z 7 0 O x j W k 6 a D v Z 3 7 O w c H 4 1 t q S f P W 7 q e U T n u 4 S d l 5 c u C 6 u r e / d 7 C Z r T 1 x M K / d v / f w 3 s P N K U Z P F u x b n 5 K S H B / c U k N a F C l d d e s 0 4 X s g 6 O t H f e 1 2 + t E S f P / h P k 3 T w a Z 5 8 t W j e W / 7 V i 9 G + O K 2 2 v G 9 E I w w x W 2 V 4 3 v 1 0 + e H 2 + n G 9 5 n R C C N s 3 + I 9 X z P e h g a + Z n w P 9 H z F e K t u I i x w i 2 4 c c g 9 2 j M a i F e Q v X 8 v y y U 9 8 d f b F 2 c k t d N b D 2 y h F 1 4 W n F B / e T i n 6 H Q w q R d v B 7 t 6 9 h + T S 0 U L D w 1 v p R f v i w 9 3 7 t E T x 6 R j r U I P v O S m w 7 9 2 j D h / c u 2 G p 1 0 m D e W + Y q 5 0 E 3 N z W C c D N b R 3 X 3 9 z W U 3 q 3 a B x h p V t R x d N 6 9 s X t 2 7 0 Z m f l b q r 3 3 R D E y 4 7 f U e + / Z 0 f t M u 6 f 4 b t H 4 f S b e 0 3 G 3 a N y f + A 2 N + 5 O 9 o X F / f j c M 0 L X d N W r m p F p M 1 k 1 b T M q 8 G a X P 1 5 O 6 m N 6 k a z 6 9 W Y 1 Z + O 6 V W 8 I c 1 l w G J i 2 4 7 R 4 c 0 C L p + M H t c o T 2 z Y N 7 u / u 0 T D o + u J 1 X 5 3 r c o V j l 3 s P 7 D 8 Y H t 1 R e t s c H 9 3 c e k L n Z H D V 7 L O 0 G S R 7 7 p / c f P B z f U 9 r d p N f M m 3 s P H u w + v E e B + s E m x e 7 x + v v h 6 m s 8 f f N 2 G s + O 7 M G 9 T z / 9 l P y b e w e 3 V H n m z e 1 b v h r h m d v q v P d E M s I r t 1 V 6 7 9 l T n 0 V u p / X e c 3 I j b L F 9 8 O A 2 r / o K 8 T a 0 8 H X i + y H p K 8 h b 9 R T h h 9 v 1 5 K G 4 Z x X m l 1 8 8 + e r 1 m 7 M n F A / f q N T 2 P t 2 9 l d d n o R u v z 7 7 5 X h 0 M 6 0 7 T w S 6 p M v J 5 K R e w u 0 m T e R J h 3 j z Y + X S P A u n x v f 3 b 6 U 7 b 4 w 5 Z 9 d 0 H u / f H B z q c m 3 S n 7 f F T 0 n 8 P D n b H D z d J h i c Y b p D 7 l O L c o S 4 3 T a 4 n J O b F v Q f 3 H 5 J f f G + z Y f F k 5 P 1 Q 9 V W n v n k 7 1 W k H d p / c o 4 e E 3 8 E t U 4 j 2 z e 1 b v h p h m d u q z v d E M s I q t 1 W d 7 9 l T n 0 N u p z r f c 3 I j b L F 9 u 1 d 9 1 X k b W v i q 8 / 2 Q 9 F X n r X q K 8 M P t e v J Q v B d T n e n J 8 c v b a b e 9 m 9 W n 7 S F U n y r E t + 5 g W H 2 a D v Z I t T z Y p Q h l E 8 N 5 M m H e I 3 N D F t 7 o 8 5 t U p + 1 t h w z W 3 v 3 N G T 5 P L s x 7 9 + 8 9 o M h + v L M J S U 8 o 7 G s H t P J + M L 6 3 6 T V P P M x r + w 9 p 1 W q 8 6 S V P M t 4 H R V 9 d 6 n u 3 U 5 e m E 1 p h e P j p 3 s H 4 w c N b a k v z 4 v b t 3 o w w y G 2 V 5 f u h G O G N 2 + r K 9 + u o z x W 3 U 5 X v N a 0 R d t i + z Y u + m r w N G X w 1 + T 4 I + k r y V v 1 E + O A 2 / X j o 7 R s F 9 v y r J 6 / O T o 5 f v C E N + f u k x 0 / P 3 t x K h 2 G o N y l J 2 0 e g J P H m e 3 X w e w 0 q S d P B p 7 u U V r w h P + i J g n l t 9 9 N 9 S m G O 9 z c p O 0 8 Q z G v 7 9 + / v 7 n 4 6 3 r u l j j S v 3 d v d x S L 4 / q e 3 0 5 H 2 t Y c 7 9 z + 9 f 2 s d a V 5 7 c H D / w f 7 m t I M n F e + D o 6 8 k 9 b 3 b K U l L 9 v 1 7 s D E P N n Y S Y a P t W 7 0 Y Y Y / b q s j 3 Q j D C G L f V k O / V T 5 8 l b q c g 3 2 t K I 6 y w f Z s X f Q V 5 G y r 4 C v J 9 E P Q V 5 K 3 6 i X D B b f r x 0 L t v l N d P 5 k 2 7 z u q i G q V P y m w 5 r Z r R T Q r s w c 2 6 0 Y J 3 r 9 w S 5 r A 6 N D A P 7 t 3 7 9 N 7 e w 0 9 v G W + b 1 y i 2 o Z T j D i 3 Q b F w H 9 B j f v E k r Q Q c P 7 x 0 8 3 B 9 D n A b f 9 E T A v E l p 1 Z 3 9 n b 3 7 9 8 Z 7 m x S c J w S 2 z 5 1 P S T H e e / D p + P 4 m R e x J h O t z Z / d T C r r H e 5 s 8 E 0 8 k 3 h N Z X 0 H q q 7 d T k K a f B 7 s H 9 + 9 9 u r 8 z f r j J f f d V p H l z + 5 a v R p j m t k r y P Z G M c M t t 1 e R 7 9 t T n k d s p y v e d 3 Q h j b N / y X V 9 d 3 o Y a v r p 8 T z R 9 j X m r r i I s c c u u P C Q / t U r z 9 P W b r 4 5 f n X 0 J p / K r F 2 f P v n x 1 o 4 K j 0 P N W q U v b i X E r 7 Z v v 1 c G w H j U d k B 7 d g Y l + c O t l H / M m V O k u h T 8 H m + N 2 T z j M m 6 R K 7 + 3 t 7 9 6 / I W 7 y x M S 8 u X v w 6 f 6 n l D O l P j d h 6 4 m J 7 X N n f 5 / M x c H e + N N b q l L b 5 4 O H n 5 I u v b c x 7 e k J z H v i 6 m t S f f V 2 m t T 0 8 2 D v 4 P 6 n O w c P N z v C v i Y 1 b 2 7 f 8 t U I 2 9 x W k 7 4 n k h F m u a 0 m f c + e + i x y O 0 3 6 v r M b Y Y z t W 7 7 r a 9 L b U M P X p O + J p q 9 J b 9 V V h C V u 2 Z W H 5 A O j 5 F 6 + O n 3 x N H 1 9 + j k p 0 p e v v n y a v j y 9 j S r d u 5 U q t b 1 4 q n T v d q r U 7 2 B Y l Z o O 7 u 2 Q n i B X b Z M 2 9 E T D v E Y u + 4 N N r O r J h H l l 7 + E + a d 7 N P X m i Y V 6 7 j x X 3 z f l S T y w s f j v 3 7 9 M a / a e 3 X P W x n e 3 f p 9 X y + 5 / e T m m + B 4 q + w t T X b q c w L f X I 3 u 3 v b k 6 J + O r S v L d 9 q x c j j H F b Z f l e C E b Y 4 r a q 8 r 3 6 6 X P E 7 R T l + 8 x o h B G 2 b / G e r y B v Q w N f Q b 4 H e r 5 y v F U 3 E R a I d T O s G A + M y j p + 9 S Z 9 e v r y y 1 d v z n 7 y y 9 e 3 0 F j 3 b q U S L X x P J d 6 7 n U r 0 O x h W i a a D e / u f 3 t v f T F 2 P / 8 1 b B 7 t 7 + 7 d 2 K s 1 L e 5 9 C 3 4 A D B 9 / y R M C 8 t X t / 5 9 6 n e z d k A z w R e K / 3 P G k w 7 2 3 i G 0 8 K 3 q s b X y H q i 7 d T i K Y X S j o + e L C 7 u z v + d B P 1 f J V o 8 b v V i x H G u N 2 L E d 7 Y q O M i b H G 7 j i K c s b G j P k f c T i m + 3 7 x G G G L 7 V m / 6 i v E 2 4 / E V 4 3 u h 6 K v G W 3 U U Y 4 X b d O Q h + N A o L / Y U 3 5 z + 3 m / O a O X 7 F q p r / 1 a 6 0 Y L 3 d O P + 7 X S j 3 8 G w b j Q d 7 F H s / O n 4 l q r R v L S J u B 7 3 3 7 4 P j / P N S 7 s P 7 u / S Y s z + 7 T R i 5 6 1 b e o l 2 P J s X 8 z w J e A / s f I W o r 9 1 O I d o + d s l 5 v f 3 i j X l t + z b v R T h h o 6 q J M M F t u o k w w 8 Z u Y n x w i 2 7 6 j H A 7 R f g + s x l h g u 1 b v O c r w d u Q w F e C 7 4 G e r w J v 1 U 2 E A W 7 R j U P u Y M d o q C f P T z j 3 + O W b V / Q T 6 v A W S u r + b b S g 6 8 P T g v d v p w X 9 D g a 1 o O 1 g b 2 8 H q z H 3 N 4 3 d i Y B 9 7 X Z 6 8 L 1 6 c R J g X h t m Z c f 2 N 7 d 1 X H 9 z W 8 f q N 7 f 1 t N w t G k f 4 5 z Z E 8 d S c f W / 7 V i 9 G 5 v q W e u 7 9 E I z M 9 i 0 V 3 f v 1 8 z 5 T 7 m m 6 W z R + n 0 n 3 l N o t G v c n f U P j / k x v a N y f 3 Q 0 D d G 1 3 j V r 5 I m v z u s j K v E m v 0 9 f r R b E s m p t 0 y 8 H N a s v C d 6 / c E u a w p j I w y R z u f P o p 1 m I V a n S w H h u b F 2 + p q 9 6 v H 4 + N z Y v I V j 6 8 f + / B G D w + + K L H x / b F v U 9 p N f 0 + W a C H G 1 7 0 e N q + e J / y R 7 s H m 5 f O P P Z + P 0 x 9 B a d v 3 k 7 B m W 6 2 D x 7 Q D H + 6 s 5 m S v o o z b 9 7 u x Q i T 3 O 7 F 9 2 Q S X 8 e 9 X 0 c R L t n Y U Z 8 5 b q f k 3 n N i I y y x f b t X f f 1 3 m x H 5 K v D 9 k P T 1 4 a 1 6 i n D D 7 X r y U N w z + u v 1 V 6 / f H L 8 g 3 + 6 L 4 z f p 6 e / 9 8 v m N i o x 6 v Z V n Z 7 s w n p 1 9 8 7 0 6 G N a X p g N a H R 5 v y i x 7 Q m B e u a W m v G 0 P H v f r K 8 P c 7 H H + j W 0 9 x r + x r c f q N 7 b 1 F d 7 N j S N s c x N B f F V n 3 t m + 8 a X I 3 G 5 U I p G J v b G P y O x u 7 K M / t T f 3 8 T 5 T 7 C u 3 m x u / z y T 7 G u z m x v 1 J 3 t C 4 P 7 s b G v d n d c M A X d t 7 R n 1 A M W H F 9 u V X T 5 6 f n R z f Q n 3 c a r n W d e D p p 9 s s 1 3 Y 6 G N Z P p o O 9 3 X s P 9 u 5 t 8 l w 8 R j Y v 3 V J D 3 b 4 P j 5 H t S 5 Q b P T i g z N i m X J r H z O a 9 / Q c P 9 x 4 + P B h v 6 s 5 j a 9 v d e z p x 7 4 W m r 9 L 0 x d u p N N M L r U 3 s f r r / 4 I Z e I v x z q / c i b H G r 9 9 6 T M 3 z 1 9 l 7 9 R L j j t v 7 b z d S O 8 c K t 5 j T C D N u 3 e t P X f b c Z j 6 / + 3 g t F X x X e q q O Y f r h N R x 6 C + 0 Z x v X x 1 + u I p 0 n F W Q d 5 C d 9 1 q 4 d b 1 4 S n H 2 y z c d j o Y V o 6 m g 4 d 7 n z 7 c e b A 3 v n f L W N e 8 d 0 v 9 + F 7 d e E J g 3 t t 9 c E B B 8 n 0 S n 4 e 3 0 5 H v 9 6 I n G b c Z m C c P 7 9 N P q B 3 1 z d t p R 9 P N 9 s H 9 B 7 v 3 D / b H D 5 Q F b l S P 5 s 3 b v R j h j N u 9 + J 6 s 4 S v I 9 + s o w h y 3 1 Z A 3 U z z C B 7 d j I F 9 F 2 r m 6 3 a u + j r z N i H w d + X 5 I + k r y V j 1 F u O F 2 P X k o 3 j c a 7 N t 5 X W e L I l + 2 W T N K X + X n 2 f Q m L f b w Z g V p w b t X b g l z W C c a m A 8 P H j y 8 v / v p e G c T Q 3 q M b 9 7 b 3 T 9 A r m a 8 s y k 6 8 Q T A v H d w 7 + H B 3 t 7 D 8 c N N p P X 4 3 7 y 3 / + D g 4 S 4 t q N / f 1 J 8 n B + a 9 T w / 2 y S d 5 s D m l 5 I m E e W 9 v 5 / 7 9 H b g y n 9 5 O R 7 4 X n r 6 K 1 B d v p y J N L / c + 3 X m 4 u / N w v H 9 b B 9 K 8 u H 2 7 N y O M c t v o + P 1 Q j H D I b U P k 9 + u o z x q 3 U 5 H v N 6 8 R h t i + 1 Z u + g r w N I X w F + V 4 o + v r x V h 1 F W O F W H X k I f m r V 4 + m r V 8 d f n J 2 + e H P 8 O v 3 i 9 M W X N y q y v Y e 3 S w D a L o w P a d 9 8 r w 6 G 9 a X p g J h t 5 4 B 8 u 0 1 q w Z M G 8 9 r u v f 3 7 u w / G 9 2 6 p L c 1 r + w / 2 7 3 9 6 f 7 y z f z t l a V 6 7 d 3 D v H p m v 3 U 2 9 e Q J h x 7 a 7 8 + D + p + N P b + l F m t c o p r j 3 8 O H 4 / i b 5 8 w T j f Z D 0 F a W + d z t F a T o B n z 4 Y P 9 z Y R 4 S N t m / z X o Q 7 b q s k 3 w e 9 C F v c V k W + T z d 9 f r i d g n y v 6 Y y w w f Z t X v T V 4 2 2 I 4 K v H 9 0 H Q 1 4 6 3 6 i f C A 7 f p x 0 P v g d F c r 0 6 f 0 d I I a S n W j K / S 0 6 d n z 2 6 h v m 6 X g L S 9 e P r x N g n I T g f D + t F 0 s P s p s d o u K c h b + p P 2 v f v w C j e u 1 X q C 4 H r b u b 9 P 6 n g j a 3 s C Y d 7 7 d P / e 3 t 7 B + G D T a 5 5 A m N c e 7 j 8 8 u L 8 7 / n T T a 5 5 o m N f u 0 d L 3 3 t 5 4 k w f q C c b 7 4 O j r R 3 3 v d v r R j o g Q u 7 8 / 3 j R Z v n 4 0 r 2 3 f 5 r 0 I d 9 x W P 7 4 P e h G 2 u K 1 + f J 9 u + u x w O / 3 4 X t M Z Y Y P t 2 7 z o 6 8 f b E M H X j + + D o K 8 f b 9 V P h A d u 0 4 + H 3 s G Q f v z i y y e 3 0 F 6 3 S 0 H a T j z 1 e J s U Z K e D Y f V o O t j f u b e z v 7 v Z V / L k w L x 2 / + D + + N N N + s M T A t f V 3 v 7 9 + + O D W w b a 5 r X d T + / d P x j v b + r M E 4 X 3 e M u T C f P W J t b x R O E 9 O v E V o r 5 2 O 4 V o + r h 3 Q B 7 + g / H + b T W i e W / 7 V i 9 G O O K 2 K v G 9 E I y w w 2 1 1 4 n v 1 0 + e E 2 y n F 9 5 n R C C N s 3 + I 9 X y X e h g a + S n w P 9 H y N e K t u I i x w i 2 4 8 5 B 4 O K c S T L 7 + 4 h b 7 a v 5 V C t J 1 4 C n H / d g r R 7 2 B Y I Z o O 7 t 2 7 9 + n u 3 v 3 N e U R P D M x 7 5 I h R J n H 8 6 S b 2 9 K T A v L Z 3 7 z 4 t z X y 6 m a 0 9 a T D v 7 e 5 + S m n L n f H B p k n y p M G + 9 5 D y B e Q O 7 2 / S w p 5 g m P c e 7 O 8 8 e L i 7 e X i e Y L w X m r 6 O 1 B d v p y N d L w d 7 9 3 f u j + / f u 6 W S N C 9 u 3 + 7 N C J v c V k u + H 4 o R B r m t m n y / j v q c c T s 9 + X 7 z G m G I 7 V u 9 6 e v K 2 x D C 1 5 X v h a K v L W / V U Y Q V b t W R Q / D h z p C + P P 2 J s 1 u o s / u 3 0 Z e u E 0 9 f 3 r + d v v Q 7 G N S X t o N d 0 q + U R 9 z E b U 4 c 7 F u b a O y E 4 H 0 6 c a J g 3 3 q w c / 9 W y v G W L z g x u N U w H P P f E r 6 n B s 0 b t 1 K D j k o H D 3 b 2 N l P J U 4 L 2 t e 3 b v B e Z + V u q w P d C L z L 3 t 1 S A Q 9 1 E X + v P / a 3 U 3 2 0 n M j L 1 2 5 t f 8 R T e r Q b u K b x b I u V p u t v 1 E J n x G 4 b t X t g d U n F v X h 2 / u I U K + v R W O s 7 2 4 u m 4 T 2 + n 4 / w O h n W c 6 e D e p / e w w D T e O 7 i d l r P v 7 X 1 6 n 1 j + l k v S 7 r V 7 u 3 v 7 u z v j v U 9 v p + / M e 3 v 3 H l B y 9 G B j X s / j f P v a w 7 2 9 T x 8 8 3 J w g 9 o T A v H d / / 9 7 + g 5 3 x x i U k T x L e B 0 t f F e p 7 t 1 O F p p O H 9 + 5 R m n i 8 v 4 m C v i 4 0 7 2 3 f 6 s U I i 9 x W G b 4 X g h H e u K 0 2 f K 9 + + k x x O 3 X 4 X l M a Y Y X t 2 7 z o q 8 b b U M F X j e + D o K 8 g b 9 V P h A t u 0 4 + H 3 l 5 U T Z K S T E + O X 9 5 O i + 3 d r C Z t L 6 G a V L G 9 d Q f D a t J 0 Q I 7 j p z v j h w 9 v p y T N W x S R b o x V P C E w r 9 z b 3 c X y 4 a a O P F E w b z 0 8 2 H m w f z v V e N t X P F k w r 2 x i G U 8 E b t u D r w n 1 n d t p Q t P B 9 q e f P v z 0 0 / G O W s U b N a F 5 7 z a v R X j g N q 9 F m G C j W o t w w G 2 6 i b D A x m 7 6 8 3 8 7 L X j r q Y x M / / Z N L / n a 7 z a j 8 L X f b R H z N d + t + o j M + 4 2 D d 6 / c i 2 o 9 c g 6 f n j 4 7 v Y V S e n A r 5 9 D 2 4 m m 9 B 7 d z D v 0 O h r W e 6 Y C W N D b y o c f t 5 p V N x P W Y / b Y 9 e I y u r w w z r s f k N 7 b 1 e P z G t h 5 v 3 9 j W 1 2 k 3 N 4 5 w z k 0 E 8 f W Z e W f 7 x p c i c 3 t b r + 7 W i E V m 9 7 Y e 3 a 3 7 e J 8 p 9 v X Y z Y 3 f Z 5 J 9 x X V z 4 / 4 k b 2 j c n 9 0 N j f u z u m G A r u 3 + k J L 6 4 v g n b q F C D m 6 l o 2 w n n o 4 6 u J 2 O 8 j s Y 1 l G m g 9 0 H D + 7 t b Y r d P V 4 2 7 9 x S S d 2 6 C 4 + V z T s P d j / d J 4 d x 0 9 q z x 8 z m r X s 7 B 7 R q P X 6 w y W n 0 2 N q 8 t n f v 0 w e f 7 o 0 f f H o 7 B + 0 9 c P T 1 m b 5 2 O 3 1 m a b d z / 9 O D / f H O p h H 5 O s 2 8 t 3 2 r F y P 8 c F u 9 9 l 4 I R p j i t r r t v f r p s 8 T t 9 N v 7 z G i E E b Z v 8 Z 6 v 9 G 5 D A 1 / v v Q d 6 v g a 8 V T c R F r h F N x 5 y 9 6 P q M P 3 y z S 1 U 1 c N b 6 U L b g 6 c L H 9 5 O F / o d D O t C 0 8 H e / q c P 9 8 f g 8 s G B e x J g 3 r q l N n y P T j z 2 t 2 8 d 3 M N S 8 C 1 X L d 7 j L U 8 K b j M g j / v f o x N f D e p r t 1 O D p o 9 t y r P S A s F t P T v z 2 i 3 e i r D B L d 5 6 T z b w F e B 7 9 B L h g 9 u G q T d T O T L x t 5 n J C A N s 3 + I 9 X / 3 d Z i y + + n s P 9 H z 1 d 6 t u Y l r g 5 m 4 8 5 D 4 1 y u l 1 X l 8 W 0 6 J q 0 s / z Z V 5 n Z d 7 c o K D u 3 a z 6 L H T 7 x u 0 g D u s 6 A / H e z s N P 7 3 + 6 s / P w 4 e Y M s M f p 5 t U H D 3 c / p f z + w c 7 4 / s H t d J 9 5 c + / e z v 7 D v f v 3 d g 8 2 L 4 l 7 j G 9 e f f j w / s H u D r 0 / 3 t + 7 n R I 0 b + 4 e w B T s 7 1 B e c G e T 1 v U E w r x 6 s P t g d / c e 1 i Y / 3 d S p J x P v i a 6 v G P X V 2 y l G O z i a x 9 1 d S q / u 3 3 5 F w 7 y 7 f e u X I / x z W z / x v R G N s M 1 t f c X 3 7 q v P L b d T m O 8 7 y x E G 2 b 7 l u 7 7 i v A 0 9 f M X 5 n m j 6 y v N W X U X Y 4 p Z d e U g + 6 C v Q J / / o X 9 w U 0 + p G / X k L 3 9 F C d 6 9 Y m J t h D q t Q A 3 P / Y I c y B / u f 3 h v v b P K V P W E w b 5 J K 2 t k 5 u E f h z C Y r 4 0 m C 7 f L T v d 2 H e 5 / u P d y 8 c u z J h H l z b 2 9 n / 2 B / H 2 H u w 9 v p T / P m P f K j 9 y i E 3 x 8 f b H r T E w 8 7 z A d 7 + / v 3 9 h 7 s j T e 5 O Z 5 w v C e y v v b U V 2 + n P W 0 / + 7 s P d g 5 2 a b 0 A v D z c T 4 S h t m / 7 b o R x b q s 7 3 x f N C M P c V n W + b 1 d 9 P r m d 5 n z f G Y 4 w x / Y t 3 / U 1 5 2 3 I 4 W v O 9 0 T T 1 5 y 3 6 i r C F L f s y k P y w O i 2 0 x e n r z 4 / O 0 5 P n 5 + e v H l 1 d n J 8 o 5 L D M u l t Q m / b h Y b e 7 s 3 3 6 m B Y l 5 o O P n 3 w 4 P 7 u 7 v 7 D 8 a e b V I U n G + b F P d I v n 5 K D t v f p 7 T S p 7 f D + / t 6 9 + / s P x v c 2 q W B P Q u y L p P b 3 7 9 / 7 d P x w k w b 2 5 M O 8 + O D h / X v 7 R J n N S t + T F f P i 7 v 4 D Y p M H n 4 6 N / 3 + T G n 0 / V H 0 t q m / e T o v a b m i d f n d n v H 9 b F W r e 2 7 7 V i x F m u a 3 + f C 8 E I z x y W + X 5 X v 3 0 O e N 2 m v M 9 J z X C D t u 3 e 9 X X m 7 e h h K 8 3 3 w 9 J X 2 3 e q q e Y 4 r h V T x 6 K D w e 1 Z n o 7 v Y n x 3 q Q 3 b S e B 3 s S b 7 9 X B s N 4 0 H d y n u J a e 2 + l M 8 9 K m 5 p 4 Y 3 L 4 P T x b 0 p W G e 9 v j / x r Y e + 9 / Y 1 m P 4 G 9 v 6 K u / m x h H m u Z k k v s I z b 2 3 f 4 r X I H N 9 W 3 b 0 H c p F Z v q 2 y e 4 9 e 3 m e q f V V 3 c + P 3 m W x f n 9 3 c u D / Z G x r 3 5 3 h D 4 / 7 M b h i g a X s P F F Z V c v z 6 F u p j 7 x Z + n Q / U 6 a e 9 2 / l 1 f g d D + s l 1 Q L 7 L p w 8 f 7 o 5 3 F H R 0 t J a H 3 X s P 7 + 9 + u j P e 2 6 T T L Q 9 7 v d 0 7 2 D 2 4 t 7 P Z g 7 a 8 7 L 2 3 e 0 C B z 8 7 B e P 8 2 L p 3 3 3 v 3 9 / R 1 K o m 6 O x i 1 n u x f v f U p r b E S W 2 6 U V 3 x N R p 9 3 s i 7 f R b q 4 X W j z e 3 9 + j m H + z N + 5 U n I f g 7 d 6 M c c r t 3 o z w y u 0 0 3 X v 3 F O G T 2 2 m 7 2 1 A 9 w h O 3 m 9 s I U 2 z f 6 k 2 n B m 8 3 H q c J 3 x N F p x V v 2 V G M G W 7 T k Y f g r t F n x 5 9 / d Z y + / P L N 8 Z P n p 7 d Q Z v d u p S 0 t d E 9 b 3 r u d t v Q 7 G N a W p o N d W m 3 4 9 M H e w f j T T S G E J w L 2 x Z 2 D n Y O D + + O D 2 + l L 9 9 r O / f s H + 3 v j g 0 3 9 e Y J g X i Q k H 1 L g f V t 9 a V 4 7 O K A I 6 f 7 9 8 c 6 m 7 j z R M O / t 7 R w 8 f E D d b S S L J x n v g 6 a v L f W 9 2 2 l L 0 8 k 9 W i 6 8 v 3 v / t v G v e 3 H 7 d m 9 G + G S j H o q w x + 0 6 i j D I x o 4 i f H G 7 j v q c c T t N + V 7 T G m G H 7 d u 8 6 O v J 2 5 D B 1 5 P v g 6 C v J m / V T 4 Q P b t O P h 9 6 e 0 W N v K O Z 9 9 u U L C n 7 f v D p + e n Z y 9 u W L 4 1 s o s / 1 b a U v b i 6 c t 9 2 + n L f 0 O h r W l 6 W D v / n 1 a D q E U H j h x c P y e O J g X 7 x / Q a v 8 e J V o 3 0 c 2 T B v P e 7 s M H x N 9 7 N 6 x t e W J h M T 2 g P w j R v U 3 r R J 5 U u B E e P P j 0 3 g 4 l N 2 6 n L + 1 7 1 N u 9 v f s P b 6 0 w 3 w t R X 2 P q i 7 f T m J a O n x 7 Q O i E 5 Y F A 5 w 9 1 E e G r 7 l q 9 G u O W 2 O v M 9 k Y y w y W 2 V 5 n v 2 1 O e P 2 2 n N 9 5 v b C F N s 3 + p N X 2 / e h h K + 3 n w v F H 3 F e a u O Y q r j N h 1 5 C N 7 r a 8 6 T 0 + d f P T 9 + d Q u t d v 9 W a t N 2 4 a n N + 7 d T m 3 4 H w 2 r T d H C P m G 1 3 v I n V P G k w L + 3 t 7 d / f u I r r y Y H t 6 M E D U l 2 b d K w n D A 6 7 + / d 2 a G I 2 e b K e J J j X 9 u 9 / u r 9 / s N m P 9 W S C X 4 M B p T U n o s U m Y n g C 8 T 4 4 + k p S 3 7 u d k j S d b N + 7 / w C p h Y O N v U Q Y 6 F b v x f j i N u 9 F W G O j u o u x x W 3 6 i X D G x n 7 6 L H E 7 5 f h e U x p h h e 3 b v O i r x t u M x l e N 7 4 O g r x l v 1 U 9 U O 9 z c j 4 f e v t F a r 0 9 f / S Q c y f T p a Q o l e f L l F 1 / d Q n V 9 e i v d a H v x d O O n t 9 O N f g f D u t F 0 s P f p / r 3 9 B 6 T q 9 j + 9 n X 4 0 L 9 5 7 e P D p r d O V f m 8 7 D 8 h N 2 7 u l k j Q v 7 j + 8 R 4 l Y Q v P h J s 3 l y Y R 5 8 d P 7 n z 4 g f / L h + G B T j 5 5 8 m B d 3 P 7 2 3 T z m Z e + O D T a 6 o J y D v h 6 q v L f X N 2 2 l L 0 8 3 2 3 t 7 D n Z 1 9 m o Q H m 6 y U r y / t L N z u z R i 3 3 O 7 N C L v c V m e + Z 0 8 R V r m t 1 r y Z 6 h G u u O X k R t h i + 3 a v + p r z N i P y N e f 7 I e n r z l v 1 F O G H 2 / X k o X g / p j 1 J k 5 2 + / v J W i 9 E P b q U 9 b S + e 9 n x w O + 3 p d z C s P U 0 H 9 + 7 v P D z Y 2 3 0 w P r i l d 2 l e / P T e w a e U w B z v b H r P E w v z 3 t 7 B A 3 L g d h 5 u z H t 6 Q u H e + / T h v Y d 7 m 9 / z h M O 8 t 7 + 7 + 3 C f c r r j / f 3 b q U / z 4 u 7 e / Z 2 d P f J 6 P t 3 0 o i c n 7 4 W p r z 3 1 x d t p T 4 v e g / 2 D j Y o i w k 3 b N 7 4 U 4 Z C N 7 S O M c W M f E a b Y 2 D 7 C D D f 2 0 W e E 2 2 n J 9 5 v D y O R v 3 + p N X 0 f e h g a + j n w v F H 0 V e a u O I g x w q 4 4 8 B D / 1 N a R q x / Q 4 P X u R n h y / v J 0 C 2 7 t Z Q 9 p e Q g 2 p 7 t y t O x j W k K a D 3 Y e f f r q H V a 7 B s X t C Y F 5 6 8 J B 6 2 f S O J w S 2 I + L q + x t f 8 i R B X x r m a k 8 C b m z r C c C N b T 2 e v 7 G t r + R u b h x h o Z t J 4 q s 5 8 9 b 2 L V 6 L T P R t F d 1 7 I B e Z 5 d u q u v f o 5 X 2 m 2 l d 2 N z d + n 8 n 2 d d r N j f u T v a F x f 4 4 3 N O 7 P 7 I Y B u r Y P f K 3 F f t 3 L L 1 + / O X 5 + C 3 1 y c C u X z n b g K a y D 2 7 l 0 f g f D C s t 0 s L d 3 f / f g 3 s P x v X u 3 0 1 n m v d 3 7 D x / e + 3 R 8 c M u I 2 H a 3 8 5 B W i P f G 9 z e F O R 5 j m / c + J U f w 0 0 / H 9 z Y F p x 5 n m 9 c e 7 u / s 7 T 8 c P 9 y E p c f j F k t K k R z c G 9 / f R B O P 2 9 8 H S V / L 6 X u 3 0 3 K W 8 P u U 1 y b K G + N 1 o 6 I z L 2 7 f 7 s 0 I j 9 x W 1 7 0 f i h H u u K 2 6 e 7 + O + n x x O 4 3 3 X t M a Y Y f t 2 7 z o K 8 L b k M H X h e + D o K 8 W b 9 V P h A 9 u 0 4 + H 3 k F X S b 4 m t + 7 N 6 e e v j p + f v r 6 F I n t 4 K 0 1 p e / E 0 5 c P b a U q / g 2 F N a T q g F O r u g / v 7 D 0 l 5 b W I 3 T x 7 M m 7 v 7 l N 6 h 3 M 7 G n J w n D q 5 H 6 p A C y / v j T z d 5 0 5 5 g m D f v k 1 K / / + D h v f G 9 T S 9 6 g m F R p Q E + v H f / U 0 r f f 3 o 7 n W n e f P j w Y O f B g 0 8 f j P c 3 d e m J y f v h 6 u t N f f N 2 e t N 0 s 7 d P u d F P H + z u j T d p d V 9 x m j e 3 b / l q h G d u q z n f E 8 k I r 9 x W d b 5 n T 3 0 W u Z 3 u f M / J j b D F 9 u 1 e 9 f X n b W j h 6 8 / 3 Q 9 L X o L f q K c I P t + v J Q / G h 1 a F 5 f V l M i 6 p J Z 3 l 6 X N f 5 c p b d p O J u E R h b + O 6 V W 8 I c V p g G 5 t 7 D T x / u 3 n u w T 4 7 U J o v h i Y F 9 8 + D T + / c + J c f t 3 i 3 z h f b F T w / 2 a O 3 x 4 f 6 t V 1 z M m 7 T 6 s T t + c E t t a V 7 a v U c O 5 q e E 7 P j h p h F 6 c h G 8 e W / / P i G 6 y R P 2 5 O L 2 i P q q U t + 6 n a r 0 q U j K 4 W B v 8 y q Z r y v N q 9 u 3 f T f C L 7 d V l r d G s 6 8 t b 9 V V h D t u O 6 o + j 9 x O X b 7 H 5 E Z Y Y v v m 1 3 w 1 e R s i + G r y 9 s j 5 K v J W v U S 4 4 O Z e H G r g d F F f x 6 9 e n b 5 4 e v z F 2 e m L N 1 h k e X P 6 6 k Z N d m 9 v 9 z Y e p u v E e J j 2 z f f q Y F B h 2 g 6 Q b I S 2 v J W y t G 9 t I r B j / f f p x A m A f W t 3 5 + D + 7 v 3 N i t w x v 3 v t 0 0 9 3 9 v f G O 5 t e c 2 J g X 7 t P b u + n G 1 F 0 U v B e K H q q 0 b x 3 K 9 V o O 9 m j T v Y e j B 9 u U t q e X r T v b d / q x Q h P 3 F I p v h + C E b a 4 p U Z 8 v 3 7 6 H H E r d f h + U x p h h e 3 b v O i p x F t R w V O J 7 4 W g p x R v 1 0 + E C 2 7 T j 4 f e 7 p B a T E + f n t 1 C b e 3 d S i / a X j y 9 u H c 7 v e h 3 M K w X T Q e 7 O x S U 7 h 3 s f L p Z k X j S Y N / c v / / p / q e 7 9 z a v 5 3 r i Y F 5 8 S G r r Y J d i / U 9 v q S j N i w c H n + 4 9 4 M z o L V W l G y Q l J P Y o J b H Z + H l S E g z y 4 a f 7 m 7 v 0 x O T 9 c P V 1 p r 5 5 O 5 1 p 8 T u g p f H 7 9 8 c P P r 2 l 0 j Q v b t / u z Q j H 3 F Z r v h + K E T 6 5 r d p 8 v 4 7 6 7 H E 7 v f m e E x t h i e 3 b v e r r z t u Q w t e d 7 4 e k r z 1 v 1 V O E G 2 7 X k 4 f i 3 q D + / O K r 0 1 u o t 3 u 3 0 p + 2 F 0 9 / 3 r u d / v Q 7 G N a f p o O D 3 Z 3 7 t A 4 y / n Q T 0 3 l S Y d 7 b p U T g p w 8 f j n c 3 6 U B P K M x 7 n z 7 Y P 7 i 3 d / + 2 i z z 2 v f v 3 D + 4 / p K j / 0 w e 3 U 5 2 2 v / v 3 H u z c 2 x l / e r t l H v v e w / t k V 3 f G D 2 / p a L 4 X m r 7 W 1 B d v p z U t 8 X c / 3 b v 3 4 P 7 m p L G v N c 2 L 2 7 d 7 M 8 I n t 9 W a 7 4 d i h E F u q z X f r 6 M + Z 9 x O a 7 7 f v E Y Y Y v t W b / o 6 8 z a E 8 H X m e 6 H o q 8 x b d R R h h V t 1 5 C F 4 L 9 C Y 6 e n L L 9 P f J 3 1 C a p O W f J 7 d S q H t W Y U 2 r D F t L 4 H G N B m 0 W 3 c w r D F N B w / v P a Q 0 4 u 2 0 p X n n 0 7 1 P 9 z e + 4 w m C e Y d + 2 9 v 4 j i c M 5 p 3 d n Q e 7 B / u b X v I E w b 6 E f n Y P x p 9 u k i B P J s x 7 e / s H u w 9 u e M 2 T i N v j 6 O t H f e t 2 + t F 0 s f 3 g / s G n m 7 u I c M 7 N L 0 W 4 4 e a X I u y w s X 2 E F W 7 u J M I L G 9 v 3 2 e B 2 + v A 9 J j E y 9 d s 3 v + Z r w t u M x N e E t 0 f O V 4 O 3 6 i U y 8 z f 3 4 q G 2 H + j A I O r + i a 9 u o a L u 3 8 p r t L 1 4 O v D + 7 b x G v 4 N h H W g 6 2 N 3 f 2 d 3 f v b f / 6 X i T 8 H u c b 1 / c P b i 3 e / / + 3 h g c O / i i J w L 2 x b 0 D y g M / u P 3 q j X v z w e 6 D e w 9 3 7 o 3 3 b u k 6 u h c p F 7 F P i a x 7 m 3 x V T z j M i 7 R 8 S h 7 1 z i Y 8 P e F 4 P z x 9 3 a h v 3 k 4 3 u h n Y J d / 9 4 C H 5 t h v 7 i b D V 9 m 3 f j X D M b V X k + 6 I Z Y Z X b K s r 3 7 a r P I r f T m e 8 5 w R H W 2 L 7 d q 7 7 u v A 0 x f N 3 5 f k j 6 + v N W P c V 0 y K 1 6 8 l C 8 7 + n Q l B Z x X q X H p 6 / S l 6 + + / D x 9 e T s d e h s / 0 v Y S 6 N B b + Z F + B 8 M 6 1 H R w 7 9 N 7 n z 7 c p 9 B 0 Y + b B E w 3 z I i X X P 7 2 l L + n 6 2 j v Y p 8 W d z X 1 5 s q E v D j O 4 J w w 3 t v V k 4 c a 2 H v f f 2 N b X h T c 3 j n D S 7 c j i q 0 L z 5 v Y t X 4 3 M + 2 0 1 4 X s i G Z n 1 2 y r C 9 + z p f a b e 1 4 M 3 N 3 6 f y f e V 3 c 2 N e 5 O / q X F / v j c 0 7 s / w h g G 6 t p 9 + u D L b u 1 m Z 2 V 5 C Z a a 5 s F t 3 M K z M t I P h I X s M f W N b j 4 V v b O u x r x n k / f s P N s b L H t / e 9 h W P e 8 0 r m 5 p 7 / H v b H n w d d u O g f R 1 m O t i + s Y c I P 9 z 4 T n + K b 3 6 n P 9 W 3 D n R v 3 U d k 2 j e 2 7 8 / 5 7 X T V r R G K T P m N M + K r r t u M w t d e t 0 X M V 2 K 3 6 u P r z L h 7 5 Y G n z i i + T b 8 4 / o n 0 y z e v K L q 9 h a r 5 9 F b B r e 3 C 0 2 W f 3 i 6 4 9 T s Y 1 m X a w a 1 0 2 Y 1 t P e a + s a 3 H 1 G a Q 9 / Y e f v p g v K O K + i Z 1 Z t 7 a J 5 f y / u a 3 P B 4 3 b + 3 e u / f w 4 H Z a 7 T 3 Q 8 x X b j R T w F Z v p Y / s 2 n U T 4 4 z a v 9 W f 9 V q / 1 G e D W G u 5 9 u o n w w 2 2 V 3 M 2 U j j D A b X C K M M F t J s h X d b c Z i 6 / q 3 g M 9 X 9 v d q p u v y Q D u r Q O j j V 4 e v 6 F U 3 u n r 9 N X p 5 8 f P z 4 5 f p 7 / P L T T S g 1 u p P N u J p / I e 3 E 7 l + R 0 M q z z T w f 0 d o s P + v f H + p x t G 7 3 G / e Y / W S H c f b g o W P A k w 7 + w / 3 L t 3 f 3 9 / c 1 + e C J j 3 K P t 0 8 H B / b 5 8 y B r f V i + b V e 5 9 S G m / v 4 d h E 8 T d p R j u 8 v T 1 a 6 y J 6 j s E w g 2 9 6 s v G + y P p a U t + 9 n Z Z 0 K N 4 7 + P T + w / 0 H 4 / 1 N O t x X l A 7 H W 7 4 b Y Z i N + i j G K L f s K s I v G 7 u K 8 M l t u + r z y e 2 0 5 n t P c Y Q 9 b v m q r z 3 f 9 9 U I r 2 z U i B E G u W 1 X 7 8 s f r v l D o + D I V / z y d R o s j r y + h Z Z 7 e C s 1 a n v x 1 O j D 2 6 l R v 4 N h N W o 6 2 N 3 Z / f T B / s H 4 / i a V 6 E m H e e 9 g 5 + H e / f E m f e j J h X n p I e W s 9 / b G G 9 W v J x 7 m N c r x P N z Z 2 R v f 2 9 S d J x v m P V o M u f / p / d 3 x v V t 6 l w 7 N T z 8 l k j z c 1 J 0 n I e + F p q 8 9 9 c X b a U / T y / b 9 e / f J 8 j 0 c 3 3 t w S + V p 3 r z d i x E e u d 2 L E S b Z K F I R / r h d R x E O 2 d h R n z N u p z X f b 1 4 j D L F 9 q z d 9 j X m b 8 f h q 8 r 1 Q 9 P X l r T q K s M K t O n I I Y m y i x 1 7 n 9 W U x L a o m f V l X 5 6 P 0 p M i X N y m z e z f q S Q f f v X J L m I O q 0 c L c 3 b + / / 5 B W V H d 3 x j u 3 0 4 7 2 1 U 8 f H O y Q o / n g 3 v j B / q 1 U p H 3 z w Y N P H + 5 8 e u / e p + N 7 9 2 + l J e 2 b e 6 T H H 9 7 f O 9 g b 7 2 / C 1 k m D h + 2 n + 7 s P 7 1 O f D z f 5 j E 4 0 7 J v 7 O w c P 9 / b 3 7 p N r v G m c T j b e F 1 t P X Z p X b 6 U u b T / 3 d x 7 u 7 + 7 u 3 L 8 3 P t j I s h G e 2 r 7 t u x H e 2 a i Q I g x z 2 6 4 i H L O x q w i f 3 L a r P q P c S m 2 + 9 w x H m G P 7 l u 9 6 q v N W 5 P B U 5 / u i 6 S n P 2 3 U V Y Y p b d u U h u W v V 5 + m r n z w 7 O S O H 8 z l i d o r d n 9 6 o 6 U h t 3 8 b X d J 0 Y X 9 O + + V 4 d D C t U 0 8 G D h 3 s P D g 5 2 P 9 0 f 7 2 z S b Z 5 4 m D f 3 9 + 8 9 2 D 2 4 t / N w / H C T L + d J h 3 n z 3 j 6 p 0 4 c H p K F 2 N + k 2 T 0 7 M m 7 v 7 O 3 s P y C P 5 d H z / d r G 7 f X N v / + D T / Y c P P t 0 Z P 9 j k y H g y Y / v c O b j 3 Y H 9 / Z 3 + 8 t 4 l C n s i 8 J 7 a + P t V X b 6 d P 7 d j I q j 3 c p 9 G N P 1 U G u V G f m l e 3 b / t u h H V u q 0 / f F 8 0 I x 9 x W n 7 5 v V 3 1 G u Z 0 + f d 8 Z j j D H 9 i 3 f 9 f X p b c j h 6 9 P 3 R N P X p 7 f q K s I U t + z K Q 3 K v r 0 + f n q Z P z 1 6 f v v j y F u p u 7 1 b 6 1 H b i 6 d O 9 2 + l T v 4 O e P u 1 1 c J 9 G v 3 t v f 3 x w O 2 V q X t v f v 0 8 8 e z s 1 a t 8 5 2 H v 4 c O / T j V 1 5 s m F e Q x Z z h 0 L p g / 3 b a V D 7 3 o N P O S u x 8 T 1 P R s x 7 u 3 v 7 m 9 f / P O F 4 L x x 9 v a k v 3 k 5 v W s x 2 D x 4 c P H i w O a n g a 0 3 z 4 v b t 3 v T E w 7 x 5 W 5 3 5 f i h G m O O 2 G v P 9 O u q z x e 3 0 5 f v N a 4 Q h t m / 1 p q 8 r b 0 M I X 1 e + F 4 q + p r x V R x F W u F V H H o L 3 o n r y 7 M W z L 1 9 9 c X w L P X b v V o r S 9 u I p y n u 3 U 5 R + B 8 O K 0 n R w f + f B 7 q f w H h 9 s 4 j h P J M y L 5 K v u 7 B 7 A Y b 2 l v j Q v 3 t u / t 7 t P i n b 8 6 S 0 1 p n m R F n 0 O H u x / O v 5 0 k + f o i Y b F d J d w J U d k v H P L E N 6 8 e L B / 7 1 M s F 2 3 M 6 H h S 8 l 6 I + m p T X 7 y d 2 r R 0 3 K X V r E 8 f 0 r A 2 + l Y R p t q + 5 a s R d r m t 4 n x P J C N s c l v N + Z 4 9 9 f n j d q r z / e Y 2 w h T b t 3 r T V 5 2 3 o Y S v O t 8 L R V 9 1 3 q q j C D P c q i M P w f 2 o 6 j z 5 8 s X r r 5 6 / u Z V m w 3 B v U p 2 2 l 0 B 1 m s X i W 3 c w r D p N B 7 v 3 P r 3 / 4 F N a U R v f 3 6 R Y P K k w b + 5 T V H T / 3 o P 7 4 / u b e N U T C v P i w Q H p a l o P 3 b y E 5 0 m H e X F v / z 5 5 f 7 T A 9 O n D 2 y l P 8 + K 9 3 U 9 3 7 t 9 / + O n m F z 1 B M S 8 + 2 L l 3 / / 7 G F K 8 n J O + H p q 8 6 9 c 3 b q U 7 T D Z m u T 3 c O 9 k m z b 5 o 4 X 3 W a N 7 d v + W q E X W 6 r O t 8 T y Q i X 3 F Z 1 v m d P f e 6 4 n e p 8 z 8 m N s M X 2 7 V 7 1 l e d t a O E r z / d D 0 t e e t + o p w g + 3 6 8 l D 8 b 6 v P n 3 V m Z 4 c v 7 y d d t u 7 W X 3 a X k L 1 q f r m 1 h 0 M q 0 / T w Y P 7 9 / d p B f r h / u 1 0 p 3 m N V l S w y r Z / S 6 / T v H Z / h 5 z O h + P 9 T 2 + n N 8 1 r l J P d 3 b 2 3 O R z z 5 K L 7 2 i Y k P Q k x r + 1 s 1 u u e Z L w P f r 6 6 1 P d u p y 5 N J 9 v 3 H j y k Z f / x p r y r r y z N e 7 d 5 L c I Y t 3 k t w h g b t V 6 E I 2 7 T T Y Q j N n b T Z 4 X b q c j 3 m s 4 I G 2 z f 5 k V f P d 5 m N L 5 6 f B 8 E f e V 4 q 3 4 i P H C b f j z 0 P v V V o 3 i W p 6 / f H F P 2 8 s 3 Z y a 0 0 1 7 1 b e J a 2 l 0 A 1 4 s 3 3 6 m B Y N Z o O P v 1 0 d 2 9 j r s 5 j f / P O A R m T T a 9 4 E m B e I f d s c z c e + 9 t 3 D n Y 2 9 + O J w K 3 f 8 S T B v L O p u S c A t + 7 C V 4 L 6 0 u 2 U o O l h G 1 3 c U g H 6 W N 1 S + d 3 2 l c j M 3 1 b x 3 b a L y K z f V u n d T N n I V N 8 8 d 5 E J 3 7 7 x L V / d 3 W Y c v r q 7 N W q + r r t V J w N T v n n 8 7 p 0 H f U U H P / D 4 5 f H J 2 Z t b 6 K H 9 W 2 U f b S + e o p M 3 3 6 u D Y U V n O r i / t 3 f w k P 4 b b 8 o g e C x v 3 t u 9 9 5 C C l p 1 P x / u 3 0 3 j m v X s H Z G I O H l K k c z u t Z / F 8 8 O n 9 h x Q K j / d v G T 6 b F 2 m x 5 j 4 t X O + N 9 2 7 p C t o R H j x 8 u H t / 9 / 7 4 w a Y e P c F 4 P 1 R 9 d a h v 3 k 4 d m m 6 2 d x 9 i t v f 2 x 7 s b + 4 l w 1 S 3 f j L D L L d + M M M x t d e R 7 9 h R h l d u q y p u p H u G K W 0 5 u h C 2 2 b / e q r z R v M y J f a b 4 f k r 7 m v F V P M f V x q 5 4 8 F A + i 6 v P s x U + S t 3 h 2 C + 1 2 / 1 b q 0 / b i q c / 7 t 1 O f f g f D 6 t N 0 Q L n H T + 8 9 2 B t v G r 0 n D O a 1 e z v 3 H z z Y H T / Y F P p 4 M m F 7 2 y W N u 7 M 7 3 t 3 0 n i c R 5 r 1 N s + o J h G l + f + c G c + j J h X n n x n c 8 i b g N W r 5 6 1 P a 3 U 4 / v R S t f O Z o X t 2 / 3 Z o Q Z N o 4 n w g W 3 6 y j C B x s 7 i s z / 7 T r q c 8 L t V O O t s H r P 6 f e 1 4 K 3 a R z h g Y / v I x G 9 s / 7 7 T 7 Z o / N L r o 7 I u X r 9 L f J 3 3 5 1 Z P 0 y 2 e k + o 6 f n 7 6 + h U L 6 9 F a R s e 3 F 0 3 i f 3 i 4 y 9 j s Y 1 n i m g 9 2 9 / U 9 p y e n h + N 4 t P U b z I u V d P 7 2 3 u 3 m l x u N 1 1 9 / u / t 7 B v Q f j g / 3 b K T 3 z 4 t 7 D / U / v f 7 o z P t i E p 8 f z F k 8 K 4 3 c f P h j v K + 1 u 0 o D m v Q f 3 7 3 1 6 7 9 P x / U 1 o e l L w X m j 6 2 l B f v J 0 2 N L 0 8 3 H 3 4 6 d 6 D T 8 c P N / Y S 4 a f t 2 7 0 Z Y Z T b a s P 3 Q z H C I b f V h u / X U Z 8 z b q c N 3 2 9 e I w y x f a s 3 f Q V 5 G 0 L 4 C v K 9 U P Q 1 5 a 0 6 i r D C r T p y C N 7 b 8 V X m 6 W t R m s / P T m 6 5 z E I K 7 e Z l F t d J q D F v s 8 z i d z C o M U 0 H w 2 z j h O D m t o 7 v b 2 7 r e N 4 O c n / / 4 N N b q c H b v u E 4 3 r 6 x i S s c n 9 + 2 A 0 / l 3 T x i T + V Z + N s 3 d R D h h Z t e 6 c / u j a / 0 J / m 2 o f C t u 4 j M 9 8 Y u + r N 9 K 9 V 2 a 3 w i k 3 3 T Z H j q 7 F Z j 8 N T Z b d H y F N n t u v g a k + 3 e 2 D X a 5 f T p 2 c m b L 2 / n 6 M H l u E l t W c C B 2 j L O y q 0 7 G F Z b p o O 9 v c 0 B n c f Y 5 p V N z T 2 + v m 0 P H l / f p g e P r W 0 P 9 x 8 o Y W 5 S Y r d 8 w 2 P t 2 6 D k K z F t f z s l d l s S + U r M v L N 9 4 0 u R 2 d 7 Y P j L V N / Y R m e + N 7 S O T f W M f / R m / n S K 7 F U L v O d W + B r t V + 8 h s b 2 w f m e n b q q / b t P f Q 2 T M q h l y u s z e 0 r v H l C 3 L C T r 6 k J N 2 L W 6 m Z + 7 f Q Y 7 a T Q I / h z f f q Y F i P m Q 5 2 d w 9 o v e H + e K P m 9 j j c v H d L Z f Z e 3 X h M b t 6 j s H h v Z + / B e E c d z 5 t U m 3 3 v 0 / v 3 D / Y O x g / 3 b 6 f g z H v 7 u / c O K B X 0 c F N 3 H u u / F 5 q + u t M X b 6 f u T C / b e z v 3 7 + 0 i U 7 W J i r 7 S M 2 / e 7 s U I e 9 z u x f f k D 1 / 7 v V 9 H E Q 6 5 r Q q 8 m e I R d r j d v E Y Y Y v t W b / p a 8 T b j 8 b X i e 6 H o q 8 d b d R R h h V t 1 5 C F 4 z 6 g w D V O f f n n C m b 0 U a x u 3 0 m O f 3 k J R 2 l 4 C R f n p 7 R S l 6 2 B Y U Z o O d u / d v / / p / r 3 b a 0 r z 4 v 7 u / o P d B z v j + 5 v o 5 k m E e e / h / s 7 D v U / v j + 9 t U m G e Q J j 3 9 u 7 f 3 7 t / 7 + H G p W d P L t 7 n N U 9 C z G u b u M i T i / f p x d e T + t 7 t 9 K T p 5 N O D + 5 8 + I G O z U f n 7 a t K 8 u H 2 7 N y P c c V s H 8 f 1 Q j H D F b b 3 E 9 + u o z w + 3 0 5 P v N a 0 R d t i + z Y u + l r w N G X w t + T 4 I + k r y V v 1 E + O A 2 / X j o 7 R v t F a z 3 v n z 1 5 Z v T k 5 N b q L A H t 1 n v d b 1 4 O v L B 7 d Z 7 / Q 6 G d a T p Y H f 3 w e 6 n m 0 j m S Y J 5 5 5 a O 5 K 2 7 8 G T A v P P p w 0 8 3 R k o e 9 9 / 2 F U 8 G b j M Q j / V v 2 4 O v B f W d 2 2 l B 0 8 H + g / s b C e U r Q P P O 9 o 0 v R W b 9 t r r v 1 o h F p v 2 2 a u / W f f T n / H Y a 7 9 b T F 0 y 5 M S 8 3 v O R r u t u M 3 N d 0 t 0 X M 1 3 K 3 6 i M y 4 z c O 3 r 1 y P 6 r h f v L s 8 7 P n x y 9 u o Y A O b q X h b C + e h j u 4 n Y b z O x j W c K a D / Q c 7 e w e f 7 p M 9 P b i d m j M v 7 t 3 f 3 7 2 / 8 4 A W h u / f T u H Z F 3 c / J d f z 0 0 / H n 9 6 7 n d a z L 1 I 6 d n 9 / / 9 5 4 Z 1 O P n h z Y F x 8 c 3 C P X m M a 4 q U d P J s y L x C C f 7 j 7 Y G x 9 s o o 0 n F + + H q a 8 Q 9 c 3 b K U T T z f b e w Y O d A 1 r a 3 N 8 Y w U T Y 6 n Y v R t j l d i 9 G 2 O W 2 + v H 9 O o p w y W 2 V 5 M 0 U j z D E L S c 2 w h L b t 3 v V V 5 i 3 G Z G v M N 8 P S V 9 t 3 q q n G D f c q i c P x U / 7 y p N 8 w 2 e n r y n n e H w L 3 f b w V s r T 9 u I p z 4 e 3 U 5 5 + B 8 P K 0 3 R w j 9 6 5 / / D B A e U Q 9 m + n P c 2 b S B 8 + + P T + 3 u 7 4 0 9 t p T / v i Q 6 L 5 P Y T R + 5 u 6 9 A T D v L l 3 / + H D n b 2 d z Y r e E x D 7 3 q f 3 7 u / v P 4 D C 3 o S r J y 3 u z Z 2 H + / c f k H H 5 9 J Y K 9 L 1 w 9 f W n v n g 7 / e l o S b O w T 0 w 8 3 t 8 0 M l + B m l e 3 b / t u h G t u 6 1 6 + L 5 o R b r m t l / m + X f X Z 5 H Z 6 9 P 3 m N 8 I Y 2 7 d 6 0 9 e i t y G F r 0 X f C 0 V f i d 6 q o w g 7 3 K o j D 8 E H f R 1 6 9 u L N 6 e e v j p + f v r 6 V i t u 7 h Q 6 1 v Q Q 6 d O 9 2 O t R 1 M K x D T Q e 0 A r t D L u u 9 8 S b f z J M K 8 9 6 n u 0 S 4 e 3 u 3 1 Z / m t d 2 H t I x C H Y 4 f 3 E 5 7 2 v d I m W 1 e n v R k 4 v Y v e b J h X t r U 3 J O I 2 / f h 6 0 l 9 6 3 Z 6 0 n Z B B u d G m v l a 0 r y 4 f b s 3 I 1 x x W x 3 5 f i h G + O G 2 G v L 9 O u r z w u 3 0 4 3 t M a o Q V t m 9 + z d e M t y G B r x l v j 5 y v F m / V S 4 Q D b u 7 F Q + 3 A 6 s S 8 v i y m R d W k z 4 r l K H 2 S L a f Z T S p r / 2 Z t a O G 7 V 2 4 J c 1 g B G p j 3 d 3 b 3 d z 9 9 8 G C 8 S f 9 7 L G / e 2 9 v b u 7 + 7 R w r w 4 e 0 0 o H l v / 8 H D X V p M v j 8 2 D v F N K t C + e O + A c g W k c j c u / H i s b 0 d 4 b 2 + H l k J 3 x v c 2 o e q J g X n x 4 b 2 H B 7 u g z C Z h 8 w T h / T D 1 9 a K + e T u 9 a L v Z 3 b 3 3 g G b g / q Z h + X r R v L h 9 u z c j z H J b v f h + K E a 4 5 L Z 6 8 f 0 6 6 j P H 7 f T i e 0 5 s h C W 2 b / e q r x 9 v Q w p f P 7 4 f k r 6 O v F V P E W 6 4 X U 8 e i g + t n i T f M X 1 2 9 u L 4 x U n 6 + 6 R P 6 M f x q x t 1 2 r 3 9 3 V v F 3 7 Y X 4 z v a N 9 + r g 2 H V a T r Y P d h 7 u H v / g J a w N 4 3 f E w v z I m U 9 d / Z 3 N y 5 q e T J h u 3 t w s L d 7 H 8 H R p u 4 8 4 T A v I p n 1 4 O H O w e a l b 0 8 4 z I t k D h 8 + v E 8 a c F O H n p y Y 9 + 7 v k I 7 / 9 G D z 0 r 4 n J e + H q K 8 4 9 c 3 b K U 7 T z f b u z s H B p / c + v T d + e N v M p Z 2 D 2 7 0 Z Y 5 b b v R n h l o 2 6 M M Y n t + s p w i g b e + r z x + 2 U 5 3 t O b o Q t t m / 3 q q 8 8 b z M i X 3 m + H 5 K + 8 r x V T x F + u F 1 P D s X 9 H a v W j l + / + Z K C 7 t N X p x R 4 p 8 f p q 9 M b 1 7 Z J t 9 2 7 T e D t 9 e K U 5 7 1 b B N 6 d D g a V p + 2 A X t n f 3 c f 4 F f Y N y t O + u P / p A f 0 x f v D w V t r T 9 b f 3 8 A E t w z z Y b K y c U N g X K c f 6 4 M H B w / H + p g y B E w 7 7 3 q c H B 7 s 7 + 5 + O H 2 5 C 1 M m J 6 + / + 3 j 3 K S o z v 3 0 5 5 v h + e n u 4 0 L 9 5 K d 9 p e H t J C F i 1 o j X c 2 j c r T n P b F 7 d u 9 G e G U j V o p w i C 3 6 y j C I h s 7 i n D G 7 T r q s 8 a t 9 O Z 7 z m u E I b Z v 9 a a n N W 9 F C E 9 r v h + K n t K 8 X U c R V j A d b a a F e 2 / X a L P X p 5 9 / 9 U r W y l + d v n 7 5 5 Y v X x 0 9 u o d L 2 b + N w u l 4 8 n b l / O 4 f T 7 2 B Y Z 5 o O d n l J 4 9 Y a 0 7 y 2 i c q e G L x P L 5 4 0 2 N d 2 y O d 4 u H m R 2 5 M F 8 x p l E X Y O 7 o 0 f H N x O S 9 r e 9 h 9 g 5 e 9 g 0 8 q f J x P v g 6 S v I / W 9 2 + l I O 6 S 9 / f t E v 0 0 j 8 j W k e W 3 7 N u 9 F u O K 2 + v F 9 0 I u w x W 2 1 4 / t 0 0 + e H 2 + n G 9 5 r O C B t s 3 + Z F X z P e h g i + Z n w f B H 3 F e K t + Y p r h F v 1 4 6 O 1 F 9 O K T s 9 M X p 7 Q g f n w L t X X / V n r R 9 u L p x f u 3 0 4 t + B 8 N 6 0 X S w e + / g H h n j v f H D 2 y l G 8 9 7 D e 7 u b 9 I c n B H 5 P O + R J b u z J E w b z 3 s H 9 v b 1 7 B / f H D z 6 9 n X a 0 7 9 H y 9 d 7 B 3 v h g k z L 2 B M O 8 R 9 n Z A 8 J y 5 5 b q 8 b 3 Q 9 P W j v n g 7 / W h 6 u X + P I h + a L S i n 4 V 4 i j L R 9 u z c j H H J b H f l + K E Y Y 5 L Z a 8 v 0 6 6 n P G 7 f T k + 8 1 r h C G 2 b / W m r y l v Q w h f U 7 4 X i r 6 q v F V H E V a 4 V U c e g v e M F j t + / s X x y e m L 4 + + c p q c v f v L 4 9 e k t 9 N i n t 1 K U t g t P U X 5 6 O 0 X p d z C s K E 0 H l C a / / + k t V 3 r s S 7 d 0 H 2 / f h y c G 5 i V K v O 6 P H 9 z S d b Q 9 P f h 0 / 2 C 8 U Y V 7 s m D f + v T T e / c 2 5 1 A 9 Q b g 9 g r 5 a 1 L d u p x Y t Y t T F 3 n j n l q v c 9 r X t 2 7 w X 4 Y X b q s T 3 Q S / C D r d V i O / T T Z 8 X b q c O 3 2 M y I y y w f f N r v i K 8 D Q F 8 R X h 7 5 H w t e K t e I r N / c y 8 e a v t G P z 1 7 f v q G f M T f J / 3 i + M X Z l 0 9 e H b + + h Y p 6 c C s d a P v w d O C D 2 + l A v 4 N h H W g 6 w D I P L O 7 9 T Y P 3 + N + 8 h 7 D 4 A W X V b + s y m v f u 7 R z s 7 u 4 / 3 B w J e Y J g 3 t u j 7 N L B 7 g 2 L S 5 4 k 2 P c e P o C B G + 9 9 e j u 9 a P G 8 / + k + r a D i 7 8 H X P K l 4 L z R 9 3 a g v 3 k 4 3 2 k n 7 9 D 7 l z j f n R H 3 l a N 7 b v t W L E S 6 5 r X Z 8 L w Q j 3 H F b 9 f h e / f S 5 4 n b 6 8 f 3 m N M I M 2 7 d 6 0 9 e S t 6 G D r y X f C 0 V f U d 6 q o w g j 3 K o j D 8 H 7 R o + d f P n F 2 e u z L z m m / v J V + p O 0 W H O b 0 P r g V t r S 9 u J p y 4 P b a U u / g 2 F t a T q 4 / / D h z o P x 7 i 1 1 p X m L V n 8 / 3 R v f u 6 W m N G / t 3 9 u j 1 e 2 N m U B P I u x b D / e R h L + / K U L 2 B M I O j F b g S Z A 2 z a o n G e a t h w e U 0 / p 0 U / D v S c X 7 Y O h r S H 3 v d h r S d L K 9 T 4 l U G t B m m x 5 h o V u 9 F + G M W 7 0 X 4 Y 2 N G i / G F b f p J 8 I X G / v p M 8 T t N O R 7 T W m E F b Z v 8 6 K v H 2 8 z G l 8 / v g + C v n q 8 V T 8 x L r h F P x 5 6 n x q 9 9 T q v L 9 P Z x 2 f L p h 2 l r / L V K P 2 i v U l 5 3 b 9 Z L 1 r 4 7 p V b w h x W h Q b m v f v 3 d x 9 + u n N w s H k J 2 W N 5 8 + b u w c 6 9 n Z 1 7 e + O 9 T U z s 8 b 7 t 8 t 4 D U q U 7 F E / v b d I 5 H v f b L u 8 9 J C f w w c 7 e e F M k 5 Y m B f f H B P Z p S W g E a 7 2 5 6 0 5 M J i y w 5 4 v c e 7 n w 6 3 t / 0 o i c U 7 4 e r r y H 1 z d t p S N v N w w c P 9 x 7 c u 0 / e 0 y Z i + j r S v L p 9 2 3 c j b H N b T / J 9 0 Y y w y 2 2 d y f f t q s 8 m t 9 O W 7 z n B E d b Y v t 2 r v s a 8 D T F 8 j f l + S P o 6 8 1 Y 9 R T j i d j 1 5 K D 4 w W o 3 C 7 j e n L 8 6 + o K W a N 1 9 S G H 5 C C 9 k 3 a r h 7 Z E B v 4 1 P a X o x P a d 9 8 r w 6 G F a n p Y J d W U B 7 e 2 3 9 4 f 7 z J a n i i Y V 4 k D U z s e m + 8 t + k 9 T y 7 M e w 8 f 0 k L 7 g 0 9 3 x w e 3 1 K K 2 w 4 c H D 0 l 3 k w O 8 y S n 1 x M O 8 e H / n 4 c G n l G g Y 7 2 1 C 1 R M V S x t a D a c l p v 3 x z i Z T 4 U n K + 6 H q K 1 F 9 8 3 Z K 1 A 7 s 4 X 0 y + H v k p m + 0 + B G 2 2 r 7 l q x G G u a 0 K f U 8 k I 5 x y W w 3 6 n j 3 1 O e R 2 C v Q 9 J z f C F t u 3 e 9 V X o L e h h a 9 A 3 w 9 J X 4 H e q q c I P 9 y u J w / F g w 9 W o P d u o U B t L 4 E C v a e c c e s O h h W o 6 W B 3 5 / 7 + g w e c o x g c v S c W 5 r V N Z P Z k 4 X 1 6 8 U R C X x t m b E 8 I b m z r y c C N b T 2 u v 7 G t r / 9 u b h z h o N s Q x d d + 5 r 3 t W 7 0 Y m e v b 6 r 7 3 Q j A y 2 7 f V f O / V z / t M u a / 3 b m 7 8 P p P u K 7 e b G / c n f U P j / k x v a N y f 3 Q 0 D d G 0 f f q D y 2 r u V 9 2 d 7 8 Z T X 3 u 2 8 P 7 + D Y e V l O j i 4 T z E H L R B v S g 5 6 f G 1 e I 0 N L i c i N q T e P q 8 1 b t G B z 8 O n D M R h 4 8 D W P u e 1 r e 3 u f U q J v Z x N z e 7 x t c d y / 9 / D B 7 u a h e V x u X t v b 2 7 2 3 + 2 B 8 s M m F 8 P j 9 f Z D 0 9 Z 2 + d z t 9 Z z r Z 3 9 3 b J T 9 9 Y / I 7 w k X b t 3 k v w h y 3 1 X b v g 1 6 E L W 6 r 7 N 6 n m z 4 / 3 E 7 X v d d 0 R t h g + z Y v + i r w N k T w t e D 7 I O g r x F v 1 E + G B 2 / T j 0 L u / Y x T X 2 Y v X b 4 6 f H 5 / w m s s t 1 N a 9 2 + h F B 9 7 T i / d u p x f 9 D g b 1 o u 1 g d 3 / / 4 d 4 B R X 6 b x u 1 E w L 5 3 / + D h L m V g H x 7 c S j O 6 7 i h V d + / T v f v j / U 1 c 7 W T B v v j w Y P c B r R R v T g 8 6 Y X A d 7 u z v 7 O 2 Q e t y o w 5 1 g e A P c 3 9 9 7 u D n p 6 u T i / f D 0 9 K N 5 8 V b 6 0 f a y v 0 P 2 7 I D W k T b p f E 9 D 2 h e 3 b / d m h F F u q S P f E 8 U I i 9 x S S 7 5 n R 3 3 W u J W e f M 9 5 j T D E 9 q 3 e 9 D T l r Q j h a c r 3 Q 9 F T l b f r K M I K t + r I Q 3 D X K L O v 6 U r e 2 9 m z G m 1 Y Z d p e A p V p M m G 3 7 m B Y Z Z o O 9 u / f O 7 j / 6 f 3 x w 1 u q T P v e 7 v 4 u a c x N R P P E w b 6 1 T 8 7 d / q e b 3 / P E w r y 3 R 6 v a 9 2 h Z Z K N / 5 0 m F e e 8 + r b L t f H p v 8 9 K P J y D m v X u 7 O z s P a M k I Q c b g e 5 5 8 v B e e v s L U F 2 + n M F 0 v 9 / c O 9 n c 2 u + S + w j Q v b t / u z Q i b 3 F Z h v h + K E Q 6 5 r c J 8 v 4 7 6 r H E 7 h f l + 8 x p h i O 1 b v e k r z N s Q w l e Y 7 4 W i r z B v 1 V G E F W 7 V k Y f g n l F l n n O Z v j p 9 e f z q + B b a b P 9 W H q b t w 1 O X + 7 f z M P 0 O h t W l 6 Y C W + + 7 f f 3 j D 0 o I n D + a 9 / f t 7 m x S s J w h e T 7 s 7 D 3 Y 2 9 + Q J h H l v 0 3 R 6 Y m C a P 9 i 5 X a R 9 y x c 8 E b g N Q r 4 q 1 P a 3 U 4 X v R S V f F Z o X t 2 / 3 Z o Q F b q s K 3 w / F C A f c V h W + X 0 d 9 H r i d K r w V V u 8 5 / b 7 e u 1 X 7 C A d s b B + Z + N u q u 9 u 0 9 9 C 5 Z z T Q 1 3 Q L 7 9 9 K z 9 l e P D 1 3 / 3 Z 6 z u 9 g W M + Z D i j l d / / g 3 v 0 H Y 7 P 0 c p O i M y / u P d y / v / / p 3 v j e w 9 u p O 9 v h / Q e 7 e w e k W R / u 3 U 7 f u Q 4 P P q U F b V o + 3 P S i x / W 2 x / 1 P y c k 7 o B c 3 a W Z P A s y L + + j u P s n Z p g 4 9 S X g / T H 2 V q G / e T i W a b u 4 f 7 N + / / + n O e G M n e 4 9 7 7 2 3 f 6 s U I r 9 x W I b 4 X g h E W u a 0 + f K 9 + + o x x O 3 X 4 n p M a Y Y f t 2 7 3 q 6 8 j b U M L X k e + H p K 8 t b 9 V T h B d u 1 5 O H 4 r 7 V m 2 + s u k x P j l / e T q P t 3 a w y b Q e h y l T 0 b t 3 B s M o 0 H e z e 3 3 1 w b + / + + M H t V m X s e / v 3 D 3 Z 2 x v d v q S 9 t b / s P d u 9 T b 7 d c l r H v H e w h Z 3 n r z K N 5 7 e G D h / c + P R j v b 3 I t P O l w N N m 5 d 2 9 v v L c J S U 8 0 3 g d J X 0 / q e 7 f T k 6 Y T S v r s H 1 A K Y x P h f T 1 p 3 t u + 1 Y s R B r m t n n w v B C O s c V s 9 + V 7 9 9 H n i d n r y v a Y 0 w g r b t 3 n R 1 5 G 3 o Y K v I 9 8 H Q V 9 D 3 q q f C B f c p h 8 P v f t G f U n E z M H z 7 5 O q k 3 k L H f b p r f x K 2 4 u n J D + 9 n V / p d z C s J E 0 H r B A + 3 U Q z T x D M S 5 u a e / x / + z 4 8 I T A v U c b v 0 0 / 3 N z m 7 n g T c / i V P E m 4 z G k 8 A b t + H r w n 1 r d t p Q t P F 9 u 6 n O / f 2 N u d z I s x y i 7 d i H H D z W + / J A r 4 O f I 9 e I k y w s Z f + / N 9 O A 7 7 H R E a m f / v m 1 3 z t d 5 u R + N r v 9 s j 5 u u 9 W v U T m / u Z e P N Q + N T r p a 0 b U D 2 6 l + W w v n u Z 7 c D v N 5 3 c w r P l M B / f u P d x 7 e G / 3 0 8 2 L 8 h 7 r m x c f P t x 9 S K 9 t j I s 9 C b D 9 U W 8 P 7 j 1 8 O D a u 7 k 2 a 0 L x I Y 7 v / 8 F O K i x 9 u c v Y 8 a b A v P v j 0 H q X j P x 3 f 3 z R C T z L M i / s 7 D / b u Y 1 V 7 E 2 d 4 s v F + m P r q U d + 8 n X q 0 3 R A h H 9 C y 1 R j y O d x N h K m 2 b / l q h F 1 u 6 y y + J 5 I R R r m t u / i e P f U Z 5 H b q 8 j 0 n N 8 I W 2 7 d 7 1 V e b t 6 G F r z b f D 0 l f d d 6 q p w g / 3 K 4 n D 8 U H H 6 w + b 7 N O b X s J 1 O e t 1 q n 9 D o b V p + l g d + 8 h 6 b K N M Y o n F e a t W 3 q O 7 9 G J J x D 6 1 j B b e y J w Y 1 t P A m 5 s 6 / H 8 j W 1 9 7 X d z 4 w j / 3 I I m v u o z r 2 3 f 5 r 3 I P N 9 W 7 7 0 P e p G Z v q 3 S e 5 9 u 3 m e 6 f Y 1 3 c + P 3 m X B f r d 3 c u D / h G x r 3 p 3 l D 4 / 7 c b h i g a 3 t g F M r r 0 1 c / e U b h 7 u v 0 6 W n 6 / O y L l 2 e n P 3 U L r X J w K 6 / P 9 u K p r Y P b e X 1 + B 8 N q y 3 S w f / / T B w / 2 7 t 3 g h X l 8 b V 4 8 O D j Y e U B u 3 / 4 t 3 T 7 z 3 r 1 P H z z 8 9 P 7 e 3 n h T f s F j c P f e p / d 2 H l L i 9 t O D 2 3 l 9 d o S f k k N A i + j j h 5 t 6 9 N j d v P j w / q d 7 + 5 8 + G O 9 t E i q P 8 9 8 P U 1 / v 6 Z u 3 0 3 u m m 9 1 P 7 9 + n r N j G R R 5 f 8 Z n 3 t m / 1 Y o R V b q v 5 3 g v B C I f c V v W 9 V z 9 9 x r i d 7 n v P S Y 2 w w / b t X v X V 4 m 0 o 4 W v G 9 0 P S V 5 O 3 6 i n C C 7 f r y U P x Y V R t f u f 4 1 d O z F 6 e 3 0 G o P b 6 U 2 b S + e 2 n x 4 O 7 X p d z C s N k 0 H S C v u 7 9 z e 3 z P v H R z s H T y 4 N 9 7 5 9 H Z K 0 7 y 2 R 0 r 6 P i V l N / r W n m j Y 9 6 D C N q 6 Q e 3 J h x / b g / t 7 O z r 3 x / v 3 b 6 U v z 3 u 7 u w c P 7 D / Y 2 v + c J y O 2 R 9 H W l v n U 7 X e l Q u 7 + 7 c / + G 0 C T C R 9 u 3 e j H C H 7 f V l e + F Y I Q x b q s r 3 6 u f P k / c T l e + x 4 R G 2 G C 7 8 9 o N O v I 2 F P B 1 5 O 2 R 8 / X j r X q J z P / N v T j U s B K g u j G v L 9 P Z x y f V Y r 0 s p t m 0 + E f / 1 u V N q u v T G 7 W i g + 9 e u S X M Q U V o Y e 5 9 S l n s 3 f s P 9 8 f 3 N 4 3 W s b x 9 c / d T S j j u f b o 7 3 t 2 k L x z P u y 7 3 K U X 7 8 N 6 9 e 2 M z k h v U o d f l w / 3 9 3 U / 3 H m 7 W U Y 7 / 3 Z s P D 3 Y P d u 7 t 3 h v v 3 c 6 L d N i S v j / 4 9 O D e + G C T f + L k 4 X 2 R 9 X S j e f V W u t H 2 8 + D T h 5 Q u I 3 3 / c C O 7 R v h p + 5 a v R t j m l v r x f Z G M c M s t N e T 7 9 t T n k V v p y P e e 3 Q h j b N / y X U 9 b 3 o o a n r Z 8 X z Q 9 l X m 7 r i I s c c u u P C R 3 j V 5 7 e v b s q 9 d Y e H 7 5 5 a v 0 1 f H T s y 9 v 1 H D 0 9 m 0 8 S t e H 8 S j t m + / V w b A i N R 3 s 7 T 8 g L + 9 g Z 2 + 8 y T Z 7 o m F e J O W 7 s 7 9 7 b 2 8 z w 3 q S Y X u 8 x 2 h + + n B 8 7 + H t 9 K j X 5 c M H D w 8 + v b 8 x i P d E x L 5 4 Q E M k 9 3 J 3 f G + T N v T k x S L 7 K a U b K N A b f 3 p L N f p + u P p a V N + 8 n R Y 1 3 T z Y v X d w j y z E + N N N t P S 1 q H l z + 5 a v R n j m t l r 0 P Z G M 8 M p t t e h 7 9 t R n k d t p 0 f e c 3 A h b b N / u V V + H 3 o Y W v g 5 9 P y R 9 F X q r n i L 8 c L u e P B T 3 P k i D 7 t 1 K g 9 o + P A 2 6 d z s N 6 n c w r E F N B 7 s H 9 x 7 s H Y z 3 9 m + n P 8 1 r N 7 / k y Y P r a 4 e e 2 2 l N f W e Y s z 0 p u L G t J w Q 3 t v X Y / s a 2 v g K 8 u X G E h W 6 k i K / 7 z E v b N 7 8 V m e j b q r 3 b o x a Z 4 d t q v N t 3 8 j 7 T 7 C u 7 m x u / z 0 T 7 G u 3 m x v 2 J 3 t C 4 P 8 E b G v f n d c M A X d t 7 R p s E e c S T V 6 f H b 8 5 + 8 h Y q 5 d 6 t d J b t x d N Z 9 2 6 n s / w O h n W W 6 e B g 7 + H + p 5 9 u Y h u P n 8 1 L + / s P P 9 3 I a h 4 7 m 3 c e H O z f 3 9 n Y k c f T t q M d y g W S N f n 0 d l 6 e e Y 2 S g O T K U s R 7 O x f P v L b 7 6 Q E l p 0 g X 3 8 7 B e x 8 k f e 2 m 7 9 1 O u 5 l O 7 p H 3 u U 9 J j v 1 b K j j z 3 v a t X o w w x m 1 1 3 H s h G O G L 2 6 q 5 9 + q n z x O 3 0 3 T v N a U R V t i + z Y u + A r w N F X w d + D 4 I + u r w V v 1 E u O A 2 / X j o 7 U e V 4 6 v T n z x 9 f v z 0 F r p r / 1 b K 0 f b i K c f 9 2 y l H v 4 N h 5 a g d D P O M x / 8 3 t v V 4 / s a 2 H r + b Q e 4 9 f L h 3 Q 6 L R 4 / b 3 e M t j e / P W J u 7 w u P 0 9 O v H 1 3 o 2 j 9 / W e 6 W P 7 N p 1 E e O M 2 r / V n / F a v 9 S d / s x L r M 8 C t u o n w w m 2 9 u 5 s p H Z n 8 2 + A U Y Y L b T J C v 8 W 4 z F l / j v Q d 6 v s K 7 V T d f k w H c W / e j + u 7 5 c X r 2 4 u l X t 1 B H 9 2 + l 7 2 w v n r 6 7 f z t 9 5 3 c w r O 9 M B z e G E B 7 r m 3 d u 6 Q b e u g u P 7 f W d Y T b 2 W P 7 G t h 7 H 3 9 j W Y / M b 2 / o a 7 u b G E d 6 5 k S K + e j M v v V / c e p u 5 8 t X a 7 V G L z P B t H b r b d / I + 0 + x r t p s b v 8 9 E + 0 r s 5 s b 9 i d 7 Q u D / B G x r 3 5 3 X D A F 3 b T 6 O q C n H r y a 1 y b Z / e S l X Z X j x V 9 e n t V J X f w b C q M h 3 s 7 t B i 6 P 2 H 4 4 e b E o 0 e S 5 v 3 7 u 0 f 3 D Z y N a 8 8 p M X T m 3 r y + N q 8 t r d z b / 8 + B S q b g l C P s + 1 r u z v 3 6 M 3 b x q 7 m t U 8 P 9 v d v 6 b 6 9 D 4 K + d t P 3 b q f d T C f b u z u f f r q H 8 d y 7 p Y p z M 3 y b F 6 O s c Z s X I 7 x x W 0 3 3 f h 1 F W O O 2 2 u 5 m i k c 4 4 V b T G m G H 7 d u 8 6 C v B 2 4 z G 1 4 P v g 6 C v E m / V T 4 Q P b t O P h 9 4 D o 7 q + f P O K l G O g J s 9 u o b 8 e 3 k p B 2 l 4 8 B f n w d g r S 7 2 B Y Q Z o O 7 h 8 c 7 O 3 t 7 9 9 O O 5 q X b u n M 3 b 4 P j / n N S / d I m X 7 6 g P T p w 9 s p R v v e / X s P W O N v e s + T B / P e 7 o M H p P N v p x r f C 0 d f N + q L t 9 O N p p e 9 + 3 t 7 9 z / d H + / o 7 N + o G s 2 L 2 7 d 7 M 8 I V t / U A 3 w / F C G v c 1 g t 8 v 4 7 6 b H E 7 3 f h + 8 x p h i O 1 b v e l r x 9 s Q w t e O 7 4 W i r x 5 v 1 V G E F W 7 V k Y f g g d F c r / P 6 M p 3 l 6 Z s 6 a 8 p s V q X X 6 U / e p L 4 e 3 K w Z L X z 3 y i 1 h D i t D A / P B 3 r 1 7 + w 8 P d s Y H t 1 S I 9 k W s a N / f G e 9 v Y k u P / c 1 7 n 9 7 f f X C f H L n x / i b f w J M D 8 + L + / j 6 t B z + g F z + 9 n X o 0 L 9 5 / s L N 3 s L v 3 6 X h v 0 4 u e T J g X d / f u P 9 w 5 u H 9 / o 5 3 0 R O L 9 M P W V p L 5 5 O y V p u t n b e X D v w Y O b / G 9 f S 5 o 3 t 2 / 5 a o R f b q s m 3 x P J C K P c V k + + Z 0 9 9 B r m d o n z P y Y 2 w x f b t X v V V 5 W 1 o 4 a v K 9 0 P S 1 5 W 3 6 i n C D 7 f r y U P x o V F m L 4 9 f H 3 / n 9 H V 6 f P r q 9 M v X N 6 o 0 c n F u 5 U Z a + M a N t G + + V w f D m t N 0 s L v / 6 b 1 d r K X e 3 2 Q m P J G w L 9 5 7 u P e Q t M r G 9 z y B c O / t 3 T t 4 A J 4 c f M s T C / M W v f Q p 9 P v D T e r W E w r z 3 v 6 9 v U 9 3 9 3 b H 9 z Z h 6 c m H x X L n 4 O H u / g 3 8 4 E n H e + H p 6 0 x 9 8 X Y 6 0 2 G 3 s 7 N L U z 3 e u a 3 O N G 9 u 3 / L V C K f c V m e + J 5 I R F r m t z n z P n v r s c T u d + X 5 z G 2 G K 7 V u 9 6 W v M 2 1 D C 1 5 j v h a K v M G / V U Y Q Z b t W R Q / D B T l x f p i f H L 2 + n 0 v Z u 1 J m u j 1 B n 7 r 1 n B 4 M 6 0 3 Z w f + / B 5 i S j k 4 b b v + P k w L 6 z q b k T A 9 N 8 m J k d 4 9 / c 1 v H 9 z W 0 d q 9 / c 1 t N 5 t 2 g c 4 Z y N S i H C B R v b R y b 1 l u r t d u 3 f c z I 9 p X a 7 9 u 8 z o 5 4 q u 0 X j 9 5 l T T 2 P d o n F / T j c 0 7 k / o h s b 9 2 d w w Q N d 2 t 6 u T 3 p y + e n X 6 + g 3 9 / x Y q Y + 8 2 f p z r w 9 N J e 7 f z 4 / w O h n W S 6 e D B w / u 7 B 5 t j f Y + J z V t 7 n + 4 f b I 4 0 P E 6 2 X X 1 6 Q J 7 y j u r V 6 F s e P 5 u 3 d m n 9 h 8 K a B z r 0 m x T V + 7 z m M b h 5 b Z P 0 e C z + P r 3 4 G k z f u 5 0 G M 5 1 s H 9 z b O 3 g 4 h g 0 d 7 i T C O 7 d 5 L c I R t 3 k t w h K 3 1 W v v 0 0 2 E H W 6 r 3 m 6 m d G T 2 b z W d E T b Y v s 2 L v t a 7 z W h 8 x f c + C P o 6 8 F b 9 R H j g N v 1 4 6 O 1 Z j e h 0 Y f r i + I T c t C 9 e 3 k p l Y b A 3 6 U T b S 6 A T 9 x T H W 3 c w r B N N B w e f b t J R H u + b F z a R 1 2 P 9 2 8 H 3 m F 5 f G G Z i j + F v b O v x + 4 1 t P R 6 / s a 2 v 3 2 5 u H O G a z e T w N Z t 5 Y / u G V y J z e l s 3 7 R Z I d R T a r X r o T + p N w 3 6 f q f V 1 2 c 2 N 3 2 d y f a V 1 c + P + 5 G 5 o 3 J / X D Y 3 7 M 7 p h g K 7 t P a M y f v L s + M 3 Z C Q W O p y / S 0 + f p y + O z 2 / h q 9 2 / l q 9 l O P L 1 0 / 3 a + m t / B s F 4 y H e w d 7 O z T 2 v W n m / W y x 8 z m x U / v P d z / d G 9 8 / 3 Z q y n b 3 Y H 9 n 5 + B g f 2 x U 7 E 3 q y r y 4 u / / w U 1 p F I g / x 0 9 s 5 b f b F + / s 7 n 3 7 6 6 f 3 N L 3 r M b l 6 k N O y 9 j U k c j + f f D 0 t f u + m b t 9 N u t p s 9 S h H f 3 7 s / 3 t t E f l / L m T e 3 b / l q h F N u q + 3 e E 8 k I k 9 x W 6 7 1 n T 3 3 m u J 3 2 e 8 / J j b D F 9 u 1 e 9 R X j b W j h 6 8 b 3 Q 9 J X l L f q K c I P t + v J Q 3 G / p z i h M m + Z d r t / q 7 S b 7 S J U m 2 o U b 9 3 B s N o 0 H e z u 7 j y k V 2 6 n M s 1 L F B V v f M U T B d v P z v 0 H D z f m 6 j x 5 M C 8 d P N z f w Y w N v u N J g n n n 4 c 7 e p x v f 8 Q T C 9 v P p R s w 8 Q b g 1 Z r 5 q 1 J d u p x o t w T 6 l F Z 1 b r k T Y l 7 Z v f i v C A 7 d V i L d H L c I A t 9 W F t + + k P / m 3 U 4 O 3 n 8 P I x G / f + J a v / G 4 z e F / 5 3 R o 1 X + / d q p P I t N / Y i Y f Y f a u P j l + / I Y X 3 9 B T h 6 9 m L L 2 + l k G 4 T w L o e f I 1 3 q w D W 7 2 B Y 4 5 k O y I d 6 8 H D 3 0 / H B J m 3 v c b 1 5 j 7 q 6 f 1 u t Z / u 6 f 2 / n 3 q c 3 9 O U x v 3 l v 7 8 G D e w c P 7 4 3 3 9 m + n / O x 7 B / c e 7 u z e 8 J 4 n C g 7 P 3 b 1 N Q / M E 4 b 1 Q 9 L W g v n g 7 L W h 6 o d 8 + 3 a e F 9 F t H w e b F 7 d u 9 G e G P 2 2 r D 9 0 M x w h y 3 1 Y j v 1 1 G f K 2 6 n F d 9 v X i M M s X 2 r N 3 3 t e B t C + N r x v V D 0 N e S t O o q w w q 0 6 8 h D 8 d E h L 3 t o 3 B N Y 3 a U r X S 6 A p b + c b u g 6 G N a X p 4 N 4 u e W y 3 d A 3 N O 9 T F L X W k 6 2 V 3 8 z u e K J h 3 a D Q b V a o n B P Y V S q l v e s U T B f P K 7 m a H 1 Z O B 2 + L l 6 0 N 9 5 3 b 6 0 H S w R 7 l n K K H h H i K M s n 3 z W 5 H Z v 6 0 e v D 1 q k c m / r Q 6 8 f S f 9 q b + d / r v 1 F E a m f f u m l 3 y t d 5 u h + 1 r v t o j 5 C u 9 W f U T m / M b B u 1 c e G C 3 U y R 6 e / t 5 v X h 3 f Q h V 9 e q v 0 o e 3 F 0 3 W f 3 i 5 9 6 H c w r O t M B 3 s 7 B 5 T R 2 9 2 8 b u t x v X n v 4 P 7 B 7 q Z X P J 5 3 X d H 6 E W U O N 3 b l 8 b 5 5 b 3 9 v 9 8 H + 7 n h n 0 w R 5 3 P 8 + r 3 l y Y F 6 7 p e Z 7 n 1 5 8 7 a f v 3 U 7 7 m U 5 2 K Y d w s H 9 v / H B T z t X X g O b F 7 d u 9 G e G L 2 2 r B 9 0 M x w h W 3 1 Y T v 1 1 G f H 2 6 n D d 9 r W i P s s H 2 b F 3 2 t e B s y + F r x f R D 0 N e O t + o n w w W 3 6 8 d A 7 6 G t H 0 o v p 6 5 f p y Z d f 3 E p 5 3 S Z m t r 0 E 2 v F W M b P f w b B 2 N B 1 8 u n / / w d 5 4 U 9 z h i Y J 5 6 Z Z + 4 O 3 7 8 K R A X x p m Z o / x b 2 z r 8 f 2 N b T 1 e v 7 G t r + 9 u b h z h n p t J 4 i s 7 8 9 b 2 L V 6 L z P F t N d 1 7 I B e Z 5 d u q u f f o 5 X 2 m 2 t d x N z d + n 8 n 2 l d n N j f u T v a F x f 4 4 3 N O 7 P 7 I Y B u r Y P r S q x o e v Z i 9 d v j p 8 f n 5 x 9 e Q t 9 8 k C 9 r c 0 K y / X i F N a D 2 7 l z f g f D C s t 0 s H / v g H y 5 T c l N j 6 P N S 3 t 7 F O t v f M l j a P s S r Q L f T m f p G 8 P T 4 T H y j W 0 9 P r 6 x r c f G N 7 b 1 d d b N j S M M d A M 9 f I V l X t m + 6 Z 3 I B N 9 W W 9 0 W r c j M 3 l Z V 3 b a L 9 5 l e X 0 / d 3 P h 9 J t j X U z c 3 7 k / w h s b 9 q d 3 Q u D + n G w Z o 2 x 7 s G A 1 y 8 t W X b 4 5 f 3 0 J x P L y N Z n J w P c 3 0 8 H a a y e 9 g U D P Z D k g z 7 T + 4 P 7 5 / O 2 f K v k a r Y b f S S 1 4 / D w 7 u P d j c j 2 N i + 9 q 9 n f u 7 D 3 b H B / s b X n O M 7 L 3 2 6 b 2 H e + N 7 S q 8 b V J Z 9 b X d v b 2 e 8 v y k O d q z 9 X i h 6 a s y 8 d y s 1 5 j C 7 t / f p p / f H n 9 5 S l 9 n 3 t m / 1 Y o Q v b q n Q 3 g / B C F / c U q u 9 X z 9 9 j r i V a n u / K Y 2 w w v Z t X v Q 0 3 q 2 o 4 C m 9 9 0 L Q 0 3 + 3 6 y f C B b f p x 0 N v N 9 S G t 1 x m I I V 1 8 z K D g x 1 q x N s s M / g d D G t E 7 W C Y U z y u v 7 G t x + k 3 t v W 4 3 A z y H k U Z t 9 N 4 t 3 z D Y 3 L z x i Z e 8 H j 7 l h 3 4 G u 7 G E f s a z s D f v q m D C C / c 9 E p / d m 9 8 p T / J m 1 V U f 6 J v 7 C I y 3 x u 7 6 M / 2 7 b T Z b f G J T P Z N k + H r s N u M w d d h t 0 T L V 1 + 3 6 u J r T L Z 7 Y 8 9 q F 8 S b 6 Z c v T 1 9 h r f T l b W L N h 7 d J j n k 9 + P r r V s k x v 4 N h / W U 6 O E B w u o l S H o u b d z Y 1 9 z j 8 1 l 1 4 L K 7 v D L O s x 9 4 3 t v W 4 + 8 a 2 H l v f 2 N b X X j c 3 j v D N j R T x 1 Z d 5 a f v m t y L z u 7 F 9 Z G 5 v 7 i Q y w x v b 9 2 f 3 F p 2 8 z z T 7 W u z m x u 8 z 0 b 7 i u r l x f 6 I 3 N O 5 P 8 I b G / X n d M E D X 9 p 5 R I t / + 8 v X L 0 6 f H 3 z l N j 5 + n p K x I V x z f S p P c s 5 p k W F X Z X g J V Z Y K p W 3 c w r K p M B 7 s P 7 u / d p x X L 8 c 6 m m M v j a f P i / j 1 a d r + 3 P 9 7 f p N 4 9 t r Y d 3 t v b 3 d / d / 3 T 8 6 f 3 b a S / z 4 t 7 u p 3 u f P j y 4 N 7 6 t X 2 Z e p H B l 5 + D + / d 3 x / Y e 3 c 8 8 s q j s P D 3 b v f / p g f H D L e P T 9 U P U 1 n r 5 5 O 4 1 n u t k + 2 N / d Q 0 i / c e 5 8 t W f e v N 2 L E X a 5 3 Y s R d r m t 9 n u / j i J s c l s N e D P F I x x x y 4 m N s M T 2 7 V 7 1 l e N t R u T r x / d D 0 l e W t + o p w g 2 3 6 8 l D c d + o t d d 5 f V l M i 6 p J v z y n n 1 m Z N z e p t o O b t a Y F 7 1 6 5 J c x h R W l g H u z e u 7 9 7 f 5 e S U 5 u 0 i M f 5 5 k V K A j / Y 3 a c l q 4 e b W N k T A f P i p z v 7 B z s 7 7 5 G x M y 8 + I I 3 3 c O 9 g Z 7 y n B L h J U 9 o X D 3 b 2 d w 4 e 3 q C b P b k w L + 4 / e L D 7 6 e 6 n 4 3 u 3 V J T v h 6 m v K P X N 2 y l K 0 8 3 2 7 t 6 D g 4 d 7 + 3 v j B 5 / e U l O a V 2 / 5 Z o R h b v l m h G N u q y v f s 6 c I p 9 x W W d 5 M 9 Q h T 3 H J y I 2 y x f b t X f W V 5 m x H 5 y v L 9 k P S V 5 a 1 6 i v D D 7 X r y U L x v t Z l d g D 0 5 f X X 6 x Z c v z o 6 f 3 6 j Z K A S / 1 T K H 6 0 U 9 T f v m e 3 U w r E B N B / s P D v Y + P d g 9 G D / Y p F w 8 c T A v 7 h 3 Q i / d v e M 8 T C 9 v h / s P 9 / d 1 P N 8 2 T J x L m r f s P H u 7 u 3 d v d G 3 + q J L h J e d o X H z 7 c v 3 9 w c D C + v 0 k K P T m x 4 9 u 5 R 1 m S + + O H m 8 b n S c n 7 Y e o r T 3 3 z d s r T d E P K 8 y H N 2 / 2 b + o n w F L 9 5 8 5 s R Z r n l m x F u u a 3 y f M + e I p x y W + V 5 M 9 U j T H H L y Y 2 w x f b t X v W V 5 2 1 G 5 C v P 9 0 P S V 5 6 3 6 i n C D 7 f r y U P x 0 7 7 y / P L V 0 9 M X 6 e s v T 8 5 u o d v 2 b q U 8 X S 9 O e e 7 d T n n 6 H Q w r T 9 P B f Q 7 r P x 2 D N o P D 9 6 T B v L f / 8 N P 9 g / H O J q J 5 M u F 6 2 9 / 5 9 N O D 8 d 4 t H U / z 3 q e 7 l O 0 l T b 2 3 f z v V 2 X v v 0 9 t p T v P e z n h n E 4 a e c L w X h r 7 K 1 B d v p z J N L 9 t k d u 4 / v A E 7 X 2 H a 6 b r N e x H 2 u N V 7 E f a 4 r b J 8 r 3 4 i j H F b V X k z t S N c c L s 5 j T D D 9 q 3 e 9 B X l b c b j K 8 r 3 Q t H X k 7 f q K M I I t + r I Q / C B U W A n X 7 7 4 / N X p a 9 K U v 0 9 K v / / k 6 Y t b q c l 7 t 1 K T t h d P T d 6 7 n Z r 0 O x h W k 6 a D v Q e f H t z f v 7 8 / N q H / T X r S v L j 7 4 O G 9 A 4 q 2 x w e K 1 E 2 q 0 r z 4 8 M H + p 5 / e v z e + v y n y 9 S T C v k e J 1 w e f f r p Z x X q S Y R H d P X i w R 1 m X 8 a e b X v S k x J L m U / J z P q X 0 x e 0 U 5 n v h 6 S t M f f F 2 C t P 0 c v / B z s H B g / G 9 T R 6 w r y / N e 9 u 3 e j H C K B s V U o Q / b t V P h D 0 2 9 h N h i 1 v 1 0 2 e L 2 y n M 9 5 v T C D N s 3 + p N X 2 H e h g 6 + w n w v F H 2 F e a u O I o x w q 4 4 8 B A + M K j v 9 v V 9 + + f r s 5 O z L F 6 e v b 6 H H 9 m + l K C 1 0 T 1 H u 3 0 5 R + h 0 M K 0 r T w T 4 l j H b H k I z B Q X t S Y N 6 6 9 + n 9 j f r D E w D X 0 f 3 7 9 8 c P N n X k i Y F 5 a + / e w / 1 7 Y 7 M y f 5 N u N G 9 9 e p 9 i h M 1 v e d J g M S S V u o l r P D l 4 D / R 8 l a i v 3 U 4 l 2 j 7 2 P 6 V w Z 2 P q 1 9 e I 5 r X t 2 7 w X Y Y j b K s T 3 Q S / C D r f V h + / T T Z 8 T b q c O 3 2 c 2 I 0 y w f Y v 3 f F V 4 G x L 4 q v A 9 0 P M V 4 a 2 6 i T D A L b r x k H t o F N W X b U 2 L O G 4 5 5 / N 8 m d + k r R 7 e r A g t f P f K L W E O 6 z 4 D c 3 / v / k N a t N o Z 3 9 9 k Z T 2 e N y / u 7 T 7 c u U + r X Q 8 V m 5 t 0 o O 2 Q V l U o P / / p 5 s y g x / 3 m x X s P P r 3 3 g B b a N 6 c G P f 6 3 P d 5 7 8 O D T h 7 v 3 N i 9 W e b J g X v y U K L l / Q E v l m 9 S 8 J w z v h 6 m v F P X N 2 y l F O w O 0 z n S w u 3 / 7 T K R 5 c f t 2 b 0 a 4 5 b a K 8 f 1 Q j H D J b V X j + 3 X U Z 4 7 b K c f 3 n N g I S 2 z f 7 l V f R d 6 G F L 6 K f D 8 k f S 1 5 q 5 4 i 3 H C 7 n h y K D 3 e M I n t 9 + u o n 4 S 6 + T p 9 9 9 e L 0 1 f E r + v V G p X b v 4 a 0 W c V w v x m + 0 b 7 5 X B 4 O 6 0 3 Z A S 4 2 k H 2 6 l N u 0 7 m 2 j s 5 O D 2 X T h Z s O / s 7 V B 6 9 H a R t H 3 n 4 e 4 u r b y M b x d G 2 7 c e 7 O z t P t j d + J a T h d v j 5 2 l G 8 9 K t N K P t Y Z t W 4 7 D U O N x D h F 1 u f C f C A T e + 8 5 4 c 4 K n C 2 / c R Y Y G N f f S n / 1 Z a 8 D 3 m L z L p 2 z e + 5 e m + W 4 3 D 0 3 2 3 R 8 1 T e 7 f r J D L p N 3 b i I b Z r d N H Z F y + / O u X F l 9 + H l l 9 e n Z 5 8 + 1 Y a 7 1 Y r L 6 4 X T + P d Z u W l 0 8 G w x j M d 7 O 0 d P D z Y o 5 z M L Y N l + + L u g w N K K o 5 3 N x k K j / d d f w 9 2 H + 7 T i w 9 v q Q P N i w d 7 u w f 3 d 3 f G n 9 7 O V / T e e 0 j e 6 f 3 N 4 / N k w r z 3 Y G + f v I + N m t o T i v f C 0 t e G + u L t t K G l / f 7 9 n R 3 y 8 c f 3 N g 3 K V 4 n m z e 1 b v h r h l I 0 a K M Y g t + s p w i M b e 4 q w x i 1 7 6 j P H 7 b T k 5 r n d o C k t 0 W / F F b 6 2 v A 0 l f G 3 5 X i j 6 G v N W H U W Y 4 V Y d e Q j u G X 3 2 + v T F G y y + H E N t Y k X m + V c n t 1 B q t 8 o v u l 4 8 r X m b / G K n g 2 G t a T q g d c J 7 9 x 4 c j M H 3 g 8 P 3 Z M K 8 d / / h w / u 0 Y H 2 w i U 8 9 g b D d 7 d y n F f W H 4 3 s 6 k p t 0 p n 1 v 7 9 M H D + 6 T s r 3 / 8 H Z K 0 7 7 4 4 I A s 4 v 7 + 5 r y x J y N 2 g H v k 3 9 4 n v t g 0 Q k 9 E 3 g 9 T X 3 H q m 7 d T n K a b 7 d 3 d T / c o y K G B b V L s v u a 0 G N 7 u z R i z 3 O 7 N C L v c 1 r F 8 z 5 4 i n H J b 9 / J m q k e Y 4 p a T G 2 G L 7 d u 9 6 q v O 2 4 z I V 5 3 v h 6 S v O 2 / V U 4 w f b t W T h + I 9 o 9 Z e n r 4 g v f n F V 8 / f 0 A / S Z D c v z Z B m u 3 8 r 1 W n 7 8 F T n / d u p T r + D Y d V p O i A W P a D x 7 2 5 e w / e E w b 6 4 + 4 A S F Z s Y 2 5 M I + 9 J 9 C o M P H t z b 3 J s n E O b F v Z 1 P K c X 4 6 e 3 U p n v p I a 1 d H 2 x c R P L k w 7 5 2 c P / B 3 i 1 X r t 8 D Q V 9 b 6 l u 3 0 5 a W e P d 2 9 u / v P n i w m X i + s j R v b t / y 1 Q h / 3 N b N f E 8 k I 7 x x W z f z P X v q 8 8 X t t O V 7 T G y E H b Z v f s 3 X k r e h g a 8 l b 4 + c r y F v 1 U u E B 2 7 u x U N t 3 2 i u L 9 + 8 o m D 8 8 2 O O y V 9 + + Q r u 5 S 3 U 1 6 e 3 0 o + 2 F 0 8 / f n o 7 / e h 3 M K w f T Q f 3 D w 7 2 d s i z 3 G Q b P D E w r 2 0 i s c f 7 7 9 O L J w L m t d 1 P P 7 2 3 v 7 e p L 4 / 7 b / + S J w W 3 G Y / H / r f v w 9 e G + t b t t K H p Y n t 3 5 w G 5 t 7 v j g 0 1 e u K 8 N L X K 3 e j H C C 7 d 7 8 T 2 5 w V e F 7 9 d R h C F u 6 z f e T P E I D 9 x i U i O s s H 3 z a 7 4 m v M 1 I f E 1 4 e + R 8 T X i r X m I c c G M v H m r 3 j Y 6 i 1 C T p w L s v v v z i D A 7 j y f H L W 6 i p g x 3 w 7 k 1 6 0 P b h 6 U F 5 8 7 0 6 G N a D 2 s E w p 3 j s f m N b j 9 V v b O t x t x n k 7 v 6 9 v f 2 9 W 0 f P 9 r X 7 t M 5 M b s K n t 1 N 5 9 j V K x d J 6 5 4 P b a b 7 3 w d H X f T f S w d d 9 p p P t W / U S Y Z N b v d e f / d u 9 1 + e E W y u + 9 + o n w h m 3 1 X s 3 U z v G C L d B K s I K t 5 o l X / f d Z j S + 7 n s f B H 3 t d 6 t + v i 4 X u N c + N b r J L U Y f v z 5 7 L f n G W y i o h 7 f y B G 0 v n g Z 8 e D t P 0 O 9 g W A O a D i i R t r e z P 9 7 Z l G L 1 R M C + d u 8 A m b u d T a b c k w T z 2 r 1 P D z 7 d G e / s b 3 j L k w P z 1 u 7 O z o O d B w / 2 N 8 d E n k C 4 F 3 c P K G + / O e z 1 Z M O + t 0 u x A T m u n 9 5 O S 7 4 f n r 6 e 1 D d v p y d N N + Q j 7 t C f t H C 0 K W / q K 0 o P w V u 8 G O G S 2 7 0 Y 4 Z P b q s r 3 6 y j C I 7 f V l T d T P M Y P t 5 v Y C E t s 3 + 5 V X 1 / e Z k S + v n w / J H 2 N e a u e 4 t x w i 5 4 8 F B 9 Y b S Z x 8 9 P T 9 P k x e Y y v j + n X W 6 m 0 P a v S 3 g z q T N e L r z P 3 V E X d u o N h n W k 6 e P A A X D o + u J 3 K N G 9 t o r I n C e / R i S c G 5 i 0 y Z g 8 o + T k + u K U 3 + V 7 v e Z J x m 0 F 5 4 v B e 3 f g K U l + 8 n Y I 0 v W x / + u m D 3 b 2 H 4 5 3 b O p L m x V u 9 F 2 G I W 7 3 3 n i z h a 8 f 3 6 i f C F b d V j j d T O 8 I C t 5 v T C D N s 3 + p N X z X e Z j y + a n w v F H 3 N e K u O I o x w q 4 4 8 B A + M y n r 9 1 Z N X X 3 5 + T O 7 k i 1 g + M a K w s E x 7 k 0 a 0 4 A O N a B Z 4 b 9 C I r o N h j a g d D D O M x / Q 3 t v U Y / s a 2 H p O b Q e 7 u 7 j + k Z / z w l q r v v d 7 z + N 6 8 d 0 v V 9 1 7 d + K r v R h r 4 q s / 0 s n 2 7 b i I 8 c r s X + 3 N / y x f 7 j H B r 7 f d + H U U 4 4 7 b q 7 2 a K R 9 j g d l h F G O J 2 U + W r v 9 u M x 1 d / 7 4 W i r / 5 u 1 d H X Z g X 3 3 k O j n 9 7 U 2 b I 5 H 6 X H T X G x z E b p 6 / W k 2 a y k b p F F t N D N C 7 e C N 6 z s D L x 7 9 w 8 e 7 j 1 4 u H N / / 8 H 4 Y H / D S D 2 e t + / u 3 X t w b / / T g 7 3 9 8 Q N V w z f p Q v f q p / f v 7 5 O B 2 b s 3 h h w O v u t J g H 1 3 d + f + v d 2 H D 3 c P P t 2 c M f S k w b 7 7 6 f 2 H u 5 / u 3 n 9 4 c L B 5 u J 5 w m H f v 3 7 9 3 s L / 7 6 c E O 5 V c O b q c v 3 x t l X 2 f q y 7 f T m a a n 3 U 9 3 9 v b 2 9 + / f + 3 R 8 s C k v 6 m t N 8 + 7 2 r V + O M N J G v R R h n l v 3 F e G e j X 1 F O O b W f f U 5 5 n b 6 8 / 3 n O c I k 2 7 d + 2 9 e j t 6 G J r 0 f f G 1 V f l 9 6 q s 5 i W u W 1 n F t H 9 n Z 1 Q n + Z 1 v p w W W Z O e L d u 8 v k H / 7 d 6 k U D 3 w 9 o 3 b Q R x S q Q 4 i L T / t H u z h v 0 8 3 G w 8 r F d 6 7 O 3 v 0 v / u f f n p / b P K j m 1 W q 9 + r u 7 s P 7 e / f J Z a d V y U 3 6 y Q q I e 3 f v 4 c H D + 5 + S d t t 7 u D k N a g X E 6 / f + 3 s O d n d 2 H O w c 3 r I Z a e X H v 3 q d 1 u 3 v 3 9 g n v j b k B K y x f A 2 O n U e 3 L t 9 G o r i f q 4 e H 9 B / d 2 7 u 3 d V q O 6 d 7 d v / X K E j 2 6 n U b 8 G o h H m u Z 1 G / R p 9 9 R n m N h r 1 6 8 x z h E m 2 b / 2 2 0 6 i 3 o 4 n T q F 8 D V a d R b 9 l Z h D l u 3 Z m H 6 K 5 R e e K Z T o t q m T d p V q a v 8 2 l 7 k / 6 7 h U q 1 8 N 0 r t 4 Q 5 r F Q N T O j E g 4 f 3 7 p M R H 9 / f N F 5 P M O y 7 D x 8 g D / D w 4 d 7 4 3 i Y 1 4 8 m F f X X v 0 4 f 3 H j y 8 v 0 9 K 9 X Z + q v f u v f 2 D e 7 s P y A 7 s j B / e U q n a d w 8 O H u w e 7 O w / 3 H m w c f X A k x j z K n m p B 5 / e 2 9 u B q d 1 k f T x 5 e W + M f a W q L 9 9 O q Z q e t h / Q Z D 5 4 c O / + w / G D T V P i K 1 X z 7 m 1 f j X D R b V + N M N F G D R n h n N t 2 F W G c j V 3 1 m e V 2 C v X 9 5 z j C I N u 3 f t t X q L c Z l 6 9 Q 3 x t V X 6 H e q r O Y g r l t Z x 6 i e 0 b h Y f k 8 f X n 6 i t T a 8 f O b c p 6 k 9 / Z p U f Y 2 G t V 2 I D l P 7 8 3 3 6 m B Y v Z o O d u / v f b p 3 / + H + w c 4 N j q c n G e b d v b 3 d h 5 / e v / e A X r 2 3 a e X d E x L b 7 b 2 d / b 2 H + 7 s 7 D 0 l M P r 2 d e r X v k k n Y w V r X 3 v 3 x 3 i Y R 8 y T G v v s p 5 T s O P t 0 / e P h g / H C T W v c E y L x L G a J P H 3 6 6 9 + D B 3 v j T T c P 1 x O e 9 U f b 1 q 7 5 8 O / 1 q e t o n N r 5 H o 9 s f 7 9 9 W v Z p X t 2 / 7 b o S N N m q u C O v c t q s I 6 2 z s K s I u t + 2 q z y 2 3 0 6 / v P 8 c R B t m + 9 d u + f r 0 N S X z 9 + t 6 o + v r 1 V p 3 F N M x t O / M Q v W f U 3 x f H b 9 L f J 3 3 9 1 R d n L 8 5 e v 3 n 1 5 e 0 0 7 G 3 S A L a L Q M P e n A 7 o d D C s Y U 0 H B 5 8 + 2 P t 0 / 8 F 9 4 r 9 b 6 l f z 5 u 4 B J a L 3 d 4 l s + 7 f T r r b L / Y M H p J j v P R z v b o r R P G G x b x 7 s k g P 6 8 M H B e H + T V v Z k x b x J m e T d T x 9 w p m 3 T J H u C Y 9 7 c u 0 d 5 6 P v 3 q c t N D q 8 n N O + J r K 9 T 9 d X b 6 V T T z / a 9 e 7 s U D x A 5 N / r V v k 4 1 r 9 7 y z Q j b 3 P L N C N v c 1 m F 9 z 5 4 i 3 H J b f / V m q k f Y 4 r a z G 2 G M 7 V u + 6 + v S 2 4 z J 1 6 X v i a a v S W / V V U y T 3 K 4 r D 8 l 9 o + T g p 5 7 R u v z r 9 P P T F 6 e v b u 2 r 3 r w + 7 3 U S a N L I + v z m D o Y 1 q e m A M v k U F j / 4 l P K N G w 2 J J x P m 1 d 3 7 D x 7 u U r L y w R g S M / i m J x 2 2 0 7 2 H u 6 T Y P v 1 0 f / O r n n j Y V 3 f 3 y L 1 + s E u + 5 q e 3 1 K b 2 1 X v 3 K b N 6 7 z 5 5 L Z 9 u U u G e 3 D i E D z 7 9 9 F M K Q T e n h z y x e V 9 8 f Y W q 7 9 5 O o d r Z I D + a / v r 0 0 9 s 7 q e b V 7 d u + G + G f 2 z q p 7 4 t m h G t u 6 6 S + b 1 d 9 V r m d U n 3 v K Y 6 w x / Z t X / b V 6 m 0 I 4 q v V 9 0 X U 1 6 u 3 6 i u m V 2 7 Z l 4 f m f a P z 3 r w 6 f v H 6 W X r 8 + u z z F + S n P r m d W t 2 / h V q 1 X Q R q 1 f i Q t + 5 g W K 2 a D u 7 t P C S l S n H t 5 s V 8 T 0 D M m 3 u I q 3 Y P x p v 8 B k 8 4 X I c P 7 h 1 8 C o 9 v 4 7 K R J y b m T Q r A S Y n v 3 y d U b 6 d P 7 Y s U 8 z / c 3 / v 0 Y P M q p C c x 5 s 3 d B / s P 9 w 5 2 d 8 b 3 N 7 3 o i c v 7 4 e r r U n 3 z d r r U d L N 9 / 1 N a + K O E B l H z t t 6 p e f e 2 r 0 a Y 5 r a v R r j m t v 7 p + 3 Y V 4 Z f b O q g 3 U z 7 C G b e c 4 A h r b N / u V V + P 3 m Z E v h 5 9 P y R 9 L X q r n i I c c b u e P B Q / N Q r u S f r F V 6 d P 0 r M X / O O U f n l z f C s t h / W g m 9 S o 7 S V Q o 2 Y l 6 d Y d D K t R 0 8 H u z q f 3 d 8 j 5 e r g 5 i + w J h H l z E 6 U 9 e X j P j j x x c G / e 2 9 / b + f T T h 5 u 1 o C c Y 7 s 3 9 + 3 v 3 d 2 l p 6 f 4 t o 3 v 7 J l 4 l v / v e L Y P 7 9 8 T V 1 5 / 6 6 u 3 0 p + n n 3 s 7 B 7 q e U + t + Y 0 v W V p 3 l x + 3 Z v R j j l t n 7 o + 6 E Y 4 Z T b e q H v 1 1 G f P W 6 n N 9 9 3 Z i N M s X 3 L d 3 3 N e R t i + J r z P d H 0 V e e t u o q q j l t 1 5 S H 5 w G i 1 s x c / S a t P Z 1 + + S F 9 + 9 e T 5 2 c n t F O e n t 1 C c t o t A c X 6 q K u f W H Q w r T t P B v b 1 P 7 + 8 + 3 L 2 / S y t Q t 1 O c 5 k 1 a z b m 3 9 / D T B z v j B 7 d 0 Q W 2 f t P B 0 8 C k l W P f H J l F x k x K 1 r z 6 k L n c P a J D j / X u 3 0 6 L m 1 X 1 K t X 1 K 5 H m 4 O 4 b 4 D b 7 q C Y 1 9 d W d v Z 4 / k k 4 a 6 q V N P Z t 4 X X 1 + T 6 r u 3 0 6 S m o + 2 D v Y c P 7 n + 6 R 0 H s 7 i Z l 7 y t T 8 + 5 t X 4 2 w z 2 1 f j f D P b T 3 R 9 + 0 q w j W 3 9 U R v p n y E O W 4 9 x R H 2 2 L 7 t y 7 5 O v c 2 o f J 3 6 v o j 6 S v V W f c X U y i 3 7 8 t A 8 8 L R q + u z s R f o l h f f p y 1 d f / u S t l B 7 C 5 5 u 0 q u 0 i 0 K o m 8 L 5 1 B 8 N a V T s Y Z i B P D m 5 s 6 8 n A j W 0 9 p j e D v L / D z + 2 U 5 O 1 f 8 i T A v L S p u c f 0 t + / D 1 4 Y 3 D t 3 X h q a L 7 V v 0 E e G L W 7 z V n + z b v N W f 9 l u r v / f o J c I E t 9 V 8 N 1 M 5 M u + 3 Q C k y / b e Y G 1 / b 3 W Y k v r a 7 P X K + n r t V L 1 9 v 7 t 1 L D 4 3 6 k Y T l y 1 e n r 9 O X X z 5 N T 7 9 z e n I b F b S 7 Y 1 X Q s I 6 z n f g 6 b t e s R t y 6 g 2 E d Z z q 4 d + / e 3 t 6 D v f G D T d b Y Y 3 z z 3 u 7 O w d 5 m k n n c b 1 7 a 2 6 O o + 6 b O P P 4 3 7 9 F M 3 X t 4 Q F m R T W k R T w 7 s e 7 S I T + 7 t 5 s D Z E w n X 3 7 3 7 5 N b e 3 x T D e T L x X m j 6 W l F f v J 1 W N L 1 s 7 x 7 c u / d g 9 / 5 4 Z 2 O I G W G m 2 7 0 Y Y Z L b v R j h k t u q x / f r K M I h t 9 W Q N 1 M 8 y g 6 3 m d c I Q 2 z f 6 k 1 f T 9 5 m P L 6 e f C 8 U f V V 5 q 4 4 i r H C r j h y C 4 H Z V Z G + + p K z k 0 / T l M f m D X z 5 5 d X w r V Q Y B u E F X e l 3 4 u h J v v l c H g 7 r S d n D v 3 s 6 n p P N 2 x 7 u b B u / E w L 5 4 s E + J 3 f 3 x J i 3 k h M F 1 t 7 e 3 S 0 H 2 p + O H r r t N 6 t K + S G s 0 + 5 / u 7 x 1 s D u m d V L g X K Z j / d O / + / n j n d g r T v r h 7 n 3 I B e / f H 4 J j B 9 5 y A v C e m n s o 0 b 9 5 K Z d p u 7 t + j 5 X x a u I J w D / c S Y a n t 2 7 0 Z 4 Z W N C i n C I r f r K M I l G z u K M M f t O u o z x 6 1 U 5 v t O b I Q l t m / 3 q q c 0 b 0 U K T 2 m + J 5 K e 1 r x d T x F u u F 1 P H o q 7 R q e 9 P n 3 1 k 2 c n Z 1 + S j 0 l J y i 9 f H D 8 / f X 0 L x b a 3 c x v N a X v x N K e 8 + V 4 d D G t O 0 w F l Z n c O 6 M / 9 j e v c n l i Y F + / v U r b v I e n A j e z q i Y V 5 c f f + / k N K E u 4 e 3 N b Z d G 9 S k p B S o j v 3 N r u N n o T Y N 0 l 1 7 t 6 7 d 3 9 v b F K 8 N + l P S x + k J f f 3 K X m 9 i T 6 e t L w n s r 4 G 1 V d v p 0 H t P O z d P / h 0 b / f + e P + W G t S 8 u H 2 7 N y M 8 c 1 s N + n 4 o R l j l t h r 0 / T r q 8 8 f t N O j 7 z m y E K b Z v + a 6 v Q 2 9 D D F + H v i e a v h K 9 V V c R h r h l V x 6 S e 1 a / H b 9 + Q y r 0 6 W n 6 J a n R Y 9 K n L 2 6 l 4 z D i m 5 S o 6 8 R X o n j z v T o Y V q K m g 0 8 f 0 H L L v d 3 9 T 8 f 7 m 8 I j T z T M m / c e E t V o u W a 8 6 T 1 P M m y P 9 w 4 e 7 O 7 s U I 8 P N 7 3 p y Y h 9 c / c + J Y 4 f f r o / 3 q S 3 P R k x L z 6 4 d 7 D 7 g P 5 5 M D 7 4 9 H Y 6 1 L y 5 S 9 m F + w f 7 e / f G O 5 v e 9 O T l / Z D 1 d a i + e T s d a r o h J f 8 Q a Z P x 7 i Z i + k r U v L l 9 y 1 c j T H N b L f q e S E a Y 5 b Z q 9 D 1 7 6 v P I 7 f T o e 0 5 u h C 2 2 b / e q r 0 V v Q w t f i 7 4 f k r 4 S v V V P M S V y q 5 4 8 F O / 1 d e i z s 9 c n x 8 / P f u r 4 N v n O v Z 1 7 t 1 C i r h d f i Z p 1 5 V t 3 M K x E T Q c H O w e 7 B w e b e c 4 T C / P a J j J 7 s v A + v X g i Y V 7 7 9 O D T W y 7 1 3 P o V T y J u M x Z P D G 7 b g 6 8 X 9 Z 3 b 6 U X T w Y N 7 D + / f R C x f K 5 r 3 t m / 1 Y o Q H b q s T 3 w v B C B f c V i O + V z 9 9 H r i d P r z 1 d E Z Y Y P u m l 3 w d e J v R + z r w t o j 5 2 u 9 W f U R m / s b B u 1 f 2 j U b 6 m h H 4 v V t F 4 L Y X T + / d u 1 0 E 7 n c w r P d M B w 8 f 3 N v b 3 a G M x H h v / 3 a q z 7 y 5 d 2 / 3 3 s H B w 4 c P N / t V H v + b N x / s 7 x 7 s I c u 6 O X r 3 J M G 8 + e n 9 B / v 3 P 7 1 3 / 9 7 4 4 S Z X 3 5 M F 8 + b B v Z 3 7 B / T 2 g z E Y e f B N T z D M m 7 s P 7 u 3 u P b z 3 8 N 5 4 b 1 O + 1 R O P 9 8 T W V 5 T 6 6 u 0 U p R 3 b / r 1 P 7 + / c f z D e 2 z Q R v q o 0 b 2 7 f 8 t U I 4 9 x W W b 4 n k h F 2 u a 2 6 f M + e + k x y O 4 X 5 v r M b Y Y z t W 7 7 r q 8 / b U M N X n + + J p q 9 F b 9 V V h C V u 2 Z W H 5 H 2 r 5 r 5 W I H 7 v V o G 4 6 8 T X p b c K x P 0 O h n W p 6 W D 3 U 0 o u P i B l M d 5 X 4 D f p U v P m L d 3 I 9 + z I k w 3 7 5 n 3 S 9 f c / / f T B e O d 2 a + b u z Q f 3 9 / Y f I u a / d 0 s F a t 7 c 2 6 f V 2 3 s P H m 5 O z 3 h i 8 p 7 I + v p T X 7 2 d / v T 6 O a D 0 y d 7 4 3 v 4 t 9 a d 5 c / u W r 0 a Y 5 b b 6 8 z 2 R j H D L b f X n e / b U 5 5 H b 6 c / 3 n d 0 I Y 2 z f 8 l 1 f f 9 6 G G r 7 + f E 8 0 f f 1 5 q 6 5 i + u N 2 X X l I f m p U 2 9 m L n 0 x f f v U k / c 5 X T 8 k n P X 5 + K 9 1 2 m w D c 9 h A o z 1 s F 4 H 4 H w 8 p T O x j m H U 8 W b m z r c f + N b T 3 O N 4 N 8 e H + H n 9 t p R v M W L e / c + J r H / + a 1 e z s 3 v u W x / g 0 o B v z h c f 2 N V P D 1 o e l j + x Z 0 8 L X h + + D W n / l b v d Z n g s 1 q r c 8 I t + o m w h M b 2 / e 5 4 X Y 6 8 H 1 w i j D B b S b I 1 3 2 3 G Y u v + 9 4 D P V / v 3 a q b r 8 k A 7 q 0 H R i M h A E f s n X 7 5 6 v P j 9 P i r N 1 + + u I V W 2 r 9 V / G 0 7 8 d T e / u 3 i b 7 + D Y b V n O t i l d P c + x e D 7 9 8 c H m / w q T w D M q w 8 e 0 r r X p w 8 3 r z d 6 g m C 7 3 L 1 P v T 6 8 f 3 9 n v L + p S 0 8 Y 3 K s P d g 5 o m P s H 4 0 / v 3 U 5 L 2 l f 3 H 5 L G + / T g 4 N 7 4 w S a E P S k x r 9 7 b o 1 V V I t L 9 s Z m A m 7 T l + + L r q 0 x 9 9 3 Y q 0 3 S 0 v f v w U 7 I D D y l L t 2 l w v t a 0 O N 7 u z R j v 3 O 7 N C O v c V n e + Z 0 8 R j r m t + r y Z 6 h H G u P X 0 R l h j + 7 Y v + 4 r 0 N q P y F e n 7 I u p r 0 1 v 1 F e O K W / b l o X l g t R 2 C 8 C + N T n 0 B p X o r j X e b M N x 1 4 q v U W 4 X h f g f D K t V 0 Q A T Y 3 3 / 4 6 d 7 u 5 s S k J x b m T V p g f v D g w c 7 4 0 0 2 B q i c e t s c d i s Z 3 D 6 B Q N 8 m H J x 7 2 z Y P 7 N L p P H 9 C y 9 i 0 T m u b N P V r y 3 9 2 / R w n N + 7 e M x + 2 b D y j p + + m n D 8 c P N k U Z n s i 8 J 7 K + M t V X b 6 d M T T / b D + 7 v 7 x 0 c 7 D 0 Y 3 z u 4 p T K 1 M 3 i 7 N y N c c 8 s 3 I 1 x z W 2 X 6 n j 1 F u O W 2 y v R m q k f Y 4 r a z G 2 G M 7 V u + 6 6 v S 2 4 z J V 6 X v i a a v S W / V V U y R 3 K 4 r D 8 m H R s e Z e J z U q H i m X 3 5 x K z 3 3 6 S 0 U q e 0 k U K R 4 8 7 0 6 G F a k 2 s E w + 3 h C c G N b T w B u b O u x v B n k w U 2 R g c f 2 5 p 3 d G 8 M J j / 3 N S 3 s 3 v e P x / a 2 R 8 1 X h j a P 3 V a H p Y f v m L i K c c f N L / d m + x U v 9 a b + 1 7 r t 9 J x E e u K 3 a u 5 n C k X m / G a P I x N 8 8 L b 6 q u 8 0 4 f F V 3 a 9 R 8 J X e r T r 7 W t N t 3 M C a n 3 p 6 d v U i / f P P q O H 3 5 6 s u f v J X u e X C z c n N d B M o N b 7 5 X B 4 P K z X R w G + V 2 c 1 v H 4 T e 3 d Y x t B 3 l v 9 y H C 8 F t p N / v S p x T z 7 9 5 S u 3 k 9 f X p D T 4 7 L 3 w M 9 T 7 / d T A B P v 9 k u t m / R R 4 Q 7 b v F W f 8 p v 8 1 Z / 8 m + r 4 t 6 n l w g r b G z f 5 4 J b 6 b j 3 Q S k y / b e Y G 0 / L 3 W o k n p Z 7 D + Q 8 N X e 7 X r 7 e 3 L u X d o 0 S e l N n y + Y 8 r / P l t M i a 9 G z Z 5 v V N m m j v Z i V n 4 b t X b g l z W K 8 Z m A e 0 N E x R 4 b 0 H 9 8 b 7 B x u G 6 3 G 6 e X X / w c H B / U 8 f 7 I 0 f b M o b e C z v + t y h B U P K O + y M H 9 z f 8 K r H 9 + b V T / c p s b R L a 0 W U W 7 q d H v T e P K A s B w X 7 Y + P 7 3 q Q N z a v 3 H + z s H X z 6 6 f j + p v c 8 i X h P Z H 2 t q K / e T i u a f v Z 2 D g 4 o K X 7 v 4 d 7 4 0 0 3 0 9 F W j e X f 7 1 i 9 H m O e 2 u v G 9 E Y 0 w z W 0 1 5 H v 3 1 e e V 2 2 n L 9 5 3 l C I N s 3 / J d X 2 / e h h 6 + 3 n x P N H 3 l e a u u I m x x y 6 4 8 J P e s B n 1 1 / O L 1 s 9 N X p y 9 o W f p 1 + v L 4 1 f G N y o 4 W w W + z S O M 6 M b 6 i f f O 9 O h j W q a a D 3 Y f 7 p N 7 2 H n w 6 v r c p Z e Y J i H l z E 6 U 9 m X j P j j z p 0 D e H O d y T h h v b e s J w Y 1 u P + 2 9 s 6 y v E m x t H 2 O i W d P H 1 o X l 1 + 7 b v R u b 9 t u r w f d G M z P x t t e F A V 7 d R h j d T / n 3 m 3 1 d / N z b 2 9 d 3 N j f s M s K F x f 8 o 3 N O 7 P 8 Y Y B u r b 3 P l S b 3 W J 9 x H U S a L O b 1 0 c 6 H Q x r M 9 P B 7 s N d W j d + c H / 8 8 O H t l J l 5 8 Z b K 7 P 3 6 8 X j b v H h / 9 9 7 9 T 7 F A 8 X C T F H m c / X 4 v e l x + m 5 F 5 f P 5 + / f h a T 9 + 8 n d Y z 3 W z T w v f e 3 s O H 9 8 Y P N 3 n y v t Y z r 9 7 y z Q h 3 3 P L N 9 2 Q P X + W 9 Z 0 8 R B t n Y U 5 8 v b q f x 3 n N y I 2 y x f b t X f W V 4 m x H 5 + v D 9 k P S V 4 6 1 6 i v D D 7 X r y U N w 3 e u z 4 5 f O z k + O T s y 9 f p E 9 P 0 1 e n J 1 + 9 e n 0 r Z X b v F t r S 9 h J o S 7 z 5 X h 0 M a 0 v T w c H u p w 8 + f X B v / 9 7 O e F P U 4 c m D e Z P W W X d 3 9 m m B 9 t N N + s 8 T D N f l v Y c P P t 1 7 e L A 3 P t j k b 3 u S Y V 7 9 9 N 7 + p / c f 7 J H r P t 7 f u 5 3 y f N 9 X P Z E x r 9 5 S f b 5 v T 7 4 C 1 X d v p 0 B N R 7 s P H l L e Z + f + p 7 v j e 5 v m w N e g 5 t 3 t W 7 8 c Y Z r b O o 7 v j W i E W 2 7 r O b 5 3 X 3 0 e u Z 0 i f e 9 p j r D I 9 m 1 f 9 p X p b S j i K 9 P 3 R d R X p 7 f q K 8 I Z t + 3 L Q / O + U X X i f Z I y f X Z 2 c v Y m / f L l 6 S 3 d T + S 5 b l K o t p d A o Z o M 2 a 0 7 G F a o p o M 9 Z G I f 7 O 6 N d + 7 d T p + a F 2 / p f r 5 f P 5 6 A m B c f 3 H 9 I / v S n Y 7 P o d J M C N e / t 3 t t 7 S C m S e + O 9 T R P r C Y p 5 8 X 3 T k e + F q K 9 E 9 c X b K V E 7 r P 3 9 H c o p 3 x / f 2 8 i v E V b a v u W r E S a 5 r Q J 9 T y Q j b H J b 9 f m e P f X 5 4 3 b K 8 / 3 m N s I U 2 7 d 6 0 1 e b t 6 G E r z b f C 0 V f Z 9 6 q o w g z 3 K o j D 8 F P Q 4 V p w / W z F 2 9 O X 9 1 C n z 2 4 V f b R 9 u I p z A e 3 y z 7 6 H Q w r T N P B 7 t 6 9 / R 3 S L D v j h 5 t Y z p M K + + b D h w / u 7 + 3 d H + / s 3 0 5 3 2 h d 3 y O G l 9 f T 7 4 4 N N s Z k n H v r m M J N 7 A n F j W 0 8 e b m z r i c C N b X 1 d e H P j C E f d k i 6 + M j S v b t / 2 3 Q g H 3 F Y b v i + a k Z m / r T p 8 3 6 7 e Z / p 9 f X h z 4 / d h A F / t 3 d y 4 z w A b G v e n f E P j / h x v G K B r + + A D F d v D W y k 2 2 4 u n 2 B 7 e T r H 5 H Q w r N t P B 3 h 4 F 1 g 8 f U I B 8 y 1 U V 8 + I t P c H 3 6 8 d j b v P i p w 8 f 7 u 3 s b O r N Y + v b v + S x 9 2 1 G 5 D H 4 7 f v w V Z 2 + d T t V Z 7 r Y v f / p w e 6 N R P M 1 n X l z + 5 a v R j j i t o r u P Z G M 8 M R t 9 d x 7 9 t T n h 9 u p u f e Y 2 A g 7 b N / 8 m q / 5 b k M D X / n d H j l f C 9 6 q l w g P 3 N y L h 9 q B 1 Y h 1 t m z O 8 z p f T o u s S b M y f Z X f o L D 2 b l a F F r x 9 4 3 Y Q h 3 W f g U g L h Q 8 O d g 9 u q f j M W 5 8 e 3 L v 3 4 N P b a T / b 0 7 2 H D / c P j P q + S f W Z t / Z 2 7 j 3 Y + 3 R / 5 4 Y U p M f v 7 s 2 D 2 7 z p M b 9 5 8 / 4 O P 7 d T h e + J q K 8 P 9 d X b 6 U P T D 2 m 1 h w / u 0 T + 7 N 3 Q U Y Z / b v h r h k 9 u + G m G W j S I U Y Z T b d h X h l o 1 d 9 X n k d j r x f W c 4 w h z b t 3 z X 1 4 6 3 G Z O v H d 8 T T V 9 F 3 q q r C F P 0 u 7 p J T z 4 c 0 p P p 6 b K 9 S a v d w m e 0 8 N 0 r t 4 Q 5 r C o N z E / v 7 9 3 f r B Y 8 5 j c v b W r u 8 f 7 t + / C 4 3 r y 0 S 5 N 9 s P 9 g U 3 r R 4 / 3 3 e M s T g t u M x 2 P 8 9 + j E 1 4 j 6 2 u 0 0 o u m D M k 0 U / G 3 u I 8 I i t 3 g r w g S 3 e O s 9 u c B X g e / R S 4 Q P b q v 9 b q Z y Z O J v M 5 M R B t i + x X u + 1 r v N W H y t 9 x 7 o + R r v V t 1 E p v 8 W 3 T j k 7 u 1 Y b R f G y V + + + f L V 5 z d q J l q b u U 2 c 7 H r R O N m 9 + V 4 d D C p A 0 8 E w v z i O v 7 m t 4 / a b 2 z o e t 4 O 8 x Q Q 4 T n + f t x z L 2 7 d u p + v e p x N P 1 9 0 8 e k / X 2 T 5 u I 0 6 e s n s v 3 P o z f q v X + p N / W 3 X 3 X t 1 E e O G W + u 4 W l I 5 M / m 1 w i j D B b S b I 0 3 e 3 G o u n 7 9 4 H P U / f 3 a 6 b r 8 k A 7 q 3 d Q X 3 3 6 s v b 6 L u 9 W + k 7 2 4 u n 7 / Z u p + / 8 D o b 1 n e n g Z m f M 4 3 3 z 0 q b m H u v f v g + P 8 f W l Y U b 2 m P 7 G t h 7 P 3 9 j W Y / Q b 2 / o 6 7 u b G E e 6 5 m S S + h j N v b d / i t c g c b 2 w f m d 5 b 9 B K Z 5 Y 3 t + x N 8 m 1 7 e Z 6 p 9 / X Z z 4 / e Z b F + V 3 d y 4 P 9 k b G v f n e E P j / s x u G K B r u 2 c V 1 t c I R 2 / O 2 z n 4 7 p V b w h z W T g b m v Y P d + / d u m 7 m z b 7 1 H 5 s 7 1 9 G D / 0 4 e 3 z d z Z t 3 Y P H n 7 6 8 M H D v Y e 3 z d y 5 N x / u 3 + Z N j 6 n N m + + T u X t f R H 2 9 p q / e T q + Z f i h z R x N M d D y 4 d e b O 4 X j L V y N 8 c t t X I 8 x y W z X 3 v l 1 F u O W 2 u u 5 m y k f Y 4 r Y z H G G O 7 V u + 6 y v C 2 4 z J 1 4 X v i a a v G W / V V Y w p b t e V h + Q 9 q y q / R i y 7 t 7 + 3 f y v f z v Z i f D v 7 5 n t 1 M K w 9 T Q f 3 d 3 d 3 9 x / e 0 r c z L 7 2 P 8 j T v 7 O 9 D I v Z v p z v N S 7 u f 3 i P s S J v d W n e 6 N w 9 u 8 6 Y n J J Y i 7 6 M 7 3 x N R X 3 f q q 7 f T n a Y f 0 p 2 0 m r N 7 7 + D T 2 + t O i + M t X 4 1 w y W 1 f j f D K b X X n + 3 Y V 4 Z b b 6 s 6 b K R 9 h i 9 v O c I Q 5 t m / 5 r q 8 7 b z M m X 3 e + J 5 q + 7 r x V V z G m u F 1 X H p L 7 A 7 r z O H 1 2 9 v Q W q u 3 + r X S n 7 c X T n f d v p z v 9 D o Z 1 p + n g 3 r 2 d / V 0 y H 7 d T n u a t W w b G 7 9 G J J w r m r b 1 P 7 + 8 f c L p 2 8 C 1 P I N 7 j L U 8 y b j M g T x r e o x N f T e p r t 1 O T p o 9 P 9 x / e 2 / v 0 4 J Y K 0 r y 1 f Y v X I m x w 2 9 D 5 P Z C L 8 M F t Q + f 3 6 K X P A b d T i e 8 z k x E G 2 L 7 F e 7 4 q v A 0 F f F X 4 H u j 5 a v B W 3 U S m / x b d e M j d N 8 r p 9 X r S F L O i a t L r l H 6 / R M R 9 g 4 a 6 d 7 P u s + D t G 7 e D O K z s D M R P H + z u P X i w u 3 N / / G D T U D 1 + N 2 / u 3 v v 0 3 k P 6 Z 3 d 8 8 O n t d J 9 5 8 / 6 9 / Y O D + w / 2 7 4 0 f 6 k h u 0 n + u T + L + e z s P 7 o 3 3 N 4 m A J w H 2 z U 8 f P i Q n e v 9 g / K l m K W 7 S g + b N e z u f 7 j 6 8 9 + D + e H f / 8 a 0 0 4 n s i 6 2 t F f f V 2 W t E i + P D + / U / 3 P n 2 w M 9 6 / f 0 v V a F 7 d v u 2 7 E c 6 5 r X 5 8 X z Q j D H N b J f m + X f X 5 5 H a a 8 n 1 n O M I c 2 7 d 8 1 9 e Y t y G H r z H f E 0 1 f a 9 6 q q w h T 3 L I r D 8 l P e 5 r z J u V 2 C 1 / R A n W v 3 B L m s M Y 0 M D / d o T z Q / u 7 B w R j z O j h E T w L M m 7 s 7 n 9 7 f 2 a P Q f L M O 8 g T A v A l / f G / 3 0 w e f j u / f 0 m N 0 f d K r D w 7 2 7 t 9 a Y 9 o 3 7 + 3 Q I B 8 c 7 N 9 a Y 5 o 3 9 3 Y + P a B u H 9 5 a Y 7 4 n s r 7 G 1 F d v p z F N P / c O 7 t + n W P T + 7 n h n o 3 2 P c N T 2 b d + N c M 5 t N e b 7 o h l h m N t q z P f t q s 8 n t 9 O Y 7 z v D E e b Y v u W 7 v s a 8 D T l 8 j f m e a P o a 8 1 Z d R Z j i l l 1 5 S D 6 w G v O r J 6 / P n p 5 9 i U j 7 + X H 6 8 t W X T 7 + 6 U d H R C t K t w m 3 b i 4 b b 7 s 3 3 6 m B Y n 5 o O 9 g 4 O d v f 2 H + w 9 H N / f p G c 8 + T B v f v r g / g 7 5 k Y r S T b r U 9 k f q a f d T y k d t 7 s 8 T E v P m 7 v 7 + g 9 1 P 9 3 b G C B I G X / R E 5 P 1 e 9 M T F v L i J m T w R e b 9 + f P W p b 9 5 O f V o K E g H 3 9 + / f I w u 4 k W U j 3 L R 9 2 3 c j j H J b 9 f m + a E Z 4 5 L b q 8 3 2 7 6 v P G 7 d T n e 0 5 w h D W 2 b / e q r z x v Q w x f e b 4 f k r 7 u v F V P E Y 6 4 X U 8 e i g e + 6 i S t + c X x T 6 S / T 3 r 6 E 7 d S a n t W q b 0 Z 1 J q 2 g 0 B r 7 q m K u n U H w 1 p T O x h m G 0 8 Q b m z r c f 6 N b T 2 u N 4 N 8 c M O C i s f t t 3 3 F 4 3 n z y i 1 1 4 G 1 7 8 L X f j Y P 2 t Z / p Y P v G H i L 8 c O M 7 / S m + + Z 3 + V N 9 6 W e b W f U S m f W P 7 / p z f T s P d G q H I l N 8 4 I 7 5 W u 8 0 o f K 1 2 W 8 R 8 f X a r P r 7 O j L t X H v q a D E 6 g + I B n L 3 7 y 9 N X r W 2 i b e 7 d y A m 0 v n j q 7 d z s n 0 O 9 g W J 2 Z D v Y o b U A + 8 T 4 5 g Z 9 u I I D H 8 e b N e / v 7 u / u 7 l H C 4 Z U h t e 7 x / c L D 3 c J 9 C 6 n u b e v T 4 3 7 x 5 c P D w / v 7 + v Z 3 N 8 b 8 n C O Z F i v / v P X h I n s I Y M z 7 4 p i c V 9 s 0 H t I i 1 S 6 H 4 x i 4 9 0 X g / X H 2 d q G / e T i d a / D 5 9 e E D O + P 6 n Y y i A 4 X 4 i r L V 9 2 3 c j X H N b 7 f i + a E b Y 5 b Z K 8 n 2 7 6 r P J 7 f T l e 0 5 w h D W 2 b / e q r z t v Q w x f d 7 4 f k r 4 G v V V P E Y 6 4 X U 8 O x f 0 d T 4 + e a T T 9 8 v j V c X p y / P L 4 F m r u 4 W 3 0 q O v F 0 6 M P b 6 d H / Q 4 G 9 a j t Y I + S k / c p + T Y 2 s G 9 Q o / b F / f s P H j 7 4 9 M F 4 / 3 Z q 1 L 5 H 3 T 3 4 l J a y x 5 9 u I r g T E I f p g / u f 3 t Z 9 f I + X n I j Y l z Y 1 d 3 L x H n 1 4 6 t K 8 d S t 1 6 Y i 2 d 7 C 3 c y P R P G 1 p 3 9 y + 5 a s R 1 r i l s n x f J C M 8 c U t d + b 4 9 9 f n h V q r y f S Y 2 w g 7 b N 7 / m q c h b 0 c B T k e + B n K c e b 9 d L T D 3 c 2 I u H 2 q 6 n G m 2 e 8 d n Z 0 9 O z k y + / u J X m u k X E 7 H o J V O O t I m a / g 2 H V q B 0 M 8 4 r H + z e 2 9 b j 9 x r Y e p 5 t B 3 t s j d f l g f / x w 0 7 K k x + f m v U 9 p 0 e g + O c e b 5 M P j + P f q z u P 5 9 3 r P 1 4 I 3 0 s L X g q a X 7 d t 1 E + G V 2 7 3 Y 5 4 F b v t h n C C N o N 6 r A 9 + s o w i E b Z b P P G b f T g O + H V Y Q h b j d V v h 6 8 z X h 8 P f h e K P q q 8 F Y d f W 1 W c O / t W W 2 4 n l z m y 2 l R L f M b l 6 r 3 b t Z / F q 5 7 5 Z Y w h 1 W e g f n p w w f 3 9 x 7 u P h h / u m G M H r e b 9 / Y e H t B z f 2 e 8 t 7 / h R Y / t z Y v 3 H h 5 8 u r 9 D b u Q t Y 2 q / R 6 y q H 9 x O L b r u H t y / 9 + m n m 5 D 0 p M C 8 9 f D h v Y P 9 3 U 0 I e h L w H g j 6 C l F f u 5 1 C N H 3 s k h N E i 2 E P N 1 P P V 4 j m z e 1 b v h r h k d u 6 h e + J Z I Q 5 b u s W v m d P f b 6 4 n V J 8 n 5 m N M M T 2 L d 7 z F e J t q O A r x P d A z 1 e H t + o m w g a 3 6 M Z D 7 p 5 V h l 8 9 + c n T F y d n X 7 5 I f / L 0 2 2 c n X z 0 / f n W j A q M F n F u 5 h r Y X 4 x r a N 9 + r g 2 E 9 a T p 4 X z 1 p 3 n t v P W l e f G 8 9 6 f X 4 H n r S d f c + e t K 8 9 V 5 6 8 j 0 Q 9 P W k v n Y 7 P W n 6 u K V i i H D S 1 9 C T 5 t X b 6 s n 3 R D L C H L f V k + / Z U 5 8 v b q c n 3 2 d m I w z x v n r y N l T w 9 e R 7 o O f r y V t 1 E 2 G D W 3 T j I b d v N N j x 9 X q W N e n r a l p k 5 Y 1 + 4 / 7 N u t F C t m / c D u K w M j Q Q D x 4 e 3 K c X 9 g 7 G O 7 d U h + b N B w / 2 9 j / d 3 9 s d P 9 i k a T y O t 1 3 u 7 d 7 b o c Q E r c W o + 3 u T P j R v f r r 7 6 Q N K B H y 6 O 7 5 3 y 5 D a I r t 3 f 2 f n 4 c 6 9 + + O H D 2 + n F 8 2 b u z s H e 5 / e 3 6 H Y Y a N G 9 W T h P b H 1 F a S + e j s F a f r Z 2 9 m / / y n 9 Q 9 H N L Z d j 7 K v b t 3 0 3 w j m 3 V Z H v i 2 a E Y 2 6 r I 9 + 3 q z 6 j 3 E 5 J v u 8 M R 5 h j + 5 b v + s r y N u T w l e V 7 o u k r z F t 1 F W G K W 3 b l I X l / Q G m m W f o y v 0 n P 3 c K t t P D d K 7 e E O a w 8 D c w H 9 w 8 e P N y h t Z T x z q b R e s J g 3 3 x A S y k P 9 2 + v P M 2 L n x 7 s f n p v n 1 a W x / d 0 J D c p T / P m v Y N P a Z n + 3 t 6 9 z U L h y Y R 5 c 3 + f F q T 3 P t 0 n j 3 l T n 5 6 A W G x 3 d x 7 u o c v b 6 s 7 3 R N b X n f r q 7 X S n 6 W f v 4 f 1 7 O / v 3 d u + N 7 2 3 C 0 N e d 5 t X t 2 7 4 b Y Z z b 6 s 7 3 R T P C M L f V n e / b V Z 9 P b q c 7 3 3 e G I 8 y x f c t 3 f d 1 5 G 3 L 4 u v M 9 0 f R 1 5 6 2 6 i j D F L b v y k P z U 6 s 7 f 5 6 u n x 6 / T 1 1 + e n B 0 / P 8 X K z c v T G / U c Z U d v t Z x t e 9 H A 3 L 3 5 X h 0 M q 1 P T w d 7 + w w c P H + 7 e / / T W 6 t S 8 u b u 3 u 8 s L 2 v c 3 e Z S e d N g u 7 9 F b F P k e j O / f u 5 0 6 t W / u H O w / f P h g b 2 9 z n 5 6 Y 2 D e R s d i 9 d 4 + G u e l N T 2 b s M M n e 7 H 5 K o r m J P J 7 A v C e u v j b V V 2 + n T W 0 / l F V 5 + O m n N L B N d s J X p u b N 7 V u + G u G a 2 + r S 9 0 Q y w i y 3 V a X v 2 V O f R W 6 n S d 9 3 d i O M s X 3 L d 3 1 N e h t q + J r 0 P d H 0 N e m t u o o p k t t 1 5 S H 5 w O i 4 N 6 + O X 7 x + d v o K a U 7 S q C + P X x 3 f S s / d J s N p O w k U 6 Y 0 Z z m 4 H w 4 r U d H B v j x z E + w 9 3 x p v s i C c a 5 r 1 N d P b k 4 b 2 6 8 e R C 3 x v m b k 8 S b m z r C c K N b T 3 O v 7 G t r w R v b h x h o V t R x d e B 5 s X t 2 7 0 Z m e / b q s D 3 Q z E y 4 7 f V g O / X 0 f t M u 6 8 A b 2 7 8 P h P v 6 z h p v K l x f + I 3 N O 5 P 9 o b G / f n d M E D X 9 s A q l + P X b 7 4 U z Z W + f P X l 5 6 + O v 7 i d C r t N N O 1 6 8 V X Y L Y L q s I N h F W Y 6 u H + f A t 2 N y x E e X 5 u X K D S + f 7 B z c D s t Z l 6 6 9 3 D / h p c 8 x t a X h m f E 4 + U b 2 3 q s f G N b j 5 N v b O u r s J s b R 3 j o Z p L 4 + s u 8 t X 2 L 1 y I z f V v l 9 R 7 I R W b 5 t p r r P X p 5 n 6 n 2 1 d b N j d 9 n s n 2 1 d X P j / m R v a N y f 4 w 2 N + z O 7 Y Y C u 7 U O j U D S E p T X l N 1 + 9 4 i D 2 9 7 m V U j m 4 h d a y n Q R a C 2 + + V w f D W s t 0 g K X o e w / H e 5 u 8 T o + l z W u b m N P j 5 f f p x W N p f W 1 4 O j x G v r G t x 8 c 3 t v X Y + M a 2 v s 6 6 u X G E g W 5 D F F 9 r m f e 2 b / V i Z K 5 v q 7 f e C 8 H I b N 9 W c 7 1 X P + 8 z 5 b 7 u u r n x + 0 y 6 r 7 t u b t y f 9 A 2 N + z O 9 o X F / d j c M 0 L a 9 v 9 P R X c d v X q R f n D 4 9 O z m + l W J 5 e L P m c l 0 E m g t v v l c H g 5 r L d r D 3 E M / m z K N j a v v a 7 T T X e / X i W N q 8 N j w Z j o 1 v b u u 4 + O a 2 j o l v b u t p r l s 0 j r D P b Y j i a S 7 7 3 v a t X o z M 9 S 0 1 1 / s h G J n t W 2 q u 9 + v n f a b c 0 1 y 3 a P w + k + 5 p r l s 0 7 k / 6 h s b 9 m d 7 Q u D + 7 G w b o 2 u 5 a z X X y 5 u w n 2 e l K f 5 / 0 6 e n L 2 + i V X a Q z b 1 J c t g d f c e 2 a R O i t O x h W X K a D g w d 7 + z u 0 H P r g 4 e 0 0 l 3 l v 7 + E O n t v p L / P S / Y N b d O Z x t n v v 3 v 7 D e 5 t e 8 t j a v P Q p E W P z S x 5 7 u 5 5 u G J X H 5 b f H z t d x + t b t d J z p Y p u s 0 c 7 u 2 O Q 6 b 9 R x 5 r 3 b v B Z h i t u 8 F u G J j Q o r w g 6 3 6 S b C D R u 7 6 T P C 7 f T b e 0 x m h A W 2 b 3 7 N V 3 m 3 G Y m v 9 W 6 P n K / + b t V L Z P Z v 7 s V D b c + q Q j h x 6 e v T V z + Z U s 7 s + a 0 U 1 S 2 W T 1 0 H g S a 8 3 f K p 1 8 G w J j Q d 7 N G i 4 m b Z 9 1 j e v H R L B X j 7 P j x + N y / t 3 t t 9 u P k l j + n t S / s 7 N 7 z k M b 9 5 6 e H t l d / t k f O V n 7 5 1 O + X n u n i 4 f 0 M X E X 7 Z v s V r E S 7 Y 2 D 7 C A L f o J c I H G 9 t H W e D G X v o 8 c D v F 9 x 4 T G Z n + 7 Z t f 8 x X f b c b v K 7 7 b I + c r v l v 1 E p n 7 m 3 v x U L s X K D 6 K X p + f f X H 6 4 s 3 x y d m X L 2 6 l m 2 6 x 5 O k 6 C Z T f 7 Z Y 8 v Q 6 G l Z 9 2 M M w q H s v f 2 N Z j 9 B v b e k x u B r l H i 8 4 P H z y 8 P 3 6 w d z t d 9 3 4 v e j x v X r y l r n u / f n x 9 d y M Z f H 1 n u t m + Z T 8 R P r n l m 3 0 G u O 2 b f X a 4 t d f 3 n j 1 F G O S 2 + u 9 m q k d 4 4 Z Z o R d j i l v P l 6 8 H b j M j X g + + H p K 8 L b 9 X T 1 + c H 9 + J + R x + + e X X 8 4 v X L L 1 + 9 O b 2 V s r p / C 2 1 o u w i 0 4 f 3 b a U P X w b A 2 N B 3 s f X r / 4 f 0 b f C F P E s x r + 5 8 + e I + g 2 H a 2 + 3 D v p s 4 8 Y T C v 3 d v b O S A f 7 / 7 Y u M I 3 a c v 3 e 9 G T E P P i L b W l 7 e d W / f j a U t + 8 n b Y 0 3 e w e P N i l 6 d r Z H x 9 s D F k i f L R 9 2 3 c j L H J b P / F 9 0 Y w w y G 2 d x f f t q s 8 b t 9 O Y 7 z n B E d b Y v t 2 r v s a 8 D T F 8 j f l + S P o a 8 1 Y 9 R T j i d j 1 5 K N 4 P N G Z 6 + v S r k 9 t 7 j 5 / e Q l / a D g J 9 + a m i d + s O h v W l 6 W D 3 3 q c H D x 9 + e u / T 2 y 7 d e m 9 S w u 3 e p z e 8 6 A m F f X H v 3 s 7 D h 3 s P b q k 1 z W s U R u 0 / u L + 7 O 7 7 3 6 e 2 0 p k P 0 3 h 4 l R m h 6 D / Z v p z b N m / c e 7 t E q + M H + G A v 7 g y 9 6 U v J + u P o K V N + 8 n Q I 1 3 V A m 9 / 7 u g / s H 4 0 8 3 D c z X n + b N 7 V u + G u G Y 2 6 r P 9 0 Q y w i i 3 1 Z 7 v 2 V O f R W 6 n P N 9 z c i N s s X 2 7 V 3 3 l e R t a + M r z / Z D 0 l e e t e o r w w + 1 6 8 l D 8 N F C e 7 7 t 4 v P v g F u r T d h G o T 7 z 5 X h 0 M q 0 / T w T 6 p z o f 3 9 h 6 M I S m D g / e k w r x 4 S 0 / z / f r x Z E J f H O Z s T w p u b O s J w Y 1 t P b a / s a 2 v A G 9 u H G G h 2 5 H F V 4 D m z e 1 b v h q Z 8 9 s q w P d E M j L r t 1 W A 7 9 n T + 0 y 9 r w B v b v w + k + 9 r u Z s b 9 y d / Q + P + f G 9 o 3 J / h D Q N 0 b R 9 0 t d j J G 1 5 N / u q 2 K y g H t 9 B j t p N A j x 3 c T o + 5 D o b 1 m O n g U 1 r Q I 9 M 5 f v j g d m r M v H d L N f Z e 3 X i M b d 7 b f X i f c r 2 f 7 o z 3 P r 2 d 7 2 d e 3 N s / O L i / c 0 A 9 3 j K / a F 6 8 f + / e w 4 O 9 + + N P N 3 X o s f v 7 Y e o r P n 3 z d o r P d E P J + / 1 7 n 1 L U M t 7 b G C h G e O m W b 0 a Y 5 J Z v v i e b + I r v P X u K c M r G n v o M c j v F 9 5 6 T G 2 G L 7 d u 9 6 u v E 2 4 z I V 4 v v h 6 S v I 2 / V U 4 w f b t W T h + K B U W d P 8 m n W 3 K T E 9 m 7 W j x a g e + W W M I d V o o G 5 u 7 d 3 g O j 2 / u 0 0 o n n t l h r x f X r x 2 N y + d u / g 0 w e f m v H e p A 3 N W x R z P 6 A 4 e J N M e V z v + t r b + f Q e h G f w L Y / j 3 w N D X w v q a 7 f T g q Y P 0 o I P 9 v c f k E F 5 s I l + v h Z 0 6 N 3 q z R h f 3 O 7 N 9 2 Q N X w u + Z 0 8 R 9 r i t F r y Z 6 l F + u H l m I w y x f Y v 3 f P 1 3 m 7 H 4 + u 8 9 0 P O V 3 6 2 6 i b L B j d 1 4 y D 2 0 m u / 0 h J x F T h i + O f v J 4 9 c 3 K q z 9 / b 0 d 8 P 5 N q t D 2 Y F x F + + Z 7 d T C s F 0 0 H t 9 F Y H v O b 1 2 6 p F 9 + n F 4 / x z W u f f k r a a t M 7 H v P f + h 1 P B m 4 z G o / 3 b 9 2 F r w r 1 p d u p Q t P D 9 v 1 7 B 8 S c t 1 e E 5 s V b v R d h g 1 u 9 9 5 5 8 4 C v B 9 + o n w g m 3 V Y E 3 U z s y / T f P Z 4 Q J t m 9 8 y 1 d / t x m H r / 5 u j Z q v / G 7 V S W T y b + z E I f b p j l F M z 7 7 8 4 v T F m y / T p 6 d Y W z 7 7 y S 9 v p Z r 2 b 9 Z 9 r o t A 9 + H N 9 + p g U P e Z D o a Z x D H 6 z W 0 d k 9 / c 1 j G 2 H e S D B z e s O D v m t u / s 3 t + / 4 S X H 5 L f v y P H 4 7 d / x F N 3 N o / c U n e 1 h + + Y u I p x x 8 0 v 9 2 b 7 F S / 1 p v 6 1 + e 4 9 O I j x w S + V 2 C w r H 5 / 0 G j C I T f / O 0 e M r t V u P w l N v t i e U p t 9 t 1 8 r W m 3 b 2 z a z S P + H V n L 3 7 y 9 N X r W y w E s + a 5 x U K w 6 y B Q b T c v B H c 6 G F Z t 2 s G t V N u N b T 3 + v r G t x 9 Z m k L t 7 l P b Z H G l 6 z G 3 e o h z f g 7 1 P 7 + 3 f T r u 9 R 1 8 e m 7 / H W 7 6 G u 5 E I v o Y z f W z f p p M I i 9 z m t f 7 E 3 + q 1 P g / c W s + 9 T z c R l r i t p r u Z 0 l + P B 3 x d 9 z 4 T 5 G u 7 2 4 z F 1 3 b v g Z 6 v 7 2 7 V z d d k A P f W n l F I x 9 f r W d a k r 6 t p m q V n y 6 Y t 2 v V N W u n e z Q r P w n e v 3 B L m s I 4 z M H f v 0 Q I Z 5 Z X 3 x g 8 + 3 T B a j 9 v N m w 9 3 9 g 8 2 0 d V j e K 8 z S o 9 + u n N D Z x 7 P m z f 3 d j + l N x 8 + v D + + d 3 A 7 V W j f v L 9 z n 6 Z z 7 + H m N z 1 R M G / S c s e n n + 5 v V K K e J L w n p r 5 K 1 F d v p x J N P + J d 3 H u 4 N 8 Z H w / 1 E + O i W b 0 a 4 5 Z Z v R r j l t r r x P X u K s M p t 1 e P N V I / w x G 1 n N 8 I Y 2 7 d 8 1 1 e T t x m T r y b f E 0 1 f V d 6 q q w h L 3 L I r D 8 l 7 V l 3 K M v H r L 0 / O j p + f 0 n o x O Y s 3 q r b 9 / X u 3 S f 6 5 X o y X a N 9 8 r w 6 G N a j p 4 N 4 O P 7 d T n u a l W y r O 2 / f h C Y K + N M z Y n h D c 2 N a T g R v b e k x / Y 1 t f / 9 3 c O M I 9 N 5 P E V 3 3 m r e 1 b v B a Z 4 4 3 t I 9 N 7 i 1 4 i s 7 y x f X + C b 9 P L + 0 y 1 r + 9 u b v w + k + 2 r t J s b 9 y d 7 Q + P + H G 9 o 3 J / Z D Q N 0 b f c / U G H d v 5 X C s r 1 4 C u v + 7 R S W 3 8 G w w j I d f H r / 3 q f 3 H 3 6 6 i W 8 8 l j Z v v Y e 7 5 z r a e 3 B / 8 1 s e V 5 u 3 7 t M S 0 v 7 e + O G n t / P z z G s P b v G a x + D m t b 2 b R M j j 8 / f B 0 N d v + t 7 t 9 J s l 3 v 6 n D x / u 3 H s w 3 t m / p Y 4 z b 2 7 f 8 t U I a 9 x W z 7 0 n k h H e u K 2 u e 8 + e + o x x O 3 3 3 X l M b Y Y n t 2 7 z o q 8 H b 0 M H X h O + D o K 8 U b 9 V P h B N u 0 4 + H 3 n 2 r I r G Q k Z 5 8 + e I n 0 y 9 f f X 4 r 3 b V 3 C + V o 4 Q f K c e 9 2 y t F 1 M K w c T Q c P d v c e 7 N B K 6 6 3 D Y f P i L X X j + / X j C Y J 5 8 d O H + w 8 P S H u P N 6 6 z e 3 J g X j z Y u 3 + L F z 2 Z M C / u 3 t t 9 D y X 5 f n j 6 a l L f v J 2 a t M g 9 e L C 7 + + n e e G O Y 7 m t J 8 + L 2 7 d 6 M s M h t l e T 7 o R j h k d v q y P f r q M 8 a t 1 O R 7 z m x E Z b Y v t 2 r v p q 8 D S l 8 N f l + S P q K 8 l Y 9 R b j h d j 1 5 K H 5 q V W X P m z x 9 c Q t 9 9 u B W 3 q T t x V O Y D 2 7 n T f o d D C t M 7 W C Y d z x J u L G t x / w 3 t v U Y 3 w x y l + z W g 5 3 7 D 2 + p E e 1 r n z 7 Y v f d g Z + / T 2 + l D 8 x o t I r 1 H X v B 9 c P S 1 4 Y 1 0 8 L W h 6 W T 7 V r 1 E 2 O R W 7 / V n / 3 b v 9 T n h 1 u n A 9 + o n w h m 3 D Y 5 v p n a E E W 6 F V I Q V b j V L v h a 8 z W h 8 L f g + C P o 6 8 F b 9 f F 0 u c K 8 9 s B r Q r Z e 8 S 5 / m T d a 0 9 U 0 K a v 9 m 3 W f h u 1 d u C X N Y 3 T 0 w w v / w t q k + g 8 U t H U P T / I Y O P B 7 X N 4 Z 5 1 u P v G 9 t 6 7 H 1 j W 4 + l b 2 z r q 7 S b G 0 e Y 5 A Z 6 + M r M v L J 9 0 z s e C 9 9 m l n w F d l u 0 I j N 7 W 3 f u t l 2 8 z / T 6 6 u v m x u 8 z w b 6 e u r l x f 4 I 3 N O 5 P 7 Y b G / T n d M E D X 9 s D o i i 9 O X 5 0 c v y B X 7 H X 6 8 v j V c f o 6 / e r p j X p j n 7 J b t / H G b C / G G 7 N v v l c H w + r J d H B 7 9 W T e u K V 6 u m U H H h v r G 8 O z 4 P H v j W 0 9 9 r 2 x r c e 9 N 7 b 1 1 d P N j S N 8 8 x 7 q y b z y P u r p N r P k q 6 f b o h W Z 2 d u q p 9 t 2 8 T 7 T 6 6 u n m x u / z w T 7 6 u n m x v 0 J 3 t C 4 P 7 U b G v f n d M M A X d u H R n G 8 z J d N U S 3 z J r 1 O v 7 O e F G U 2 L W 7 Q H v d v 1 k s W v H 3 j d h C H F Z G B + K m s T W 3 i E I 9 t z V u 3 V E b v 0 Y n H u O a t 3 Q d 7 9 3 a w Z j 0 2 + c O b 1 N N 7 v u k x 8 2 0 G 5 r H z e 3 b k a y 9 9 9 X b a y / S z v b t 7 u 4 4 i P H P b V y P M c d t X 3 5 N D f K 3 2 v l 1 F + O S 2 2 u 1 m y k c Y 4 r Y z H G G O 7 V u + 6 6 u + 2 4 z J 1 3 7 v i a a v C 2 / V V Y w p b t e V Q / L B j t F e V V t T G B m q y J t U 2 c M b t a O D 7 1 6 5 J c x B / W h h 3 k J 1 O e 6 3 b 9 1 O P 7 5 P J 4 7 v 7 V u 3 n A g n A e / 7 p h O H W w 3 M i c D 7 d u T p R / P q r f S j 7 e d r 6 E e H 4 y 1 f j T D H b V 9 9 T w 7 x 9 O N 7 d x X h k 1 v q x 1 t Q P s I Q t 5 3 h C H N 8 D f 1 4 q z F 5 + v F 9 0 f T 0 4 + 2 6 i j H F 7 b r y k N w 1 + u v 1 6 a u f T L 8 4 f X p 2 8 m X 6 8 v f 5 z o 1 q j D r Z u b d 7 s 4 K 0 H W h Y 6 9 5 8 r w 6 G t a X p 4 B a K z J M F 8 9 Y t t e V 7 d O J J g X n r l t P i y c N 7 v u k J x 2 0 G 5 g n E e 3 b k a 0 t 9 9 X b a 0 v T z d b S l x f G W r 0 a Y 4 7 a v v i e H + N r y f b u K 8 M l t t e X N l I 8 w x G 1 n O M I c X 0 d b 3 m Z M v r Z 8 T z R 9 b X m r r m J M c b u u P C T 3 j D J 7 U 2 f L 5 j y v 8 + W 0 I L c y S 5 8 V s x s 0 2 q c 3 6 0 o L 3 r 5 x O 4 j D y l E h D n O K x / A 3 t v W Y / c a 2 H n e b U e 3 d 3 9 / 9 d B e r 4 L f T g e 6 9 T 3 f v 3 b / h P Y / h z X u 7 D x / s b 9 T U H q e / F 4 6 + E r y R E L 4 S N L 1 s 3 6 6 b C G f c 7 s U + A 9 z y x T 4 3 3 F r 9 v V 9 H E f a 4 r f K 7 m e I R X r g d V h G G u N 1 U + Y r v N u P x F d 9 7 o e i r v V t 1 9 L V Z w b 1 3 L 1 R 6 o u x G 6 R e z t m p u 0 l C 7 N y s 9 C 9 6 9 c k u Y w 2 p P Y d 5 K 7 d 3 Y 1 m P y G 9 t 6 f G 3 G d S t y e / z t 3 n s / t W f e e x + 1 9 1 4 4 + m r v R k L 4 a s / 0 c j t Z 8 t X e + + H X Z 4 B b v t j n h l u r v a C j G z u K s M d t 1 d 7 N F I / w w u 2 G H 2 G I 2 0 2 V r / Z u M x 5 f 7 b 0 X i r 7 a u 1 V H X 5 s V 3 H v 7 R i 8 d v / z y 1 Z v j k 7 M v X 5 y + T o / T Z 2 d P T 8 9 u 1 F H 7 n + 7 e Z t X X 9 a L h s X v z v T o Y V o X a w a 1 U 4 Y 1 t P c a / s a 3 H 6 2 a Q e / f 3 d g 8 e 3 F 4 V v t d 7 H v u b 9 2 6 p B d + r G 1 8 L 3 k g D X w u a X r Z v 1 0 2 E R 2 7 3 Y n / u b / l i n x F u r Q X f r 6 M I Z 9 x W C 9 5 M 8 Q g b 3 A 6 r C E P c b q p 8 L X i b 8 f h a 8 L 1 Q 9 L X g r T r 6 2 q z g 3 r t v 9 N O b V 8 c v X j 8 7 f X X 6 4 u T s W P X g L Z T U v V t p Q d u L p w X v 3 U 4 L + h 0 M a 0 H t 4 F Z a 8 M a 2 H u P f 2 N b j d T P I G x 0 0 j 9 / N O / c e 7 h 9 s f M d j + 1 v 3 4 3 H 8 r d / x 1 d + N g / f V n + l h + + Y u I o x x 8 0 v 9 y b 7 F S / 1 Z v 7 X K u 3 0 n E R a 4 r b q 7 m c J f Z 9 5 9 V X f 7 a f H V 3 G 3 G 4 a u 5 W 6 P m q 7 h b d f K 1 p t 2 9 8 6 l R P C + z u i 2 m x S q b m u X h 4 9 V m 7 X P v Z r V m o Z s X b g V v W I s Z e A c 7 9 z + 9 / / D T B w / v j x 8 8 2 D B Q j 7 3 N q w 8 P 7 u 8 9 3 N 1 5 u D f e + X T D m x 6 j m z c f 7 D z Y p X T p g 5 1 7 4 w e q m G / S e B b f + / c P P v 3 0 0 4 P 7 u + O 9 + 7 d T f P Z V e m t v 5 / 7 O H v W 6 C W F P D s y r u 3 u f 3 r 9 3 Q E n e 8 f 1 N + H r C 8 L 7 4 + s p Q 3 7 2 d M j Q d b e / u H z y 4 9 + n u 7 v 6 D 8 f 3 9 W + p E O 7 7 b v h v h o F u / G 2 G h 2 2 r I 9 + 4 r w j m 3 V Z Q 3 U z / C I L e e 5 g i L b N / 2 Z V 9 t 3 m Z U v t p 8 X 0 R 9 7 X m r v m K 6 5 Z Z 9 e W g + G F C i N + i 7 W / i F F r J 9 4 3 Y Q h 1 W o g b h / 7 9 P 9 e / f v 7 + 3 d H z 9 U x X y T C j W v 3 t + 9 v / / w Y O / e v c 1 6 x Z M E 8 + a 9 g / 2 D g / u f P i T t u 7 9 3 O x V q X / 3 0 0 / 2 9 X f i 7 4 4 e b V L 4 n E / b V B z s H D 3 f 2 S Y + O d z Y h 7 E m I p d L + p w / v 3 T s 4 G O 9 s E l x P P N 4 X X V + D 6 r u 3 0 6 C m o 9 2 D / U / 3 a R 4 P x v s b u T X C V N u 3 f T f C P r f 1 K t 8 X z Q j T 3 N a 3 f N + u + p x y O + 3 5 3 l M c Y Y / t 2 7 7 s a 8 / b E M T X n u + L q K 8 9 b 9 V X h C 9 u 2 5 e H 5 o G v P d P Z x 8 / y W V 6 T B v 1 H / 9 Z l m t 2 k 8 G 6 h Q y 1 8 9 8 o t Y Q 5 r U Q N z / x 4 l E / Z 3 d / b v j 3 c 2 D d e T C P P q / V 3 y J x 9 + u k N v b t K / n k C Y N + 8 d 7 B z s 7 O 3 u 7 + 9 s V k u e b N h X P 9 3 Z e / B w j z T w e P / h 7 b S o e 5 V 0 4 d 7 9 + w 8 J 4 U 2 v e p J i q b S / e 2 / v g F 7 8 9 H Z K 9 H 2 x 9 Z W o v n s 7 J W o 6 I g d 7 b 4 8 m c m d 8 / 7 Z K 1 L y 6 f d t 3 I 9 x z W y X 6 v m h G e O a 2 S v R 9 u + o z y u 2 U 6 H t P c Y Q 9 t m / 7 s q 9 E b 0 M Q X 4 m + L 6 K + E r 1 V X x G + u G 1 f H p o P j Z J 7 9 u W L p 1 + m n 5 + + O H 1 1 / D x 9 e p q + P H 5 1 o 8 I 7 2 L 3 d Y o 3 t R d K U 3 p v v 1 c G w X t U O h n n I k 4 o b 2 3 p i c G N b T w T M I P f u 7 e 1 D 1 e 7 v j x 9 s k g F P B N y r 5 H 7 w H I 7 v b V L u n k D Y V w / I f j 5 E q H h w O 2 X 5 v u j 6 y v J G s v j K 0 n S 0 f e u e I p x z 6 3 f 7 T H H 7 d / t M c u u Y / b 3 7 i j D O x r 7 6 3 H I 7 h f n e i E V Y 5 N Y z 5 y v M 2 4 z K K M y v g 6 i v M G / V 1 4 d w h n 3 1 Y M c q T K h L 6 E p S l G / O T s 5 e H p / c T p 3 d v 1 F f u k 5 C f a k o 3 r q D Q X 1 p O 9 h 7 8 G D n 0 4 N P H 9 x 7 O D 7 4 d A M B n G T Y V y m 8 f b j / 8 A E F x / u b N I 6 T E d c p e b + U 2 H p 4 8 G B 8 b 9 O r T k T M q 8 M s 7 8 T j 5 r Z O O m 5 u 6 6 T h 5 r a e h r x F 4 w h P 3 Z Y w n o K 0 7 2 7 f + u U I G 2 z U P J G 5 v 3 V f k d n f 2 F d / y m / f 1 / u w g K c h b 9 H 4 f Z j A U 4 G 3 a N x n g g 2 N + 7 O + o X F / l j c M 0 L X d t e q N / U H y A 5 9 9 + c X p i z d f p l 9 8 9 e I W 6 m f v N v 6 g 6 8 X T b 3 u 3 8 w f 9 D o b 1 m 3 Y w P G S P q W 9 s 6 z H x j W 0 9 B j a D v H f v 3 s O D e 5 / e u 5 0 v 6 L 3 2 Y H / v 0 / 3 d g / G 9 / V u 5 g u 7 N / f 2 9 B w f 3 N r / n 8 f T 7 I O r r u B u J 4 e s 4 0 8 n 2 r X q J 8 M q t 3 u u z w O 3 e 6 7 P D b T 2 / 9 + s n w h 4 b + + n z x e 1 0 2 n s h F W G F W 8 2 S r + p u M x p f 2 7 0 P g r 7 i u 1 U / X 5 c L 3 G t 7 V g 2 S E r Q a 8 O X x 8 9 t p q F u 4 e L a H U A X e x s X z O x h W g a a D / d 1 P a R F x / / 6 D M e g 4 O H h P A u y b D 2 n 9 + N M H t J 6 1 S Z F 4 o m B e v E c O J W U p D 2 i J a J P F 9 o R B 3 x x m b k 8 Q b m z r y c G N b T 3 e v 7 G t r / t u b h z h p l v S x d d + 5 t X t 2 7 4 b 4 Y D b e n f v i 2 Z k 5 m / r 3 L 1 v V + 8 z / b 4 e v L n x + z C A r / B u b t x n g A 2 N + 1 O + o X F / j j c M 0 L W 9 Z 1 S O i 1 j P v n x x + p q 8 v N v o t f u 3 c u 1 s J 5 5 e u 3 8 7 1 8 7 v Y F i v a Q f D I / Y 4 + s a 2 H g v f 2 N Z j X z P I B 3 s 7 D z + l 8 G S 8 i X k 9 3 r X v 3 d u l Z f A 9 W h H 5 9 H a u n X l x l 5 K D O z u k y j e 9 5 7 H 0 e y H q 6 7 c b q e H r N 9 P L 9 u 2 6 i X D L 7 V 7 s c 8 E t X + y z x K 3 d u / f r K M I j t / X v b q Z 4 h B 9 u h 1 W E I W 4 3 V b 7 C u 8 1 4 f J 3 3 X i j 6 + u 9 W H X 1 t V n D v 7 f v q M D 3 7 4 i W 5 e K e v X 6 Y n p 6 9 + 8 v R 2 6 u o W f p 7 t J d S H t / H z / A 6 G 9 a H p 4 M G D B / f 3 7 + 3 c H + 9 v 8 n E 9 S T A v P s R 7 n + 6 O d z a 9 5 0 m E e e / T B w / p o d T p / u 1 8 P H 1 v m M E 9 Y b i x r S c L N 7 b 1 2 P / G t r 4 O v L l x h J t u R R V f B Z o X t 2 / 3 Z m T m b + v f v R + K k R m / r X f 3 f h 2 9 z 7 T 7 O v D m x u 8 z 8 b 6 q u 7 l x f + I 3 N O 5 P 9 o b G / f n d M E D X 9 r 5 R M 8 9 s 3 u 7 s 9 c n x 8 7 O f I i f v V r o G Y 7 p J m d l e A m W G N 9 + r g 2 F l p h 0 M D 9 l j 5 x v b e h x 8 Y 1 u P e 8 0 g P 7 3 3 Y O f g 4 f 3 d h 2 M w 0 i D / e u x r 3 9 y / v 7 u / 8 + D + z u a l E Y + X z Z s H O / f J M 6 S I e 1 O P H l u / J 6 6 + d r u R J L 5 2 M / 1 s 3 7 a j C N P c 9 t U + O 9 z 6 1 T 5 3 3 N r P e 9 + u I g x z W 0 / v Z s p H O O O 2 e E W Y 4 7 a T 5 q v A 2 4 z J 1 4 L v i a a v E 2 / V 1 Q c w h X v z 0 1 B J e h r y y x e 3 U 2 G 3 c P h s J 6 G O v J 3 D 5 z o Y 1 p G m g w f 3 9 n b u P 9 i h / N w m J e O J h H n x g P z k h 0 S 5 M e R l 8 E V P N s y L n 9 7 f 3 T l 4 s P v g 0 / G n n 9 7 O 5 9 M 3 h 1 l d x O J 2 b T 2 p u L G t J w Y 3 t v W 1 4 s 2 N I / x 0 S 7 r 4 S t G 8 u n 3 b d y M M c F u / 7 3 3 R j M z 8 b T 2 / 9 + 3 q f a b f 1 4 o 3 N 3 4 f B v A V 3 8 2 N + w y w o X F / y j c 0 7 s / x h g G 6 t g + M x q E Y 9 q v T 1 x L G n p 6 c H T 9 P X 3 9 5 K 7 V z 7 x a + n + 0 l 0 G t 4 8 7 0 6 G N Z r 2 s H w k D 2 W v r G t x 8 M 3 t v X 4 1 w x y 9 + D + 3 s O d n U / v j + 8 9 u J 3 v 5 9 5 8 8 P D e w c P d T 8 c P 7 9 3 O 9 z N v 0 m L v w c H 9 3 f H 9 T R L j s f V 7 4 u p r u R t J 4 m s 5 0 8 / 2 b T u K M M 1 t X + 2 z w 6 1 f 7 X P H r X 2 / 9 + 0 q w j C 3 9 f 1 u p n y E M 2 6 L V 4 Q 5 b j t p v g q 8 z Z h 8 L f i e a P o 6 8 V Z d f Q B T u D c P P C W p i b 6 X r 7 5 8 m r 6 m b N / r 2 + m w W z h / t p d Q S d 7 O + X M d D C t J 0 8 H u w 4 f 3 a R W B Q s w H m w j g C Y V 5 c + / e w S 6 t G 5 F l 3 r + d 9 2 e 7 f H D / w f 2 D e 3 v 7 4 9 1 N m s 0 T D n 1 z m N k 9 w b i x r S c X N 7 b 1 B O H G t r 5 e v L l x h K N u S R d f L Z p X t 2 / 7 b o Q D b u v 9 v S + a k Z m / r f f 3 v l 2 9 z / T 7 e v H m x u / D A L 7 q u 7 l x n w E 2 N O 5 P + Y b G / T n e M E D X 9 q G n 2 N j 7 e 5 1 + + e T V a X r 8 1 Z s v v 7 i V 3 t m / h f d n e w k U G 9 5 8 r w 6 G F Z t 2 M D x k j 6 V v b O v x 8 I 1 t P f 4 1 g 7 z 3 4 P 6 9 / Q f 7 9 8 d 7 t / P 9 3 H s P 9 / b v 7 e + M P 1 W 6 R F / 0 G N m + S N H 4 Q 1 q 5 2 f S a x 9 L v h a e v 3 2 4 k h q / f T C / b t + s m w i y 3 e 7 H P B L d 8 s c 8 R t / b 4 3 q + j C I t s 7 K j P G r f T a + + H V Y Q h b j d V v s K 7 z X h 8 n f d e K P r 6 7 1 Y d f W 1 W s O 8 9 3 L H q 8 P X x i 9 t p p 5 v 9 O g c 1 V H + 3 8 + t c B 4 P q z 3 Z w / 9 P d T / f v P f x 0 D E k c H K / j f P v i p / f 3 d i g j O H 6 4 6 T 0 n A f a 9 / Y f U 3 6 e f 3 t t I X y c A 5 r 1 h h n b M f 3 N b x / s 3 t 3 X s f n N b T + f d o n G E e 2 5 F F U / l 2 R e 3 b / d m Z O Y 3 a p T I h N + u o 8 i M b + y o P 9 O 3 7 O h 9 p t 3 T e b d o / D 4 T 7 6 m 2 W z T u T / y G x v 3 J 3 t C 4 P 7 8 b B u j a 7 h o 1 8 8 y s 4 p 5 8 + c X L 0 x e v s U R x K 1 1 z f / d m Z W Z 7 C Z Q Z 3 n y v D o a V m X Y w P G S P n W 9 s 6 3 H w j W 0 9 7 j W D J K w P D h 7 c u 7 d x k c R j X v v e H s X j l M c b f 6 p K P v q i x 8 j 2 x f 0 H u / c f j A 8 2 v e a x 9 H v h 6 e u 1 G 4 n h 6 z X T y / b t u o k w y + 1 e 7 D P B L V / s c 8 R t f b n 3 7 C j C I h s 7 6 r P G 7 f T a + 2 E V Y Y j b T Z W v 8 G 4 z H l / n v R e K v v 6 7 V U d f m x X c e 3 t W H U I Z n r 3 + 4 u z F V 1 i r T W / t 2 9 2 / h W 9 n e w n V 4 e 1 8 O 9 f B s D o 0 H e z e O / h 0 j x Z s x 5 8 + v J 1 v Z 1 / 8 l M L K X S L b p v c 8 i b D v 7 V G y 7 9 7 D z f T 2 B E L f G 2 Z w T x h u b O v J w o 1 t P f a / s a 2 v A 2 9 u H O G m W 1 H F V 4 H m x e 3 b v R m Z + Y 0 a J j b h t + o o M u M b O + r P 9 C 0 7 e p 9 p 9 3 X g z Y 1 1 4 m / V 2 F d 1 N z f u T / y G x v 3 J 3 t C 4 P 7 8 b B u j a 3 j N q p p O n e 3 P 6 4 v R 2 y g x Z p Z u U m e 0 l U G Y m H 3 X r D o a V m X Y w P G S P n W 9 s 6 3 H w j W 0 9 7 j W D v L 9 3 c H D v Y H z v l q 6 d f e 0 e L Z w 8 3 K y F P S 4 2 r + 3 f 2 9 s d m / X u 6 E s e N 7 8 P i r 5 G u 5 E M v k Y z n W z f q p c I l 9 z q v f 7 k 3 + 6 9 P i P c 2 q V 7 r 3 4 i j H F b j + 5 m a k f 4 4 F Z I R V j h V r P k K 7 n b j M b X c + + D o K / y b t X P 1 + U C 9 9 p + V w G K 6 j s 5 O 7 6 d c r q F K 2 e 7 C L X f 7 V w 5 1 8 G w 9 j M d 3 N v 7 9 M G n e 2 P w 0 u D Q P f 6 3 r y F + H n + 6 i W C e F J i 3 9 h 7 u P t j d G e 9 v 0 l e e E O h r w 0 z t C c C N b T 3 + v 7 G t x / M 3 t v V 1 3 s 2 N I 1 x 0 G 6 L 4 K s + 8 t 3 2 r F y N T f l s f 7 r 0 Q j M z 2 b V 2 4 9 + r n f a b c 1 3 k 3 N 3 6 f S f e V 2 8 2 N + 5 O + o X F / p j c 0 7 s / u h g G 6 t v e N d n l 5 / O r N 7 s 7 O 7 0 5 x 6 K v 0 9 M W b 9 N n p 0 1 u p m A e 3 8 O B s L 4 E O w 5 v v 1 c G w D j M d 3 N 9 9 e H 9 / / / 7 + 7 V S Y e W s T e 3 r c / B 6 d e D y t b w 3 P h s f H N 7 b 1 2 P j G t h 4 X 3 9 j W V 1 0 3 N 4 7 w z y 1 o 4 m s u 8 9 r 2 b d 6 L z P N t F d f 7 o B e Z 6 d v q r f f p 5 n 2 m 2 1 d b N z d + n w n 3 1 d b N j f s T v q F x f 5 o 3 N O 7 P 7 Y Y B u r a f W r W V 1 W 0 6 y 9 M y a 9 L T Z Z s + y 2 c 3 K Z W 9 m / W V B e 9 e u S X M Y R V l Y O 7 T c u j + 7 s H O + O D T 2 2 k p + + K D B 5 R r O x j v 3 9 L V s u / t H N y 7 f / / + 3 m a n 1 u N m 8 y L j + e D T / c 0 9 e v z s X n z 4 4 O H e / U / H D 5 V w N + k y 8 + L 9 T 3 c o A T H e 3 y R A H p e / H 6 K + j t M 3 b 6 f j T D f b e z v 3 D y h g J h / 5 l m r O v H m 7 F y P M c r s X I 8 x y 2 6 j 0 / T q K M M l t w 9 K b K R 7 h h 1 t O b I Q l t m / 3 q q 8 G b z M i X x O + H 5 K + W r x V T x F u u F 1 P H o o P r J o k 7 + 7 s 5 O w l 1 l x f n L 6 m V d h X Z z f q t I P d e z u Q g 5 u 0 p e 3 F e H f 2 z f f q Y F h 1 a g f D v O M J w I 1 t P e a / s a 3 H 7 2 a Q u / f u P b z / 4 K a s m c f 4 7 s X 7 D 3 Y P K C 3 9 6 a Y A 2 x M C + + K D T 3 c f k P b + 9 H Z K 8 f 0 Q 9 Z X i j e T w l a L p Z v u W / U T 4 5 Z Z v 9 h n h t m / 2 2 e L W e v E 9 e 4 o w y m 0 V 4 8 1 U j / H E 7 d C K s M U t 5 8 t X j L c Z k a 8 Y 3 w 9 J X z H e q q e v z w / u x Q N f M d K a B W X t T t K X r 0 6 / O P v y 9 e 3 U l k 2 s D e t F 2 0 m o F + + / Z w f D e t F 0 Q E v Q + / f I 4 d q c M P G k w b y 4 R x H 2 w z 1 y K T f p F k 8 q b I e f P t j b f / j w w X j n 3 o Y X P a H Q F 4 e Z 3 B O I G 9 t 6 8 n B j W 0 8 C b m z r 6 8 K b G 0 e 4 6 X Z k 8 V W h e X P 7 l q 9 G J n + j n o n M + S 1 7 i s z 6 x p 7 6 k 3 3 b n t 5 n 6 n 1 d e H P j 9 5 l 8 X + H d 3 L g / + R s a 9 + d 7 Q + P + D G 8 Y o G v 7 0 O g a 8 u x O T 7 5 N C 7 E v v 3 y V v j 5 9 9 Z P k 9 t 1 K 4 W B M N 2 k 0 2 0 u g 0 f D m e 3 U w r N G 0 g + E h e w x 9 Y 1 u P h W 9 s 6 7 G v G e R D R N v E v b f 0 8 8 x r l E T d 3 X 2 4 f 2 9 8 7 5 Z + n n 1 x / + H O / q f j v U 2 v e R z 9 P m j 6 m u 1 G U v i a z X S y f a t e I p x y q / f 6 D H C 7 9 / r M c G v / 7 r 3 6 i T D H x n 7 6 X H E 7 j f Z e S E V Y 4 V a z 5 C u 6 2 4 z G 1 3 X v g 6 C v 9 m 7 V z 9 f l A v P a / Z 0 d T w m y 7 k t P f + + X 6 c v n x y f H t 9 N Q N z p 1 X h + h C r y d U + c 6 G F K B r o P d + / u k R 3 Y f j n c 2 j d 6 K g P f i g / 1 P y R 0 c P 9 x k d a 0 o e O / d + / T T + / s P q M O D 2 z h 1 9 s V h 3 r Z y c I u 2 V g x u 0 d a y / i 3 a O t V 3 m 8 Y R Z r o d W Z z u c 2 9 u 3 / L V y O R v V C + x O b 9 d T 5 F Z 3 9 h T f 7 J v 2 9 P 7 T L 1 T g b d p / D 6 T 7 3 T d b R r 3 J 3 9 D 4 / 5 8 b 2 j c n + E N A 3 R t d 4 2 u + d r p O 8 T D N 2 k 0 2 0 u g 0 U w k f e s O h j W a d j A 8 Z I + h b 2 z r s f C N b T 3 2 N Y P c e 7 D z 8 N 6 n 9 8 c Q o k H u 9 Z j X v X f / 3 q f 7 B + N 7 m 9 7 z + N i 8 t 7 + / d 3 B v v G k Z x O P n 9 0 L S V 2 w 3 U s J X b K a X 7 d t 1 E + G U 2 7 3 Y 5 4 B b v t h n h 1 u 6 d e / b U Y Q / N n b U 5 4 v b K b X 3 w y r C E L e b K l / b 3 W Y 8 v s J 7 L x R 9 5 X e r j r 4 2 K 7 j 3 9 n x d m J 5 9 8 f L N l + n J l 1 + Q o 3 f 2 4 u n t V N U t v D v b S 6 g L b + f d u Q 6 G d a H p 4 N 7 e v V 1 k 3 j 6 9 n W 9 n X 7 u / c 2 / v 4 f j T h 7 d z 7 c x r e w c H u / c f H o w f q l K / S V v q e 8 P c 7 U n C j W 0 9 Q b i x r c f 7 N 7 b 1 F e D N j S O s d C u q + P r P v L h 9 u z c j 0 3 5 b v + 7 9 U I z M + G 3 d u v f r 6 H 2 m 3 V e A N z d + n 4 n 3 9 d z N j f s T v 6 F x f 7 I 3 N O 7 P 7 4 Y B u r b 3 j I 5 5 d f q T x 8 / P n r J T R y 5 d + v z s 5 P R W i m Z / 9 2 Z N Z n s J N N m + T u + t O x j W Z N r B 8 J A 9 d r 6 x r c f B N 7 b 1 u N c M k n T v z t 4 O W Z O H m 5 J n H v d 6 L 9 5 7 u H / v 0 8 0 v e p x s X 3 x w 7 8 E m U f H 4 + f 2 Q 9 L X a j a T w t Z r p Z v u W / U R 4 5 Z Z v 9 p n g t m / 2 W e L W n t 1 7 9 h R h k t u 6 d j d T P c Y P t 0 M r w h a 3 n C 9 f 6 d 1 m R L 7 e e z 8 k f S V 4 q 5 6 + P j + 4 F / c 9 p Q h F m D 4 5 f U K q 8 X V 6 / P z k y 9 v p r F u 4 d 7 a X U C n e z r 1 z H Q w r R d M B L U j v P N x 7 s H n 4 n j S Y 9 x 7 u 7 j 6 g 9 b L 9 2 7 l 3 t r e 9 e w 8 f 3 N / Z n P H z J E L f G + Z w T x p u b O s J w 4 1 t P f a / s a 2 v C G 9 u H G G l W 1 H F V 4 P m x e 3 b v R m Z 9 t u 6 d + + H Y m T G b + v e v V 9 H 7 z P t v h K 8 u f H 7 T L y v 6 W 5 u 3 J / 4 D Y 3 7 k 7 2 h c X 9 + N w z Q t b 1 v d A z F q F + d v q Y w F S u x z 4 / T l 6 9 O X 9 9 K 0 d y / h X t n e w k 0 G d 5 8 r w 6 G N Z l 2 M D x k j 5 1 v b O t x 8 I 1 t P e 4 1 g y R b c u / B w f 2 N a T S P d 9 1 r 9 / c e 7 N 0 b H 2 x y 1 D w 2 N u / R k t M 9 i s x v 6 d 6 9 D 5 K + T r u R E L 5 O M 5 1 s 3 6 q X C J / c 6 r 3 + 9 N / u v T 4 r 3 N q t e 6 9 + I q x x W 6 f u Z m p H G O F W S E V Y g W f p p h d 9 N X e b 0 f i a 7 n 0 Q 9 J X e r f r 5 u l z g X v v U U 4 H Q f 6 T 4 Z D n 2 O 1 + d f n 4 7 D X U L Z 8 7 2 E q r A 2 z l z r o N h F W g 6 2 N / 9 d O f h / b 3 x g 4 e 3 c + b s e 5 / e e 3 i w M 7 7 3 6 e 2 8 O f P a v U 8 f f v r w w d 5 4 / 5 b e n L 4 3 z N q e G N z Y 1 p O C G 9 t 6 n H 9 j W 1 / z 3 d w 4 w k u 3 o o q v + c y L 2 7 d 7 M z L v t / X m 3 g / F y I z f 1 p t 7 v 4 7 e Z 9 p 9 7 X d z 4 / e Z e F / N 3 d y 4 P / E b G v c n e 0 P j / v x u G K B r + 8 A o G f L k z r 7 4 6 v m X r 9 P T k y 9 f f P n F 2 c m X t / P m 4 E f c p M p s L 4 E q M x 7 I r T s Y V m W m g 7 1 P 7 + 2 T U 3 Q 7 P W Z e e v D g w S Z G 8 x j a d b P 3 6 Y P 7 + 7 f T X / a l 3 b 3 9 h 3 s P x w 8 + v Z 2 b Z 9 + j 1 z 7 d 3 d n 8 n s f f 5 j 3 q 7 t O N r q H H 5 u + F o 6 / r 9 M X b 6 T r T C 6 2 S H e z t j / c 2 E d B X d e a 9 7 V u 9 G G G L 2 2 q 6 9 0 I w w h e 3 V X T v 1 U + f J W 6 n 5 9 5 v T i P M s H 2 r N 3 0 F e B s 6 + D r w v V D 0 9 e G t O o r p h 9 t 0 5 C F 4 Y B T X 8 a q q 2 2 x a V M u 8 u U F r 7 d 2 s D y 1 Y + 8 b t I A 4 r Q A N x b / / B w w f 7 u w 8 f f j q + d 0 s 1 a F 7 d / / T + / d 1 P 9 + / v b w 4 o P b a 3 n e 7 s 7 u / t 3 b + / v z u + v 4 m w n g S Y V 3 c P H n y 6 / + D B / r 0 H 4 0 8 3 4 e s J g f f q g / 2 H O w e f P t z 8 q i c S 9 t W d 3 X v 7 h u w 3 6 c b 3 R d V X j / r u 7 d S j 7 e g e 9 X K w u 0 O R / S a P 3 N e Q 5 t X t 2 7 4 b Y Z 3 b K s n 3 R T P C M L f V k + / b V Z 9 L b q c q 3 3 u K I + y x f d u X f Y V 5 G 4 L 4 C v N 9 E f V 1 5 q 3 6 i v D F b f v y 0 H w Y q M 1 0 9 v G z f J b X p D 7 / 0 b 9 1 m W Y 3 a b t b O J S 2 A / f K L W E O q 1 A D 8 2 u o U P P q + 6 t Q 2 + n 7 q 1 D z 6 m 3 n x x M O 7 9 X 3 V a H 2 1 f d R o e + L q q 9 C 9 d 3 b q V D b 0 S 0 V R o S l v o 4 K N e / e V o W + L 5 o R h r m t C n 3 f r v p c c j s V + t 5 T H G G P r 6 V C b 0 M Q X 4 W + L 6 K + C r 1 V X x G + u G 1 f D k 1 I g G i 4 Z 1 + + e P p l + v Q 0 P a Z 1 l j f H J 2 d f v j i 9 U d s d 3 C O F Y n X e o B 5 1 v W h g 7 t 5 8 r w 4 G l a r t Y P f T 3 Q f 7 + / v 3 7 u 2 P H 2 7 S b 0 5 I 3 K t 7 x L f 7 B w e U o N T c 5 w 1 K 1 b 1 J v v 6 n e w 8 p I z A 2 F u I G p e q 9 u n t w Q A m I n d 3 x 3 i Z 8 n b j 4 r z 4 8 2 K f k 6 L 3 N r z r h c a + + h 1 J 9 b 1 Q 9 p W r e v Z V S t R 0 9 u P f g 4 c E e V l k 3 z Y O n U + 2 b 2 7 d 8 N c I 4 t 1 S p 7 4 t k h F t u q V H f t 6 c + h 9 x K o b 7 / 9 E Z Y Y / u 2 L 3 s K 9 V b 0 8 B T q e y P q K d T b 9 R V T J 7 f s y 0 N z 9 4 M V 6 i 0 c U 9 d L o F B v 4 Z + G H Q w r V N P B g 4 c P D 2 g B 6 9 N 7 4 5 1 N B P A k x L x 5 b 3 / n w c 7 u f c q v b 3 z T k x D z 5 v 7 9 h 6 S I H z 6 8 p S 6 1 r + 1 9 e n / / 0 7 1 7 n 4 7 3 N 7 3 p C c p 7 v u l J j X l z E 0 N 5 g v K e H f k q V F + 9 n Q q 1 t N / 7 d G e P M s f j + w 9 v q U L N m 9 u 3 f D X C K r d V o e + J Z I R B b q t C 3 7 O n P m f c T o W + 7 + x G G G P 7 l u / 6 C v Q 2 1 P A V 6 H u i 6 e v P W 3 U V Y Y l b d u U h u W c U G 2 n N 3 4 d W i Y 6 f n k F z H j + n t e / j W 2 i 3 + 7 f y R 2 0 v n v q 8 f z t / 1 O 9 g W H 2 a D j 7 d 2 9 9 / s P P w Y H x v k / H 2 h M O 8 u I n S n k S 8 X z + e a J g X 7 + 3 u 7 u C 5 n c J 8 j 7 c 8 + b j N m D y Z e I 9 O f E W p r 9 1 O U b o + 7 t 2 C b r 6 i N G 9 u 3 / L V C F P c V l G + J 5 I R t r i t o n z P n v o c c T t F + T 4 z G 2 G I 7 V u 8 5 y v I 2 1 D B V 5 D v g Z 6 v H G / V T Y Q N b t G N h 9 w 9 o 7 J O q u V l v i y q m 9 a H 7 t 2 s B i 1 M + 8 b t I A 7 r P Q N x l 1 f A H t 5 / c G + 8 f 7 v k p n 1 1 f 4 + S G J Q / e r B / O x X o u t w 5 2 N u 7 t 0 t J x o 3 r 7 B 7 b m 1 f v 7 e x S L v b B w 3 3 K T 2 6 y U x 7 f u 1 c f H h z s P L y 3 Q 2 7 u w e 3 U o X n 1 Y I d C i 3 u U N N h I I U 8 O 3 h d d X z v q u 7 f T j q Y j S p T t P C S / i f o a H 2 w a n a 8 g 7 X z c 9 t 0 Y + 9 z 2 3 Q j / b J S n G N / c t q 8 I 4 2 z s q 8 8 t t 9 O S 7 z 3 N E R b Z v u 3 L v r 6 8 z a h 8 f f m + i P p K 8 1 Z 9 R T j j t n 1 5 a O 7 3 N G c 6 y 9 O n e T P N l + 1 N K m / v Z i 1 q 4 b t X b g l z W I 8 a m F 9 D j 5 p X 3 1 e P u i 7 f W 4 + a V 2 8 7 O Z 5 k u F f f W 4 + a V 9 9 b j 7 4 v u r 4 e 1 X d v p 0 d N R 1 9 L j 9 r 5 u O 2 7 M f a 5 7 b s R / r m t H n 3 v v i K M c 1 s 9 e j P 1 I / x x 6 2 m O s M j X 0 q O 3 G Z W v R 9 8 X U V + P 3 q q v C G f c t i 8 P z f t W j 3 7 5 4 i d P X 5 x R d E 7 Z z a e n r 0 9 O o e E A Y o P O O 7 h / u 6 U i 2 4 u G 5 u 7 N 9 + p g W L W a D h 7 e O 9 g n N f d w Z 3 z b 2 N y 8 + b 6 a 1 f W 4 v 7 v / 6 Y O D T z e T 3 J M P 8 + Z t Z 8 s T F f f q e y t W 8 + p 7 K 9 b 3 R d d X r P r u 7 R S r 6 W i b b N U 9 Q n L 3 0 0 2 W y t e q 5 s 3 b v R h h m 9 u 9 G O G a 2 + r T 9 + s o w i y 3 V a Y 3 U z z C E 7 e e 2 g h b f C 1 l e p t R + c r 0 f R H 1 l e m t + o r w x G 3 7 8 t D 8 1 K i 5 L 9 + 8 I k V q V e o t 1 N y 9 W + l R 2 4 G n R + / d T o / 6 H Q z r U d P B 3 g N a 6 P m U W H W 8 q 5 7 v T X r U v L m J z J 5 A v G d H n k T o m 8 M c 7 k n D j W 0 9 Y b i x r c f 8 N 7 b 1 l e D N j S M s d E u 6 + F r Q v L p 9 2 3 c j 8 7 5 R z U R m + 7 Z d R W Z + Y 1 f 9 + b 5 1 V + 8 z / b 4 y v L n x + z C A r + 1 u b t x n g A 2 N + 1 O + o X F / j j c M 0 L V 9 Y B T N 2 b L N 6 7 w Z p S f V o m i K a p k 3 m 5 X N / s 1 a z A I 3 L 9 w K 3 r D S M v B 2 P 6 W V q Y e 7 u / c O x v c e 3 k 5 r 2 V f 3 d u 6 R G 7 d 3 f 3 x P 8 Y m + 6 b G x f f P + z q f k O l I y Y 7 y z y e X 0 O N q + e u / h Q + L q + w d 7 4 / u b v D i P o + 2 r + 7 S A / 3 B / Z 5 f 8 u F s 6 g O b V g / s H u w / 3 9 x 6 O N 5 H I Y / X 3 x d Z X f f r u 7 V S f 7 W j n w c 7 O L j m 3 m 1 1 U X / W Z V 7 d v + 2 6 E e 2 6 r + t 4 X z Q j P 3 F b 1 v W 9 X f U a 5 n e p 7 7 y m O s M f 2 b V / 2 N e N t C O I r x / d F 1 N e V t + o r p l V u 2 Z e H 5 k F H e + a c n C w z y k + u Z z e o u 1 t 4 g R a 8 f e N 2 E I c 1 q I G 4 i + f + g 0 8 P 9 s f 3 b 6 l B 7 a u k i + 4 d P H z 4 c L x J C 6 o w h C / u P H y 4 e / D p w f 3 x z q Y + P b k w r z 7 Y v 0 c v f r p P M 7 P J J f D E w r x 5 s L v / 4 O D g w b 2 9 M a Z 8 8 E 1 P R m y f u 5 / u U B R H e d R N Q Y E n I O + J r K 8 + 9 d X b q U / T z 9 6 n n 9 K 4 d t D P b d W n e X X 7 t u 9 G W O e 2 6 v N 9 0 Y x w z G 3 V 5 / t 2 1 e e T 2 6 n P 9 5 3 h C H N s 3 / J d X 3 n e h h y + 8 n x P N H 3 d e a u u I k x x y 6 4 8 J B 9 + i O q 8 h e 6 0 8 N 0 r t 4 Q 5 r D 0 N z K + h P e 2 r 7 6 s 9 3 Y v v r T 3 N q 7 e c H E 8 q z J v v r z 1 t n + + r P d 8 T W V 9 7 6 q u 3 0 5 6 m n 9 v q i g h L f R 3 t a d 6 9 r f Z 8 X z Q j H H N b 7 f m + X f X 5 5 H b a 8 3 1 n O M I c X 0 d 7 3 o Y c v v Z 8 T z R 9 7 X m r r i J M c c u u H J I Y n 2 i 3 l 8 e f f 4 m F n L M X b 0 5 f n b 4 + f Z 0 + P 7 5 R 0 z 3 c I z V 0 7 0 Y d 6 n q R L K T 3 5 n t 1 M K h Q b Q e k E D / 9 9 I C C n / G D T a z n 5 M O + + e m n l P P c v U + 5 o k 1 K 0 U m H 6 / I e P a R R H 2 x 2 9 p 2 c u C 5 3 P 9 1 / 8 J D W 9 m + r T t 2 b D x 4 c Q I X f 2 x i S O 5 H x u i R c 7 3 + 6 N 7 6 3 C V c n M O + L q 6 d N z a u 3 0 q a 2 n 7 3 d T w 8 + 3 X n w 8 N P x z q e 3 0 6 b 2 1 e 3 b v h v h m 1 t q 0 / d G M 8 I v t 9 S m 7 9 1 V n 0 1 u p U 3 f e 4 Y j z L F 9 y 3 c 9 b X o r c n j a 9 H 3 R 9 L T p 7 b q K M M U t u / K Q 3 P 1 w b b p / s z a 1 v Y T a d P 8 9 O x j W p q a D A / I T 7 + 1 R n v J g k 9 P m i Y d 5 c f f B / Y e 0 r L 4 7 3 s S x n m y Y 9 x 7 s 3 j 8 g k t / g J X p C Y l 7 8 9 P 7 O P c p Q f j p + u E m v e S J i e y T z s v P w A Q 1 x 0 x R 7 4 m J e p G Q q u T m f j g + U 7 D c p 0 v f D 1 N e j + u b t 9 K j r 5 v 7 O / s P 7 4 7 1 N 0 Y G v R c 2 L 2 7 d 7 M 8 I t t 9 W h 7 4 d i h E t u q 0 H f r 6 M + c 9 x O f 7 7 n x E Z Y Y v t 2 r / r a 8 z a k 8 L X n + y H p K 8 9 b 9 R T h h t v 1 5 K G 4 N 6 w 7 n 5 7 e S r U B j Z t 0 p + 0 l 0 J 1 G 3 d y 6 g 2 H d a T r Y 3 d u 7 t / M p O Y b j h w 9 v p z z t m w / u 7 e 7 t 7 + 1 v j n g 9 u b A v E p c / v P f w A X H 6 J p p 7 E m L e J E t H E R t 1 u X N L R 9 S + S D 7 o w 5 0 H l L 7 Y h K s n L e Z F W l y 8 T w t S 4 / 1 N x P F k 5 f 0 w 9 d W n v n k 7 9 W m 6 2 b 9 H A e y D + 7 v j v U 9 v q T / N m 9 u 3 f D X C M r d V o O + J Z I R T b q t B 3 7 O n P o P c T o W + 5 + R G 2 G L 7 d q / 6 K v Q 2 t P B V 6 P s h 6 a v Q W / U U 4 Y f b 9 e S h e M 8 o N 7 f 0 7 n K h N 2 i 4 v Z t 1 p w V v 3 7 g d x G F l a S D u 3 7 t / f + 9 g 5 9 7 4 w S 0 d T f P i J p J 6 f P 9 + / X g C Y F 6 k s J l s 2 R 6 l I T f m T D 0 B c G 9 + e n 9 / / 8 Y 3 P W k w b 9 7 b 2 z / Y 2 d k 0 Q k 8 Q 3 h N R X 0 H q q 7 d T k K a f 7 Y O H l G z a P 7 g / v n d b D W l e v e W b E T a 5 5 Z v v y S e + g n z P n i K c s r G n P n / c T k G + 7 + x G G G P 7 l u / 6 K v I 2 Y / J V 5 H u i 6 e v I W 3 U V Y Y l b d u U h u R 8 o y V B H z m 5 S a b s 3 a 0 k L 3 7 1 y S 5 j D e t L A v J 3 + 8 v j f v H h L P f l + / X j c b 1 6 8 5 X R 4 c u D e 3 K g n z Z u e U J g 3 3 0 t P v i e i v p 7 U V 2 + n J 0 0 / X 0 N P m l d v + W a E T W 7 5 5 n v y i a 8 n 3 7 O n C K f c V k / e T P U I S 9 x 2 d i O M 8 X X 0 5 G 3 G 5 O v J 9 0 T T 1 5 O 3 6 i r C E r f s y k P y v t W T X 3 5 x 9 v r s y x c c i F M e k / 7 9 6 k a d 9 v D e 7 V a G b C 8 a j 7 s 3 3 6 u D Y d V p O t j f P d i 9 W a V 5 I m F e v K X q f L 9 + P I E w L 9 5 y h j z R c G + + r + o 0 b 7 6 X 6 n x P R H 3 V q a / e T n W a f r Y f 7 u 4 f 3 E K 5 R L j p l m 9 G 2 O S W b 7 4 n n / i q 8 z 1 7 i n D K b V X n z V S P s M R t Z z f C G F 9 H d d 5 m T L 7 q f E 8 0 f d V 5 q 6 4 i L H H L r j w k P / 1 w 1 b l / s + q 0 v Y S q c / 8 9 O x h W n a a D 3 Q f 7 O 5 u 1 h C c O 5 q V b q s 3 b 9 + E J g r 4 0 z N i e E N z Y 1 p O B G 9 t 6 T H 9 j W 1 / / 3 d w 4 w j 0 3 k 8 R X f e a t 7 V u 8 F p n j j e 0 j 0 3 u L X i K z v L F 9 f 4 J v 0 8 v 7 T L W v 7 2 5 u / D 6 T 7 a u 0 m x v 3 J 3 t D 4 / 4 c b 2 j c n 9 k N A 3 R t H 1 h V k j V t 5 Q f E W f r y B n 1 y C y f P g T d v 3 A 7 i s G o y E H c P H h z c p x X 6 3 b G B G h 2 q x 8 D m z V v q p / f s y O N h 8 + b e / X s P 9 s k R 3 x m D / Q b f 9 P j 4 P d / 0 m P o 2 g / P Y + j 0 7 8 j W a v n o 7 j W b 6 o Y X O g 4 f 7 O 3 s H 4 w f 3 b 6 n W z K u 3 f D P C I r d 8 8 z 1 Z x N d u 7 9 l T h E d u q + F u p n q E G W 4 7 u x H G 2 L 7 l u 7 7 6 u 8 2 Y f A 3 4 n m j 6 + v B W X U V Y 4 p Z d e U g e B A o y 1 I / / 6 N 9 z k z 7 b v V l F u g 7 s K 7 e E O a w k D c x b 6 i 5 P A s y b t 1 S S 7 9 m R J w D m z V v O i C c K 7 / m m J x e 3 G Z w n C + / Z k a 8 k 9 d X b K U n T z 9 d Q k u b V W 7 4 Z Y Z F b v v m e L O I r y f f s K c I j G 3 v q c 8 b t l O T 7 z m 6 E M b 6 O k r z N m H w l + Z 5 o + k r y V l 1 F W O K W X X l I P r Q 6 7 P j 1 m y + 9 k P f p 8 c 1 e 5 O 7 D / d t l D F 0 v E v a 6 N 9 + r g 2 G 1 a T q 4 p T b z Z M K 8 u Y n U n k i 8 Z 0 e e S J g 3 b z l H n n C 8 5 5 u e p N x m c J 5 0 v G d H v t r U V 2 + n N k 0 / X 0 N t m l d v + W a E R W 7 5 5 n u y i K 8 2 3 7 O n C I / c V m 3 e T P U I M 9 x 2 d i O M 8 X X U 5 m 3 G 5 K v N 9 0 T T V 5 u 3 6 i r C E r f s y i F 5 b 8 c o t J M K v u W q q t O T a p L X 7 b r O m h u 0 2 v 6 N + t K B t 2 / c D u K g g r Q Q 7 z 9 4 Q M n E B 7 v j B w 9 v p R / d i z v E z Q / u j R 9 u U n d O C N x 7 e 5 9 + u v f w 4 Y P x w a e 3 0 p P 2 x Q e 7 n 9 7 b e 7 B H P W 6 S H i c M 7 / m i E w z 7 4 u 2 0 5 H v 2 4 y l J 8 + a t l K T t Z n v 3 4 O G n D x / s f X p D K j v C P r d 8 M 8 I m t 3 w z w i c e E T c p y f f t K c I g t 1 S S t 6 B 6 h B d u O b k R t t i + 3 a u e i r z V i D w V + Z 5 I e h r y d j 1 F + O F 2 P X k o 7 n 6 I g t y 9 W U N a + O 6 V W 8 I c 1 p E G 5 n v r S P v i e + p I + 9 7 7 6 k j z 4 u 2 m x Z O F 9 3 v R k w v z 4 i 1 1 5 P v 1 4 + t I f f N 2 O t J 0 8 z V 0 p H n 1 l m 9 G 2 O S W b 0 b 4 5 L Y 6 8 j 1 7 i j D I b X X k z V S P 8 M I t J z f C F l 9 D R 9 5 m R L 6 O f D 8 k f R 1 5 q 5 4 i / H C 7 n j w U 9 6 y O / J J i 7 / T l l 6 / S k y + f n L 5 6 8 9 W r 4 9 c 3 6 r O H 9 2 8 V e 7 t e N P Z 2 b 7 5 X B 8 N q 0 3 T w 3 m r T v v i e a t O + 9 7 5 q 0 7 x 4 u 5 n y x O P 9 X v R E x b x 4 S 7 X 5 f v 3 4 a l P f v J 3 a N N 1 8 D b V p X r 3 l m x E 2 u e W b E T 6 5 r d p 8 z 5 4 i D H J b t X k z 1 S O 8 c M v J j b D F 1 1 C b t x m R r z b f D 0 l f b d 6 q p w g / 3 K 4 n D 8 V 7 R q E d r 6 p r W v h + V i y z 5 b T I 6 + o m x / L + z d r S A r d v 3 A 7 i s H o 0 E P f 2 P r 2 3 8 2 D / 0 0 / H B 5 s G 6 v G 9 e X N 3 f 2 f 3 0 0 / v 7 4 4 f 7 t 5 O Q d o u d / f 2 H u 4 c 7 O 6 P H + 7 f T k P a L h 8 + 2 N + 9 9 + k B I b v p T U 8 U b J 8 7 B / c O 7 u 3 s P R j v b F L n n l z Y P n d I X O 8 h C b N J X D 2 x e E 9 k f X W p r 9 5 O X b p 5 O H j w Y H f v Y L x p G n x l a V 7 c v t 2 b E a b Z q I i i r H K b j i K s s r G j G I P c q q M + f 9 x O V b 7 v z E a Y Y v u W 7 / r K 8 j b E 8 J X l e 6 L p a 8 t b d R V h i F t 2 5 S G 5 P 6 w u 0 + w m 9 b Z 3 s 8 a 0 8 N 0 r t 4 Q 5 r D M N z P f X m e b N 9 9 a Z t s v 3 1 p m 2 y 9 t N j S c T t s / 3 1 p m 2 z / f V m e + J r K 8 z 9 d X b 6 U w 3 D 7 f R E x F 2 e n + d a d 6 8 r c 5 8 P x Q j r H J b n f l + H f X 5 4 3 Y 6 8 3 1 n N s I U X 0 d n 3 o Y Y v s 5 8 T z R 9 n X m r r i I M c c u u P C T v W 5 3 5 8 s v f h 1 b F j 9 P j b 3 / 5 6 t X x 0 y 9 f n b 6 + U b 8 9 / H T v V p G 5 7 U U j c / f m e 3 U w r E Z N B + + v R s 2 b 7 6 1 G b Z f v r U Z t l 7 e b L U 9 M b J / v r U Z t n + + r R t 8 T W V + N 6 q u 3 U 6 N u H m 6 j O i K 8 9 f 5 q 1 L x 5 W z X 6 f i h G W O W 2 a v T 9 O u r z x + 3 U 6 P v O b I Q p v o 4 a v Q 0 x f D X 6 n m j 6 a v R W X U U Y 4 p Z d e U h + a h T c l y 2 8 z c 8 z W g p q 0 u v 0 5 T / 6 V 9 e z Y r O a u 3 + z / r T g z Q u 3 g j e s L g 2 8 / f s 7 u 7 v 3 d 3 Z 2 N + s u T w b M m 7 v 3 d / d J z T 4 c 3 7 + l u r R d 3 t t / + G D n 3 r 2 9 8 f 4 m 1 e V J g 3 n z 3 v 2 D + w 8 O 7 u 3 v j w 8 2 9 e m J g / f m p / d J Y 9 7 Q p y c b 5 s 2 D n Z 1 7 D 8 a f q q d / k 6 5 8 T 0 x 9 X a m v 3 k 5 X m n 4 e f H r v 4 e 7 D g x s Q 9 J W l e X P 7 l q 9 G e O a 2 2 v I 9 k Y y w y m 3 V 5 X v 2 1 G e Q 2 + n L D b M b f T X C G N u 3 5 A x f X 9 6 G G r 6 + f E 8 0 f X 1 5 q 6 4 i L H H L r j w k H x i F d t q 0 x W K U P s 1 X d Y 4 f b V 6 P b l B v u z f r S w v e v n E 7 i M M a 0 0 D c B 4 P t P 7 y / N 7 5 / S 4 1 p 3 r y 3 t 3 N r Z R n 2 R l n j z X 6 e J w u 2 N 1 q j e r B P H v T 4 w S 2 V p f f m A S 2 K P d w Z 3 7 u l s j R v v p + y f E 9 M f W W p r 9 5 O W Z p + P t 3 b J U P 3 4 O H 4 3 m 2 V p X l z + 5 a v R t j l t s r y P Z G M s M p t l e V 7 9 t R n k N s p y / e d 3 Q h j b N / y X V 9 Z 3 o Y a v r J 8 T z R 9 Z X m r r i I s c c u u P C Q P j D Z j L T k t s m n x j / 6 t y 3 S W p 0 + K f H m T b r t F e G 4 7 c K / c E u a w w j Q w s e B 1 b w e L 3 h s Z z Z M F 8 + Y m w n o C 8 J 4 d e a L g 3 v z 0 4 c H B g / v 3 N q / n e 6 L w n m 9 6 c n G b w X m y 8 J 4 d + U p S X 7 2 d k j T 9 b O 9 / S u x 5 s D P e f 3 B L J W n e v N 2 L E Q a 5 3 Y v v y R + + h n y / j i L 8 s b G j P l f c T k G + 7 8 x G m G L 7 l u / 6 C v I 2 Y / I V 5 H u i 6 S v I W 3 U V 1 R i 3 6 s p D 8 q F V k K c v X 5 2 e n B 2 f n H 3 5 I n 1 6 m j 4 5 O 3 1 x o y 4 j O 0 i W 8 G Y t a X u R J K b 3 5 n t 1 M K w y T Q e 3 1 G S e S J g 3 b 6 k y 3 7 M j T y T c m 7 e a I 0 8 4 3 v N N T 1 J u M z h P O t 6 z I 1 9 l 6 q u 3 U 5 m m n / d X m e b N 2 7 0 Y Y Z D b v f i e / O G r z P f r K M I f t 1 W Z N 1 M 8 w g i 3 n d k I U 3 w d l X m b M f k q 8 z 3 R 9 F X m r b q K a o x b d e W Q 3 N + x K r P r U 5 4 t z + u b V N r + j d r S d e B e u S X M Q Q V p Y e 7 d P 3 i w S 6 l H T Y T e o B 3 t a 7 f T j u / V i 2 P 9 9 3 r N S c B 7 v e Z k 4 V Z j c v z / X r 1 4 G t G 8 d y u N e C u c P D 1 4 u / a R 6 d / Y / j 3 n 3 d N 6 t 2 s f m f F b K r t b E D M y w b e a s c h M b 9 / m R U / N 3 W o 0 n p p 7 L w Q 9 H X e 7 f r 6 m 0 H v o 7 V o F 1 / E J z 1 4 8 e 3 W j L r q l T + h 6 M T 6 h f f O 9 O h h W e a a D 2 4 z e Y 3 3 z 2 i Y i e 5 z / P r 1 4 A v A + r 3 l y 8 D 6 v e R J x m z F 5 g v A + v f g q T 9 + 7 n c q 7 D U 6 + y r t V + 8 j 0 3 1 b l 3 a p 9 Z O J v q / J u 1 b 4 / 1 b d T e e 8 1 Y 5 G Z f m + V d 5 v R + C r v f R D 0 V d 6 t + v m a Q u + h t 2 d V 3 t f J E 9 p l 4 2 F t Z z t w r 9 w S 5 r C C M z A f P q B V 4 b 3 d T 8 c P N 6 0 6 e K x u X n y P d Z W g s 7 2 D h 5 + O 8 c n g i x 7 f m x c P d s j r 3 j 2 4 P 9 6 7 p a 7 z X j w 4 o H f H t 1 t T c a O 7 v / v p w X h n U 2 + e J L w f m r 7 W 0 z d v p / V M N 7 s P s J i / u z v e 3 R g f R j h o + 5 a v R h j l t q r w P Z G M c M l t l e J 7 9 t T n j t u p x / e c 3 A h b b N / u V V 9 F 3 o Y W v o p 8 P y R 9 J X m r n i L 8 c L u e P B T v W T X 5 N b K F 9 6 O e o c U v 0 o v x D O 2 b 7 9 X B s O I 0 H b y 3 4 j Q v v o / i 9 D t 7 L 8 V p X r z d L H m i 4 b 3 4 X o r T j u 6 9 F O f 7 o e k r T n 3 z d o r T d H N L T R F h p 6 + h O M 2 r t 1 W c 7 4 l k h E t u q z j f s 6 c + d 9 x O c b 7 n 5 E b Y 4 m s o z t v Q w l e c 7 4 e k r z h v 1 V O E H 2 7 X k 4 f i v l F p x 4 u q b o s f O P / y e N o W N y m 2 B z f 7 l 7 Y D 9 8 o t Y Q 6 r S Q N z / + H 9 g 7 2 d f V p 1 3 7 + d m j Q v 3 j K E f r 9 + P C E w L 5 I Q P H i 4 P 9 7 d p F g 9 C T C v 7 e 0 e f P r p v f G n D 2 + n H i 2 a + w e f U m S x S d 4 8 O X g f H H 3 l q O / d T j k 6 C u 7 v H O z t H 4 w / 3 d h N h G + 2 b / l q h D 1 u q x z f E 8 k I g 9 x W O b 5 n T 3 3 W u J 1 y f K + p j b D E 9 m 1 e 9 B X j b e j g K 8 b 3 Q d B X i 7 f q J 8 I J t + n H Q + + + V Y p f f P n q z d l P W W / y + O T N 2 Y 3 6 6 7 b e p O 3 F e J P 2 z f f q Y F h N m g 5 u p 7 4 8 g T A v 3 l J N v l 8 / n j i Y F 2 8 z P Z 4 s m N f e U 0 1 a N N 9 L T b 4 P j r 6 a 1 P d u p y Y d B W + l F y J M 9 D X U 5 G 1 m 2 V e T 7 4 l k h E F u q y b f s 6 c + a 9 x O T b 7 X 1 E Z Y 4 r 3 V 5 G 3 o 4 K v J 9 0 H Q V 5 O 3 6 i f C C b f p x 0 P v U 6 P A v m z r q k k / z 5 q 2 a m 7 Q X g 9 v 1 o s W r H 3 j d h C H F a G B e G 9 n b 3 9 n Z / / h + J Z 6 0 L x H A f z + P o U z t 1 O H 7 q 2 d h / c f 7 O x s 7 M 3 j e v M e o u O H e + N N U b z H 8 e / x l s f 6 5 q 1 N H O J x / H t 0 4 u t A f e 1 2 O t C S b X / v 4 e 7 B z s H G 5 I C v A s 2 L 2 7 d 7 M 8 I X t 9 W A 7 4 d i h C V u q w D f r 6 M + N 9 x O / 7 3 P r E a Y Y f s W 7 / n a 7 z Z E 8 L X f e 6 D n K 7 9 b d R N h g l t 0 4 y H 3 w C i p V 3 m z L t t s V q W r q k 5 f V k 0 x L W 7 S W J / e r A Q t f P f K L W E O q 0 G F O c w c H q v f 2 N b j 7 h v b e p x t x n W P G P v B + M E m l e q x 9 X u 8 5 f G 3 e e u W S u 4 9 O v G V 3 I 2 j 9 5 W c 6 W P 7 N p 1 E 2 O E 2 r / V n / F a v 9 S f / 1 i v O 7 9 N N h B c 2 d t P n g t s p t / f B K c I E t 5 k g X 7 n d Z i y + c n s P 9 H z l d q t u v i Y D u L c O r H I 7 f f 3 V 8 z f p 7 5 2 + / P J 1 + s W X L 0 5 v 1 E K 3 D X 5 t F x r 8 u j f f q 4 N h Z a c d 3 E r Z 3 d j W 4 / U b 2 3 o M b g Z 5 C + p 7 b P 4 e b 3 n 8 b t 6 6 p b J 7 j 0 5 8 Z X f j 6 H 1 l Z / q 4 j S z 5 y u 5 9 c O v P + K 1 e 6 0 / + r Z X d + 3 Q T 4 Y X b K r u b K R 2 Z / N v g F G G C 2 0 y Q r + x u M x Z f 2 b 0 H e r 6 y u 1 U 3 X 5 M B 3 F s P j S Z 6 + Y / + 1 f W s m G W N e H I Z L Y f c 7 M o 9 u F n V 2 Q 7 c K 7 e E O a z d D M y 9 h / R 8 + v B g w 1 A 9 V j d v 7 e 7 T W w e 3 j W f f 4 y 2 P 3 / W t Y f 7 1 e P 3 G t h 6 r 3 9 j W 4 + 8 b 2 / q q r d t 4 o 2 p 7 D 5 r 4 m s 2 8 t n 2 b 9 y L T v V F 5 f L 2 J 9 l X b r b r p z / G t u n m f 6 f Z V 2 8 2 N 3 2 f C f S 1 2 c + P + h G 9 o 3 J / m D Y 3 7 c 7 t h g L b t / R 2 r q 0 5 f P Y V b d v z q D f 3 z 5 t W N K u W W f p n r w f h l t 1 u U 6 H Y w q L l s B + + l u e x b t + A 0 x 8 / v 8 5 b j a v P W b T T X z W 0 d J 9 / c 1 j H y z W 0 9 z X W L x h E W u g V N P M 1 l X 3 t P z W X f u 6 X m e i / 0 I j N 9 S 8 3 1 X t 2 8 z 3 R 7 m u s W j d 9 n w j 3 N d Y v G / Q n f 0 L g / z R s a 9 + d 2 w w B d 2 1 2 j V / y 1 g v Q n s 7 q 4 e c n g 4 c 1 q y 4 J 3 r 9 w S 5 r C m M j B p z e D e / d 1 b r h n Y t 2 j F 4 P 7 O J n b 0 u N e 8 Q + u n N 3 T k s b B 5 6 c G D n Y c P 9 s f 3 V E X f p L H e 5 z W P m c 1 r m 0 b k s f P 7 9 O K r M n 3 v d q r M d L L 9 6 Y P 7 u 3 t 7 4 4 c b e 4 l w y 6 3 e i 3 D E r d 6 L 8 M R G 7 R T h h 1 v 1 E 2 G J j f 3 0 e e F 2 6 u y 9 p j T C C t u 3 e d H X c r c Z j a / o 3 g d B X + f d q p 8 I F 9 y m H w + 9 P a O i n h x / 5 z g 9 P n l z 9 p N f p s / O v v M l J d d u 9 N 8 e 7 u 6 Q o d q 9 W R H a X o z / Z t 9 8 r w 6 G t a L p Y B O 1 P N Y 3 z d 9 H H Z p 3 t m 9 8 y e N 9 f W m Y l z 2 + v 7 G t x / Y 3 t v V Y / c a 2 v q q 7 u X G E e W 4 m i a / n b k 1 8 X 8 n d / q X I N N 9 W w 9 2 + k / 4 U 3 1 q 9 3 U z h 9 5 l n X 6 f d 2 N j X Y z c 3 7 k / 0 h s b 9 + d 3 Q u D + v G w b o 2 t 7 7 c F 2 1 d 7 O u s r 2 E u m r v P T s Y 1 l W m g 5 v 9 K o + V z U u 3 V F a 3 7 8 P j Z P P S b U y I x 9 D v 8 5 r H 2 r c Z k c f c 7 9 O L r 9 D 0 v d s p N N P J e / t u 5 s V b v R f h h V u 9 9 5 7 s 4 G u 2 9 + o n w h K 3 V W 4 3 U z v C A b e a 0 g g r v L f v d p v R + G r v f R D 0 N e C t + o l w w W 3 6 8 d D b N 5 r q 5 M v X b 7 5 M P a 1 4 O 1 1 1 7 2 Z l a L s I l e G 9 9 + x g W B m a D m 4 0 u R 7 z m 3 d u q Q t v 3 Y X H 9 / r O M B 9 7 P H 9 j W 4 / l b 2 z r s f m N b X 0 1 d 3 P j C O P c S B F f x Z m X b u H s R e b 3 t i 7 b 7 V G L z P B t X b b b d / I + 0 + y r t p s b v 8 9 E + z r s 5 s b 9 i d 7 Q u D / B G x r 3 5 3 X D A F 3 b + 0 a J n C 0 v 8 7 o p / t G / d Z m + / E f / n k l Z T L P N i u T T m z W U B W 5 e u B W 8 Y Y W k 8 I Y H 5 j H r j W 0 9 H r 2 x r c e f Z k y 7 + 5 / e 3 9 s n e 6 3 D i r 7 n s e h 7 v e d x q 3 n v l q 7 Y e 3 X j K 6 k b a e A r K d P L 9 u 2 6 i b D E 7 V 7 s z / 0 t X + w z w q 3 d s f f r K M I Z t 1 V a N 1 M 8 w g a 3 w y r C E L e b K l + b 3 W Y 8 v k J 7 L x R 9 5 X a r j r 4 2 K 7 j 3 P t 2 g 6 9 J l d Y N 6 2 r 1 R 3 7 k O 7 B u 3 g z i s 8 R T i r T T e j W 0 9 J r + x r c f X Z l S 3 I r f H 3 + / 1 n s f q 5 r 1 b a r z 3 6 s b X e D f S w N d 4 p p f b i Z G v 8 d 4 P v / 7 c 3 / L F P i P c W u O 9 X 0 c R z r i t x r u Z 4 h E 2 u B 1 W E Y a 4 3 V T 5 G u 8 2 4 / E 1 3 n u h 6 G u 8 W 3 X 0 t V n B v f f A K K S T a t m 0 9 X o 6 Z a W X L 9 M n R b 6 8 S T 3 d Q u P Z D t w r t 4 Q 5 r P M U 5 q 1 0 3 o 1 t P T a / s a 3 H 2 W Z c t y K 4 x + H v 9 Z 7 H 7 O a 9 W + q 8 9 + r G 1 3 k 3 0 s D X e a a X 2 w m S r / P e D 7 / + 3 N / y x T 4 j 3 F r n v V 9 H E c 6 4 r c 6 7 m e I R N r g d V h G G u N 1 U + T r v N u P x d d 5 7 o e j r v F t 1 9 L V Z w b 1 3 Y H X e l y 9 e v 3 m V P j k 7 f Z G + + D I 9 O X 5 5 9 u Z G 9 b S D 5 x a K z / Y i y T f v z f f q Y F g L a g e 3 0 o I 3 t v U Y / 8 a 2 H q + b Q d 5 q C j y e f 6 / 3 P P Y 3 7 9 1 S C 7 5 X N 7 4 W v J E G v h Y 0 v d x O t H w t + H 7 4 9 e f + l i / 2 G e H W W v D 9 O o p w x m 2 1 4 M 0 U j 7 D B 7 b C K M M T t p s r X g r c Z j 6 8 F 3 w t F X w v e q q O v z Q r u v Y d W C 6 7 z Z Z s 1 6 S x P v 6 x n 5 P m R K 7 h R S T 2 4 W f l Z 4 N r + N t C G N Z 2 B t r u / t 7 O 7 v / P p g / H B w Y Z B e u z + n m 9 6 j G / e 3 D Q N H r v f p r n H 7 R a v B w / v U x Z 7 7 2 C 8 8 / B 2 G v A 9 3 / R 4 / z Y o + j r w V u 0 j D L W x f Y R H N r a P c M H G 9 p G 5 v 6 2 q u 1 X 7 9 5 x y X 8 P d q n 1 k p j e 2 f 8 / 5 9 T X a r d q / 5 / z 6 i u x W 7 d 9 3 f m 3 z T 3 e M i j m + z M q 8 S a / T z 7 M 6 W 7 b / 6 F + f N Z s V z s 0 r p w 6 4 e e F W 8 A Y 1 m I V 3 S z 3 k u P h 9 3 3 T 8 b N + 8 n Q a 7 V X P H z Q 6 v B 5 8 e P H h A q + C 3 1 W D v + 6 b j 8 F u h 6 G m w 2 7 W P s N T G 9 h E u 2 d g + w g U b 2 0 f m f m P 7 9 5 x x T 4 P d r n 1 k z j e 2 j 8 z 0 x v b v O b + e B r t d + / e c X 0 + D 3 a 7 9 + 8 6 v a 7 5 r N d h P H j / / 4 u X Z l 8 c U k J 5 8 + + w G b b O 7 s 3 u 7 E N R 1 w C G o / + Z 7 d T C s 1 k w H m w b s 8 b N p v v 9 w 9 2 A M R h l 8 y W P q 2 / T h 8 f T t + / A Y + z Z 9 e H x t m t / b v f / g 0 / G + m o e b t N f t M f N 1 m O 3 r 0 / 2 H + 2 O z Y n S j K j O v b d + i t w j H 3 O K t C B v c 4 q 0 I N 9 x W u 7 1 H L x F + u K 2 O e x 9 6 R 1 h i + x Y 8 4 a u 8 9 2 A l X / O 9 z 2 s R r r i t A n y f b t 5 T L X h Y 7 f X 0 4 M t X Z 6 d v j m + n p v Z u 1 o O 2 g 1 A P 7 r 1 n B 8 N 6 0 H R w M 2 t 6 / G 9 e 2 k Q l j / 1 v 0 9 z j e 9 P 8 F g r A 4 / 7 b d O J x v R v 3 z u 6 9 3 T H W 3 Q d f 8 5 j + P X D z V a H t 7 e D + 3 u 6 9 8 T 3 N K 9 y o C 2 8 / O 7 4 q f B 8 k I 6 w Q p W B E C 7 4 H c u / J D L 4 W f I 9 e I t x w K 4 J H 2 G L 7 N n z h a 8 P 3 4 S d f H b 7 X e x H O u K 0 + f K 9 + 3 p c p X P N 7 P Y X 4 / M 3 x q 9 t p q 1 s E t x Z 8 q A 5 v i n K 7 H Q y r Q + 0 A w 7 x R C 9 7 Y 1 u P 6 G 9 t 6 H G 8 G u Y n k H q v f p r n H 4 a b 5 3 n 2 K Y u + N 7 2 + S K I + / b 9 O L r / H e p x t f 4 9 2 q n w h H b G z f n + B b K 7 l b t e 9 P 9 K 3 V 2 6 3 a R 2 b 7 V n S N T P v 2 r V 6 M T P x t 3 v M V 2 3 u 9 9 5 4 M 4 C u 2 9 + r n f R n B N d / v K b Z X Z z 9 5 e u u Q d / 9 m 3 W Z 7 C H X b / n t 2 M K z b t I N b 6 b Y b 2 3 o s f 2 N b j 9 3 N I G + p 2 2 7 T 3 G N y 0 3 z 3 w e 4 9 y j Z u i o A 8 D r 9 N J 7 5 q e 4 9 e f M 1 2 q 2 4 i / H B b z X a r 9 v 0 p v r V m u 1 X 7 9 5 x q X 7 O 9 D 1 k j c 7 5 9 m / c i s 3 6 L 1 3 y 1 9 j 6 v v e f k + 1 r t f b p 5 X x 5 w z e 9 H l N p P v T y 9 n c a 5 f 7 N K s / B D l a a + 5 6 0 7 G F Z p 2 s G t V N q N b T 1 e v 7 G t x + d m k L d U a b d p 7 r G 3 a b 7 3 8 N O H u + M H e 7 d T a b f p x F d p 7 9 G L r 9 J u 1 U 2 E H 2 6 r 0 m 7 V v j / F t 1 Z p t 2 r / n l P t q 7 T 3 I W t k z r d v 8 1 5 k 1 m / x m q / S 3 u e 1 9 5 x 8 X 6 W 9 T z f v y w O u + a d d l f b k + O T 4 x Z e v b p m S + / R m p W Z 7 C J X a p + / Z w b B S 0 w 5 u p d R u b O t x + 4 1 t P U 4 3 g 7 y l U r t N c 4 / B T f O 9 v b 1 7 D 8 c P 9 m + n 1 G 7 T i a / U 3 q M X X 6 n d q p s I P 9 x W q d 2 q f X + K b 6 3 U b t X + P a f a V 2 r v Q 9 b I n G / f 5 r 3 I r N / i N V + p v c 9 r 7 z n 5 v l J 7 n 2 7 e l w d c 8 w d 9 p f b i + I u z k 2 / f T u c 8 u F m p 2 R 5 C p a Z p 0 1 t 3 M K z U t I N b K b U b 2 3 r c f m N b j 9 P N I G + p 1 G 7 T 3 G N w 0 3 y X l 9 9 u 6 6 n d p h N f q b 1 H L 7 5 S u 1 U 3 E X 6 4 r V K 7 V f v + F N 9 a q d 2 q / X t O t a / U 3 o e s k T n f v s 1 7 k V m / x W u + U n u f 1 9 5 z 8 n 2 l 9 j 7 d v C 8 P u O Y H P a V 2 + u I 7 p N V e 3 E 7 n H N y s 1 G w P o V I 7 e M 8 O h p W a d n A r p X Z j W 4 / b b 2 z r c b o Z 5 C 2 V 2 m 2 a e w x u m o M m D x 5 s X n / z + P s 2 v f h a 7 X 2 6 8 d X a r f q J c M R t 1 d q t 2 v c n + d Z q 7 V b t 3 3 O y f b X 2 X n S N T P v 2 r V 6 M T P x t 3 v M 1 2 3 u 9 9 5 4 M 4 K u 2 9 + r n f R n B N X / Y 1 W 0 n x 6 + e f H k r v Q O x u E m x W f C B Y t t V 5 G 7 d w b B i 0 w 4 8 B T S s 2 G 5 s 6 / H 7 j W 0 9 X j e D 3 E R y j 9 V v 0 9 z j c N N 8 b / / e 7 r 3 x g 4 e 3 0 2 u 3 6 c T X a + / R i 6 / W b t V N h B 8 2 t u 9 P 7 6 3 V 2 q 3 a 9 6 f 5 1 m r t V u 0 j c 3 0 b s k b m f P s 2 7 0 V m / R a v + T r t f V 5 7 z 8 n 3 V d r 7 d P O + P G C b P 9 j p a b S v v n h 5 / P p 2 G m f 3 R p X m 4 I c q b f c 9 O x h U a a a D 2 6 i 0 m 9 s 6 X r + 5 r e N z O 8 j b q b R b N X f s b Z v v 3 t t 7 u L 8 z 3 r l 3 K 5 1 2 q 1 4 8 n f Z e 3 X h K 7 X b 9 R D j i l k r t d u 3 7 k 3 x b p X a 7 9 u 8 5 2 Z 5 S e z + 6 R q Z 9 + 1 Y v R i b + N u 9 5 e u 3 9 3 n t P B v A U 2 / v 1 8 7 6 M 4 J r v d j X b 0 7 O f P H t 9 / P T 0 d q p n 7 2 b d Z n s I d Z v G 1 b f u Y F i 3 m Q 4 2 j d j j / N s 0 9 x j f N h / v q D q + S c / d 8 g 2 P + W + D k s f z p v m 9 B 8 Q b 4 7 1 N n O E x / C 3 R 8 p V d p 6 P 9 W + q 6 2 w z H 1 3 W 3 a v + e E + 7 r u l u 1 j 0 3 5 L X X d r d p H p v s 2 Z I 1 M + / Y t 5 t 3 X d O / B L r 6 i e 5 / X 3 n P y f T 3 3 P t 2 8 L w + 4 5 n t d N f f F 8 U 8 d v z l + c T s l d P 9 m L W c 7 C L X c / f f s Y F j L a Q c Y 6 I 0 q 7 s a 2 H r P f 2 N Z j d D P I T U T 3 + P w 2 z T 3 + N s 3 v f 7 q 7 u z e + t 0 k s P O 6 + T S e + T n u P X n y d d q t u I v x w W 5 1 2 q / b 9 K b 6 1 T r t V + / e c a l + n v Q 9 Z I 3 O + f Z v 3 I r N + i 9 d 8 n f Y + r 7 3 n 5 P s 6 7 X 2 6 e V 8 e c M 3 v 9 X T a l y d v T n / q q 9 u p n E 9 v 1 m m 2 g 1 C n f f q e H Q z r N O 3 g V j r t x r Y e s 9 / Y 1 m N 0 M 8 h b 6 r T b N P f 4 2 z T f 3 b 1 H 6 0 m 3 9 t V u 0 4 u v 1 N 6 n G 1 + r 3 a q f C E f c V q v d q n 1 / k m + t 1 W 7 V / j 0 n 2 9 d q 7 0 X X y L R v 3 + r F y M T f 5 j 1 f s b 3 X e + / J A L 5 m e 6 9 + 3 p c R X P P 9 r m p 7 c X z y 5 U 8 d v 7 q d 5 n l w s 2 q z H Y S q 7 c F 7 d j C s 2 r S D W 6 m 2 G 9 t 6 H H 9 j W 4 / b z S B v q d p u 0 9 z j c d N 8 9 / 7 e 3 v 7 B + M G n t 1 N t t + n F V 2 3 v 0 4 2 v 2 m 7 V T 4 Q j b q v a b t W + P 8 m 3 V m 2 3 a v + e k + 2 r t v e i a 2 T a t 2 / 1 Y m T i b / O e r 9 r e 6 7 3 3 Z A B f t b 1 X P + / L C K 7 5 / a 5 q e / n y 9 B / 9 k 4 9 f n 9 x O 9 T y 8 W b f Z H k L d 9 v A 9 O x j W b d r B r X T b j W 0 9 l r + x r c f u Z p C 3 1 G 2 3 a e 4 x u W l + f / f + / X u 3 1 2 2 3 6 c X X b e / T j a / b b t V P h C N u q 9 t u 1 b 4 / y b f W b b d q / 5 6 T 7 e u 2 9 6 J r Z N q 3 u y 9 G X 4 x M / G 3 e 8 3 X b e 7 3 3 n g z g 6 7 b 3 6 u d 9 G c E 1 / 7 S r 2 1 5 9 + f r 4 1 d m X t 9 I 8 o M t N q s 1 2 E K i 2 P U X v 1 h 0 M q z b t 4 F a q 7 c a 2 H s f f 2 N b j d j P I W 6 q 2 2 z T 3 e N w 0 v 3 d v 5 9 N P x w f q 8 d 6 k 2 W 7 T i a / Z 3 q M X X 7 H d q p s I P 9 x W s d 2 q f X + K b 6 3 Y b t X + P a f a V 2 z v Q 9 b I n G / f 5 r 3 I r N / i N V + r v c 9 r 7 z n 5 v l J 7 n 2 7 e l w d c 8 w d d n f b 6 + N t f k V K 7 n c r Z v V m n 2 Q 5 C n b b 7 n h 0 M 6 z T t 4 F Y 6 7 c a 2 H r P f 2 N Z j d D P I W + q 0 2 z T 3 + N s 0 3 9 / Z u 7 8 / v q e e 7 k 0 6 7 T a d + D r t P X r x d d q t u o n w w 2 1 1 2 q 3 a 9 6 f 4 1 j r t V u 3 f c 6 p 9 n f Y + Z I 3 M + f Z t 3 o v M + i 1 e 8 3 X a + 7 z 2 n p P v 6 7 T 3 6 e Z 9 e c A 1 P + j r t B d v j o 9 v p 3 H 2 b l Z p F n 6 o 0 v b e s 4 N h l a Y d 3 E q l 3 d j W 4 / U b 2 3 p 8 b g Z 5 S 5 V 2 m + Y e e 5 v m e / c f 7 j 6 8 N 7 6 3 K d H q c f d t e v F 1 2 v t 0 4 y u 1 W / U T 4 Y j b K r V b t e 9 P 8 q 2 V 2 q 3 a v + d k + 0 r t v e g a m f b t W 7 0 Y m f j b v O f r t f d 6 7 z 0 Z w F d s 7 9 X P + z K C a / 6 w r 9 l e n d 0 u t Y Z e b 1 J s F n y o 2 H Q w t + 5 g W L F p B 7 d S b D e 2 9 f j 9 x r Y e r 5 t B 3 l K x 3 a a 5 x + G m + a d 7 u w c H 4 / u 3 U 2 u 3 6 c N X a 7 f v x F d q t + o l w g 2 3 V W q 3 a t + f 4 F s r t V u 1 f 8 + J 9 p X a e 1 A 1 M u H b t 3 g t M u U 3 v + W r s / d 4 6 z 0 n 3 l d m 7 9 H L + 0 6 / b X 6 w 0 1 V l b 7 5 6 8 t W b 4 y 9 u p 2 v 2 b 1 R m r o N Q m e 2 / Z w e D y s x 0 c B t l d n N b x + c 3 t 3 U 8 b g d 5 O 2 V 2 q + a O t 2 3 z / Z 1 7 9 x 6 O d 9 T B v U G b 3 a o T T 5 u 9 T y + e O r t d N x F + u K U 6 u 1 3 7 / h T f V p 3 d r v 1 7 T r W n z t 6 L r J E 5 3 7 7 N e 5 F Z v 8 V r n k Z 7 r 9 f e c / I 9 l f Z e 3 b w v D 7 j m u 1 2 d 9 t W r 0 9 e 3 0 z f 3 b 1 Z o F n q o 0 F Q / 3 7 q D Y Y V m O t g 0 W o / h b 9 P c 4 3 f T f H t n v L O 7 4 R W P 5 W / 7 i s f 1 t 0 H K 4 3 b T f H f n / r 2 9 8 c 7 + 7 T T c b f H y t V y n p 1 t G o r c a j 6 / l b t X + P e f c 1 3 K 3 a h + Z 9 d t q u V u 1 j 8 z 3 b c g a m f f t W 0 y 8 r + X e g 1 9 8 L f c + r 7 3 n 5 P t a 7 n 2 6 e V 8 e c M 3 3 f C 1 3 8 u X x y + P T 1 0 8 / v 1 E L 7 Z E W g r T c p O Y s e K v m z J v v 1 c G w m j M d 3 F L N m e a 7 O w f 3 9 u 4 d 7 G 8 W e Y / 1 z Y v 4 d W f / 3 t 7 O + O H B 7 f S e f f P T h z v 3 P n 2 w s z 9 + + P B 2 6 s + 8 u b e 3 / 3 D n / q f j v U 3 v W X n w B r l 7 / 8 G 9 + z s P b x m 5 v i + m v k K 0 r z 4 4 u P c p 9 X s w v q 3 n Z 9 7 c v t 2 U + O r x / S b T V 5 T v + W a E g W 6 r M t + z p w j f 3 F Z 5 v u c U R P h l + + G 9 v f 3 9 + / f G Z k H v R g 1 q 3 r z V i 7 4 O f b 8 X I + x y W y 3 6 f h 2 9 p 2 L x 8 L o X 0 a P f P n v + / M v b a b q 9 m 1 W p 7 S F U p T r J t + 5 g W J V q B x j p j X r 0 x r a e C N z Y 1 m N 6 M 8 h N V P d 4 3 j T f e 7 B 7 8 G B v D K Y e f M 1 j e P M a + d I H 9 3 c + H U P A B 9 / z 2 P 0 2 2 P l a 0 b R / c O / T T + / d G z / 8 9 J Y 6 8 V b 9 R F j j t n 7 i r d r 3 Z / v W S u 9 W 7 d 9 z 1 n 1 V 9 1 5 0 j c z 7 9 q 1 e j E z 8 b d 7 z 1 d x 7 v f e e D O B r u f f q 5 3 0 Z w T X f j y i 5 1 8 9 f n d x O B d 2 7 W c f Z D k I d d + 8 9 O x j W c d r B r X T c j W 0 9 j r + x r c f t Z p C 3 1 H G m O Q 3 z 3 s O d 8 S 1 V n H m L z N 7 e z s O D 8 Y N N z o D H 6 b d B z l d x p v 3 e / d 2 d B z s P x g 9 v 6 / f d q q M I a 9 x W x 9 2 q f X + 2 b 6 3 j b t X + P W f d 1 3 H v R 9 j I z G / f 7 s 3 I 3 N / q R V / N v d + L 7 8 k E v p 5 7 v 4 7 e l x t c 8 / u + o n t 2 / P I W i T / W Q P s 3 q z g L O l R x + + / Z w b C K M x 1 s G q r H 9 6 b 5 / Q e 7 O / s P 9 s e f b i K p x / / m v d 2 H p J b u 7 T w 4 G N / T M d y k / 9 y b 1 O W 9 + / f 3 N t s r T y b M m / s H 9 3 b 2 9 s Z 7 t 9 S F 5 r V 7 9 + 7 d 3 7 u 3 u z k E 8 + T h P R H 1 1 a J 7 9 e H D + / c f f L o 7 / n R j K B 3 h v e 1 b z Y i v I t 9 r K n 1 d + X 4 v R p j n t k r z / T q K 8 M x t t e f 7 0 j / C L d t 7 B / f 3 9 n b I d K r 7 c a P + N G / e 6 k V f f 7 7 f i x F e u a 3 + f L + O 3 l O p e H h 9 G u j P s 6 e n Z y d f f n H 2 + s t b q t H 7 N 6 t R 2 0 O o R j X T d e s O h t W o 6 e C W a t Q 0 3 9 1 7 S C 7 4 7 u 5 4 d 5 O S 8 U T C v L i / d / D g 0 4 O D e / c 3 5 7 0 9 m b B v 7 u 9 S m m 9 3 / 4 Y 4 1 p M O 8 + b e p w / 3 d i k / u H 9 L R W o H e e / g / r 3 9 e / u b + c e T j P d E 1 d e k 9 t X 7 e w c P P 9 1 / s D u + d 1 t N a l 7 d v t 2 k + K r 0 / a b T 1 6 X v + W a E h W 6 r T N + z p w j n 3 F a b v u 8 c R F h m e 3 d 3 9 9 P d e 3 v 3 x 2 a N 8 0 Z 1 a s d 3 q z d 9 f f q e b 0 Z Y 5 r Y K 9 T 1 7 e k / 9 4 i H 2 w N e o 6 R d n z 0 6 f 3 3 1 2 + s W X b 2 6 n 8 D 6 9 W a P a H k K N + u l 7 d j C s U U 0 H t 9 S o p v n 9 h / z s b n a + P L k w L 9 7 b 2 / 2 U n r 3 d 8 Y N N 3 O r J h X 3 z g N / c v T d + s G k 6 P Q k x b + 7 t E S f s H d w b 3 9 / U p S c f 5 s U D f v H B / f H 9 T T 1 6 0 v G e u P o q 1 b x K 2 h i v 7 t w f P 9 i o O S J s u H 2 7 W f F V 6 v v N p 6 9 S 3 / P N C A / d V q W + Z 0 8 R 1 r m t S n 3 f O Y i w z G 3 n I M I 0 t 3 v T V 6 n v + W a E Z W 6 r U t + z p / d U M B 5 i B 4 F K f X P 6 / P S L 4 9 / 7 d t r u w c 3 q 1 E I P 1 e m D 9 + x g W J 2 a D v b v 7 / B z O 6 1 q 3 n q w T 7 T F X 4 M v e W J h X j r Y Q 1 8 Q 6 s G 3 P J F 4 D w Q 9 w X i P t z y Z M G 9 t a u 7 J w X t 0 4 i t O f Q 3 t b l a V p o 9 7 D 2 4 k m q 8 m z W v b t 3 k v w g 4 7 t 1 S N 7 4 N e h B U 2 k i z C B L f p p s 8 F G y g d m f z b z G a E C b Z v 8 Z 6 v C m 9 D A l 8 B v g d 6 v h 6 8 V T d f T x 9 4 y D 3 0 l e D p 6 2 d n r 7 7 4 4 u X Z l z d o q b 2 d X X S x e 7 M a t P B V D b o 3 3 6 u D Y T W o H Q x z i s f z N 7 b 1 G P 3 G t h 6 T m 0 H e U s W Z 5 n v 7 9 x 7 c o y j a r O H f p O R u 0 4 3 H 3 7 d p 7 m s 3 0 3 7 7 V n j 5 q u 5 W P U W Y Y m P 7 / h z f e i 3 n V u 3 7 c 3 1 r p X a r 9 p E J v y V l I 1 N + u x c j k 3 + 7 L n 3 1 d p v B + e r t v V D 0 F d y t O o p w w a 0 6 c g g + 3 O m r u C 9 f f X 5 6 O w 2 0 d 6 O K c / B D F a f Y 3 b q D Q R V n O 3 j 4 Y G f n 4 e 7 + w 7 E 6 k T e o O / v e L S y C E w b 7 1 j Z l + f b u 3 9 s 7 + P R g c 7 b O C Y b 3 L m U H 7 9 P K 8 + 6 D 8 c G m d 5 2 Q 2 H e J K g 9 3 d v c P 9 s f 7 m w J a J y T 2 z f s P 7 1 E W 5 t N 7 4 / 1 N n O G E 5 P 3 R 9 d S l / z K t L + w R S x 6 M D z b N j K c x H c p 7 t 5 h S T 3 W 6 X m / 3 Z o S L b q l E 3 x P F C A P d U p u + Z 0 c R j r n 9 D E S Y Z n + X V j c o V b Q 5 7 e 6 p V t f t 7 V 7 1 d O u t S O P p 1 v d E 0 l O u t + s p w h 2 3 6 8 l D c d d o v + + s i 2 l R N Z u 1 3 v 7 N 6 t Q C N C / c C t 6 w 9 j T w N l H C Y / v b N P e Y / T b N P V 6 / T X O P w 2 / T 3 O P p 2 z T 3 G P k 2 z X 2 N d 6 v 2 E d b Y 2 D 4 y 8 x v b v + f M + h r t V u 3 f c 2 5 9 R X a r 9 u 8 5 u 7 7 K u l X 7 9 5 x f X z v d q v 1 7 z q + v k 2 7 V / n 3 n 1 z X f M 4 r j K S X y X j w 9 f p 1 + 5 6 u n Z y d n x 8 9 v 0 C G 7 t 4 1 m X R f i 6 n l v v l c H w 8 r K d H B L Z X W b 5 h 5 D m + a 7 R N u d v f 2 H D / b H 4 K / B V z 3 e f t 9 X P T a / D Z I e l 9 + m u c f k 7 4 u Y r 9 D e + 9 0 I t 9 1 W u d 2 q / X t y g q / c b t U + w g u 3 V W 6 3 a h + Z 9 V v T 9 j 1 Z w F d 0 t 2 n v K 7 p b t X / P u f Y V 3 a 3 a v + 9 c u + b 3 j B Z 6 d f r 6 y + d f n Z x 9 + S I V n X e D H r p 1 2 s 5 1 o Y r u d m m 7 X g f D i s 5 0 c E t F d 5 v m H n O b 5 t u 3 5 T 6 P 0 d / 7 X Y / p b 4 O m x + e 3 a e 6 x + X t j 5 u u 6 9 3 8 5 w n G 3 V X a 3 a v + e 3 O A r u 1 u 1 j / D D b Z X d r d p H 5 v 3 2 x H 1 P L v C 1 3 W 3 a + 9 r u V u 3 f c 7 J 9 b X e r 9 u 8 7 2 a 7 5 v l F F Z 8 v L v G 6 K f / R v X a Y v / 9 G / Z 1 I W 0 2 y z O r p / s 5 6 z w M 0 L t 4 I 3 r N Y M v F u q t d s 0 9 9 j 4 N s 0 9 L r 5 N c 4 + J b 9 P c Y 9 v b N P e 4 9 j b N f X 1 1 q / Y R N r m t i r p V + / e c 2 d 3 3 n F p f R d 2 q / X t O r q + i b t X + P a f X 1 0 q 3 a e 9 r p V u 1 f 8 / 5 9 b X S r d q / 7 / y 6 5 v e N 4 j j 5 8 s W b V 8 d v v n y d n r 3 4 y d N X r 8 9 u 0 C G 3 D z Z t F + K D e W 9 u 7 O D 2 w a b p 4 J b K 6 j b N P Y Y 2 z f f u 7 e z f v 0 / L N + O D 2 6 m t 9 3 v R Y / H b I O h x + G 2 a e w z + f m j 5 q u w 9 3 4 x w 2 W 2 V 2 q 3 a v y c H + E r t V u 0 j P H B b p X a r 9 p E Z v y V l 3 3 P y f f V 2 m / a + e r t V + / e c a V + 9 3 a r 9 + 8 6 0 a / 6 p 0 T 2 q 1 C j C f P n V k + d n J 8 c 3 a J / b h 5 i 2 C 1 V v t w s x e x 0 M q z f T w S 3 V 2 2 2 a e 6 x t m m / f j v c 8 J n / P N z 1 2 v w 2 K H o / f p r n H 4 u + J l 6 / h 3 v f V C K f d V s X d q v 1 7 c o G v 4 m 7 V P s I H t 1 V x t 2 o f m f P b k v Y 9 5 9 / X c b d p 7 + u 4 W 7 V / z 6 n 2 d d y t 2 r / v V L v m D 4 w C e l L k y 7 x J 8 2 V 6 U i 2 n e V N U y x s i y 0 9 v V m 8 W u n n h V v C G t Z m B d 0 t t d p v m H h f f p r n H x L d p 7 v G w a b 7 3 6 a c P 9 k 2 U f Z P 2 u v 1 L H g v f B j F f c d 2 q f Y R n b q u t b t X + P W f Z 1 1 a 3 a v + e 8 + x r q 1 u 1 j 8 z 0 x v a R S b 6 t i r p N e 1 9 F 3 a r 9 e 8 6 v r 6 J u 1 f 5 9 5 9 c 1 P 7 A q K n 1 y / J 0 v 0 5 M v v / j y K Q W b N 2 i T e 7 d 2 w m w H 4 o R 5 b 7 5 X B 8 N q y 3 R w S 7 V 1 m + Y e O 5 v m + w 8 O D k h P f D o G r w y + 6 P H 1 + 7 3 o M b h 5 8 W a t 5 H H 5 b U b l M f n 7 I e e r M / v m / b 3 d + 7 s P d 2 9 4 M 8 J p t 1 V s t 2 r / n n z g K 7 Z b t Y 9 w w s b 2 E Q b Y 2 D 4 y 7 7 e k b G T y b + Y Y X 9 G Z t 7 Z v f s 3 X d 7 c Z l q / v b o + c r / V u 1 U t k 8 m / u x U P t o V F N J s N m t V / 6 5 O w G / b R / a w V o e 1 E F 6 N 5 8 r w 6 G F a D p Y B O t P L 6 / T X O P 7 U 3 z 7 d v p C k 8 A 3 v N N T x R u g 6 L H / 6 b 5 z Z P v s f 9 7 Y u f r Q P f q 7 U Q 1 w n K 3 V Y K 3 a v + e v O A r w V u 1 j 3 D D b Z X g r d p H Z v 6 2 p I 1 w w S 3 0 m a 8 G b 8 8 8 v h Z 8 j 7 f e c / Z 9 L f g e v b w v D 5 j m n + 7 s a P O P T 9 4 c p 7 8 3 q c A n r 4 5 f p a f f S Y + h k Q B h S E c 9 u O 1 K g 9 e J K E H v z f f q Y E g J u g 5 u p Q R v 1 9 y y v W u + / + m D e 3 s P d j 8 d P 9 i / j Q 5 8 3 x e t I N w O Q c v 8 t 2 t u m f 5 9 0 X K 6 7 7 3 f j P D Z 7 V T f L d u / J w c 4 1 X f L 9 h E e u J 3 q u 2 X 7 y I z f k r L v O f l O 5 d 2 u v V N 2 t 2 z / n j P t 1 N w t 2 7 / v T L v m u 0 b 3 H D 8 9 / e o p L a O + / P J V + u r 0 5 K u X N 2 i f 2 6 4 0 e F 2 o e r v d S k O v g 2 H 1 Z j r Y N G S P t 2 / T 3 G N t 0 3 z 7 d r z n M f l 7 v u m x + 2 1 Q 9 H j 8 N s 0 9 F n 9 P v H w N 9 7 6 v R j h t I 2 N G 2 O a 2 K u 5 W 7 d + T D X w V d 6 v 2 n z 5 + v / a R O b 8 t a d 9 z / n 0 d d 5 v 2 v o 6 7 V f v 3 n G p f x 9 2 q / f t O t W u + Z x T Q y T p f t l m T z v L 0 y 3 p G C w 4 v 6 3 y j F j q 4 W b t Z 4 N r + N t C G V Z m B t r e 3 8 + D e p 3 s 7 F O n u 7 I 0 f 7 N 1 O s / l v H + x Q i L B D q 1 b j + 5 / e T t G Z t z d R 1 d N u p v n + v Y f 7 + 5 / u 7 T 0 Y H 9 x S u 5 k 3 D + 7 f 3 z l 4 u L O 7 + 5 A C z A c P b q f r 3 M v 7 n + 4 / v P / p / Q f 3 D s Y P 7 9 1 O 8 7 0 n z r 7 m 0 1 f R 7 m Z d Z / r Z v m 1 H E Y a 6 7 a s R 7 r n t q x H W u a 0 2 f N + u I o x z W 8 V 4 M + U j 7 H F b v C L M c d t J 8 z X k b c b k a 8 j 3 R N N X l r f q 6 g O Y w r 1 5 z 6 i 2 5 / k 1 d O b Z 8 q L O m 6 r Z r O S s w / Z m U G d a w O a F W 8 E b 1 p o G H m n L B / c f P L x / c O / e / f G n m 1 I C H u e 7 l / d J 3 + 6 S N r q 3 P 7 6 / i U S e G J i X b 6 k z T f N 7 + / s H u / e R m h 0 f P L y d 0 j S v 7 u 3 v 7 9 7 b v b / / 4 B 4 8 h E 2 q 3 Z M K 9 / L O p 0 S c h / c e 7 B I b b N K 4 n l y 8 L 9 K + 1 t R 3 b 6 c 1 T U f b t + 4 p w l O 3 f j f C P 7 d + N 8 I + t 1 W c 7 9 1 X h H 1 u q z l v p n 6 E R 2 6 N W I R F b j 1 z v u 6 8 z a h 8 3 f m + i P r K 8 1 Z 9 f Q h n u F f 3 r f Y 8 / X 3 S s x e f v z p 9 / W V 6 + v r N 2 R c 3 6 D s O e 3 c Q y N + k R 2 0 X H F n 7 b 7 5 X B 8 O K 1 X S w u 7 t 3 b 3 9 v 7 9 5 9 c i n H D 2 + p W O 3 L O 7 R g / e D T g / t 7 9 3 Y 3 v + y J i X m Z v L y 9 g 0 9 3 d x 7 c b m H F v b h / c P 8 h a b u d / f 1 N c + 0 J i 3 v x 0 5 3 7 n 9 5 7 e L C j 3 v x N y t U R i W z P v U 8 3 v e W J z P v h 6 e t U f f N 2 O t V 0 Q 6 y 8 T + 7 2 3 o P b 6 l P z 4 v b t 3 o w w z c b x R P j k d h 1 F e G R j R x H W u F 1 H f d a 4 n R 5 9 z 4 m N s M T 2 7 V 7 1 d e h t S O H r 0 P d D 0 t e g t + o p w g 2 3 6 8 l D 8 X 5 X f 9 L 6 y + l 3 K D P 5 5 g b 1 t n d r / W m 7 U P 3 p 3 n y v D o b 1 p + m A 9 O c u Z X Q e U F S + P 7 5 3 S / 3 p v b z z 8 M E B B f V Y h 9 2 / n f 4 0 L 1 N 0 / O n u f e o V p m z w R U 9 I z I v 3 H 3 x 6 f 3 y w K f H g C Y h 5 6 e H u v X s H D / Z p k u + P H 2 5 6 1 5 O X 8 N 1 7 + 5 8 e 7 I w 1 J L h J h 9 4 e V 1 9 / 6 l u 3 0 5 8 e H e 9 z q m F v E 2 6 + A j V v b t / y 1 Q j b 3 F a D v i e S E T a 5 r Q p 9 z 5 7 6 L H I 7 H f o e E x t h h + 2 b X / N 1 5 2 1 o 4 O v O 2 y P n 6 8 1 b 9 R L h g Z t 7 8 V D 7 1 C i 0 L 7 5 8 e p Z a x U l e 5 w 0 q 7 d 6 t d a b t Q n W m e / O 9 O h j W m a a D + z v 3 4 T b e v / d g b z O X e Y J g 3 i V j Q w r z / s H u w e 7 m 3 K A n C u b d h 3 t 7 9 9 m T 2 x 1 j E g Z f 9 a T C v P p g 7 8 H e p / d 3 S A F u T m d 6 Y m E x 3 v 3 0 4 R 7 5 u f T P + N 6 m 0 X p S Y t 6 l 4 G T 3 4 U N K i x / c 3 5 y 4 8 G T l f V H 2 F a i + e z s F a j r a f X h / 7 z 7 c + J 3 x 3 i Y X 2 V e h 5 t 3 t W 7 8 c 4 a P b K t H 3 R j T C O 7 d V o + / d V 5 9 j b q d I 3 3 u a I y y y f d u X f a V 6 G 4 r 4 S v V 9 E f V V 6 6 3 6 i n D G b f v y 0 H x g t J 8 L 6 t O n p z 9 5 + u L z G / T f / q 0 V r O 1 C F a x 7 8 7 0 6 G F a w p o P d v Q f k V 3 6 6 R / / t j z e N 3 x M S + y 5 x 7 s H 9 H a j 1 + + P d T S 9 7 U m J e / p T 8 v A P K C c A t 3 e g l e h J j 3 q X I / F P S d A / 2 y M O 8 t y l + 8 y T G v v t g l 2 J 7 c q c P P h 1 v e t W T H / P q A S l Y C l / 2 d 8 f 3 b + m b v j f C v o b V l 2 + n Y U 1 P D + 7 v k g W 5 t 3 f / 4 f j + J p v n a 1 j z 7 v a t X 4 4 w 0 m 0 1 7 H s j G u G d 2 2 r Y 9 + 6 r z y + 3 0 7 D d e b 5 5 n i N M s n 1 r L v F 1 7 G 1 o 4 u v Y 9 0 b V V 7 K 3 6 i z C H L f u z E P 0 Y E D L / u T p 7 Z T g 7 s 1 a 1 n Y R a l k V 7 l t 3 M K x l T Q f Q l J 8 + J E P z 4 P 6 9 8 f 4 t / V j 7 M q n o A 0 q 9 U o 9 7 4 4 f 7 t 1 O z 5 u X t r 6 N n 7 c u 3 n j d P c M z L p C 0 P H j 7 c 3 S O z s k n m P C k y b 0 J F 3 3 + 4 + + m 9 B 5 Q E 2 I S y J 0 T v j 7 K v a v X t 2 6 l a 2 9 W t 1 U q E 5 W 7 9 b o S b b v 1 u h J k 2 q s 4 I / 9 y 6 r w j 7 b O y r z z G 3 U 7 V f Y 6 I j b H L r l 3 1 V + / 4 v R 7 h m o + q M M M r t O 4 t w y s Y Z c M 0 f R l T t q 9 O T 4 6 + e 3 q A J 7 9 / a o b V d q K p 1 b 7 5 X B 8 O q 1 n R A q n Z n / z 5 F 0 K T z N u c 7 P e m w L 5 O e v L / / k B b / 7 3 2 6 W U 9 7 o m J e J l X 7 c O 8 B d U s L 8 + O N 6 0 a e r N i X 7 + / t k 9 b 7 9 N 6 9 / Q c b / X B P b s y 7 t C x 5 8 O n + f W K R 2 3 q 0 5 k 0 y S j s P K L F M / 4 w / v Z 2 i f W + E f T 2 r L 9 9 O z 9 q e a E 2 N U P y U c s K U F t l E V 1 / R O n 6 4 7 c t R Z r r t y x F m u q 2 q f f / O I v x z W 1 1 7 8 w x E 2 O T 2 c x 1 h l N u + 6 2 v a 9 3 4 3 w j a 3 V b T v 3 V e E T 2 6 n Z y E J q m f z 6 3 S W p 6 c X d d 5 U z W Y d u H e j c n V w z Q u 3 g j e o S y 2 8 3 f u f k u 3 Z 3 6 W l 8 E 8 f j H c 2 U c X x v / / 2 v f s P 7 9 M i + t 7 D T 8 c 7 m x w 5 J w 3 2 7 U 0 k d f x v m 2 9 T E u L g w c 6 D e w 9 u y N g 6 W b D v I u N 6 / 8 H + p / u U B x o b 7 / 8 G F e q 9 f O / h p 5 + S f d 7 Z o 5 5 v p 0 T f H 2 t P i Z q X b 6 V E b U + 3 7 i j C V r f H M s J D G 0 U j w j W 3 7 u s 9 e c Z T m u / f V 5 9 p b q V A v w Y F I 0 x y 2 3 c 9 B f r + 7 0 Z Y 5 p Y K 9 P 3 7 e l 8 u c c 1 3 j a J 7 + f r l m y / T U / Z U j 1 + + + v L J D T p v 9 7 a O q u t C H F X v z f f q Y F i 5 m g 7 I U d 0 n g 7 + / d / / T 3 c 3 a 0 Z M S + / L e f V r e 2 n + 4 d 3 D v 4 X h / k 9 b x x M S 8 v H 1 / / 1 N K f + 7 S m s P B e H / / d o r W v k z 9 U h K U z M L + p k n z J M a 8 u X f v w a c P d u n v h 7 u b 1 z I 9 A T L v P t i j P / b 2 K C d w w 7 u e / L w n x r 6 K 1 V d v p 2 J t P 5 / u 3 N u / f 3 9 n 7 8 E N V P V 1 r H n 5 1 u 9 G O O n W 7 0 Y Y a S N F I r x z 6 7 4 i r L O x r z 7 D 3 E 7 F v u 8 s R x j k d m / 6 6 v U 9 3 4 w w y 2 2 V 6 3 v 2 F O G O W 6 r W v Z h q / b 3 T 0 + / c k G 7 d 2 7 u 1 a r V d q G p 1 b 7 5 X B 8 O q 1 X S w 9 + D + w c 4 9 c l s f P n g w / n S T d v Q k w r x 8 j x y 6 + 5 S 5 v H f v 0 4 P N h s w T D / P y N l m / / b 3 d e 6 R h H 2 5 2 m D 3 5 M C / v 0 l I a 5 d s e k i N 5 b 5 O O 8 0 T F j n h n 7 / 5 9 C l 3 u P y R j s n E V 2 R M d 9 / I u e e n g L z I m D z e R y x O e 9 0 X a V 6 / 6 7 u 3 U q y M t p Y P u H x w 8 u E c L 5 Z s T f h G e u / 3 L E X 6 6 / c s R f r q t h n 3 / z i I s d F s V e / M M R P j k 1 l M d Y Z P t 2 7 7 s q 9 n b j M p X r u + L q K 9 o b 9 V X h D d u 2 5 e H 5 r 1 Q 1 b 7 8 8 h X U 7 K u T 0 1 e 3 0 4 S 7 N 6 t a 2 0 W o a n f f s 4 N h V W s 6 2 E X 4 + / B T W m J 6 Q A p v / 3 a q 1 n t 5 j / K l 9 3 Y e v o c X a 1 7 e N F G e Z J j m 2 w 8 o t b b / g M R q f H + T f v S E 5 D Y 9 e W J i m t + y I 0 9 I 3 h d H X 5 f q u 7 f T p e + J o q 9 I 3 x v H C L N s 1 E 4 R / r h t V + / J H b 7 i f N + u + u w R o 3 x f h 7 4 3 + S L s c c t X f Q 3 6 v q 9 G e G W j Q o w w y G 2 7 e l / + c M 3 3 j X L 7 4 s u n q X N X K R F w g 3 q 7 d 2 t X 1 X a h + t O 9 + V 4 d D O t P 0 8 H B 7 s H + v f v 3 H u z t 3 R 8 / 3 E Q v T z z s u 3 u 0 t E + u G 9 a b N n o K n n y Y d 7 c f k r u 3 t / 8 A H v L G f j 1 Z s e 8 e P K S M 8 L 2 9 n X 2 a 4 9 u t V d l 3 y V y S l 0 k 5 g P s H n 4 4 3 9 e v J j n u X k N 4 n Y / s p r c 7 d 2 9 S x J z z v j b S v X P X l 2 y l X 2 x O N c P / T X V q D P N i 8 h u i r V z f G W 7 4 b 4 a V b v x v h p Y 2 i F + G f W / c V 4 Z + N f f V 5 5 n Y K 9 v 3 n O c I k t 3 3 X V 7 H v / W 6 E Z W 6 r Y 9 + 7 r w i X 3 F L J 3 j c a 0 F O w J 1 9 + Q b n W G 3 T g / q 2 V r O 1 C l a x 7 8 7 0 6 G F a y p o O 9 e 7 S 8 s 7 f 7 8 G D / 4 Y P x / i 2 1 r H l 5 9 + G n l L i k t c F d S m w f 3 F L N m p f v P X y w 9 3 D v P q X L 9 s f 7 m 9 7 1 x M S + + y k t R e 7 t 3 z / Y u K r v y Y t 5 8 W D / 4 B 6 l 4 h 9 C T R 7 c u 5 2 O d e / u f / p g n z L D s A u b 3 v W k 5 / 0 Q 9 v W r v n k 7 / e p o e u / T + w 8 o w U M m 8 / 5 t 8 w D m 5 e 3 b v x 1 h p I 2 y E + G d 2 3 c W 4 Z 3 b u r D v 3 1 m f Z 2 6 n Y 9 9 z o i M s s n 2 7 V 3 3 9 e h t y + D r 1 / Z D 0 t e u t e o p w x e 1 6 8 l D 8 N N S t o l a / O H 1 z O 8 W 3 e 7 N m t R 2 E m l U N 9 a 0 7 G N a s p o N d U o q 7 n 9 K 6 O b l 0 4 9 1 N + s K T D u / l e 5 / u f U o + x M N P x / u 3 z L S a l 7 c f P r j / k L T c P j k g t 8 y z 2 l d J J x 9 8 + u m D T + + N d z f 1 6 o m J e Z W y H D u U Z N 3 5 d L P T 7 M m M H e z + z s H D 3 b 1 P H + x s p p M n N O + L r 6 9 Z 9 d 3 b a V b b 0 d 4 + r T C Q n b x / Q y 4 r w m q 3 f T X C R L d 9 N c J C t 3 V b 3 7 e r C N f c 1 m u 9 m f I R 7 r j 1 F E f Y 4 5 a v + j r 1 f V + N 8 M p t X d b 3 7 S r C H 7 f 0 W B + E W p U 9 1 q e n P 3 n 6 4 v M b 1 N 7 9 W 3 u s t g v V q + 7 N 9 + p g W K + a D i g x e v / h Q 3 I d D w 5 2 N u d R P K G w L + 8 d U F L 2 / v 5 D U s z j g 1 v q V f M y Q r p 9 W q Z / S I p 1 o / P o i Y h 9 9 / 7 O w e 7 D B / c e 3 N s f b w o K P W k x r 5 L n Q u v K + 7 R m d 2 / 8 Y J M Z 9 Y T H j p c y T v f u f / r g 3 u 7 D 8 a e b 3 v W E 5 3 1 R 9 n W r v n s 7 3 W o 6 2 q c l u g f 7 9 / Z 2 9 8 c P N p H V 1 6 3 m 3 e 1 b v x x h p d v 6 r O + N a I R 5 b u u y v n d f f Y 6 5 n X 5 9 7 2 m O s M j 2 b V / 2 N e x t K O K r 1 f d F 1 F e x t + o r w h m 3 7 c t D 8 + A D d e w t f F f b R a h j b / J d u x 0 M 6 1 j T A b m f 5 P I e U B b l 3 o P N 7 o A n J f b l v b 0 9 I t 3 9 g w c 7 e + M H m x x Q T 0 z M y 9 v 3 y V 3 e J c Y / u L c 5 C e q J j H t 3 / 9 N 7 D / d 2 7 t + n d M S 9 W 7 q v 5 m W a a 1 q u P C B l u 9 k K e x J k X v 2 U 1 g Y f 3 t v f 3 9 s 7 G G 9 6 1 R O g 9 0 f Z 1 7 L 6 9 u 2 0 r O 2 K 8 s N 7 9 + 8 d 7 J H l 2 x h R + G r W v H z r d y P M d O t 3 I 7 y 0 U W t G 2 O f W f U X Y Z 2 N f f Y 6 5 n Z b 9 G h M d Y Z N b v + z r 2 f d / O c I 1 G x V n h F F u 3 1 m E U z b O g G v + M K J p T 7 9 z + u r k 7 A Z F + O m t v V n b h W p a 9 + Z 7 d T C s a U 0 H u 3 v k z p L + I H u z N 3 6 4 S V l 6 0 u F e p m T k w / u 0 a r R P a n q T t v R E x b w M j n x 4 n 3 z a 3 Q f k C m / q 2 Z M V 9 / L O g 0 8 P S O v d o + T G / q e 3 U 7 X m Z e R E d n Y P K H W 8 M S v k S Z F 5 8 / 6 D v Q e U V d n 9 9 O B g f G 9 T r 5 4 M v T / K v q r V t 2 + n a m 1 X J A I P 9 h 8 e H H y 6 f / t l L v P y r d + N c N O t 3 4 0 w 0 2 1 V 7 X v 3 F b L P z X 3 1 O e Z 2 q v Z r T H S E T W 7 9 s q 9 q 3 / / l C N f c V t W + f 2 c R T r m d q s U Y A 1 X L W v b p l 7 d T g 7 s 3 6 l k H P 9 S z y k + 3 7 m B Q z 9 o O d v d 2 7 3 1 K u m O f F n D G e 7 f z a N 3 L t M K 1 v 7 O / d 4 9 W E c a 7 i t w N e t a + T J b w P u U r P r 1 3 7 + H 4 Y N M 0 O T l x 7 9 L C B b 1 5 n / z p 8 Y P b O b T 2 3 U 9 3 7 1 E E S e / u 7 Y 4 f b s L Z i Z B 9 F 8 7 w z k P C m q K f 2 6 n Z 9 0 f Z 0 7 L m 5 V t p W d v T v b 0 9 y p z t 0 r x s n h N P y d p 3 t 2 / 9 c o S X N s p O h H 1 u 3 V e E e z b 2 F e G Y W / f V 5 5 h b a d m v M c 8 R J t m + 9 d u e l r 0 V T T z F + v 6 o e l r 2 d p 1 F m O P W n X m I 7 n a 0 L B z a l 8 e f H z + 9 Q Q 0 + u K 0 / 6 3 p Q P e v e f K 8 O h v W s 6 Y B c U l r y I 4 2 3 Q w t B n 9 7 O n 3 U v 7 1 K y 4 t M H B 7 u 0 Y j j e 2 8 S + n q S Y l z + l 1 d 2 d e / t 7 B 5 Q m 3 R j 7 e V J j 3 i W H d H / v I a / V j R 8 + v J 2 e t e 9 S R n h n n x a / 7 n 8 6 v n + 7 z I H D G c 7 3 L m W k 9 8 f 3 b 6 l n 3 x t l X 8 / q y 7 f T s 6 a n h / c e k D 1 4 8 O D T m 7 y p C L 9 t 3 / r l C C / d V s + + N 6 I R 7 r m t n n 3 v v v o c c z s 9 + / 7 z H G G S 7 V u / 7 e v Z 2 9 D E 1 7 P v j a q v Z 2 / V W Y Q 5 b t 2 Z h + i e 0 Y I n 6 3 z Z Z k 0 6 y 9 O T I q / r P H 1 Z b 1 S F D 2 9 W s R a 4 t r 8 N t G F 9 a q D t P i Q / b n / / Y B f e 4 / 7 t 1 K l 7 l x K p 5 C U / h G Q O v u g J g 3 l x 0 1 x 4 s m C a b + 9 T A m K f / n 6 w G U V P F M y r 9 3 Z 2 K E 1 M k r Q 7 3 r m l 7 r S v g i r 3 7 9 1 / S I t x m + b f E 4 v 3 R d h X n f r u 7 V S n 6 e i 2 / U T Y 6 N Y 4 R p j m t o r z f d F 8 T 1 b x 9 e b 7 d t X n l d u p z f c m X 4 Q 9 b v m q r z L f 9 9 U I r 2 x U g B E G u W 1 X 7 8 s f r v k 9 o 9 F e r 1 d 5 n V 0 W b f q s W G b L K a n M a r O C 2 7 1 Z X 1 r o 5 o V b w R v W m A b e w / 1 P a e F p Z / f + 7 s b 1 I 0 8 M 7 J s U L 9 9 / Q H m t e + O H n 9 5 O Y 5 p X b 6 k x T f P b c q c n B e b V r 6 E x 7 a v v r z H f F 2 F f Y + q 7 t 9 O Y p q P b 9 h N h p F v j G G G a 2 2 r M 9 0 X z P V n F 1 5 j v 2 1 W f V 2 6 n M d + b f B H 2 u O W r v s Z 8 3 1 c j v H J b j f m + X b 0 v f 7 j m + 1 Z j f v X y 9 N X x T 5 6 9 S Z + d v T h + c X J 2 + m p z 0 p R S N r c O 5 m 0 v H M z 7 b 7 5 X B 8 O q 1 H T w / q r U v v n + q t S 8 e k t V a p r f l m 0 9 8 T C v f g 1 V a l 9 9 f 1 X 6 v g j 7 q l T f v Z 0 q N R 3 d t p 8 I Z 9 0 a x w j T 3 F a V v i + a 7 8 k q v i p 9 3 6 7 6 v H I 7 V f r e 5 I u w x y 1 f 9 V X p + 7 4 a 4 Z X b q t L 3 7 e p 9 + c M 1 v 2 + U 3 N P 8 v J i + h + u 5 d 7 M C t b D N C 7 e C N 6 w v D b x d L B T t k W I 4 2 J z 6 9 a T g f V / 1 p M C 8 e k u F q c 2 H O d n j + h v b e k x / Y 1 u P y W 9 s 6 y u 9 m x t H 2 G U j d 0 V Y Y G P 7 y B T f V r v d q v 1 7 T q a v 0 m 7 V / n 1 m 1 N d j N z d + n z n 1 V d X 9 x z c 1 7 s / p h s b 9 C d 3 Q u D + b G w b o 2 n 5 q F d H p s 7 O T 9 / D o 9 m 7 v 0 d k + x K P z 3 n y v D o Y 1 l O n g t m r G 4 + T 3 f d V j a v P q L T W U N h + e F Y + f b 2 z r s f O N b T 1 u v r G t r 6 F u b h z h o 9 t q q F u 1 j 0 z x b T X U r d q / 5 2 T 6 G u p W 7 d 9 n R n 0 N d X P j 9 5 l T X 0 P d 3 L g / p x s a 9 y d 0 Q + P + b G 4 Y o G v 7 w G i P 4 1 m + n l W 8 r H H 6 0 3 k 9 J b / p B m f p 3 s 2 6 y U I 3 L 9 w K 3 r A q M v A o R D z Y e / i Q / j / e 2 x R C e S z 7 v q 9 6 3 G t e v a U q 0 u b D 5 P c Y 9 8 a 2 H t / e 2 N Z j 2 x v b + q r o 5 s Y R h r m t K r p V + 8 g U 3 1 Y V 3 a r 9 e 0 6 m r 4 p u 1 f 5 9 Z t R X R T c 3 f p 8 5 9 V X R z Y 3 7 c 7 q h c X 9 C N z T u z + a G A b q 2 B 1 Y V k b d 0 f I O u u L 1 / Z M G K f + S 9 + V 4 d D C s l 0 8 F t N Y v H v O / 7 q s f H 5 t V b K i V t P j w R H g v f 2 N b j 4 B v b e g x 8 Y 1 t f K d 3 c O M I 6 t 1 V K t 2 o f m e L b K q V b t X / P y f S V 0 q 3 a v 8 + M + k r p 5 s b v M 6 e + U r q 5 c X 9 O N z T u T + i G x v 3 Z 3 D B A 1 / a h 0 R 4 v q j R r i o t l N q v S k 3 W + b D O 4 S o v s u q q 3 m j u D y u T V 6 e s 3 v / + 3 b 9 Z S 2 g / j 9 L 5 g v K E Z d D c x h s e n t 2 n u s e l t m n t c e p v m H p P e p r n H p r d p 7 j H q b Z r 7 + u d W 7 S O M c l s V d K v 2 7 z m z v g q 6 V f v 3 n F t f B d 2 q / X v O r q + F b t X + P e f X 1 0 W 3 a v + e 8 + t r p F u 1 v / 3 8 3 v 3 8 1 d n T 3 / / L Z 8 + e n 7 0 4 p T 9 J I X z 1 n L 5 7 + Y o + O / q 9 H 9 + V X x 6 / + o m f x F / 4 8 f g n v j p 9 9 f s c / d S z s 9 / / i 5 O d 3 d / / J 3 Z 2 a D z y o X z 3 + / / k 2 e l 3 0 Z P 7 6 / d / c / p 7 v 2 E t 9 O L Z l y d f P T m 1 7 5 M m M h 8 9 / v z 0 x V c v z s 4 I 2 5 1 7 L w 5 O v / j 2 w e d v n r 0 6 e f 3 d 3 + u L l 7 / 3 q 9 c / 9 e U p I W z a P D 4 5 f f 7 8 9 3 9 + 9 g X l v 9 4 1 x a N l U X 7 2 U V u v 8 4 / Q z 8 s v X 5 + 9 O f v y B Q Z u f 3 / 8 + v f / y e N X Z 8 d P n p + e f P n i z T G N + R X B M b / + / t 8 + f v H 0 + W k E 2 p v f + / f / 8 s l 3 T k / e 4 H 3 6 / / O v T l 9 H m t 2 N w r / 7 6 v W r 3 / / 1 7 / 3 7 P z 1 + c 0 z k / M m z p / z p m 8 4 H b 3 7 / s z e n X 7 w m W k t z / H X 0 + E W 2 y I 9 A v N P n p 1 + c v n j z + x M v 8 2 e Y I l r Q f X N 2 S q + g 7 e + v H / w + + h J / 9 u L 4 i 1 P z w t l y l r 8 D P e S X x z + Z l e s e b P m Q 2 o Q Q Y x 2 8 O n 1 B i P / + x 6 9 f n 3 7 x 5 P n v s 7 m b J 6 f v j m e z Y j l K f z K v m 6 J a f v a A f O E x / z c i y 1 e 2 6 z r / b J m v 2 z o r R + n L 9 a Q s p r 9 X f v 2 m e p s v P 3 u 4 9 2 n 2 6 d 7 O w X R y f v 9 g k k 2 + D p 4 n z w n T z U h O q 8 W 4 y V b j S T H O 2 3 G 2 z M r r H + T 1 O A P i Y x r B W Z s v 3 u T v 2 t M y X 5 C p f i 8 s M N n 4 j G d 7 M x p P X / 7 + u + 8 F + / T 3 J l m 4 x V z T E L 5 7 s P P V w 9 3 n J 7 / 3 6 d 7 L b / 8 + Z 3 v 7 X 7 5 8 8 J P P X 7 5 + / l 4 d v v 7 2 6 e m b G / r K S l o b y 9 8 L 7 N P T 1 2 e f v / j 9 X 3 / 7 + O X N I / n 8 x Z s 3 L 3 e / 8 + b + 7 / 3 V V w e f f r n 3 5 j u / z x f 3 v 3 g C v N 6 j y 1 f H L z 6 / o a / f 7 d X v t v s I / 7 w X 4 K d n r 1 8 + P / 5 9 f v / X b 4 7 f n J 3 8 / s / O n r 8 5 f b W Z / 1 i F v A f o Z 1 + + + u L 4 z T c L E + r g 9 1 d 9 c I O 0 / M K y P f w 9 3 i 3 K 9 F I l + q P d 8 c 5 H a b 6 c V i Q v F 5 9 9 t G 7 P t 3 c / / e j 3 + I U X 7 e F v n K D 5 6 7 w u s r L 4 Q e 5 J U U o g l s 0 j 0 q a f f T R v 2 9 W j u 3 e v r q 7 G V / f G V X 1 x l x Y U d u / + 3 l 8 8 f z 2 d 5 4 t s u 1 g 2 L d j q I / v W 7 O a 3 P h I E 0 h Q o v L l e 5 f j 7 J z N C Z V L m + O y u + d A 0 O n v K T V S X / / 4 / d f b 7 E 6 3 u / f 5 7 3 F i + N E 2 Z F u Z 9 U l j c J P h Q h n 4 3 N n Z 8 / V 5 c d f z V m y + f n W 0 W v f e d 8 p P j l 7 C O 7 w 3 z r v 7 K F s g Y O b F a m 0 3 Y 3 s + i C d t 7 L 3 L + y I S 9 D x b / L z F h v 9 e r g 1 e / z + / 9 + c u n r 1 9 / 8 e m z J 0 9 f f O f N l 7 / 3 t 4 + f 7 b 9 X h / 9 v M G H 3 v j z 5 f e 7 v 3 T v 5 4 v d + f b D 3 E 6 d f P d y 5 / + Q 7 L z 5 / c P x e X d 7 G h B 3 D h B 3 / y I R F T d j P B x O 2 8 / L 3 f / b 7 n B 6 / + p E F + y Y s 2 L 2 f R Q t 2 7 7 3 I + S M L 9 j 5 Y / L / E g p 1 9 8 e X Z / r 3 v / O T Z w f P n n 5 7 9 3 j 9 5 8 u r z 3 3 v / 9 / n O y y / f q 8 P / N 1 i w 0 + 8 + + e L N 0 5 / 4 i b 0 v D r 5 6 + v T z N z + x / + L 4 / v 7 B 8 e / 9 X l 3 e x o I 9 g Q V 7 8 i M L 9 v P X g p 3 R / L 0 + I X r d + 5 E R + y a M 2 P 7 P o h F 7 P 1 / 8 R 0 b s f b D 4 f 4 k R e / D p s 9 / 7 0 9 M v X 7 x + / v D b z 3 d O X n 7 7 0 5 / 4 v b 9 9 / 8 t v 3 3 + v D v / f Y M R 2 X z 9 9 e v / 5 y 3 s H J 8 e f n x w 8 / c 7 D 0 9 0 v z 1 7 9 x M l X 7 9 X l b Y z Y C Y z Y y Y + M 2 P + v j N h J x a D a D U b s 9 S s S 2 t O b z B a G 8 i O 7 d a P d u v + z a L f e T 3 n 9 y G 6 9 D x b / L 7 F b n / / U s 1 c H r + / 9 x P 3 X u 7 / P / d 0 X P 3 G 2 / + T 1 F z u v T g / e q 8 P / N 9 i t s z e f 7 j / c / 8 6 n P / H y y y f H v 8 / 9 3 + v 3 f v n 0 0 9 / 7 i 9 / n 6 X v m w G 9 h t 5 7 C b j 3 9 k d 3 6 / 5 X d e q / g 6 / X v f / L l F y / p n 6 e n v / / u j w z Z N 2 L I P v 1 Z N G S f v h c 5 f 2 T I 3 g e L / 5 c Y s p 8 4 / f w 7 X / 4 + v 9 f Z 2 e 6 z E w q 7 T j 7 9 i e 8 e H P / U w c u d 9 + r w / w 2 G 7 I u f + I n v 7 O 3 f / + 6 b / Z 9 8 c v / L 3 / v 0 6 b c P v n 3 w 6 v 7 p w / f q 8 j a G 7 B k M 2 b M f G b K f z 4 b s y V e v j 3 9 k w b 4 R C / b g Z 9 G C P X g v c v 7 I g r 0 P F v 8 v s W B f H f z E 8 b 3 j n 3 z 6 c v / k 9 3 7 y 6 Z f f f r 5 3 + u C r 0 2 f f e b + p / 2 A L 9 g 1 Y s N O f u n d 8 / + X z n / y J 5 / d e 7 X 3 + e / / U l 8 9 3 f u + X P / G d g 5 f v N Z L b W L C f g A X 7 i R 9 Z s J + 3 F u y n X v 7 + z 3 6 f 0 + N X N 5 m w H y 2 C D V m w z 1 + d P Y V S + 0 Z N l w H 6 H g T 8 + W m z P q + L 2 X t 1 / 7 N p r N 4 c v / r 8 9 M 3 v v 6 G L 3 Q / t 4 j 3 s 4 U / 9 3 l 8 8 e 3 N w 7 9 l P P v n u v S e f 7 j / 9 / M 1 X L 3 7 q + c O 9 b z y i e 7 Y m g c + 3 X 1 R P q r r O 6 v c C / 1 5 2 8 Y v j L 1 8 + 3 / n u d 1 / / J J n G Z 7 / 3 7 / V T 3 3 7 1 e 7 3 5 v X / i y d P 3 6 v I 2 d v E Y d v G 7 v 9 u 9 T / f e L 2 o U u 7 U Z + O / 9 X h B f f / n q z e 9 / d k I r o 9 8 k 1 G + f n b 4 6 f n X y 7 d / n Z x M 0 G 9 y X r 0 6 f n f 3 e p 9 + M K X 9 x / J N n n x 9 / L Z 0 e A / d N 2 h z M / F f P j 7 9 J S j 5 9 d f b 8 + e / / 9 M v v v v j 9 v 3 x B y d I X P / m N Y P r t s 8 + / / Z z + / 4 Y c u F d f n b z 5 6 t X p 7 / 8 F 2 Y x v y o e j C T 8 l J X 9 y + v v / X q e / z z f K W i f P z 1 5 + Q T n j 3 / s G f f T V 8 + e v z 3 7 q 9 G v B v s F w f i 3 Y x 0 + / 8 9 V r i M I Z R a L H r 0 4 3 c 8 l t 6 U x / v j k 9 + c a E 4 e m X v / + L L 8 l 4 k Y f 8 5 v T 3 f / E V G O J W f v h 7 T u L r b 3 / 5 X a T / 2 Q 0 n d + X 3 F 5 N m P v l G x v L 6 q 5 e k d 1 6 / / v 1 f n H 7 3 9 3 9 + 9 u J r q J + 7 + m v E B 7 z 7 h n + h z 1 / / / s a R J u l 8 c 0 w d v T p 6 b H / 9 / b 9 9 / O L p 8 9 O U / P 9 H y 6 L 8 7 K O 2 X p N 7 T 5 2 9 + b 1 / / y + f f I c m D + / T / 5 9 / d f o 6 0 u x u F P 4 b g y W j 9 u r V 7 x 3 8 f f b 0 6 P j 5 c y L x 0 1 f H n / / + h A D 9 8 u V L G t 5 T G i w 6 4 u n i X 2 h Y n Z c j w E i a i Z L f p l k 6 e / P 7 f 3 F 8 8 u p L D x Y j e Q s g 9 O c J p s O M 5 u u j 8 8 X p 8 z c W z O u v D 0 e F 5 / f / 7 p e v f q 8 n X 3 7 5 e 3 2 N Q R n K f P c J 1 D N 9 9 e L r o 2 P Q + P 1 f k l d M f z z 9 G v i 8 + f Y p v M L 3 f u / 1 m 9 + H A s G v X p L b S o a A V K A / j J 3 3 G s Y b 8 q 1 e k / b / Q D A / D k v n X u Y / 3 + v 1 r 8 L X v 3 q v 1 1 9 8 + f t / 9 9 W x L z K 3 p a S d x c 7 w b / s + q 0 b 6 w A n K B 3 C 4 R e b M Z 6 a j Z / d O v 3 z y + U / u f P X y 9 e 6 T r 7 7 a P f 7 i 9 / 6 9 j 3 e f 7 X z n v Y C / J C t G t u z D p l m B 8 B t f h 1 q k 5 O E c v z 5 7 8 T k x M I V S K p F f A 9 Z X r 0 9 J g t + c f U G m n d y i L 0 l 3 3 l Z J 3 Q 3 1 M S B h c R v m h 0 z z E Z T 5 4 7 v d T x / L 2 B H H H f 3 U s 7 P f / 4 u T n d 3 f / y c o t f P 4 r v e N t n r z + 7 w 8 P f q J d V 5 f m 2 / 5 k 8 f I v 4 n E H h G H e 3 + h 2 e e n R / 8 P W i p l a I q U R Q A = < / A p p l i c a t i o n > 
</file>

<file path=customXml/itemProps1.xml><?xml version="1.0" encoding="utf-8"?>
<ds:datastoreItem xmlns:ds="http://schemas.openxmlformats.org/officeDocument/2006/customXml" ds:itemID="{2791F79B-C694-4A7E-AACD-98663D960672}">
  <ds:schemaRefs>
    <ds:schemaRef ds:uri="http://www.sap.com/ip/bi/bexanalyzer/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ESF</vt:lpstr>
      <vt:lpstr>ESF_LDF</vt:lpstr>
      <vt:lpstr>EA</vt:lpstr>
      <vt:lpstr>EVHP</vt:lpstr>
      <vt:lpstr>ECSF</vt:lpstr>
      <vt:lpstr>EFE</vt:lpstr>
      <vt:lpstr>EAA</vt:lpstr>
      <vt:lpstr>EADyOP</vt:lpstr>
      <vt:lpstr>IADPyOP_LDF</vt:lpstr>
      <vt:lpstr>IAODF_LDF</vt:lpstr>
      <vt:lpstr>IPC</vt:lpstr>
      <vt:lpstr>IPF</vt:lpstr>
      <vt:lpstr>CIP</vt:lpstr>
      <vt:lpstr>Fuente-NoBorrar</vt:lpstr>
    </vt:vector>
  </TitlesOfParts>
  <Company>Advanzer de México S.A. de C.V.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 Estado de Situación Financiera</dc:title>
  <dc:creator>Yolanda Villarreal M</dc:creator>
  <cp:lastModifiedBy>Martha</cp:lastModifiedBy>
  <cp:lastPrinted>2017-04-12T16:42:56Z</cp:lastPrinted>
  <dcterms:created xsi:type="dcterms:W3CDTF">2011-06-09T14:10:53Z</dcterms:created>
  <dcterms:modified xsi:type="dcterms:W3CDTF">2017-04-12T16:30:35Z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Activesheet">
    <vt:lpwstr>Balance</vt:lpwstr>
  </property>
  <property fmtid="{D5CDD505-2E9C-101B-9397-08002B2CF9AE}" pid="3" name="BExAnalyzer_OldName">
    <vt:lpwstr>  1. Estado de Situación Financiera.xlsx</vt:lpwstr>
  </property>
</Properties>
</file>